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الملخص الشهري\"/>
    </mc:Choice>
  </mc:AlternateContent>
  <xr:revisionPtr revIDLastSave="0" documentId="13_ncr:1_{3F7932F6-8612-4F14-B86B-4162059734A4}" xr6:coauthVersionLast="47" xr6:coauthVersionMax="47" xr10:uidLastSave="{00000000-0000-0000-0000-000000000000}"/>
  <bookViews>
    <workbookView xWindow="-120" yWindow="-120" windowWidth="20730" windowHeight="11160" tabRatio="500" firstSheet="9" activeTab="3" xr2:uid="{00000000-000D-0000-FFFF-FFFF00000000}"/>
  </bookViews>
  <sheets>
    <sheet name="لوحة التحكم" sheetId="1" r:id="rId1"/>
    <sheet name="اقرأني" sheetId="2" r:id="rId2"/>
    <sheet name="الملخص الشهري" sheetId="3" r:id="rId3"/>
    <sheet name="تصدير للتقارير" sheetId="4" r:id="rId4"/>
    <sheet name="المقارنة" sheetId="5" r:id="rId5"/>
    <sheet name="فحص الأخطاء" sheetId="6" r:id="rId6"/>
    <sheet name="01-كانون الثاني" sheetId="7" r:id="rId7"/>
    <sheet name="02-شباط" sheetId="8" r:id="rId8"/>
    <sheet name="03-آذار" sheetId="9" r:id="rId9"/>
    <sheet name="04-نيسان" sheetId="10" r:id="rId10"/>
    <sheet name="05-أيار" sheetId="11" r:id="rId11"/>
    <sheet name="06-حزيران" sheetId="12" r:id="rId12"/>
    <sheet name="07-تموز" sheetId="13" r:id="rId13"/>
    <sheet name="08-آب" sheetId="14" r:id="rId14"/>
    <sheet name="09-أيلول" sheetId="15" r:id="rId15"/>
    <sheet name="10-تشرين الأول" sheetId="16" r:id="rId16"/>
    <sheet name="11-تشرين الثاني" sheetId="17" r:id="rId17"/>
    <sheet name="12-كانون الأول" sheetId="18" r:id="rId18"/>
    <sheet name="سجل التصحيحات" sheetId="19" r:id="rId19"/>
  </sheets>
  <definedNames>
    <definedName name="_xlnm._FilterDatabase" localSheetId="6" hidden="1">'01-كانون الثاني'!$A$1:$AL$501</definedName>
    <definedName name="_xlnm._FilterDatabase" localSheetId="7" hidden="1">'02-شباط'!$A$1:$AL$501</definedName>
    <definedName name="_xlnm._FilterDatabase" localSheetId="8" hidden="1">'03-آذار'!$A$1:$AL$501</definedName>
    <definedName name="_xlnm._FilterDatabase" localSheetId="9" hidden="1">'04-نيسان'!$A$1:$AL$501</definedName>
    <definedName name="_xlnm._FilterDatabase" localSheetId="10" hidden="1">'05-أيار'!$A$1:$AL$501</definedName>
    <definedName name="_xlnm._FilterDatabase" localSheetId="11" hidden="1">'06-حزيران'!$A$1:$AL$499</definedName>
    <definedName name="_xlnm._FilterDatabase" localSheetId="12" hidden="1">'07-تموز'!$A$1:$AL$500</definedName>
    <definedName name="_xlnm._FilterDatabase" localSheetId="13" hidden="1">'08-آب'!$A$1:$AL$501</definedName>
    <definedName name="_xlnm._FilterDatabase" localSheetId="14" hidden="1">'09-أيلول'!$A$1:$AL$500</definedName>
    <definedName name="_xlnm._FilterDatabase" localSheetId="15" hidden="1">'10-تشرين الأول'!$A$1:$AL$501</definedName>
    <definedName name="_xlnm._FilterDatabase" localSheetId="16" hidden="1">'11-تشرين الثاني'!$A$1:$AL$501</definedName>
    <definedName name="_xlnm._FilterDatabase" localSheetId="17" hidden="1">'12-كانون الأول'!$A$1:$AL$501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501" i="18" l="1"/>
  <c r="W501" i="18"/>
  <c r="AD501" i="18" s="1"/>
  <c r="S501" i="18"/>
  <c r="O501" i="18"/>
  <c r="L501" i="18"/>
  <c r="AL501" i="18" s="1"/>
  <c r="K501" i="18"/>
  <c r="AI500" i="18"/>
  <c r="W500" i="18"/>
  <c r="AD500" i="18" s="1"/>
  <c r="S500" i="18"/>
  <c r="O500" i="18"/>
  <c r="L500" i="18"/>
  <c r="AL500" i="18" s="1"/>
  <c r="K500" i="18"/>
  <c r="AI499" i="18"/>
  <c r="W499" i="18"/>
  <c r="AD499" i="18" s="1"/>
  <c r="S499" i="18"/>
  <c r="O499" i="18"/>
  <c r="L499" i="18"/>
  <c r="AL499" i="18" s="1"/>
  <c r="K499" i="18"/>
  <c r="AI498" i="18"/>
  <c r="W498" i="18"/>
  <c r="AD498" i="18" s="1"/>
  <c r="S498" i="18"/>
  <c r="O498" i="18"/>
  <c r="L498" i="18"/>
  <c r="AL498" i="18" s="1"/>
  <c r="K498" i="18"/>
  <c r="AI497" i="18"/>
  <c r="W497" i="18"/>
  <c r="AD497" i="18" s="1"/>
  <c r="S497" i="18"/>
  <c r="O497" i="18"/>
  <c r="L497" i="18"/>
  <c r="AL497" i="18" s="1"/>
  <c r="K497" i="18"/>
  <c r="AI496" i="18"/>
  <c r="W496" i="18"/>
  <c r="AD496" i="18" s="1"/>
  <c r="S496" i="18"/>
  <c r="O496" i="18"/>
  <c r="L496" i="18"/>
  <c r="AL496" i="18" s="1"/>
  <c r="K496" i="18"/>
  <c r="L495" i="18"/>
  <c r="X494" i="18"/>
  <c r="P494" i="18"/>
  <c r="L494" i="18"/>
  <c r="AI494" i="18" s="1"/>
  <c r="L493" i="18"/>
  <c r="AJ493" i="18" s="1"/>
  <c r="X492" i="18"/>
  <c r="P492" i="18"/>
  <c r="L492" i="18"/>
  <c r="AI492" i="18" s="1"/>
  <c r="L491" i="18"/>
  <c r="AJ491" i="18" s="1"/>
  <c r="X490" i="18"/>
  <c r="P490" i="18"/>
  <c r="L490" i="18"/>
  <c r="AI490" i="18" s="1"/>
  <c r="AJ489" i="18"/>
  <c r="X489" i="18"/>
  <c r="T489" i="18"/>
  <c r="P489" i="18"/>
  <c r="L489" i="18"/>
  <c r="L488" i="18"/>
  <c r="X487" i="18"/>
  <c r="P487" i="18"/>
  <c r="L487" i="18"/>
  <c r="AJ486" i="18"/>
  <c r="T486" i="18"/>
  <c r="L486" i="18"/>
  <c r="X485" i="18"/>
  <c r="P485" i="18"/>
  <c r="L485" i="18"/>
  <c r="AH485" i="18" s="1"/>
  <c r="AJ484" i="18"/>
  <c r="T484" i="18"/>
  <c r="L484" i="18"/>
  <c r="X483" i="18"/>
  <c r="P483" i="18"/>
  <c r="L483" i="18"/>
  <c r="AH483" i="18" s="1"/>
  <c r="AJ482" i="18"/>
  <c r="T482" i="18"/>
  <c r="L482" i="18"/>
  <c r="AJ481" i="18"/>
  <c r="AH481" i="18"/>
  <c r="AF481" i="18"/>
  <c r="Z481" i="18"/>
  <c r="X481" i="18"/>
  <c r="U481" i="18"/>
  <c r="T481" i="18"/>
  <c r="R481" i="18"/>
  <c r="P481" i="18"/>
  <c r="N481" i="18"/>
  <c r="M481" i="18"/>
  <c r="L481" i="18"/>
  <c r="K481" i="18"/>
  <c r="AL480" i="18"/>
  <c r="AK480" i="18"/>
  <c r="AI480" i="18"/>
  <c r="AH480" i="18"/>
  <c r="AE480" i="18"/>
  <c r="AC480" i="18"/>
  <c r="AA480" i="18"/>
  <c r="AG480" i="18" s="1"/>
  <c r="Z480" i="18"/>
  <c r="W480" i="18"/>
  <c r="AD480" i="18" s="1"/>
  <c r="V480" i="18"/>
  <c r="U480" i="18"/>
  <c r="AF480" i="18" s="1"/>
  <c r="S480" i="18"/>
  <c r="R480" i="18"/>
  <c r="Q480" i="18"/>
  <c r="O480" i="18"/>
  <c r="N480" i="18"/>
  <c r="M480" i="18"/>
  <c r="L480" i="18"/>
  <c r="AJ480" i="18" s="1"/>
  <c r="K480" i="18"/>
  <c r="AL479" i="18"/>
  <c r="AK479" i="18"/>
  <c r="AI479" i="18"/>
  <c r="AH479" i="18"/>
  <c r="AE479" i="18"/>
  <c r="AD479" i="18"/>
  <c r="AC479" i="18"/>
  <c r="AA479" i="18"/>
  <c r="AG479" i="18" s="1"/>
  <c r="Z479" i="18"/>
  <c r="W479" i="18"/>
  <c r="V479" i="18"/>
  <c r="U479" i="18"/>
  <c r="AF479" i="18" s="1"/>
  <c r="S479" i="18"/>
  <c r="R479" i="18"/>
  <c r="Q479" i="18"/>
  <c r="O479" i="18"/>
  <c r="N479" i="18"/>
  <c r="M479" i="18"/>
  <c r="L479" i="18"/>
  <c r="AJ479" i="18" s="1"/>
  <c r="K479" i="18"/>
  <c r="AL478" i="18"/>
  <c r="AK478" i="18"/>
  <c r="AI478" i="18"/>
  <c r="AH478" i="18"/>
  <c r="AD478" i="18"/>
  <c r="AC478" i="18"/>
  <c r="AE478" i="18" s="1"/>
  <c r="AA478" i="18"/>
  <c r="AG478" i="18" s="1"/>
  <c r="Z478" i="18"/>
  <c r="W478" i="18"/>
  <c r="V478" i="18"/>
  <c r="U478" i="18"/>
  <c r="AF478" i="18" s="1"/>
  <c r="S478" i="18"/>
  <c r="R478" i="18"/>
  <c r="Q478" i="18"/>
  <c r="O478" i="18"/>
  <c r="N478" i="18"/>
  <c r="M478" i="18"/>
  <c r="L478" i="18"/>
  <c r="AJ478" i="18" s="1"/>
  <c r="K478" i="18"/>
  <c r="AL477" i="18"/>
  <c r="AK477" i="18"/>
  <c r="AI477" i="18"/>
  <c r="AH477" i="18"/>
  <c r="AE477" i="18"/>
  <c r="AD477" i="18"/>
  <c r="AC477" i="18"/>
  <c r="AA477" i="18"/>
  <c r="AG477" i="18" s="1"/>
  <c r="Z477" i="18"/>
  <c r="W477" i="18"/>
  <c r="V477" i="18"/>
  <c r="U477" i="18"/>
  <c r="AF477" i="18" s="1"/>
  <c r="S477" i="18"/>
  <c r="R477" i="18"/>
  <c r="Q477" i="18"/>
  <c r="O477" i="18"/>
  <c r="N477" i="18"/>
  <c r="M477" i="18"/>
  <c r="L477" i="18"/>
  <c r="AJ477" i="18" s="1"/>
  <c r="K477" i="18"/>
  <c r="AL476" i="18"/>
  <c r="AK476" i="18"/>
  <c r="AI476" i="18"/>
  <c r="AH476" i="18"/>
  <c r="AD476" i="18"/>
  <c r="AC476" i="18"/>
  <c r="AE476" i="18" s="1"/>
  <c r="AA476" i="18"/>
  <c r="AG476" i="18" s="1"/>
  <c r="Z476" i="18"/>
  <c r="W476" i="18"/>
  <c r="V476" i="18"/>
  <c r="U476" i="18"/>
  <c r="AF476" i="18" s="1"/>
  <c r="S476" i="18"/>
  <c r="R476" i="18"/>
  <c r="Q476" i="18"/>
  <c r="O476" i="18"/>
  <c r="N476" i="18"/>
  <c r="M476" i="18"/>
  <c r="L476" i="18"/>
  <c r="AJ476" i="18" s="1"/>
  <c r="K476" i="18"/>
  <c r="AL475" i="18"/>
  <c r="AK475" i="18"/>
  <c r="AI475" i="18"/>
  <c r="AH475" i="18"/>
  <c r="AE475" i="18"/>
  <c r="AD475" i="18"/>
  <c r="AC475" i="18"/>
  <c r="AA475" i="18"/>
  <c r="AG475" i="18" s="1"/>
  <c r="Z475" i="18"/>
  <c r="W475" i="18"/>
  <c r="V475" i="18"/>
  <c r="U475" i="18"/>
  <c r="AF475" i="18" s="1"/>
  <c r="S475" i="18"/>
  <c r="R475" i="18"/>
  <c r="Q475" i="18"/>
  <c r="O475" i="18"/>
  <c r="N475" i="18"/>
  <c r="M475" i="18"/>
  <c r="L475" i="18"/>
  <c r="AJ475" i="18" s="1"/>
  <c r="K475" i="18"/>
  <c r="AL474" i="18"/>
  <c r="AK474" i="18"/>
  <c r="AI474" i="18"/>
  <c r="AH474" i="18"/>
  <c r="AD474" i="18"/>
  <c r="AC474" i="18"/>
  <c r="AE474" i="18" s="1"/>
  <c r="AA474" i="18"/>
  <c r="AG474" i="18" s="1"/>
  <c r="Z474" i="18"/>
  <c r="W474" i="18"/>
  <c r="V474" i="18"/>
  <c r="U474" i="18"/>
  <c r="AF474" i="18" s="1"/>
  <c r="S474" i="18"/>
  <c r="R474" i="18"/>
  <c r="Q474" i="18"/>
  <c r="O474" i="18"/>
  <c r="N474" i="18"/>
  <c r="M474" i="18"/>
  <c r="L474" i="18"/>
  <c r="AJ474" i="18" s="1"/>
  <c r="K474" i="18"/>
  <c r="AL473" i="18"/>
  <c r="AK473" i="18"/>
  <c r="AI473" i="18"/>
  <c r="AH473" i="18"/>
  <c r="AE473" i="18"/>
  <c r="AD473" i="18"/>
  <c r="AC473" i="18"/>
  <c r="AA473" i="18"/>
  <c r="AG473" i="18" s="1"/>
  <c r="Z473" i="18"/>
  <c r="W473" i="18"/>
  <c r="V473" i="18"/>
  <c r="U473" i="18"/>
  <c r="AF473" i="18" s="1"/>
  <c r="S473" i="18"/>
  <c r="R473" i="18"/>
  <c r="Q473" i="18"/>
  <c r="O473" i="18"/>
  <c r="N473" i="18"/>
  <c r="M473" i="18"/>
  <c r="L473" i="18"/>
  <c r="AJ473" i="18" s="1"/>
  <c r="K473" i="18"/>
  <c r="AL472" i="18"/>
  <c r="AK472" i="18"/>
  <c r="AI472" i="18"/>
  <c r="AH472" i="18"/>
  <c r="AD472" i="18"/>
  <c r="AC472" i="18"/>
  <c r="AE472" i="18" s="1"/>
  <c r="AA472" i="18"/>
  <c r="AG472" i="18" s="1"/>
  <c r="Z472" i="18"/>
  <c r="W472" i="18"/>
  <c r="V472" i="18"/>
  <c r="U472" i="18"/>
  <c r="AF472" i="18" s="1"/>
  <c r="S472" i="18"/>
  <c r="R472" i="18"/>
  <c r="Q472" i="18"/>
  <c r="O472" i="18"/>
  <c r="N472" i="18"/>
  <c r="M472" i="18"/>
  <c r="L472" i="18"/>
  <c r="AJ472" i="18" s="1"/>
  <c r="K472" i="18"/>
  <c r="AL471" i="18"/>
  <c r="AI471" i="18"/>
  <c r="AC471" i="18"/>
  <c r="AE471" i="18" s="1"/>
  <c r="W471" i="18"/>
  <c r="AD471" i="18" s="1"/>
  <c r="U471" i="18"/>
  <c r="AF471" i="18" s="1"/>
  <c r="S471" i="18"/>
  <c r="Q471" i="18"/>
  <c r="O471" i="18"/>
  <c r="M471" i="18"/>
  <c r="L471" i="18"/>
  <c r="AJ471" i="18" s="1"/>
  <c r="K471" i="18"/>
  <c r="AK470" i="18"/>
  <c r="AI470" i="18"/>
  <c r="AC470" i="18"/>
  <c r="AE470" i="18" s="1"/>
  <c r="W470" i="18"/>
  <c r="AD470" i="18" s="1"/>
  <c r="U470" i="18"/>
  <c r="AF470" i="18" s="1"/>
  <c r="S470" i="18"/>
  <c r="Q470" i="18"/>
  <c r="O470" i="18"/>
  <c r="M470" i="18"/>
  <c r="L470" i="18"/>
  <c r="AJ470" i="18" s="1"/>
  <c r="K470" i="18"/>
  <c r="AK469" i="18"/>
  <c r="AI469" i="18"/>
  <c r="AC469" i="18"/>
  <c r="AE469" i="18" s="1"/>
  <c r="W469" i="18"/>
  <c r="AD469" i="18" s="1"/>
  <c r="U469" i="18"/>
  <c r="AF469" i="18" s="1"/>
  <c r="S469" i="18"/>
  <c r="Q469" i="18"/>
  <c r="O469" i="18"/>
  <c r="M469" i="18"/>
  <c r="L469" i="18"/>
  <c r="AJ469" i="18" s="1"/>
  <c r="K469" i="18"/>
  <c r="AK468" i="18"/>
  <c r="AI468" i="18"/>
  <c r="AC468" i="18"/>
  <c r="AE468" i="18" s="1"/>
  <c r="W468" i="18"/>
  <c r="AD468" i="18" s="1"/>
  <c r="U468" i="18"/>
  <c r="AF468" i="18" s="1"/>
  <c r="S468" i="18"/>
  <c r="Q468" i="18"/>
  <c r="O468" i="18"/>
  <c r="M468" i="18"/>
  <c r="L468" i="18"/>
  <c r="AJ468" i="18" s="1"/>
  <c r="K468" i="18"/>
  <c r="AK467" i="18"/>
  <c r="AI467" i="18"/>
  <c r="AC467" i="18"/>
  <c r="AE467" i="18" s="1"/>
  <c r="W467" i="18"/>
  <c r="AD467" i="18" s="1"/>
  <c r="U467" i="18"/>
  <c r="AF467" i="18" s="1"/>
  <c r="S467" i="18"/>
  <c r="Q467" i="18"/>
  <c r="O467" i="18"/>
  <c r="M467" i="18"/>
  <c r="L467" i="18"/>
  <c r="AJ467" i="18" s="1"/>
  <c r="K467" i="18"/>
  <c r="AK466" i="18"/>
  <c r="AI466" i="18"/>
  <c r="AC466" i="18"/>
  <c r="AE466" i="18" s="1"/>
  <c r="W466" i="18"/>
  <c r="AD466" i="18" s="1"/>
  <c r="U466" i="18"/>
  <c r="AF466" i="18" s="1"/>
  <c r="S466" i="18"/>
  <c r="Q466" i="18"/>
  <c r="O466" i="18"/>
  <c r="M466" i="18"/>
  <c r="L466" i="18"/>
  <c r="AJ466" i="18" s="1"/>
  <c r="K466" i="18"/>
  <c r="AK465" i="18"/>
  <c r="AI465" i="18"/>
  <c r="AC465" i="18"/>
  <c r="AE465" i="18" s="1"/>
  <c r="W465" i="18"/>
  <c r="AD465" i="18" s="1"/>
  <c r="U465" i="18"/>
  <c r="AF465" i="18" s="1"/>
  <c r="S465" i="18"/>
  <c r="Q465" i="18"/>
  <c r="O465" i="18"/>
  <c r="M465" i="18"/>
  <c r="L465" i="18"/>
  <c r="AJ465" i="18" s="1"/>
  <c r="K465" i="18"/>
  <c r="AK464" i="18"/>
  <c r="AI464" i="18"/>
  <c r="AC464" i="18"/>
  <c r="AE464" i="18" s="1"/>
  <c r="W464" i="18"/>
  <c r="AD464" i="18" s="1"/>
  <c r="U464" i="18"/>
  <c r="AF464" i="18" s="1"/>
  <c r="S464" i="18"/>
  <c r="Q464" i="18"/>
  <c r="O464" i="18"/>
  <c r="M464" i="18"/>
  <c r="L464" i="18"/>
  <c r="AJ464" i="18" s="1"/>
  <c r="K464" i="18"/>
  <c r="AK463" i="18"/>
  <c r="AI463" i="18"/>
  <c r="AC463" i="18"/>
  <c r="AE463" i="18" s="1"/>
  <c r="W463" i="18"/>
  <c r="AD463" i="18" s="1"/>
  <c r="U463" i="18"/>
  <c r="AF463" i="18" s="1"/>
  <c r="S463" i="18"/>
  <c r="Q463" i="18"/>
  <c r="O463" i="18"/>
  <c r="M463" i="18"/>
  <c r="L463" i="18"/>
  <c r="AJ463" i="18" s="1"/>
  <c r="K463" i="18"/>
  <c r="AK462" i="18"/>
  <c r="AI462" i="18"/>
  <c r="AC462" i="18"/>
  <c r="AE462" i="18" s="1"/>
  <c r="W462" i="18"/>
  <c r="AD462" i="18" s="1"/>
  <c r="U462" i="18"/>
  <c r="AF462" i="18" s="1"/>
  <c r="S462" i="18"/>
  <c r="Q462" i="18"/>
  <c r="O462" i="18"/>
  <c r="M462" i="18"/>
  <c r="L462" i="18"/>
  <c r="AJ462" i="18" s="1"/>
  <c r="K462" i="18"/>
  <c r="AK461" i="18"/>
  <c r="AI461" i="18"/>
  <c r="AE461" i="18"/>
  <c r="AC461" i="18"/>
  <c r="W461" i="18"/>
  <c r="AD461" i="18" s="1"/>
  <c r="U461" i="18"/>
  <c r="AF461" i="18" s="1"/>
  <c r="S461" i="18"/>
  <c r="Q461" i="18"/>
  <c r="O461" i="18"/>
  <c r="M461" i="18"/>
  <c r="L461" i="18"/>
  <c r="AJ461" i="18" s="1"/>
  <c r="K461" i="18"/>
  <c r="AK460" i="18"/>
  <c r="AI460" i="18"/>
  <c r="AC460" i="18"/>
  <c r="AE460" i="18" s="1"/>
  <c r="W460" i="18"/>
  <c r="AD460" i="18" s="1"/>
  <c r="U460" i="18"/>
  <c r="AF460" i="18" s="1"/>
  <c r="S460" i="18"/>
  <c r="Q460" i="18"/>
  <c r="O460" i="18"/>
  <c r="M460" i="18"/>
  <c r="L460" i="18"/>
  <c r="AJ460" i="18" s="1"/>
  <c r="K460" i="18"/>
  <c r="AK459" i="18"/>
  <c r="AI459" i="18"/>
  <c r="AE459" i="18"/>
  <c r="AC459" i="18"/>
  <c r="W459" i="18"/>
  <c r="AD459" i="18" s="1"/>
  <c r="U459" i="18"/>
  <c r="AF459" i="18" s="1"/>
  <c r="S459" i="18"/>
  <c r="Q459" i="18"/>
  <c r="O459" i="18"/>
  <c r="M459" i="18"/>
  <c r="L459" i="18"/>
  <c r="AJ459" i="18" s="1"/>
  <c r="K459" i="18"/>
  <c r="AK458" i="18"/>
  <c r="AI458" i="18"/>
  <c r="AC458" i="18"/>
  <c r="AE458" i="18" s="1"/>
  <c r="W458" i="18"/>
  <c r="AD458" i="18" s="1"/>
  <c r="U458" i="18"/>
  <c r="AF458" i="18" s="1"/>
  <c r="S458" i="18"/>
  <c r="Q458" i="18"/>
  <c r="O458" i="18"/>
  <c r="M458" i="18"/>
  <c r="L458" i="18"/>
  <c r="AJ458" i="18" s="1"/>
  <c r="K458" i="18"/>
  <c r="AK457" i="18"/>
  <c r="AI457" i="18"/>
  <c r="AE457" i="18"/>
  <c r="AC457" i="18"/>
  <c r="W457" i="18"/>
  <c r="AD457" i="18" s="1"/>
  <c r="U457" i="18"/>
  <c r="AF457" i="18" s="1"/>
  <c r="S457" i="18"/>
  <c r="Q457" i="18"/>
  <c r="O457" i="18"/>
  <c r="M457" i="18"/>
  <c r="L457" i="18"/>
  <c r="AJ457" i="18" s="1"/>
  <c r="K457" i="18"/>
  <c r="AK456" i="18"/>
  <c r="AI456" i="18"/>
  <c r="AC456" i="18"/>
  <c r="AE456" i="18" s="1"/>
  <c r="W456" i="18"/>
  <c r="AD456" i="18" s="1"/>
  <c r="U456" i="18"/>
  <c r="AF456" i="18" s="1"/>
  <c r="S456" i="18"/>
  <c r="Q456" i="18"/>
  <c r="O456" i="18"/>
  <c r="M456" i="18"/>
  <c r="L456" i="18"/>
  <c r="AJ456" i="18" s="1"/>
  <c r="K456" i="18"/>
  <c r="AK455" i="18"/>
  <c r="AI455" i="18"/>
  <c r="AE455" i="18"/>
  <c r="AC455" i="18"/>
  <c r="W455" i="18"/>
  <c r="AD455" i="18" s="1"/>
  <c r="U455" i="18"/>
  <c r="AF455" i="18" s="1"/>
  <c r="S455" i="18"/>
  <c r="Q455" i="18"/>
  <c r="O455" i="18"/>
  <c r="M455" i="18"/>
  <c r="L455" i="18"/>
  <c r="AJ455" i="18" s="1"/>
  <c r="K455" i="18"/>
  <c r="AK454" i="18"/>
  <c r="AI454" i="18"/>
  <c r="AC454" i="18"/>
  <c r="AE454" i="18" s="1"/>
  <c r="W454" i="18"/>
  <c r="AD454" i="18" s="1"/>
  <c r="U454" i="18"/>
  <c r="AF454" i="18" s="1"/>
  <c r="S454" i="18"/>
  <c r="Q454" i="18"/>
  <c r="O454" i="18"/>
  <c r="M454" i="18"/>
  <c r="L454" i="18"/>
  <c r="AJ454" i="18" s="1"/>
  <c r="K454" i="18"/>
  <c r="AK453" i="18"/>
  <c r="AI453" i="18"/>
  <c r="AE453" i="18"/>
  <c r="AC453" i="18"/>
  <c r="W453" i="18"/>
  <c r="AD453" i="18" s="1"/>
  <c r="U453" i="18"/>
  <c r="AF453" i="18" s="1"/>
  <c r="S453" i="18"/>
  <c r="Q453" i="18"/>
  <c r="O453" i="18"/>
  <c r="M453" i="18"/>
  <c r="L453" i="18"/>
  <c r="AJ453" i="18" s="1"/>
  <c r="K453" i="18"/>
  <c r="AK452" i="18"/>
  <c r="AI452" i="18"/>
  <c r="AC452" i="18"/>
  <c r="AE452" i="18" s="1"/>
  <c r="W452" i="18"/>
  <c r="AD452" i="18" s="1"/>
  <c r="U452" i="18"/>
  <c r="AF452" i="18" s="1"/>
  <c r="S452" i="18"/>
  <c r="Q452" i="18"/>
  <c r="O452" i="18"/>
  <c r="M452" i="18"/>
  <c r="L452" i="18"/>
  <c r="AJ452" i="18" s="1"/>
  <c r="K452" i="18"/>
  <c r="AK451" i="18"/>
  <c r="AI451" i="18"/>
  <c r="AE451" i="18"/>
  <c r="AC451" i="18"/>
  <c r="W451" i="18"/>
  <c r="AD451" i="18" s="1"/>
  <c r="U451" i="18"/>
  <c r="AF451" i="18" s="1"/>
  <c r="S451" i="18"/>
  <c r="Q451" i="18"/>
  <c r="O451" i="18"/>
  <c r="M451" i="18"/>
  <c r="L451" i="18"/>
  <c r="AJ451" i="18" s="1"/>
  <c r="K451" i="18"/>
  <c r="AK450" i="18"/>
  <c r="AI450" i="18"/>
  <c r="AC450" i="18"/>
  <c r="AE450" i="18" s="1"/>
  <c r="W450" i="18"/>
  <c r="AD450" i="18" s="1"/>
  <c r="U450" i="18"/>
  <c r="AF450" i="18" s="1"/>
  <c r="S450" i="18"/>
  <c r="Q450" i="18"/>
  <c r="O450" i="18"/>
  <c r="M450" i="18"/>
  <c r="L450" i="18"/>
  <c r="AJ450" i="18" s="1"/>
  <c r="K450" i="18"/>
  <c r="AK449" i="18"/>
  <c r="AI449" i="18"/>
  <c r="AE449" i="18"/>
  <c r="AC449" i="18"/>
  <c r="W449" i="18"/>
  <c r="AD449" i="18" s="1"/>
  <c r="U449" i="18"/>
  <c r="AF449" i="18" s="1"/>
  <c r="S449" i="18"/>
  <c r="Q449" i="18"/>
  <c r="O449" i="18"/>
  <c r="N449" i="18"/>
  <c r="M449" i="18"/>
  <c r="L449" i="18"/>
  <c r="AJ449" i="18" s="1"/>
  <c r="K449" i="18"/>
  <c r="AL448" i="18"/>
  <c r="AK448" i="18"/>
  <c r="AI448" i="18"/>
  <c r="AH448" i="18"/>
  <c r="AE448" i="18"/>
  <c r="AC448" i="18"/>
  <c r="AA448" i="18"/>
  <c r="AG448" i="18" s="1"/>
  <c r="Z448" i="18"/>
  <c r="W448" i="18"/>
  <c r="AD448" i="18" s="1"/>
  <c r="V448" i="18"/>
  <c r="U448" i="18"/>
  <c r="AF448" i="18" s="1"/>
  <c r="S448" i="18"/>
  <c r="R448" i="18"/>
  <c r="Q448" i="18"/>
  <c r="O448" i="18"/>
  <c r="N448" i="18"/>
  <c r="M448" i="18"/>
  <c r="L448" i="18"/>
  <c r="AJ448" i="18" s="1"/>
  <c r="K448" i="18"/>
  <c r="AL447" i="18"/>
  <c r="AK447" i="18"/>
  <c r="AI447" i="18"/>
  <c r="AH447" i="18"/>
  <c r="AG447" i="18"/>
  <c r="AC447" i="18"/>
  <c r="AE447" i="18" s="1"/>
  <c r="AA447" i="18"/>
  <c r="Z447" i="18"/>
  <c r="W447" i="18"/>
  <c r="AD447" i="18" s="1"/>
  <c r="V447" i="18"/>
  <c r="U447" i="18"/>
  <c r="AF447" i="18" s="1"/>
  <c r="S447" i="18"/>
  <c r="R447" i="18"/>
  <c r="Q447" i="18"/>
  <c r="O447" i="18"/>
  <c r="N447" i="18"/>
  <c r="M447" i="18"/>
  <c r="L447" i="18"/>
  <c r="AJ447" i="18" s="1"/>
  <c r="K447" i="18"/>
  <c r="AL446" i="18"/>
  <c r="AK446" i="18"/>
  <c r="AI446" i="18"/>
  <c r="AH446" i="18"/>
  <c r="AC446" i="18"/>
  <c r="AE446" i="18" s="1"/>
  <c r="Z446" i="18"/>
  <c r="AA446" i="18" s="1"/>
  <c r="AG446" i="18" s="1"/>
  <c r="W446" i="18"/>
  <c r="AD446" i="18" s="1"/>
  <c r="V446" i="18"/>
  <c r="U446" i="18"/>
  <c r="AF446" i="18" s="1"/>
  <c r="S446" i="18"/>
  <c r="R446" i="18"/>
  <c r="Q446" i="18"/>
  <c r="O446" i="18"/>
  <c r="N446" i="18"/>
  <c r="M446" i="18"/>
  <c r="L446" i="18"/>
  <c r="AJ446" i="18" s="1"/>
  <c r="K446" i="18"/>
  <c r="AL445" i="18"/>
  <c r="AK445" i="18"/>
  <c r="AI445" i="18"/>
  <c r="AH445" i="18"/>
  <c r="AE445" i="18"/>
  <c r="AC445" i="18"/>
  <c r="Z445" i="18"/>
  <c r="AA445" i="18" s="1"/>
  <c r="AG445" i="18" s="1"/>
  <c r="W445" i="18"/>
  <c r="AD445" i="18" s="1"/>
  <c r="V445" i="18"/>
  <c r="U445" i="18"/>
  <c r="AF445" i="18" s="1"/>
  <c r="S445" i="18"/>
  <c r="R445" i="18"/>
  <c r="Q445" i="18"/>
  <c r="O445" i="18"/>
  <c r="N445" i="18"/>
  <c r="M445" i="18"/>
  <c r="L445" i="18"/>
  <c r="AJ445" i="18" s="1"/>
  <c r="K445" i="18"/>
  <c r="AK444" i="18"/>
  <c r="AH444" i="18"/>
  <c r="AE444" i="18"/>
  <c r="AC444" i="18"/>
  <c r="Z444" i="18"/>
  <c r="AA444" i="18" s="1"/>
  <c r="AG444" i="18" s="1"/>
  <c r="W444" i="18"/>
  <c r="AD444" i="18" s="1"/>
  <c r="V444" i="18"/>
  <c r="U444" i="18"/>
  <c r="AF444" i="18" s="1"/>
  <c r="S444" i="18"/>
  <c r="R444" i="18"/>
  <c r="Q444" i="18"/>
  <c r="O444" i="18"/>
  <c r="N444" i="18"/>
  <c r="M444" i="18"/>
  <c r="L444" i="18"/>
  <c r="K444" i="18"/>
  <c r="AL443" i="18"/>
  <c r="AK443" i="18"/>
  <c r="AI443" i="18"/>
  <c r="AH443" i="18"/>
  <c r="AG443" i="18"/>
  <c r="AC443" i="18"/>
  <c r="AE443" i="18" s="1"/>
  <c r="AA443" i="18"/>
  <c r="Z443" i="18"/>
  <c r="W443" i="18"/>
  <c r="AD443" i="18" s="1"/>
  <c r="V443" i="18"/>
  <c r="U443" i="18"/>
  <c r="AF443" i="18" s="1"/>
  <c r="S443" i="18"/>
  <c r="R443" i="18"/>
  <c r="Q443" i="18"/>
  <c r="O443" i="18"/>
  <c r="N443" i="18"/>
  <c r="M443" i="18"/>
  <c r="L443" i="18"/>
  <c r="AJ443" i="18" s="1"/>
  <c r="K443" i="18"/>
  <c r="AL442" i="18"/>
  <c r="AK442" i="18"/>
  <c r="AI442" i="18"/>
  <c r="AH442" i="18"/>
  <c r="AE442" i="18"/>
  <c r="AC442" i="18"/>
  <c r="AA442" i="18"/>
  <c r="AG442" i="18" s="1"/>
  <c r="Z442" i="18"/>
  <c r="W442" i="18"/>
  <c r="AD442" i="18" s="1"/>
  <c r="V442" i="18"/>
  <c r="U442" i="18"/>
  <c r="AF442" i="18" s="1"/>
  <c r="S442" i="18"/>
  <c r="R442" i="18"/>
  <c r="Q442" i="18"/>
  <c r="O442" i="18"/>
  <c r="N442" i="18"/>
  <c r="M442" i="18"/>
  <c r="L442" i="18"/>
  <c r="AJ442" i="18" s="1"/>
  <c r="K442" i="18"/>
  <c r="AL441" i="18"/>
  <c r="AK441" i="18"/>
  <c r="AI441" i="18"/>
  <c r="AH441" i="18"/>
  <c r="AG441" i="18"/>
  <c r="AC441" i="18"/>
  <c r="AE441" i="18" s="1"/>
  <c r="AA441" i="18"/>
  <c r="Z441" i="18"/>
  <c r="W441" i="18"/>
  <c r="AD441" i="18" s="1"/>
  <c r="V441" i="18"/>
  <c r="U441" i="18"/>
  <c r="AF441" i="18" s="1"/>
  <c r="S441" i="18"/>
  <c r="R441" i="18"/>
  <c r="Q441" i="18"/>
  <c r="O441" i="18"/>
  <c r="N441" i="18"/>
  <c r="M441" i="18"/>
  <c r="L441" i="18"/>
  <c r="AJ441" i="18" s="1"/>
  <c r="K441" i="18"/>
  <c r="AL440" i="18"/>
  <c r="AK440" i="18"/>
  <c r="AI440" i="18"/>
  <c r="AH440" i="18"/>
  <c r="AE440" i="18"/>
  <c r="AC440" i="18"/>
  <c r="AA440" i="18"/>
  <c r="AG440" i="18" s="1"/>
  <c r="Z440" i="18"/>
  <c r="W440" i="18"/>
  <c r="AD440" i="18" s="1"/>
  <c r="V440" i="18"/>
  <c r="U440" i="18"/>
  <c r="AF440" i="18" s="1"/>
  <c r="S440" i="18"/>
  <c r="R440" i="18"/>
  <c r="Q440" i="18"/>
  <c r="O440" i="18"/>
  <c r="N440" i="18"/>
  <c r="M440" i="18"/>
  <c r="L440" i="18"/>
  <c r="AJ440" i="18" s="1"/>
  <c r="K440" i="18"/>
  <c r="AL439" i="18"/>
  <c r="AK439" i="18"/>
  <c r="AI439" i="18"/>
  <c r="AH439" i="18"/>
  <c r="AG439" i="18"/>
  <c r="AC439" i="18"/>
  <c r="AE439" i="18" s="1"/>
  <c r="AA439" i="18"/>
  <c r="Z439" i="18"/>
  <c r="W439" i="18"/>
  <c r="AD439" i="18" s="1"/>
  <c r="V439" i="18"/>
  <c r="U439" i="18"/>
  <c r="AF439" i="18" s="1"/>
  <c r="S439" i="18"/>
  <c r="R439" i="18"/>
  <c r="Q439" i="18"/>
  <c r="O439" i="18"/>
  <c r="N439" i="18"/>
  <c r="M439" i="18"/>
  <c r="L439" i="18"/>
  <c r="AJ439" i="18" s="1"/>
  <c r="K439" i="18"/>
  <c r="AL438" i="18"/>
  <c r="AK438" i="18"/>
  <c r="AI438" i="18"/>
  <c r="AH438" i="18"/>
  <c r="AE438" i="18"/>
  <c r="AC438" i="18"/>
  <c r="AA438" i="18"/>
  <c r="AG438" i="18" s="1"/>
  <c r="Z438" i="18"/>
  <c r="W438" i="18"/>
  <c r="AD438" i="18" s="1"/>
  <c r="V438" i="18"/>
  <c r="U438" i="18"/>
  <c r="AF438" i="18" s="1"/>
  <c r="S438" i="18"/>
  <c r="R438" i="18"/>
  <c r="Q438" i="18"/>
  <c r="O438" i="18"/>
  <c r="N438" i="18"/>
  <c r="M438" i="18"/>
  <c r="L438" i="18"/>
  <c r="AJ438" i="18" s="1"/>
  <c r="K438" i="18"/>
  <c r="AL437" i="18"/>
  <c r="AK437" i="18"/>
  <c r="AI437" i="18"/>
  <c r="AH437" i="18"/>
  <c r="AG437" i="18"/>
  <c r="AC437" i="18"/>
  <c r="AE437" i="18" s="1"/>
  <c r="AA437" i="18"/>
  <c r="Z437" i="18"/>
  <c r="W437" i="18"/>
  <c r="AD437" i="18" s="1"/>
  <c r="V437" i="18"/>
  <c r="U437" i="18"/>
  <c r="AF437" i="18" s="1"/>
  <c r="S437" i="18"/>
  <c r="R437" i="18"/>
  <c r="Q437" i="18"/>
  <c r="O437" i="18"/>
  <c r="N437" i="18"/>
  <c r="M437" i="18"/>
  <c r="L437" i="18"/>
  <c r="AJ437" i="18" s="1"/>
  <c r="K437" i="18"/>
  <c r="AL436" i="18"/>
  <c r="AK436" i="18"/>
  <c r="AI436" i="18"/>
  <c r="AH436" i="18"/>
  <c r="AE436" i="18"/>
  <c r="AC436" i="18"/>
  <c r="AA436" i="18"/>
  <c r="AG436" i="18" s="1"/>
  <c r="Z436" i="18"/>
  <c r="W436" i="18"/>
  <c r="AD436" i="18" s="1"/>
  <c r="V436" i="18"/>
  <c r="U436" i="18"/>
  <c r="AF436" i="18" s="1"/>
  <c r="S436" i="18"/>
  <c r="R436" i="18"/>
  <c r="Q436" i="18"/>
  <c r="O436" i="18"/>
  <c r="N436" i="18"/>
  <c r="M436" i="18"/>
  <c r="L436" i="18"/>
  <c r="AJ436" i="18" s="1"/>
  <c r="K436" i="18"/>
  <c r="AL435" i="18"/>
  <c r="AK435" i="18"/>
  <c r="AI435" i="18"/>
  <c r="AH435" i="18"/>
  <c r="AG435" i="18"/>
  <c r="AC435" i="18"/>
  <c r="AE435" i="18" s="1"/>
  <c r="AA435" i="18"/>
  <c r="Z435" i="18"/>
  <c r="W435" i="18"/>
  <c r="AD435" i="18" s="1"/>
  <c r="V435" i="18"/>
  <c r="U435" i="18"/>
  <c r="AF435" i="18" s="1"/>
  <c r="S435" i="18"/>
  <c r="R435" i="18"/>
  <c r="Q435" i="18"/>
  <c r="O435" i="18"/>
  <c r="N435" i="18"/>
  <c r="M435" i="18"/>
  <c r="L435" i="18"/>
  <c r="AJ435" i="18" s="1"/>
  <c r="K435" i="18"/>
  <c r="AL434" i="18"/>
  <c r="AK434" i="18"/>
  <c r="AI434" i="18"/>
  <c r="AH434" i="18"/>
  <c r="AE434" i="18"/>
  <c r="AC434" i="18"/>
  <c r="AA434" i="18"/>
  <c r="AG434" i="18" s="1"/>
  <c r="Z434" i="18"/>
  <c r="W434" i="18"/>
  <c r="AD434" i="18" s="1"/>
  <c r="V434" i="18"/>
  <c r="U434" i="18"/>
  <c r="AF434" i="18" s="1"/>
  <c r="S434" i="18"/>
  <c r="R434" i="18"/>
  <c r="Q434" i="18"/>
  <c r="O434" i="18"/>
  <c r="N434" i="18"/>
  <c r="M434" i="18"/>
  <c r="L434" i="18"/>
  <c r="AJ434" i="18" s="1"/>
  <c r="K434" i="18"/>
  <c r="AL433" i="18"/>
  <c r="AK433" i="18"/>
  <c r="AI433" i="18"/>
  <c r="AH433" i="18"/>
  <c r="AG433" i="18"/>
  <c r="AC433" i="18"/>
  <c r="AE433" i="18" s="1"/>
  <c r="AA433" i="18"/>
  <c r="Z433" i="18"/>
  <c r="W433" i="18"/>
  <c r="AD433" i="18" s="1"/>
  <c r="V433" i="18"/>
  <c r="U433" i="18"/>
  <c r="AF433" i="18" s="1"/>
  <c r="S433" i="18"/>
  <c r="R433" i="18"/>
  <c r="Q433" i="18"/>
  <c r="O433" i="18"/>
  <c r="N433" i="18"/>
  <c r="M433" i="18"/>
  <c r="L433" i="18"/>
  <c r="AJ433" i="18" s="1"/>
  <c r="K433" i="18"/>
  <c r="AL432" i="18"/>
  <c r="AK432" i="18"/>
  <c r="AI432" i="18"/>
  <c r="AH432" i="18"/>
  <c r="AE432" i="18"/>
  <c r="AC432" i="18"/>
  <c r="Z432" i="18"/>
  <c r="AA432" i="18" s="1"/>
  <c r="AG432" i="18" s="1"/>
  <c r="W432" i="18"/>
  <c r="AD432" i="18" s="1"/>
  <c r="V432" i="18"/>
  <c r="U432" i="18"/>
  <c r="AF432" i="18" s="1"/>
  <c r="S432" i="18"/>
  <c r="R432" i="18"/>
  <c r="Q432" i="18"/>
  <c r="O432" i="18"/>
  <c r="N432" i="18"/>
  <c r="M432" i="18"/>
  <c r="L432" i="18"/>
  <c r="AJ432" i="18" s="1"/>
  <c r="K432" i="18"/>
  <c r="AL431" i="18"/>
  <c r="AK431" i="18"/>
  <c r="AI431" i="18"/>
  <c r="AH431" i="18"/>
  <c r="AC431" i="18"/>
  <c r="AE431" i="18" s="1"/>
  <c r="Z431" i="18"/>
  <c r="AA431" i="18" s="1"/>
  <c r="AG431" i="18" s="1"/>
  <c r="W431" i="18"/>
  <c r="AD431" i="18" s="1"/>
  <c r="V431" i="18"/>
  <c r="U431" i="18"/>
  <c r="AF431" i="18" s="1"/>
  <c r="S431" i="18"/>
  <c r="R431" i="18"/>
  <c r="Q431" i="18"/>
  <c r="O431" i="18"/>
  <c r="N431" i="18"/>
  <c r="M431" i="18"/>
  <c r="L431" i="18"/>
  <c r="AJ431" i="18" s="1"/>
  <c r="K431" i="18"/>
  <c r="AL430" i="18"/>
  <c r="AK430" i="18"/>
  <c r="AI430" i="18"/>
  <c r="AH430" i="18"/>
  <c r="AE430" i="18"/>
  <c r="AC430" i="18"/>
  <c r="Z430" i="18"/>
  <c r="AA430" i="18" s="1"/>
  <c r="AG430" i="18" s="1"/>
  <c r="W430" i="18"/>
  <c r="AD430" i="18" s="1"/>
  <c r="V430" i="18"/>
  <c r="U430" i="18"/>
  <c r="AF430" i="18" s="1"/>
  <c r="S430" i="18"/>
  <c r="R430" i="18"/>
  <c r="Q430" i="18"/>
  <c r="O430" i="18"/>
  <c r="N430" i="18"/>
  <c r="M430" i="18"/>
  <c r="L430" i="18"/>
  <c r="AJ430" i="18" s="1"/>
  <c r="K430" i="18"/>
  <c r="AL429" i="18"/>
  <c r="AK429" i="18"/>
  <c r="AI429" i="18"/>
  <c r="AH429" i="18"/>
  <c r="AC429" i="18"/>
  <c r="AE429" i="18" s="1"/>
  <c r="Z429" i="18"/>
  <c r="AA429" i="18" s="1"/>
  <c r="AG429" i="18" s="1"/>
  <c r="W429" i="18"/>
  <c r="AD429" i="18" s="1"/>
  <c r="V429" i="18"/>
  <c r="U429" i="18"/>
  <c r="AF429" i="18" s="1"/>
  <c r="S429" i="18"/>
  <c r="R429" i="18"/>
  <c r="Q429" i="18"/>
  <c r="O429" i="18"/>
  <c r="N429" i="18"/>
  <c r="M429" i="18"/>
  <c r="L429" i="18"/>
  <c r="AJ429" i="18" s="1"/>
  <c r="K429" i="18"/>
  <c r="AL428" i="18"/>
  <c r="AK428" i="18"/>
  <c r="AI428" i="18"/>
  <c r="AH428" i="18"/>
  <c r="AE428" i="18"/>
  <c r="AC428" i="18"/>
  <c r="Z428" i="18"/>
  <c r="AA428" i="18" s="1"/>
  <c r="AG428" i="18" s="1"/>
  <c r="W428" i="18"/>
  <c r="AD428" i="18" s="1"/>
  <c r="V428" i="18"/>
  <c r="U428" i="18"/>
  <c r="AF428" i="18" s="1"/>
  <c r="S428" i="18"/>
  <c r="R428" i="18"/>
  <c r="Q428" i="18"/>
  <c r="O428" i="18"/>
  <c r="N428" i="18"/>
  <c r="M428" i="18"/>
  <c r="L428" i="18"/>
  <c r="AJ428" i="18" s="1"/>
  <c r="K428" i="18"/>
  <c r="AL427" i="18"/>
  <c r="AK427" i="18"/>
  <c r="AI427" i="18"/>
  <c r="AH427" i="18"/>
  <c r="AC427" i="18"/>
  <c r="AE427" i="18" s="1"/>
  <c r="Z427" i="18"/>
  <c r="AA427" i="18" s="1"/>
  <c r="AG427" i="18" s="1"/>
  <c r="W427" i="18"/>
  <c r="AD427" i="18" s="1"/>
  <c r="V427" i="18"/>
  <c r="U427" i="18"/>
  <c r="AF427" i="18" s="1"/>
  <c r="S427" i="18"/>
  <c r="R427" i="18"/>
  <c r="Q427" i="18"/>
  <c r="O427" i="18"/>
  <c r="N427" i="18"/>
  <c r="M427" i="18"/>
  <c r="L427" i="18"/>
  <c r="AJ427" i="18" s="1"/>
  <c r="K427" i="18"/>
  <c r="AL426" i="18"/>
  <c r="AK426" i="18"/>
  <c r="AI426" i="18"/>
  <c r="AH426" i="18"/>
  <c r="AE426" i="18"/>
  <c r="AC426" i="18"/>
  <c r="Z426" i="18"/>
  <c r="AA426" i="18" s="1"/>
  <c r="AG426" i="18" s="1"/>
  <c r="W426" i="18"/>
  <c r="AD426" i="18" s="1"/>
  <c r="V426" i="18"/>
  <c r="U426" i="18"/>
  <c r="AF426" i="18" s="1"/>
  <c r="S426" i="18"/>
  <c r="R426" i="18"/>
  <c r="Q426" i="18"/>
  <c r="O426" i="18"/>
  <c r="N426" i="18"/>
  <c r="M426" i="18"/>
  <c r="L426" i="18"/>
  <c r="AJ426" i="18" s="1"/>
  <c r="K426" i="18"/>
  <c r="AL425" i="18"/>
  <c r="AK425" i="18"/>
  <c r="AI425" i="18"/>
  <c r="AH425" i="18"/>
  <c r="AC425" i="18"/>
  <c r="AE425" i="18" s="1"/>
  <c r="Z425" i="18"/>
  <c r="AA425" i="18" s="1"/>
  <c r="AG425" i="18" s="1"/>
  <c r="W425" i="18"/>
  <c r="AD425" i="18" s="1"/>
  <c r="V425" i="18"/>
  <c r="U425" i="18"/>
  <c r="AF425" i="18" s="1"/>
  <c r="S425" i="18"/>
  <c r="R425" i="18"/>
  <c r="Q425" i="18"/>
  <c r="O425" i="18"/>
  <c r="N425" i="18"/>
  <c r="M425" i="18"/>
  <c r="L425" i="18"/>
  <c r="AJ425" i="18" s="1"/>
  <c r="K425" i="18"/>
  <c r="AL424" i="18"/>
  <c r="AK424" i="18"/>
  <c r="AI424" i="18"/>
  <c r="AH424" i="18"/>
  <c r="AE424" i="18"/>
  <c r="AC424" i="18"/>
  <c r="Z424" i="18"/>
  <c r="AA424" i="18" s="1"/>
  <c r="AG424" i="18" s="1"/>
  <c r="W424" i="18"/>
  <c r="AD424" i="18" s="1"/>
  <c r="V424" i="18"/>
  <c r="U424" i="18"/>
  <c r="AF424" i="18" s="1"/>
  <c r="S424" i="18"/>
  <c r="R424" i="18"/>
  <c r="Q424" i="18"/>
  <c r="O424" i="18"/>
  <c r="N424" i="18"/>
  <c r="M424" i="18"/>
  <c r="L424" i="18"/>
  <c r="AJ424" i="18" s="1"/>
  <c r="K424" i="18"/>
  <c r="AL423" i="18"/>
  <c r="AK423" i="18"/>
  <c r="AI423" i="18"/>
  <c r="AH423" i="18"/>
  <c r="AC423" i="18"/>
  <c r="AE423" i="18" s="1"/>
  <c r="Z423" i="18"/>
  <c r="AA423" i="18" s="1"/>
  <c r="AG423" i="18" s="1"/>
  <c r="W423" i="18"/>
  <c r="AD423" i="18" s="1"/>
  <c r="V423" i="18"/>
  <c r="U423" i="18"/>
  <c r="AF423" i="18" s="1"/>
  <c r="S423" i="18"/>
  <c r="R423" i="18"/>
  <c r="Q423" i="18"/>
  <c r="O423" i="18"/>
  <c r="N423" i="18"/>
  <c r="M423" i="18"/>
  <c r="L423" i="18"/>
  <c r="AJ423" i="18" s="1"/>
  <c r="K423" i="18"/>
  <c r="AL422" i="18"/>
  <c r="AK422" i="18"/>
  <c r="AI422" i="18"/>
  <c r="AH422" i="18"/>
  <c r="AE422" i="18"/>
  <c r="AC422" i="18"/>
  <c r="Z422" i="18"/>
  <c r="AA422" i="18" s="1"/>
  <c r="AG422" i="18" s="1"/>
  <c r="W422" i="18"/>
  <c r="AD422" i="18" s="1"/>
  <c r="V422" i="18"/>
  <c r="U422" i="18"/>
  <c r="AF422" i="18" s="1"/>
  <c r="S422" i="18"/>
  <c r="R422" i="18"/>
  <c r="Q422" i="18"/>
  <c r="O422" i="18"/>
  <c r="N422" i="18"/>
  <c r="M422" i="18"/>
  <c r="L422" i="18"/>
  <c r="AJ422" i="18" s="1"/>
  <c r="K422" i="18"/>
  <c r="AL421" i="18"/>
  <c r="AK421" i="18"/>
  <c r="AI421" i="18"/>
  <c r="AH421" i="18"/>
  <c r="AC421" i="18"/>
  <c r="AE421" i="18" s="1"/>
  <c r="Z421" i="18"/>
  <c r="AA421" i="18" s="1"/>
  <c r="AG421" i="18" s="1"/>
  <c r="W421" i="18"/>
  <c r="AD421" i="18" s="1"/>
  <c r="V421" i="18"/>
  <c r="U421" i="18"/>
  <c r="AF421" i="18" s="1"/>
  <c r="S421" i="18"/>
  <c r="R421" i="18"/>
  <c r="Q421" i="18"/>
  <c r="O421" i="18"/>
  <c r="N421" i="18"/>
  <c r="M421" i="18"/>
  <c r="L421" i="18"/>
  <c r="AJ421" i="18" s="1"/>
  <c r="K421" i="18"/>
  <c r="X420" i="18"/>
  <c r="P420" i="18"/>
  <c r="L420" i="18"/>
  <c r="AK420" i="18" s="1"/>
  <c r="L419" i="18"/>
  <c r="AJ418" i="18"/>
  <c r="X418" i="18"/>
  <c r="T418" i="18"/>
  <c r="P418" i="18"/>
  <c r="L418" i="18"/>
  <c r="AJ417" i="18"/>
  <c r="T417" i="18"/>
  <c r="L417" i="18"/>
  <c r="X417" i="18" s="1"/>
  <c r="X416" i="18"/>
  <c r="P416" i="18"/>
  <c r="L416" i="18"/>
  <c r="AJ416" i="18" s="1"/>
  <c r="L415" i="18"/>
  <c r="AJ414" i="18"/>
  <c r="X414" i="18"/>
  <c r="T414" i="18"/>
  <c r="P414" i="18"/>
  <c r="L414" i="18"/>
  <c r="AJ413" i="18"/>
  <c r="T413" i="18"/>
  <c r="L413" i="18"/>
  <c r="X413" i="18" s="1"/>
  <c r="X412" i="18"/>
  <c r="P412" i="18"/>
  <c r="L412" i="18"/>
  <c r="AJ412" i="18" s="1"/>
  <c r="X411" i="18"/>
  <c r="P411" i="18"/>
  <c r="L411" i="18"/>
  <c r="AH411" i="18" s="1"/>
  <c r="L410" i="18"/>
  <c r="AJ410" i="18" s="1"/>
  <c r="X409" i="18"/>
  <c r="P409" i="18"/>
  <c r="L409" i="18"/>
  <c r="AH409" i="18" s="1"/>
  <c r="L408" i="18"/>
  <c r="AJ408" i="18" s="1"/>
  <c r="X407" i="18"/>
  <c r="P407" i="18"/>
  <c r="L407" i="18"/>
  <c r="AH407" i="18" s="1"/>
  <c r="L406" i="18"/>
  <c r="AJ406" i="18" s="1"/>
  <c r="X405" i="18"/>
  <c r="P405" i="18"/>
  <c r="L405" i="18"/>
  <c r="AH405" i="18" s="1"/>
  <c r="L404" i="18"/>
  <c r="AJ404" i="18" s="1"/>
  <c r="X403" i="18"/>
  <c r="P403" i="18"/>
  <c r="L403" i="18"/>
  <c r="AH403" i="18" s="1"/>
  <c r="L402" i="18"/>
  <c r="AJ402" i="18" s="1"/>
  <c r="X401" i="18"/>
  <c r="P401" i="18"/>
  <c r="L401" i="18"/>
  <c r="AH401" i="18" s="1"/>
  <c r="L400" i="18"/>
  <c r="AJ400" i="18" s="1"/>
  <c r="X399" i="18"/>
  <c r="P399" i="18"/>
  <c r="L399" i="18"/>
  <c r="AH399" i="18" s="1"/>
  <c r="L398" i="18"/>
  <c r="AJ398" i="18" s="1"/>
  <c r="X397" i="18"/>
  <c r="P397" i="18"/>
  <c r="L397" i="18"/>
  <c r="AH397" i="18" s="1"/>
  <c r="L396" i="18"/>
  <c r="AJ396" i="18" s="1"/>
  <c r="X395" i="18"/>
  <c r="P395" i="18"/>
  <c r="L395" i="18"/>
  <c r="AH395" i="18" s="1"/>
  <c r="L394" i="18"/>
  <c r="AJ394" i="18" s="1"/>
  <c r="X393" i="18"/>
  <c r="P393" i="18"/>
  <c r="L393" i="18"/>
  <c r="AH393" i="18" s="1"/>
  <c r="L392" i="18"/>
  <c r="AJ392" i="18" s="1"/>
  <c r="X391" i="18"/>
  <c r="P391" i="18"/>
  <c r="L391" i="18"/>
  <c r="AH391" i="18" s="1"/>
  <c r="L390" i="18"/>
  <c r="AJ390" i="18" s="1"/>
  <c r="X389" i="18"/>
  <c r="P389" i="18"/>
  <c r="L389" i="18"/>
  <c r="AH389" i="18" s="1"/>
  <c r="L388" i="18"/>
  <c r="AJ388" i="18" s="1"/>
  <c r="X387" i="18"/>
  <c r="P387" i="18"/>
  <c r="L387" i="18"/>
  <c r="AH387" i="18" s="1"/>
  <c r="L386" i="18"/>
  <c r="AJ386" i="18" s="1"/>
  <c r="X385" i="18"/>
  <c r="P385" i="18"/>
  <c r="L385" i="18"/>
  <c r="AH385" i="18" s="1"/>
  <c r="L384" i="18"/>
  <c r="AJ384" i="18" s="1"/>
  <c r="X383" i="18"/>
  <c r="P383" i="18"/>
  <c r="L383" i="18"/>
  <c r="AH383" i="18" s="1"/>
  <c r="L382" i="18"/>
  <c r="AJ382" i="18" s="1"/>
  <c r="X381" i="18"/>
  <c r="P381" i="18"/>
  <c r="L381" i="18"/>
  <c r="AH381" i="18" s="1"/>
  <c r="L380" i="18"/>
  <c r="AJ380" i="18" s="1"/>
  <c r="L379" i="18"/>
  <c r="AJ378" i="18"/>
  <c r="X378" i="18"/>
  <c r="T378" i="18"/>
  <c r="P378" i="18"/>
  <c r="L378" i="18"/>
  <c r="AJ377" i="18"/>
  <c r="Z377" i="18"/>
  <c r="X377" i="18"/>
  <c r="V377" i="18"/>
  <c r="R377" i="18"/>
  <c r="P377" i="18"/>
  <c r="N377" i="18"/>
  <c r="L377" i="18"/>
  <c r="AL376" i="18"/>
  <c r="AH376" i="18"/>
  <c r="Z376" i="18"/>
  <c r="V376" i="18"/>
  <c r="R376" i="18"/>
  <c r="N376" i="18"/>
  <c r="L376" i="18"/>
  <c r="X376" i="18" s="1"/>
  <c r="AL375" i="18"/>
  <c r="AH375" i="18"/>
  <c r="Z375" i="18"/>
  <c r="X375" i="18"/>
  <c r="V375" i="18"/>
  <c r="R375" i="18"/>
  <c r="P375" i="18"/>
  <c r="N375" i="18"/>
  <c r="L375" i="18"/>
  <c r="AL374" i="18"/>
  <c r="AH374" i="18"/>
  <c r="Z374" i="18"/>
  <c r="V374" i="18"/>
  <c r="R374" i="18"/>
  <c r="N374" i="18"/>
  <c r="L374" i="18"/>
  <c r="X374" i="18" s="1"/>
  <c r="AL373" i="18"/>
  <c r="AH373" i="18"/>
  <c r="Z373" i="18"/>
  <c r="X373" i="18"/>
  <c r="V373" i="18"/>
  <c r="R373" i="18"/>
  <c r="P373" i="18"/>
  <c r="N373" i="18"/>
  <c r="L373" i="18"/>
  <c r="AL372" i="18"/>
  <c r="AH372" i="18"/>
  <c r="Z372" i="18"/>
  <c r="V372" i="18"/>
  <c r="R372" i="18"/>
  <c r="N372" i="18"/>
  <c r="L372" i="18"/>
  <c r="X372" i="18" s="1"/>
  <c r="AL371" i="18"/>
  <c r="AH371" i="18"/>
  <c r="Z371" i="18"/>
  <c r="X371" i="18"/>
  <c r="V371" i="18"/>
  <c r="R371" i="18"/>
  <c r="P371" i="18"/>
  <c r="N371" i="18"/>
  <c r="L371" i="18"/>
  <c r="AL370" i="18"/>
  <c r="AH370" i="18"/>
  <c r="Z370" i="18"/>
  <c r="V370" i="18"/>
  <c r="R370" i="18"/>
  <c r="N370" i="18"/>
  <c r="L370" i="18"/>
  <c r="X370" i="18" s="1"/>
  <c r="AL369" i="18"/>
  <c r="AH369" i="18"/>
  <c r="Z369" i="18"/>
  <c r="X369" i="18"/>
  <c r="V369" i="18"/>
  <c r="R369" i="18"/>
  <c r="P369" i="18"/>
  <c r="N369" i="18"/>
  <c r="L369" i="18"/>
  <c r="AL368" i="18"/>
  <c r="AH368" i="18"/>
  <c r="Z368" i="18"/>
  <c r="V368" i="18"/>
  <c r="R368" i="18"/>
  <c r="N368" i="18"/>
  <c r="L368" i="18"/>
  <c r="X368" i="18" s="1"/>
  <c r="AL367" i="18"/>
  <c r="AH367" i="18"/>
  <c r="Z367" i="18"/>
  <c r="X367" i="18"/>
  <c r="V367" i="18"/>
  <c r="R367" i="18"/>
  <c r="P367" i="18"/>
  <c r="N367" i="18"/>
  <c r="L367" i="18"/>
  <c r="AL366" i="18"/>
  <c r="AH366" i="18"/>
  <c r="Z366" i="18"/>
  <c r="V366" i="18"/>
  <c r="R366" i="18"/>
  <c r="N366" i="18"/>
  <c r="L366" i="18"/>
  <c r="X366" i="18" s="1"/>
  <c r="AL365" i="18"/>
  <c r="AH365" i="18"/>
  <c r="Z365" i="18"/>
  <c r="X365" i="18"/>
  <c r="V365" i="18"/>
  <c r="R365" i="18"/>
  <c r="P365" i="18"/>
  <c r="N365" i="18"/>
  <c r="L365" i="18"/>
  <c r="AL364" i="18"/>
  <c r="AH364" i="18"/>
  <c r="Z364" i="18"/>
  <c r="V364" i="18"/>
  <c r="R364" i="18"/>
  <c r="N364" i="18"/>
  <c r="L364" i="18"/>
  <c r="X364" i="18" s="1"/>
  <c r="AL363" i="18"/>
  <c r="AH363" i="18"/>
  <c r="Z363" i="18"/>
  <c r="X363" i="18"/>
  <c r="V363" i="18"/>
  <c r="R363" i="18"/>
  <c r="P363" i="18"/>
  <c r="N363" i="18"/>
  <c r="L363" i="18"/>
  <c r="AL362" i="18"/>
  <c r="AH362" i="18"/>
  <c r="Z362" i="18"/>
  <c r="V362" i="18"/>
  <c r="R362" i="18"/>
  <c r="N362" i="18"/>
  <c r="L362" i="18"/>
  <c r="X362" i="18" s="1"/>
  <c r="AL361" i="18"/>
  <c r="AH361" i="18"/>
  <c r="Z361" i="18"/>
  <c r="X361" i="18"/>
  <c r="V361" i="18"/>
  <c r="R361" i="18"/>
  <c r="P361" i="18"/>
  <c r="N361" i="18"/>
  <c r="L361" i="18"/>
  <c r="AL360" i="18"/>
  <c r="AH360" i="18"/>
  <c r="Z360" i="18"/>
  <c r="V360" i="18"/>
  <c r="R360" i="18"/>
  <c r="N360" i="18"/>
  <c r="L360" i="18"/>
  <c r="X360" i="18" s="1"/>
  <c r="AL359" i="18"/>
  <c r="AH359" i="18"/>
  <c r="Z359" i="18"/>
  <c r="X359" i="18"/>
  <c r="V359" i="18"/>
  <c r="R359" i="18"/>
  <c r="P359" i="18"/>
  <c r="N359" i="18"/>
  <c r="L359" i="18"/>
  <c r="AL358" i="18"/>
  <c r="AH358" i="18"/>
  <c r="Z358" i="18"/>
  <c r="V358" i="18"/>
  <c r="R358" i="18"/>
  <c r="N358" i="18"/>
  <c r="L358" i="18"/>
  <c r="X358" i="18" s="1"/>
  <c r="AL357" i="18"/>
  <c r="AH357" i="18"/>
  <c r="Z357" i="18"/>
  <c r="X357" i="18"/>
  <c r="V357" i="18"/>
  <c r="R357" i="18"/>
  <c r="P357" i="18"/>
  <c r="N357" i="18"/>
  <c r="L357" i="18"/>
  <c r="AL356" i="18"/>
  <c r="AH356" i="18"/>
  <c r="Z356" i="18"/>
  <c r="V356" i="18"/>
  <c r="R356" i="18"/>
  <c r="N356" i="18"/>
  <c r="L356" i="18"/>
  <c r="X356" i="18" s="1"/>
  <c r="AL355" i="18"/>
  <c r="AH355" i="18"/>
  <c r="Z355" i="18"/>
  <c r="X355" i="18"/>
  <c r="V355" i="18"/>
  <c r="R355" i="18"/>
  <c r="P355" i="18"/>
  <c r="N355" i="18"/>
  <c r="L355" i="18"/>
  <c r="AL354" i="18"/>
  <c r="AH354" i="18"/>
  <c r="Z354" i="18"/>
  <c r="V354" i="18"/>
  <c r="R354" i="18"/>
  <c r="N354" i="18"/>
  <c r="L354" i="18"/>
  <c r="X354" i="18" s="1"/>
  <c r="AL353" i="18"/>
  <c r="AH353" i="18"/>
  <c r="Z353" i="18"/>
  <c r="X353" i="18"/>
  <c r="V353" i="18"/>
  <c r="R353" i="18"/>
  <c r="P353" i="18"/>
  <c r="N353" i="18"/>
  <c r="L353" i="18"/>
  <c r="AL352" i="18"/>
  <c r="AH352" i="18"/>
  <c r="Z352" i="18"/>
  <c r="V352" i="18"/>
  <c r="R352" i="18"/>
  <c r="N352" i="18"/>
  <c r="L352" i="18"/>
  <c r="X352" i="18" s="1"/>
  <c r="AL351" i="18"/>
  <c r="AH351" i="18"/>
  <c r="Z351" i="18"/>
  <c r="X351" i="18"/>
  <c r="V351" i="18"/>
  <c r="R351" i="18"/>
  <c r="P351" i="18"/>
  <c r="N351" i="18"/>
  <c r="L351" i="18"/>
  <c r="AL350" i="18"/>
  <c r="AH350" i="18"/>
  <c r="Z350" i="18"/>
  <c r="V350" i="18"/>
  <c r="R350" i="18"/>
  <c r="N350" i="18"/>
  <c r="L350" i="18"/>
  <c r="X350" i="18" s="1"/>
  <c r="AL349" i="18"/>
  <c r="AH349" i="18"/>
  <c r="Z349" i="18"/>
  <c r="X349" i="18"/>
  <c r="V349" i="18"/>
  <c r="R349" i="18"/>
  <c r="P349" i="18"/>
  <c r="N349" i="18"/>
  <c r="L349" i="18"/>
  <c r="AL348" i="18"/>
  <c r="AH348" i="18"/>
  <c r="AD348" i="18"/>
  <c r="W348" i="18"/>
  <c r="U348" i="18"/>
  <c r="AF348" i="18" s="1"/>
  <c r="S348" i="18"/>
  <c r="Q348" i="18"/>
  <c r="O348" i="18"/>
  <c r="M348" i="18"/>
  <c r="L348" i="18"/>
  <c r="Z348" i="18" s="1"/>
  <c r="K348" i="18"/>
  <c r="AK347" i="18"/>
  <c r="AI347" i="18"/>
  <c r="AC347" i="18"/>
  <c r="AE347" i="18" s="1"/>
  <c r="W347" i="18"/>
  <c r="AD347" i="18" s="1"/>
  <c r="U347" i="18"/>
  <c r="AF347" i="18" s="1"/>
  <c r="S347" i="18"/>
  <c r="Q347" i="18"/>
  <c r="O347" i="18"/>
  <c r="M347" i="18"/>
  <c r="L347" i="18"/>
  <c r="AJ347" i="18" s="1"/>
  <c r="K347" i="18"/>
  <c r="AK346" i="18"/>
  <c r="AI346" i="18"/>
  <c r="AC346" i="18"/>
  <c r="AE346" i="18" s="1"/>
  <c r="W346" i="18"/>
  <c r="AD346" i="18" s="1"/>
  <c r="U346" i="18"/>
  <c r="AF346" i="18" s="1"/>
  <c r="S346" i="18"/>
  <c r="Q346" i="18"/>
  <c r="O346" i="18"/>
  <c r="M346" i="18"/>
  <c r="L346" i="18"/>
  <c r="AJ346" i="18" s="1"/>
  <c r="K346" i="18"/>
  <c r="AK345" i="18"/>
  <c r="AI345" i="18"/>
  <c r="AC345" i="18"/>
  <c r="AE345" i="18" s="1"/>
  <c r="W345" i="18"/>
  <c r="AD345" i="18" s="1"/>
  <c r="U345" i="18"/>
  <c r="AF345" i="18" s="1"/>
  <c r="S345" i="18"/>
  <c r="Q345" i="18"/>
  <c r="O345" i="18"/>
  <c r="M345" i="18"/>
  <c r="L345" i="18"/>
  <c r="AJ345" i="18" s="1"/>
  <c r="K345" i="18"/>
  <c r="AK344" i="18"/>
  <c r="AI344" i="18"/>
  <c r="AC344" i="18"/>
  <c r="AE344" i="18" s="1"/>
  <c r="W344" i="18"/>
  <c r="AD344" i="18" s="1"/>
  <c r="U344" i="18"/>
  <c r="AF344" i="18" s="1"/>
  <c r="S344" i="18"/>
  <c r="Q344" i="18"/>
  <c r="O344" i="18"/>
  <c r="M344" i="18"/>
  <c r="L344" i="18"/>
  <c r="AJ344" i="18" s="1"/>
  <c r="K344" i="18"/>
  <c r="AK343" i="18"/>
  <c r="AI343" i="18"/>
  <c r="AC343" i="18"/>
  <c r="AE343" i="18" s="1"/>
  <c r="W343" i="18"/>
  <c r="AD343" i="18" s="1"/>
  <c r="U343" i="18"/>
  <c r="AF343" i="18" s="1"/>
  <c r="S343" i="18"/>
  <c r="Q343" i="18"/>
  <c r="O343" i="18"/>
  <c r="M343" i="18"/>
  <c r="L343" i="18"/>
  <c r="AJ343" i="18" s="1"/>
  <c r="K343" i="18"/>
  <c r="AK342" i="18"/>
  <c r="AI342" i="18"/>
  <c r="AC342" i="18"/>
  <c r="AE342" i="18" s="1"/>
  <c r="W342" i="18"/>
  <c r="AD342" i="18" s="1"/>
  <c r="U342" i="18"/>
  <c r="AF342" i="18" s="1"/>
  <c r="S342" i="18"/>
  <c r="Q342" i="18"/>
  <c r="O342" i="18"/>
  <c r="M342" i="18"/>
  <c r="L342" i="18"/>
  <c r="AJ342" i="18" s="1"/>
  <c r="K342" i="18"/>
  <c r="AK341" i="18"/>
  <c r="AI341" i="18"/>
  <c r="AC341" i="18"/>
  <c r="AE341" i="18" s="1"/>
  <c r="W341" i="18"/>
  <c r="AD341" i="18" s="1"/>
  <c r="U341" i="18"/>
  <c r="AF341" i="18" s="1"/>
  <c r="S341" i="18"/>
  <c r="Q341" i="18"/>
  <c r="O341" i="18"/>
  <c r="M341" i="18"/>
  <c r="L341" i="18"/>
  <c r="AJ341" i="18" s="1"/>
  <c r="K341" i="18"/>
  <c r="AK340" i="18"/>
  <c r="AI340" i="18"/>
  <c r="AC340" i="18"/>
  <c r="AE340" i="18" s="1"/>
  <c r="W340" i="18"/>
  <c r="AD340" i="18" s="1"/>
  <c r="U340" i="18"/>
  <c r="AF340" i="18" s="1"/>
  <c r="S340" i="18"/>
  <c r="Q340" i="18"/>
  <c r="O340" i="18"/>
  <c r="M340" i="18"/>
  <c r="L340" i="18"/>
  <c r="AJ340" i="18" s="1"/>
  <c r="K340" i="18"/>
  <c r="AK339" i="18"/>
  <c r="AI339" i="18"/>
  <c r="AC339" i="18"/>
  <c r="AE339" i="18" s="1"/>
  <c r="W339" i="18"/>
  <c r="AD339" i="18" s="1"/>
  <c r="U339" i="18"/>
  <c r="AF339" i="18" s="1"/>
  <c r="S339" i="18"/>
  <c r="Q339" i="18"/>
  <c r="O339" i="18"/>
  <c r="M339" i="18"/>
  <c r="L339" i="18"/>
  <c r="AJ339" i="18" s="1"/>
  <c r="K339" i="18"/>
  <c r="AK338" i="18"/>
  <c r="AI338" i="18"/>
  <c r="AC338" i="18"/>
  <c r="AE338" i="18" s="1"/>
  <c r="W338" i="18"/>
  <c r="AD338" i="18" s="1"/>
  <c r="U338" i="18"/>
  <c r="AF338" i="18" s="1"/>
  <c r="S338" i="18"/>
  <c r="Q338" i="18"/>
  <c r="O338" i="18"/>
  <c r="M338" i="18"/>
  <c r="L338" i="18"/>
  <c r="AJ338" i="18" s="1"/>
  <c r="K338" i="18"/>
  <c r="AK337" i="18"/>
  <c r="AI337" i="18"/>
  <c r="AC337" i="18"/>
  <c r="AE337" i="18" s="1"/>
  <c r="W337" i="18"/>
  <c r="AD337" i="18" s="1"/>
  <c r="U337" i="18"/>
  <c r="AF337" i="18" s="1"/>
  <c r="S337" i="18"/>
  <c r="Q337" i="18"/>
  <c r="O337" i="18"/>
  <c r="M337" i="18"/>
  <c r="L337" i="18"/>
  <c r="AJ337" i="18" s="1"/>
  <c r="K337" i="18"/>
  <c r="AK336" i="18"/>
  <c r="AI336" i="18"/>
  <c r="AC336" i="18"/>
  <c r="AE336" i="18" s="1"/>
  <c r="W336" i="18"/>
  <c r="AD336" i="18" s="1"/>
  <c r="U336" i="18"/>
  <c r="AF336" i="18" s="1"/>
  <c r="S336" i="18"/>
  <c r="Q336" i="18"/>
  <c r="O336" i="18"/>
  <c r="M336" i="18"/>
  <c r="L336" i="18"/>
  <c r="AJ336" i="18" s="1"/>
  <c r="K336" i="18"/>
  <c r="AK335" i="18"/>
  <c r="AI335" i="18"/>
  <c r="AC335" i="18"/>
  <c r="AE335" i="18" s="1"/>
  <c r="W335" i="18"/>
  <c r="AD335" i="18" s="1"/>
  <c r="U335" i="18"/>
  <c r="AF335" i="18" s="1"/>
  <c r="S335" i="18"/>
  <c r="Q335" i="18"/>
  <c r="O335" i="18"/>
  <c r="M335" i="18"/>
  <c r="L335" i="18"/>
  <c r="AJ335" i="18" s="1"/>
  <c r="K335" i="18"/>
  <c r="AK334" i="18"/>
  <c r="AI334" i="18"/>
  <c r="AE334" i="18"/>
  <c r="AC334" i="18"/>
  <c r="W334" i="18"/>
  <c r="AD334" i="18" s="1"/>
  <c r="U334" i="18"/>
  <c r="AF334" i="18" s="1"/>
  <c r="S334" i="18"/>
  <c r="Q334" i="18"/>
  <c r="O334" i="18"/>
  <c r="M334" i="18"/>
  <c r="L334" i="18"/>
  <c r="AJ334" i="18" s="1"/>
  <c r="K334" i="18"/>
  <c r="AK333" i="18"/>
  <c r="AI333" i="18"/>
  <c r="AC333" i="18"/>
  <c r="AE333" i="18" s="1"/>
  <c r="W333" i="18"/>
  <c r="AD333" i="18" s="1"/>
  <c r="U333" i="18"/>
  <c r="AF333" i="18" s="1"/>
  <c r="S333" i="18"/>
  <c r="Q333" i="18"/>
  <c r="O333" i="18"/>
  <c r="M333" i="18"/>
  <c r="L333" i="18"/>
  <c r="AJ333" i="18" s="1"/>
  <c r="K333" i="18"/>
  <c r="AK332" i="18"/>
  <c r="AI332" i="18"/>
  <c r="AE332" i="18"/>
  <c r="AC332" i="18"/>
  <c r="W332" i="18"/>
  <c r="AD332" i="18" s="1"/>
  <c r="U332" i="18"/>
  <c r="AF332" i="18" s="1"/>
  <c r="S332" i="18"/>
  <c r="Q332" i="18"/>
  <c r="O332" i="18"/>
  <c r="M332" i="18"/>
  <c r="L332" i="18"/>
  <c r="AJ332" i="18" s="1"/>
  <c r="K332" i="18"/>
  <c r="AK331" i="18"/>
  <c r="AI331" i="18"/>
  <c r="AC331" i="18"/>
  <c r="AE331" i="18" s="1"/>
  <c r="W331" i="18"/>
  <c r="AD331" i="18" s="1"/>
  <c r="U331" i="18"/>
  <c r="AF331" i="18" s="1"/>
  <c r="S331" i="18"/>
  <c r="Q331" i="18"/>
  <c r="O331" i="18"/>
  <c r="M331" i="18"/>
  <c r="L331" i="18"/>
  <c r="AJ331" i="18" s="1"/>
  <c r="K331" i="18"/>
  <c r="AK330" i="18"/>
  <c r="AI330" i="18"/>
  <c r="AE330" i="18"/>
  <c r="AC330" i="18"/>
  <c r="W330" i="18"/>
  <c r="AD330" i="18" s="1"/>
  <c r="U330" i="18"/>
  <c r="AF330" i="18" s="1"/>
  <c r="S330" i="18"/>
  <c r="Q330" i="18"/>
  <c r="O330" i="18"/>
  <c r="M330" i="18"/>
  <c r="L330" i="18"/>
  <c r="AJ330" i="18" s="1"/>
  <c r="K330" i="18"/>
  <c r="AK329" i="18"/>
  <c r="AI329" i="18"/>
  <c r="AC329" i="18"/>
  <c r="AE329" i="18" s="1"/>
  <c r="W329" i="18"/>
  <c r="AD329" i="18" s="1"/>
  <c r="U329" i="18"/>
  <c r="AF329" i="18" s="1"/>
  <c r="S329" i="18"/>
  <c r="Q329" i="18"/>
  <c r="O329" i="18"/>
  <c r="M329" i="18"/>
  <c r="L329" i="18"/>
  <c r="AJ329" i="18" s="1"/>
  <c r="K329" i="18"/>
  <c r="AK328" i="18"/>
  <c r="AI328" i="18"/>
  <c r="AE328" i="18"/>
  <c r="AC328" i="18"/>
  <c r="W328" i="18"/>
  <c r="AD328" i="18" s="1"/>
  <c r="U328" i="18"/>
  <c r="AF328" i="18" s="1"/>
  <c r="S328" i="18"/>
  <c r="Q328" i="18"/>
  <c r="O328" i="18"/>
  <c r="M328" i="18"/>
  <c r="L328" i="18"/>
  <c r="AJ328" i="18" s="1"/>
  <c r="K328" i="18"/>
  <c r="AK327" i="18"/>
  <c r="AI327" i="18"/>
  <c r="AC327" i="18"/>
  <c r="AE327" i="18" s="1"/>
  <c r="W327" i="18"/>
  <c r="AD327" i="18" s="1"/>
  <c r="U327" i="18"/>
  <c r="AF327" i="18" s="1"/>
  <c r="S327" i="18"/>
  <c r="Q327" i="18"/>
  <c r="O327" i="18"/>
  <c r="M327" i="18"/>
  <c r="L327" i="18"/>
  <c r="AJ327" i="18" s="1"/>
  <c r="K327" i="18"/>
  <c r="AK326" i="18"/>
  <c r="AI326" i="18"/>
  <c r="AE326" i="18"/>
  <c r="AC326" i="18"/>
  <c r="W326" i="18"/>
  <c r="AD326" i="18" s="1"/>
  <c r="U326" i="18"/>
  <c r="AF326" i="18" s="1"/>
  <c r="S326" i="18"/>
  <c r="Q326" i="18"/>
  <c r="O326" i="18"/>
  <c r="M326" i="18"/>
  <c r="L326" i="18"/>
  <c r="AJ326" i="18" s="1"/>
  <c r="K326" i="18"/>
  <c r="AK325" i="18"/>
  <c r="AI325" i="18"/>
  <c r="AC325" i="18"/>
  <c r="AE325" i="18" s="1"/>
  <c r="W325" i="18"/>
  <c r="AD325" i="18" s="1"/>
  <c r="U325" i="18"/>
  <c r="AF325" i="18" s="1"/>
  <c r="S325" i="18"/>
  <c r="Q325" i="18"/>
  <c r="O325" i="18"/>
  <c r="M325" i="18"/>
  <c r="L325" i="18"/>
  <c r="AJ325" i="18" s="1"/>
  <c r="K325" i="18"/>
  <c r="AK324" i="18"/>
  <c r="AI324" i="18"/>
  <c r="AE324" i="18"/>
  <c r="AC324" i="18"/>
  <c r="W324" i="18"/>
  <c r="AD324" i="18" s="1"/>
  <c r="U324" i="18"/>
  <c r="AF324" i="18" s="1"/>
  <c r="S324" i="18"/>
  <c r="Q324" i="18"/>
  <c r="O324" i="18"/>
  <c r="M324" i="18"/>
  <c r="L324" i="18"/>
  <c r="AJ324" i="18" s="1"/>
  <c r="K324" i="18"/>
  <c r="AK323" i="18"/>
  <c r="AI323" i="18"/>
  <c r="AC323" i="18"/>
  <c r="AE323" i="18" s="1"/>
  <c r="W323" i="18"/>
  <c r="AD323" i="18" s="1"/>
  <c r="U323" i="18"/>
  <c r="AF323" i="18" s="1"/>
  <c r="S323" i="18"/>
  <c r="Q323" i="18"/>
  <c r="O323" i="18"/>
  <c r="M323" i="18"/>
  <c r="L323" i="18"/>
  <c r="AJ323" i="18" s="1"/>
  <c r="K323" i="18"/>
  <c r="AK322" i="18"/>
  <c r="AI322" i="18"/>
  <c r="AE322" i="18"/>
  <c r="AC322" i="18"/>
  <c r="W322" i="18"/>
  <c r="AD322" i="18" s="1"/>
  <c r="U322" i="18"/>
  <c r="AF322" i="18" s="1"/>
  <c r="S322" i="18"/>
  <c r="Q322" i="18"/>
  <c r="O322" i="18"/>
  <c r="M322" i="18"/>
  <c r="L322" i="18"/>
  <c r="AJ322" i="18" s="1"/>
  <c r="K322" i="18"/>
  <c r="AK321" i="18"/>
  <c r="AI321" i="18"/>
  <c r="AC321" i="18"/>
  <c r="AE321" i="18" s="1"/>
  <c r="W321" i="18"/>
  <c r="AD321" i="18" s="1"/>
  <c r="U321" i="18"/>
  <c r="AF321" i="18" s="1"/>
  <c r="S321" i="18"/>
  <c r="Q321" i="18"/>
  <c r="O321" i="18"/>
  <c r="M321" i="18"/>
  <c r="L321" i="18"/>
  <c r="AJ321" i="18" s="1"/>
  <c r="K321" i="18"/>
  <c r="AK320" i="18"/>
  <c r="AI320" i="18"/>
  <c r="AE320" i="18"/>
  <c r="AC320" i="18"/>
  <c r="W320" i="18"/>
  <c r="AD320" i="18" s="1"/>
  <c r="U320" i="18"/>
  <c r="AF320" i="18" s="1"/>
  <c r="S320" i="18"/>
  <c r="Q320" i="18"/>
  <c r="O320" i="18"/>
  <c r="M320" i="18"/>
  <c r="L320" i="18"/>
  <c r="AJ320" i="18" s="1"/>
  <c r="K320" i="18"/>
  <c r="AK319" i="18"/>
  <c r="AI319" i="18"/>
  <c r="AC319" i="18"/>
  <c r="AE319" i="18" s="1"/>
  <c r="W319" i="18"/>
  <c r="AD319" i="18" s="1"/>
  <c r="U319" i="18"/>
  <c r="AF319" i="18" s="1"/>
  <c r="S319" i="18"/>
  <c r="Q319" i="18"/>
  <c r="O319" i="18"/>
  <c r="M319" i="18"/>
  <c r="L319" i="18"/>
  <c r="AJ319" i="18" s="1"/>
  <c r="K319" i="18"/>
  <c r="AK318" i="18"/>
  <c r="AI318" i="18"/>
  <c r="AE318" i="18"/>
  <c r="AC318" i="18"/>
  <c r="W318" i="18"/>
  <c r="AD318" i="18" s="1"/>
  <c r="U318" i="18"/>
  <c r="AF318" i="18" s="1"/>
  <c r="S318" i="18"/>
  <c r="Q318" i="18"/>
  <c r="O318" i="18"/>
  <c r="M318" i="18"/>
  <c r="L318" i="18"/>
  <c r="AJ318" i="18" s="1"/>
  <c r="K318" i="18"/>
  <c r="AK317" i="18"/>
  <c r="AI317" i="18"/>
  <c r="AC317" i="18"/>
  <c r="AE317" i="18" s="1"/>
  <c r="W317" i="18"/>
  <c r="AD317" i="18" s="1"/>
  <c r="U317" i="18"/>
  <c r="AF317" i="18" s="1"/>
  <c r="S317" i="18"/>
  <c r="Q317" i="18"/>
  <c r="O317" i="18"/>
  <c r="M317" i="18"/>
  <c r="L317" i="18"/>
  <c r="AJ317" i="18" s="1"/>
  <c r="K317" i="18"/>
  <c r="AK316" i="18"/>
  <c r="AI316" i="18"/>
  <c r="AE316" i="18"/>
  <c r="AC316" i="18"/>
  <c r="W316" i="18"/>
  <c r="AD316" i="18" s="1"/>
  <c r="U316" i="18"/>
  <c r="AF316" i="18" s="1"/>
  <c r="S316" i="18"/>
  <c r="Q316" i="18"/>
  <c r="O316" i="18"/>
  <c r="M316" i="18"/>
  <c r="L316" i="18"/>
  <c r="AJ316" i="18" s="1"/>
  <c r="K316" i="18"/>
  <c r="AK315" i="18"/>
  <c r="AI315" i="18"/>
  <c r="AC315" i="18"/>
  <c r="AE315" i="18" s="1"/>
  <c r="W315" i="18"/>
  <c r="AD315" i="18" s="1"/>
  <c r="U315" i="18"/>
  <c r="AF315" i="18" s="1"/>
  <c r="S315" i="18"/>
  <c r="Q315" i="18"/>
  <c r="O315" i="18"/>
  <c r="M315" i="18"/>
  <c r="L315" i="18"/>
  <c r="AJ315" i="18" s="1"/>
  <c r="K315" i="18"/>
  <c r="AK314" i="18"/>
  <c r="AI314" i="18"/>
  <c r="AE314" i="18"/>
  <c r="AC314" i="18"/>
  <c r="W314" i="18"/>
  <c r="AD314" i="18" s="1"/>
  <c r="U314" i="18"/>
  <c r="AF314" i="18" s="1"/>
  <c r="S314" i="18"/>
  <c r="Q314" i="18"/>
  <c r="O314" i="18"/>
  <c r="M314" i="18"/>
  <c r="L314" i="18"/>
  <c r="AJ314" i="18" s="1"/>
  <c r="K314" i="18"/>
  <c r="AK313" i="18"/>
  <c r="AI313" i="18"/>
  <c r="AC313" i="18"/>
  <c r="AE313" i="18" s="1"/>
  <c r="W313" i="18"/>
  <c r="AD313" i="18" s="1"/>
  <c r="U313" i="18"/>
  <c r="AF313" i="18" s="1"/>
  <c r="S313" i="18"/>
  <c r="Q313" i="18"/>
  <c r="O313" i="18"/>
  <c r="M313" i="18"/>
  <c r="L313" i="18"/>
  <c r="AJ313" i="18" s="1"/>
  <c r="K313" i="18"/>
  <c r="AK312" i="18"/>
  <c r="AI312" i="18"/>
  <c r="AE312" i="18"/>
  <c r="AC312" i="18"/>
  <c r="W312" i="18"/>
  <c r="AD312" i="18" s="1"/>
  <c r="U312" i="18"/>
  <c r="AF312" i="18" s="1"/>
  <c r="S312" i="18"/>
  <c r="Q312" i="18"/>
  <c r="O312" i="18"/>
  <c r="M312" i="18"/>
  <c r="L312" i="18"/>
  <c r="AJ312" i="18" s="1"/>
  <c r="K312" i="18"/>
  <c r="AK311" i="18"/>
  <c r="AI311" i="18"/>
  <c r="AC311" i="18"/>
  <c r="AE311" i="18" s="1"/>
  <c r="W311" i="18"/>
  <c r="AD311" i="18" s="1"/>
  <c r="U311" i="18"/>
  <c r="AF311" i="18" s="1"/>
  <c r="S311" i="18"/>
  <c r="Q311" i="18"/>
  <c r="O311" i="18"/>
  <c r="M311" i="18"/>
  <c r="L311" i="18"/>
  <c r="AJ311" i="18" s="1"/>
  <c r="K311" i="18"/>
  <c r="AK310" i="18"/>
  <c r="AI310" i="18"/>
  <c r="AE310" i="18"/>
  <c r="AC310" i="18"/>
  <c r="W310" i="18"/>
  <c r="AD310" i="18" s="1"/>
  <c r="U310" i="18"/>
  <c r="AF310" i="18" s="1"/>
  <c r="S310" i="18"/>
  <c r="Q310" i="18"/>
  <c r="O310" i="18"/>
  <c r="M310" i="18"/>
  <c r="L310" i="18"/>
  <c r="AJ310" i="18" s="1"/>
  <c r="K310" i="18"/>
  <c r="AK309" i="18"/>
  <c r="AI309" i="18"/>
  <c r="AC309" i="18"/>
  <c r="AE309" i="18" s="1"/>
  <c r="W309" i="18"/>
  <c r="AD309" i="18" s="1"/>
  <c r="U309" i="18"/>
  <c r="AF309" i="18" s="1"/>
  <c r="S309" i="18"/>
  <c r="Q309" i="18"/>
  <c r="O309" i="18"/>
  <c r="M309" i="18"/>
  <c r="L309" i="18"/>
  <c r="AJ309" i="18" s="1"/>
  <c r="K309" i="18"/>
  <c r="AK308" i="18"/>
  <c r="AI308" i="18"/>
  <c r="AE308" i="18"/>
  <c r="AC308" i="18"/>
  <c r="W308" i="18"/>
  <c r="AD308" i="18" s="1"/>
  <c r="U308" i="18"/>
  <c r="AF308" i="18" s="1"/>
  <c r="S308" i="18"/>
  <c r="Q308" i="18"/>
  <c r="O308" i="18"/>
  <c r="M308" i="18"/>
  <c r="L308" i="18"/>
  <c r="AJ308" i="18" s="1"/>
  <c r="K308" i="18"/>
  <c r="AK307" i="18"/>
  <c r="AI307" i="18"/>
  <c r="AC307" i="18"/>
  <c r="AE307" i="18" s="1"/>
  <c r="W307" i="18"/>
  <c r="AD307" i="18" s="1"/>
  <c r="U307" i="18"/>
  <c r="AF307" i="18" s="1"/>
  <c r="S307" i="18"/>
  <c r="Q307" i="18"/>
  <c r="O307" i="18"/>
  <c r="M307" i="18"/>
  <c r="L307" i="18"/>
  <c r="AJ307" i="18" s="1"/>
  <c r="K307" i="18"/>
  <c r="AK306" i="18"/>
  <c r="AI306" i="18"/>
  <c r="AE306" i="18"/>
  <c r="AC306" i="18"/>
  <c r="W306" i="18"/>
  <c r="AD306" i="18" s="1"/>
  <c r="U306" i="18"/>
  <c r="AF306" i="18" s="1"/>
  <c r="S306" i="18"/>
  <c r="Q306" i="18"/>
  <c r="O306" i="18"/>
  <c r="M306" i="18"/>
  <c r="L306" i="18"/>
  <c r="AJ306" i="18" s="1"/>
  <c r="K306" i="18"/>
  <c r="AK305" i="18"/>
  <c r="AI305" i="18"/>
  <c r="AC305" i="18"/>
  <c r="AE305" i="18" s="1"/>
  <c r="W305" i="18"/>
  <c r="AD305" i="18" s="1"/>
  <c r="U305" i="18"/>
  <c r="AF305" i="18" s="1"/>
  <c r="S305" i="18"/>
  <c r="Q305" i="18"/>
  <c r="O305" i="18"/>
  <c r="M305" i="18"/>
  <c r="L305" i="18"/>
  <c r="AJ305" i="18" s="1"/>
  <c r="K305" i="18"/>
  <c r="AK304" i="18"/>
  <c r="AI304" i="18"/>
  <c r="AE304" i="18"/>
  <c r="AC304" i="18"/>
  <c r="W304" i="18"/>
  <c r="AD304" i="18" s="1"/>
  <c r="U304" i="18"/>
  <c r="AF304" i="18" s="1"/>
  <c r="S304" i="18"/>
  <c r="Q304" i="18"/>
  <c r="O304" i="18"/>
  <c r="M304" i="18"/>
  <c r="L304" i="18"/>
  <c r="AJ304" i="18" s="1"/>
  <c r="K304" i="18"/>
  <c r="AK303" i="18"/>
  <c r="AI303" i="18"/>
  <c r="AC303" i="18"/>
  <c r="AE303" i="18" s="1"/>
  <c r="W303" i="18"/>
  <c r="AD303" i="18" s="1"/>
  <c r="U303" i="18"/>
  <c r="AF303" i="18" s="1"/>
  <c r="S303" i="18"/>
  <c r="Q303" i="18"/>
  <c r="O303" i="18"/>
  <c r="M303" i="18"/>
  <c r="L303" i="18"/>
  <c r="AJ303" i="18" s="1"/>
  <c r="K303" i="18"/>
  <c r="AK302" i="18"/>
  <c r="AI302" i="18"/>
  <c r="AC302" i="18"/>
  <c r="AE302" i="18" s="1"/>
  <c r="W302" i="18"/>
  <c r="AD302" i="18" s="1"/>
  <c r="U302" i="18"/>
  <c r="AF302" i="18" s="1"/>
  <c r="S302" i="18"/>
  <c r="Q302" i="18"/>
  <c r="O302" i="18"/>
  <c r="M302" i="18"/>
  <c r="L302" i="18"/>
  <c r="AJ302" i="18" s="1"/>
  <c r="K302" i="18"/>
  <c r="AK301" i="18"/>
  <c r="AI301" i="18"/>
  <c r="AC301" i="18"/>
  <c r="AE301" i="18" s="1"/>
  <c r="W301" i="18"/>
  <c r="AD301" i="18" s="1"/>
  <c r="U301" i="18"/>
  <c r="AF301" i="18" s="1"/>
  <c r="S301" i="18"/>
  <c r="Q301" i="18"/>
  <c r="O301" i="18"/>
  <c r="M301" i="18"/>
  <c r="L301" i="18"/>
  <c r="AJ301" i="18" s="1"/>
  <c r="K301" i="18"/>
  <c r="AK300" i="18"/>
  <c r="AI300" i="18"/>
  <c r="AE300" i="18"/>
  <c r="AC300" i="18"/>
  <c r="W300" i="18"/>
  <c r="AD300" i="18" s="1"/>
  <c r="U300" i="18"/>
  <c r="AF300" i="18" s="1"/>
  <c r="S300" i="18"/>
  <c r="Q300" i="18"/>
  <c r="O300" i="18"/>
  <c r="M300" i="18"/>
  <c r="L300" i="18"/>
  <c r="AJ300" i="18" s="1"/>
  <c r="K300" i="18"/>
  <c r="AK299" i="18"/>
  <c r="AI299" i="18"/>
  <c r="AC299" i="18"/>
  <c r="AE299" i="18" s="1"/>
  <c r="W299" i="18"/>
  <c r="AD299" i="18" s="1"/>
  <c r="U299" i="18"/>
  <c r="AF299" i="18" s="1"/>
  <c r="S299" i="18"/>
  <c r="Q299" i="18"/>
  <c r="O299" i="18"/>
  <c r="M299" i="18"/>
  <c r="L299" i="18"/>
  <c r="AJ299" i="18" s="1"/>
  <c r="K299" i="18"/>
  <c r="AK298" i="18"/>
  <c r="AI298" i="18"/>
  <c r="AC298" i="18"/>
  <c r="AE298" i="18" s="1"/>
  <c r="W298" i="18"/>
  <c r="AD298" i="18" s="1"/>
  <c r="U298" i="18"/>
  <c r="AF298" i="18" s="1"/>
  <c r="S298" i="18"/>
  <c r="Q298" i="18"/>
  <c r="O298" i="18"/>
  <c r="M298" i="18"/>
  <c r="L298" i="18"/>
  <c r="AJ298" i="18" s="1"/>
  <c r="K298" i="18"/>
  <c r="AK297" i="18"/>
  <c r="AI297" i="18"/>
  <c r="AC297" i="18"/>
  <c r="AE297" i="18" s="1"/>
  <c r="W297" i="18"/>
  <c r="AD297" i="18" s="1"/>
  <c r="U297" i="18"/>
  <c r="AF297" i="18" s="1"/>
  <c r="S297" i="18"/>
  <c r="Q297" i="18"/>
  <c r="O297" i="18"/>
  <c r="M297" i="18"/>
  <c r="L297" i="18"/>
  <c r="AJ297" i="18" s="1"/>
  <c r="K297" i="18"/>
  <c r="AK296" i="18"/>
  <c r="AI296" i="18"/>
  <c r="AE296" i="18"/>
  <c r="AC296" i="18"/>
  <c r="W296" i="18"/>
  <c r="AD296" i="18" s="1"/>
  <c r="U296" i="18"/>
  <c r="AF296" i="18" s="1"/>
  <c r="S296" i="18"/>
  <c r="Q296" i="18"/>
  <c r="O296" i="18"/>
  <c r="M296" i="18"/>
  <c r="L296" i="18"/>
  <c r="AJ296" i="18" s="1"/>
  <c r="K296" i="18"/>
  <c r="AK295" i="18"/>
  <c r="AI295" i="18"/>
  <c r="AC295" i="18"/>
  <c r="AE295" i="18" s="1"/>
  <c r="W295" i="18"/>
  <c r="AD295" i="18" s="1"/>
  <c r="U295" i="18"/>
  <c r="AF295" i="18" s="1"/>
  <c r="S295" i="18"/>
  <c r="Q295" i="18"/>
  <c r="O295" i="18"/>
  <c r="M295" i="18"/>
  <c r="L295" i="18"/>
  <c r="AJ295" i="18" s="1"/>
  <c r="K295" i="18"/>
  <c r="AK294" i="18"/>
  <c r="AI294" i="18"/>
  <c r="AC294" i="18"/>
  <c r="AE294" i="18" s="1"/>
  <c r="W294" i="18"/>
  <c r="AD294" i="18" s="1"/>
  <c r="U294" i="18"/>
  <c r="AF294" i="18" s="1"/>
  <c r="S294" i="18"/>
  <c r="Q294" i="18"/>
  <c r="O294" i="18"/>
  <c r="M294" i="18"/>
  <c r="L294" i="18"/>
  <c r="AJ294" i="18" s="1"/>
  <c r="K294" i="18"/>
  <c r="AK293" i="18"/>
  <c r="AI293" i="18"/>
  <c r="AC293" i="18"/>
  <c r="AE293" i="18" s="1"/>
  <c r="W293" i="18"/>
  <c r="AD293" i="18" s="1"/>
  <c r="U293" i="18"/>
  <c r="AF293" i="18" s="1"/>
  <c r="S293" i="18"/>
  <c r="Q293" i="18"/>
  <c r="O293" i="18"/>
  <c r="M293" i="18"/>
  <c r="L293" i="18"/>
  <c r="AJ293" i="18" s="1"/>
  <c r="K293" i="18"/>
  <c r="AK292" i="18"/>
  <c r="AI292" i="18"/>
  <c r="AE292" i="18"/>
  <c r="AC292" i="18"/>
  <c r="W292" i="18"/>
  <c r="AD292" i="18" s="1"/>
  <c r="U292" i="18"/>
  <c r="AF292" i="18" s="1"/>
  <c r="S292" i="18"/>
  <c r="Q292" i="18"/>
  <c r="O292" i="18"/>
  <c r="M292" i="18"/>
  <c r="L292" i="18"/>
  <c r="AJ292" i="18" s="1"/>
  <c r="K292" i="18"/>
  <c r="AK291" i="18"/>
  <c r="AI291" i="18"/>
  <c r="AC291" i="18"/>
  <c r="AE291" i="18" s="1"/>
  <c r="W291" i="18"/>
  <c r="AD291" i="18" s="1"/>
  <c r="U291" i="18"/>
  <c r="AF291" i="18" s="1"/>
  <c r="S291" i="18"/>
  <c r="Q291" i="18"/>
  <c r="O291" i="18"/>
  <c r="M291" i="18"/>
  <c r="L291" i="18"/>
  <c r="AJ291" i="18" s="1"/>
  <c r="K291" i="18"/>
  <c r="AK290" i="18"/>
  <c r="AI290" i="18"/>
  <c r="AC290" i="18"/>
  <c r="AE290" i="18" s="1"/>
  <c r="W290" i="18"/>
  <c r="AD290" i="18" s="1"/>
  <c r="U290" i="18"/>
  <c r="AF290" i="18" s="1"/>
  <c r="S290" i="18"/>
  <c r="Q290" i="18"/>
  <c r="O290" i="18"/>
  <c r="M290" i="18"/>
  <c r="L290" i="18"/>
  <c r="AJ290" i="18" s="1"/>
  <c r="K290" i="18"/>
  <c r="AK289" i="18"/>
  <c r="AI289" i="18"/>
  <c r="AC289" i="18"/>
  <c r="AE289" i="18" s="1"/>
  <c r="W289" i="18"/>
  <c r="AD289" i="18" s="1"/>
  <c r="U289" i="18"/>
  <c r="AF289" i="18" s="1"/>
  <c r="S289" i="18"/>
  <c r="Q289" i="18"/>
  <c r="O289" i="18"/>
  <c r="M289" i="18"/>
  <c r="L289" i="18"/>
  <c r="AJ289" i="18" s="1"/>
  <c r="K289" i="18"/>
  <c r="AK288" i="18"/>
  <c r="AI288" i="18"/>
  <c r="AE288" i="18"/>
  <c r="AC288" i="18"/>
  <c r="W288" i="18"/>
  <c r="AD288" i="18" s="1"/>
  <c r="U288" i="18"/>
  <c r="AF288" i="18" s="1"/>
  <c r="S288" i="18"/>
  <c r="Q288" i="18"/>
  <c r="O288" i="18"/>
  <c r="M288" i="18"/>
  <c r="L288" i="18"/>
  <c r="AJ288" i="18" s="1"/>
  <c r="K288" i="18"/>
  <c r="AK287" i="18"/>
  <c r="AI287" i="18"/>
  <c r="AC287" i="18"/>
  <c r="AE287" i="18" s="1"/>
  <c r="W287" i="18"/>
  <c r="AD287" i="18" s="1"/>
  <c r="U287" i="18"/>
  <c r="AF287" i="18" s="1"/>
  <c r="S287" i="18"/>
  <c r="Q287" i="18"/>
  <c r="O287" i="18"/>
  <c r="M287" i="18"/>
  <c r="L287" i="18"/>
  <c r="AJ287" i="18" s="1"/>
  <c r="K287" i="18"/>
  <c r="AK286" i="18"/>
  <c r="AI286" i="18"/>
  <c r="AC286" i="18"/>
  <c r="AE286" i="18" s="1"/>
  <c r="W286" i="18"/>
  <c r="AD286" i="18" s="1"/>
  <c r="U286" i="18"/>
  <c r="AF286" i="18" s="1"/>
  <c r="S286" i="18"/>
  <c r="Q286" i="18"/>
  <c r="O286" i="18"/>
  <c r="M286" i="18"/>
  <c r="L286" i="18"/>
  <c r="AJ286" i="18" s="1"/>
  <c r="K286" i="18"/>
  <c r="AK285" i="18"/>
  <c r="AI285" i="18"/>
  <c r="AC285" i="18"/>
  <c r="AE285" i="18" s="1"/>
  <c r="W285" i="18"/>
  <c r="AD285" i="18" s="1"/>
  <c r="U285" i="18"/>
  <c r="AF285" i="18" s="1"/>
  <c r="S285" i="18"/>
  <c r="Q285" i="18"/>
  <c r="O285" i="18"/>
  <c r="M285" i="18"/>
  <c r="L285" i="18"/>
  <c r="AJ285" i="18" s="1"/>
  <c r="K285" i="18"/>
  <c r="AK284" i="18"/>
  <c r="AI284" i="18"/>
  <c r="AE284" i="18"/>
  <c r="AC284" i="18"/>
  <c r="W284" i="18"/>
  <c r="AD284" i="18" s="1"/>
  <c r="U284" i="18"/>
  <c r="AF284" i="18" s="1"/>
  <c r="S284" i="18"/>
  <c r="Q284" i="18"/>
  <c r="O284" i="18"/>
  <c r="M284" i="18"/>
  <c r="L284" i="18"/>
  <c r="AJ284" i="18" s="1"/>
  <c r="K284" i="18"/>
  <c r="AK283" i="18"/>
  <c r="AI283" i="18"/>
  <c r="AC283" i="18"/>
  <c r="AE283" i="18" s="1"/>
  <c r="W283" i="18"/>
  <c r="AD283" i="18" s="1"/>
  <c r="U283" i="18"/>
  <c r="AF283" i="18" s="1"/>
  <c r="S283" i="18"/>
  <c r="Q283" i="18"/>
  <c r="O283" i="18"/>
  <c r="M283" i="18"/>
  <c r="L283" i="18"/>
  <c r="AJ283" i="18" s="1"/>
  <c r="K283" i="18"/>
  <c r="AK282" i="18"/>
  <c r="AI282" i="18"/>
  <c r="AC282" i="18"/>
  <c r="AE282" i="18" s="1"/>
  <c r="W282" i="18"/>
  <c r="AD282" i="18" s="1"/>
  <c r="U282" i="18"/>
  <c r="AF282" i="18" s="1"/>
  <c r="S282" i="18"/>
  <c r="Q282" i="18"/>
  <c r="O282" i="18"/>
  <c r="M282" i="18"/>
  <c r="L282" i="18"/>
  <c r="AJ282" i="18" s="1"/>
  <c r="K282" i="18"/>
  <c r="L281" i="18"/>
  <c r="AK280" i="18"/>
  <c r="AJ280" i="18"/>
  <c r="AI280" i="18"/>
  <c r="AC280" i="18"/>
  <c r="AE280" i="18" s="1"/>
  <c r="X280" i="18"/>
  <c r="Y280" i="18" s="1"/>
  <c r="U280" i="18"/>
  <c r="AF280" i="18" s="1"/>
  <c r="T280" i="18"/>
  <c r="S280" i="18"/>
  <c r="P280" i="18"/>
  <c r="O280" i="18"/>
  <c r="M280" i="18"/>
  <c r="L280" i="18"/>
  <c r="K280" i="18"/>
  <c r="AK279" i="18"/>
  <c r="AJ279" i="18"/>
  <c r="U279" i="18"/>
  <c r="AF279" i="18" s="1"/>
  <c r="T279" i="18"/>
  <c r="P279" i="18"/>
  <c r="O279" i="18"/>
  <c r="L279" i="18"/>
  <c r="K279" i="18"/>
  <c r="AK278" i="18"/>
  <c r="AF278" i="18"/>
  <c r="U278" i="18"/>
  <c r="P278" i="18"/>
  <c r="L278" i="18"/>
  <c r="K278" i="18"/>
  <c r="W277" i="18"/>
  <c r="AD277" i="18" s="1"/>
  <c r="Q277" i="18"/>
  <c r="L277" i="18"/>
  <c r="AK276" i="18"/>
  <c r="AJ276" i="18"/>
  <c r="AI276" i="18"/>
  <c r="AC276" i="18"/>
  <c r="AE276" i="18" s="1"/>
  <c r="X276" i="18"/>
  <c r="Y276" i="18" s="1"/>
  <c r="U276" i="18"/>
  <c r="AF276" i="18" s="1"/>
  <c r="T276" i="18"/>
  <c r="S276" i="18"/>
  <c r="P276" i="18"/>
  <c r="O276" i="18"/>
  <c r="M276" i="18"/>
  <c r="L276" i="18"/>
  <c r="K276" i="18"/>
  <c r="AK275" i="18"/>
  <c r="AJ275" i="18"/>
  <c r="U275" i="18"/>
  <c r="AF275" i="18" s="1"/>
  <c r="T275" i="18"/>
  <c r="P275" i="18"/>
  <c r="O275" i="18"/>
  <c r="L275" i="18"/>
  <c r="K275" i="18"/>
  <c r="AK274" i="18"/>
  <c r="AF274" i="18"/>
  <c r="U274" i="18"/>
  <c r="P274" i="18"/>
  <c r="L274" i="18"/>
  <c r="K274" i="18"/>
  <c r="W273" i="18"/>
  <c r="AD273" i="18" s="1"/>
  <c r="L273" i="18"/>
  <c r="AK272" i="18"/>
  <c r="AJ272" i="18"/>
  <c r="AI272" i="18"/>
  <c r="AC272" i="18"/>
  <c r="AE272" i="18" s="1"/>
  <c r="X272" i="18"/>
  <c r="Y272" i="18" s="1"/>
  <c r="U272" i="18"/>
  <c r="AF272" i="18" s="1"/>
  <c r="T272" i="18"/>
  <c r="S272" i="18"/>
  <c r="P272" i="18"/>
  <c r="O272" i="18"/>
  <c r="M272" i="18"/>
  <c r="L272" i="18"/>
  <c r="K272" i="18"/>
  <c r="AK271" i="18"/>
  <c r="AJ271" i="18"/>
  <c r="U271" i="18"/>
  <c r="AF271" i="18" s="1"/>
  <c r="T271" i="18"/>
  <c r="P271" i="18"/>
  <c r="O271" i="18"/>
  <c r="L271" i="18"/>
  <c r="K271" i="18"/>
  <c r="AK270" i="18"/>
  <c r="U270" i="18"/>
  <c r="AF270" i="18" s="1"/>
  <c r="P270" i="18"/>
  <c r="L270" i="18"/>
  <c r="K270" i="18"/>
  <c r="AJ269" i="18"/>
  <c r="AI269" i="18"/>
  <c r="AD269" i="18"/>
  <c r="AC269" i="18"/>
  <c r="AE269" i="18" s="1"/>
  <c r="Z269" i="18"/>
  <c r="AA269" i="18" s="1"/>
  <c r="AG269" i="18" s="1"/>
  <c r="W269" i="18"/>
  <c r="V269" i="18"/>
  <c r="U269" i="18"/>
  <c r="AF269" i="18" s="1"/>
  <c r="S269" i="18"/>
  <c r="R269" i="18"/>
  <c r="Q269" i="18"/>
  <c r="O269" i="18"/>
  <c r="N269" i="18"/>
  <c r="M269" i="18"/>
  <c r="L269" i="18"/>
  <c r="K269" i="18"/>
  <c r="AL268" i="18"/>
  <c r="AK268" i="18"/>
  <c r="AI268" i="18"/>
  <c r="AH268" i="18"/>
  <c r="AD268" i="18"/>
  <c r="AC268" i="18"/>
  <c r="AE268" i="18" s="1"/>
  <c r="Z268" i="18"/>
  <c r="AA268" i="18" s="1"/>
  <c r="AG268" i="18" s="1"/>
  <c r="W268" i="18"/>
  <c r="V268" i="18"/>
  <c r="U268" i="18"/>
  <c r="AF268" i="18" s="1"/>
  <c r="S268" i="18"/>
  <c r="R268" i="18"/>
  <c r="Q268" i="18"/>
  <c r="O268" i="18"/>
  <c r="N268" i="18"/>
  <c r="M268" i="18"/>
  <c r="L268" i="18"/>
  <c r="AJ268" i="18" s="1"/>
  <c r="K268" i="18"/>
  <c r="AL267" i="18"/>
  <c r="AK267" i="18"/>
  <c r="AI267" i="18"/>
  <c r="AH267" i="18"/>
  <c r="AD267" i="18"/>
  <c r="AC267" i="18"/>
  <c r="AE267" i="18" s="1"/>
  <c r="Z267" i="18"/>
  <c r="AA267" i="18" s="1"/>
  <c r="AG267" i="18" s="1"/>
  <c r="W267" i="18"/>
  <c r="V267" i="18"/>
  <c r="U267" i="18"/>
  <c r="AF267" i="18" s="1"/>
  <c r="S267" i="18"/>
  <c r="R267" i="18"/>
  <c r="Q267" i="18"/>
  <c r="O267" i="18"/>
  <c r="N267" i="18"/>
  <c r="M267" i="18"/>
  <c r="L267" i="18"/>
  <c r="AJ267" i="18" s="1"/>
  <c r="K267" i="18"/>
  <c r="AL266" i="18"/>
  <c r="AK266" i="18"/>
  <c r="AI266" i="18"/>
  <c r="AH266" i="18"/>
  <c r="AD266" i="18"/>
  <c r="AC266" i="18"/>
  <c r="AE266" i="18" s="1"/>
  <c r="Z266" i="18"/>
  <c r="AA266" i="18" s="1"/>
  <c r="AG266" i="18" s="1"/>
  <c r="W266" i="18"/>
  <c r="V266" i="18"/>
  <c r="U266" i="18"/>
  <c r="AF266" i="18" s="1"/>
  <c r="S266" i="18"/>
  <c r="R266" i="18"/>
  <c r="Q266" i="18"/>
  <c r="O266" i="18"/>
  <c r="N266" i="18"/>
  <c r="M266" i="18"/>
  <c r="L266" i="18"/>
  <c r="AJ266" i="18" s="1"/>
  <c r="K266" i="18"/>
  <c r="AL265" i="18"/>
  <c r="AK265" i="18"/>
  <c r="AI265" i="18"/>
  <c r="AH265" i="18"/>
  <c r="AD265" i="18"/>
  <c r="AC265" i="18"/>
  <c r="AE265" i="18" s="1"/>
  <c r="Z265" i="18"/>
  <c r="AA265" i="18" s="1"/>
  <c r="AG265" i="18" s="1"/>
  <c r="W265" i="18"/>
  <c r="V265" i="18"/>
  <c r="U265" i="18"/>
  <c r="AF265" i="18" s="1"/>
  <c r="S265" i="18"/>
  <c r="R265" i="18"/>
  <c r="Q265" i="18"/>
  <c r="O265" i="18"/>
  <c r="N265" i="18"/>
  <c r="M265" i="18"/>
  <c r="L265" i="18"/>
  <c r="AJ265" i="18" s="1"/>
  <c r="K265" i="18"/>
  <c r="AL264" i="18"/>
  <c r="AK264" i="18"/>
  <c r="AI264" i="18"/>
  <c r="AH264" i="18"/>
  <c r="AD264" i="18"/>
  <c r="AC264" i="18"/>
  <c r="AE264" i="18" s="1"/>
  <c r="Z264" i="18"/>
  <c r="AA264" i="18" s="1"/>
  <c r="AG264" i="18" s="1"/>
  <c r="W264" i="18"/>
  <c r="V264" i="18"/>
  <c r="U264" i="18"/>
  <c r="AF264" i="18" s="1"/>
  <c r="S264" i="18"/>
  <c r="R264" i="18"/>
  <c r="Q264" i="18"/>
  <c r="O264" i="18"/>
  <c r="N264" i="18"/>
  <c r="M264" i="18"/>
  <c r="L264" i="18"/>
  <c r="AJ264" i="18" s="1"/>
  <c r="K264" i="18"/>
  <c r="AL263" i="18"/>
  <c r="AK263" i="18"/>
  <c r="AI263" i="18"/>
  <c r="AH263" i="18"/>
  <c r="AD263" i="18"/>
  <c r="AC263" i="18"/>
  <c r="AE263" i="18" s="1"/>
  <c r="Z263" i="18"/>
  <c r="AA263" i="18" s="1"/>
  <c r="AG263" i="18" s="1"/>
  <c r="W263" i="18"/>
  <c r="V263" i="18"/>
  <c r="U263" i="18"/>
  <c r="AF263" i="18" s="1"/>
  <c r="S263" i="18"/>
  <c r="R263" i="18"/>
  <c r="Q263" i="18"/>
  <c r="O263" i="18"/>
  <c r="N263" i="18"/>
  <c r="M263" i="18"/>
  <c r="L263" i="18"/>
  <c r="AJ263" i="18" s="1"/>
  <c r="K263" i="18"/>
  <c r="AL262" i="18"/>
  <c r="AK262" i="18"/>
  <c r="AI262" i="18"/>
  <c r="AH262" i="18"/>
  <c r="AD262" i="18"/>
  <c r="AC262" i="18"/>
  <c r="AE262" i="18" s="1"/>
  <c r="Z262" i="18"/>
  <c r="AA262" i="18" s="1"/>
  <c r="AG262" i="18" s="1"/>
  <c r="W262" i="18"/>
  <c r="V262" i="18"/>
  <c r="U262" i="18"/>
  <c r="AF262" i="18" s="1"/>
  <c r="S262" i="18"/>
  <c r="R262" i="18"/>
  <c r="Q262" i="18"/>
  <c r="O262" i="18"/>
  <c r="N262" i="18"/>
  <c r="M262" i="18"/>
  <c r="L262" i="18"/>
  <c r="AJ262" i="18" s="1"/>
  <c r="K262" i="18"/>
  <c r="AL261" i="18"/>
  <c r="AK261" i="18"/>
  <c r="AI261" i="18"/>
  <c r="AH261" i="18"/>
  <c r="AD261" i="18"/>
  <c r="AC261" i="18"/>
  <c r="AE261" i="18" s="1"/>
  <c r="Z261" i="18"/>
  <c r="AA261" i="18" s="1"/>
  <c r="AG261" i="18" s="1"/>
  <c r="W261" i="18"/>
  <c r="V261" i="18"/>
  <c r="U261" i="18"/>
  <c r="AF261" i="18" s="1"/>
  <c r="S261" i="18"/>
  <c r="R261" i="18"/>
  <c r="Q261" i="18"/>
  <c r="O261" i="18"/>
  <c r="N261" i="18"/>
  <c r="M261" i="18"/>
  <c r="L261" i="18"/>
  <c r="AJ261" i="18" s="1"/>
  <c r="K261" i="18"/>
  <c r="AL260" i="18"/>
  <c r="AK260" i="18"/>
  <c r="AI260" i="18"/>
  <c r="AH260" i="18"/>
  <c r="AD260" i="18"/>
  <c r="AC260" i="18"/>
  <c r="AE260" i="18" s="1"/>
  <c r="Z260" i="18"/>
  <c r="AA260" i="18" s="1"/>
  <c r="AG260" i="18" s="1"/>
  <c r="W260" i="18"/>
  <c r="V260" i="18"/>
  <c r="U260" i="18"/>
  <c r="AF260" i="18" s="1"/>
  <c r="S260" i="18"/>
  <c r="R260" i="18"/>
  <c r="Q260" i="18"/>
  <c r="O260" i="18"/>
  <c r="N260" i="18"/>
  <c r="M260" i="18"/>
  <c r="L260" i="18"/>
  <c r="AJ260" i="18" s="1"/>
  <c r="K260" i="18"/>
  <c r="AL259" i="18"/>
  <c r="AK259" i="18"/>
  <c r="AI259" i="18"/>
  <c r="AH259" i="18"/>
  <c r="AD259" i="18"/>
  <c r="AC259" i="18"/>
  <c r="AE259" i="18" s="1"/>
  <c r="Z259" i="18"/>
  <c r="AA259" i="18" s="1"/>
  <c r="AG259" i="18" s="1"/>
  <c r="W259" i="18"/>
  <c r="V259" i="18"/>
  <c r="U259" i="18"/>
  <c r="AF259" i="18" s="1"/>
  <c r="S259" i="18"/>
  <c r="R259" i="18"/>
  <c r="Q259" i="18"/>
  <c r="O259" i="18"/>
  <c r="N259" i="18"/>
  <c r="M259" i="18"/>
  <c r="L259" i="18"/>
  <c r="AJ259" i="18" s="1"/>
  <c r="K259" i="18"/>
  <c r="AL258" i="18"/>
  <c r="AK258" i="18"/>
  <c r="AI258" i="18"/>
  <c r="AH258" i="18"/>
  <c r="AD258" i="18"/>
  <c r="AC258" i="18"/>
  <c r="AE258" i="18" s="1"/>
  <c r="Z258" i="18"/>
  <c r="AA258" i="18" s="1"/>
  <c r="AG258" i="18" s="1"/>
  <c r="W258" i="18"/>
  <c r="V258" i="18"/>
  <c r="U258" i="18"/>
  <c r="AF258" i="18" s="1"/>
  <c r="S258" i="18"/>
  <c r="R258" i="18"/>
  <c r="Q258" i="18"/>
  <c r="O258" i="18"/>
  <c r="N258" i="18"/>
  <c r="M258" i="18"/>
  <c r="L258" i="18"/>
  <c r="AJ258" i="18" s="1"/>
  <c r="K258" i="18"/>
  <c r="AL257" i="18"/>
  <c r="AK257" i="18"/>
  <c r="AI257" i="18"/>
  <c r="AH257" i="18"/>
  <c r="AD257" i="18"/>
  <c r="AC257" i="18"/>
  <c r="AE257" i="18" s="1"/>
  <c r="Z257" i="18"/>
  <c r="AA257" i="18" s="1"/>
  <c r="AG257" i="18" s="1"/>
  <c r="W257" i="18"/>
  <c r="V257" i="18"/>
  <c r="U257" i="18"/>
  <c r="AF257" i="18" s="1"/>
  <c r="S257" i="18"/>
  <c r="R257" i="18"/>
  <c r="Q257" i="18"/>
  <c r="O257" i="18"/>
  <c r="N257" i="18"/>
  <c r="M257" i="18"/>
  <c r="L257" i="18"/>
  <c r="AJ257" i="18" s="1"/>
  <c r="K257" i="18"/>
  <c r="AL256" i="18"/>
  <c r="AK256" i="18"/>
  <c r="AI256" i="18"/>
  <c r="AH256" i="18"/>
  <c r="AD256" i="18"/>
  <c r="AC256" i="18"/>
  <c r="AE256" i="18" s="1"/>
  <c r="Z256" i="18"/>
  <c r="AA256" i="18" s="1"/>
  <c r="AG256" i="18" s="1"/>
  <c r="W256" i="18"/>
  <c r="V256" i="18"/>
  <c r="U256" i="18"/>
  <c r="AF256" i="18" s="1"/>
  <c r="S256" i="18"/>
  <c r="R256" i="18"/>
  <c r="Q256" i="18"/>
  <c r="O256" i="18"/>
  <c r="N256" i="18"/>
  <c r="M256" i="18"/>
  <c r="L256" i="18"/>
  <c r="AJ256" i="18" s="1"/>
  <c r="K256" i="18"/>
  <c r="AL255" i="18"/>
  <c r="AK255" i="18"/>
  <c r="AI255" i="18"/>
  <c r="AH255" i="18"/>
  <c r="AD255" i="18"/>
  <c r="AC255" i="18"/>
  <c r="AE255" i="18" s="1"/>
  <c r="Z255" i="18"/>
  <c r="AA255" i="18" s="1"/>
  <c r="AG255" i="18" s="1"/>
  <c r="W255" i="18"/>
  <c r="V255" i="18"/>
  <c r="U255" i="18"/>
  <c r="AF255" i="18" s="1"/>
  <c r="S255" i="18"/>
  <c r="R255" i="18"/>
  <c r="Q255" i="18"/>
  <c r="O255" i="18"/>
  <c r="N255" i="18"/>
  <c r="M255" i="18"/>
  <c r="L255" i="18"/>
  <c r="AJ255" i="18" s="1"/>
  <c r="K255" i="18"/>
  <c r="AL254" i="18"/>
  <c r="AK254" i="18"/>
  <c r="AI254" i="18"/>
  <c r="AH254" i="18"/>
  <c r="AD254" i="18"/>
  <c r="AC254" i="18"/>
  <c r="AE254" i="18" s="1"/>
  <c r="Z254" i="18"/>
  <c r="AA254" i="18" s="1"/>
  <c r="AG254" i="18" s="1"/>
  <c r="W254" i="18"/>
  <c r="V254" i="18"/>
  <c r="U254" i="18"/>
  <c r="AF254" i="18" s="1"/>
  <c r="S254" i="18"/>
  <c r="R254" i="18"/>
  <c r="Q254" i="18"/>
  <c r="O254" i="18"/>
  <c r="N254" i="18"/>
  <c r="M254" i="18"/>
  <c r="L254" i="18"/>
  <c r="AJ254" i="18" s="1"/>
  <c r="K254" i="18"/>
  <c r="AL253" i="18"/>
  <c r="AK253" i="18"/>
  <c r="AI253" i="18"/>
  <c r="AH253" i="18"/>
  <c r="AD253" i="18"/>
  <c r="AC253" i="18"/>
  <c r="AE253" i="18" s="1"/>
  <c r="Z253" i="18"/>
  <c r="AA253" i="18" s="1"/>
  <c r="AG253" i="18" s="1"/>
  <c r="W253" i="18"/>
  <c r="V253" i="18"/>
  <c r="U253" i="18"/>
  <c r="AF253" i="18" s="1"/>
  <c r="S253" i="18"/>
  <c r="R253" i="18"/>
  <c r="Q253" i="18"/>
  <c r="O253" i="18"/>
  <c r="N253" i="18"/>
  <c r="M253" i="18"/>
  <c r="L253" i="18"/>
  <c r="AJ253" i="18" s="1"/>
  <c r="K253" i="18"/>
  <c r="AL252" i="18"/>
  <c r="AK252" i="18"/>
  <c r="AI252" i="18"/>
  <c r="AH252" i="18"/>
  <c r="AD252" i="18"/>
  <c r="AC252" i="18"/>
  <c r="AE252" i="18" s="1"/>
  <c r="Z252" i="18"/>
  <c r="AA252" i="18" s="1"/>
  <c r="AG252" i="18" s="1"/>
  <c r="W252" i="18"/>
  <c r="V252" i="18"/>
  <c r="U252" i="18"/>
  <c r="AF252" i="18" s="1"/>
  <c r="S252" i="18"/>
  <c r="R252" i="18"/>
  <c r="Q252" i="18"/>
  <c r="O252" i="18"/>
  <c r="N252" i="18"/>
  <c r="M252" i="18"/>
  <c r="L252" i="18"/>
  <c r="AJ252" i="18" s="1"/>
  <c r="K252" i="18"/>
  <c r="AL251" i="18"/>
  <c r="AK251" i="18"/>
  <c r="AI251" i="18"/>
  <c r="AH251" i="18"/>
  <c r="AD251" i="18"/>
  <c r="AC251" i="18"/>
  <c r="AE251" i="18" s="1"/>
  <c r="Z251" i="18"/>
  <c r="AA251" i="18" s="1"/>
  <c r="AG251" i="18" s="1"/>
  <c r="W251" i="18"/>
  <c r="V251" i="18"/>
  <c r="U251" i="18"/>
  <c r="AF251" i="18" s="1"/>
  <c r="S251" i="18"/>
  <c r="R251" i="18"/>
  <c r="Q251" i="18"/>
  <c r="O251" i="18"/>
  <c r="N251" i="18"/>
  <c r="M251" i="18"/>
  <c r="L251" i="18"/>
  <c r="AJ251" i="18" s="1"/>
  <c r="K251" i="18"/>
  <c r="AL250" i="18"/>
  <c r="AK250" i="18"/>
  <c r="AI250" i="18"/>
  <c r="AH250" i="18"/>
  <c r="AD250" i="18"/>
  <c r="AC250" i="18"/>
  <c r="AE250" i="18" s="1"/>
  <c r="Z250" i="18"/>
  <c r="AA250" i="18" s="1"/>
  <c r="AG250" i="18" s="1"/>
  <c r="W250" i="18"/>
  <c r="V250" i="18"/>
  <c r="U250" i="18"/>
  <c r="AF250" i="18" s="1"/>
  <c r="S250" i="18"/>
  <c r="R250" i="18"/>
  <c r="Q250" i="18"/>
  <c r="O250" i="18"/>
  <c r="N250" i="18"/>
  <c r="M250" i="18"/>
  <c r="L250" i="18"/>
  <c r="AJ250" i="18" s="1"/>
  <c r="K250" i="18"/>
  <c r="AL249" i="18"/>
  <c r="AK249" i="18"/>
  <c r="AI249" i="18"/>
  <c r="AH249" i="18"/>
  <c r="AD249" i="18"/>
  <c r="AC249" i="18"/>
  <c r="AE249" i="18" s="1"/>
  <c r="Z249" i="18"/>
  <c r="AA249" i="18" s="1"/>
  <c r="AG249" i="18" s="1"/>
  <c r="W249" i="18"/>
  <c r="V249" i="18"/>
  <c r="U249" i="18"/>
  <c r="AF249" i="18" s="1"/>
  <c r="S249" i="18"/>
  <c r="R249" i="18"/>
  <c r="Q249" i="18"/>
  <c r="O249" i="18"/>
  <c r="N249" i="18"/>
  <c r="M249" i="18"/>
  <c r="L249" i="18"/>
  <c r="AJ249" i="18" s="1"/>
  <c r="K249" i="18"/>
  <c r="AL248" i="18"/>
  <c r="AK248" i="18"/>
  <c r="AI248" i="18"/>
  <c r="AH248" i="18"/>
  <c r="AD248" i="18"/>
  <c r="AC248" i="18"/>
  <c r="AE248" i="18" s="1"/>
  <c r="Z248" i="18"/>
  <c r="AA248" i="18" s="1"/>
  <c r="AG248" i="18" s="1"/>
  <c r="W248" i="18"/>
  <c r="V248" i="18"/>
  <c r="U248" i="18"/>
  <c r="AF248" i="18" s="1"/>
  <c r="S248" i="18"/>
  <c r="R248" i="18"/>
  <c r="Q248" i="18"/>
  <c r="O248" i="18"/>
  <c r="N248" i="18"/>
  <c r="M248" i="18"/>
  <c r="L248" i="18"/>
  <c r="AJ248" i="18" s="1"/>
  <c r="K248" i="18"/>
  <c r="AL247" i="18"/>
  <c r="AK247" i="18"/>
  <c r="AI247" i="18"/>
  <c r="AH247" i="18"/>
  <c r="AD247" i="18"/>
  <c r="AC247" i="18"/>
  <c r="AE247" i="18" s="1"/>
  <c r="Z247" i="18"/>
  <c r="AA247" i="18" s="1"/>
  <c r="AG247" i="18" s="1"/>
  <c r="W247" i="18"/>
  <c r="V247" i="18"/>
  <c r="U247" i="18"/>
  <c r="AF247" i="18" s="1"/>
  <c r="S247" i="18"/>
  <c r="R247" i="18"/>
  <c r="Q247" i="18"/>
  <c r="O247" i="18"/>
  <c r="N247" i="18"/>
  <c r="M247" i="18"/>
  <c r="L247" i="18"/>
  <c r="AJ247" i="18" s="1"/>
  <c r="K247" i="18"/>
  <c r="AL246" i="18"/>
  <c r="AK246" i="18"/>
  <c r="AI246" i="18"/>
  <c r="AH246" i="18"/>
  <c r="AD246" i="18"/>
  <c r="AC246" i="18"/>
  <c r="AE246" i="18" s="1"/>
  <c r="Z246" i="18"/>
  <c r="AA246" i="18" s="1"/>
  <c r="AG246" i="18" s="1"/>
  <c r="W246" i="18"/>
  <c r="V246" i="18"/>
  <c r="U246" i="18"/>
  <c r="AF246" i="18" s="1"/>
  <c r="S246" i="18"/>
  <c r="R246" i="18"/>
  <c r="Q246" i="18"/>
  <c r="O246" i="18"/>
  <c r="N246" i="18"/>
  <c r="M246" i="18"/>
  <c r="L246" i="18"/>
  <c r="AJ246" i="18" s="1"/>
  <c r="K246" i="18"/>
  <c r="AL245" i="18"/>
  <c r="AK245" i="18"/>
  <c r="AI245" i="18"/>
  <c r="AH245" i="18"/>
  <c r="AD245" i="18"/>
  <c r="AC245" i="18"/>
  <c r="AE245" i="18" s="1"/>
  <c r="Z245" i="18"/>
  <c r="AA245" i="18" s="1"/>
  <c r="AG245" i="18" s="1"/>
  <c r="W245" i="18"/>
  <c r="V245" i="18"/>
  <c r="U245" i="18"/>
  <c r="AF245" i="18" s="1"/>
  <c r="S245" i="18"/>
  <c r="R245" i="18"/>
  <c r="Q245" i="18"/>
  <c r="O245" i="18"/>
  <c r="N245" i="18"/>
  <c r="M245" i="18"/>
  <c r="L245" i="18"/>
  <c r="AJ245" i="18" s="1"/>
  <c r="K245" i="18"/>
  <c r="AL244" i="18"/>
  <c r="AK244" i="18"/>
  <c r="AI244" i="18"/>
  <c r="AH244" i="18"/>
  <c r="AD244" i="18"/>
  <c r="AC244" i="18"/>
  <c r="AE244" i="18" s="1"/>
  <c r="Z244" i="18"/>
  <c r="AA244" i="18" s="1"/>
  <c r="AG244" i="18" s="1"/>
  <c r="W244" i="18"/>
  <c r="V244" i="18"/>
  <c r="U244" i="18"/>
  <c r="AF244" i="18" s="1"/>
  <c r="S244" i="18"/>
  <c r="R244" i="18"/>
  <c r="Q244" i="18"/>
  <c r="O244" i="18"/>
  <c r="N244" i="18"/>
  <c r="M244" i="18"/>
  <c r="L244" i="18"/>
  <c r="AJ244" i="18" s="1"/>
  <c r="K244" i="18"/>
  <c r="AL243" i="18"/>
  <c r="AK243" i="18"/>
  <c r="AI243" i="18"/>
  <c r="AH243" i="18"/>
  <c r="AD243" i="18"/>
  <c r="AC243" i="18"/>
  <c r="AE243" i="18" s="1"/>
  <c r="Z243" i="18"/>
  <c r="AA243" i="18" s="1"/>
  <c r="AG243" i="18" s="1"/>
  <c r="W243" i="18"/>
  <c r="V243" i="18"/>
  <c r="U243" i="18"/>
  <c r="AF243" i="18" s="1"/>
  <c r="S243" i="18"/>
  <c r="R243" i="18"/>
  <c r="Q243" i="18"/>
  <c r="O243" i="18"/>
  <c r="N243" i="18"/>
  <c r="M243" i="18"/>
  <c r="L243" i="18"/>
  <c r="AJ243" i="18" s="1"/>
  <c r="K243" i="18"/>
  <c r="AL242" i="18"/>
  <c r="AK242" i="18"/>
  <c r="AI242" i="18"/>
  <c r="AH242" i="18"/>
  <c r="AD242" i="18"/>
  <c r="AC242" i="18"/>
  <c r="AE242" i="18" s="1"/>
  <c r="Z242" i="18"/>
  <c r="AA242" i="18" s="1"/>
  <c r="AG242" i="18" s="1"/>
  <c r="W242" i="18"/>
  <c r="V242" i="18"/>
  <c r="U242" i="18"/>
  <c r="AF242" i="18" s="1"/>
  <c r="S242" i="18"/>
  <c r="R242" i="18"/>
  <c r="Q242" i="18"/>
  <c r="O242" i="18"/>
  <c r="N242" i="18"/>
  <c r="M242" i="18"/>
  <c r="L242" i="18"/>
  <c r="AJ242" i="18" s="1"/>
  <c r="K242" i="18"/>
  <c r="AL241" i="18"/>
  <c r="AK241" i="18"/>
  <c r="AI241" i="18"/>
  <c r="AH241" i="18"/>
  <c r="AD241" i="18"/>
  <c r="AC241" i="18"/>
  <c r="AE241" i="18" s="1"/>
  <c r="Z241" i="18"/>
  <c r="AA241" i="18" s="1"/>
  <c r="AG241" i="18" s="1"/>
  <c r="W241" i="18"/>
  <c r="V241" i="18"/>
  <c r="U241" i="18"/>
  <c r="AF241" i="18" s="1"/>
  <c r="S241" i="18"/>
  <c r="R241" i="18"/>
  <c r="Q241" i="18"/>
  <c r="O241" i="18"/>
  <c r="N241" i="18"/>
  <c r="M241" i="18"/>
  <c r="L241" i="18"/>
  <c r="AJ241" i="18" s="1"/>
  <c r="K241" i="18"/>
  <c r="AL240" i="18"/>
  <c r="AK240" i="18"/>
  <c r="AI240" i="18"/>
  <c r="AH240" i="18"/>
  <c r="AD240" i="18"/>
  <c r="AC240" i="18"/>
  <c r="AE240" i="18" s="1"/>
  <c r="AA240" i="18"/>
  <c r="AG240" i="18" s="1"/>
  <c r="Z240" i="18"/>
  <c r="W240" i="18"/>
  <c r="V240" i="18"/>
  <c r="U240" i="18"/>
  <c r="AF240" i="18" s="1"/>
  <c r="S240" i="18"/>
  <c r="R240" i="18"/>
  <c r="Q240" i="18"/>
  <c r="O240" i="18"/>
  <c r="N240" i="18"/>
  <c r="M240" i="18"/>
  <c r="L240" i="18"/>
  <c r="AJ240" i="18" s="1"/>
  <c r="K240" i="18"/>
  <c r="AL239" i="18"/>
  <c r="AK239" i="18"/>
  <c r="AI239" i="18"/>
  <c r="AH239" i="18"/>
  <c r="AE239" i="18"/>
  <c r="AD239" i="18"/>
  <c r="AC239" i="18"/>
  <c r="AA239" i="18"/>
  <c r="AG239" i="18" s="1"/>
  <c r="Z239" i="18"/>
  <c r="W239" i="18"/>
  <c r="V239" i="18"/>
  <c r="U239" i="18"/>
  <c r="AF239" i="18" s="1"/>
  <c r="S239" i="18"/>
  <c r="R239" i="18"/>
  <c r="Q239" i="18"/>
  <c r="O239" i="18"/>
  <c r="N239" i="18"/>
  <c r="M239" i="18"/>
  <c r="L239" i="18"/>
  <c r="AJ239" i="18" s="1"/>
  <c r="K239" i="18"/>
  <c r="AL238" i="18"/>
  <c r="AK238" i="18"/>
  <c r="AI238" i="18"/>
  <c r="AH238" i="18"/>
  <c r="AD238" i="18"/>
  <c r="AC238" i="18"/>
  <c r="AE238" i="18" s="1"/>
  <c r="AA238" i="18"/>
  <c r="AG238" i="18" s="1"/>
  <c r="Z238" i="18"/>
  <c r="W238" i="18"/>
  <c r="V238" i="18"/>
  <c r="U238" i="18"/>
  <c r="AF238" i="18" s="1"/>
  <c r="S238" i="18"/>
  <c r="R238" i="18"/>
  <c r="Q238" i="18"/>
  <c r="O238" i="18"/>
  <c r="N238" i="18"/>
  <c r="M238" i="18"/>
  <c r="L238" i="18"/>
  <c r="AJ238" i="18" s="1"/>
  <c r="K238" i="18"/>
  <c r="AL237" i="18"/>
  <c r="AK237" i="18"/>
  <c r="AI237" i="18"/>
  <c r="AH237" i="18"/>
  <c r="AE237" i="18"/>
  <c r="AD237" i="18"/>
  <c r="AC237" i="18"/>
  <c r="AA237" i="18"/>
  <c r="AG237" i="18" s="1"/>
  <c r="Z237" i="18"/>
  <c r="W237" i="18"/>
  <c r="V237" i="18"/>
  <c r="U237" i="18"/>
  <c r="AF237" i="18" s="1"/>
  <c r="S237" i="18"/>
  <c r="R237" i="18"/>
  <c r="Q237" i="18"/>
  <c r="O237" i="18"/>
  <c r="N237" i="18"/>
  <c r="M237" i="18"/>
  <c r="L237" i="18"/>
  <c r="AJ237" i="18" s="1"/>
  <c r="K237" i="18"/>
  <c r="AL236" i="18"/>
  <c r="AK236" i="18"/>
  <c r="AI236" i="18"/>
  <c r="AH236" i="18"/>
  <c r="AD236" i="18"/>
  <c r="AC236" i="18"/>
  <c r="AE236" i="18" s="1"/>
  <c r="AA236" i="18"/>
  <c r="AG236" i="18" s="1"/>
  <c r="Z236" i="18"/>
  <c r="W236" i="18"/>
  <c r="V236" i="18"/>
  <c r="U236" i="18"/>
  <c r="AF236" i="18" s="1"/>
  <c r="S236" i="18"/>
  <c r="R236" i="18"/>
  <c r="Q236" i="18"/>
  <c r="O236" i="18"/>
  <c r="N236" i="18"/>
  <c r="M236" i="18"/>
  <c r="L236" i="18"/>
  <c r="AJ236" i="18" s="1"/>
  <c r="K236" i="18"/>
  <c r="AL235" i="18"/>
  <c r="AK235" i="18"/>
  <c r="AI235" i="18"/>
  <c r="AH235" i="18"/>
  <c r="AE235" i="18"/>
  <c r="AD235" i="18"/>
  <c r="AC235" i="18"/>
  <c r="AA235" i="18"/>
  <c r="AG235" i="18" s="1"/>
  <c r="Z235" i="18"/>
  <c r="W235" i="18"/>
  <c r="V235" i="18"/>
  <c r="U235" i="18"/>
  <c r="AF235" i="18" s="1"/>
  <c r="S235" i="18"/>
  <c r="R235" i="18"/>
  <c r="Q235" i="18"/>
  <c r="O235" i="18"/>
  <c r="N235" i="18"/>
  <c r="M235" i="18"/>
  <c r="L235" i="18"/>
  <c r="AJ235" i="18" s="1"/>
  <c r="K235" i="18"/>
  <c r="AL234" i="18"/>
  <c r="AK234" i="18"/>
  <c r="AI234" i="18"/>
  <c r="AH234" i="18"/>
  <c r="AD234" i="18"/>
  <c r="AC234" i="18"/>
  <c r="AE234" i="18" s="1"/>
  <c r="AA234" i="18"/>
  <c r="AG234" i="18" s="1"/>
  <c r="Z234" i="18"/>
  <c r="W234" i="18"/>
  <c r="V234" i="18"/>
  <c r="U234" i="18"/>
  <c r="AF234" i="18" s="1"/>
  <c r="S234" i="18"/>
  <c r="R234" i="18"/>
  <c r="Q234" i="18"/>
  <c r="O234" i="18"/>
  <c r="N234" i="18"/>
  <c r="M234" i="18"/>
  <c r="L234" i="18"/>
  <c r="AJ234" i="18" s="1"/>
  <c r="K234" i="18"/>
  <c r="AL233" i="18"/>
  <c r="AK233" i="18"/>
  <c r="AI233" i="18"/>
  <c r="AH233" i="18"/>
  <c r="AE233" i="18"/>
  <c r="AD233" i="18"/>
  <c r="AC233" i="18"/>
  <c r="AA233" i="18"/>
  <c r="AG233" i="18" s="1"/>
  <c r="Z233" i="18"/>
  <c r="W233" i="18"/>
  <c r="V233" i="18"/>
  <c r="U233" i="18"/>
  <c r="AF233" i="18" s="1"/>
  <c r="S233" i="18"/>
  <c r="R233" i="18"/>
  <c r="Q233" i="18"/>
  <c r="O233" i="18"/>
  <c r="N233" i="18"/>
  <c r="M233" i="18"/>
  <c r="L233" i="18"/>
  <c r="AJ233" i="18" s="1"/>
  <c r="K233" i="18"/>
  <c r="AL232" i="18"/>
  <c r="AK232" i="18"/>
  <c r="AI232" i="18"/>
  <c r="AH232" i="18"/>
  <c r="AD232" i="18"/>
  <c r="AC232" i="18"/>
  <c r="AE232" i="18" s="1"/>
  <c r="AA232" i="18"/>
  <c r="AG232" i="18" s="1"/>
  <c r="Z232" i="18"/>
  <c r="W232" i="18"/>
  <c r="V232" i="18"/>
  <c r="U232" i="18"/>
  <c r="AF232" i="18" s="1"/>
  <c r="S232" i="18"/>
  <c r="R232" i="18"/>
  <c r="Q232" i="18"/>
  <c r="O232" i="18"/>
  <c r="N232" i="18"/>
  <c r="M232" i="18"/>
  <c r="L232" i="18"/>
  <c r="AJ232" i="18" s="1"/>
  <c r="K232" i="18"/>
  <c r="AL231" i="18"/>
  <c r="AK231" i="18"/>
  <c r="AI231" i="18"/>
  <c r="AH231" i="18"/>
  <c r="AE231" i="18"/>
  <c r="AD231" i="18"/>
  <c r="AC231" i="18"/>
  <c r="AA231" i="18"/>
  <c r="AG231" i="18" s="1"/>
  <c r="Z231" i="18"/>
  <c r="W231" i="18"/>
  <c r="V231" i="18"/>
  <c r="U231" i="18"/>
  <c r="AF231" i="18" s="1"/>
  <c r="S231" i="18"/>
  <c r="R231" i="18"/>
  <c r="Q231" i="18"/>
  <c r="O231" i="18"/>
  <c r="N231" i="18"/>
  <c r="M231" i="18"/>
  <c r="L231" i="18"/>
  <c r="AJ231" i="18" s="1"/>
  <c r="K231" i="18"/>
  <c r="AL230" i="18"/>
  <c r="AK230" i="18"/>
  <c r="AI230" i="18"/>
  <c r="AH230" i="18"/>
  <c r="AD230" i="18"/>
  <c r="AC230" i="18"/>
  <c r="AE230" i="18" s="1"/>
  <c r="AA230" i="18"/>
  <c r="AG230" i="18" s="1"/>
  <c r="Z230" i="18"/>
  <c r="W230" i="18"/>
  <c r="V230" i="18"/>
  <c r="U230" i="18"/>
  <c r="AF230" i="18" s="1"/>
  <c r="S230" i="18"/>
  <c r="R230" i="18"/>
  <c r="Q230" i="18"/>
  <c r="O230" i="18"/>
  <c r="N230" i="18"/>
  <c r="M230" i="18"/>
  <c r="L230" i="18"/>
  <c r="AJ230" i="18" s="1"/>
  <c r="K230" i="18"/>
  <c r="AL229" i="18"/>
  <c r="AK229" i="18"/>
  <c r="AI229" i="18"/>
  <c r="AH229" i="18"/>
  <c r="AE229" i="18"/>
  <c r="AD229" i="18"/>
  <c r="AC229" i="18"/>
  <c r="AA229" i="18"/>
  <c r="AG229" i="18" s="1"/>
  <c r="Z229" i="18"/>
  <c r="W229" i="18"/>
  <c r="V229" i="18"/>
  <c r="U229" i="18"/>
  <c r="AF229" i="18" s="1"/>
  <c r="S229" i="18"/>
  <c r="R229" i="18"/>
  <c r="Q229" i="18"/>
  <c r="O229" i="18"/>
  <c r="N229" i="18"/>
  <c r="M229" i="18"/>
  <c r="L229" i="18"/>
  <c r="AJ229" i="18" s="1"/>
  <c r="K229" i="18"/>
  <c r="AL228" i="18"/>
  <c r="AK228" i="18"/>
  <c r="AI228" i="18"/>
  <c r="AH228" i="18"/>
  <c r="AD228" i="18"/>
  <c r="AC228" i="18"/>
  <c r="AE228" i="18" s="1"/>
  <c r="AA228" i="18"/>
  <c r="AG228" i="18" s="1"/>
  <c r="Z228" i="18"/>
  <c r="W228" i="18"/>
  <c r="V228" i="18"/>
  <c r="U228" i="18"/>
  <c r="AF228" i="18" s="1"/>
  <c r="S228" i="18"/>
  <c r="R228" i="18"/>
  <c r="Q228" i="18"/>
  <c r="O228" i="18"/>
  <c r="N228" i="18"/>
  <c r="M228" i="18"/>
  <c r="L228" i="18"/>
  <c r="AJ228" i="18" s="1"/>
  <c r="K228" i="18"/>
  <c r="AL227" i="18"/>
  <c r="AK227" i="18"/>
  <c r="AI227" i="18"/>
  <c r="AH227" i="18"/>
  <c r="AE227" i="18"/>
  <c r="AD227" i="18"/>
  <c r="AC227" i="18"/>
  <c r="AA227" i="18"/>
  <c r="AG227" i="18" s="1"/>
  <c r="Z227" i="18"/>
  <c r="W227" i="18"/>
  <c r="V227" i="18"/>
  <c r="U227" i="18"/>
  <c r="AF227" i="18" s="1"/>
  <c r="S227" i="18"/>
  <c r="R227" i="18"/>
  <c r="Q227" i="18"/>
  <c r="O227" i="18"/>
  <c r="N227" i="18"/>
  <c r="M227" i="18"/>
  <c r="L227" i="18"/>
  <c r="AJ227" i="18" s="1"/>
  <c r="K227" i="18"/>
  <c r="AL226" i="18"/>
  <c r="AK226" i="18"/>
  <c r="AI226" i="18"/>
  <c r="AH226" i="18"/>
  <c r="AD226" i="18"/>
  <c r="AC226" i="18"/>
  <c r="AE226" i="18" s="1"/>
  <c r="AA226" i="18"/>
  <c r="AG226" i="18" s="1"/>
  <c r="Z226" i="18"/>
  <c r="W226" i="18"/>
  <c r="V226" i="18"/>
  <c r="U226" i="18"/>
  <c r="AF226" i="18" s="1"/>
  <c r="S226" i="18"/>
  <c r="R226" i="18"/>
  <c r="Q226" i="18"/>
  <c r="O226" i="18"/>
  <c r="N226" i="18"/>
  <c r="M226" i="18"/>
  <c r="L226" i="18"/>
  <c r="AJ226" i="18" s="1"/>
  <c r="K226" i="18"/>
  <c r="AL225" i="18"/>
  <c r="AK225" i="18"/>
  <c r="AI225" i="18"/>
  <c r="AH225" i="18"/>
  <c r="AE225" i="18"/>
  <c r="AD225" i="18"/>
  <c r="AC225" i="18"/>
  <c r="AA225" i="18"/>
  <c r="AG225" i="18" s="1"/>
  <c r="Z225" i="18"/>
  <c r="W225" i="18"/>
  <c r="V225" i="18"/>
  <c r="U225" i="18"/>
  <c r="AF225" i="18" s="1"/>
  <c r="S225" i="18"/>
  <c r="R225" i="18"/>
  <c r="Q225" i="18"/>
  <c r="O225" i="18"/>
  <c r="N225" i="18"/>
  <c r="M225" i="18"/>
  <c r="L225" i="18"/>
  <c r="AJ225" i="18" s="1"/>
  <c r="K225" i="18"/>
  <c r="AL224" i="18"/>
  <c r="AK224" i="18"/>
  <c r="AI224" i="18"/>
  <c r="AH224" i="18"/>
  <c r="AD224" i="18"/>
  <c r="AC224" i="18"/>
  <c r="AE224" i="18" s="1"/>
  <c r="AA224" i="18"/>
  <c r="AG224" i="18" s="1"/>
  <c r="Z224" i="18"/>
  <c r="W224" i="18"/>
  <c r="V224" i="18"/>
  <c r="U224" i="18"/>
  <c r="AF224" i="18" s="1"/>
  <c r="S224" i="18"/>
  <c r="R224" i="18"/>
  <c r="Q224" i="18"/>
  <c r="O224" i="18"/>
  <c r="N224" i="18"/>
  <c r="M224" i="18"/>
  <c r="L224" i="18"/>
  <c r="AJ224" i="18" s="1"/>
  <c r="K224" i="18"/>
  <c r="AL223" i="18"/>
  <c r="AK223" i="18"/>
  <c r="AI223" i="18"/>
  <c r="AH223" i="18"/>
  <c r="AE223" i="18"/>
  <c r="AD223" i="18"/>
  <c r="AC223" i="18"/>
  <c r="AA223" i="18"/>
  <c r="AG223" i="18" s="1"/>
  <c r="Z223" i="18"/>
  <c r="W223" i="18"/>
  <c r="V223" i="18"/>
  <c r="U223" i="18"/>
  <c r="AF223" i="18" s="1"/>
  <c r="S223" i="18"/>
  <c r="R223" i="18"/>
  <c r="Q223" i="18"/>
  <c r="O223" i="18"/>
  <c r="N223" i="18"/>
  <c r="M223" i="18"/>
  <c r="L223" i="18"/>
  <c r="AJ223" i="18" s="1"/>
  <c r="K223" i="18"/>
  <c r="AL222" i="18"/>
  <c r="AK222" i="18"/>
  <c r="AI222" i="18"/>
  <c r="AH222" i="18"/>
  <c r="AD222" i="18"/>
  <c r="AC222" i="18"/>
  <c r="AE222" i="18" s="1"/>
  <c r="AA222" i="18"/>
  <c r="AG222" i="18" s="1"/>
  <c r="Z222" i="18"/>
  <c r="W222" i="18"/>
  <c r="V222" i="18"/>
  <c r="U222" i="18"/>
  <c r="AF222" i="18" s="1"/>
  <c r="S222" i="18"/>
  <c r="R222" i="18"/>
  <c r="Q222" i="18"/>
  <c r="O222" i="18"/>
  <c r="N222" i="18"/>
  <c r="M222" i="18"/>
  <c r="L222" i="18"/>
  <c r="AJ222" i="18" s="1"/>
  <c r="K222" i="18"/>
  <c r="AL221" i="18"/>
  <c r="AK221" i="18"/>
  <c r="AI221" i="18"/>
  <c r="AH221" i="18"/>
  <c r="AE221" i="18"/>
  <c r="AD221" i="18"/>
  <c r="AC221" i="18"/>
  <c r="AA221" i="18"/>
  <c r="AG221" i="18" s="1"/>
  <c r="Z221" i="18"/>
  <c r="W221" i="18"/>
  <c r="V221" i="18"/>
  <c r="U221" i="18"/>
  <c r="AF221" i="18" s="1"/>
  <c r="S221" i="18"/>
  <c r="R221" i="18"/>
  <c r="Q221" i="18"/>
  <c r="O221" i="18"/>
  <c r="N221" i="18"/>
  <c r="M221" i="18"/>
  <c r="L221" i="18"/>
  <c r="AJ221" i="18" s="1"/>
  <c r="K221" i="18"/>
  <c r="AL220" i="18"/>
  <c r="AK220" i="18"/>
  <c r="AI220" i="18"/>
  <c r="AH220" i="18"/>
  <c r="AD220" i="18"/>
  <c r="AC220" i="18"/>
  <c r="AE220" i="18" s="1"/>
  <c r="AA220" i="18"/>
  <c r="AG220" i="18" s="1"/>
  <c r="Z220" i="18"/>
  <c r="W220" i="18"/>
  <c r="V220" i="18"/>
  <c r="U220" i="18"/>
  <c r="AF220" i="18" s="1"/>
  <c r="S220" i="18"/>
  <c r="R220" i="18"/>
  <c r="Q220" i="18"/>
  <c r="O220" i="18"/>
  <c r="N220" i="18"/>
  <c r="M220" i="18"/>
  <c r="L220" i="18"/>
  <c r="AJ220" i="18" s="1"/>
  <c r="K220" i="18"/>
  <c r="AL219" i="18"/>
  <c r="AK219" i="18"/>
  <c r="AI219" i="18"/>
  <c r="AH219" i="18"/>
  <c r="AE219" i="18"/>
  <c r="AD219" i="18"/>
  <c r="AC219" i="18"/>
  <c r="AA219" i="18"/>
  <c r="AG219" i="18" s="1"/>
  <c r="Z219" i="18"/>
  <c r="W219" i="18"/>
  <c r="V219" i="18"/>
  <c r="U219" i="18"/>
  <c r="AF219" i="18" s="1"/>
  <c r="S219" i="18"/>
  <c r="R219" i="18"/>
  <c r="Q219" i="18"/>
  <c r="O219" i="18"/>
  <c r="N219" i="18"/>
  <c r="M219" i="18"/>
  <c r="L219" i="18"/>
  <c r="AJ219" i="18" s="1"/>
  <c r="K219" i="18"/>
  <c r="AL218" i="18"/>
  <c r="AK218" i="18"/>
  <c r="AI218" i="18"/>
  <c r="AH218" i="18"/>
  <c r="AD218" i="18"/>
  <c r="AC218" i="18"/>
  <c r="AE218" i="18" s="1"/>
  <c r="AA218" i="18"/>
  <c r="AG218" i="18" s="1"/>
  <c r="Z218" i="18"/>
  <c r="W218" i="18"/>
  <c r="V218" i="18"/>
  <c r="U218" i="18"/>
  <c r="AF218" i="18" s="1"/>
  <c r="S218" i="18"/>
  <c r="R218" i="18"/>
  <c r="Q218" i="18"/>
  <c r="O218" i="18"/>
  <c r="N218" i="18"/>
  <c r="M218" i="18"/>
  <c r="L218" i="18"/>
  <c r="AJ218" i="18" s="1"/>
  <c r="K218" i="18"/>
  <c r="AL217" i="18"/>
  <c r="AK217" i="18"/>
  <c r="AI217" i="18"/>
  <c r="AH217" i="18"/>
  <c r="AE217" i="18"/>
  <c r="AD217" i="18"/>
  <c r="AC217" i="18"/>
  <c r="AA217" i="18"/>
  <c r="AG217" i="18" s="1"/>
  <c r="Z217" i="18"/>
  <c r="W217" i="18"/>
  <c r="V217" i="18"/>
  <c r="U217" i="18"/>
  <c r="AF217" i="18" s="1"/>
  <c r="S217" i="18"/>
  <c r="R217" i="18"/>
  <c r="Q217" i="18"/>
  <c r="O217" i="18"/>
  <c r="N217" i="18"/>
  <c r="M217" i="18"/>
  <c r="L217" i="18"/>
  <c r="AJ217" i="18" s="1"/>
  <c r="K217" i="18"/>
  <c r="AL216" i="18"/>
  <c r="AK216" i="18"/>
  <c r="AI216" i="18"/>
  <c r="AH216" i="18"/>
  <c r="AD216" i="18"/>
  <c r="AC216" i="18"/>
  <c r="AE216" i="18" s="1"/>
  <c r="AA216" i="18"/>
  <c r="AG216" i="18" s="1"/>
  <c r="Z216" i="18"/>
  <c r="W216" i="18"/>
  <c r="V216" i="18"/>
  <c r="U216" i="18"/>
  <c r="AF216" i="18" s="1"/>
  <c r="S216" i="18"/>
  <c r="R216" i="18"/>
  <c r="Q216" i="18"/>
  <c r="O216" i="18"/>
  <c r="N216" i="18"/>
  <c r="M216" i="18"/>
  <c r="L216" i="18"/>
  <c r="AJ216" i="18" s="1"/>
  <c r="K216" i="18"/>
  <c r="AL215" i="18"/>
  <c r="AK215" i="18"/>
  <c r="AI215" i="18"/>
  <c r="AH215" i="18"/>
  <c r="AE215" i="18"/>
  <c r="AD215" i="18"/>
  <c r="AC215" i="18"/>
  <c r="AA215" i="18"/>
  <c r="AG215" i="18" s="1"/>
  <c r="Z215" i="18"/>
  <c r="W215" i="18"/>
  <c r="V215" i="18"/>
  <c r="U215" i="18"/>
  <c r="AF215" i="18" s="1"/>
  <c r="S215" i="18"/>
  <c r="R215" i="18"/>
  <c r="Q215" i="18"/>
  <c r="O215" i="18"/>
  <c r="N215" i="18"/>
  <c r="M215" i="18"/>
  <c r="L215" i="18"/>
  <c r="AJ215" i="18" s="1"/>
  <c r="K215" i="18"/>
  <c r="AL214" i="18"/>
  <c r="AK214" i="18"/>
  <c r="AI214" i="18"/>
  <c r="AH214" i="18"/>
  <c r="AD214" i="18"/>
  <c r="AC214" i="18"/>
  <c r="AE214" i="18" s="1"/>
  <c r="AA214" i="18"/>
  <c r="AG214" i="18" s="1"/>
  <c r="Z214" i="18"/>
  <c r="W214" i="18"/>
  <c r="V214" i="18"/>
  <c r="U214" i="18"/>
  <c r="AF214" i="18" s="1"/>
  <c r="S214" i="18"/>
  <c r="R214" i="18"/>
  <c r="Q214" i="18"/>
  <c r="O214" i="18"/>
  <c r="N214" i="18"/>
  <c r="M214" i="18"/>
  <c r="L214" i="18"/>
  <c r="AJ214" i="18" s="1"/>
  <c r="K214" i="18"/>
  <c r="AL213" i="18"/>
  <c r="AK213" i="18"/>
  <c r="AI213" i="18"/>
  <c r="AH213" i="18"/>
  <c r="AE213" i="18"/>
  <c r="AD213" i="18"/>
  <c r="AC213" i="18"/>
  <c r="AA213" i="18"/>
  <c r="AG213" i="18" s="1"/>
  <c r="Z213" i="18"/>
  <c r="W213" i="18"/>
  <c r="V213" i="18"/>
  <c r="U213" i="18"/>
  <c r="AF213" i="18" s="1"/>
  <c r="S213" i="18"/>
  <c r="R213" i="18"/>
  <c r="Q213" i="18"/>
  <c r="O213" i="18"/>
  <c r="N213" i="18"/>
  <c r="M213" i="18"/>
  <c r="L213" i="18"/>
  <c r="AJ213" i="18" s="1"/>
  <c r="K213" i="18"/>
  <c r="AL212" i="18"/>
  <c r="AK212" i="18"/>
  <c r="AI212" i="18"/>
  <c r="AH212" i="18"/>
  <c r="AD212" i="18"/>
  <c r="AC212" i="18"/>
  <c r="AE212" i="18" s="1"/>
  <c r="AA212" i="18"/>
  <c r="AG212" i="18" s="1"/>
  <c r="Z212" i="18"/>
  <c r="W212" i="18"/>
  <c r="V212" i="18"/>
  <c r="U212" i="18"/>
  <c r="AF212" i="18" s="1"/>
  <c r="S212" i="18"/>
  <c r="R212" i="18"/>
  <c r="Q212" i="18"/>
  <c r="O212" i="18"/>
  <c r="N212" i="18"/>
  <c r="M212" i="18"/>
  <c r="L212" i="18"/>
  <c r="AJ212" i="18" s="1"/>
  <c r="K212" i="18"/>
  <c r="AL211" i="18"/>
  <c r="AK211" i="18"/>
  <c r="AI211" i="18"/>
  <c r="AH211" i="18"/>
  <c r="AE211" i="18"/>
  <c r="AD211" i="18"/>
  <c r="AC211" i="18"/>
  <c r="AA211" i="18"/>
  <c r="AG211" i="18" s="1"/>
  <c r="Z211" i="18"/>
  <c r="W211" i="18"/>
  <c r="V211" i="18"/>
  <c r="U211" i="18"/>
  <c r="AF211" i="18" s="1"/>
  <c r="S211" i="18"/>
  <c r="R211" i="18"/>
  <c r="Q211" i="18"/>
  <c r="O211" i="18"/>
  <c r="N211" i="18"/>
  <c r="M211" i="18"/>
  <c r="L211" i="18"/>
  <c r="AJ211" i="18" s="1"/>
  <c r="K211" i="18"/>
  <c r="AL210" i="18"/>
  <c r="AK210" i="18"/>
  <c r="AI210" i="18"/>
  <c r="AH210" i="18"/>
  <c r="AD210" i="18"/>
  <c r="AC210" i="18"/>
  <c r="AE210" i="18" s="1"/>
  <c r="AA210" i="18"/>
  <c r="AG210" i="18" s="1"/>
  <c r="Z210" i="18"/>
  <c r="W210" i="18"/>
  <c r="V210" i="18"/>
  <c r="U210" i="18"/>
  <c r="AF210" i="18" s="1"/>
  <c r="S210" i="18"/>
  <c r="R210" i="18"/>
  <c r="Q210" i="18"/>
  <c r="O210" i="18"/>
  <c r="N210" i="18"/>
  <c r="M210" i="18"/>
  <c r="L210" i="18"/>
  <c r="AJ210" i="18" s="1"/>
  <c r="K210" i="18"/>
  <c r="AL209" i="18"/>
  <c r="AK209" i="18"/>
  <c r="AI209" i="18"/>
  <c r="AH209" i="18"/>
  <c r="AE209" i="18"/>
  <c r="AD209" i="18"/>
  <c r="AC209" i="18"/>
  <c r="AA209" i="18"/>
  <c r="AG209" i="18" s="1"/>
  <c r="Z209" i="18"/>
  <c r="W209" i="18"/>
  <c r="V209" i="18"/>
  <c r="U209" i="18"/>
  <c r="AF209" i="18" s="1"/>
  <c r="S209" i="18"/>
  <c r="R209" i="18"/>
  <c r="Q209" i="18"/>
  <c r="O209" i="18"/>
  <c r="N209" i="18"/>
  <c r="M209" i="18"/>
  <c r="L209" i="18"/>
  <c r="AJ209" i="18" s="1"/>
  <c r="K209" i="18"/>
  <c r="AL208" i="18"/>
  <c r="AK208" i="18"/>
  <c r="AI208" i="18"/>
  <c r="AH208" i="18"/>
  <c r="AD208" i="18"/>
  <c r="AC208" i="18"/>
  <c r="AE208" i="18" s="1"/>
  <c r="AA208" i="18"/>
  <c r="AG208" i="18" s="1"/>
  <c r="Z208" i="18"/>
  <c r="W208" i="18"/>
  <c r="V208" i="18"/>
  <c r="U208" i="18"/>
  <c r="AF208" i="18" s="1"/>
  <c r="S208" i="18"/>
  <c r="R208" i="18"/>
  <c r="Q208" i="18"/>
  <c r="O208" i="18"/>
  <c r="N208" i="18"/>
  <c r="M208" i="18"/>
  <c r="L208" i="18"/>
  <c r="AJ208" i="18" s="1"/>
  <c r="K208" i="18"/>
  <c r="AL207" i="18"/>
  <c r="AK207" i="18"/>
  <c r="AI207" i="18"/>
  <c r="AH207" i="18"/>
  <c r="AE207" i="18"/>
  <c r="AD207" i="18"/>
  <c r="AC207" i="18"/>
  <c r="AA207" i="18"/>
  <c r="AG207" i="18" s="1"/>
  <c r="Z207" i="18"/>
  <c r="W207" i="18"/>
  <c r="V207" i="18"/>
  <c r="U207" i="18"/>
  <c r="AF207" i="18" s="1"/>
  <c r="S207" i="18"/>
  <c r="R207" i="18"/>
  <c r="Q207" i="18"/>
  <c r="O207" i="18"/>
  <c r="N207" i="18"/>
  <c r="M207" i="18"/>
  <c r="L207" i="18"/>
  <c r="AJ207" i="18" s="1"/>
  <c r="K207" i="18"/>
  <c r="AL206" i="18"/>
  <c r="AK206" i="18"/>
  <c r="AI206" i="18"/>
  <c r="AH206" i="18"/>
  <c r="AD206" i="18"/>
  <c r="AC206" i="18"/>
  <c r="AE206" i="18" s="1"/>
  <c r="AA206" i="18"/>
  <c r="AG206" i="18" s="1"/>
  <c r="Z206" i="18"/>
  <c r="W206" i="18"/>
  <c r="V206" i="18"/>
  <c r="U206" i="18"/>
  <c r="AF206" i="18" s="1"/>
  <c r="S206" i="18"/>
  <c r="R206" i="18"/>
  <c r="Q206" i="18"/>
  <c r="O206" i="18"/>
  <c r="N206" i="18"/>
  <c r="M206" i="18"/>
  <c r="L206" i="18"/>
  <c r="AJ206" i="18" s="1"/>
  <c r="K206" i="18"/>
  <c r="AL205" i="18"/>
  <c r="AK205" i="18"/>
  <c r="AI205" i="18"/>
  <c r="AH205" i="18"/>
  <c r="AE205" i="18"/>
  <c r="AD205" i="18"/>
  <c r="AC205" i="18"/>
  <c r="AA205" i="18"/>
  <c r="AG205" i="18" s="1"/>
  <c r="Z205" i="18"/>
  <c r="W205" i="18"/>
  <c r="V205" i="18"/>
  <c r="U205" i="18"/>
  <c r="AF205" i="18" s="1"/>
  <c r="S205" i="18"/>
  <c r="R205" i="18"/>
  <c r="Q205" i="18"/>
  <c r="O205" i="18"/>
  <c r="N205" i="18"/>
  <c r="M205" i="18"/>
  <c r="L205" i="18"/>
  <c r="AJ205" i="18" s="1"/>
  <c r="K205" i="18"/>
  <c r="AL204" i="18"/>
  <c r="AK204" i="18"/>
  <c r="AI204" i="18"/>
  <c r="AH204" i="18"/>
  <c r="AD204" i="18"/>
  <c r="AC204" i="18"/>
  <c r="AE204" i="18" s="1"/>
  <c r="AA204" i="18"/>
  <c r="AG204" i="18" s="1"/>
  <c r="Z204" i="18"/>
  <c r="W204" i="18"/>
  <c r="V204" i="18"/>
  <c r="U204" i="18"/>
  <c r="AF204" i="18" s="1"/>
  <c r="S204" i="18"/>
  <c r="R204" i="18"/>
  <c r="Q204" i="18"/>
  <c r="O204" i="18"/>
  <c r="N204" i="18"/>
  <c r="M204" i="18"/>
  <c r="L204" i="18"/>
  <c r="AJ204" i="18" s="1"/>
  <c r="K204" i="18"/>
  <c r="AL203" i="18"/>
  <c r="AK203" i="18"/>
  <c r="AI203" i="18"/>
  <c r="AH203" i="18"/>
  <c r="AE203" i="18"/>
  <c r="AD203" i="18"/>
  <c r="AC203" i="18"/>
  <c r="AA203" i="18"/>
  <c r="AG203" i="18" s="1"/>
  <c r="Z203" i="18"/>
  <c r="W203" i="18"/>
  <c r="V203" i="18"/>
  <c r="U203" i="18"/>
  <c r="AF203" i="18" s="1"/>
  <c r="S203" i="18"/>
  <c r="R203" i="18"/>
  <c r="Q203" i="18"/>
  <c r="O203" i="18"/>
  <c r="N203" i="18"/>
  <c r="M203" i="18"/>
  <c r="L203" i="18"/>
  <c r="AJ203" i="18" s="1"/>
  <c r="K203" i="18"/>
  <c r="AL202" i="18"/>
  <c r="AK202" i="18"/>
  <c r="AI202" i="18"/>
  <c r="AH202" i="18"/>
  <c r="AD202" i="18"/>
  <c r="AC202" i="18"/>
  <c r="AE202" i="18" s="1"/>
  <c r="AA202" i="18"/>
  <c r="AG202" i="18" s="1"/>
  <c r="Z202" i="18"/>
  <c r="W202" i="18"/>
  <c r="V202" i="18"/>
  <c r="U202" i="18"/>
  <c r="AF202" i="18" s="1"/>
  <c r="S202" i="18"/>
  <c r="R202" i="18"/>
  <c r="Q202" i="18"/>
  <c r="O202" i="18"/>
  <c r="N202" i="18"/>
  <c r="M202" i="18"/>
  <c r="L202" i="18"/>
  <c r="AJ202" i="18" s="1"/>
  <c r="K202" i="18"/>
  <c r="AL201" i="18"/>
  <c r="AK201" i="18"/>
  <c r="AI201" i="18"/>
  <c r="AH201" i="18"/>
  <c r="AE201" i="18"/>
  <c r="AD201" i="18"/>
  <c r="AC201" i="18"/>
  <c r="AA201" i="18"/>
  <c r="AG201" i="18" s="1"/>
  <c r="Z201" i="18"/>
  <c r="W201" i="18"/>
  <c r="V201" i="18"/>
  <c r="U201" i="18"/>
  <c r="AF201" i="18" s="1"/>
  <c r="S201" i="18"/>
  <c r="R201" i="18"/>
  <c r="Q201" i="18"/>
  <c r="O201" i="18"/>
  <c r="N201" i="18"/>
  <c r="M201" i="18"/>
  <c r="L201" i="18"/>
  <c r="AJ201" i="18" s="1"/>
  <c r="K201" i="18"/>
  <c r="AL200" i="18"/>
  <c r="AK200" i="18"/>
  <c r="AI200" i="18"/>
  <c r="AH200" i="18"/>
  <c r="AD200" i="18"/>
  <c r="AC200" i="18"/>
  <c r="AE200" i="18" s="1"/>
  <c r="AA200" i="18"/>
  <c r="AG200" i="18" s="1"/>
  <c r="Z200" i="18"/>
  <c r="W200" i="18"/>
  <c r="V200" i="18"/>
  <c r="U200" i="18"/>
  <c r="AF200" i="18" s="1"/>
  <c r="S200" i="18"/>
  <c r="R200" i="18"/>
  <c r="Q200" i="18"/>
  <c r="O200" i="18"/>
  <c r="N200" i="18"/>
  <c r="M200" i="18"/>
  <c r="L200" i="18"/>
  <c r="AJ200" i="18" s="1"/>
  <c r="K200" i="18"/>
  <c r="AL199" i="18"/>
  <c r="V199" i="18"/>
  <c r="R199" i="18"/>
  <c r="N199" i="18"/>
  <c r="L199" i="18"/>
  <c r="AH199" i="18" s="1"/>
  <c r="AL198" i="18"/>
  <c r="AH198" i="18"/>
  <c r="Z198" i="18"/>
  <c r="V198" i="18"/>
  <c r="R198" i="18"/>
  <c r="N198" i="18"/>
  <c r="L198" i="18"/>
  <c r="AK198" i="18" s="1"/>
  <c r="AL197" i="18"/>
  <c r="AH197" i="18"/>
  <c r="Z197" i="18"/>
  <c r="V197" i="18"/>
  <c r="R197" i="18"/>
  <c r="N197" i="18"/>
  <c r="L197" i="18"/>
  <c r="AK197" i="18" s="1"/>
  <c r="AL196" i="18"/>
  <c r="AH196" i="18"/>
  <c r="Z196" i="18"/>
  <c r="V196" i="18"/>
  <c r="R196" i="18"/>
  <c r="N196" i="18"/>
  <c r="L196" i="18"/>
  <c r="AK196" i="18" s="1"/>
  <c r="AL195" i="18"/>
  <c r="AH195" i="18"/>
  <c r="Z195" i="18"/>
  <c r="V195" i="18"/>
  <c r="R195" i="18"/>
  <c r="N195" i="18"/>
  <c r="L195" i="18"/>
  <c r="AK195" i="18" s="1"/>
  <c r="AL194" i="18"/>
  <c r="AH194" i="18"/>
  <c r="Z194" i="18"/>
  <c r="V194" i="18"/>
  <c r="R194" i="18"/>
  <c r="N194" i="18"/>
  <c r="L194" i="18"/>
  <c r="AK194" i="18" s="1"/>
  <c r="AL193" i="18"/>
  <c r="AH193" i="18"/>
  <c r="Z193" i="18"/>
  <c r="V193" i="18"/>
  <c r="R193" i="18"/>
  <c r="N193" i="18"/>
  <c r="L193" i="18"/>
  <c r="AK193" i="18" s="1"/>
  <c r="AL192" i="18"/>
  <c r="AH192" i="18"/>
  <c r="Z192" i="18"/>
  <c r="V192" i="18"/>
  <c r="R192" i="18"/>
  <c r="N192" i="18"/>
  <c r="L192" i="18"/>
  <c r="AK192" i="18" s="1"/>
  <c r="AL191" i="18"/>
  <c r="AH191" i="18"/>
  <c r="Z191" i="18"/>
  <c r="V191" i="18"/>
  <c r="R191" i="18"/>
  <c r="N191" i="18"/>
  <c r="L191" i="18"/>
  <c r="AK191" i="18" s="1"/>
  <c r="AL190" i="18"/>
  <c r="AH190" i="18"/>
  <c r="Z190" i="18"/>
  <c r="V190" i="18"/>
  <c r="R190" i="18"/>
  <c r="N190" i="18"/>
  <c r="L190" i="18"/>
  <c r="AK190" i="18" s="1"/>
  <c r="AL189" i="18"/>
  <c r="AH189" i="18"/>
  <c r="Z189" i="18"/>
  <c r="V189" i="18"/>
  <c r="R189" i="18"/>
  <c r="N189" i="18"/>
  <c r="L189" i="18"/>
  <c r="AK189" i="18" s="1"/>
  <c r="AL188" i="18"/>
  <c r="AH188" i="18"/>
  <c r="Z188" i="18"/>
  <c r="V188" i="18"/>
  <c r="R188" i="18"/>
  <c r="N188" i="18"/>
  <c r="L188" i="18"/>
  <c r="AK188" i="18" s="1"/>
  <c r="AL187" i="18"/>
  <c r="AH187" i="18"/>
  <c r="Z187" i="18"/>
  <c r="V187" i="18"/>
  <c r="R187" i="18"/>
  <c r="N187" i="18"/>
  <c r="L187" i="18"/>
  <c r="AK187" i="18" s="1"/>
  <c r="AL186" i="18"/>
  <c r="AH186" i="18"/>
  <c r="Z186" i="18"/>
  <c r="V186" i="18"/>
  <c r="R186" i="18"/>
  <c r="N186" i="18"/>
  <c r="L186" i="18"/>
  <c r="AK186" i="18" s="1"/>
  <c r="AL185" i="18"/>
  <c r="AH185" i="18"/>
  <c r="Z185" i="18"/>
  <c r="V185" i="18"/>
  <c r="R185" i="18"/>
  <c r="N185" i="18"/>
  <c r="L185" i="18"/>
  <c r="AK185" i="18" s="1"/>
  <c r="AL184" i="18"/>
  <c r="AH184" i="18"/>
  <c r="Z184" i="18"/>
  <c r="V184" i="18"/>
  <c r="R184" i="18"/>
  <c r="N184" i="18"/>
  <c r="L184" i="18"/>
  <c r="AK184" i="18" s="1"/>
  <c r="AL183" i="18"/>
  <c r="AH183" i="18"/>
  <c r="Z183" i="18"/>
  <c r="V183" i="18"/>
  <c r="R183" i="18"/>
  <c r="N183" i="18"/>
  <c r="L183" i="18"/>
  <c r="AK183" i="18" s="1"/>
  <c r="T182" i="18"/>
  <c r="L182" i="18"/>
  <c r="AJ182" i="18" s="1"/>
  <c r="X181" i="18"/>
  <c r="P181" i="18"/>
  <c r="L181" i="18"/>
  <c r="AH181" i="18" s="1"/>
  <c r="T180" i="18"/>
  <c r="L180" i="18"/>
  <c r="AJ180" i="18" s="1"/>
  <c r="X179" i="18"/>
  <c r="P179" i="18"/>
  <c r="L179" i="18"/>
  <c r="AH179" i="18" s="1"/>
  <c r="T178" i="18"/>
  <c r="L178" i="18"/>
  <c r="AJ178" i="18" s="1"/>
  <c r="X177" i="18"/>
  <c r="P177" i="18"/>
  <c r="L177" i="18"/>
  <c r="AH177" i="18" s="1"/>
  <c r="T176" i="18"/>
  <c r="L176" i="18"/>
  <c r="AJ176" i="18" s="1"/>
  <c r="X175" i="18"/>
  <c r="P175" i="18"/>
  <c r="L175" i="18"/>
  <c r="AH175" i="18" s="1"/>
  <c r="T174" i="18"/>
  <c r="L174" i="18"/>
  <c r="AJ174" i="18" s="1"/>
  <c r="X173" i="18"/>
  <c r="P173" i="18"/>
  <c r="L173" i="18"/>
  <c r="AH173" i="18" s="1"/>
  <c r="T172" i="18"/>
  <c r="L172" i="18"/>
  <c r="AJ172" i="18" s="1"/>
  <c r="X171" i="18"/>
  <c r="P171" i="18"/>
  <c r="L171" i="18"/>
  <c r="AH171" i="18" s="1"/>
  <c r="T170" i="18"/>
  <c r="L170" i="18"/>
  <c r="AJ170" i="18" s="1"/>
  <c r="X169" i="18"/>
  <c r="P169" i="18"/>
  <c r="L169" i="18"/>
  <c r="AH169" i="18" s="1"/>
  <c r="T168" i="18"/>
  <c r="L168" i="18"/>
  <c r="AJ168" i="18" s="1"/>
  <c r="X167" i="18"/>
  <c r="P167" i="18"/>
  <c r="L167" i="18"/>
  <c r="AH167" i="18" s="1"/>
  <c r="T166" i="18"/>
  <c r="L166" i="18"/>
  <c r="AJ166" i="18" s="1"/>
  <c r="X165" i="18"/>
  <c r="P165" i="18"/>
  <c r="L165" i="18"/>
  <c r="AH165" i="18" s="1"/>
  <c r="T164" i="18"/>
  <c r="L164" i="18"/>
  <c r="AJ164" i="18" s="1"/>
  <c r="X163" i="18"/>
  <c r="P163" i="18"/>
  <c r="L163" i="18"/>
  <c r="AH163" i="18" s="1"/>
  <c r="T162" i="18"/>
  <c r="L162" i="18"/>
  <c r="AJ162" i="18" s="1"/>
  <c r="X161" i="18"/>
  <c r="P161" i="18"/>
  <c r="L161" i="18"/>
  <c r="AH161" i="18" s="1"/>
  <c r="T160" i="18"/>
  <c r="L160" i="18"/>
  <c r="AJ160" i="18" s="1"/>
  <c r="X159" i="18"/>
  <c r="P159" i="18"/>
  <c r="L159" i="18"/>
  <c r="AH159" i="18" s="1"/>
  <c r="T158" i="18"/>
  <c r="L158" i="18"/>
  <c r="AJ158" i="18" s="1"/>
  <c r="X157" i="18"/>
  <c r="P157" i="18"/>
  <c r="L157" i="18"/>
  <c r="AH157" i="18" s="1"/>
  <c r="T156" i="18"/>
  <c r="L156" i="18"/>
  <c r="AJ156" i="18" s="1"/>
  <c r="X155" i="18"/>
  <c r="P155" i="18"/>
  <c r="L155" i="18"/>
  <c r="AH155" i="18" s="1"/>
  <c r="T154" i="18"/>
  <c r="L154" i="18"/>
  <c r="AJ154" i="18" s="1"/>
  <c r="X153" i="18"/>
  <c r="P153" i="18"/>
  <c r="L153" i="18"/>
  <c r="AH153" i="18" s="1"/>
  <c r="T152" i="18"/>
  <c r="L152" i="18"/>
  <c r="AJ152" i="18" s="1"/>
  <c r="X151" i="18"/>
  <c r="P151" i="18"/>
  <c r="L151" i="18"/>
  <c r="AH151" i="18" s="1"/>
  <c r="T150" i="18"/>
  <c r="L150" i="18"/>
  <c r="AJ150" i="18" s="1"/>
  <c r="X149" i="18"/>
  <c r="P149" i="18"/>
  <c r="L149" i="18"/>
  <c r="AH149" i="18" s="1"/>
  <c r="T148" i="18"/>
  <c r="L148" i="18"/>
  <c r="AJ148" i="18" s="1"/>
  <c r="X147" i="18"/>
  <c r="P147" i="18"/>
  <c r="L147" i="18"/>
  <c r="AH147" i="18" s="1"/>
  <c r="T146" i="18"/>
  <c r="L146" i="18"/>
  <c r="AJ146" i="18" s="1"/>
  <c r="X145" i="18"/>
  <c r="P145" i="18"/>
  <c r="L145" i="18"/>
  <c r="AH145" i="18" s="1"/>
  <c r="T144" i="18"/>
  <c r="L144" i="18"/>
  <c r="AJ144" i="18" s="1"/>
  <c r="X143" i="18"/>
  <c r="P143" i="18"/>
  <c r="L143" i="18"/>
  <c r="AH143" i="18" s="1"/>
  <c r="T142" i="18"/>
  <c r="L142" i="18"/>
  <c r="AJ142" i="18" s="1"/>
  <c r="X141" i="18"/>
  <c r="P141" i="18"/>
  <c r="L141" i="18"/>
  <c r="AH141" i="18" s="1"/>
  <c r="T140" i="18"/>
  <c r="L140" i="18"/>
  <c r="AJ140" i="18" s="1"/>
  <c r="X139" i="18"/>
  <c r="P139" i="18"/>
  <c r="L139" i="18"/>
  <c r="AH139" i="18" s="1"/>
  <c r="T138" i="18"/>
  <c r="L138" i="18"/>
  <c r="AJ138" i="18" s="1"/>
  <c r="X137" i="18"/>
  <c r="P137" i="18"/>
  <c r="L137" i="18"/>
  <c r="AH137" i="18" s="1"/>
  <c r="T136" i="18"/>
  <c r="L136" i="18"/>
  <c r="AJ136" i="18" s="1"/>
  <c r="X135" i="18"/>
  <c r="P135" i="18"/>
  <c r="L135" i="18"/>
  <c r="AH135" i="18" s="1"/>
  <c r="T134" i="18"/>
  <c r="L134" i="18"/>
  <c r="AJ134" i="18" s="1"/>
  <c r="X133" i="18"/>
  <c r="P133" i="18"/>
  <c r="L133" i="18"/>
  <c r="AH133" i="18" s="1"/>
  <c r="T132" i="18"/>
  <c r="L132" i="18"/>
  <c r="AJ132" i="18" s="1"/>
  <c r="X131" i="18"/>
  <c r="P131" i="18"/>
  <c r="L131" i="18"/>
  <c r="AH131" i="18" s="1"/>
  <c r="T130" i="18"/>
  <c r="L130" i="18"/>
  <c r="AJ130" i="18" s="1"/>
  <c r="X129" i="18"/>
  <c r="P129" i="18"/>
  <c r="L129" i="18"/>
  <c r="AH129" i="18" s="1"/>
  <c r="T128" i="18"/>
  <c r="L128" i="18"/>
  <c r="AJ128" i="18" s="1"/>
  <c r="X127" i="18"/>
  <c r="P127" i="18"/>
  <c r="L127" i="18"/>
  <c r="AH127" i="18" s="1"/>
  <c r="T126" i="18"/>
  <c r="L126" i="18"/>
  <c r="AJ126" i="18" s="1"/>
  <c r="X125" i="18"/>
  <c r="P125" i="18"/>
  <c r="L125" i="18"/>
  <c r="AH125" i="18" s="1"/>
  <c r="T124" i="18"/>
  <c r="L124" i="18"/>
  <c r="AJ124" i="18" s="1"/>
  <c r="X123" i="18"/>
  <c r="P123" i="18"/>
  <c r="L123" i="18"/>
  <c r="AH123" i="18" s="1"/>
  <c r="T122" i="18"/>
  <c r="L122" i="18"/>
  <c r="AJ122" i="18" s="1"/>
  <c r="X121" i="18"/>
  <c r="P121" i="18"/>
  <c r="L121" i="18"/>
  <c r="AH121" i="18" s="1"/>
  <c r="T120" i="18"/>
  <c r="L120" i="18"/>
  <c r="AJ120" i="18" s="1"/>
  <c r="X119" i="18"/>
  <c r="P119" i="18"/>
  <c r="L119" i="18"/>
  <c r="AH119" i="18" s="1"/>
  <c r="T118" i="18"/>
  <c r="L118" i="18"/>
  <c r="AJ118" i="18" s="1"/>
  <c r="X117" i="18"/>
  <c r="P117" i="18"/>
  <c r="L117" i="18"/>
  <c r="AH117" i="18" s="1"/>
  <c r="T116" i="18"/>
  <c r="L116" i="18"/>
  <c r="AJ116" i="18" s="1"/>
  <c r="X115" i="18"/>
  <c r="P115" i="18"/>
  <c r="L115" i="18"/>
  <c r="AH115" i="18" s="1"/>
  <c r="T114" i="18"/>
  <c r="L114" i="18"/>
  <c r="AJ114" i="18" s="1"/>
  <c r="X113" i="18"/>
  <c r="P113" i="18"/>
  <c r="L113" i="18"/>
  <c r="AH113" i="18" s="1"/>
  <c r="T112" i="18"/>
  <c r="L112" i="18"/>
  <c r="AJ112" i="18" s="1"/>
  <c r="X111" i="18"/>
  <c r="P111" i="18"/>
  <c r="L111" i="18"/>
  <c r="AH111" i="18" s="1"/>
  <c r="T110" i="18"/>
  <c r="L110" i="18"/>
  <c r="AJ110" i="18" s="1"/>
  <c r="X109" i="18"/>
  <c r="P109" i="18"/>
  <c r="L109" i="18"/>
  <c r="AH109" i="18" s="1"/>
  <c r="T108" i="18"/>
  <c r="L108" i="18"/>
  <c r="AJ108" i="18" s="1"/>
  <c r="X107" i="18"/>
  <c r="P107" i="18"/>
  <c r="L107" i="18"/>
  <c r="AH107" i="18" s="1"/>
  <c r="T106" i="18"/>
  <c r="L106" i="18"/>
  <c r="AJ106" i="18" s="1"/>
  <c r="X105" i="18"/>
  <c r="R105" i="18"/>
  <c r="L105" i="18"/>
  <c r="AL104" i="18"/>
  <c r="AI104" i="18"/>
  <c r="AD104" i="18"/>
  <c r="W104" i="18"/>
  <c r="U104" i="18"/>
  <c r="AF104" i="18" s="1"/>
  <c r="S104" i="18"/>
  <c r="Q104" i="18"/>
  <c r="O104" i="18"/>
  <c r="M104" i="18"/>
  <c r="L104" i="18"/>
  <c r="AJ104" i="18" s="1"/>
  <c r="K104" i="18"/>
  <c r="AK103" i="18"/>
  <c r="AI103" i="18"/>
  <c r="AC103" i="18"/>
  <c r="AE103" i="18" s="1"/>
  <c r="W103" i="18"/>
  <c r="AD103" i="18" s="1"/>
  <c r="U103" i="18"/>
  <c r="AF103" i="18" s="1"/>
  <c r="S103" i="18"/>
  <c r="Q103" i="18"/>
  <c r="O103" i="18"/>
  <c r="M103" i="18"/>
  <c r="L103" i="18"/>
  <c r="AJ103" i="18" s="1"/>
  <c r="K103" i="18"/>
  <c r="AK102" i="18"/>
  <c r="AI102" i="18"/>
  <c r="AC102" i="18"/>
  <c r="AE102" i="18" s="1"/>
  <c r="W102" i="18"/>
  <c r="AD102" i="18" s="1"/>
  <c r="U102" i="18"/>
  <c r="AF102" i="18" s="1"/>
  <c r="S102" i="18"/>
  <c r="Q102" i="18"/>
  <c r="O102" i="18"/>
  <c r="M102" i="18"/>
  <c r="L102" i="18"/>
  <c r="AJ102" i="18" s="1"/>
  <c r="K102" i="18"/>
  <c r="AK101" i="18"/>
  <c r="AI101" i="18"/>
  <c r="AC101" i="18"/>
  <c r="AE101" i="18" s="1"/>
  <c r="W101" i="18"/>
  <c r="AD101" i="18" s="1"/>
  <c r="U101" i="18"/>
  <c r="AF101" i="18" s="1"/>
  <c r="S101" i="18"/>
  <c r="Q101" i="18"/>
  <c r="O101" i="18"/>
  <c r="M101" i="18"/>
  <c r="L101" i="18"/>
  <c r="AJ101" i="18" s="1"/>
  <c r="K101" i="18"/>
  <c r="AK100" i="18"/>
  <c r="AI100" i="18"/>
  <c r="AC100" i="18"/>
  <c r="AE100" i="18" s="1"/>
  <c r="W100" i="18"/>
  <c r="AD100" i="18" s="1"/>
  <c r="U100" i="18"/>
  <c r="AF100" i="18" s="1"/>
  <c r="S100" i="18"/>
  <c r="Q100" i="18"/>
  <c r="O100" i="18"/>
  <c r="M100" i="18"/>
  <c r="L100" i="18"/>
  <c r="AJ100" i="18" s="1"/>
  <c r="K100" i="18"/>
  <c r="AK99" i="18"/>
  <c r="AI99" i="18"/>
  <c r="AC99" i="18"/>
  <c r="AE99" i="18" s="1"/>
  <c r="W99" i="18"/>
  <c r="AD99" i="18" s="1"/>
  <c r="U99" i="18"/>
  <c r="AF99" i="18" s="1"/>
  <c r="S99" i="18"/>
  <c r="Q99" i="18"/>
  <c r="O99" i="18"/>
  <c r="M99" i="18"/>
  <c r="L99" i="18"/>
  <c r="AJ99" i="18" s="1"/>
  <c r="K99" i="18"/>
  <c r="AK98" i="18"/>
  <c r="AI98" i="18"/>
  <c r="AC98" i="18"/>
  <c r="AE98" i="18" s="1"/>
  <c r="W98" i="18"/>
  <c r="AD98" i="18" s="1"/>
  <c r="U98" i="18"/>
  <c r="AF98" i="18" s="1"/>
  <c r="S98" i="18"/>
  <c r="Q98" i="18"/>
  <c r="O98" i="18"/>
  <c r="M98" i="18"/>
  <c r="L98" i="18"/>
  <c r="AJ98" i="18" s="1"/>
  <c r="K98" i="18"/>
  <c r="AK97" i="18"/>
  <c r="AI97" i="18"/>
  <c r="AC97" i="18"/>
  <c r="AE97" i="18" s="1"/>
  <c r="W97" i="18"/>
  <c r="AD97" i="18" s="1"/>
  <c r="U97" i="18"/>
  <c r="AF97" i="18" s="1"/>
  <c r="S97" i="18"/>
  <c r="Q97" i="18"/>
  <c r="O97" i="18"/>
  <c r="M97" i="18"/>
  <c r="L97" i="18"/>
  <c r="AJ97" i="18" s="1"/>
  <c r="K97" i="18"/>
  <c r="AK96" i="18"/>
  <c r="AI96" i="18"/>
  <c r="AC96" i="18"/>
  <c r="AE96" i="18" s="1"/>
  <c r="W96" i="18"/>
  <c r="AD96" i="18" s="1"/>
  <c r="U96" i="18"/>
  <c r="AF96" i="18" s="1"/>
  <c r="S96" i="18"/>
  <c r="Q96" i="18"/>
  <c r="O96" i="18"/>
  <c r="M96" i="18"/>
  <c r="L96" i="18"/>
  <c r="AJ96" i="18" s="1"/>
  <c r="K96" i="18"/>
  <c r="AK95" i="18"/>
  <c r="AI95" i="18"/>
  <c r="AC95" i="18"/>
  <c r="AE95" i="18" s="1"/>
  <c r="W95" i="18"/>
  <c r="AD95" i="18" s="1"/>
  <c r="U95" i="18"/>
  <c r="AF95" i="18" s="1"/>
  <c r="S95" i="18"/>
  <c r="Q95" i="18"/>
  <c r="O95" i="18"/>
  <c r="M95" i="18"/>
  <c r="L95" i="18"/>
  <c r="AJ95" i="18" s="1"/>
  <c r="K95" i="18"/>
  <c r="AK94" i="18"/>
  <c r="AI94" i="18"/>
  <c r="AC94" i="18"/>
  <c r="AE94" i="18" s="1"/>
  <c r="W94" i="18"/>
  <c r="AD94" i="18" s="1"/>
  <c r="U94" i="18"/>
  <c r="AF94" i="18" s="1"/>
  <c r="S94" i="18"/>
  <c r="Q94" i="18"/>
  <c r="O94" i="18"/>
  <c r="M94" i="18"/>
  <c r="L94" i="18"/>
  <c r="AJ94" i="18" s="1"/>
  <c r="K94" i="18"/>
  <c r="AK93" i="18"/>
  <c r="AI93" i="18"/>
  <c r="AC93" i="18"/>
  <c r="AE93" i="18" s="1"/>
  <c r="W93" i="18"/>
  <c r="AD93" i="18" s="1"/>
  <c r="U93" i="18"/>
  <c r="AF93" i="18" s="1"/>
  <c r="S93" i="18"/>
  <c r="Q93" i="18"/>
  <c r="O93" i="18"/>
  <c r="M93" i="18"/>
  <c r="L93" i="18"/>
  <c r="AJ93" i="18" s="1"/>
  <c r="K93" i="18"/>
  <c r="AK92" i="18"/>
  <c r="AI92" i="18"/>
  <c r="AC92" i="18"/>
  <c r="AE92" i="18" s="1"/>
  <c r="W92" i="18"/>
  <c r="AD92" i="18" s="1"/>
  <c r="U92" i="18"/>
  <c r="AF92" i="18" s="1"/>
  <c r="S92" i="18"/>
  <c r="Q92" i="18"/>
  <c r="O92" i="18"/>
  <c r="M92" i="18"/>
  <c r="L92" i="18"/>
  <c r="AJ92" i="18" s="1"/>
  <c r="K92" i="18"/>
  <c r="AK91" i="18"/>
  <c r="AI91" i="18"/>
  <c r="AC91" i="18"/>
  <c r="AE91" i="18" s="1"/>
  <c r="W91" i="18"/>
  <c r="AD91" i="18" s="1"/>
  <c r="U91" i="18"/>
  <c r="AF91" i="18" s="1"/>
  <c r="S91" i="18"/>
  <c r="Q91" i="18"/>
  <c r="O91" i="18"/>
  <c r="M91" i="18"/>
  <c r="L91" i="18"/>
  <c r="AJ91" i="18" s="1"/>
  <c r="K91" i="18"/>
  <c r="AK90" i="18"/>
  <c r="AI90" i="18"/>
  <c r="AC90" i="18"/>
  <c r="AE90" i="18" s="1"/>
  <c r="W90" i="18"/>
  <c r="AD90" i="18" s="1"/>
  <c r="U90" i="18"/>
  <c r="AF90" i="18" s="1"/>
  <c r="S90" i="18"/>
  <c r="Q90" i="18"/>
  <c r="O90" i="18"/>
  <c r="M90" i="18"/>
  <c r="L90" i="18"/>
  <c r="AJ90" i="18" s="1"/>
  <c r="K90" i="18"/>
  <c r="AK89" i="18"/>
  <c r="AI89" i="18"/>
  <c r="AC89" i="18"/>
  <c r="AE89" i="18" s="1"/>
  <c r="W89" i="18"/>
  <c r="AD89" i="18" s="1"/>
  <c r="U89" i="18"/>
  <c r="AF89" i="18" s="1"/>
  <c r="S89" i="18"/>
  <c r="Q89" i="18"/>
  <c r="O89" i="18"/>
  <c r="M89" i="18"/>
  <c r="L89" i="18"/>
  <c r="AJ89" i="18" s="1"/>
  <c r="K89" i="18"/>
  <c r="AK88" i="18"/>
  <c r="AI88" i="18"/>
  <c r="AC88" i="18"/>
  <c r="AE88" i="18" s="1"/>
  <c r="W88" i="18"/>
  <c r="AD88" i="18" s="1"/>
  <c r="U88" i="18"/>
  <c r="AF88" i="18" s="1"/>
  <c r="S88" i="18"/>
  <c r="Q88" i="18"/>
  <c r="O88" i="18"/>
  <c r="M88" i="18"/>
  <c r="L88" i="18"/>
  <c r="AJ88" i="18" s="1"/>
  <c r="K88" i="18"/>
  <c r="AK87" i="18"/>
  <c r="AI87" i="18"/>
  <c r="AC87" i="18"/>
  <c r="AE87" i="18" s="1"/>
  <c r="W87" i="18"/>
  <c r="AD87" i="18" s="1"/>
  <c r="U87" i="18"/>
  <c r="AF87" i="18" s="1"/>
  <c r="S87" i="18"/>
  <c r="Q87" i="18"/>
  <c r="O87" i="18"/>
  <c r="M87" i="18"/>
  <c r="L87" i="18"/>
  <c r="AJ87" i="18" s="1"/>
  <c r="K87" i="18"/>
  <c r="AK86" i="18"/>
  <c r="AI86" i="18"/>
  <c r="AC86" i="18"/>
  <c r="AE86" i="18" s="1"/>
  <c r="W86" i="18"/>
  <c r="AD86" i="18" s="1"/>
  <c r="U86" i="18"/>
  <c r="AF86" i="18" s="1"/>
  <c r="S86" i="18"/>
  <c r="Q86" i="18"/>
  <c r="O86" i="18"/>
  <c r="M86" i="18"/>
  <c r="L86" i="18"/>
  <c r="AJ86" i="18" s="1"/>
  <c r="K86" i="18"/>
  <c r="AK85" i="18"/>
  <c r="AI85" i="18"/>
  <c r="AC85" i="18"/>
  <c r="AE85" i="18" s="1"/>
  <c r="W85" i="18"/>
  <c r="AD85" i="18" s="1"/>
  <c r="U85" i="18"/>
  <c r="AF85" i="18" s="1"/>
  <c r="S85" i="18"/>
  <c r="Q85" i="18"/>
  <c r="O85" i="18"/>
  <c r="M85" i="18"/>
  <c r="L85" i="18"/>
  <c r="AJ85" i="18" s="1"/>
  <c r="K85" i="18"/>
  <c r="AK84" i="18"/>
  <c r="AI84" i="18"/>
  <c r="AC84" i="18"/>
  <c r="AE84" i="18" s="1"/>
  <c r="W84" i="18"/>
  <c r="AD84" i="18" s="1"/>
  <c r="U84" i="18"/>
  <c r="AF84" i="18" s="1"/>
  <c r="S84" i="18"/>
  <c r="Q84" i="18"/>
  <c r="O84" i="18"/>
  <c r="M84" i="18"/>
  <c r="L84" i="18"/>
  <c r="AJ84" i="18" s="1"/>
  <c r="K84" i="18"/>
  <c r="AK83" i="18"/>
  <c r="AI83" i="18"/>
  <c r="AC83" i="18"/>
  <c r="AE83" i="18" s="1"/>
  <c r="W83" i="18"/>
  <c r="AD83" i="18" s="1"/>
  <c r="U83" i="18"/>
  <c r="AF83" i="18" s="1"/>
  <c r="S83" i="18"/>
  <c r="Q83" i="18"/>
  <c r="O83" i="18"/>
  <c r="M83" i="18"/>
  <c r="L83" i="18"/>
  <c r="AJ83" i="18" s="1"/>
  <c r="K83" i="18"/>
  <c r="AK82" i="18"/>
  <c r="AI82" i="18"/>
  <c r="AC82" i="18"/>
  <c r="AE82" i="18" s="1"/>
  <c r="W82" i="18"/>
  <c r="AD82" i="18" s="1"/>
  <c r="U82" i="18"/>
  <c r="AF82" i="18" s="1"/>
  <c r="S82" i="18"/>
  <c r="Q82" i="18"/>
  <c r="O82" i="18"/>
  <c r="M82" i="18"/>
  <c r="L82" i="18"/>
  <c r="AJ82" i="18" s="1"/>
  <c r="K82" i="18"/>
  <c r="AK81" i="18"/>
  <c r="AI81" i="18"/>
  <c r="AC81" i="18"/>
  <c r="AE81" i="18" s="1"/>
  <c r="W81" i="18"/>
  <c r="AD81" i="18" s="1"/>
  <c r="U81" i="18"/>
  <c r="AF81" i="18" s="1"/>
  <c r="S81" i="18"/>
  <c r="Q81" i="18"/>
  <c r="O81" i="18"/>
  <c r="M81" i="18"/>
  <c r="L81" i="18"/>
  <c r="AJ81" i="18" s="1"/>
  <c r="K81" i="18"/>
  <c r="AK80" i="18"/>
  <c r="AI80" i="18"/>
  <c r="AC80" i="18"/>
  <c r="AE80" i="18" s="1"/>
  <c r="W80" i="18"/>
  <c r="AD80" i="18" s="1"/>
  <c r="U80" i="18"/>
  <c r="AF80" i="18" s="1"/>
  <c r="S80" i="18"/>
  <c r="Q80" i="18"/>
  <c r="O80" i="18"/>
  <c r="M80" i="18"/>
  <c r="L80" i="18"/>
  <c r="AJ80" i="18" s="1"/>
  <c r="K80" i="18"/>
  <c r="AK79" i="18"/>
  <c r="AI79" i="18"/>
  <c r="AC79" i="18"/>
  <c r="AE79" i="18" s="1"/>
  <c r="W79" i="18"/>
  <c r="AD79" i="18" s="1"/>
  <c r="U79" i="18"/>
  <c r="AF79" i="18" s="1"/>
  <c r="S79" i="18"/>
  <c r="Q79" i="18"/>
  <c r="O79" i="18"/>
  <c r="M79" i="18"/>
  <c r="L79" i="18"/>
  <c r="AJ79" i="18" s="1"/>
  <c r="K79" i="18"/>
  <c r="AK78" i="18"/>
  <c r="AI78" i="18"/>
  <c r="AC78" i="18"/>
  <c r="AE78" i="18" s="1"/>
  <c r="W78" i="18"/>
  <c r="AD78" i="18" s="1"/>
  <c r="U78" i="18"/>
  <c r="AF78" i="18" s="1"/>
  <c r="S78" i="18"/>
  <c r="Q78" i="18"/>
  <c r="O78" i="18"/>
  <c r="M78" i="18"/>
  <c r="L78" i="18"/>
  <c r="AJ78" i="18" s="1"/>
  <c r="K78" i="18"/>
  <c r="AK77" i="18"/>
  <c r="AI77" i="18"/>
  <c r="AC77" i="18"/>
  <c r="AE77" i="18" s="1"/>
  <c r="W77" i="18"/>
  <c r="AD77" i="18" s="1"/>
  <c r="U77" i="18"/>
  <c r="AF77" i="18" s="1"/>
  <c r="S77" i="18"/>
  <c r="Q77" i="18"/>
  <c r="O77" i="18"/>
  <c r="M77" i="18"/>
  <c r="L77" i="18"/>
  <c r="AJ77" i="18" s="1"/>
  <c r="K77" i="18"/>
  <c r="AK76" i="18"/>
  <c r="AI76" i="18"/>
  <c r="AC76" i="18"/>
  <c r="AE76" i="18" s="1"/>
  <c r="W76" i="18"/>
  <c r="AD76" i="18" s="1"/>
  <c r="U76" i="18"/>
  <c r="AF76" i="18" s="1"/>
  <c r="S76" i="18"/>
  <c r="Q76" i="18"/>
  <c r="O76" i="18"/>
  <c r="M76" i="18"/>
  <c r="L76" i="18"/>
  <c r="AJ76" i="18" s="1"/>
  <c r="K76" i="18"/>
  <c r="AK75" i="18"/>
  <c r="AI75" i="18"/>
  <c r="AC75" i="18"/>
  <c r="AE75" i="18" s="1"/>
  <c r="W75" i="18"/>
  <c r="AD75" i="18" s="1"/>
  <c r="U75" i="18"/>
  <c r="AF75" i="18" s="1"/>
  <c r="S75" i="18"/>
  <c r="Q75" i="18"/>
  <c r="O75" i="18"/>
  <c r="M75" i="18"/>
  <c r="L75" i="18"/>
  <c r="AJ75" i="18" s="1"/>
  <c r="K75" i="18"/>
  <c r="AK74" i="18"/>
  <c r="AI74" i="18"/>
  <c r="AC74" i="18"/>
  <c r="AE74" i="18" s="1"/>
  <c r="W74" i="18"/>
  <c r="AD74" i="18" s="1"/>
  <c r="U74" i="18"/>
  <c r="AF74" i="18" s="1"/>
  <c r="S74" i="18"/>
  <c r="Q74" i="18"/>
  <c r="O74" i="18"/>
  <c r="M74" i="18"/>
  <c r="L74" i="18"/>
  <c r="AJ74" i="18" s="1"/>
  <c r="K74" i="18"/>
  <c r="AK73" i="18"/>
  <c r="AI73" i="18"/>
  <c r="AC73" i="18"/>
  <c r="AE73" i="18" s="1"/>
  <c r="W73" i="18"/>
  <c r="AD73" i="18" s="1"/>
  <c r="U73" i="18"/>
  <c r="AF73" i="18" s="1"/>
  <c r="S73" i="18"/>
  <c r="Q73" i="18"/>
  <c r="O73" i="18"/>
  <c r="M73" i="18"/>
  <c r="L73" i="18"/>
  <c r="AJ73" i="18" s="1"/>
  <c r="K73" i="18"/>
  <c r="AK72" i="18"/>
  <c r="AI72" i="18"/>
  <c r="AC72" i="18"/>
  <c r="AE72" i="18" s="1"/>
  <c r="W72" i="18"/>
  <c r="AD72" i="18" s="1"/>
  <c r="U72" i="18"/>
  <c r="AF72" i="18" s="1"/>
  <c r="S72" i="18"/>
  <c r="Q72" i="18"/>
  <c r="O72" i="18"/>
  <c r="M72" i="18"/>
  <c r="L72" i="18"/>
  <c r="AJ72" i="18" s="1"/>
  <c r="K72" i="18"/>
  <c r="AK71" i="18"/>
  <c r="AI71" i="18"/>
  <c r="AC71" i="18"/>
  <c r="AE71" i="18" s="1"/>
  <c r="W71" i="18"/>
  <c r="AD71" i="18" s="1"/>
  <c r="U71" i="18"/>
  <c r="AF71" i="18" s="1"/>
  <c r="S71" i="18"/>
  <c r="Q71" i="18"/>
  <c r="O71" i="18"/>
  <c r="M71" i="18"/>
  <c r="L71" i="18"/>
  <c r="AJ71" i="18" s="1"/>
  <c r="K71" i="18"/>
  <c r="AK70" i="18"/>
  <c r="AI70" i="18"/>
  <c r="AC70" i="18"/>
  <c r="AE70" i="18" s="1"/>
  <c r="W70" i="18"/>
  <c r="AD70" i="18" s="1"/>
  <c r="U70" i="18"/>
  <c r="AF70" i="18" s="1"/>
  <c r="S70" i="18"/>
  <c r="Q70" i="18"/>
  <c r="O70" i="18"/>
  <c r="M70" i="18"/>
  <c r="L70" i="18"/>
  <c r="AJ70" i="18" s="1"/>
  <c r="K70" i="18"/>
  <c r="AK69" i="18"/>
  <c r="AI69" i="18"/>
  <c r="AC69" i="18"/>
  <c r="AE69" i="18" s="1"/>
  <c r="W69" i="18"/>
  <c r="AD69" i="18" s="1"/>
  <c r="U69" i="18"/>
  <c r="AF69" i="18" s="1"/>
  <c r="S69" i="18"/>
  <c r="Q69" i="18"/>
  <c r="O69" i="18"/>
  <c r="M69" i="18"/>
  <c r="L69" i="18"/>
  <c r="AJ69" i="18" s="1"/>
  <c r="K69" i="18"/>
  <c r="AK68" i="18"/>
  <c r="AI68" i="18"/>
  <c r="AC68" i="18"/>
  <c r="AE68" i="18" s="1"/>
  <c r="W68" i="18"/>
  <c r="AD68" i="18" s="1"/>
  <c r="U68" i="18"/>
  <c r="AF68" i="18" s="1"/>
  <c r="S68" i="18"/>
  <c r="Q68" i="18"/>
  <c r="O68" i="18"/>
  <c r="M68" i="18"/>
  <c r="L68" i="18"/>
  <c r="AJ68" i="18" s="1"/>
  <c r="K68" i="18"/>
  <c r="AK67" i="18"/>
  <c r="AI67" i="18"/>
  <c r="AC67" i="18"/>
  <c r="AE67" i="18" s="1"/>
  <c r="W67" i="18"/>
  <c r="AD67" i="18" s="1"/>
  <c r="U67" i="18"/>
  <c r="AF67" i="18" s="1"/>
  <c r="S67" i="18"/>
  <c r="Q67" i="18"/>
  <c r="O67" i="18"/>
  <c r="M67" i="18"/>
  <c r="L67" i="18"/>
  <c r="AJ67" i="18" s="1"/>
  <c r="K67" i="18"/>
  <c r="AK66" i="18"/>
  <c r="AI66" i="18"/>
  <c r="AC66" i="18"/>
  <c r="AE66" i="18" s="1"/>
  <c r="W66" i="18"/>
  <c r="AD66" i="18" s="1"/>
  <c r="U66" i="18"/>
  <c r="AF66" i="18" s="1"/>
  <c r="S66" i="18"/>
  <c r="Q66" i="18"/>
  <c r="O66" i="18"/>
  <c r="M66" i="18"/>
  <c r="L66" i="18"/>
  <c r="AJ66" i="18" s="1"/>
  <c r="K66" i="18"/>
  <c r="AK65" i="18"/>
  <c r="AI65" i="18"/>
  <c r="AC65" i="18"/>
  <c r="AE65" i="18" s="1"/>
  <c r="W65" i="18"/>
  <c r="AD65" i="18" s="1"/>
  <c r="U65" i="18"/>
  <c r="AF65" i="18" s="1"/>
  <c r="S65" i="18"/>
  <c r="Q65" i="18"/>
  <c r="O65" i="18"/>
  <c r="M65" i="18"/>
  <c r="L65" i="18"/>
  <c r="AJ65" i="18" s="1"/>
  <c r="K65" i="18"/>
  <c r="AK64" i="18"/>
  <c r="AI64" i="18"/>
  <c r="AC64" i="18"/>
  <c r="AE64" i="18" s="1"/>
  <c r="W64" i="18"/>
  <c r="AD64" i="18" s="1"/>
  <c r="U64" i="18"/>
  <c r="AF64" i="18" s="1"/>
  <c r="S64" i="18"/>
  <c r="Q64" i="18"/>
  <c r="O64" i="18"/>
  <c r="M64" i="18"/>
  <c r="L64" i="18"/>
  <c r="AJ64" i="18" s="1"/>
  <c r="K64" i="18"/>
  <c r="AK63" i="18"/>
  <c r="AI63" i="18"/>
  <c r="AC63" i="18"/>
  <c r="AE63" i="18" s="1"/>
  <c r="W63" i="18"/>
  <c r="AD63" i="18" s="1"/>
  <c r="U63" i="18"/>
  <c r="AF63" i="18" s="1"/>
  <c r="S63" i="18"/>
  <c r="Q63" i="18"/>
  <c r="O63" i="18"/>
  <c r="M63" i="18"/>
  <c r="L63" i="18"/>
  <c r="AJ63" i="18" s="1"/>
  <c r="K63" i="18"/>
  <c r="AK62" i="18"/>
  <c r="AI62" i="18"/>
  <c r="AC62" i="18"/>
  <c r="AE62" i="18" s="1"/>
  <c r="W62" i="18"/>
  <c r="AD62" i="18" s="1"/>
  <c r="U62" i="18"/>
  <c r="AF62" i="18" s="1"/>
  <c r="S62" i="18"/>
  <c r="Q62" i="18"/>
  <c r="O62" i="18"/>
  <c r="M62" i="18"/>
  <c r="L62" i="18"/>
  <c r="AJ62" i="18" s="1"/>
  <c r="K62" i="18"/>
  <c r="AK61" i="18"/>
  <c r="AI61" i="18"/>
  <c r="AC61" i="18"/>
  <c r="AE61" i="18" s="1"/>
  <c r="W61" i="18"/>
  <c r="AD61" i="18" s="1"/>
  <c r="U61" i="18"/>
  <c r="AF61" i="18" s="1"/>
  <c r="S61" i="18"/>
  <c r="Q61" i="18"/>
  <c r="O61" i="18"/>
  <c r="M61" i="18"/>
  <c r="L61" i="18"/>
  <c r="AJ61" i="18" s="1"/>
  <c r="K61" i="18"/>
  <c r="AK60" i="18"/>
  <c r="AI60" i="18"/>
  <c r="AC60" i="18"/>
  <c r="AE60" i="18" s="1"/>
  <c r="W60" i="18"/>
  <c r="AD60" i="18" s="1"/>
  <c r="U60" i="18"/>
  <c r="AF60" i="18" s="1"/>
  <c r="S60" i="18"/>
  <c r="Q60" i="18"/>
  <c r="O60" i="18"/>
  <c r="M60" i="18"/>
  <c r="L60" i="18"/>
  <c r="AJ60" i="18" s="1"/>
  <c r="K60" i="18"/>
  <c r="AK59" i="18"/>
  <c r="AI59" i="18"/>
  <c r="AE59" i="18"/>
  <c r="AC59" i="18"/>
  <c r="W59" i="18"/>
  <c r="AD59" i="18" s="1"/>
  <c r="U59" i="18"/>
  <c r="AF59" i="18" s="1"/>
  <c r="S59" i="18"/>
  <c r="Q59" i="18"/>
  <c r="O59" i="18"/>
  <c r="M59" i="18"/>
  <c r="L59" i="18"/>
  <c r="AJ59" i="18" s="1"/>
  <c r="K59" i="18"/>
  <c r="AK58" i="18"/>
  <c r="AI58" i="18"/>
  <c r="AE58" i="18"/>
  <c r="AC58" i="18"/>
  <c r="W58" i="18"/>
  <c r="AD58" i="18" s="1"/>
  <c r="U58" i="18"/>
  <c r="AF58" i="18" s="1"/>
  <c r="S58" i="18"/>
  <c r="Q58" i="18"/>
  <c r="O58" i="18"/>
  <c r="M58" i="18"/>
  <c r="L58" i="18"/>
  <c r="AJ58" i="18" s="1"/>
  <c r="K58" i="18"/>
  <c r="AK57" i="18"/>
  <c r="AI57" i="18"/>
  <c r="AC57" i="18"/>
  <c r="AE57" i="18" s="1"/>
  <c r="W57" i="18"/>
  <c r="AD57" i="18" s="1"/>
  <c r="U57" i="18"/>
  <c r="AF57" i="18" s="1"/>
  <c r="S57" i="18"/>
  <c r="Q57" i="18"/>
  <c r="O57" i="18"/>
  <c r="M57" i="18"/>
  <c r="L57" i="18"/>
  <c r="AJ57" i="18" s="1"/>
  <c r="K57" i="18"/>
  <c r="AK56" i="18"/>
  <c r="AI56" i="18"/>
  <c r="AC56" i="18"/>
  <c r="AE56" i="18" s="1"/>
  <c r="W56" i="18"/>
  <c r="AD56" i="18" s="1"/>
  <c r="U56" i="18"/>
  <c r="AF56" i="18" s="1"/>
  <c r="S56" i="18"/>
  <c r="Q56" i="18"/>
  <c r="O56" i="18"/>
  <c r="M56" i="18"/>
  <c r="L56" i="18"/>
  <c r="AJ56" i="18" s="1"/>
  <c r="K56" i="18"/>
  <c r="AK55" i="18"/>
  <c r="AI55" i="18"/>
  <c r="AE55" i="18"/>
  <c r="AC55" i="18"/>
  <c r="W55" i="18"/>
  <c r="AD55" i="18" s="1"/>
  <c r="U55" i="18"/>
  <c r="AF55" i="18" s="1"/>
  <c r="S55" i="18"/>
  <c r="Q55" i="18"/>
  <c r="O55" i="18"/>
  <c r="M55" i="18"/>
  <c r="L55" i="18"/>
  <c r="AJ55" i="18" s="1"/>
  <c r="K55" i="18"/>
  <c r="AK54" i="18"/>
  <c r="AI54" i="18"/>
  <c r="AE54" i="18"/>
  <c r="AC54" i="18"/>
  <c r="W54" i="18"/>
  <c r="AD54" i="18" s="1"/>
  <c r="U54" i="18"/>
  <c r="AF54" i="18" s="1"/>
  <c r="S54" i="18"/>
  <c r="Q54" i="18"/>
  <c r="O54" i="18"/>
  <c r="M54" i="18"/>
  <c r="L54" i="18"/>
  <c r="AJ54" i="18" s="1"/>
  <c r="K54" i="18"/>
  <c r="AK53" i="18"/>
  <c r="AI53" i="18"/>
  <c r="AC53" i="18"/>
  <c r="AE53" i="18" s="1"/>
  <c r="W53" i="18"/>
  <c r="AD53" i="18" s="1"/>
  <c r="U53" i="18"/>
  <c r="AF53" i="18" s="1"/>
  <c r="S53" i="18"/>
  <c r="Q53" i="18"/>
  <c r="O53" i="18"/>
  <c r="M53" i="18"/>
  <c r="L53" i="18"/>
  <c r="AJ53" i="18" s="1"/>
  <c r="K53" i="18"/>
  <c r="AK52" i="18"/>
  <c r="AI52" i="18"/>
  <c r="AC52" i="18"/>
  <c r="AE52" i="18" s="1"/>
  <c r="W52" i="18"/>
  <c r="AD52" i="18" s="1"/>
  <c r="U52" i="18"/>
  <c r="AF52" i="18" s="1"/>
  <c r="S52" i="18"/>
  <c r="Q52" i="18"/>
  <c r="O52" i="18"/>
  <c r="M52" i="18"/>
  <c r="L52" i="18"/>
  <c r="AJ52" i="18" s="1"/>
  <c r="K52" i="18"/>
  <c r="AK51" i="18"/>
  <c r="AI51" i="18"/>
  <c r="AE51" i="18"/>
  <c r="AC51" i="18"/>
  <c r="W51" i="18"/>
  <c r="AD51" i="18" s="1"/>
  <c r="U51" i="18"/>
  <c r="AF51" i="18" s="1"/>
  <c r="S51" i="18"/>
  <c r="Q51" i="18"/>
  <c r="O51" i="18"/>
  <c r="M51" i="18"/>
  <c r="L51" i="18"/>
  <c r="AJ51" i="18" s="1"/>
  <c r="K51" i="18"/>
  <c r="AK50" i="18"/>
  <c r="AI50" i="18"/>
  <c r="AE50" i="18"/>
  <c r="AC50" i="18"/>
  <c r="W50" i="18"/>
  <c r="AD50" i="18" s="1"/>
  <c r="U50" i="18"/>
  <c r="AF50" i="18" s="1"/>
  <c r="S50" i="18"/>
  <c r="Q50" i="18"/>
  <c r="O50" i="18"/>
  <c r="M50" i="18"/>
  <c r="L50" i="18"/>
  <c r="AJ50" i="18" s="1"/>
  <c r="K50" i="18"/>
  <c r="AK49" i="18"/>
  <c r="AI49" i="18"/>
  <c r="AC49" i="18"/>
  <c r="AE49" i="18" s="1"/>
  <c r="W49" i="18"/>
  <c r="AD49" i="18" s="1"/>
  <c r="U49" i="18"/>
  <c r="AF49" i="18" s="1"/>
  <c r="S49" i="18"/>
  <c r="Q49" i="18"/>
  <c r="O49" i="18"/>
  <c r="M49" i="18"/>
  <c r="L49" i="18"/>
  <c r="AJ49" i="18" s="1"/>
  <c r="K49" i="18"/>
  <c r="AK48" i="18"/>
  <c r="AI48" i="18"/>
  <c r="AC48" i="18"/>
  <c r="AE48" i="18" s="1"/>
  <c r="W48" i="18"/>
  <c r="AD48" i="18" s="1"/>
  <c r="U48" i="18"/>
  <c r="AF48" i="18" s="1"/>
  <c r="S48" i="18"/>
  <c r="Q48" i="18"/>
  <c r="O48" i="18"/>
  <c r="M48" i="18"/>
  <c r="L48" i="18"/>
  <c r="AJ48" i="18" s="1"/>
  <c r="K48" i="18"/>
  <c r="AK47" i="18"/>
  <c r="AI47" i="18"/>
  <c r="AE47" i="18"/>
  <c r="AC47" i="18"/>
  <c r="W47" i="18"/>
  <c r="AD47" i="18" s="1"/>
  <c r="U47" i="18"/>
  <c r="AF47" i="18" s="1"/>
  <c r="S47" i="18"/>
  <c r="Q47" i="18"/>
  <c r="O47" i="18"/>
  <c r="M47" i="18"/>
  <c r="L47" i="18"/>
  <c r="AJ47" i="18" s="1"/>
  <c r="K47" i="18"/>
  <c r="AK46" i="18"/>
  <c r="AI46" i="18"/>
  <c r="AE46" i="18"/>
  <c r="AC46" i="18"/>
  <c r="W46" i="18"/>
  <c r="AD46" i="18" s="1"/>
  <c r="U46" i="18"/>
  <c r="AF46" i="18" s="1"/>
  <c r="S46" i="18"/>
  <c r="Q46" i="18"/>
  <c r="O46" i="18"/>
  <c r="M46" i="18"/>
  <c r="L46" i="18"/>
  <c r="AJ46" i="18" s="1"/>
  <c r="K46" i="18"/>
  <c r="AK45" i="18"/>
  <c r="AI45" i="18"/>
  <c r="AC45" i="18"/>
  <c r="AE45" i="18" s="1"/>
  <c r="W45" i="18"/>
  <c r="AD45" i="18" s="1"/>
  <c r="U45" i="18"/>
  <c r="AF45" i="18" s="1"/>
  <c r="S45" i="18"/>
  <c r="Q45" i="18"/>
  <c r="O45" i="18"/>
  <c r="M45" i="18"/>
  <c r="L45" i="18"/>
  <c r="AJ45" i="18" s="1"/>
  <c r="K45" i="18"/>
  <c r="AK44" i="18"/>
  <c r="AI44" i="18"/>
  <c r="AC44" i="18"/>
  <c r="AE44" i="18" s="1"/>
  <c r="W44" i="18"/>
  <c r="AD44" i="18" s="1"/>
  <c r="U44" i="18"/>
  <c r="AF44" i="18" s="1"/>
  <c r="S44" i="18"/>
  <c r="Q44" i="18"/>
  <c r="O44" i="18"/>
  <c r="M44" i="18"/>
  <c r="L44" i="18"/>
  <c r="AJ44" i="18" s="1"/>
  <c r="K44" i="18"/>
  <c r="AK43" i="18"/>
  <c r="AI43" i="18"/>
  <c r="AE43" i="18"/>
  <c r="AC43" i="18"/>
  <c r="W43" i="18"/>
  <c r="AD43" i="18" s="1"/>
  <c r="U43" i="18"/>
  <c r="AF43" i="18" s="1"/>
  <c r="S43" i="18"/>
  <c r="Q43" i="18"/>
  <c r="O43" i="18"/>
  <c r="M43" i="18"/>
  <c r="L43" i="18"/>
  <c r="AJ43" i="18" s="1"/>
  <c r="K43" i="18"/>
  <c r="AK42" i="18"/>
  <c r="AI42" i="18"/>
  <c r="AE42" i="18"/>
  <c r="AC42" i="18"/>
  <c r="W42" i="18"/>
  <c r="AD42" i="18" s="1"/>
  <c r="U42" i="18"/>
  <c r="AF42" i="18" s="1"/>
  <c r="S42" i="18"/>
  <c r="Q42" i="18"/>
  <c r="O42" i="18"/>
  <c r="M42" i="18"/>
  <c r="L42" i="18"/>
  <c r="AJ42" i="18" s="1"/>
  <c r="K42" i="18"/>
  <c r="AK41" i="18"/>
  <c r="AI41" i="18"/>
  <c r="AE41" i="18"/>
  <c r="AC41" i="18"/>
  <c r="W41" i="18"/>
  <c r="AD41" i="18" s="1"/>
  <c r="U41" i="18"/>
  <c r="AF41" i="18" s="1"/>
  <c r="S41" i="18"/>
  <c r="Q41" i="18"/>
  <c r="O41" i="18"/>
  <c r="M41" i="18"/>
  <c r="L41" i="18"/>
  <c r="AJ41" i="18" s="1"/>
  <c r="K41" i="18"/>
  <c r="AK40" i="18"/>
  <c r="AI40" i="18"/>
  <c r="AC40" i="18"/>
  <c r="AE40" i="18" s="1"/>
  <c r="W40" i="18"/>
  <c r="AD40" i="18" s="1"/>
  <c r="U40" i="18"/>
  <c r="AF40" i="18" s="1"/>
  <c r="S40" i="18"/>
  <c r="Q40" i="18"/>
  <c r="O40" i="18"/>
  <c r="M40" i="18"/>
  <c r="L40" i="18"/>
  <c r="AJ40" i="18" s="1"/>
  <c r="K40" i="18"/>
  <c r="AK39" i="18"/>
  <c r="AI39" i="18"/>
  <c r="AE39" i="18"/>
  <c r="AC39" i="18"/>
  <c r="W39" i="18"/>
  <c r="AD39" i="18" s="1"/>
  <c r="U39" i="18"/>
  <c r="AF39" i="18" s="1"/>
  <c r="S39" i="18"/>
  <c r="Q39" i="18"/>
  <c r="O39" i="18"/>
  <c r="M39" i="18"/>
  <c r="L39" i="18"/>
  <c r="AJ39" i="18" s="1"/>
  <c r="K39" i="18"/>
  <c r="AK38" i="18"/>
  <c r="AI38" i="18"/>
  <c r="AE38" i="18"/>
  <c r="AC38" i="18"/>
  <c r="W38" i="18"/>
  <c r="AD38" i="18" s="1"/>
  <c r="U38" i="18"/>
  <c r="AF38" i="18" s="1"/>
  <c r="S38" i="18"/>
  <c r="Q38" i="18"/>
  <c r="O38" i="18"/>
  <c r="M38" i="18"/>
  <c r="L38" i="18"/>
  <c r="AJ38" i="18" s="1"/>
  <c r="K38" i="18"/>
  <c r="AK37" i="18"/>
  <c r="AI37" i="18"/>
  <c r="AC37" i="18"/>
  <c r="AE37" i="18" s="1"/>
  <c r="W37" i="18"/>
  <c r="AD37" i="18" s="1"/>
  <c r="U37" i="18"/>
  <c r="AF37" i="18" s="1"/>
  <c r="S37" i="18"/>
  <c r="Q37" i="18"/>
  <c r="O37" i="18"/>
  <c r="M37" i="18"/>
  <c r="L37" i="18"/>
  <c r="AJ37" i="18" s="1"/>
  <c r="K37" i="18"/>
  <c r="AK36" i="18"/>
  <c r="AI36" i="18"/>
  <c r="AC36" i="18"/>
  <c r="AE36" i="18" s="1"/>
  <c r="W36" i="18"/>
  <c r="AD36" i="18" s="1"/>
  <c r="U36" i="18"/>
  <c r="AF36" i="18" s="1"/>
  <c r="S36" i="18"/>
  <c r="Q36" i="18"/>
  <c r="O36" i="18"/>
  <c r="M36" i="18"/>
  <c r="L36" i="18"/>
  <c r="AJ36" i="18" s="1"/>
  <c r="K36" i="18"/>
  <c r="AK35" i="18"/>
  <c r="AI35" i="18"/>
  <c r="AE35" i="18"/>
  <c r="AC35" i="18"/>
  <c r="W35" i="18"/>
  <c r="AD35" i="18" s="1"/>
  <c r="U35" i="18"/>
  <c r="AF35" i="18" s="1"/>
  <c r="S35" i="18"/>
  <c r="Q35" i="18"/>
  <c r="O35" i="18"/>
  <c r="M35" i="18"/>
  <c r="L35" i="18"/>
  <c r="AJ35" i="18" s="1"/>
  <c r="K35" i="18"/>
  <c r="AK34" i="18"/>
  <c r="AI34" i="18"/>
  <c r="AE34" i="18"/>
  <c r="AC34" i="18"/>
  <c r="W34" i="18"/>
  <c r="AD34" i="18" s="1"/>
  <c r="U34" i="18"/>
  <c r="AF34" i="18" s="1"/>
  <c r="S34" i="18"/>
  <c r="Q34" i="18"/>
  <c r="O34" i="18"/>
  <c r="M34" i="18"/>
  <c r="L34" i="18"/>
  <c r="AJ34" i="18" s="1"/>
  <c r="K34" i="18"/>
  <c r="AK33" i="18"/>
  <c r="AI33" i="18"/>
  <c r="AE33" i="18"/>
  <c r="AC33" i="18"/>
  <c r="W33" i="18"/>
  <c r="AD33" i="18" s="1"/>
  <c r="U33" i="18"/>
  <c r="AF33" i="18" s="1"/>
  <c r="S33" i="18"/>
  <c r="Q33" i="18"/>
  <c r="O33" i="18"/>
  <c r="M33" i="18"/>
  <c r="L33" i="18"/>
  <c r="AJ33" i="18" s="1"/>
  <c r="K33" i="18"/>
  <c r="AK32" i="18"/>
  <c r="AI32" i="18"/>
  <c r="AC32" i="18"/>
  <c r="AE32" i="18" s="1"/>
  <c r="W32" i="18"/>
  <c r="AD32" i="18" s="1"/>
  <c r="U32" i="18"/>
  <c r="AF32" i="18" s="1"/>
  <c r="S32" i="18"/>
  <c r="Q32" i="18"/>
  <c r="O32" i="18"/>
  <c r="M32" i="18"/>
  <c r="L32" i="18"/>
  <c r="AJ32" i="18" s="1"/>
  <c r="K32" i="18"/>
  <c r="AK31" i="18"/>
  <c r="AI31" i="18"/>
  <c r="AE31" i="18"/>
  <c r="AC31" i="18"/>
  <c r="W31" i="18"/>
  <c r="AD31" i="18" s="1"/>
  <c r="U31" i="18"/>
  <c r="AF31" i="18" s="1"/>
  <c r="S31" i="18"/>
  <c r="Q31" i="18"/>
  <c r="O31" i="18"/>
  <c r="M31" i="18"/>
  <c r="L31" i="18"/>
  <c r="AJ31" i="18" s="1"/>
  <c r="K31" i="18"/>
  <c r="AK30" i="18"/>
  <c r="AI30" i="18"/>
  <c r="AE30" i="18"/>
  <c r="AC30" i="18"/>
  <c r="W30" i="18"/>
  <c r="AD30" i="18" s="1"/>
  <c r="U30" i="18"/>
  <c r="AF30" i="18" s="1"/>
  <c r="S30" i="18"/>
  <c r="Q30" i="18"/>
  <c r="O30" i="18"/>
  <c r="M30" i="18"/>
  <c r="L30" i="18"/>
  <c r="AJ30" i="18" s="1"/>
  <c r="K30" i="18"/>
  <c r="AK29" i="18"/>
  <c r="AI29" i="18"/>
  <c r="AC29" i="18"/>
  <c r="AE29" i="18" s="1"/>
  <c r="W29" i="18"/>
  <c r="AD29" i="18" s="1"/>
  <c r="U29" i="18"/>
  <c r="AF29" i="18" s="1"/>
  <c r="S29" i="18"/>
  <c r="Q29" i="18"/>
  <c r="O29" i="18"/>
  <c r="M29" i="18"/>
  <c r="L29" i="18"/>
  <c r="AJ29" i="18" s="1"/>
  <c r="K29" i="18"/>
  <c r="AK28" i="18"/>
  <c r="AI28" i="18"/>
  <c r="AC28" i="18"/>
  <c r="AE28" i="18" s="1"/>
  <c r="W28" i="18"/>
  <c r="AD28" i="18" s="1"/>
  <c r="U28" i="18"/>
  <c r="AF28" i="18" s="1"/>
  <c r="S28" i="18"/>
  <c r="Q28" i="18"/>
  <c r="O28" i="18"/>
  <c r="M28" i="18"/>
  <c r="L28" i="18"/>
  <c r="AJ28" i="18" s="1"/>
  <c r="K28" i="18"/>
  <c r="AK27" i="18"/>
  <c r="AI27" i="18"/>
  <c r="AE27" i="18"/>
  <c r="AC27" i="18"/>
  <c r="W27" i="18"/>
  <c r="AD27" i="18" s="1"/>
  <c r="U27" i="18"/>
  <c r="AF27" i="18" s="1"/>
  <c r="S27" i="18"/>
  <c r="Q27" i="18"/>
  <c r="O27" i="18"/>
  <c r="M27" i="18"/>
  <c r="L27" i="18"/>
  <c r="AJ27" i="18" s="1"/>
  <c r="K27" i="18"/>
  <c r="AK26" i="18"/>
  <c r="AI26" i="18"/>
  <c r="AE26" i="18"/>
  <c r="AC26" i="18"/>
  <c r="W26" i="18"/>
  <c r="AD26" i="18" s="1"/>
  <c r="U26" i="18"/>
  <c r="AF26" i="18" s="1"/>
  <c r="S26" i="18"/>
  <c r="Q26" i="18"/>
  <c r="O26" i="18"/>
  <c r="M26" i="18"/>
  <c r="L26" i="18"/>
  <c r="AJ26" i="18" s="1"/>
  <c r="K26" i="18"/>
  <c r="AK25" i="18"/>
  <c r="AI25" i="18"/>
  <c r="AE25" i="18"/>
  <c r="AC25" i="18"/>
  <c r="W25" i="18"/>
  <c r="AD25" i="18" s="1"/>
  <c r="U25" i="18"/>
  <c r="AF25" i="18" s="1"/>
  <c r="S25" i="18"/>
  <c r="Q25" i="18"/>
  <c r="O25" i="18"/>
  <c r="M25" i="18"/>
  <c r="L25" i="18"/>
  <c r="AJ25" i="18" s="1"/>
  <c r="K25" i="18"/>
  <c r="AK24" i="18"/>
  <c r="AI24" i="18"/>
  <c r="AC24" i="18"/>
  <c r="AE24" i="18" s="1"/>
  <c r="W24" i="18"/>
  <c r="AD24" i="18" s="1"/>
  <c r="U24" i="18"/>
  <c r="AF24" i="18" s="1"/>
  <c r="S24" i="18"/>
  <c r="Q24" i="18"/>
  <c r="O24" i="18"/>
  <c r="M24" i="18"/>
  <c r="L24" i="18"/>
  <c r="AJ24" i="18" s="1"/>
  <c r="K24" i="18"/>
  <c r="AK23" i="18"/>
  <c r="AI23" i="18"/>
  <c r="AE23" i="18"/>
  <c r="AC23" i="18"/>
  <c r="W23" i="18"/>
  <c r="AD23" i="18" s="1"/>
  <c r="U23" i="18"/>
  <c r="AF23" i="18" s="1"/>
  <c r="S23" i="18"/>
  <c r="Q23" i="18"/>
  <c r="O23" i="18"/>
  <c r="M23" i="18"/>
  <c r="L23" i="18"/>
  <c r="AJ23" i="18" s="1"/>
  <c r="K23" i="18"/>
  <c r="AK22" i="18"/>
  <c r="AI22" i="18"/>
  <c r="AE22" i="18"/>
  <c r="AC22" i="18"/>
  <c r="W22" i="18"/>
  <c r="AD22" i="18" s="1"/>
  <c r="U22" i="18"/>
  <c r="AF22" i="18" s="1"/>
  <c r="S22" i="18"/>
  <c r="Q22" i="18"/>
  <c r="O22" i="18"/>
  <c r="M22" i="18"/>
  <c r="L22" i="18"/>
  <c r="AJ22" i="18" s="1"/>
  <c r="K22" i="18"/>
  <c r="AK21" i="18"/>
  <c r="AI21" i="18"/>
  <c r="AC21" i="18"/>
  <c r="AE21" i="18" s="1"/>
  <c r="W21" i="18"/>
  <c r="AD21" i="18" s="1"/>
  <c r="U21" i="18"/>
  <c r="AF21" i="18" s="1"/>
  <c r="S21" i="18"/>
  <c r="Q21" i="18"/>
  <c r="O21" i="18"/>
  <c r="M21" i="18"/>
  <c r="L21" i="18"/>
  <c r="AJ21" i="18" s="1"/>
  <c r="K21" i="18"/>
  <c r="AK20" i="18"/>
  <c r="AI20" i="18"/>
  <c r="AC20" i="18"/>
  <c r="AE20" i="18" s="1"/>
  <c r="W20" i="18"/>
  <c r="AD20" i="18" s="1"/>
  <c r="U20" i="18"/>
  <c r="AF20" i="18" s="1"/>
  <c r="S20" i="18"/>
  <c r="Q20" i="18"/>
  <c r="O20" i="18"/>
  <c r="M20" i="18"/>
  <c r="L20" i="18"/>
  <c r="AJ20" i="18" s="1"/>
  <c r="K20" i="18"/>
  <c r="AK19" i="18"/>
  <c r="AI19" i="18"/>
  <c r="AE19" i="18"/>
  <c r="AC19" i="18"/>
  <c r="W19" i="18"/>
  <c r="AD19" i="18" s="1"/>
  <c r="U19" i="18"/>
  <c r="AF19" i="18" s="1"/>
  <c r="S19" i="18"/>
  <c r="Q19" i="18"/>
  <c r="O19" i="18"/>
  <c r="M19" i="18"/>
  <c r="L19" i="18"/>
  <c r="AJ19" i="18" s="1"/>
  <c r="K19" i="18"/>
  <c r="AK18" i="18"/>
  <c r="AI18" i="18"/>
  <c r="AE18" i="18"/>
  <c r="AC18" i="18"/>
  <c r="W18" i="18"/>
  <c r="AD18" i="18" s="1"/>
  <c r="U18" i="18"/>
  <c r="AF18" i="18" s="1"/>
  <c r="S18" i="18"/>
  <c r="Q18" i="18"/>
  <c r="O18" i="18"/>
  <c r="M18" i="18"/>
  <c r="L18" i="18"/>
  <c r="AJ18" i="18" s="1"/>
  <c r="K18" i="18"/>
  <c r="AK17" i="18"/>
  <c r="AI17" i="18"/>
  <c r="AE17" i="18"/>
  <c r="AC17" i="18"/>
  <c r="W17" i="18"/>
  <c r="AD17" i="18" s="1"/>
  <c r="U17" i="18"/>
  <c r="AF17" i="18" s="1"/>
  <c r="S17" i="18"/>
  <c r="Q17" i="18"/>
  <c r="O17" i="18"/>
  <c r="M17" i="18"/>
  <c r="L17" i="18"/>
  <c r="AJ17" i="18" s="1"/>
  <c r="K17" i="18"/>
  <c r="AK16" i="18"/>
  <c r="AI16" i="18"/>
  <c r="AC16" i="18"/>
  <c r="AE16" i="18" s="1"/>
  <c r="W16" i="18"/>
  <c r="AD16" i="18" s="1"/>
  <c r="U16" i="18"/>
  <c r="AF16" i="18" s="1"/>
  <c r="S16" i="18"/>
  <c r="Q16" i="18"/>
  <c r="O16" i="18"/>
  <c r="M16" i="18"/>
  <c r="L16" i="18"/>
  <c r="AJ16" i="18" s="1"/>
  <c r="K16" i="18"/>
  <c r="AK15" i="18"/>
  <c r="AI15" i="18"/>
  <c r="AE15" i="18"/>
  <c r="AC15" i="18"/>
  <c r="W15" i="18"/>
  <c r="AD15" i="18" s="1"/>
  <c r="U15" i="18"/>
  <c r="AF15" i="18" s="1"/>
  <c r="S15" i="18"/>
  <c r="Q15" i="18"/>
  <c r="O15" i="18"/>
  <c r="M15" i="18"/>
  <c r="L15" i="18"/>
  <c r="AJ15" i="18" s="1"/>
  <c r="K15" i="18"/>
  <c r="AK14" i="18"/>
  <c r="AI14" i="18"/>
  <c r="AE14" i="18"/>
  <c r="AC14" i="18"/>
  <c r="W14" i="18"/>
  <c r="AD14" i="18" s="1"/>
  <c r="U14" i="18"/>
  <c r="AF14" i="18" s="1"/>
  <c r="S14" i="18"/>
  <c r="Q14" i="18"/>
  <c r="O14" i="18"/>
  <c r="M14" i="18"/>
  <c r="L14" i="18"/>
  <c r="AJ14" i="18" s="1"/>
  <c r="K14" i="18"/>
  <c r="AK13" i="18"/>
  <c r="AI13" i="18"/>
  <c r="AC13" i="18"/>
  <c r="AE13" i="18" s="1"/>
  <c r="W13" i="18"/>
  <c r="AD13" i="18" s="1"/>
  <c r="U13" i="18"/>
  <c r="AF13" i="18" s="1"/>
  <c r="S13" i="18"/>
  <c r="Q13" i="18"/>
  <c r="O13" i="18"/>
  <c r="M13" i="18"/>
  <c r="L13" i="18"/>
  <c r="AJ13" i="18" s="1"/>
  <c r="K13" i="18"/>
  <c r="AK12" i="18"/>
  <c r="AI12" i="18"/>
  <c r="AC12" i="18"/>
  <c r="AE12" i="18" s="1"/>
  <c r="W12" i="18"/>
  <c r="AD12" i="18" s="1"/>
  <c r="U12" i="18"/>
  <c r="AF12" i="18" s="1"/>
  <c r="S12" i="18"/>
  <c r="Q12" i="18"/>
  <c r="O12" i="18"/>
  <c r="M12" i="18"/>
  <c r="L12" i="18"/>
  <c r="AJ12" i="18" s="1"/>
  <c r="K12" i="18"/>
  <c r="AK11" i="18"/>
  <c r="AI11" i="18"/>
  <c r="AE11" i="18"/>
  <c r="AC11" i="18"/>
  <c r="W11" i="18"/>
  <c r="AD11" i="18" s="1"/>
  <c r="U11" i="18"/>
  <c r="AF11" i="18" s="1"/>
  <c r="S11" i="18"/>
  <c r="Q11" i="18"/>
  <c r="O11" i="18"/>
  <c r="M11" i="18"/>
  <c r="L11" i="18"/>
  <c r="AJ11" i="18" s="1"/>
  <c r="K11" i="18"/>
  <c r="AL10" i="18"/>
  <c r="AK10" i="18"/>
  <c r="AI10" i="18"/>
  <c r="AH10" i="18"/>
  <c r="AC10" i="18"/>
  <c r="AE10" i="18" s="1"/>
  <c r="AA10" i="18"/>
  <c r="AG10" i="18" s="1"/>
  <c r="Z10" i="18"/>
  <c r="W10" i="18"/>
  <c r="AD10" i="18" s="1"/>
  <c r="V10" i="18"/>
  <c r="U10" i="18"/>
  <c r="AF10" i="18" s="1"/>
  <c r="S10" i="18"/>
  <c r="R10" i="18"/>
  <c r="Q10" i="18"/>
  <c r="O10" i="18"/>
  <c r="N10" i="18"/>
  <c r="M10" i="18"/>
  <c r="L10" i="18"/>
  <c r="AJ10" i="18" s="1"/>
  <c r="K10" i="18"/>
  <c r="AL9" i="18"/>
  <c r="AK9" i="18"/>
  <c r="AI9" i="18"/>
  <c r="AH9" i="18"/>
  <c r="AE9" i="18"/>
  <c r="AC9" i="18"/>
  <c r="AA9" i="18"/>
  <c r="AG9" i="18" s="1"/>
  <c r="Z9" i="18"/>
  <c r="W9" i="18"/>
  <c r="AD9" i="18" s="1"/>
  <c r="V9" i="18"/>
  <c r="U9" i="18"/>
  <c r="AF9" i="18" s="1"/>
  <c r="S9" i="18"/>
  <c r="R9" i="18"/>
  <c r="Q9" i="18"/>
  <c r="O9" i="18"/>
  <c r="N9" i="18"/>
  <c r="M9" i="18"/>
  <c r="L9" i="18"/>
  <c r="AJ9" i="18" s="1"/>
  <c r="K9" i="18"/>
  <c r="AO8" i="18"/>
  <c r="AL8" i="18"/>
  <c r="X8" i="18"/>
  <c r="V8" i="18"/>
  <c r="P8" i="18"/>
  <c r="N8" i="18"/>
  <c r="L8" i="18"/>
  <c r="AH8" i="18" s="1"/>
  <c r="AO7" i="18"/>
  <c r="AK7" i="18"/>
  <c r="AI7" i="18"/>
  <c r="AC7" i="18"/>
  <c r="AE7" i="18" s="1"/>
  <c r="W7" i="18"/>
  <c r="AD7" i="18" s="1"/>
  <c r="U7" i="18"/>
  <c r="AF7" i="18" s="1"/>
  <c r="S7" i="18"/>
  <c r="Q7" i="18"/>
  <c r="O7" i="18"/>
  <c r="M7" i="18"/>
  <c r="L7" i="18"/>
  <c r="AL7" i="18" s="1"/>
  <c r="K7" i="18"/>
  <c r="AO6" i="18"/>
  <c r="AJ6" i="18"/>
  <c r="T6" i="18"/>
  <c r="L6" i="18"/>
  <c r="AL6" i="18" s="1"/>
  <c r="AO5" i="18"/>
  <c r="AL5" i="18"/>
  <c r="AK5" i="18"/>
  <c r="AI5" i="18"/>
  <c r="AH5" i="18"/>
  <c r="AE5" i="18"/>
  <c r="AC5" i="18"/>
  <c r="AA5" i="18"/>
  <c r="AG5" i="18" s="1"/>
  <c r="Z5" i="18"/>
  <c r="W5" i="18"/>
  <c r="AD5" i="18" s="1"/>
  <c r="V5" i="18"/>
  <c r="U5" i="18"/>
  <c r="AF5" i="18" s="1"/>
  <c r="S5" i="18"/>
  <c r="R5" i="18"/>
  <c r="Q5" i="18"/>
  <c r="O5" i="18"/>
  <c r="N5" i="18"/>
  <c r="M5" i="18"/>
  <c r="L5" i="18"/>
  <c r="AJ5" i="18" s="1"/>
  <c r="K5" i="18"/>
  <c r="AL4" i="18"/>
  <c r="AJ4" i="18"/>
  <c r="V4" i="18"/>
  <c r="T4" i="18"/>
  <c r="N4" i="18"/>
  <c r="L4" i="18"/>
  <c r="AO3" i="18"/>
  <c r="AK3" i="18"/>
  <c r="AI3" i="18"/>
  <c r="AE3" i="18"/>
  <c r="AC3" i="18"/>
  <c r="W3" i="18"/>
  <c r="AD3" i="18" s="1"/>
  <c r="U3" i="18"/>
  <c r="AF3" i="18" s="1"/>
  <c r="S3" i="18"/>
  <c r="Q3" i="18"/>
  <c r="O3" i="18"/>
  <c r="M3" i="18"/>
  <c r="L3" i="18"/>
  <c r="AL3" i="18" s="1"/>
  <c r="K3" i="18"/>
  <c r="AO2" i="18"/>
  <c r="AH2" i="18"/>
  <c r="Z2" i="18"/>
  <c r="R2" i="18"/>
  <c r="L2" i="18"/>
  <c r="AO1" i="18"/>
  <c r="K1" i="18"/>
  <c r="L501" i="17"/>
  <c r="AL500" i="17"/>
  <c r="X500" i="17"/>
  <c r="V500" i="17"/>
  <c r="P500" i="17"/>
  <c r="N500" i="17"/>
  <c r="L500" i="17"/>
  <c r="AH500" i="17" s="1"/>
  <c r="AH499" i="17"/>
  <c r="Z499" i="17"/>
  <c r="R499" i="17"/>
  <c r="L499" i="17"/>
  <c r="AL498" i="17"/>
  <c r="X498" i="17"/>
  <c r="V498" i="17"/>
  <c r="P498" i="17"/>
  <c r="N498" i="17"/>
  <c r="L498" i="17"/>
  <c r="AH498" i="17" s="1"/>
  <c r="AJ497" i="17"/>
  <c r="T497" i="17"/>
  <c r="L497" i="17"/>
  <c r="Z497" i="17" s="1"/>
  <c r="AL496" i="17"/>
  <c r="X496" i="17"/>
  <c r="V496" i="17"/>
  <c r="P496" i="17"/>
  <c r="N496" i="17"/>
  <c r="L496" i="17"/>
  <c r="AH496" i="17" s="1"/>
  <c r="AJ495" i="17"/>
  <c r="AH495" i="17"/>
  <c r="Z495" i="17"/>
  <c r="T495" i="17"/>
  <c r="R495" i="17"/>
  <c r="L495" i="17"/>
  <c r="AL494" i="17"/>
  <c r="X494" i="17"/>
  <c r="V494" i="17"/>
  <c r="P494" i="17"/>
  <c r="N494" i="17"/>
  <c r="L494" i="17"/>
  <c r="AH494" i="17" s="1"/>
  <c r="L493" i="17"/>
  <c r="AL492" i="17"/>
  <c r="X492" i="17"/>
  <c r="V492" i="17"/>
  <c r="P492" i="17"/>
  <c r="N492" i="17"/>
  <c r="L492" i="17"/>
  <c r="AH492" i="17" s="1"/>
  <c r="AH491" i="17"/>
  <c r="Z491" i="17"/>
  <c r="R491" i="17"/>
  <c r="L491" i="17"/>
  <c r="AL490" i="17"/>
  <c r="X490" i="17"/>
  <c r="V490" i="17"/>
  <c r="P490" i="17"/>
  <c r="N490" i="17"/>
  <c r="L490" i="17"/>
  <c r="AH490" i="17" s="1"/>
  <c r="AJ489" i="17"/>
  <c r="T489" i="17"/>
  <c r="L489" i="17"/>
  <c r="Z489" i="17" s="1"/>
  <c r="AL488" i="17"/>
  <c r="X488" i="17"/>
  <c r="V488" i="17"/>
  <c r="P488" i="17"/>
  <c r="N488" i="17"/>
  <c r="L488" i="17"/>
  <c r="AH488" i="17" s="1"/>
  <c r="AJ487" i="17"/>
  <c r="AH487" i="17"/>
  <c r="Z487" i="17"/>
  <c r="T487" i="17"/>
  <c r="R487" i="17"/>
  <c r="L487" i="17"/>
  <c r="AL486" i="17"/>
  <c r="X486" i="17"/>
  <c r="V486" i="17"/>
  <c r="P486" i="17"/>
  <c r="N486" i="17"/>
  <c r="L486" i="17"/>
  <c r="AH486" i="17" s="1"/>
  <c r="L485" i="17"/>
  <c r="AL484" i="17"/>
  <c r="X484" i="17"/>
  <c r="V484" i="17"/>
  <c r="P484" i="17"/>
  <c r="N484" i="17"/>
  <c r="L484" i="17"/>
  <c r="AH484" i="17" s="1"/>
  <c r="AH483" i="17"/>
  <c r="Z483" i="17"/>
  <c r="R483" i="17"/>
  <c r="L483" i="17"/>
  <c r="AL482" i="17"/>
  <c r="X482" i="17"/>
  <c r="V482" i="17"/>
  <c r="P482" i="17"/>
  <c r="N482" i="17"/>
  <c r="L482" i="17"/>
  <c r="AH482" i="17" s="1"/>
  <c r="AJ481" i="17"/>
  <c r="T481" i="17"/>
  <c r="L481" i="17"/>
  <c r="Z481" i="17" s="1"/>
  <c r="AL480" i="17"/>
  <c r="X480" i="17"/>
  <c r="V480" i="17"/>
  <c r="P480" i="17"/>
  <c r="N480" i="17"/>
  <c r="L480" i="17"/>
  <c r="AH480" i="17" s="1"/>
  <c r="AJ479" i="17"/>
  <c r="AH479" i="17"/>
  <c r="Z479" i="17"/>
  <c r="T479" i="17"/>
  <c r="R479" i="17"/>
  <c r="L479" i="17"/>
  <c r="AL478" i="17"/>
  <c r="X478" i="17"/>
  <c r="V478" i="17"/>
  <c r="P478" i="17"/>
  <c r="N478" i="17"/>
  <c r="L478" i="17"/>
  <c r="AH478" i="17" s="1"/>
  <c r="L477" i="17"/>
  <c r="AL476" i="17"/>
  <c r="X476" i="17"/>
  <c r="V476" i="17"/>
  <c r="P476" i="17"/>
  <c r="N476" i="17"/>
  <c r="L476" i="17"/>
  <c r="AH476" i="17" s="1"/>
  <c r="AH475" i="17"/>
  <c r="Z475" i="17"/>
  <c r="R475" i="17"/>
  <c r="L475" i="17"/>
  <c r="AL474" i="17"/>
  <c r="X474" i="17"/>
  <c r="V474" i="17"/>
  <c r="P474" i="17"/>
  <c r="N474" i="17"/>
  <c r="L474" i="17"/>
  <c r="AH474" i="17" s="1"/>
  <c r="AJ473" i="17"/>
  <c r="T473" i="17"/>
  <c r="L473" i="17"/>
  <c r="Z473" i="17" s="1"/>
  <c r="AL472" i="17"/>
  <c r="X472" i="17"/>
  <c r="V472" i="17"/>
  <c r="P472" i="17"/>
  <c r="N472" i="17"/>
  <c r="L472" i="17"/>
  <c r="AH472" i="17" s="1"/>
  <c r="AJ471" i="17"/>
  <c r="AH471" i="17"/>
  <c r="Z471" i="17"/>
  <c r="T471" i="17"/>
  <c r="R471" i="17"/>
  <c r="L471" i="17"/>
  <c r="AL470" i="17"/>
  <c r="X470" i="17"/>
  <c r="V470" i="17"/>
  <c r="P470" i="17"/>
  <c r="N470" i="17"/>
  <c r="L470" i="17"/>
  <c r="AH470" i="17" s="1"/>
  <c r="L469" i="17"/>
  <c r="AL468" i="17"/>
  <c r="X468" i="17"/>
  <c r="V468" i="17"/>
  <c r="P468" i="17"/>
  <c r="N468" i="17"/>
  <c r="L468" i="17"/>
  <c r="AH468" i="17" s="1"/>
  <c r="AJ467" i="17"/>
  <c r="AH467" i="17"/>
  <c r="AE467" i="17"/>
  <c r="AC467" i="17"/>
  <c r="AA467" i="17"/>
  <c r="AG467" i="17" s="1"/>
  <c r="Z467" i="17"/>
  <c r="W467" i="17"/>
  <c r="AD467" i="17" s="1"/>
  <c r="V467" i="17"/>
  <c r="U467" i="17"/>
  <c r="AF467" i="17" s="1"/>
  <c r="S467" i="17"/>
  <c r="R467" i="17"/>
  <c r="Q467" i="17"/>
  <c r="O467" i="17"/>
  <c r="N467" i="17"/>
  <c r="M467" i="17"/>
  <c r="L467" i="17"/>
  <c r="K467" i="17"/>
  <c r="AL466" i="17"/>
  <c r="AK466" i="17"/>
  <c r="AI466" i="17"/>
  <c r="AH466" i="17"/>
  <c r="AE466" i="17"/>
  <c r="AC466" i="17"/>
  <c r="AA466" i="17"/>
  <c r="AG466" i="17" s="1"/>
  <c r="Z466" i="17"/>
  <c r="W466" i="17"/>
  <c r="AD466" i="17" s="1"/>
  <c r="V466" i="17"/>
  <c r="U466" i="17"/>
  <c r="AF466" i="17" s="1"/>
  <c r="S466" i="17"/>
  <c r="R466" i="17"/>
  <c r="Q466" i="17"/>
  <c r="O466" i="17"/>
  <c r="N466" i="17"/>
  <c r="M466" i="17"/>
  <c r="L466" i="17"/>
  <c r="AJ466" i="17" s="1"/>
  <c r="K466" i="17"/>
  <c r="AL465" i="17"/>
  <c r="AK465" i="17"/>
  <c r="AI465" i="17"/>
  <c r="AH465" i="17"/>
  <c r="AE465" i="17"/>
  <c r="AC465" i="17"/>
  <c r="AA465" i="17"/>
  <c r="AG465" i="17" s="1"/>
  <c r="Z465" i="17"/>
  <c r="W465" i="17"/>
  <c r="AD465" i="17" s="1"/>
  <c r="V465" i="17"/>
  <c r="U465" i="17"/>
  <c r="AF465" i="17" s="1"/>
  <c r="S465" i="17"/>
  <c r="R465" i="17"/>
  <c r="Q465" i="17"/>
  <c r="O465" i="17"/>
  <c r="N465" i="17"/>
  <c r="M465" i="17"/>
  <c r="L465" i="17"/>
  <c r="AJ465" i="17" s="1"/>
  <c r="K465" i="17"/>
  <c r="AL464" i="17"/>
  <c r="AK464" i="17"/>
  <c r="AI464" i="17"/>
  <c r="AH464" i="17"/>
  <c r="AE464" i="17"/>
  <c r="AC464" i="17"/>
  <c r="AA464" i="17"/>
  <c r="AG464" i="17" s="1"/>
  <c r="Z464" i="17"/>
  <c r="W464" i="17"/>
  <c r="AD464" i="17" s="1"/>
  <c r="V464" i="17"/>
  <c r="U464" i="17"/>
  <c r="AF464" i="17" s="1"/>
  <c r="S464" i="17"/>
  <c r="R464" i="17"/>
  <c r="Q464" i="17"/>
  <c r="O464" i="17"/>
  <c r="N464" i="17"/>
  <c r="M464" i="17"/>
  <c r="L464" i="17"/>
  <c r="AJ464" i="17" s="1"/>
  <c r="K464" i="17"/>
  <c r="AL463" i="17"/>
  <c r="AK463" i="17"/>
  <c r="AI463" i="17"/>
  <c r="AH463" i="17"/>
  <c r="AE463" i="17"/>
  <c r="AC463" i="17"/>
  <c r="AA463" i="17"/>
  <c r="AG463" i="17" s="1"/>
  <c r="Z463" i="17"/>
  <c r="W463" i="17"/>
  <c r="AD463" i="17" s="1"/>
  <c r="V463" i="17"/>
  <c r="U463" i="17"/>
  <c r="AF463" i="17" s="1"/>
  <c r="S463" i="17"/>
  <c r="R463" i="17"/>
  <c r="Q463" i="17"/>
  <c r="O463" i="17"/>
  <c r="N463" i="17"/>
  <c r="M463" i="17"/>
  <c r="L463" i="17"/>
  <c r="AJ463" i="17" s="1"/>
  <c r="K463" i="17"/>
  <c r="AL462" i="17"/>
  <c r="AK462" i="17"/>
  <c r="AI462" i="17"/>
  <c r="AH462" i="17"/>
  <c r="AE462" i="17"/>
  <c r="AC462" i="17"/>
  <c r="AA462" i="17"/>
  <c r="AG462" i="17" s="1"/>
  <c r="Z462" i="17"/>
  <c r="W462" i="17"/>
  <c r="AD462" i="17" s="1"/>
  <c r="V462" i="17"/>
  <c r="U462" i="17"/>
  <c r="AF462" i="17" s="1"/>
  <c r="S462" i="17"/>
  <c r="R462" i="17"/>
  <c r="Q462" i="17"/>
  <c r="O462" i="17"/>
  <c r="N462" i="17"/>
  <c r="M462" i="17"/>
  <c r="L462" i="17"/>
  <c r="AJ462" i="17" s="1"/>
  <c r="K462" i="17"/>
  <c r="AL461" i="17"/>
  <c r="AK461" i="17"/>
  <c r="AI461" i="17"/>
  <c r="AH461" i="17"/>
  <c r="AE461" i="17"/>
  <c r="AC461" i="17"/>
  <c r="AA461" i="17"/>
  <c r="AG461" i="17" s="1"/>
  <c r="Z461" i="17"/>
  <c r="W461" i="17"/>
  <c r="AD461" i="17" s="1"/>
  <c r="V461" i="17"/>
  <c r="U461" i="17"/>
  <c r="AF461" i="17" s="1"/>
  <c r="S461" i="17"/>
  <c r="R461" i="17"/>
  <c r="Q461" i="17"/>
  <c r="O461" i="17"/>
  <c r="N461" i="17"/>
  <c r="M461" i="17"/>
  <c r="L461" i="17"/>
  <c r="AJ461" i="17" s="1"/>
  <c r="K461" i="17"/>
  <c r="AL460" i="17"/>
  <c r="AK460" i="17"/>
  <c r="AI460" i="17"/>
  <c r="AH460" i="17"/>
  <c r="AE460" i="17"/>
  <c r="AC460" i="17"/>
  <c r="AA460" i="17"/>
  <c r="AG460" i="17" s="1"/>
  <c r="Z460" i="17"/>
  <c r="W460" i="17"/>
  <c r="AD460" i="17" s="1"/>
  <c r="V460" i="17"/>
  <c r="U460" i="17"/>
  <c r="AF460" i="17" s="1"/>
  <c r="S460" i="17"/>
  <c r="R460" i="17"/>
  <c r="Q460" i="17"/>
  <c r="O460" i="17"/>
  <c r="N460" i="17"/>
  <c r="M460" i="17"/>
  <c r="L460" i="17"/>
  <c r="AJ460" i="17" s="1"/>
  <c r="K460" i="17"/>
  <c r="AL459" i="17"/>
  <c r="AK459" i="17"/>
  <c r="AI459" i="17"/>
  <c r="AH459" i="17"/>
  <c r="AE459" i="17"/>
  <c r="AC459" i="17"/>
  <c r="AA459" i="17"/>
  <c r="AG459" i="17" s="1"/>
  <c r="Z459" i="17"/>
  <c r="W459" i="17"/>
  <c r="AD459" i="17" s="1"/>
  <c r="V459" i="17"/>
  <c r="U459" i="17"/>
  <c r="AF459" i="17" s="1"/>
  <c r="S459" i="17"/>
  <c r="R459" i="17"/>
  <c r="Q459" i="17"/>
  <c r="O459" i="17"/>
  <c r="N459" i="17"/>
  <c r="M459" i="17"/>
  <c r="L459" i="17"/>
  <c r="AJ459" i="17" s="1"/>
  <c r="K459" i="17"/>
  <c r="AL458" i="17"/>
  <c r="AK458" i="17"/>
  <c r="AI458" i="17"/>
  <c r="AH458" i="17"/>
  <c r="AE458" i="17"/>
  <c r="AC458" i="17"/>
  <c r="AA458" i="17"/>
  <c r="AG458" i="17" s="1"/>
  <c r="Z458" i="17"/>
  <c r="W458" i="17"/>
  <c r="AD458" i="17" s="1"/>
  <c r="V458" i="17"/>
  <c r="U458" i="17"/>
  <c r="AF458" i="17" s="1"/>
  <c r="S458" i="17"/>
  <c r="R458" i="17"/>
  <c r="Q458" i="17"/>
  <c r="O458" i="17"/>
  <c r="N458" i="17"/>
  <c r="M458" i="17"/>
  <c r="L458" i="17"/>
  <c r="AJ458" i="17" s="1"/>
  <c r="K458" i="17"/>
  <c r="AL457" i="17"/>
  <c r="AK457" i="17"/>
  <c r="AI457" i="17"/>
  <c r="AH457" i="17"/>
  <c r="AE457" i="17"/>
  <c r="AC457" i="17"/>
  <c r="AA457" i="17"/>
  <c r="AG457" i="17" s="1"/>
  <c r="Z457" i="17"/>
  <c r="W457" i="17"/>
  <c r="AD457" i="17" s="1"/>
  <c r="V457" i="17"/>
  <c r="U457" i="17"/>
  <c r="AF457" i="17" s="1"/>
  <c r="S457" i="17"/>
  <c r="R457" i="17"/>
  <c r="Q457" i="17"/>
  <c r="O457" i="17"/>
  <c r="N457" i="17"/>
  <c r="M457" i="17"/>
  <c r="L457" i="17"/>
  <c r="AJ457" i="17" s="1"/>
  <c r="K457" i="17"/>
  <c r="AL456" i="17"/>
  <c r="AK456" i="17"/>
  <c r="AI456" i="17"/>
  <c r="AH456" i="17"/>
  <c r="AE456" i="17"/>
  <c r="AC456" i="17"/>
  <c r="AA456" i="17"/>
  <c r="AG456" i="17" s="1"/>
  <c r="Z456" i="17"/>
  <c r="W456" i="17"/>
  <c r="AD456" i="17" s="1"/>
  <c r="V456" i="17"/>
  <c r="U456" i="17"/>
  <c r="AF456" i="17" s="1"/>
  <c r="S456" i="17"/>
  <c r="R456" i="17"/>
  <c r="Q456" i="17"/>
  <c r="O456" i="17"/>
  <c r="N456" i="17"/>
  <c r="M456" i="17"/>
  <c r="L456" i="17"/>
  <c r="AJ456" i="17" s="1"/>
  <c r="K456" i="17"/>
  <c r="AL455" i="17"/>
  <c r="AK455" i="17"/>
  <c r="AI455" i="17"/>
  <c r="AH455" i="17"/>
  <c r="AE455" i="17"/>
  <c r="AC455" i="17"/>
  <c r="AA455" i="17"/>
  <c r="AG455" i="17" s="1"/>
  <c r="Z455" i="17"/>
  <c r="W455" i="17"/>
  <c r="AD455" i="17" s="1"/>
  <c r="V455" i="17"/>
  <c r="U455" i="17"/>
  <c r="AF455" i="17" s="1"/>
  <c r="S455" i="17"/>
  <c r="R455" i="17"/>
  <c r="Q455" i="17"/>
  <c r="O455" i="17"/>
  <c r="N455" i="17"/>
  <c r="M455" i="17"/>
  <c r="L455" i="17"/>
  <c r="AJ455" i="17" s="1"/>
  <c r="K455" i="17"/>
  <c r="AL454" i="17"/>
  <c r="AK454" i="17"/>
  <c r="AI454" i="17"/>
  <c r="AH454" i="17"/>
  <c r="AE454" i="17"/>
  <c r="AC454" i="17"/>
  <c r="AA454" i="17"/>
  <c r="AG454" i="17" s="1"/>
  <c r="Z454" i="17"/>
  <c r="W454" i="17"/>
  <c r="AD454" i="17" s="1"/>
  <c r="V454" i="17"/>
  <c r="U454" i="17"/>
  <c r="AF454" i="17" s="1"/>
  <c r="S454" i="17"/>
  <c r="R454" i="17"/>
  <c r="Q454" i="17"/>
  <c r="O454" i="17"/>
  <c r="N454" i="17"/>
  <c r="M454" i="17"/>
  <c r="L454" i="17"/>
  <c r="AJ454" i="17" s="1"/>
  <c r="K454" i="17"/>
  <c r="AL453" i="17"/>
  <c r="AK453" i="17"/>
  <c r="AI453" i="17"/>
  <c r="AH453" i="17"/>
  <c r="AE453" i="17"/>
  <c r="AC453" i="17"/>
  <c r="AA453" i="17"/>
  <c r="AG453" i="17" s="1"/>
  <c r="Z453" i="17"/>
  <c r="W453" i="17"/>
  <c r="AD453" i="17" s="1"/>
  <c r="V453" i="17"/>
  <c r="U453" i="17"/>
  <c r="AF453" i="17" s="1"/>
  <c r="S453" i="17"/>
  <c r="R453" i="17"/>
  <c r="Q453" i="17"/>
  <c r="O453" i="17"/>
  <c r="N453" i="17"/>
  <c r="M453" i="17"/>
  <c r="L453" i="17"/>
  <c r="AJ453" i="17" s="1"/>
  <c r="K453" i="17"/>
  <c r="AL452" i="17"/>
  <c r="AK452" i="17"/>
  <c r="AI452" i="17"/>
  <c r="AH452" i="17"/>
  <c r="AE452" i="17"/>
  <c r="AC452" i="17"/>
  <c r="AA452" i="17"/>
  <c r="AG452" i="17" s="1"/>
  <c r="Z452" i="17"/>
  <c r="W452" i="17"/>
  <c r="AD452" i="17" s="1"/>
  <c r="V452" i="17"/>
  <c r="U452" i="17"/>
  <c r="AF452" i="17" s="1"/>
  <c r="S452" i="17"/>
  <c r="R452" i="17"/>
  <c r="Q452" i="17"/>
  <c r="O452" i="17"/>
  <c r="N452" i="17"/>
  <c r="M452" i="17"/>
  <c r="L452" i="17"/>
  <c r="AJ452" i="17" s="1"/>
  <c r="K452" i="17"/>
  <c r="AL451" i="17"/>
  <c r="AK451" i="17"/>
  <c r="AI451" i="17"/>
  <c r="AH451" i="17"/>
  <c r="AE451" i="17"/>
  <c r="AC451" i="17"/>
  <c r="AA451" i="17"/>
  <c r="AG451" i="17" s="1"/>
  <c r="Z451" i="17"/>
  <c r="W451" i="17"/>
  <c r="AD451" i="17" s="1"/>
  <c r="V451" i="17"/>
  <c r="U451" i="17"/>
  <c r="AF451" i="17" s="1"/>
  <c r="S451" i="17"/>
  <c r="R451" i="17"/>
  <c r="Q451" i="17"/>
  <c r="O451" i="17"/>
  <c r="N451" i="17"/>
  <c r="M451" i="17"/>
  <c r="L451" i="17"/>
  <c r="AJ451" i="17" s="1"/>
  <c r="K451" i="17"/>
  <c r="AL450" i="17"/>
  <c r="AK450" i="17"/>
  <c r="AI450" i="17"/>
  <c r="AH450" i="17"/>
  <c r="AE450" i="17"/>
  <c r="AC450" i="17"/>
  <c r="AA450" i="17"/>
  <c r="AG450" i="17" s="1"/>
  <c r="Z450" i="17"/>
  <c r="W450" i="17"/>
  <c r="AD450" i="17" s="1"/>
  <c r="V450" i="17"/>
  <c r="U450" i="17"/>
  <c r="AF450" i="17" s="1"/>
  <c r="S450" i="17"/>
  <c r="R450" i="17"/>
  <c r="Q450" i="17"/>
  <c r="O450" i="17"/>
  <c r="N450" i="17"/>
  <c r="M450" i="17"/>
  <c r="L450" i="17"/>
  <c r="AJ450" i="17" s="1"/>
  <c r="K450" i="17"/>
  <c r="AL449" i="17"/>
  <c r="AK449" i="17"/>
  <c r="AI449" i="17"/>
  <c r="AH449" i="17"/>
  <c r="AE449" i="17"/>
  <c r="AC449" i="17"/>
  <c r="AA449" i="17"/>
  <c r="AG449" i="17" s="1"/>
  <c r="Z449" i="17"/>
  <c r="W449" i="17"/>
  <c r="AD449" i="17" s="1"/>
  <c r="V449" i="17"/>
  <c r="U449" i="17"/>
  <c r="AF449" i="17" s="1"/>
  <c r="S449" i="17"/>
  <c r="R449" i="17"/>
  <c r="Q449" i="17"/>
  <c r="O449" i="17"/>
  <c r="N449" i="17"/>
  <c r="M449" i="17"/>
  <c r="L449" i="17"/>
  <c r="AJ449" i="17" s="1"/>
  <c r="K449" i="17"/>
  <c r="AL448" i="17"/>
  <c r="AK448" i="17"/>
  <c r="AI448" i="17"/>
  <c r="AH448" i="17"/>
  <c r="AE448" i="17"/>
  <c r="AC448" i="17"/>
  <c r="AA448" i="17"/>
  <c r="AG448" i="17" s="1"/>
  <c r="Z448" i="17"/>
  <c r="W448" i="17"/>
  <c r="AD448" i="17" s="1"/>
  <c r="V448" i="17"/>
  <c r="U448" i="17"/>
  <c r="AF448" i="17" s="1"/>
  <c r="S448" i="17"/>
  <c r="R448" i="17"/>
  <c r="Q448" i="17"/>
  <c r="O448" i="17"/>
  <c r="N448" i="17"/>
  <c r="M448" i="17"/>
  <c r="L448" i="17"/>
  <c r="AJ448" i="17" s="1"/>
  <c r="K448" i="17"/>
  <c r="AL447" i="17"/>
  <c r="AK447" i="17"/>
  <c r="AI447" i="17"/>
  <c r="AH447" i="17"/>
  <c r="AE447" i="17"/>
  <c r="AC447" i="17"/>
  <c r="AA447" i="17"/>
  <c r="AG447" i="17" s="1"/>
  <c r="Z447" i="17"/>
  <c r="W447" i="17"/>
  <c r="AD447" i="17" s="1"/>
  <c r="V447" i="17"/>
  <c r="U447" i="17"/>
  <c r="AF447" i="17" s="1"/>
  <c r="S447" i="17"/>
  <c r="R447" i="17"/>
  <c r="Q447" i="17"/>
  <c r="O447" i="17"/>
  <c r="N447" i="17"/>
  <c r="M447" i="17"/>
  <c r="L447" i="17"/>
  <c r="AJ447" i="17" s="1"/>
  <c r="K447" i="17"/>
  <c r="AL446" i="17"/>
  <c r="AK446" i="17"/>
  <c r="AI446" i="17"/>
  <c r="AH446" i="17"/>
  <c r="AE446" i="17"/>
  <c r="AC446" i="17"/>
  <c r="AA446" i="17"/>
  <c r="AG446" i="17" s="1"/>
  <c r="Z446" i="17"/>
  <c r="W446" i="17"/>
  <c r="AD446" i="17" s="1"/>
  <c r="V446" i="17"/>
  <c r="U446" i="17"/>
  <c r="AF446" i="17" s="1"/>
  <c r="S446" i="17"/>
  <c r="R446" i="17"/>
  <c r="Q446" i="17"/>
  <c r="O446" i="17"/>
  <c r="N446" i="17"/>
  <c r="M446" i="17"/>
  <c r="L446" i="17"/>
  <c r="AJ446" i="17" s="1"/>
  <c r="K446" i="17"/>
  <c r="AL445" i="17"/>
  <c r="AK445" i="17"/>
  <c r="AI445" i="17"/>
  <c r="AH445" i="17"/>
  <c r="AE445" i="17"/>
  <c r="AC445" i="17"/>
  <c r="AA445" i="17"/>
  <c r="AG445" i="17" s="1"/>
  <c r="Z445" i="17"/>
  <c r="W445" i="17"/>
  <c r="AD445" i="17" s="1"/>
  <c r="V445" i="17"/>
  <c r="U445" i="17"/>
  <c r="AF445" i="17" s="1"/>
  <c r="S445" i="17"/>
  <c r="R445" i="17"/>
  <c r="Q445" i="17"/>
  <c r="O445" i="17"/>
  <c r="N445" i="17"/>
  <c r="M445" i="17"/>
  <c r="L445" i="17"/>
  <c r="AJ445" i="17" s="1"/>
  <c r="K445" i="17"/>
  <c r="AL444" i="17"/>
  <c r="AK444" i="17"/>
  <c r="AI444" i="17"/>
  <c r="AH444" i="17"/>
  <c r="AE444" i="17"/>
  <c r="AC444" i="17"/>
  <c r="AA444" i="17"/>
  <c r="AG444" i="17" s="1"/>
  <c r="Z444" i="17"/>
  <c r="W444" i="17"/>
  <c r="AD444" i="17" s="1"/>
  <c r="V444" i="17"/>
  <c r="U444" i="17"/>
  <c r="AF444" i="17" s="1"/>
  <c r="S444" i="17"/>
  <c r="R444" i="17"/>
  <c r="Q444" i="17"/>
  <c r="O444" i="17"/>
  <c r="N444" i="17"/>
  <c r="M444" i="17"/>
  <c r="L444" i="17"/>
  <c r="AJ444" i="17" s="1"/>
  <c r="K444" i="17"/>
  <c r="AL443" i="17"/>
  <c r="AK443" i="17"/>
  <c r="AI443" i="17"/>
  <c r="AH443" i="17"/>
  <c r="AE443" i="17"/>
  <c r="AC443" i="17"/>
  <c r="AA443" i="17"/>
  <c r="AG443" i="17" s="1"/>
  <c r="Z443" i="17"/>
  <c r="W443" i="17"/>
  <c r="AD443" i="17" s="1"/>
  <c r="V443" i="17"/>
  <c r="U443" i="17"/>
  <c r="AF443" i="17" s="1"/>
  <c r="S443" i="17"/>
  <c r="R443" i="17"/>
  <c r="Q443" i="17"/>
  <c r="O443" i="17"/>
  <c r="N443" i="17"/>
  <c r="M443" i="17"/>
  <c r="L443" i="17"/>
  <c r="AJ443" i="17" s="1"/>
  <c r="K443" i="17"/>
  <c r="AL442" i="17"/>
  <c r="AK442" i="17"/>
  <c r="AI442" i="17"/>
  <c r="AH442" i="17"/>
  <c r="AE442" i="17"/>
  <c r="AC442" i="17"/>
  <c r="AA442" i="17"/>
  <c r="AG442" i="17" s="1"/>
  <c r="Z442" i="17"/>
  <c r="W442" i="17"/>
  <c r="AD442" i="17" s="1"/>
  <c r="V442" i="17"/>
  <c r="U442" i="17"/>
  <c r="AF442" i="17" s="1"/>
  <c r="S442" i="17"/>
  <c r="R442" i="17"/>
  <c r="Q442" i="17"/>
  <c r="O442" i="17"/>
  <c r="N442" i="17"/>
  <c r="M442" i="17"/>
  <c r="L442" i="17"/>
  <c r="AJ442" i="17" s="1"/>
  <c r="K442" i="17"/>
  <c r="AL441" i="17"/>
  <c r="AK441" i="17"/>
  <c r="AI441" i="17"/>
  <c r="AH441" i="17"/>
  <c r="AE441" i="17"/>
  <c r="AC441" i="17"/>
  <c r="AA441" i="17"/>
  <c r="AG441" i="17" s="1"/>
  <c r="Z441" i="17"/>
  <c r="W441" i="17"/>
  <c r="AD441" i="17" s="1"/>
  <c r="V441" i="17"/>
  <c r="U441" i="17"/>
  <c r="AF441" i="17" s="1"/>
  <c r="S441" i="17"/>
  <c r="R441" i="17"/>
  <c r="Q441" i="17"/>
  <c r="O441" i="17"/>
  <c r="N441" i="17"/>
  <c r="M441" i="17"/>
  <c r="L441" i="17"/>
  <c r="AJ441" i="17" s="1"/>
  <c r="K441" i="17"/>
  <c r="AL440" i="17"/>
  <c r="AK440" i="17"/>
  <c r="AI440" i="17"/>
  <c r="AH440" i="17"/>
  <c r="AE440" i="17"/>
  <c r="AC440" i="17"/>
  <c r="AA440" i="17"/>
  <c r="AG440" i="17" s="1"/>
  <c r="Z440" i="17"/>
  <c r="W440" i="17"/>
  <c r="AD440" i="17" s="1"/>
  <c r="V440" i="17"/>
  <c r="U440" i="17"/>
  <c r="AF440" i="17" s="1"/>
  <c r="S440" i="17"/>
  <c r="R440" i="17"/>
  <c r="Q440" i="17"/>
  <c r="O440" i="17"/>
  <c r="N440" i="17"/>
  <c r="M440" i="17"/>
  <c r="L440" i="17"/>
  <c r="AJ440" i="17" s="1"/>
  <c r="K440" i="17"/>
  <c r="AL439" i="17"/>
  <c r="AK439" i="17"/>
  <c r="AI439" i="17"/>
  <c r="AH439" i="17"/>
  <c r="AE439" i="17"/>
  <c r="AC439" i="17"/>
  <c r="AA439" i="17"/>
  <c r="AG439" i="17" s="1"/>
  <c r="Z439" i="17"/>
  <c r="W439" i="17"/>
  <c r="AD439" i="17" s="1"/>
  <c r="V439" i="17"/>
  <c r="U439" i="17"/>
  <c r="AF439" i="17" s="1"/>
  <c r="S439" i="17"/>
  <c r="R439" i="17"/>
  <c r="Q439" i="17"/>
  <c r="O439" i="17"/>
  <c r="N439" i="17"/>
  <c r="M439" i="17"/>
  <c r="L439" i="17"/>
  <c r="AJ439" i="17" s="1"/>
  <c r="K439" i="17"/>
  <c r="AL438" i="17"/>
  <c r="AK438" i="17"/>
  <c r="AI438" i="17"/>
  <c r="AH438" i="17"/>
  <c r="AE438" i="17"/>
  <c r="AC438" i="17"/>
  <c r="AA438" i="17"/>
  <c r="AG438" i="17" s="1"/>
  <c r="Z438" i="17"/>
  <c r="W438" i="17"/>
  <c r="AD438" i="17" s="1"/>
  <c r="V438" i="17"/>
  <c r="U438" i="17"/>
  <c r="AF438" i="17" s="1"/>
  <c r="S438" i="17"/>
  <c r="R438" i="17"/>
  <c r="Q438" i="17"/>
  <c r="O438" i="17"/>
  <c r="N438" i="17"/>
  <c r="M438" i="17"/>
  <c r="L438" i="17"/>
  <c r="AJ438" i="17" s="1"/>
  <c r="K438" i="17"/>
  <c r="AL437" i="17"/>
  <c r="AK437" i="17"/>
  <c r="AI437" i="17"/>
  <c r="AH437" i="17"/>
  <c r="AE437" i="17"/>
  <c r="AC437" i="17"/>
  <c r="AA437" i="17"/>
  <c r="AG437" i="17" s="1"/>
  <c r="Z437" i="17"/>
  <c r="W437" i="17"/>
  <c r="AD437" i="17" s="1"/>
  <c r="V437" i="17"/>
  <c r="U437" i="17"/>
  <c r="AF437" i="17" s="1"/>
  <c r="S437" i="17"/>
  <c r="R437" i="17"/>
  <c r="Q437" i="17"/>
  <c r="O437" i="17"/>
  <c r="N437" i="17"/>
  <c r="M437" i="17"/>
  <c r="L437" i="17"/>
  <c r="AJ437" i="17" s="1"/>
  <c r="K437" i="17"/>
  <c r="AL436" i="17"/>
  <c r="AK436" i="17"/>
  <c r="AI436" i="17"/>
  <c r="AH436" i="17"/>
  <c r="AE436" i="17"/>
  <c r="AC436" i="17"/>
  <c r="AA436" i="17"/>
  <c r="AG436" i="17" s="1"/>
  <c r="Z436" i="17"/>
  <c r="W436" i="17"/>
  <c r="AD436" i="17" s="1"/>
  <c r="V436" i="17"/>
  <c r="U436" i="17"/>
  <c r="AF436" i="17" s="1"/>
  <c r="S436" i="17"/>
  <c r="R436" i="17"/>
  <c r="Q436" i="17"/>
  <c r="O436" i="17"/>
  <c r="N436" i="17"/>
  <c r="M436" i="17"/>
  <c r="L436" i="17"/>
  <c r="AJ436" i="17" s="1"/>
  <c r="K436" i="17"/>
  <c r="AL435" i="17"/>
  <c r="AK435" i="17"/>
  <c r="AI435" i="17"/>
  <c r="AH435" i="17"/>
  <c r="AE435" i="17"/>
  <c r="AC435" i="17"/>
  <c r="AA435" i="17"/>
  <c r="AG435" i="17" s="1"/>
  <c r="Z435" i="17"/>
  <c r="W435" i="17"/>
  <c r="AD435" i="17" s="1"/>
  <c r="V435" i="17"/>
  <c r="U435" i="17"/>
  <c r="AF435" i="17" s="1"/>
  <c r="S435" i="17"/>
  <c r="R435" i="17"/>
  <c r="Q435" i="17"/>
  <c r="O435" i="17"/>
  <c r="N435" i="17"/>
  <c r="M435" i="17"/>
  <c r="L435" i="17"/>
  <c r="AJ435" i="17" s="1"/>
  <c r="K435" i="17"/>
  <c r="AL434" i="17"/>
  <c r="AK434" i="17"/>
  <c r="AI434" i="17"/>
  <c r="AH434" i="17"/>
  <c r="AE434" i="17"/>
  <c r="AC434" i="17"/>
  <c r="AA434" i="17"/>
  <c r="AG434" i="17" s="1"/>
  <c r="Z434" i="17"/>
  <c r="W434" i="17"/>
  <c r="AD434" i="17" s="1"/>
  <c r="V434" i="17"/>
  <c r="U434" i="17"/>
  <c r="AF434" i="17" s="1"/>
  <c r="S434" i="17"/>
  <c r="R434" i="17"/>
  <c r="Q434" i="17"/>
  <c r="O434" i="17"/>
  <c r="N434" i="17"/>
  <c r="M434" i="17"/>
  <c r="L434" i="17"/>
  <c r="AJ434" i="17" s="1"/>
  <c r="K434" i="17"/>
  <c r="AL433" i="17"/>
  <c r="AK433" i="17"/>
  <c r="AI433" i="17"/>
  <c r="AH433" i="17"/>
  <c r="AE433" i="17"/>
  <c r="AC433" i="17"/>
  <c r="AA433" i="17"/>
  <c r="AG433" i="17" s="1"/>
  <c r="Z433" i="17"/>
  <c r="W433" i="17"/>
  <c r="AD433" i="17" s="1"/>
  <c r="V433" i="17"/>
  <c r="U433" i="17"/>
  <c r="AF433" i="17" s="1"/>
  <c r="S433" i="17"/>
  <c r="R433" i="17"/>
  <c r="Q433" i="17"/>
  <c r="O433" i="17"/>
  <c r="N433" i="17"/>
  <c r="M433" i="17"/>
  <c r="L433" i="17"/>
  <c r="AJ433" i="17" s="1"/>
  <c r="K433" i="17"/>
  <c r="AL432" i="17"/>
  <c r="AK432" i="17"/>
  <c r="AI432" i="17"/>
  <c r="AH432" i="17"/>
  <c r="AE432" i="17"/>
  <c r="AC432" i="17"/>
  <c r="AA432" i="17"/>
  <c r="AG432" i="17" s="1"/>
  <c r="Z432" i="17"/>
  <c r="W432" i="17"/>
  <c r="AD432" i="17" s="1"/>
  <c r="V432" i="17"/>
  <c r="U432" i="17"/>
  <c r="AF432" i="17" s="1"/>
  <c r="S432" i="17"/>
  <c r="R432" i="17"/>
  <c r="Q432" i="17"/>
  <c r="O432" i="17"/>
  <c r="N432" i="17"/>
  <c r="M432" i="17"/>
  <c r="L432" i="17"/>
  <c r="AJ432" i="17" s="1"/>
  <c r="K432" i="17"/>
  <c r="AL431" i="17"/>
  <c r="AK431" i="17"/>
  <c r="AI431" i="17"/>
  <c r="AH431" i="17"/>
  <c r="AE431" i="17"/>
  <c r="AC431" i="17"/>
  <c r="AA431" i="17"/>
  <c r="AG431" i="17" s="1"/>
  <c r="Z431" i="17"/>
  <c r="W431" i="17"/>
  <c r="AD431" i="17" s="1"/>
  <c r="V431" i="17"/>
  <c r="U431" i="17"/>
  <c r="AF431" i="17" s="1"/>
  <c r="S431" i="17"/>
  <c r="R431" i="17"/>
  <c r="Q431" i="17"/>
  <c r="O431" i="17"/>
  <c r="N431" i="17"/>
  <c r="M431" i="17"/>
  <c r="L431" i="17"/>
  <c r="AJ431" i="17" s="1"/>
  <c r="K431" i="17"/>
  <c r="AL430" i="17"/>
  <c r="AK430" i="17"/>
  <c r="AI430" i="17"/>
  <c r="AH430" i="17"/>
  <c r="AE430" i="17"/>
  <c r="AC430" i="17"/>
  <c r="AA430" i="17"/>
  <c r="AG430" i="17" s="1"/>
  <c r="Z430" i="17"/>
  <c r="W430" i="17"/>
  <c r="AD430" i="17" s="1"/>
  <c r="V430" i="17"/>
  <c r="U430" i="17"/>
  <c r="AF430" i="17" s="1"/>
  <c r="S430" i="17"/>
  <c r="R430" i="17"/>
  <c r="Q430" i="17"/>
  <c r="O430" i="17"/>
  <c r="N430" i="17"/>
  <c r="M430" i="17"/>
  <c r="L430" i="17"/>
  <c r="AJ430" i="17" s="1"/>
  <c r="K430" i="17"/>
  <c r="AL429" i="17"/>
  <c r="AK429" i="17"/>
  <c r="AI429" i="17"/>
  <c r="AH429" i="17"/>
  <c r="AE429" i="17"/>
  <c r="AC429" i="17"/>
  <c r="AA429" i="17"/>
  <c r="AG429" i="17" s="1"/>
  <c r="Z429" i="17"/>
  <c r="W429" i="17"/>
  <c r="AD429" i="17" s="1"/>
  <c r="V429" i="17"/>
  <c r="U429" i="17"/>
  <c r="AF429" i="17" s="1"/>
  <c r="S429" i="17"/>
  <c r="R429" i="17"/>
  <c r="Q429" i="17"/>
  <c r="O429" i="17"/>
  <c r="N429" i="17"/>
  <c r="M429" i="17"/>
  <c r="L429" i="17"/>
  <c r="AJ429" i="17" s="1"/>
  <c r="K429" i="17"/>
  <c r="AL428" i="17"/>
  <c r="AK428" i="17"/>
  <c r="AI428" i="17"/>
  <c r="AH428" i="17"/>
  <c r="AE428" i="17"/>
  <c r="AC428" i="17"/>
  <c r="AA428" i="17"/>
  <c r="AG428" i="17" s="1"/>
  <c r="Z428" i="17"/>
  <c r="W428" i="17"/>
  <c r="AD428" i="17" s="1"/>
  <c r="V428" i="17"/>
  <c r="U428" i="17"/>
  <c r="AF428" i="17" s="1"/>
  <c r="S428" i="17"/>
  <c r="R428" i="17"/>
  <c r="Q428" i="17"/>
  <c r="O428" i="17"/>
  <c r="N428" i="17"/>
  <c r="M428" i="17"/>
  <c r="L428" i="17"/>
  <c r="AJ428" i="17" s="1"/>
  <c r="K428" i="17"/>
  <c r="AL427" i="17"/>
  <c r="AK427" i="17"/>
  <c r="AI427" i="17"/>
  <c r="AH427" i="17"/>
  <c r="AE427" i="17"/>
  <c r="AC427" i="17"/>
  <c r="Z427" i="17"/>
  <c r="AA427" i="17" s="1"/>
  <c r="AG427" i="17" s="1"/>
  <c r="W427" i="17"/>
  <c r="AD427" i="17" s="1"/>
  <c r="V427" i="17"/>
  <c r="U427" i="17"/>
  <c r="AF427" i="17" s="1"/>
  <c r="S427" i="17"/>
  <c r="R427" i="17"/>
  <c r="Q427" i="17"/>
  <c r="O427" i="17"/>
  <c r="N427" i="17"/>
  <c r="M427" i="17"/>
  <c r="L427" i="17"/>
  <c r="AJ427" i="17" s="1"/>
  <c r="K427" i="17"/>
  <c r="AL426" i="17"/>
  <c r="AK426" i="17"/>
  <c r="AI426" i="17"/>
  <c r="AH426" i="17"/>
  <c r="AC426" i="17"/>
  <c r="AE426" i="17" s="1"/>
  <c r="Z426" i="17"/>
  <c r="AA426" i="17" s="1"/>
  <c r="AG426" i="17" s="1"/>
  <c r="W426" i="17"/>
  <c r="AD426" i="17" s="1"/>
  <c r="V426" i="17"/>
  <c r="U426" i="17"/>
  <c r="AF426" i="17" s="1"/>
  <c r="S426" i="17"/>
  <c r="R426" i="17"/>
  <c r="Q426" i="17"/>
  <c r="O426" i="17"/>
  <c r="N426" i="17"/>
  <c r="M426" i="17"/>
  <c r="L426" i="17"/>
  <c r="AJ426" i="17" s="1"/>
  <c r="K426" i="17"/>
  <c r="AL425" i="17"/>
  <c r="AK425" i="17"/>
  <c r="AI425" i="17"/>
  <c r="AH425" i="17"/>
  <c r="AE425" i="17"/>
  <c r="AC425" i="17"/>
  <c r="Z425" i="17"/>
  <c r="AA425" i="17" s="1"/>
  <c r="AG425" i="17" s="1"/>
  <c r="W425" i="17"/>
  <c r="AD425" i="17" s="1"/>
  <c r="V425" i="17"/>
  <c r="U425" i="17"/>
  <c r="AF425" i="17" s="1"/>
  <c r="S425" i="17"/>
  <c r="R425" i="17"/>
  <c r="Q425" i="17"/>
  <c r="O425" i="17"/>
  <c r="N425" i="17"/>
  <c r="M425" i="17"/>
  <c r="L425" i="17"/>
  <c r="AJ425" i="17" s="1"/>
  <c r="K425" i="17"/>
  <c r="AL424" i="17"/>
  <c r="AK424" i="17"/>
  <c r="AI424" i="17"/>
  <c r="AH424" i="17"/>
  <c r="AC424" i="17"/>
  <c r="AE424" i="17" s="1"/>
  <c r="Z424" i="17"/>
  <c r="AA424" i="17" s="1"/>
  <c r="AG424" i="17" s="1"/>
  <c r="W424" i="17"/>
  <c r="AD424" i="17" s="1"/>
  <c r="V424" i="17"/>
  <c r="U424" i="17"/>
  <c r="AF424" i="17" s="1"/>
  <c r="S424" i="17"/>
  <c r="R424" i="17"/>
  <c r="Q424" i="17"/>
  <c r="O424" i="17"/>
  <c r="N424" i="17"/>
  <c r="M424" i="17"/>
  <c r="L424" i="17"/>
  <c r="AJ424" i="17" s="1"/>
  <c r="K424" i="17"/>
  <c r="AL423" i="17"/>
  <c r="AK423" i="17"/>
  <c r="AI423" i="17"/>
  <c r="AH423" i="17"/>
  <c r="AE423" i="17"/>
  <c r="AC423" i="17"/>
  <c r="Z423" i="17"/>
  <c r="AA423" i="17" s="1"/>
  <c r="AG423" i="17" s="1"/>
  <c r="W423" i="17"/>
  <c r="AD423" i="17" s="1"/>
  <c r="V423" i="17"/>
  <c r="U423" i="17"/>
  <c r="AF423" i="17" s="1"/>
  <c r="S423" i="17"/>
  <c r="R423" i="17"/>
  <c r="Q423" i="17"/>
  <c r="O423" i="17"/>
  <c r="N423" i="17"/>
  <c r="M423" i="17"/>
  <c r="L423" i="17"/>
  <c r="AJ423" i="17" s="1"/>
  <c r="K423" i="17"/>
  <c r="AL422" i="17"/>
  <c r="AK422" i="17"/>
  <c r="AI422" i="17"/>
  <c r="AH422" i="17"/>
  <c r="AC422" i="17"/>
  <c r="AE422" i="17" s="1"/>
  <c r="Z422" i="17"/>
  <c r="AA422" i="17" s="1"/>
  <c r="AG422" i="17" s="1"/>
  <c r="W422" i="17"/>
  <c r="AD422" i="17" s="1"/>
  <c r="V422" i="17"/>
  <c r="U422" i="17"/>
  <c r="AF422" i="17" s="1"/>
  <c r="S422" i="17"/>
  <c r="R422" i="17"/>
  <c r="Q422" i="17"/>
  <c r="O422" i="17"/>
  <c r="N422" i="17"/>
  <c r="M422" i="17"/>
  <c r="L422" i="17"/>
  <c r="AJ422" i="17" s="1"/>
  <c r="K422" i="17"/>
  <c r="AL421" i="17"/>
  <c r="AK421" i="17"/>
  <c r="AI421" i="17"/>
  <c r="AH421" i="17"/>
  <c r="AE421" i="17"/>
  <c r="AC421" i="17"/>
  <c r="Z421" i="17"/>
  <c r="AA421" i="17" s="1"/>
  <c r="AG421" i="17" s="1"/>
  <c r="W421" i="17"/>
  <c r="AD421" i="17" s="1"/>
  <c r="V421" i="17"/>
  <c r="U421" i="17"/>
  <c r="AF421" i="17" s="1"/>
  <c r="S421" i="17"/>
  <c r="R421" i="17"/>
  <c r="Q421" i="17"/>
  <c r="O421" i="17"/>
  <c r="N421" i="17"/>
  <c r="M421" i="17"/>
  <c r="L421" i="17"/>
  <c r="AJ421" i="17" s="1"/>
  <c r="K421" i="17"/>
  <c r="AL420" i="17"/>
  <c r="AK420" i="17"/>
  <c r="AI420" i="17"/>
  <c r="AH420" i="17"/>
  <c r="AC420" i="17"/>
  <c r="AE420" i="17" s="1"/>
  <c r="Z420" i="17"/>
  <c r="AA420" i="17" s="1"/>
  <c r="AG420" i="17" s="1"/>
  <c r="W420" i="17"/>
  <c r="AD420" i="17" s="1"/>
  <c r="V420" i="17"/>
  <c r="U420" i="17"/>
  <c r="AF420" i="17" s="1"/>
  <c r="S420" i="17"/>
  <c r="R420" i="17"/>
  <c r="Q420" i="17"/>
  <c r="O420" i="17"/>
  <c r="N420" i="17"/>
  <c r="M420" i="17"/>
  <c r="L420" i="17"/>
  <c r="AJ420" i="17" s="1"/>
  <c r="K420" i="17"/>
  <c r="AL419" i="17"/>
  <c r="AK419" i="17"/>
  <c r="AI419" i="17"/>
  <c r="AH419" i="17"/>
  <c r="AE419" i="17"/>
  <c r="AC419" i="17"/>
  <c r="Z419" i="17"/>
  <c r="AA419" i="17" s="1"/>
  <c r="AG419" i="17" s="1"/>
  <c r="W419" i="17"/>
  <c r="AD419" i="17" s="1"/>
  <c r="V419" i="17"/>
  <c r="U419" i="17"/>
  <c r="AF419" i="17" s="1"/>
  <c r="S419" i="17"/>
  <c r="R419" i="17"/>
  <c r="Q419" i="17"/>
  <c r="O419" i="17"/>
  <c r="N419" i="17"/>
  <c r="M419" i="17"/>
  <c r="L419" i="17"/>
  <c r="AJ419" i="17" s="1"/>
  <c r="K419" i="17"/>
  <c r="AL418" i="17"/>
  <c r="AK418" i="17"/>
  <c r="AI418" i="17"/>
  <c r="AH418" i="17"/>
  <c r="AC418" i="17"/>
  <c r="AE418" i="17" s="1"/>
  <c r="Z418" i="17"/>
  <c r="AA418" i="17" s="1"/>
  <c r="AG418" i="17" s="1"/>
  <c r="W418" i="17"/>
  <c r="AD418" i="17" s="1"/>
  <c r="V418" i="17"/>
  <c r="U418" i="17"/>
  <c r="AF418" i="17" s="1"/>
  <c r="S418" i="17"/>
  <c r="R418" i="17"/>
  <c r="Q418" i="17"/>
  <c r="O418" i="17"/>
  <c r="N418" i="17"/>
  <c r="M418" i="17"/>
  <c r="L418" i="17"/>
  <c r="AJ418" i="17" s="1"/>
  <c r="K418" i="17"/>
  <c r="AL417" i="17"/>
  <c r="AK417" i="17"/>
  <c r="AI417" i="17"/>
  <c r="AH417" i="17"/>
  <c r="AE417" i="17"/>
  <c r="AC417" i="17"/>
  <c r="Z417" i="17"/>
  <c r="AA417" i="17" s="1"/>
  <c r="AG417" i="17" s="1"/>
  <c r="W417" i="17"/>
  <c r="AD417" i="17" s="1"/>
  <c r="V417" i="17"/>
  <c r="U417" i="17"/>
  <c r="AF417" i="17" s="1"/>
  <c r="S417" i="17"/>
  <c r="R417" i="17"/>
  <c r="Q417" i="17"/>
  <c r="O417" i="17"/>
  <c r="N417" i="17"/>
  <c r="M417" i="17"/>
  <c r="L417" i="17"/>
  <c r="AJ417" i="17" s="1"/>
  <c r="K417" i="17"/>
  <c r="AL416" i="17"/>
  <c r="AK416" i="17"/>
  <c r="AI416" i="17"/>
  <c r="AH416" i="17"/>
  <c r="AC416" i="17"/>
  <c r="AE416" i="17" s="1"/>
  <c r="Z416" i="17"/>
  <c r="AA416" i="17" s="1"/>
  <c r="AG416" i="17" s="1"/>
  <c r="W416" i="17"/>
  <c r="AD416" i="17" s="1"/>
  <c r="V416" i="17"/>
  <c r="U416" i="17"/>
  <c r="AF416" i="17" s="1"/>
  <c r="S416" i="17"/>
  <c r="R416" i="17"/>
  <c r="Q416" i="17"/>
  <c r="O416" i="17"/>
  <c r="N416" i="17"/>
  <c r="M416" i="17"/>
  <c r="L416" i="17"/>
  <c r="AJ416" i="17" s="1"/>
  <c r="K416" i="17"/>
  <c r="AL415" i="17"/>
  <c r="AK415" i="17"/>
  <c r="AI415" i="17"/>
  <c r="AH415" i="17"/>
  <c r="AE415" i="17"/>
  <c r="AC415" i="17"/>
  <c r="Z415" i="17"/>
  <c r="AA415" i="17" s="1"/>
  <c r="AG415" i="17" s="1"/>
  <c r="W415" i="17"/>
  <c r="AD415" i="17" s="1"/>
  <c r="V415" i="17"/>
  <c r="U415" i="17"/>
  <c r="AF415" i="17" s="1"/>
  <c r="S415" i="17"/>
  <c r="R415" i="17"/>
  <c r="Q415" i="17"/>
  <c r="O415" i="17"/>
  <c r="N415" i="17"/>
  <c r="M415" i="17"/>
  <c r="L415" i="17"/>
  <c r="AJ415" i="17" s="1"/>
  <c r="K415" i="17"/>
  <c r="AL414" i="17"/>
  <c r="AK414" i="17"/>
  <c r="AI414" i="17"/>
  <c r="AH414" i="17"/>
  <c r="AC414" i="17"/>
  <c r="AE414" i="17" s="1"/>
  <c r="Z414" i="17"/>
  <c r="AA414" i="17" s="1"/>
  <c r="AG414" i="17" s="1"/>
  <c r="W414" i="17"/>
  <c r="AD414" i="17" s="1"/>
  <c r="V414" i="17"/>
  <c r="U414" i="17"/>
  <c r="AF414" i="17" s="1"/>
  <c r="S414" i="17"/>
  <c r="R414" i="17"/>
  <c r="Q414" i="17"/>
  <c r="O414" i="17"/>
  <c r="N414" i="17"/>
  <c r="M414" i="17"/>
  <c r="L414" i="17"/>
  <c r="AJ414" i="17" s="1"/>
  <c r="K414" i="17"/>
  <c r="AL413" i="17"/>
  <c r="AK413" i="17"/>
  <c r="AI413" i="17"/>
  <c r="AH413" i="17"/>
  <c r="AE413" i="17"/>
  <c r="AC413" i="17"/>
  <c r="Z413" i="17"/>
  <c r="AA413" i="17" s="1"/>
  <c r="AG413" i="17" s="1"/>
  <c r="W413" i="17"/>
  <c r="AD413" i="17" s="1"/>
  <c r="V413" i="17"/>
  <c r="U413" i="17"/>
  <c r="AF413" i="17" s="1"/>
  <c r="S413" i="17"/>
  <c r="R413" i="17"/>
  <c r="Q413" i="17"/>
  <c r="O413" i="17"/>
  <c r="N413" i="17"/>
  <c r="M413" i="17"/>
  <c r="L413" i="17"/>
  <c r="AJ413" i="17" s="1"/>
  <c r="K413" i="17"/>
  <c r="AL412" i="17"/>
  <c r="AK412" i="17"/>
  <c r="AI412" i="17"/>
  <c r="AH412" i="17"/>
  <c r="AC412" i="17"/>
  <c r="AE412" i="17" s="1"/>
  <c r="Z412" i="17"/>
  <c r="AA412" i="17" s="1"/>
  <c r="AG412" i="17" s="1"/>
  <c r="W412" i="17"/>
  <c r="AD412" i="17" s="1"/>
  <c r="V412" i="17"/>
  <c r="U412" i="17"/>
  <c r="AF412" i="17" s="1"/>
  <c r="S412" i="17"/>
  <c r="R412" i="17"/>
  <c r="Q412" i="17"/>
  <c r="O412" i="17"/>
  <c r="N412" i="17"/>
  <c r="M412" i="17"/>
  <c r="L412" i="17"/>
  <c r="AJ412" i="17" s="1"/>
  <c r="K412" i="17"/>
  <c r="AL411" i="17"/>
  <c r="AK411" i="17"/>
  <c r="AI411" i="17"/>
  <c r="AH411" i="17"/>
  <c r="AE411" i="17"/>
  <c r="AC411" i="17"/>
  <c r="Z411" i="17"/>
  <c r="AA411" i="17" s="1"/>
  <c r="AG411" i="17" s="1"/>
  <c r="W411" i="17"/>
  <c r="AD411" i="17" s="1"/>
  <c r="V411" i="17"/>
  <c r="U411" i="17"/>
  <c r="AF411" i="17" s="1"/>
  <c r="S411" i="17"/>
  <c r="R411" i="17"/>
  <c r="Q411" i="17"/>
  <c r="O411" i="17"/>
  <c r="N411" i="17"/>
  <c r="M411" i="17"/>
  <c r="L411" i="17"/>
  <c r="AJ411" i="17" s="1"/>
  <c r="K411" i="17"/>
  <c r="AL410" i="17"/>
  <c r="AK410" i="17"/>
  <c r="AI410" i="17"/>
  <c r="AH410" i="17"/>
  <c r="AC410" i="17"/>
  <c r="AE410" i="17" s="1"/>
  <c r="Z410" i="17"/>
  <c r="AA410" i="17" s="1"/>
  <c r="AG410" i="17" s="1"/>
  <c r="W410" i="17"/>
  <c r="AD410" i="17" s="1"/>
  <c r="V410" i="17"/>
  <c r="U410" i="17"/>
  <c r="AF410" i="17" s="1"/>
  <c r="S410" i="17"/>
  <c r="R410" i="17"/>
  <c r="Q410" i="17"/>
  <c r="O410" i="17"/>
  <c r="N410" i="17"/>
  <c r="M410" i="17"/>
  <c r="L410" i="17"/>
  <c r="AJ410" i="17" s="1"/>
  <c r="K410" i="17"/>
  <c r="AL409" i="17"/>
  <c r="AK409" i="17"/>
  <c r="AI409" i="17"/>
  <c r="AH409" i="17"/>
  <c r="AE409" i="17"/>
  <c r="AC409" i="17"/>
  <c r="Z409" i="17"/>
  <c r="AA409" i="17" s="1"/>
  <c r="AG409" i="17" s="1"/>
  <c r="W409" i="17"/>
  <c r="AD409" i="17" s="1"/>
  <c r="V409" i="17"/>
  <c r="U409" i="17"/>
  <c r="AF409" i="17" s="1"/>
  <c r="S409" i="17"/>
  <c r="R409" i="17"/>
  <c r="Q409" i="17"/>
  <c r="O409" i="17"/>
  <c r="N409" i="17"/>
  <c r="M409" i="17"/>
  <c r="L409" i="17"/>
  <c r="AJ409" i="17" s="1"/>
  <c r="K409" i="17"/>
  <c r="AL408" i="17"/>
  <c r="AK408" i="17"/>
  <c r="AI408" i="17"/>
  <c r="AH408" i="17"/>
  <c r="AC408" i="17"/>
  <c r="AE408" i="17" s="1"/>
  <c r="Z408" i="17"/>
  <c r="AA408" i="17" s="1"/>
  <c r="AG408" i="17" s="1"/>
  <c r="W408" i="17"/>
  <c r="AD408" i="17" s="1"/>
  <c r="V408" i="17"/>
  <c r="U408" i="17"/>
  <c r="AF408" i="17" s="1"/>
  <c r="S408" i="17"/>
  <c r="R408" i="17"/>
  <c r="Q408" i="17"/>
  <c r="O408" i="17"/>
  <c r="N408" i="17"/>
  <c r="M408" i="17"/>
  <c r="L408" i="17"/>
  <c r="AJ408" i="17" s="1"/>
  <c r="K408" i="17"/>
  <c r="AL407" i="17"/>
  <c r="AK407" i="17"/>
  <c r="AI407" i="17"/>
  <c r="AH407" i="17"/>
  <c r="AE407" i="17"/>
  <c r="AC407" i="17"/>
  <c r="Z407" i="17"/>
  <c r="AA407" i="17" s="1"/>
  <c r="AG407" i="17" s="1"/>
  <c r="W407" i="17"/>
  <c r="AD407" i="17" s="1"/>
  <c r="V407" i="17"/>
  <c r="U407" i="17"/>
  <c r="AF407" i="17" s="1"/>
  <c r="S407" i="17"/>
  <c r="R407" i="17"/>
  <c r="Q407" i="17"/>
  <c r="O407" i="17"/>
  <c r="N407" i="17"/>
  <c r="M407" i="17"/>
  <c r="L407" i="17"/>
  <c r="AJ407" i="17" s="1"/>
  <c r="K407" i="17"/>
  <c r="AL406" i="17"/>
  <c r="AK406" i="17"/>
  <c r="AI406" i="17"/>
  <c r="AH406" i="17"/>
  <c r="AC406" i="17"/>
  <c r="AE406" i="17" s="1"/>
  <c r="Z406" i="17"/>
  <c r="AA406" i="17" s="1"/>
  <c r="AG406" i="17" s="1"/>
  <c r="W406" i="17"/>
  <c r="AD406" i="17" s="1"/>
  <c r="V406" i="17"/>
  <c r="U406" i="17"/>
  <c r="AF406" i="17" s="1"/>
  <c r="S406" i="17"/>
  <c r="R406" i="17"/>
  <c r="Q406" i="17"/>
  <c r="O406" i="17"/>
  <c r="N406" i="17"/>
  <c r="M406" i="17"/>
  <c r="L406" i="17"/>
  <c r="AJ406" i="17" s="1"/>
  <c r="K406" i="17"/>
  <c r="AL405" i="17"/>
  <c r="AK405" i="17"/>
  <c r="AI405" i="17"/>
  <c r="AH405" i="17"/>
  <c r="AE405" i="17"/>
  <c r="AC405" i="17"/>
  <c r="Z405" i="17"/>
  <c r="AA405" i="17" s="1"/>
  <c r="AG405" i="17" s="1"/>
  <c r="W405" i="17"/>
  <c r="AD405" i="17" s="1"/>
  <c r="V405" i="17"/>
  <c r="U405" i="17"/>
  <c r="AF405" i="17" s="1"/>
  <c r="S405" i="17"/>
  <c r="R405" i="17"/>
  <c r="Q405" i="17"/>
  <c r="O405" i="17"/>
  <c r="N405" i="17"/>
  <c r="M405" i="17"/>
  <c r="L405" i="17"/>
  <c r="AJ405" i="17" s="1"/>
  <c r="K405" i="17"/>
  <c r="AL404" i="17"/>
  <c r="AK404" i="17"/>
  <c r="AI404" i="17"/>
  <c r="AH404" i="17"/>
  <c r="AC404" i="17"/>
  <c r="AE404" i="17" s="1"/>
  <c r="Z404" i="17"/>
  <c r="AA404" i="17" s="1"/>
  <c r="AG404" i="17" s="1"/>
  <c r="W404" i="17"/>
  <c r="AD404" i="17" s="1"/>
  <c r="V404" i="17"/>
  <c r="U404" i="17"/>
  <c r="AF404" i="17" s="1"/>
  <c r="S404" i="17"/>
  <c r="R404" i="17"/>
  <c r="Q404" i="17"/>
  <c r="O404" i="17"/>
  <c r="N404" i="17"/>
  <c r="M404" i="17"/>
  <c r="L404" i="17"/>
  <c r="AJ404" i="17" s="1"/>
  <c r="K404" i="17"/>
  <c r="AL403" i="17"/>
  <c r="AK403" i="17"/>
  <c r="AI403" i="17"/>
  <c r="AH403" i="17"/>
  <c r="AE403" i="17"/>
  <c r="AC403" i="17"/>
  <c r="Z403" i="17"/>
  <c r="AA403" i="17" s="1"/>
  <c r="AG403" i="17" s="1"/>
  <c r="W403" i="17"/>
  <c r="AD403" i="17" s="1"/>
  <c r="V403" i="17"/>
  <c r="U403" i="17"/>
  <c r="AF403" i="17" s="1"/>
  <c r="S403" i="17"/>
  <c r="R403" i="17"/>
  <c r="Q403" i="17"/>
  <c r="O403" i="17"/>
  <c r="N403" i="17"/>
  <c r="M403" i="17"/>
  <c r="L403" i="17"/>
  <c r="AJ403" i="17" s="1"/>
  <c r="K403" i="17"/>
  <c r="AL402" i="17"/>
  <c r="AK402" i="17"/>
  <c r="AI402" i="17"/>
  <c r="AH402" i="17"/>
  <c r="AC402" i="17"/>
  <c r="AE402" i="17" s="1"/>
  <c r="Z402" i="17"/>
  <c r="AA402" i="17" s="1"/>
  <c r="AG402" i="17" s="1"/>
  <c r="W402" i="17"/>
  <c r="AD402" i="17" s="1"/>
  <c r="V402" i="17"/>
  <c r="U402" i="17"/>
  <c r="AF402" i="17" s="1"/>
  <c r="S402" i="17"/>
  <c r="R402" i="17"/>
  <c r="Q402" i="17"/>
  <c r="O402" i="17"/>
  <c r="N402" i="17"/>
  <c r="M402" i="17"/>
  <c r="L402" i="17"/>
  <c r="AJ402" i="17" s="1"/>
  <c r="K402" i="17"/>
  <c r="L401" i="17"/>
  <c r="AJ400" i="17"/>
  <c r="X400" i="17"/>
  <c r="T400" i="17"/>
  <c r="P400" i="17"/>
  <c r="L400" i="17"/>
  <c r="AJ399" i="17"/>
  <c r="T399" i="17"/>
  <c r="L399" i="17"/>
  <c r="X399" i="17" s="1"/>
  <c r="X398" i="17"/>
  <c r="P398" i="17"/>
  <c r="L398" i="17"/>
  <c r="AJ398" i="17" s="1"/>
  <c r="L397" i="17"/>
  <c r="AJ396" i="17"/>
  <c r="X396" i="17"/>
  <c r="T396" i="17"/>
  <c r="P396" i="17"/>
  <c r="L396" i="17"/>
  <c r="AJ395" i="17"/>
  <c r="T395" i="17"/>
  <c r="L395" i="17"/>
  <c r="X395" i="17" s="1"/>
  <c r="X394" i="17"/>
  <c r="P394" i="17"/>
  <c r="L394" i="17"/>
  <c r="AJ394" i="17" s="1"/>
  <c r="L393" i="17"/>
  <c r="AJ392" i="17"/>
  <c r="X392" i="17"/>
  <c r="T392" i="17"/>
  <c r="P392" i="17"/>
  <c r="L392" i="17"/>
  <c r="AJ391" i="17"/>
  <c r="T391" i="17"/>
  <c r="L391" i="17"/>
  <c r="X391" i="17" s="1"/>
  <c r="X390" i="17"/>
  <c r="P390" i="17"/>
  <c r="L390" i="17"/>
  <c r="AJ390" i="17" s="1"/>
  <c r="L389" i="17"/>
  <c r="AJ388" i="17"/>
  <c r="X388" i="17"/>
  <c r="T388" i="17"/>
  <c r="P388" i="17"/>
  <c r="L388" i="17"/>
  <c r="AJ387" i="17"/>
  <c r="T387" i="17"/>
  <c r="L387" i="17"/>
  <c r="X387" i="17" s="1"/>
  <c r="X386" i="17"/>
  <c r="P386" i="17"/>
  <c r="L386" i="17"/>
  <c r="AJ386" i="17" s="1"/>
  <c r="L385" i="17"/>
  <c r="AJ384" i="17"/>
  <c r="X384" i="17"/>
  <c r="T384" i="17"/>
  <c r="P384" i="17"/>
  <c r="L384" i="17"/>
  <c r="AJ383" i="17"/>
  <c r="T383" i="17"/>
  <c r="L383" i="17"/>
  <c r="X383" i="17" s="1"/>
  <c r="X382" i="17"/>
  <c r="P382" i="17"/>
  <c r="L382" i="17"/>
  <c r="AJ382" i="17" s="1"/>
  <c r="L381" i="17"/>
  <c r="AJ380" i="17"/>
  <c r="X380" i="17"/>
  <c r="T380" i="17"/>
  <c r="P380" i="17"/>
  <c r="L380" i="17"/>
  <c r="AJ379" i="17"/>
  <c r="T379" i="17"/>
  <c r="L379" i="17"/>
  <c r="X379" i="17" s="1"/>
  <c r="X378" i="17"/>
  <c r="P378" i="17"/>
  <c r="L378" i="17"/>
  <c r="AJ378" i="17" s="1"/>
  <c r="L377" i="17"/>
  <c r="AJ376" i="17"/>
  <c r="X376" i="17"/>
  <c r="T376" i="17"/>
  <c r="P376" i="17"/>
  <c r="L376" i="17"/>
  <c r="AJ375" i="17"/>
  <c r="T375" i="17"/>
  <c r="L375" i="17"/>
  <c r="X375" i="17" s="1"/>
  <c r="X374" i="17"/>
  <c r="P374" i="17"/>
  <c r="L374" i="17"/>
  <c r="AJ374" i="17" s="1"/>
  <c r="AJ373" i="17"/>
  <c r="L373" i="17"/>
  <c r="AJ372" i="17"/>
  <c r="X372" i="17"/>
  <c r="T372" i="17"/>
  <c r="P372" i="17"/>
  <c r="L372" i="17"/>
  <c r="T371" i="17"/>
  <c r="L371" i="17"/>
  <c r="L370" i="17"/>
  <c r="T369" i="17"/>
  <c r="L369" i="17"/>
  <c r="AJ368" i="17"/>
  <c r="X368" i="17"/>
  <c r="T368" i="17"/>
  <c r="P368" i="17"/>
  <c r="L368" i="17"/>
  <c r="AJ367" i="17"/>
  <c r="P367" i="17"/>
  <c r="L367" i="17"/>
  <c r="X366" i="17"/>
  <c r="P366" i="17"/>
  <c r="L366" i="17"/>
  <c r="X365" i="17"/>
  <c r="L365" i="17"/>
  <c r="AJ364" i="17"/>
  <c r="X364" i="17"/>
  <c r="T364" i="17"/>
  <c r="P364" i="17"/>
  <c r="L364" i="17"/>
  <c r="T363" i="17"/>
  <c r="L363" i="17"/>
  <c r="L362" i="17"/>
  <c r="T361" i="17"/>
  <c r="L361" i="17"/>
  <c r="AJ360" i="17"/>
  <c r="X360" i="17"/>
  <c r="T360" i="17"/>
  <c r="P360" i="17"/>
  <c r="L360" i="17"/>
  <c r="AJ359" i="17"/>
  <c r="P359" i="17"/>
  <c r="L359" i="17"/>
  <c r="X358" i="17"/>
  <c r="P358" i="17"/>
  <c r="L358" i="17"/>
  <c r="X357" i="17"/>
  <c r="L357" i="17"/>
  <c r="AJ356" i="17"/>
  <c r="X356" i="17"/>
  <c r="T356" i="17"/>
  <c r="P356" i="17"/>
  <c r="L356" i="17"/>
  <c r="T355" i="17"/>
  <c r="L355" i="17"/>
  <c r="L354" i="17"/>
  <c r="T353" i="17"/>
  <c r="L353" i="17"/>
  <c r="AJ352" i="17"/>
  <c r="X352" i="17"/>
  <c r="T352" i="17"/>
  <c r="P352" i="17"/>
  <c r="L352" i="17"/>
  <c r="AJ351" i="17"/>
  <c r="X351" i="17"/>
  <c r="T351" i="17"/>
  <c r="P351" i="17"/>
  <c r="L351" i="17"/>
  <c r="P350" i="17"/>
  <c r="L350" i="17"/>
  <c r="X350" i="17" s="1"/>
  <c r="L349" i="17"/>
  <c r="X349" i="17" s="1"/>
  <c r="AJ348" i="17"/>
  <c r="X348" i="17"/>
  <c r="T348" i="17"/>
  <c r="L348" i="17"/>
  <c r="AJ347" i="17"/>
  <c r="X347" i="17"/>
  <c r="T347" i="17"/>
  <c r="P347" i="17"/>
  <c r="L347" i="17"/>
  <c r="P346" i="17"/>
  <c r="L346" i="17"/>
  <c r="X346" i="17" s="1"/>
  <c r="L345" i="17"/>
  <c r="X345" i="17" s="1"/>
  <c r="AJ344" i="17"/>
  <c r="X344" i="17"/>
  <c r="T344" i="17"/>
  <c r="L344" i="17"/>
  <c r="AJ343" i="17"/>
  <c r="X343" i="17"/>
  <c r="T343" i="17"/>
  <c r="P343" i="17"/>
  <c r="L343" i="17"/>
  <c r="P342" i="17"/>
  <c r="L342" i="17"/>
  <c r="X342" i="17" s="1"/>
  <c r="L341" i="17"/>
  <c r="X341" i="17" s="1"/>
  <c r="AJ340" i="17"/>
  <c r="X340" i="17"/>
  <c r="T340" i="17"/>
  <c r="L340" i="17"/>
  <c r="AJ339" i="17"/>
  <c r="X339" i="17"/>
  <c r="T339" i="17"/>
  <c r="P339" i="17"/>
  <c r="L339" i="17"/>
  <c r="P338" i="17"/>
  <c r="L338" i="17"/>
  <c r="X338" i="17" s="1"/>
  <c r="L337" i="17"/>
  <c r="X337" i="17" s="1"/>
  <c r="AJ336" i="17"/>
  <c r="X336" i="17"/>
  <c r="T336" i="17"/>
  <c r="L336" i="17"/>
  <c r="AJ335" i="17"/>
  <c r="X335" i="17"/>
  <c r="T335" i="17"/>
  <c r="P335" i="17"/>
  <c r="L335" i="17"/>
  <c r="P334" i="17"/>
  <c r="L334" i="17"/>
  <c r="X334" i="17" s="1"/>
  <c r="L333" i="17"/>
  <c r="X333" i="17" s="1"/>
  <c r="AJ332" i="17"/>
  <c r="X332" i="17"/>
  <c r="T332" i="17"/>
  <c r="L332" i="17"/>
  <c r="AJ331" i="17"/>
  <c r="X331" i="17"/>
  <c r="T331" i="17"/>
  <c r="P331" i="17"/>
  <c r="L331" i="17"/>
  <c r="P330" i="17"/>
  <c r="L330" i="17"/>
  <c r="X330" i="17" s="1"/>
  <c r="L329" i="17"/>
  <c r="X329" i="17" s="1"/>
  <c r="AJ328" i="17"/>
  <c r="X328" i="17"/>
  <c r="T328" i="17"/>
  <c r="L328" i="17"/>
  <c r="AJ327" i="17"/>
  <c r="X327" i="17"/>
  <c r="T327" i="17"/>
  <c r="P327" i="17"/>
  <c r="L327" i="17"/>
  <c r="P326" i="17"/>
  <c r="L326" i="17"/>
  <c r="X326" i="17" s="1"/>
  <c r="L325" i="17"/>
  <c r="X325" i="17" s="1"/>
  <c r="AJ324" i="17"/>
  <c r="X324" i="17"/>
  <c r="T324" i="17"/>
  <c r="L324" i="17"/>
  <c r="AJ323" i="17"/>
  <c r="X323" i="17"/>
  <c r="T323" i="17"/>
  <c r="P323" i="17"/>
  <c r="L323" i="17"/>
  <c r="P322" i="17"/>
  <c r="L322" i="17"/>
  <c r="X322" i="17" s="1"/>
  <c r="L321" i="17"/>
  <c r="AJ320" i="17"/>
  <c r="X320" i="17"/>
  <c r="T320" i="17"/>
  <c r="L320" i="17"/>
  <c r="AJ319" i="17"/>
  <c r="X319" i="17"/>
  <c r="T319" i="17"/>
  <c r="P319" i="17"/>
  <c r="L319" i="17"/>
  <c r="P318" i="17"/>
  <c r="L318" i="17"/>
  <c r="X318" i="17" s="1"/>
  <c r="L317" i="17"/>
  <c r="AJ316" i="17"/>
  <c r="X316" i="17"/>
  <c r="T316" i="17"/>
  <c r="L316" i="17"/>
  <c r="AJ315" i="17"/>
  <c r="X315" i="17"/>
  <c r="T315" i="17"/>
  <c r="P315" i="17"/>
  <c r="L315" i="17"/>
  <c r="P314" i="17"/>
  <c r="L314" i="17"/>
  <c r="L313" i="17"/>
  <c r="AJ312" i="17"/>
  <c r="X312" i="17"/>
  <c r="T312" i="17"/>
  <c r="L312" i="17"/>
  <c r="AJ311" i="17"/>
  <c r="X311" i="17"/>
  <c r="T311" i="17"/>
  <c r="P311" i="17"/>
  <c r="L311" i="17"/>
  <c r="L310" i="17"/>
  <c r="X309" i="17"/>
  <c r="L309" i="17"/>
  <c r="AJ308" i="17"/>
  <c r="X308" i="17"/>
  <c r="T308" i="17"/>
  <c r="L308" i="17"/>
  <c r="AJ307" i="17"/>
  <c r="X307" i="17"/>
  <c r="T307" i="17"/>
  <c r="P307" i="17"/>
  <c r="L307" i="17"/>
  <c r="L306" i="17"/>
  <c r="L305" i="17"/>
  <c r="AJ304" i="17"/>
  <c r="X304" i="17"/>
  <c r="T304" i="17"/>
  <c r="L304" i="17"/>
  <c r="AJ303" i="17"/>
  <c r="X303" i="17"/>
  <c r="T303" i="17"/>
  <c r="P303" i="17"/>
  <c r="L303" i="17"/>
  <c r="V302" i="17"/>
  <c r="T302" i="17"/>
  <c r="L302" i="17"/>
  <c r="AH301" i="17"/>
  <c r="Z301" i="17"/>
  <c r="X301" i="17"/>
  <c r="R301" i="17"/>
  <c r="P301" i="17"/>
  <c r="L301" i="17"/>
  <c r="AL300" i="17"/>
  <c r="AJ300" i="17"/>
  <c r="V300" i="17"/>
  <c r="T300" i="17"/>
  <c r="N300" i="17"/>
  <c r="L300" i="17"/>
  <c r="AH299" i="17"/>
  <c r="Z299" i="17"/>
  <c r="X299" i="17"/>
  <c r="R299" i="17"/>
  <c r="P299" i="17"/>
  <c r="L299" i="17"/>
  <c r="L298" i="17"/>
  <c r="AH297" i="17"/>
  <c r="Z297" i="17"/>
  <c r="X297" i="17"/>
  <c r="R297" i="17"/>
  <c r="P297" i="17"/>
  <c r="L297" i="17"/>
  <c r="L296" i="17"/>
  <c r="AH295" i="17"/>
  <c r="Z295" i="17"/>
  <c r="X295" i="17"/>
  <c r="R295" i="17"/>
  <c r="P295" i="17"/>
  <c r="L295" i="17"/>
  <c r="AL294" i="17"/>
  <c r="AJ294" i="17"/>
  <c r="V294" i="17"/>
  <c r="T294" i="17"/>
  <c r="L294" i="17"/>
  <c r="AH293" i="17"/>
  <c r="Z293" i="17"/>
  <c r="X293" i="17"/>
  <c r="R293" i="17"/>
  <c r="P293" i="17"/>
  <c r="L293" i="17"/>
  <c r="AL292" i="17"/>
  <c r="AJ292" i="17"/>
  <c r="V292" i="17"/>
  <c r="T292" i="17"/>
  <c r="N292" i="17"/>
  <c r="L292" i="17"/>
  <c r="AH291" i="17"/>
  <c r="Z291" i="17"/>
  <c r="X291" i="17"/>
  <c r="R291" i="17"/>
  <c r="P291" i="17"/>
  <c r="L291" i="17"/>
  <c r="L290" i="17"/>
  <c r="AH289" i="17"/>
  <c r="Z289" i="17"/>
  <c r="X289" i="17"/>
  <c r="R289" i="17"/>
  <c r="P289" i="17"/>
  <c r="L289" i="17"/>
  <c r="L288" i="17"/>
  <c r="AL288" i="17" s="1"/>
  <c r="AH287" i="17"/>
  <c r="Z287" i="17"/>
  <c r="X287" i="17"/>
  <c r="R287" i="17"/>
  <c r="P287" i="17"/>
  <c r="L287" i="17"/>
  <c r="AL286" i="17"/>
  <c r="AJ286" i="17"/>
  <c r="V286" i="17"/>
  <c r="T286" i="17"/>
  <c r="L286" i="17"/>
  <c r="AH285" i="17"/>
  <c r="Z285" i="17"/>
  <c r="X285" i="17"/>
  <c r="R285" i="17"/>
  <c r="P285" i="17"/>
  <c r="L285" i="17"/>
  <c r="AL284" i="17"/>
  <c r="AJ284" i="17"/>
  <c r="V284" i="17"/>
  <c r="T284" i="17"/>
  <c r="N284" i="17"/>
  <c r="L284" i="17"/>
  <c r="AH283" i="17"/>
  <c r="Z283" i="17"/>
  <c r="X283" i="17"/>
  <c r="R283" i="17"/>
  <c r="P283" i="17"/>
  <c r="L283" i="17"/>
  <c r="L282" i="17"/>
  <c r="AH281" i="17"/>
  <c r="Z281" i="17"/>
  <c r="X281" i="17"/>
  <c r="R281" i="17"/>
  <c r="P281" i="17"/>
  <c r="L281" i="17"/>
  <c r="L280" i="17"/>
  <c r="AH279" i="17"/>
  <c r="Z279" i="17"/>
  <c r="X279" i="17"/>
  <c r="R279" i="17"/>
  <c r="P279" i="17"/>
  <c r="L279" i="17"/>
  <c r="AL278" i="17"/>
  <c r="AJ278" i="17"/>
  <c r="V278" i="17"/>
  <c r="T278" i="17"/>
  <c r="L278" i="17"/>
  <c r="AH277" i="17"/>
  <c r="Z277" i="17"/>
  <c r="X277" i="17"/>
  <c r="R277" i="17"/>
  <c r="P277" i="17"/>
  <c r="L277" i="17"/>
  <c r="AL276" i="17"/>
  <c r="AJ276" i="17"/>
  <c r="V276" i="17"/>
  <c r="T276" i="17"/>
  <c r="N276" i="17"/>
  <c r="L276" i="17"/>
  <c r="X275" i="17"/>
  <c r="L275" i="17"/>
  <c r="AL274" i="17"/>
  <c r="T274" i="17"/>
  <c r="P274" i="17"/>
  <c r="L274" i="17"/>
  <c r="X273" i="17"/>
  <c r="L273" i="17"/>
  <c r="Z273" i="17" s="1"/>
  <c r="T272" i="17"/>
  <c r="L272" i="17"/>
  <c r="AJ271" i="17"/>
  <c r="Z271" i="17"/>
  <c r="R271" i="17"/>
  <c r="L271" i="17"/>
  <c r="T271" i="17" s="1"/>
  <c r="AL270" i="17"/>
  <c r="AH270" i="17"/>
  <c r="Z270" i="17"/>
  <c r="X270" i="17"/>
  <c r="V270" i="17"/>
  <c r="R270" i="17"/>
  <c r="P270" i="17"/>
  <c r="N270" i="17"/>
  <c r="L270" i="17"/>
  <c r="AH269" i="17"/>
  <c r="Z269" i="17"/>
  <c r="R269" i="17"/>
  <c r="L269" i="17"/>
  <c r="AL268" i="17"/>
  <c r="AH268" i="17"/>
  <c r="Z268" i="17"/>
  <c r="X268" i="17"/>
  <c r="V268" i="17"/>
  <c r="R268" i="17"/>
  <c r="P268" i="17"/>
  <c r="N268" i="17"/>
  <c r="L268" i="17"/>
  <c r="AH267" i="17"/>
  <c r="Z267" i="17"/>
  <c r="R267" i="17"/>
  <c r="L267" i="17"/>
  <c r="AJ267" i="17" s="1"/>
  <c r="AL266" i="17"/>
  <c r="AH266" i="17"/>
  <c r="Z266" i="17"/>
  <c r="X266" i="17"/>
  <c r="V266" i="17"/>
  <c r="R266" i="17"/>
  <c r="P266" i="17"/>
  <c r="N266" i="17"/>
  <c r="L266" i="17"/>
  <c r="AH265" i="17"/>
  <c r="Z265" i="17"/>
  <c r="R265" i="17"/>
  <c r="L265" i="17"/>
  <c r="AL264" i="17"/>
  <c r="AH264" i="17"/>
  <c r="Z264" i="17"/>
  <c r="X264" i="17"/>
  <c r="V264" i="17"/>
  <c r="R264" i="17"/>
  <c r="P264" i="17"/>
  <c r="N264" i="17"/>
  <c r="L264" i="17"/>
  <c r="AJ263" i="17"/>
  <c r="AH263" i="17"/>
  <c r="Z263" i="17"/>
  <c r="U263" i="17"/>
  <c r="AF263" i="17" s="1"/>
  <c r="T263" i="17"/>
  <c r="P263" i="17"/>
  <c r="N263" i="17"/>
  <c r="L263" i="17"/>
  <c r="AL262" i="17"/>
  <c r="Q262" i="17"/>
  <c r="L262" i="17"/>
  <c r="U262" i="17" s="1"/>
  <c r="AF262" i="17" s="1"/>
  <c r="AH261" i="17"/>
  <c r="AC261" i="17"/>
  <c r="AE261" i="17" s="1"/>
  <c r="X261" i="17"/>
  <c r="R261" i="17"/>
  <c r="M261" i="17"/>
  <c r="L261" i="17"/>
  <c r="AL261" i="17" s="1"/>
  <c r="AK260" i="17"/>
  <c r="AJ260" i="17"/>
  <c r="AH260" i="17"/>
  <c r="AC260" i="17"/>
  <c r="AE260" i="17" s="1"/>
  <c r="Z260" i="17"/>
  <c r="Y260" i="17"/>
  <c r="X260" i="17"/>
  <c r="U260" i="17"/>
  <c r="AF260" i="17" s="1"/>
  <c r="T260" i="17"/>
  <c r="R260" i="17"/>
  <c r="P260" i="17"/>
  <c r="N260" i="17"/>
  <c r="M260" i="17"/>
  <c r="L260" i="17"/>
  <c r="AK259" i="17"/>
  <c r="AJ259" i="17"/>
  <c r="Z259" i="17"/>
  <c r="U259" i="17"/>
  <c r="AF259" i="17" s="1"/>
  <c r="T259" i="17"/>
  <c r="P259" i="17"/>
  <c r="N259" i="17"/>
  <c r="L259" i="17"/>
  <c r="AL258" i="17"/>
  <c r="Q258" i="17"/>
  <c r="L258" i="17"/>
  <c r="U258" i="17" s="1"/>
  <c r="AF258" i="17" s="1"/>
  <c r="AH257" i="17"/>
  <c r="AC257" i="17"/>
  <c r="AE257" i="17" s="1"/>
  <c r="X257" i="17"/>
  <c r="R257" i="17"/>
  <c r="M257" i="17"/>
  <c r="L257" i="17"/>
  <c r="AL257" i="17" s="1"/>
  <c r="AK256" i="17"/>
  <c r="AJ256" i="17"/>
  <c r="AH256" i="17"/>
  <c r="AC256" i="17"/>
  <c r="AE256" i="17" s="1"/>
  <c r="Z256" i="17"/>
  <c r="Y256" i="17"/>
  <c r="X256" i="17"/>
  <c r="U256" i="17"/>
  <c r="AF256" i="17" s="1"/>
  <c r="T256" i="17"/>
  <c r="R256" i="17"/>
  <c r="P256" i="17"/>
  <c r="N256" i="17"/>
  <c r="M256" i="17"/>
  <c r="L256" i="17"/>
  <c r="AK255" i="17"/>
  <c r="AJ255" i="17"/>
  <c r="Z255" i="17"/>
  <c r="U255" i="17"/>
  <c r="AF255" i="17" s="1"/>
  <c r="T255" i="17"/>
  <c r="P255" i="17"/>
  <c r="N255" i="17"/>
  <c r="L255" i="17"/>
  <c r="AL254" i="17"/>
  <c r="Q254" i="17"/>
  <c r="L254" i="17"/>
  <c r="U254" i="17" s="1"/>
  <c r="AF254" i="17" s="1"/>
  <c r="AH253" i="17"/>
  <c r="AC253" i="17"/>
  <c r="AE253" i="17" s="1"/>
  <c r="X253" i="17"/>
  <c r="R253" i="17"/>
  <c r="M253" i="17"/>
  <c r="L253" i="17"/>
  <c r="AL253" i="17" s="1"/>
  <c r="AK252" i="17"/>
  <c r="AJ252" i="17"/>
  <c r="AH252" i="17"/>
  <c r="AC252" i="17"/>
  <c r="AE252" i="17" s="1"/>
  <c r="Z252" i="17"/>
  <c r="Y252" i="17"/>
  <c r="X252" i="17"/>
  <c r="U252" i="17"/>
  <c r="AF252" i="17" s="1"/>
  <c r="T252" i="17"/>
  <c r="R252" i="17"/>
  <c r="P252" i="17"/>
  <c r="N252" i="17"/>
  <c r="M252" i="17"/>
  <c r="L252" i="17"/>
  <c r="AK251" i="17"/>
  <c r="AJ251" i="17"/>
  <c r="Z251" i="17"/>
  <c r="U251" i="17"/>
  <c r="AF251" i="17" s="1"/>
  <c r="T251" i="17"/>
  <c r="P251" i="17"/>
  <c r="N251" i="17"/>
  <c r="L251" i="17"/>
  <c r="AL250" i="17"/>
  <c r="Q250" i="17"/>
  <c r="L250" i="17"/>
  <c r="U250" i="17" s="1"/>
  <c r="AF250" i="17" s="1"/>
  <c r="AH249" i="17"/>
  <c r="AC249" i="17"/>
  <c r="AE249" i="17" s="1"/>
  <c r="X249" i="17"/>
  <c r="R249" i="17"/>
  <c r="M249" i="17"/>
  <c r="L249" i="17"/>
  <c r="AL249" i="17" s="1"/>
  <c r="AK248" i="17"/>
  <c r="AJ248" i="17"/>
  <c r="AH248" i="17"/>
  <c r="AC248" i="17"/>
  <c r="AE248" i="17" s="1"/>
  <c r="Z248" i="17"/>
  <c r="Y248" i="17"/>
  <c r="X248" i="17"/>
  <c r="U248" i="17"/>
  <c r="AF248" i="17" s="1"/>
  <c r="T248" i="17"/>
  <c r="R248" i="17"/>
  <c r="P248" i="17"/>
  <c r="N248" i="17"/>
  <c r="M248" i="17"/>
  <c r="L248" i="17"/>
  <c r="AK247" i="17"/>
  <c r="AJ247" i="17"/>
  <c r="Z247" i="17"/>
  <c r="U247" i="17"/>
  <c r="AF247" i="17" s="1"/>
  <c r="T247" i="17"/>
  <c r="P247" i="17"/>
  <c r="N247" i="17"/>
  <c r="L247" i="17"/>
  <c r="AL246" i="17"/>
  <c r="Q246" i="17"/>
  <c r="L246" i="17"/>
  <c r="U246" i="17" s="1"/>
  <c r="AF246" i="17" s="1"/>
  <c r="AH245" i="17"/>
  <c r="AC245" i="17"/>
  <c r="AE245" i="17" s="1"/>
  <c r="X245" i="17"/>
  <c r="R245" i="17"/>
  <c r="M245" i="17"/>
  <c r="L245" i="17"/>
  <c r="AL245" i="17" s="1"/>
  <c r="AK244" i="17"/>
  <c r="AJ244" i="17"/>
  <c r="AH244" i="17"/>
  <c r="AC244" i="17"/>
  <c r="AE244" i="17" s="1"/>
  <c r="Z244" i="17"/>
  <c r="Y244" i="17"/>
  <c r="X244" i="17"/>
  <c r="U244" i="17"/>
  <c r="AF244" i="17" s="1"/>
  <c r="T244" i="17"/>
  <c r="R244" i="17"/>
  <c r="P244" i="17"/>
  <c r="N244" i="17"/>
  <c r="M244" i="17"/>
  <c r="L244" i="17"/>
  <c r="AK243" i="17"/>
  <c r="AJ243" i="17"/>
  <c r="Z243" i="17"/>
  <c r="U243" i="17"/>
  <c r="AF243" i="17" s="1"/>
  <c r="T243" i="17"/>
  <c r="P243" i="17"/>
  <c r="N243" i="17"/>
  <c r="L243" i="17"/>
  <c r="AL242" i="17"/>
  <c r="Q242" i="17"/>
  <c r="L242" i="17"/>
  <c r="U242" i="17" s="1"/>
  <c r="AF242" i="17" s="1"/>
  <c r="AH241" i="17"/>
  <c r="AC241" i="17"/>
  <c r="AE241" i="17" s="1"/>
  <c r="X241" i="17"/>
  <c r="R241" i="17"/>
  <c r="M241" i="17"/>
  <c r="L241" i="17"/>
  <c r="AL241" i="17" s="1"/>
  <c r="AK240" i="17"/>
  <c r="AJ240" i="17"/>
  <c r="AH240" i="17"/>
  <c r="AC240" i="17"/>
  <c r="AE240" i="17" s="1"/>
  <c r="Z240" i="17"/>
  <c r="Y240" i="17"/>
  <c r="X240" i="17"/>
  <c r="U240" i="17"/>
  <c r="AF240" i="17" s="1"/>
  <c r="T240" i="17"/>
  <c r="R240" i="17"/>
  <c r="P240" i="17"/>
  <c r="N240" i="17"/>
  <c r="M240" i="17"/>
  <c r="L240" i="17"/>
  <c r="AK239" i="17"/>
  <c r="AJ239" i="17"/>
  <c r="Z239" i="17"/>
  <c r="U239" i="17"/>
  <c r="AF239" i="17" s="1"/>
  <c r="T239" i="17"/>
  <c r="P239" i="17"/>
  <c r="N239" i="17"/>
  <c r="L239" i="17"/>
  <c r="AL238" i="17"/>
  <c r="Q238" i="17"/>
  <c r="L238" i="17"/>
  <c r="U238" i="17" s="1"/>
  <c r="AF238" i="17" s="1"/>
  <c r="AH237" i="17"/>
  <c r="AC237" i="17"/>
  <c r="AE237" i="17" s="1"/>
  <c r="X237" i="17"/>
  <c r="R237" i="17"/>
  <c r="M237" i="17"/>
  <c r="L237" i="17"/>
  <c r="AL237" i="17" s="1"/>
  <c r="AK236" i="17"/>
  <c r="AJ236" i="17"/>
  <c r="AH236" i="17"/>
  <c r="AC236" i="17"/>
  <c r="AE236" i="17" s="1"/>
  <c r="Z236" i="17"/>
  <c r="Y236" i="17"/>
  <c r="X236" i="17"/>
  <c r="U236" i="17"/>
  <c r="AF236" i="17" s="1"/>
  <c r="T236" i="17"/>
  <c r="R236" i="17"/>
  <c r="P236" i="17"/>
  <c r="N236" i="17"/>
  <c r="M236" i="17"/>
  <c r="L236" i="17"/>
  <c r="AK235" i="17"/>
  <c r="AJ235" i="17"/>
  <c r="Z235" i="17"/>
  <c r="U235" i="17"/>
  <c r="AF235" i="17" s="1"/>
  <c r="T235" i="17"/>
  <c r="P235" i="17"/>
  <c r="N235" i="17"/>
  <c r="L235" i="17"/>
  <c r="AL234" i="17"/>
  <c r="Q234" i="17"/>
  <c r="L234" i="17"/>
  <c r="U234" i="17" s="1"/>
  <c r="AF234" i="17" s="1"/>
  <c r="AH233" i="17"/>
  <c r="AC233" i="17"/>
  <c r="AE233" i="17" s="1"/>
  <c r="X233" i="17"/>
  <c r="R233" i="17"/>
  <c r="M233" i="17"/>
  <c r="L233" i="17"/>
  <c r="AL233" i="17" s="1"/>
  <c r="AK232" i="17"/>
  <c r="AJ232" i="17"/>
  <c r="AH232" i="17"/>
  <c r="AC232" i="17"/>
  <c r="AE232" i="17" s="1"/>
  <c r="Z232" i="17"/>
  <c r="Y232" i="17"/>
  <c r="X232" i="17"/>
  <c r="U232" i="17"/>
  <c r="AF232" i="17" s="1"/>
  <c r="T232" i="17"/>
  <c r="R232" i="17"/>
  <c r="P232" i="17"/>
  <c r="N232" i="17"/>
  <c r="M232" i="17"/>
  <c r="L232" i="17"/>
  <c r="AK231" i="17"/>
  <c r="AJ231" i="17"/>
  <c r="Z231" i="17"/>
  <c r="U231" i="17"/>
  <c r="AF231" i="17" s="1"/>
  <c r="T231" i="17"/>
  <c r="P231" i="17"/>
  <c r="N231" i="17"/>
  <c r="L231" i="17"/>
  <c r="AL230" i="17"/>
  <c r="Q230" i="17"/>
  <c r="L230" i="17"/>
  <c r="U230" i="17" s="1"/>
  <c r="AF230" i="17" s="1"/>
  <c r="AH229" i="17"/>
  <c r="AC229" i="17"/>
  <c r="AE229" i="17" s="1"/>
  <c r="X229" i="17"/>
  <c r="R229" i="17"/>
  <c r="M229" i="17"/>
  <c r="L229" i="17"/>
  <c r="AL229" i="17" s="1"/>
  <c r="AJ228" i="17"/>
  <c r="AH228" i="17"/>
  <c r="AC228" i="17"/>
  <c r="AE228" i="17" s="1"/>
  <c r="Y228" i="17"/>
  <c r="X228" i="17"/>
  <c r="T228" i="17"/>
  <c r="R228" i="17"/>
  <c r="N228" i="17"/>
  <c r="M228" i="17"/>
  <c r="L228" i="17"/>
  <c r="AK228" i="17" s="1"/>
  <c r="AK227" i="17"/>
  <c r="AJ227" i="17"/>
  <c r="AH227" i="17"/>
  <c r="AF227" i="17"/>
  <c r="AC227" i="17"/>
  <c r="AE227" i="17" s="1"/>
  <c r="Z227" i="17"/>
  <c r="Y227" i="17"/>
  <c r="X227" i="17"/>
  <c r="U227" i="17"/>
  <c r="T227" i="17"/>
  <c r="R227" i="17"/>
  <c r="P227" i="17"/>
  <c r="N227" i="17"/>
  <c r="M227" i="17"/>
  <c r="L227" i="17"/>
  <c r="AL226" i="17"/>
  <c r="AK226" i="17"/>
  <c r="AF226" i="17"/>
  <c r="Z226" i="17"/>
  <c r="U226" i="17"/>
  <c r="Q226" i="17"/>
  <c r="P226" i="17"/>
  <c r="L226" i="17"/>
  <c r="AL225" i="17"/>
  <c r="Q225" i="17"/>
  <c r="L225" i="17"/>
  <c r="AC225" i="17" s="1"/>
  <c r="AE225" i="17" s="1"/>
  <c r="AJ224" i="17"/>
  <c r="AH224" i="17"/>
  <c r="AC224" i="17"/>
  <c r="AE224" i="17" s="1"/>
  <c r="X224" i="17"/>
  <c r="Y224" i="17" s="1"/>
  <c r="T224" i="17"/>
  <c r="R224" i="17"/>
  <c r="N224" i="17"/>
  <c r="M224" i="17"/>
  <c r="L224" i="17"/>
  <c r="AK224" i="17" s="1"/>
  <c r="AL223" i="17"/>
  <c r="AK223" i="17"/>
  <c r="AH223" i="17"/>
  <c r="AC223" i="17"/>
  <c r="AE223" i="17" s="1"/>
  <c r="Z223" i="17"/>
  <c r="V223" i="17"/>
  <c r="U223" i="17"/>
  <c r="AF223" i="17" s="1"/>
  <c r="R223" i="17"/>
  <c r="Q223" i="17"/>
  <c r="N223" i="17"/>
  <c r="M223" i="17"/>
  <c r="L223" i="17"/>
  <c r="AJ223" i="17" s="1"/>
  <c r="AL222" i="17"/>
  <c r="AK222" i="17"/>
  <c r="AH222" i="17"/>
  <c r="AC222" i="17"/>
  <c r="AE222" i="17" s="1"/>
  <c r="Z222" i="17"/>
  <c r="V222" i="17"/>
  <c r="U222" i="17"/>
  <c r="AF222" i="17" s="1"/>
  <c r="R222" i="17"/>
  <c r="Q222" i="17"/>
  <c r="N222" i="17"/>
  <c r="M222" i="17"/>
  <c r="L222" i="17"/>
  <c r="AJ222" i="17" s="1"/>
  <c r="AL221" i="17"/>
  <c r="AK221" i="17"/>
  <c r="AH221" i="17"/>
  <c r="AC221" i="17"/>
  <c r="AE221" i="17" s="1"/>
  <c r="Z221" i="17"/>
  <c r="V221" i="17"/>
  <c r="U221" i="17"/>
  <c r="AF221" i="17" s="1"/>
  <c r="R221" i="17"/>
  <c r="Q221" i="17"/>
  <c r="N221" i="17"/>
  <c r="M221" i="17"/>
  <c r="L221" i="17"/>
  <c r="AJ221" i="17" s="1"/>
  <c r="V220" i="17"/>
  <c r="Q220" i="17"/>
  <c r="L220" i="17"/>
  <c r="AC220" i="17" s="1"/>
  <c r="AE220" i="17" s="1"/>
  <c r="AK219" i="17"/>
  <c r="AH219" i="17"/>
  <c r="AC219" i="17"/>
  <c r="AE219" i="17" s="1"/>
  <c r="Z219" i="17"/>
  <c r="X219" i="17"/>
  <c r="U219" i="17"/>
  <c r="AF219" i="17" s="1"/>
  <c r="R219" i="17"/>
  <c r="P219" i="17"/>
  <c r="M219" i="17"/>
  <c r="L219" i="17"/>
  <c r="AJ219" i="17" s="1"/>
  <c r="AJ218" i="17"/>
  <c r="T218" i="17"/>
  <c r="N218" i="17"/>
  <c r="L218" i="17"/>
  <c r="AK218" i="17" s="1"/>
  <c r="AK217" i="17"/>
  <c r="AH217" i="17"/>
  <c r="AC217" i="17"/>
  <c r="AE217" i="17" s="1"/>
  <c r="Z217" i="17"/>
  <c r="X217" i="17"/>
  <c r="Y217" i="17" s="1"/>
  <c r="U217" i="17"/>
  <c r="AF217" i="17" s="1"/>
  <c r="T217" i="17"/>
  <c r="R217" i="17"/>
  <c r="P217" i="17"/>
  <c r="N217" i="17"/>
  <c r="M217" i="17"/>
  <c r="L217" i="17"/>
  <c r="AL216" i="17"/>
  <c r="Q216" i="17"/>
  <c r="L216" i="17"/>
  <c r="AK215" i="17"/>
  <c r="AH215" i="17"/>
  <c r="AC215" i="17"/>
  <c r="AE215" i="17" s="1"/>
  <c r="Z215" i="17"/>
  <c r="X215" i="17"/>
  <c r="U215" i="17"/>
  <c r="AF215" i="17" s="1"/>
  <c r="R215" i="17"/>
  <c r="P215" i="17"/>
  <c r="M215" i="17"/>
  <c r="L215" i="17"/>
  <c r="AJ215" i="17" s="1"/>
  <c r="AJ214" i="17"/>
  <c r="T214" i="17"/>
  <c r="N214" i="17"/>
  <c r="L214" i="17"/>
  <c r="AK214" i="17" s="1"/>
  <c r="AK213" i="17"/>
  <c r="AH213" i="17"/>
  <c r="AC213" i="17"/>
  <c r="AE213" i="17" s="1"/>
  <c r="Z213" i="17"/>
  <c r="X213" i="17"/>
  <c r="U213" i="17"/>
  <c r="AF213" i="17" s="1"/>
  <c r="R213" i="17"/>
  <c r="P213" i="17"/>
  <c r="M213" i="17"/>
  <c r="L213" i="17"/>
  <c r="AL212" i="17"/>
  <c r="V212" i="17"/>
  <c r="Q212" i="17"/>
  <c r="L212" i="17"/>
  <c r="AB212" i="17" s="1"/>
  <c r="AK211" i="17"/>
  <c r="AH211" i="17"/>
  <c r="AC211" i="17"/>
  <c r="AE211" i="17" s="1"/>
  <c r="Z211" i="17"/>
  <c r="X211" i="17"/>
  <c r="U211" i="17"/>
  <c r="AF211" i="17" s="1"/>
  <c r="R211" i="17"/>
  <c r="P211" i="17"/>
  <c r="M211" i="17"/>
  <c r="L211" i="17"/>
  <c r="AJ211" i="17" s="1"/>
  <c r="AJ210" i="17"/>
  <c r="T210" i="17"/>
  <c r="N210" i="17"/>
  <c r="L210" i="17"/>
  <c r="AK210" i="17" s="1"/>
  <c r="AK209" i="17"/>
  <c r="AH209" i="17"/>
  <c r="AC209" i="17"/>
  <c r="AE209" i="17" s="1"/>
  <c r="Z209" i="17"/>
  <c r="X209" i="17"/>
  <c r="U209" i="17"/>
  <c r="AF209" i="17" s="1"/>
  <c r="R209" i="17"/>
  <c r="P209" i="17"/>
  <c r="M209" i="17"/>
  <c r="L209" i="17"/>
  <c r="AB208" i="17"/>
  <c r="V208" i="17"/>
  <c r="L208" i="17"/>
  <c r="AK207" i="17"/>
  <c r="AH207" i="17"/>
  <c r="AC207" i="17"/>
  <c r="AE207" i="17" s="1"/>
  <c r="Z207" i="17"/>
  <c r="X207" i="17"/>
  <c r="U207" i="17"/>
  <c r="AF207" i="17" s="1"/>
  <c r="S207" i="17"/>
  <c r="Q207" i="17"/>
  <c r="O207" i="17"/>
  <c r="M207" i="17"/>
  <c r="L207" i="17"/>
  <c r="K207" i="17"/>
  <c r="AK206" i="17"/>
  <c r="AI206" i="17"/>
  <c r="AE206" i="17"/>
  <c r="AC206" i="17"/>
  <c r="W206" i="17"/>
  <c r="AD206" i="17" s="1"/>
  <c r="U206" i="17"/>
  <c r="AF206" i="17" s="1"/>
  <c r="S206" i="17"/>
  <c r="R206" i="17"/>
  <c r="Q206" i="17"/>
  <c r="O206" i="17"/>
  <c r="N206" i="17"/>
  <c r="M206" i="17"/>
  <c r="L206" i="17"/>
  <c r="AL206" i="17" s="1"/>
  <c r="K206" i="17"/>
  <c r="AL205" i="17"/>
  <c r="AK205" i="17"/>
  <c r="AI205" i="17"/>
  <c r="AH205" i="17"/>
  <c r="AE205" i="17"/>
  <c r="AC205" i="17"/>
  <c r="AA205" i="17"/>
  <c r="AG205" i="17" s="1"/>
  <c r="Z205" i="17"/>
  <c r="W205" i="17"/>
  <c r="AD205" i="17" s="1"/>
  <c r="V205" i="17"/>
  <c r="U205" i="17"/>
  <c r="AF205" i="17" s="1"/>
  <c r="S205" i="17"/>
  <c r="R205" i="17"/>
  <c r="Q205" i="17"/>
  <c r="O205" i="17"/>
  <c r="N205" i="17"/>
  <c r="M205" i="17"/>
  <c r="L205" i="17"/>
  <c r="AJ205" i="17" s="1"/>
  <c r="K205" i="17"/>
  <c r="AL204" i="17"/>
  <c r="AK204" i="17"/>
  <c r="AI204" i="17"/>
  <c r="AH204" i="17"/>
  <c r="AE204" i="17"/>
  <c r="AC204" i="17"/>
  <c r="AA204" i="17"/>
  <c r="AG204" i="17" s="1"/>
  <c r="Z204" i="17"/>
  <c r="W204" i="17"/>
  <c r="AD204" i="17" s="1"/>
  <c r="V204" i="17"/>
  <c r="U204" i="17"/>
  <c r="AF204" i="17" s="1"/>
  <c r="S204" i="17"/>
  <c r="R204" i="17"/>
  <c r="Q204" i="17"/>
  <c r="O204" i="17"/>
  <c r="N204" i="17"/>
  <c r="M204" i="17"/>
  <c r="L204" i="17"/>
  <c r="AJ204" i="17" s="1"/>
  <c r="K204" i="17"/>
  <c r="AL203" i="17"/>
  <c r="AK203" i="17"/>
  <c r="AI203" i="17"/>
  <c r="AH203" i="17"/>
  <c r="AE203" i="17"/>
  <c r="AC203" i="17"/>
  <c r="AA203" i="17"/>
  <c r="AG203" i="17" s="1"/>
  <c r="Z203" i="17"/>
  <c r="W203" i="17"/>
  <c r="AD203" i="17" s="1"/>
  <c r="V203" i="17"/>
  <c r="U203" i="17"/>
  <c r="AF203" i="17" s="1"/>
  <c r="S203" i="17"/>
  <c r="R203" i="17"/>
  <c r="Q203" i="17"/>
  <c r="O203" i="17"/>
  <c r="N203" i="17"/>
  <c r="M203" i="17"/>
  <c r="L203" i="17"/>
  <c r="AJ203" i="17" s="1"/>
  <c r="K203" i="17"/>
  <c r="AL202" i="17"/>
  <c r="AK202" i="17"/>
  <c r="AI202" i="17"/>
  <c r="AH202" i="17"/>
  <c r="AE202" i="17"/>
  <c r="AC202" i="17"/>
  <c r="AA202" i="17"/>
  <c r="AG202" i="17" s="1"/>
  <c r="Z202" i="17"/>
  <c r="W202" i="17"/>
  <c r="AD202" i="17" s="1"/>
  <c r="V202" i="17"/>
  <c r="U202" i="17"/>
  <c r="AF202" i="17" s="1"/>
  <c r="S202" i="17"/>
  <c r="R202" i="17"/>
  <c r="Q202" i="17"/>
  <c r="O202" i="17"/>
  <c r="N202" i="17"/>
  <c r="M202" i="17"/>
  <c r="L202" i="17"/>
  <c r="AJ202" i="17" s="1"/>
  <c r="K202" i="17"/>
  <c r="AL201" i="17"/>
  <c r="AK201" i="17"/>
  <c r="AI201" i="17"/>
  <c r="AH201" i="17"/>
  <c r="AE201" i="17"/>
  <c r="AC201" i="17"/>
  <c r="AA201" i="17"/>
  <c r="AG201" i="17" s="1"/>
  <c r="Z201" i="17"/>
  <c r="W201" i="17"/>
  <c r="AD201" i="17" s="1"/>
  <c r="V201" i="17"/>
  <c r="U201" i="17"/>
  <c r="AF201" i="17" s="1"/>
  <c r="S201" i="17"/>
  <c r="R201" i="17"/>
  <c r="Q201" i="17"/>
  <c r="O201" i="17"/>
  <c r="N201" i="17"/>
  <c r="M201" i="17"/>
  <c r="L201" i="17"/>
  <c r="AJ201" i="17" s="1"/>
  <c r="K201" i="17"/>
  <c r="AL200" i="17"/>
  <c r="AK200" i="17"/>
  <c r="AI200" i="17"/>
  <c r="AH200" i="17"/>
  <c r="AE200" i="17"/>
  <c r="AC200" i="17"/>
  <c r="AA200" i="17"/>
  <c r="AG200" i="17" s="1"/>
  <c r="Z200" i="17"/>
  <c r="W200" i="17"/>
  <c r="AD200" i="17" s="1"/>
  <c r="V200" i="17"/>
  <c r="U200" i="17"/>
  <c r="AF200" i="17" s="1"/>
  <c r="S200" i="17"/>
  <c r="R200" i="17"/>
  <c r="Q200" i="17"/>
  <c r="O200" i="17"/>
  <c r="N200" i="17"/>
  <c r="M200" i="17"/>
  <c r="L200" i="17"/>
  <c r="AJ200" i="17" s="1"/>
  <c r="K200" i="17"/>
  <c r="AL199" i="17"/>
  <c r="AK199" i="17"/>
  <c r="AI199" i="17"/>
  <c r="AH199" i="17"/>
  <c r="AE199" i="17"/>
  <c r="AC199" i="17"/>
  <c r="AA199" i="17"/>
  <c r="AG199" i="17" s="1"/>
  <c r="Z199" i="17"/>
  <c r="W199" i="17"/>
  <c r="AD199" i="17" s="1"/>
  <c r="V199" i="17"/>
  <c r="U199" i="17"/>
  <c r="AF199" i="17" s="1"/>
  <c r="S199" i="17"/>
  <c r="R199" i="17"/>
  <c r="Q199" i="17"/>
  <c r="O199" i="17"/>
  <c r="N199" i="17"/>
  <c r="M199" i="17"/>
  <c r="L199" i="17"/>
  <c r="AJ199" i="17" s="1"/>
  <c r="K199" i="17"/>
  <c r="AL198" i="17"/>
  <c r="AK198" i="17"/>
  <c r="AI198" i="17"/>
  <c r="AH198" i="17"/>
  <c r="AE198" i="17"/>
  <c r="AC198" i="17"/>
  <c r="AA198" i="17"/>
  <c r="AG198" i="17" s="1"/>
  <c r="Z198" i="17"/>
  <c r="W198" i="17"/>
  <c r="AD198" i="17" s="1"/>
  <c r="V198" i="17"/>
  <c r="U198" i="17"/>
  <c r="AF198" i="17" s="1"/>
  <c r="S198" i="17"/>
  <c r="R198" i="17"/>
  <c r="Q198" i="17"/>
  <c r="O198" i="17"/>
  <c r="N198" i="17"/>
  <c r="M198" i="17"/>
  <c r="L198" i="17"/>
  <c r="AJ198" i="17" s="1"/>
  <c r="K198" i="17"/>
  <c r="AL197" i="17"/>
  <c r="AK197" i="17"/>
  <c r="AI197" i="17"/>
  <c r="AH197" i="17"/>
  <c r="AE197" i="17"/>
  <c r="AC197" i="17"/>
  <c r="AA197" i="17"/>
  <c r="AG197" i="17" s="1"/>
  <c r="Z197" i="17"/>
  <c r="W197" i="17"/>
  <c r="AD197" i="17" s="1"/>
  <c r="V197" i="17"/>
  <c r="U197" i="17"/>
  <c r="AF197" i="17" s="1"/>
  <c r="S197" i="17"/>
  <c r="R197" i="17"/>
  <c r="Q197" i="17"/>
  <c r="O197" i="17"/>
  <c r="N197" i="17"/>
  <c r="M197" i="17"/>
  <c r="L197" i="17"/>
  <c r="AJ197" i="17" s="1"/>
  <c r="K197" i="17"/>
  <c r="AL196" i="17"/>
  <c r="AK196" i="17"/>
  <c r="AI196" i="17"/>
  <c r="AH196" i="17"/>
  <c r="AE196" i="17"/>
  <c r="AC196" i="17"/>
  <c r="AA196" i="17"/>
  <c r="AG196" i="17" s="1"/>
  <c r="Z196" i="17"/>
  <c r="W196" i="17"/>
  <c r="AD196" i="17" s="1"/>
  <c r="V196" i="17"/>
  <c r="U196" i="17"/>
  <c r="AF196" i="17" s="1"/>
  <c r="S196" i="17"/>
  <c r="R196" i="17"/>
  <c r="Q196" i="17"/>
  <c r="O196" i="17"/>
  <c r="N196" i="17"/>
  <c r="M196" i="17"/>
  <c r="L196" i="17"/>
  <c r="AJ196" i="17" s="1"/>
  <c r="K196" i="17"/>
  <c r="AL195" i="17"/>
  <c r="AK195" i="17"/>
  <c r="AI195" i="17"/>
  <c r="AH195" i="17"/>
  <c r="AE195" i="17"/>
  <c r="AC195" i="17"/>
  <c r="AA195" i="17"/>
  <c r="AG195" i="17" s="1"/>
  <c r="Z195" i="17"/>
  <c r="W195" i="17"/>
  <c r="AD195" i="17" s="1"/>
  <c r="V195" i="17"/>
  <c r="U195" i="17"/>
  <c r="AF195" i="17" s="1"/>
  <c r="S195" i="17"/>
  <c r="R195" i="17"/>
  <c r="Q195" i="17"/>
  <c r="O195" i="17"/>
  <c r="N195" i="17"/>
  <c r="M195" i="17"/>
  <c r="L195" i="17"/>
  <c r="AJ195" i="17" s="1"/>
  <c r="K195" i="17"/>
  <c r="AL194" i="17"/>
  <c r="AK194" i="17"/>
  <c r="AI194" i="17"/>
  <c r="AH194" i="17"/>
  <c r="AE194" i="17"/>
  <c r="AC194" i="17"/>
  <c r="AA194" i="17"/>
  <c r="AG194" i="17" s="1"/>
  <c r="Z194" i="17"/>
  <c r="W194" i="17"/>
  <c r="AD194" i="17" s="1"/>
  <c r="V194" i="17"/>
  <c r="U194" i="17"/>
  <c r="AF194" i="17" s="1"/>
  <c r="S194" i="17"/>
  <c r="R194" i="17"/>
  <c r="Q194" i="17"/>
  <c r="O194" i="17"/>
  <c r="N194" i="17"/>
  <c r="M194" i="17"/>
  <c r="L194" i="17"/>
  <c r="AJ194" i="17" s="1"/>
  <c r="K194" i="17"/>
  <c r="AL193" i="17"/>
  <c r="AK193" i="17"/>
  <c r="AI193" i="17"/>
  <c r="AH193" i="17"/>
  <c r="AE193" i="17"/>
  <c r="AC193" i="17"/>
  <c r="AA193" i="17"/>
  <c r="AG193" i="17" s="1"/>
  <c r="Z193" i="17"/>
  <c r="W193" i="17"/>
  <c r="AD193" i="17" s="1"/>
  <c r="V193" i="17"/>
  <c r="U193" i="17"/>
  <c r="AF193" i="17" s="1"/>
  <c r="S193" i="17"/>
  <c r="R193" i="17"/>
  <c r="Q193" i="17"/>
  <c r="O193" i="17"/>
  <c r="N193" i="17"/>
  <c r="M193" i="17"/>
  <c r="L193" i="17"/>
  <c r="AJ193" i="17" s="1"/>
  <c r="K193" i="17"/>
  <c r="AL192" i="17"/>
  <c r="AK192" i="17"/>
  <c r="AI192" i="17"/>
  <c r="AH192" i="17"/>
  <c r="AE192" i="17"/>
  <c r="AC192" i="17"/>
  <c r="AA192" i="17"/>
  <c r="AG192" i="17" s="1"/>
  <c r="Z192" i="17"/>
  <c r="W192" i="17"/>
  <c r="AD192" i="17" s="1"/>
  <c r="V192" i="17"/>
  <c r="U192" i="17"/>
  <c r="AF192" i="17" s="1"/>
  <c r="S192" i="17"/>
  <c r="R192" i="17"/>
  <c r="Q192" i="17"/>
  <c r="O192" i="17"/>
  <c r="N192" i="17"/>
  <c r="M192" i="17"/>
  <c r="L192" i="17"/>
  <c r="AJ192" i="17" s="1"/>
  <c r="K192" i="17"/>
  <c r="AL191" i="17"/>
  <c r="AK191" i="17"/>
  <c r="AI191" i="17"/>
  <c r="AH191" i="17"/>
  <c r="AE191" i="17"/>
  <c r="AC191" i="17"/>
  <c r="AA191" i="17"/>
  <c r="AG191" i="17" s="1"/>
  <c r="Z191" i="17"/>
  <c r="W191" i="17"/>
  <c r="AD191" i="17" s="1"/>
  <c r="V191" i="17"/>
  <c r="U191" i="17"/>
  <c r="AF191" i="17" s="1"/>
  <c r="S191" i="17"/>
  <c r="R191" i="17"/>
  <c r="Q191" i="17"/>
  <c r="O191" i="17"/>
  <c r="N191" i="17"/>
  <c r="M191" i="17"/>
  <c r="L191" i="17"/>
  <c r="AJ191" i="17" s="1"/>
  <c r="K191" i="17"/>
  <c r="AL190" i="17"/>
  <c r="AK190" i="17"/>
  <c r="AI190" i="17"/>
  <c r="AH190" i="17"/>
  <c r="AE190" i="17"/>
  <c r="AC190" i="17"/>
  <c r="AA190" i="17"/>
  <c r="AG190" i="17" s="1"/>
  <c r="Z190" i="17"/>
  <c r="W190" i="17"/>
  <c r="AD190" i="17" s="1"/>
  <c r="V190" i="17"/>
  <c r="U190" i="17"/>
  <c r="AF190" i="17" s="1"/>
  <c r="S190" i="17"/>
  <c r="R190" i="17"/>
  <c r="Q190" i="17"/>
  <c r="O190" i="17"/>
  <c r="N190" i="17"/>
  <c r="M190" i="17"/>
  <c r="L190" i="17"/>
  <c r="AJ190" i="17" s="1"/>
  <c r="K190" i="17"/>
  <c r="AL189" i="17"/>
  <c r="AK189" i="17"/>
  <c r="AI189" i="17"/>
  <c r="AH189" i="17"/>
  <c r="AE189" i="17"/>
  <c r="AC189" i="17"/>
  <c r="AA189" i="17"/>
  <c r="AG189" i="17" s="1"/>
  <c r="Z189" i="17"/>
  <c r="W189" i="17"/>
  <c r="AD189" i="17" s="1"/>
  <c r="V189" i="17"/>
  <c r="U189" i="17"/>
  <c r="AF189" i="17" s="1"/>
  <c r="S189" i="17"/>
  <c r="R189" i="17"/>
  <c r="Q189" i="17"/>
  <c r="O189" i="17"/>
  <c r="N189" i="17"/>
  <c r="M189" i="17"/>
  <c r="L189" i="17"/>
  <c r="AJ189" i="17" s="1"/>
  <c r="K189" i="17"/>
  <c r="AL188" i="17"/>
  <c r="AK188" i="17"/>
  <c r="AI188" i="17"/>
  <c r="AH188" i="17"/>
  <c r="AE188" i="17"/>
  <c r="AC188" i="17"/>
  <c r="AA188" i="17"/>
  <c r="AG188" i="17" s="1"/>
  <c r="Z188" i="17"/>
  <c r="W188" i="17"/>
  <c r="AD188" i="17" s="1"/>
  <c r="V188" i="17"/>
  <c r="U188" i="17"/>
  <c r="AF188" i="17" s="1"/>
  <c r="S188" i="17"/>
  <c r="R188" i="17"/>
  <c r="Q188" i="17"/>
  <c r="O188" i="17"/>
  <c r="N188" i="17"/>
  <c r="M188" i="17"/>
  <c r="L188" i="17"/>
  <c r="AJ188" i="17" s="1"/>
  <c r="K188" i="17"/>
  <c r="AL187" i="17"/>
  <c r="AK187" i="17"/>
  <c r="AI187" i="17"/>
  <c r="AH187" i="17"/>
  <c r="AE187" i="17"/>
  <c r="AC187" i="17"/>
  <c r="AA187" i="17"/>
  <c r="AG187" i="17" s="1"/>
  <c r="Z187" i="17"/>
  <c r="W187" i="17"/>
  <c r="AD187" i="17" s="1"/>
  <c r="V187" i="17"/>
  <c r="U187" i="17"/>
  <c r="AF187" i="17" s="1"/>
  <c r="S187" i="17"/>
  <c r="R187" i="17"/>
  <c r="Q187" i="17"/>
  <c r="O187" i="17"/>
  <c r="N187" i="17"/>
  <c r="M187" i="17"/>
  <c r="L187" i="17"/>
  <c r="AJ187" i="17" s="1"/>
  <c r="K187" i="17"/>
  <c r="AL186" i="17"/>
  <c r="AK186" i="17"/>
  <c r="AI186" i="17"/>
  <c r="AH186" i="17"/>
  <c r="AE186" i="17"/>
  <c r="AC186" i="17"/>
  <c r="AA186" i="17"/>
  <c r="AG186" i="17" s="1"/>
  <c r="Z186" i="17"/>
  <c r="W186" i="17"/>
  <c r="AD186" i="17" s="1"/>
  <c r="V186" i="17"/>
  <c r="U186" i="17"/>
  <c r="AF186" i="17" s="1"/>
  <c r="S186" i="17"/>
  <c r="R186" i="17"/>
  <c r="Q186" i="17"/>
  <c r="O186" i="17"/>
  <c r="N186" i="17"/>
  <c r="M186" i="17"/>
  <c r="L186" i="17"/>
  <c r="AJ186" i="17" s="1"/>
  <c r="K186" i="17"/>
  <c r="AL185" i="17"/>
  <c r="AK185" i="17"/>
  <c r="AI185" i="17"/>
  <c r="AH185" i="17"/>
  <c r="AE185" i="17"/>
  <c r="AC185" i="17"/>
  <c r="AA185" i="17"/>
  <c r="AG185" i="17" s="1"/>
  <c r="Z185" i="17"/>
  <c r="W185" i="17"/>
  <c r="AD185" i="17" s="1"/>
  <c r="V185" i="17"/>
  <c r="U185" i="17"/>
  <c r="AF185" i="17" s="1"/>
  <c r="S185" i="17"/>
  <c r="R185" i="17"/>
  <c r="Q185" i="17"/>
  <c r="O185" i="17"/>
  <c r="N185" i="17"/>
  <c r="M185" i="17"/>
  <c r="L185" i="17"/>
  <c r="AJ185" i="17" s="1"/>
  <c r="K185" i="17"/>
  <c r="AL184" i="17"/>
  <c r="AK184" i="17"/>
  <c r="AI184" i="17"/>
  <c r="AH184" i="17"/>
  <c r="AE184" i="17"/>
  <c r="AC184" i="17"/>
  <c r="AA184" i="17"/>
  <c r="AG184" i="17" s="1"/>
  <c r="Z184" i="17"/>
  <c r="W184" i="17"/>
  <c r="AD184" i="17" s="1"/>
  <c r="V184" i="17"/>
  <c r="U184" i="17"/>
  <c r="AF184" i="17" s="1"/>
  <c r="S184" i="17"/>
  <c r="R184" i="17"/>
  <c r="Q184" i="17"/>
  <c r="O184" i="17"/>
  <c r="N184" i="17"/>
  <c r="M184" i="17"/>
  <c r="L184" i="17"/>
  <c r="AJ184" i="17" s="1"/>
  <c r="K184" i="17"/>
  <c r="AL183" i="17"/>
  <c r="AK183" i="17"/>
  <c r="AI183" i="17"/>
  <c r="AH183" i="17"/>
  <c r="AE183" i="17"/>
  <c r="AC183" i="17"/>
  <c r="AA183" i="17"/>
  <c r="AG183" i="17" s="1"/>
  <c r="Z183" i="17"/>
  <c r="W183" i="17"/>
  <c r="AD183" i="17" s="1"/>
  <c r="V183" i="17"/>
  <c r="U183" i="17"/>
  <c r="AF183" i="17" s="1"/>
  <c r="S183" i="17"/>
  <c r="R183" i="17"/>
  <c r="Q183" i="17"/>
  <c r="O183" i="17"/>
  <c r="N183" i="17"/>
  <c r="M183" i="17"/>
  <c r="L183" i="17"/>
  <c r="AJ183" i="17" s="1"/>
  <c r="K183" i="17"/>
  <c r="AL182" i="17"/>
  <c r="AK182" i="17"/>
  <c r="AI182" i="17"/>
  <c r="AH182" i="17"/>
  <c r="AE182" i="17"/>
  <c r="AC182" i="17"/>
  <c r="AA182" i="17"/>
  <c r="AG182" i="17" s="1"/>
  <c r="Z182" i="17"/>
  <c r="W182" i="17"/>
  <c r="AD182" i="17" s="1"/>
  <c r="V182" i="17"/>
  <c r="U182" i="17"/>
  <c r="AF182" i="17" s="1"/>
  <c r="S182" i="17"/>
  <c r="R182" i="17"/>
  <c r="Q182" i="17"/>
  <c r="O182" i="17"/>
  <c r="N182" i="17"/>
  <c r="M182" i="17"/>
  <c r="L182" i="17"/>
  <c r="AJ182" i="17" s="1"/>
  <c r="K182" i="17"/>
  <c r="AL181" i="17"/>
  <c r="AK181" i="17"/>
  <c r="AI181" i="17"/>
  <c r="AH181" i="17"/>
  <c r="AE181" i="17"/>
  <c r="AC181" i="17"/>
  <c r="AA181" i="17"/>
  <c r="AG181" i="17" s="1"/>
  <c r="Z181" i="17"/>
  <c r="W181" i="17"/>
  <c r="AD181" i="17" s="1"/>
  <c r="V181" i="17"/>
  <c r="U181" i="17"/>
  <c r="AF181" i="17" s="1"/>
  <c r="S181" i="17"/>
  <c r="R181" i="17"/>
  <c r="Q181" i="17"/>
  <c r="O181" i="17"/>
  <c r="N181" i="17"/>
  <c r="M181" i="17"/>
  <c r="L181" i="17"/>
  <c r="AJ181" i="17" s="1"/>
  <c r="K181" i="17"/>
  <c r="AL180" i="17"/>
  <c r="AK180" i="17"/>
  <c r="AI180" i="17"/>
  <c r="AH180" i="17"/>
  <c r="AE180" i="17"/>
  <c r="AC180" i="17"/>
  <c r="AA180" i="17"/>
  <c r="AG180" i="17" s="1"/>
  <c r="Z180" i="17"/>
  <c r="W180" i="17"/>
  <c r="AD180" i="17" s="1"/>
  <c r="V180" i="17"/>
  <c r="U180" i="17"/>
  <c r="AF180" i="17" s="1"/>
  <c r="S180" i="17"/>
  <c r="R180" i="17"/>
  <c r="Q180" i="17"/>
  <c r="O180" i="17"/>
  <c r="N180" i="17"/>
  <c r="M180" i="17"/>
  <c r="L180" i="17"/>
  <c r="AJ180" i="17" s="1"/>
  <c r="K180" i="17"/>
  <c r="AL179" i="17"/>
  <c r="AK179" i="17"/>
  <c r="AI179" i="17"/>
  <c r="AH179" i="17"/>
  <c r="AE179" i="17"/>
  <c r="AC179" i="17"/>
  <c r="AA179" i="17"/>
  <c r="AG179" i="17" s="1"/>
  <c r="Z179" i="17"/>
  <c r="W179" i="17"/>
  <c r="AD179" i="17" s="1"/>
  <c r="V179" i="17"/>
  <c r="U179" i="17"/>
  <c r="AF179" i="17" s="1"/>
  <c r="S179" i="17"/>
  <c r="R179" i="17"/>
  <c r="Q179" i="17"/>
  <c r="O179" i="17"/>
  <c r="N179" i="17"/>
  <c r="M179" i="17"/>
  <c r="L179" i="17"/>
  <c r="AJ179" i="17" s="1"/>
  <c r="K179" i="17"/>
  <c r="AL178" i="17"/>
  <c r="AK178" i="17"/>
  <c r="AI178" i="17"/>
  <c r="AH178" i="17"/>
  <c r="AE178" i="17"/>
  <c r="AC178" i="17"/>
  <c r="AA178" i="17"/>
  <c r="AG178" i="17" s="1"/>
  <c r="Z178" i="17"/>
  <c r="W178" i="17"/>
  <c r="AD178" i="17" s="1"/>
  <c r="V178" i="17"/>
  <c r="U178" i="17"/>
  <c r="AF178" i="17" s="1"/>
  <c r="S178" i="17"/>
  <c r="R178" i="17"/>
  <c r="Q178" i="17"/>
  <c r="O178" i="17"/>
  <c r="N178" i="17"/>
  <c r="M178" i="17"/>
  <c r="L178" i="17"/>
  <c r="AJ178" i="17" s="1"/>
  <c r="K178" i="17"/>
  <c r="AL177" i="17"/>
  <c r="AK177" i="17"/>
  <c r="AI177" i="17"/>
  <c r="AH177" i="17"/>
  <c r="AE177" i="17"/>
  <c r="AC177" i="17"/>
  <c r="AA177" i="17"/>
  <c r="AG177" i="17" s="1"/>
  <c r="Z177" i="17"/>
  <c r="W177" i="17"/>
  <c r="AD177" i="17" s="1"/>
  <c r="V177" i="17"/>
  <c r="U177" i="17"/>
  <c r="AF177" i="17" s="1"/>
  <c r="S177" i="17"/>
  <c r="R177" i="17"/>
  <c r="Q177" i="17"/>
  <c r="O177" i="17"/>
  <c r="N177" i="17"/>
  <c r="M177" i="17"/>
  <c r="L177" i="17"/>
  <c r="AJ177" i="17" s="1"/>
  <c r="K177" i="17"/>
  <c r="AL176" i="17"/>
  <c r="AK176" i="17"/>
  <c r="AI176" i="17"/>
  <c r="AH176" i="17"/>
  <c r="AE176" i="17"/>
  <c r="AC176" i="17"/>
  <c r="AA176" i="17"/>
  <c r="AG176" i="17" s="1"/>
  <c r="Z176" i="17"/>
  <c r="W176" i="17"/>
  <c r="AD176" i="17" s="1"/>
  <c r="V176" i="17"/>
  <c r="U176" i="17"/>
  <c r="AF176" i="17" s="1"/>
  <c r="S176" i="17"/>
  <c r="R176" i="17"/>
  <c r="Q176" i="17"/>
  <c r="O176" i="17"/>
  <c r="N176" i="17"/>
  <c r="M176" i="17"/>
  <c r="L176" i="17"/>
  <c r="AJ176" i="17" s="1"/>
  <c r="K176" i="17"/>
  <c r="AL175" i="17"/>
  <c r="AK175" i="17"/>
  <c r="AI175" i="17"/>
  <c r="AH175" i="17"/>
  <c r="AE175" i="17"/>
  <c r="AC175" i="17"/>
  <c r="AA175" i="17"/>
  <c r="AG175" i="17" s="1"/>
  <c r="Z175" i="17"/>
  <c r="W175" i="17"/>
  <c r="AD175" i="17" s="1"/>
  <c r="V175" i="17"/>
  <c r="U175" i="17"/>
  <c r="AF175" i="17" s="1"/>
  <c r="S175" i="17"/>
  <c r="R175" i="17"/>
  <c r="Q175" i="17"/>
  <c r="O175" i="17"/>
  <c r="N175" i="17"/>
  <c r="M175" i="17"/>
  <c r="L175" i="17"/>
  <c r="AJ175" i="17" s="1"/>
  <c r="K175" i="17"/>
  <c r="AL174" i="17"/>
  <c r="AK174" i="17"/>
  <c r="AI174" i="17"/>
  <c r="AH174" i="17"/>
  <c r="AE174" i="17"/>
  <c r="AC174" i="17"/>
  <c r="AA174" i="17"/>
  <c r="AG174" i="17" s="1"/>
  <c r="Z174" i="17"/>
  <c r="W174" i="17"/>
  <c r="AD174" i="17" s="1"/>
  <c r="V174" i="17"/>
  <c r="U174" i="17"/>
  <c r="AF174" i="17" s="1"/>
  <c r="S174" i="17"/>
  <c r="R174" i="17"/>
  <c r="Q174" i="17"/>
  <c r="O174" i="17"/>
  <c r="N174" i="17"/>
  <c r="M174" i="17"/>
  <c r="L174" i="17"/>
  <c r="AJ174" i="17" s="1"/>
  <c r="K174" i="17"/>
  <c r="AL173" i="17"/>
  <c r="AK173" i="17"/>
  <c r="AI173" i="17"/>
  <c r="AH173" i="17"/>
  <c r="AE173" i="17"/>
  <c r="AC173" i="17"/>
  <c r="AA173" i="17"/>
  <c r="AG173" i="17" s="1"/>
  <c r="Z173" i="17"/>
  <c r="W173" i="17"/>
  <c r="AD173" i="17" s="1"/>
  <c r="V173" i="17"/>
  <c r="U173" i="17"/>
  <c r="AF173" i="17" s="1"/>
  <c r="S173" i="17"/>
  <c r="R173" i="17"/>
  <c r="Q173" i="17"/>
  <c r="O173" i="17"/>
  <c r="N173" i="17"/>
  <c r="M173" i="17"/>
  <c r="L173" i="17"/>
  <c r="AJ173" i="17" s="1"/>
  <c r="K173" i="17"/>
  <c r="AL172" i="17"/>
  <c r="AK172" i="17"/>
  <c r="AI172" i="17"/>
  <c r="AH172" i="17"/>
  <c r="AE172" i="17"/>
  <c r="AC172" i="17"/>
  <c r="AA172" i="17"/>
  <c r="AG172" i="17" s="1"/>
  <c r="Z172" i="17"/>
  <c r="W172" i="17"/>
  <c r="AD172" i="17" s="1"/>
  <c r="V172" i="17"/>
  <c r="U172" i="17"/>
  <c r="AF172" i="17" s="1"/>
  <c r="S172" i="17"/>
  <c r="R172" i="17"/>
  <c r="Q172" i="17"/>
  <c r="O172" i="17"/>
  <c r="N172" i="17"/>
  <c r="M172" i="17"/>
  <c r="L172" i="17"/>
  <c r="AJ172" i="17" s="1"/>
  <c r="K172" i="17"/>
  <c r="AL171" i="17"/>
  <c r="AK171" i="17"/>
  <c r="AI171" i="17"/>
  <c r="AH171" i="17"/>
  <c r="AE171" i="17"/>
  <c r="AC171" i="17"/>
  <c r="AA171" i="17"/>
  <c r="AG171" i="17" s="1"/>
  <c r="Z171" i="17"/>
  <c r="W171" i="17"/>
  <c r="AD171" i="17" s="1"/>
  <c r="V171" i="17"/>
  <c r="U171" i="17"/>
  <c r="AF171" i="17" s="1"/>
  <c r="S171" i="17"/>
  <c r="R171" i="17"/>
  <c r="Q171" i="17"/>
  <c r="O171" i="17"/>
  <c r="N171" i="17"/>
  <c r="M171" i="17"/>
  <c r="L171" i="17"/>
  <c r="AJ171" i="17" s="1"/>
  <c r="K171" i="17"/>
  <c r="AL170" i="17"/>
  <c r="AK170" i="17"/>
  <c r="AI170" i="17"/>
  <c r="AH170" i="17"/>
  <c r="AE170" i="17"/>
  <c r="AC170" i="17"/>
  <c r="AA170" i="17"/>
  <c r="AG170" i="17" s="1"/>
  <c r="Z170" i="17"/>
  <c r="W170" i="17"/>
  <c r="AD170" i="17" s="1"/>
  <c r="V170" i="17"/>
  <c r="U170" i="17"/>
  <c r="AF170" i="17" s="1"/>
  <c r="S170" i="17"/>
  <c r="R170" i="17"/>
  <c r="Q170" i="17"/>
  <c r="O170" i="17"/>
  <c r="N170" i="17"/>
  <c r="M170" i="17"/>
  <c r="L170" i="17"/>
  <c r="AJ170" i="17" s="1"/>
  <c r="K170" i="17"/>
  <c r="AL169" i="17"/>
  <c r="AK169" i="17"/>
  <c r="AI169" i="17"/>
  <c r="AH169" i="17"/>
  <c r="AE169" i="17"/>
  <c r="AC169" i="17"/>
  <c r="AA169" i="17"/>
  <c r="AG169" i="17" s="1"/>
  <c r="Z169" i="17"/>
  <c r="W169" i="17"/>
  <c r="AD169" i="17" s="1"/>
  <c r="V169" i="17"/>
  <c r="U169" i="17"/>
  <c r="AF169" i="17" s="1"/>
  <c r="S169" i="17"/>
  <c r="R169" i="17"/>
  <c r="Q169" i="17"/>
  <c r="O169" i="17"/>
  <c r="N169" i="17"/>
  <c r="M169" i="17"/>
  <c r="L169" i="17"/>
  <c r="AJ169" i="17" s="1"/>
  <c r="K169" i="17"/>
  <c r="AL168" i="17"/>
  <c r="AK168" i="17"/>
  <c r="AI168" i="17"/>
  <c r="AH168" i="17"/>
  <c r="AE168" i="17"/>
  <c r="AC168" i="17"/>
  <c r="AA168" i="17"/>
  <c r="AG168" i="17" s="1"/>
  <c r="Z168" i="17"/>
  <c r="W168" i="17"/>
  <c r="AD168" i="17" s="1"/>
  <c r="V168" i="17"/>
  <c r="U168" i="17"/>
  <c r="AF168" i="17" s="1"/>
  <c r="S168" i="17"/>
  <c r="R168" i="17"/>
  <c r="Q168" i="17"/>
  <c r="O168" i="17"/>
  <c r="N168" i="17"/>
  <c r="M168" i="17"/>
  <c r="L168" i="17"/>
  <c r="AJ168" i="17" s="1"/>
  <c r="K168" i="17"/>
  <c r="AL167" i="17"/>
  <c r="AK167" i="17"/>
  <c r="AI167" i="17"/>
  <c r="AH167" i="17"/>
  <c r="AE167" i="17"/>
  <c r="AC167" i="17"/>
  <c r="AA167" i="17"/>
  <c r="AG167" i="17" s="1"/>
  <c r="Z167" i="17"/>
  <c r="W167" i="17"/>
  <c r="AD167" i="17" s="1"/>
  <c r="V167" i="17"/>
  <c r="U167" i="17"/>
  <c r="AF167" i="17" s="1"/>
  <c r="S167" i="17"/>
  <c r="R167" i="17"/>
  <c r="Q167" i="17"/>
  <c r="O167" i="17"/>
  <c r="N167" i="17"/>
  <c r="M167" i="17"/>
  <c r="L167" i="17"/>
  <c r="AJ167" i="17" s="1"/>
  <c r="K167" i="17"/>
  <c r="AL166" i="17"/>
  <c r="AK166" i="17"/>
  <c r="AI166" i="17"/>
  <c r="AH166" i="17"/>
  <c r="AE166" i="17"/>
  <c r="AC166" i="17"/>
  <c r="AA166" i="17"/>
  <c r="AG166" i="17" s="1"/>
  <c r="Z166" i="17"/>
  <c r="W166" i="17"/>
  <c r="AD166" i="17" s="1"/>
  <c r="V166" i="17"/>
  <c r="U166" i="17"/>
  <c r="AF166" i="17" s="1"/>
  <c r="S166" i="17"/>
  <c r="R166" i="17"/>
  <c r="Q166" i="17"/>
  <c r="O166" i="17"/>
  <c r="N166" i="17"/>
  <c r="M166" i="17"/>
  <c r="L166" i="17"/>
  <c r="AJ166" i="17" s="1"/>
  <c r="K166" i="17"/>
  <c r="AL165" i="17"/>
  <c r="AK165" i="17"/>
  <c r="AI165" i="17"/>
  <c r="AH165" i="17"/>
  <c r="AE165" i="17"/>
  <c r="AC165" i="17"/>
  <c r="AA165" i="17"/>
  <c r="AG165" i="17" s="1"/>
  <c r="Z165" i="17"/>
  <c r="W165" i="17"/>
  <c r="AD165" i="17" s="1"/>
  <c r="V165" i="17"/>
  <c r="U165" i="17"/>
  <c r="AF165" i="17" s="1"/>
  <c r="S165" i="17"/>
  <c r="R165" i="17"/>
  <c r="Q165" i="17"/>
  <c r="O165" i="17"/>
  <c r="N165" i="17"/>
  <c r="M165" i="17"/>
  <c r="L165" i="17"/>
  <c r="AJ165" i="17" s="1"/>
  <c r="K165" i="17"/>
  <c r="AL164" i="17"/>
  <c r="AK164" i="17"/>
  <c r="AI164" i="17"/>
  <c r="AH164" i="17"/>
  <c r="AE164" i="17"/>
  <c r="AC164" i="17"/>
  <c r="AA164" i="17"/>
  <c r="AG164" i="17" s="1"/>
  <c r="Z164" i="17"/>
  <c r="W164" i="17"/>
  <c r="AD164" i="17" s="1"/>
  <c r="V164" i="17"/>
  <c r="U164" i="17"/>
  <c r="AF164" i="17" s="1"/>
  <c r="S164" i="17"/>
  <c r="R164" i="17"/>
  <c r="Q164" i="17"/>
  <c r="O164" i="17"/>
  <c r="N164" i="17"/>
  <c r="M164" i="17"/>
  <c r="L164" i="17"/>
  <c r="AJ164" i="17" s="1"/>
  <c r="K164" i="17"/>
  <c r="AL163" i="17"/>
  <c r="AK163" i="17"/>
  <c r="AI163" i="17"/>
  <c r="AH163" i="17"/>
  <c r="AE163" i="17"/>
  <c r="AC163" i="17"/>
  <c r="AA163" i="17"/>
  <c r="AG163" i="17" s="1"/>
  <c r="Z163" i="17"/>
  <c r="W163" i="17"/>
  <c r="AD163" i="17" s="1"/>
  <c r="V163" i="17"/>
  <c r="U163" i="17"/>
  <c r="AF163" i="17" s="1"/>
  <c r="S163" i="17"/>
  <c r="R163" i="17"/>
  <c r="Q163" i="17"/>
  <c r="O163" i="17"/>
  <c r="N163" i="17"/>
  <c r="M163" i="17"/>
  <c r="L163" i="17"/>
  <c r="AJ163" i="17" s="1"/>
  <c r="K163" i="17"/>
  <c r="AL162" i="17"/>
  <c r="AK162" i="17"/>
  <c r="AI162" i="17"/>
  <c r="AH162" i="17"/>
  <c r="AE162" i="17"/>
  <c r="AC162" i="17"/>
  <c r="AA162" i="17"/>
  <c r="AG162" i="17" s="1"/>
  <c r="Z162" i="17"/>
  <c r="W162" i="17"/>
  <c r="AD162" i="17" s="1"/>
  <c r="V162" i="17"/>
  <c r="U162" i="17"/>
  <c r="AF162" i="17" s="1"/>
  <c r="S162" i="17"/>
  <c r="R162" i="17"/>
  <c r="Q162" i="17"/>
  <c r="O162" i="17"/>
  <c r="N162" i="17"/>
  <c r="M162" i="17"/>
  <c r="L162" i="17"/>
  <c r="AJ162" i="17" s="1"/>
  <c r="K162" i="17"/>
  <c r="AL161" i="17"/>
  <c r="AK161" i="17"/>
  <c r="AI161" i="17"/>
  <c r="AH161" i="17"/>
  <c r="AE161" i="17"/>
  <c r="AC161" i="17"/>
  <c r="AA161" i="17"/>
  <c r="AG161" i="17" s="1"/>
  <c r="Z161" i="17"/>
  <c r="W161" i="17"/>
  <c r="AD161" i="17" s="1"/>
  <c r="V161" i="17"/>
  <c r="U161" i="17"/>
  <c r="AF161" i="17" s="1"/>
  <c r="S161" i="17"/>
  <c r="R161" i="17"/>
  <c r="Q161" i="17"/>
  <c r="O161" i="17"/>
  <c r="N161" i="17"/>
  <c r="M161" i="17"/>
  <c r="L161" i="17"/>
  <c r="AJ161" i="17" s="1"/>
  <c r="K161" i="17"/>
  <c r="AL160" i="17"/>
  <c r="AK160" i="17"/>
  <c r="AI160" i="17"/>
  <c r="AH160" i="17"/>
  <c r="AE160" i="17"/>
  <c r="AC160" i="17"/>
  <c r="AA160" i="17"/>
  <c r="AG160" i="17" s="1"/>
  <c r="Z160" i="17"/>
  <c r="W160" i="17"/>
  <c r="AD160" i="17" s="1"/>
  <c r="V160" i="17"/>
  <c r="U160" i="17"/>
  <c r="AF160" i="17" s="1"/>
  <c r="S160" i="17"/>
  <c r="R160" i="17"/>
  <c r="Q160" i="17"/>
  <c r="O160" i="17"/>
  <c r="N160" i="17"/>
  <c r="M160" i="17"/>
  <c r="L160" i="17"/>
  <c r="AJ160" i="17" s="1"/>
  <c r="K160" i="17"/>
  <c r="AL159" i="17"/>
  <c r="AK159" i="17"/>
  <c r="AI159" i="17"/>
  <c r="AH159" i="17"/>
  <c r="AE159" i="17"/>
  <c r="AC159" i="17"/>
  <c r="AA159" i="17"/>
  <c r="AG159" i="17" s="1"/>
  <c r="Z159" i="17"/>
  <c r="W159" i="17"/>
  <c r="AD159" i="17" s="1"/>
  <c r="V159" i="17"/>
  <c r="U159" i="17"/>
  <c r="AF159" i="17" s="1"/>
  <c r="S159" i="17"/>
  <c r="R159" i="17"/>
  <c r="Q159" i="17"/>
  <c r="O159" i="17"/>
  <c r="N159" i="17"/>
  <c r="M159" i="17"/>
  <c r="L159" i="17"/>
  <c r="AJ159" i="17" s="1"/>
  <c r="K159" i="17"/>
  <c r="AL158" i="17"/>
  <c r="AK158" i="17"/>
  <c r="AI158" i="17"/>
  <c r="AH158" i="17"/>
  <c r="AE158" i="17"/>
  <c r="AC158" i="17"/>
  <c r="AA158" i="17"/>
  <c r="AG158" i="17" s="1"/>
  <c r="Z158" i="17"/>
  <c r="W158" i="17"/>
  <c r="AD158" i="17" s="1"/>
  <c r="V158" i="17"/>
  <c r="U158" i="17"/>
  <c r="AF158" i="17" s="1"/>
  <c r="S158" i="17"/>
  <c r="R158" i="17"/>
  <c r="Q158" i="17"/>
  <c r="O158" i="17"/>
  <c r="N158" i="17"/>
  <c r="M158" i="17"/>
  <c r="L158" i="17"/>
  <c r="AJ158" i="17" s="1"/>
  <c r="K158" i="17"/>
  <c r="AL157" i="17"/>
  <c r="AK157" i="17"/>
  <c r="AI157" i="17"/>
  <c r="AH157" i="17"/>
  <c r="AE157" i="17"/>
  <c r="AC157" i="17"/>
  <c r="AA157" i="17"/>
  <c r="AG157" i="17" s="1"/>
  <c r="Z157" i="17"/>
  <c r="W157" i="17"/>
  <c r="AD157" i="17" s="1"/>
  <c r="V157" i="17"/>
  <c r="U157" i="17"/>
  <c r="AF157" i="17" s="1"/>
  <c r="S157" i="17"/>
  <c r="R157" i="17"/>
  <c r="Q157" i="17"/>
  <c r="O157" i="17"/>
  <c r="N157" i="17"/>
  <c r="M157" i="17"/>
  <c r="L157" i="17"/>
  <c r="AJ157" i="17" s="1"/>
  <c r="K157" i="17"/>
  <c r="AL156" i="17"/>
  <c r="AK156" i="17"/>
  <c r="AI156" i="17"/>
  <c r="AH156" i="17"/>
  <c r="AE156" i="17"/>
  <c r="AC156" i="17"/>
  <c r="AA156" i="17"/>
  <c r="AG156" i="17" s="1"/>
  <c r="Z156" i="17"/>
  <c r="W156" i="17"/>
  <c r="AD156" i="17" s="1"/>
  <c r="V156" i="17"/>
  <c r="U156" i="17"/>
  <c r="AF156" i="17" s="1"/>
  <c r="S156" i="17"/>
  <c r="R156" i="17"/>
  <c r="Q156" i="17"/>
  <c r="O156" i="17"/>
  <c r="N156" i="17"/>
  <c r="M156" i="17"/>
  <c r="L156" i="17"/>
  <c r="AJ156" i="17" s="1"/>
  <c r="K156" i="17"/>
  <c r="AL155" i="17"/>
  <c r="AK155" i="17"/>
  <c r="AI155" i="17"/>
  <c r="AH155" i="17"/>
  <c r="AE155" i="17"/>
  <c r="AC155" i="17"/>
  <c r="AA155" i="17"/>
  <c r="AG155" i="17" s="1"/>
  <c r="Z155" i="17"/>
  <c r="W155" i="17"/>
  <c r="AD155" i="17" s="1"/>
  <c r="V155" i="17"/>
  <c r="U155" i="17"/>
  <c r="AF155" i="17" s="1"/>
  <c r="S155" i="17"/>
  <c r="R155" i="17"/>
  <c r="Q155" i="17"/>
  <c r="O155" i="17"/>
  <c r="N155" i="17"/>
  <c r="M155" i="17"/>
  <c r="L155" i="17"/>
  <c r="AJ155" i="17" s="1"/>
  <c r="K155" i="17"/>
  <c r="AL154" i="17"/>
  <c r="AK154" i="17"/>
  <c r="AI154" i="17"/>
  <c r="AH154" i="17"/>
  <c r="AE154" i="17"/>
  <c r="AC154" i="17"/>
  <c r="AA154" i="17"/>
  <c r="AG154" i="17" s="1"/>
  <c r="Z154" i="17"/>
  <c r="W154" i="17"/>
  <c r="AD154" i="17" s="1"/>
  <c r="V154" i="17"/>
  <c r="U154" i="17"/>
  <c r="AF154" i="17" s="1"/>
  <c r="S154" i="17"/>
  <c r="R154" i="17"/>
  <c r="Q154" i="17"/>
  <c r="O154" i="17"/>
  <c r="N154" i="17"/>
  <c r="M154" i="17"/>
  <c r="L154" i="17"/>
  <c r="AJ154" i="17" s="1"/>
  <c r="K154" i="17"/>
  <c r="AL153" i="17"/>
  <c r="AK153" i="17"/>
  <c r="AI153" i="17"/>
  <c r="AH153" i="17"/>
  <c r="AE153" i="17"/>
  <c r="AC153" i="17"/>
  <c r="AA153" i="17"/>
  <c r="AG153" i="17" s="1"/>
  <c r="Z153" i="17"/>
  <c r="W153" i="17"/>
  <c r="AD153" i="17" s="1"/>
  <c r="V153" i="17"/>
  <c r="U153" i="17"/>
  <c r="AF153" i="17" s="1"/>
  <c r="S153" i="17"/>
  <c r="R153" i="17"/>
  <c r="Q153" i="17"/>
  <c r="O153" i="17"/>
  <c r="N153" i="17"/>
  <c r="M153" i="17"/>
  <c r="L153" i="17"/>
  <c r="AJ153" i="17" s="1"/>
  <c r="K153" i="17"/>
  <c r="AL152" i="17"/>
  <c r="AK152" i="17"/>
  <c r="AI152" i="17"/>
  <c r="AH152" i="17"/>
  <c r="AE152" i="17"/>
  <c r="AC152" i="17"/>
  <c r="AA152" i="17"/>
  <c r="AG152" i="17" s="1"/>
  <c r="Z152" i="17"/>
  <c r="W152" i="17"/>
  <c r="AD152" i="17" s="1"/>
  <c r="V152" i="17"/>
  <c r="U152" i="17"/>
  <c r="AF152" i="17" s="1"/>
  <c r="S152" i="17"/>
  <c r="R152" i="17"/>
  <c r="Q152" i="17"/>
  <c r="O152" i="17"/>
  <c r="N152" i="17"/>
  <c r="M152" i="17"/>
  <c r="L152" i="17"/>
  <c r="AJ152" i="17" s="1"/>
  <c r="K152" i="17"/>
  <c r="AL151" i="17"/>
  <c r="AK151" i="17"/>
  <c r="AI151" i="17"/>
  <c r="AH151" i="17"/>
  <c r="AE151" i="17"/>
  <c r="AC151" i="17"/>
  <c r="AA151" i="17"/>
  <c r="AG151" i="17" s="1"/>
  <c r="Z151" i="17"/>
  <c r="W151" i="17"/>
  <c r="AD151" i="17" s="1"/>
  <c r="V151" i="17"/>
  <c r="U151" i="17"/>
  <c r="AF151" i="17" s="1"/>
  <c r="S151" i="17"/>
  <c r="R151" i="17"/>
  <c r="Q151" i="17"/>
  <c r="O151" i="17"/>
  <c r="N151" i="17"/>
  <c r="M151" i="17"/>
  <c r="L151" i="17"/>
  <c r="AJ151" i="17" s="1"/>
  <c r="K151" i="17"/>
  <c r="AL150" i="17"/>
  <c r="AK150" i="17"/>
  <c r="AI150" i="17"/>
  <c r="AH150" i="17"/>
  <c r="AE150" i="17"/>
  <c r="AC150" i="17"/>
  <c r="AA150" i="17"/>
  <c r="AG150" i="17" s="1"/>
  <c r="Z150" i="17"/>
  <c r="W150" i="17"/>
  <c r="AD150" i="17" s="1"/>
  <c r="V150" i="17"/>
  <c r="U150" i="17"/>
  <c r="AF150" i="17" s="1"/>
  <c r="S150" i="17"/>
  <c r="R150" i="17"/>
  <c r="Q150" i="17"/>
  <c r="O150" i="17"/>
  <c r="N150" i="17"/>
  <c r="M150" i="17"/>
  <c r="L150" i="17"/>
  <c r="AJ150" i="17" s="1"/>
  <c r="K150" i="17"/>
  <c r="AL149" i="17"/>
  <c r="AK149" i="17"/>
  <c r="AI149" i="17"/>
  <c r="AH149" i="17"/>
  <c r="AE149" i="17"/>
  <c r="AC149" i="17"/>
  <c r="AA149" i="17"/>
  <c r="AG149" i="17" s="1"/>
  <c r="Z149" i="17"/>
  <c r="W149" i="17"/>
  <c r="AD149" i="17" s="1"/>
  <c r="V149" i="17"/>
  <c r="U149" i="17"/>
  <c r="AF149" i="17" s="1"/>
  <c r="S149" i="17"/>
  <c r="R149" i="17"/>
  <c r="Q149" i="17"/>
  <c r="O149" i="17"/>
  <c r="N149" i="17"/>
  <c r="M149" i="17"/>
  <c r="L149" i="17"/>
  <c r="AJ149" i="17" s="1"/>
  <c r="K149" i="17"/>
  <c r="AL148" i="17"/>
  <c r="AK148" i="17"/>
  <c r="AI148" i="17"/>
  <c r="AH148" i="17"/>
  <c r="AE148" i="17"/>
  <c r="AC148" i="17"/>
  <c r="AA148" i="17"/>
  <c r="AG148" i="17" s="1"/>
  <c r="Z148" i="17"/>
  <c r="W148" i="17"/>
  <c r="AD148" i="17" s="1"/>
  <c r="V148" i="17"/>
  <c r="U148" i="17"/>
  <c r="AF148" i="17" s="1"/>
  <c r="S148" i="17"/>
  <c r="R148" i="17"/>
  <c r="Q148" i="17"/>
  <c r="O148" i="17"/>
  <c r="N148" i="17"/>
  <c r="M148" i="17"/>
  <c r="L148" i="17"/>
  <c r="AJ148" i="17" s="1"/>
  <c r="K148" i="17"/>
  <c r="AL147" i="17"/>
  <c r="AK147" i="17"/>
  <c r="AI147" i="17"/>
  <c r="AH147" i="17"/>
  <c r="AE147" i="17"/>
  <c r="AC147" i="17"/>
  <c r="AA147" i="17"/>
  <c r="AG147" i="17" s="1"/>
  <c r="Z147" i="17"/>
  <c r="W147" i="17"/>
  <c r="AD147" i="17" s="1"/>
  <c r="V147" i="17"/>
  <c r="U147" i="17"/>
  <c r="AF147" i="17" s="1"/>
  <c r="S147" i="17"/>
  <c r="R147" i="17"/>
  <c r="Q147" i="17"/>
  <c r="O147" i="17"/>
  <c r="N147" i="17"/>
  <c r="M147" i="17"/>
  <c r="L147" i="17"/>
  <c r="AJ147" i="17" s="1"/>
  <c r="K147" i="17"/>
  <c r="AL146" i="17"/>
  <c r="AK146" i="17"/>
  <c r="AI146" i="17"/>
  <c r="AH146" i="17"/>
  <c r="AE146" i="17"/>
  <c r="AC146" i="17"/>
  <c r="AA146" i="17"/>
  <c r="AG146" i="17" s="1"/>
  <c r="Z146" i="17"/>
  <c r="W146" i="17"/>
  <c r="AD146" i="17" s="1"/>
  <c r="V146" i="17"/>
  <c r="U146" i="17"/>
  <c r="AF146" i="17" s="1"/>
  <c r="S146" i="17"/>
  <c r="R146" i="17"/>
  <c r="Q146" i="17"/>
  <c r="O146" i="17"/>
  <c r="N146" i="17"/>
  <c r="M146" i="17"/>
  <c r="L146" i="17"/>
  <c r="AJ146" i="17" s="1"/>
  <c r="K146" i="17"/>
  <c r="AL145" i="17"/>
  <c r="AK145" i="17"/>
  <c r="AI145" i="17"/>
  <c r="AH145" i="17"/>
  <c r="AE145" i="17"/>
  <c r="AC145" i="17"/>
  <c r="AA145" i="17"/>
  <c r="AG145" i="17" s="1"/>
  <c r="Z145" i="17"/>
  <c r="W145" i="17"/>
  <c r="AD145" i="17" s="1"/>
  <c r="V145" i="17"/>
  <c r="U145" i="17"/>
  <c r="AF145" i="17" s="1"/>
  <c r="S145" i="17"/>
  <c r="R145" i="17"/>
  <c r="Q145" i="17"/>
  <c r="O145" i="17"/>
  <c r="N145" i="17"/>
  <c r="M145" i="17"/>
  <c r="L145" i="17"/>
  <c r="AJ145" i="17" s="1"/>
  <c r="K145" i="17"/>
  <c r="AL144" i="17"/>
  <c r="AK144" i="17"/>
  <c r="AI144" i="17"/>
  <c r="AH144" i="17"/>
  <c r="AE144" i="17"/>
  <c r="AC144" i="17"/>
  <c r="AA144" i="17"/>
  <c r="AG144" i="17" s="1"/>
  <c r="Z144" i="17"/>
  <c r="W144" i="17"/>
  <c r="AD144" i="17" s="1"/>
  <c r="V144" i="17"/>
  <c r="U144" i="17"/>
  <c r="AF144" i="17" s="1"/>
  <c r="S144" i="17"/>
  <c r="R144" i="17"/>
  <c r="Q144" i="17"/>
  <c r="O144" i="17"/>
  <c r="N144" i="17"/>
  <c r="M144" i="17"/>
  <c r="L144" i="17"/>
  <c r="AJ144" i="17" s="1"/>
  <c r="K144" i="17"/>
  <c r="AL143" i="17"/>
  <c r="AK143" i="17"/>
  <c r="AI143" i="17"/>
  <c r="AH143" i="17"/>
  <c r="AE143" i="17"/>
  <c r="AC143" i="17"/>
  <c r="AA143" i="17"/>
  <c r="AG143" i="17" s="1"/>
  <c r="Z143" i="17"/>
  <c r="W143" i="17"/>
  <c r="AD143" i="17" s="1"/>
  <c r="V143" i="17"/>
  <c r="U143" i="17"/>
  <c r="AF143" i="17" s="1"/>
  <c r="S143" i="17"/>
  <c r="R143" i="17"/>
  <c r="Q143" i="17"/>
  <c r="O143" i="17"/>
  <c r="N143" i="17"/>
  <c r="M143" i="17"/>
  <c r="L143" i="17"/>
  <c r="AJ143" i="17" s="1"/>
  <c r="K143" i="17"/>
  <c r="AL142" i="17"/>
  <c r="AK142" i="17"/>
  <c r="AI142" i="17"/>
  <c r="AH142" i="17"/>
  <c r="AE142" i="17"/>
  <c r="AC142" i="17"/>
  <c r="AA142" i="17"/>
  <c r="AG142" i="17" s="1"/>
  <c r="Z142" i="17"/>
  <c r="W142" i="17"/>
  <c r="AD142" i="17" s="1"/>
  <c r="V142" i="17"/>
  <c r="U142" i="17"/>
  <c r="AF142" i="17" s="1"/>
  <c r="S142" i="17"/>
  <c r="R142" i="17"/>
  <c r="Q142" i="17"/>
  <c r="O142" i="17"/>
  <c r="N142" i="17"/>
  <c r="M142" i="17"/>
  <c r="L142" i="17"/>
  <c r="AJ142" i="17" s="1"/>
  <c r="K142" i="17"/>
  <c r="AL141" i="17"/>
  <c r="AK141" i="17"/>
  <c r="AI141" i="17"/>
  <c r="AH141" i="17"/>
  <c r="AE141" i="17"/>
  <c r="AC141" i="17"/>
  <c r="AA141" i="17"/>
  <c r="AG141" i="17" s="1"/>
  <c r="Z141" i="17"/>
  <c r="W141" i="17"/>
  <c r="AD141" i="17" s="1"/>
  <c r="V141" i="17"/>
  <c r="U141" i="17"/>
  <c r="AF141" i="17" s="1"/>
  <c r="S141" i="17"/>
  <c r="R141" i="17"/>
  <c r="Q141" i="17"/>
  <c r="O141" i="17"/>
  <c r="N141" i="17"/>
  <c r="M141" i="17"/>
  <c r="L141" i="17"/>
  <c r="AJ141" i="17" s="1"/>
  <c r="K141" i="17"/>
  <c r="AL140" i="17"/>
  <c r="AK140" i="17"/>
  <c r="AI140" i="17"/>
  <c r="AH140" i="17"/>
  <c r="AE140" i="17"/>
  <c r="AC140" i="17"/>
  <c r="AA140" i="17"/>
  <c r="AG140" i="17" s="1"/>
  <c r="Z140" i="17"/>
  <c r="W140" i="17"/>
  <c r="AD140" i="17" s="1"/>
  <c r="V140" i="17"/>
  <c r="U140" i="17"/>
  <c r="AF140" i="17" s="1"/>
  <c r="S140" i="17"/>
  <c r="R140" i="17"/>
  <c r="Q140" i="17"/>
  <c r="O140" i="17"/>
  <c r="N140" i="17"/>
  <c r="M140" i="17"/>
  <c r="L140" i="17"/>
  <c r="AJ140" i="17" s="1"/>
  <c r="K140" i="17"/>
  <c r="AL139" i="17"/>
  <c r="AK139" i="17"/>
  <c r="AI139" i="17"/>
  <c r="AH139" i="17"/>
  <c r="AE139" i="17"/>
  <c r="AC139" i="17"/>
  <c r="AA139" i="17"/>
  <c r="AG139" i="17" s="1"/>
  <c r="Z139" i="17"/>
  <c r="W139" i="17"/>
  <c r="AD139" i="17" s="1"/>
  <c r="V139" i="17"/>
  <c r="U139" i="17"/>
  <c r="AF139" i="17" s="1"/>
  <c r="S139" i="17"/>
  <c r="R139" i="17"/>
  <c r="Q139" i="17"/>
  <c r="O139" i="17"/>
  <c r="N139" i="17"/>
  <c r="M139" i="17"/>
  <c r="L139" i="17"/>
  <c r="AJ139" i="17" s="1"/>
  <c r="K139" i="17"/>
  <c r="AL138" i="17"/>
  <c r="AK138" i="17"/>
  <c r="AI138" i="17"/>
  <c r="AH138" i="17"/>
  <c r="AE138" i="17"/>
  <c r="AC138" i="17"/>
  <c r="AA138" i="17"/>
  <c r="AG138" i="17" s="1"/>
  <c r="Z138" i="17"/>
  <c r="W138" i="17"/>
  <c r="AD138" i="17" s="1"/>
  <c r="V138" i="17"/>
  <c r="U138" i="17"/>
  <c r="AF138" i="17" s="1"/>
  <c r="S138" i="17"/>
  <c r="R138" i="17"/>
  <c r="Q138" i="17"/>
  <c r="O138" i="17"/>
  <c r="N138" i="17"/>
  <c r="M138" i="17"/>
  <c r="L138" i="17"/>
  <c r="AJ138" i="17" s="1"/>
  <c r="K138" i="17"/>
  <c r="AL137" i="17"/>
  <c r="AK137" i="17"/>
  <c r="AI137" i="17"/>
  <c r="AH137" i="17"/>
  <c r="AE137" i="17"/>
  <c r="AC137" i="17"/>
  <c r="AA137" i="17"/>
  <c r="AG137" i="17" s="1"/>
  <c r="Z137" i="17"/>
  <c r="W137" i="17"/>
  <c r="AD137" i="17" s="1"/>
  <c r="V137" i="17"/>
  <c r="U137" i="17"/>
  <c r="AF137" i="17" s="1"/>
  <c r="S137" i="17"/>
  <c r="R137" i="17"/>
  <c r="Q137" i="17"/>
  <c r="O137" i="17"/>
  <c r="N137" i="17"/>
  <c r="M137" i="17"/>
  <c r="L137" i="17"/>
  <c r="AJ137" i="17" s="1"/>
  <c r="K137" i="17"/>
  <c r="AL136" i="17"/>
  <c r="AK136" i="17"/>
  <c r="AI136" i="17"/>
  <c r="AH136" i="17"/>
  <c r="AE136" i="17"/>
  <c r="AC136" i="17"/>
  <c r="AA136" i="17"/>
  <c r="AG136" i="17" s="1"/>
  <c r="Z136" i="17"/>
  <c r="W136" i="17"/>
  <c r="AD136" i="17" s="1"/>
  <c r="V136" i="17"/>
  <c r="U136" i="17"/>
  <c r="AF136" i="17" s="1"/>
  <c r="S136" i="17"/>
  <c r="R136" i="17"/>
  <c r="Q136" i="17"/>
  <c r="O136" i="17"/>
  <c r="N136" i="17"/>
  <c r="M136" i="17"/>
  <c r="L136" i="17"/>
  <c r="AJ136" i="17" s="1"/>
  <c r="K136" i="17"/>
  <c r="AL135" i="17"/>
  <c r="AK135" i="17"/>
  <c r="AI135" i="17"/>
  <c r="AH135" i="17"/>
  <c r="AE135" i="17"/>
  <c r="AC135" i="17"/>
  <c r="AA135" i="17"/>
  <c r="AG135" i="17" s="1"/>
  <c r="Z135" i="17"/>
  <c r="W135" i="17"/>
  <c r="AD135" i="17" s="1"/>
  <c r="V135" i="17"/>
  <c r="U135" i="17"/>
  <c r="AF135" i="17" s="1"/>
  <c r="S135" i="17"/>
  <c r="R135" i="17"/>
  <c r="Q135" i="17"/>
  <c r="O135" i="17"/>
  <c r="N135" i="17"/>
  <c r="M135" i="17"/>
  <c r="L135" i="17"/>
  <c r="AJ135" i="17" s="1"/>
  <c r="K135" i="17"/>
  <c r="AL134" i="17"/>
  <c r="AK134" i="17"/>
  <c r="AI134" i="17"/>
  <c r="AH134" i="17"/>
  <c r="AE134" i="17"/>
  <c r="AC134" i="17"/>
  <c r="AA134" i="17"/>
  <c r="AG134" i="17" s="1"/>
  <c r="Z134" i="17"/>
  <c r="W134" i="17"/>
  <c r="AD134" i="17" s="1"/>
  <c r="V134" i="17"/>
  <c r="U134" i="17"/>
  <c r="AF134" i="17" s="1"/>
  <c r="S134" i="17"/>
  <c r="R134" i="17"/>
  <c r="Q134" i="17"/>
  <c r="O134" i="17"/>
  <c r="N134" i="17"/>
  <c r="M134" i="17"/>
  <c r="L134" i="17"/>
  <c r="AJ134" i="17" s="1"/>
  <c r="K134" i="17"/>
  <c r="AL133" i="17"/>
  <c r="AK133" i="17"/>
  <c r="AI133" i="17"/>
  <c r="AH133" i="17"/>
  <c r="AE133" i="17"/>
  <c r="AC133" i="17"/>
  <c r="AA133" i="17"/>
  <c r="AG133" i="17" s="1"/>
  <c r="Z133" i="17"/>
  <c r="W133" i="17"/>
  <c r="AD133" i="17" s="1"/>
  <c r="V133" i="17"/>
  <c r="U133" i="17"/>
  <c r="AF133" i="17" s="1"/>
  <c r="S133" i="17"/>
  <c r="R133" i="17"/>
  <c r="Q133" i="17"/>
  <c r="O133" i="17"/>
  <c r="N133" i="17"/>
  <c r="M133" i="17"/>
  <c r="L133" i="17"/>
  <c r="AJ133" i="17" s="1"/>
  <c r="K133" i="17"/>
  <c r="AL132" i="17"/>
  <c r="AK132" i="17"/>
  <c r="AI132" i="17"/>
  <c r="AH132" i="17"/>
  <c r="AE132" i="17"/>
  <c r="AC132" i="17"/>
  <c r="AA132" i="17"/>
  <c r="AG132" i="17" s="1"/>
  <c r="Z132" i="17"/>
  <c r="W132" i="17"/>
  <c r="AD132" i="17" s="1"/>
  <c r="V132" i="17"/>
  <c r="U132" i="17"/>
  <c r="AF132" i="17" s="1"/>
  <c r="S132" i="17"/>
  <c r="R132" i="17"/>
  <c r="Q132" i="17"/>
  <c r="O132" i="17"/>
  <c r="N132" i="17"/>
  <c r="M132" i="17"/>
  <c r="L132" i="17"/>
  <c r="AJ132" i="17" s="1"/>
  <c r="K132" i="17"/>
  <c r="AL131" i="17"/>
  <c r="AK131" i="17"/>
  <c r="AI131" i="17"/>
  <c r="AH131" i="17"/>
  <c r="AE131" i="17"/>
  <c r="AC131" i="17"/>
  <c r="AA131" i="17"/>
  <c r="AG131" i="17" s="1"/>
  <c r="Z131" i="17"/>
  <c r="W131" i="17"/>
  <c r="AD131" i="17" s="1"/>
  <c r="V131" i="17"/>
  <c r="U131" i="17"/>
  <c r="AF131" i="17" s="1"/>
  <c r="S131" i="17"/>
  <c r="R131" i="17"/>
  <c r="Q131" i="17"/>
  <c r="O131" i="17"/>
  <c r="N131" i="17"/>
  <c r="M131" i="17"/>
  <c r="L131" i="17"/>
  <c r="AJ131" i="17" s="1"/>
  <c r="K131" i="17"/>
  <c r="AL130" i="17"/>
  <c r="AK130" i="17"/>
  <c r="AI130" i="17"/>
  <c r="AH130" i="17"/>
  <c r="AE130" i="17"/>
  <c r="AC130" i="17"/>
  <c r="AA130" i="17"/>
  <c r="AG130" i="17" s="1"/>
  <c r="Z130" i="17"/>
  <c r="W130" i="17"/>
  <c r="AD130" i="17" s="1"/>
  <c r="V130" i="17"/>
  <c r="U130" i="17"/>
  <c r="AF130" i="17" s="1"/>
  <c r="S130" i="17"/>
  <c r="R130" i="17"/>
  <c r="Q130" i="17"/>
  <c r="O130" i="17"/>
  <c r="N130" i="17"/>
  <c r="M130" i="17"/>
  <c r="L130" i="17"/>
  <c r="AJ130" i="17" s="1"/>
  <c r="K130" i="17"/>
  <c r="AL129" i="17"/>
  <c r="AK129" i="17"/>
  <c r="AI129" i="17"/>
  <c r="AH129" i="17"/>
  <c r="AE129" i="17"/>
  <c r="AC129" i="17"/>
  <c r="AA129" i="17"/>
  <c r="AG129" i="17" s="1"/>
  <c r="Z129" i="17"/>
  <c r="W129" i="17"/>
  <c r="AD129" i="17" s="1"/>
  <c r="V129" i="17"/>
  <c r="U129" i="17"/>
  <c r="AF129" i="17" s="1"/>
  <c r="S129" i="17"/>
  <c r="R129" i="17"/>
  <c r="Q129" i="17"/>
  <c r="O129" i="17"/>
  <c r="N129" i="17"/>
  <c r="M129" i="17"/>
  <c r="L129" i="17"/>
  <c r="AJ129" i="17" s="1"/>
  <c r="K129" i="17"/>
  <c r="AL128" i="17"/>
  <c r="AK128" i="17"/>
  <c r="AI128" i="17"/>
  <c r="AH128" i="17"/>
  <c r="AE128" i="17"/>
  <c r="AC128" i="17"/>
  <c r="AA128" i="17"/>
  <c r="AG128" i="17" s="1"/>
  <c r="Z128" i="17"/>
  <c r="W128" i="17"/>
  <c r="AD128" i="17" s="1"/>
  <c r="V128" i="17"/>
  <c r="U128" i="17"/>
  <c r="AF128" i="17" s="1"/>
  <c r="S128" i="17"/>
  <c r="R128" i="17"/>
  <c r="Q128" i="17"/>
  <c r="O128" i="17"/>
  <c r="N128" i="17"/>
  <c r="M128" i="17"/>
  <c r="L128" i="17"/>
  <c r="AJ128" i="17" s="1"/>
  <c r="K128" i="17"/>
  <c r="AL127" i="17"/>
  <c r="AK127" i="17"/>
  <c r="AI127" i="17"/>
  <c r="AH127" i="17"/>
  <c r="AE127" i="17"/>
  <c r="AC127" i="17"/>
  <c r="AA127" i="17"/>
  <c r="AG127" i="17" s="1"/>
  <c r="Z127" i="17"/>
  <c r="W127" i="17"/>
  <c r="AD127" i="17" s="1"/>
  <c r="V127" i="17"/>
  <c r="U127" i="17"/>
  <c r="AF127" i="17" s="1"/>
  <c r="S127" i="17"/>
  <c r="R127" i="17"/>
  <c r="Q127" i="17"/>
  <c r="O127" i="17"/>
  <c r="N127" i="17"/>
  <c r="M127" i="17"/>
  <c r="L127" i="17"/>
  <c r="AJ127" i="17" s="1"/>
  <c r="K127" i="17"/>
  <c r="AL126" i="17"/>
  <c r="AK126" i="17"/>
  <c r="AI126" i="17"/>
  <c r="AH126" i="17"/>
  <c r="AG126" i="17"/>
  <c r="AE126" i="17"/>
  <c r="AC126" i="17"/>
  <c r="AA126" i="17"/>
  <c r="Z126" i="17"/>
  <c r="W126" i="17"/>
  <c r="AD126" i="17" s="1"/>
  <c r="V126" i="17"/>
  <c r="U126" i="17"/>
  <c r="AF126" i="17" s="1"/>
  <c r="S126" i="17"/>
  <c r="R126" i="17"/>
  <c r="Q126" i="17"/>
  <c r="O126" i="17"/>
  <c r="N126" i="17"/>
  <c r="M126" i="17"/>
  <c r="L126" i="17"/>
  <c r="AJ126" i="17" s="1"/>
  <c r="K126" i="17"/>
  <c r="AL125" i="17"/>
  <c r="AK125" i="17"/>
  <c r="AI125" i="17"/>
  <c r="AH125" i="17"/>
  <c r="AE125" i="17"/>
  <c r="AC125" i="17"/>
  <c r="AA125" i="17"/>
  <c r="AG125" i="17" s="1"/>
  <c r="Z125" i="17"/>
  <c r="W125" i="17"/>
  <c r="AD125" i="17" s="1"/>
  <c r="V125" i="17"/>
  <c r="U125" i="17"/>
  <c r="AF125" i="17" s="1"/>
  <c r="S125" i="17"/>
  <c r="R125" i="17"/>
  <c r="Q125" i="17"/>
  <c r="O125" i="17"/>
  <c r="N125" i="17"/>
  <c r="M125" i="17"/>
  <c r="L125" i="17"/>
  <c r="AJ125" i="17" s="1"/>
  <c r="K125" i="17"/>
  <c r="AL124" i="17"/>
  <c r="AK124" i="17"/>
  <c r="AI124" i="17"/>
  <c r="AH124" i="17"/>
  <c r="AC124" i="17"/>
  <c r="AE124" i="17" s="1"/>
  <c r="AA124" i="17"/>
  <c r="AG124" i="17" s="1"/>
  <c r="Z124" i="17"/>
  <c r="W124" i="17"/>
  <c r="AD124" i="17" s="1"/>
  <c r="V124" i="17"/>
  <c r="U124" i="17"/>
  <c r="AF124" i="17" s="1"/>
  <c r="S124" i="17"/>
  <c r="R124" i="17"/>
  <c r="Q124" i="17"/>
  <c r="O124" i="17"/>
  <c r="N124" i="17"/>
  <c r="M124" i="17"/>
  <c r="L124" i="17"/>
  <c r="AJ124" i="17" s="1"/>
  <c r="K124" i="17"/>
  <c r="AL123" i="17"/>
  <c r="AK123" i="17"/>
  <c r="AI123" i="17"/>
  <c r="AH123" i="17"/>
  <c r="AE123" i="17"/>
  <c r="AC123" i="17"/>
  <c r="AA123" i="17"/>
  <c r="AG123" i="17" s="1"/>
  <c r="Z123" i="17"/>
  <c r="W123" i="17"/>
  <c r="AD123" i="17" s="1"/>
  <c r="V123" i="17"/>
  <c r="U123" i="17"/>
  <c r="AF123" i="17" s="1"/>
  <c r="S123" i="17"/>
  <c r="R123" i="17"/>
  <c r="Q123" i="17"/>
  <c r="O123" i="17"/>
  <c r="N123" i="17"/>
  <c r="M123" i="17"/>
  <c r="L123" i="17"/>
  <c r="AJ123" i="17" s="1"/>
  <c r="K123" i="17"/>
  <c r="AL122" i="17"/>
  <c r="AK122" i="17"/>
  <c r="AI122" i="17"/>
  <c r="AH122" i="17"/>
  <c r="AG122" i="17"/>
  <c r="AE122" i="17"/>
  <c r="AC122" i="17"/>
  <c r="AA122" i="17"/>
  <c r="Z122" i="17"/>
  <c r="W122" i="17"/>
  <c r="AD122" i="17" s="1"/>
  <c r="V122" i="17"/>
  <c r="U122" i="17"/>
  <c r="AF122" i="17" s="1"/>
  <c r="S122" i="17"/>
  <c r="R122" i="17"/>
  <c r="Q122" i="17"/>
  <c r="O122" i="17"/>
  <c r="N122" i="17"/>
  <c r="M122" i="17"/>
  <c r="L122" i="17"/>
  <c r="AJ122" i="17" s="1"/>
  <c r="K122" i="17"/>
  <c r="AL121" i="17"/>
  <c r="AK121" i="17"/>
  <c r="AI121" i="17"/>
  <c r="AH121" i="17"/>
  <c r="AE121" i="17"/>
  <c r="AC121" i="17"/>
  <c r="AA121" i="17"/>
  <c r="AG121" i="17" s="1"/>
  <c r="Z121" i="17"/>
  <c r="W121" i="17"/>
  <c r="AD121" i="17" s="1"/>
  <c r="V121" i="17"/>
  <c r="U121" i="17"/>
  <c r="AF121" i="17" s="1"/>
  <c r="S121" i="17"/>
  <c r="R121" i="17"/>
  <c r="Q121" i="17"/>
  <c r="O121" i="17"/>
  <c r="N121" i="17"/>
  <c r="M121" i="17"/>
  <c r="L121" i="17"/>
  <c r="AJ121" i="17" s="1"/>
  <c r="K121" i="17"/>
  <c r="AL120" i="17"/>
  <c r="AK120" i="17"/>
  <c r="AI120" i="17"/>
  <c r="AH120" i="17"/>
  <c r="AC120" i="17"/>
  <c r="AE120" i="17" s="1"/>
  <c r="AA120" i="17"/>
  <c r="AG120" i="17" s="1"/>
  <c r="Z120" i="17"/>
  <c r="W120" i="17"/>
  <c r="AD120" i="17" s="1"/>
  <c r="V120" i="17"/>
  <c r="U120" i="17"/>
  <c r="AF120" i="17" s="1"/>
  <c r="S120" i="17"/>
  <c r="R120" i="17"/>
  <c r="Q120" i="17"/>
  <c r="O120" i="17"/>
  <c r="N120" i="17"/>
  <c r="M120" i="17"/>
  <c r="L120" i="17"/>
  <c r="AJ120" i="17" s="1"/>
  <c r="K120" i="17"/>
  <c r="AL119" i="17"/>
  <c r="AK119" i="17"/>
  <c r="AI119" i="17"/>
  <c r="AH119" i="17"/>
  <c r="AE119" i="17"/>
  <c r="AC119" i="17"/>
  <c r="AA119" i="17"/>
  <c r="AG119" i="17" s="1"/>
  <c r="Z119" i="17"/>
  <c r="W119" i="17"/>
  <c r="AD119" i="17" s="1"/>
  <c r="V119" i="17"/>
  <c r="U119" i="17"/>
  <c r="AF119" i="17" s="1"/>
  <c r="S119" i="17"/>
  <c r="R119" i="17"/>
  <c r="Q119" i="17"/>
  <c r="O119" i="17"/>
  <c r="N119" i="17"/>
  <c r="M119" i="17"/>
  <c r="L119" i="17"/>
  <c r="AJ119" i="17" s="1"/>
  <c r="K119" i="17"/>
  <c r="AL118" i="17"/>
  <c r="AK118" i="17"/>
  <c r="AI118" i="17"/>
  <c r="AH118" i="17"/>
  <c r="AG118" i="17"/>
  <c r="AE118" i="17"/>
  <c r="AC118" i="17"/>
  <c r="AA118" i="17"/>
  <c r="Z118" i="17"/>
  <c r="W118" i="17"/>
  <c r="AD118" i="17" s="1"/>
  <c r="V118" i="17"/>
  <c r="U118" i="17"/>
  <c r="AF118" i="17" s="1"/>
  <c r="S118" i="17"/>
  <c r="R118" i="17"/>
  <c r="Q118" i="17"/>
  <c r="O118" i="17"/>
  <c r="N118" i="17"/>
  <c r="M118" i="17"/>
  <c r="L118" i="17"/>
  <c r="AJ118" i="17" s="1"/>
  <c r="K118" i="17"/>
  <c r="AL117" i="17"/>
  <c r="AK117" i="17"/>
  <c r="AI117" i="17"/>
  <c r="AH117" i="17"/>
  <c r="AE117" i="17"/>
  <c r="AC117" i="17"/>
  <c r="AA117" i="17"/>
  <c r="AG117" i="17" s="1"/>
  <c r="Z117" i="17"/>
  <c r="W117" i="17"/>
  <c r="AD117" i="17" s="1"/>
  <c r="V117" i="17"/>
  <c r="U117" i="17"/>
  <c r="AF117" i="17" s="1"/>
  <c r="S117" i="17"/>
  <c r="R117" i="17"/>
  <c r="Q117" i="17"/>
  <c r="O117" i="17"/>
  <c r="N117" i="17"/>
  <c r="M117" i="17"/>
  <c r="L117" i="17"/>
  <c r="AJ117" i="17" s="1"/>
  <c r="K117" i="17"/>
  <c r="AL116" i="17"/>
  <c r="AK116" i="17"/>
  <c r="AI116" i="17"/>
  <c r="AH116" i="17"/>
  <c r="AC116" i="17"/>
  <c r="AE116" i="17" s="1"/>
  <c r="AA116" i="17"/>
  <c r="AG116" i="17" s="1"/>
  <c r="Z116" i="17"/>
  <c r="W116" i="17"/>
  <c r="AD116" i="17" s="1"/>
  <c r="V116" i="17"/>
  <c r="U116" i="17"/>
  <c r="AF116" i="17" s="1"/>
  <c r="S116" i="17"/>
  <c r="R116" i="17"/>
  <c r="Q116" i="17"/>
  <c r="O116" i="17"/>
  <c r="N116" i="17"/>
  <c r="M116" i="17"/>
  <c r="L116" i="17"/>
  <c r="AJ116" i="17" s="1"/>
  <c r="K116" i="17"/>
  <c r="AL115" i="17"/>
  <c r="AK115" i="17"/>
  <c r="AI115" i="17"/>
  <c r="AH115" i="17"/>
  <c r="AE115" i="17"/>
  <c r="AC115" i="17"/>
  <c r="AA115" i="17"/>
  <c r="AG115" i="17" s="1"/>
  <c r="Z115" i="17"/>
  <c r="W115" i="17"/>
  <c r="AD115" i="17" s="1"/>
  <c r="V115" i="17"/>
  <c r="U115" i="17"/>
  <c r="AF115" i="17" s="1"/>
  <c r="S115" i="17"/>
  <c r="R115" i="17"/>
  <c r="Q115" i="17"/>
  <c r="O115" i="17"/>
  <c r="N115" i="17"/>
  <c r="M115" i="17"/>
  <c r="L115" i="17"/>
  <c r="AJ115" i="17" s="1"/>
  <c r="K115" i="17"/>
  <c r="AL114" i="17"/>
  <c r="AK114" i="17"/>
  <c r="AI114" i="17"/>
  <c r="AH114" i="17"/>
  <c r="AG114" i="17"/>
  <c r="AE114" i="17"/>
  <c r="AC114" i="17"/>
  <c r="AA114" i="17"/>
  <c r="Z114" i="17"/>
  <c r="W114" i="17"/>
  <c r="AD114" i="17" s="1"/>
  <c r="V114" i="17"/>
  <c r="U114" i="17"/>
  <c r="AF114" i="17" s="1"/>
  <c r="S114" i="17"/>
  <c r="R114" i="17"/>
  <c r="Q114" i="17"/>
  <c r="O114" i="17"/>
  <c r="N114" i="17"/>
  <c r="M114" i="17"/>
  <c r="L114" i="17"/>
  <c r="AJ114" i="17" s="1"/>
  <c r="K114" i="17"/>
  <c r="AL113" i="17"/>
  <c r="AK113" i="17"/>
  <c r="AI113" i="17"/>
  <c r="AH113" i="17"/>
  <c r="AE113" i="17"/>
  <c r="AC113" i="17"/>
  <c r="AA113" i="17"/>
  <c r="AG113" i="17" s="1"/>
  <c r="Z113" i="17"/>
  <c r="W113" i="17"/>
  <c r="AD113" i="17" s="1"/>
  <c r="V113" i="17"/>
  <c r="U113" i="17"/>
  <c r="AF113" i="17" s="1"/>
  <c r="S113" i="17"/>
  <c r="R113" i="17"/>
  <c r="Q113" i="17"/>
  <c r="O113" i="17"/>
  <c r="N113" i="17"/>
  <c r="M113" i="17"/>
  <c r="L113" i="17"/>
  <c r="AJ113" i="17" s="1"/>
  <c r="K113" i="17"/>
  <c r="AL112" i="17"/>
  <c r="AK112" i="17"/>
  <c r="AI112" i="17"/>
  <c r="AH112" i="17"/>
  <c r="AC112" i="17"/>
  <c r="AE112" i="17" s="1"/>
  <c r="AA112" i="17"/>
  <c r="AG112" i="17" s="1"/>
  <c r="Z112" i="17"/>
  <c r="W112" i="17"/>
  <c r="AD112" i="17" s="1"/>
  <c r="V112" i="17"/>
  <c r="U112" i="17"/>
  <c r="AF112" i="17" s="1"/>
  <c r="S112" i="17"/>
  <c r="R112" i="17"/>
  <c r="Q112" i="17"/>
  <c r="O112" i="17"/>
  <c r="N112" i="17"/>
  <c r="M112" i="17"/>
  <c r="L112" i="17"/>
  <c r="AJ112" i="17" s="1"/>
  <c r="K112" i="17"/>
  <c r="AL111" i="17"/>
  <c r="AK111" i="17"/>
  <c r="AI111" i="17"/>
  <c r="AH111" i="17"/>
  <c r="AE111" i="17"/>
  <c r="AC111" i="17"/>
  <c r="AA111" i="17"/>
  <c r="AG111" i="17" s="1"/>
  <c r="Z111" i="17"/>
  <c r="W111" i="17"/>
  <c r="AD111" i="17" s="1"/>
  <c r="V111" i="17"/>
  <c r="U111" i="17"/>
  <c r="AF111" i="17" s="1"/>
  <c r="S111" i="17"/>
  <c r="R111" i="17"/>
  <c r="Q111" i="17"/>
  <c r="O111" i="17"/>
  <c r="N111" i="17"/>
  <c r="M111" i="17"/>
  <c r="L111" i="17"/>
  <c r="AJ111" i="17" s="1"/>
  <c r="K111" i="17"/>
  <c r="AL110" i="17"/>
  <c r="AK110" i="17"/>
  <c r="AI110" i="17"/>
  <c r="AH110" i="17"/>
  <c r="AG110" i="17"/>
  <c r="AE110" i="17"/>
  <c r="AC110" i="17"/>
  <c r="AA110" i="17"/>
  <c r="Z110" i="17"/>
  <c r="W110" i="17"/>
  <c r="AD110" i="17" s="1"/>
  <c r="V110" i="17"/>
  <c r="U110" i="17"/>
  <c r="AF110" i="17" s="1"/>
  <c r="S110" i="17"/>
  <c r="R110" i="17"/>
  <c r="Q110" i="17"/>
  <c r="O110" i="17"/>
  <c r="N110" i="17"/>
  <c r="M110" i="17"/>
  <c r="L110" i="17"/>
  <c r="AJ110" i="17" s="1"/>
  <c r="K110" i="17"/>
  <c r="AL109" i="17"/>
  <c r="AK109" i="17"/>
  <c r="AI109" i="17"/>
  <c r="AH109" i="17"/>
  <c r="AE109" i="17"/>
  <c r="AC109" i="17"/>
  <c r="AA109" i="17"/>
  <c r="AG109" i="17" s="1"/>
  <c r="Z109" i="17"/>
  <c r="W109" i="17"/>
  <c r="AD109" i="17" s="1"/>
  <c r="V109" i="17"/>
  <c r="U109" i="17"/>
  <c r="AF109" i="17" s="1"/>
  <c r="S109" i="17"/>
  <c r="R109" i="17"/>
  <c r="Q109" i="17"/>
  <c r="O109" i="17"/>
  <c r="N109" i="17"/>
  <c r="M109" i="17"/>
  <c r="L109" i="17"/>
  <c r="AJ109" i="17" s="1"/>
  <c r="K109" i="17"/>
  <c r="AL108" i="17"/>
  <c r="AK108" i="17"/>
  <c r="AI108" i="17"/>
  <c r="AH108" i="17"/>
  <c r="AC108" i="17"/>
  <c r="AE108" i="17" s="1"/>
  <c r="AA108" i="17"/>
  <c r="AG108" i="17" s="1"/>
  <c r="Z108" i="17"/>
  <c r="W108" i="17"/>
  <c r="AD108" i="17" s="1"/>
  <c r="V108" i="17"/>
  <c r="U108" i="17"/>
  <c r="AF108" i="17" s="1"/>
  <c r="S108" i="17"/>
  <c r="R108" i="17"/>
  <c r="Q108" i="17"/>
  <c r="O108" i="17"/>
  <c r="N108" i="17"/>
  <c r="M108" i="17"/>
  <c r="L108" i="17"/>
  <c r="AJ108" i="17" s="1"/>
  <c r="K108" i="17"/>
  <c r="AL107" i="17"/>
  <c r="AK107" i="17"/>
  <c r="AI107" i="17"/>
  <c r="AH107" i="17"/>
  <c r="AE107" i="17"/>
  <c r="AC107" i="17"/>
  <c r="AA107" i="17"/>
  <c r="AG107" i="17" s="1"/>
  <c r="Z107" i="17"/>
  <c r="W107" i="17"/>
  <c r="AD107" i="17" s="1"/>
  <c r="V107" i="17"/>
  <c r="U107" i="17"/>
  <c r="AF107" i="17" s="1"/>
  <c r="S107" i="17"/>
  <c r="R107" i="17"/>
  <c r="Q107" i="17"/>
  <c r="O107" i="17"/>
  <c r="N107" i="17"/>
  <c r="M107" i="17"/>
  <c r="L107" i="17"/>
  <c r="AJ107" i="17" s="1"/>
  <c r="K107" i="17"/>
  <c r="AL106" i="17"/>
  <c r="AK106" i="17"/>
  <c r="AI106" i="17"/>
  <c r="AH106" i="17"/>
  <c r="AG106" i="17"/>
  <c r="AE106" i="17"/>
  <c r="AC106" i="17"/>
  <c r="AA106" i="17"/>
  <c r="Z106" i="17"/>
  <c r="W106" i="17"/>
  <c r="AD106" i="17" s="1"/>
  <c r="V106" i="17"/>
  <c r="U106" i="17"/>
  <c r="AF106" i="17" s="1"/>
  <c r="S106" i="17"/>
  <c r="R106" i="17"/>
  <c r="Q106" i="17"/>
  <c r="O106" i="17"/>
  <c r="N106" i="17"/>
  <c r="M106" i="17"/>
  <c r="L106" i="17"/>
  <c r="AJ106" i="17" s="1"/>
  <c r="K106" i="17"/>
  <c r="AL105" i="17"/>
  <c r="AK105" i="17"/>
  <c r="AI105" i="17"/>
  <c r="AH105" i="17"/>
  <c r="AE105" i="17"/>
  <c r="AC105" i="17"/>
  <c r="AA105" i="17"/>
  <c r="AG105" i="17" s="1"/>
  <c r="Z105" i="17"/>
  <c r="W105" i="17"/>
  <c r="AD105" i="17" s="1"/>
  <c r="V105" i="17"/>
  <c r="U105" i="17"/>
  <c r="AF105" i="17" s="1"/>
  <c r="S105" i="17"/>
  <c r="R105" i="17"/>
  <c r="Q105" i="17"/>
  <c r="O105" i="17"/>
  <c r="N105" i="17"/>
  <c r="M105" i="17"/>
  <c r="L105" i="17"/>
  <c r="AJ105" i="17" s="1"/>
  <c r="K105" i="17"/>
  <c r="AL104" i="17"/>
  <c r="AK104" i="17"/>
  <c r="AI104" i="17"/>
  <c r="AH104" i="17"/>
  <c r="AC104" i="17"/>
  <c r="AE104" i="17" s="1"/>
  <c r="AA104" i="17"/>
  <c r="AG104" i="17" s="1"/>
  <c r="Z104" i="17"/>
  <c r="W104" i="17"/>
  <c r="AD104" i="17" s="1"/>
  <c r="V104" i="17"/>
  <c r="U104" i="17"/>
  <c r="AF104" i="17" s="1"/>
  <c r="S104" i="17"/>
  <c r="R104" i="17"/>
  <c r="Q104" i="17"/>
  <c r="O104" i="17"/>
  <c r="N104" i="17"/>
  <c r="M104" i="17"/>
  <c r="L104" i="17"/>
  <c r="AJ104" i="17" s="1"/>
  <c r="K104" i="17"/>
  <c r="AL103" i="17"/>
  <c r="AK103" i="17"/>
  <c r="AI103" i="17"/>
  <c r="AH103" i="17"/>
  <c r="AE103" i="17"/>
  <c r="AC103" i="17"/>
  <c r="AA103" i="17"/>
  <c r="AG103" i="17" s="1"/>
  <c r="Z103" i="17"/>
  <c r="W103" i="17"/>
  <c r="AD103" i="17" s="1"/>
  <c r="V103" i="17"/>
  <c r="U103" i="17"/>
  <c r="AF103" i="17" s="1"/>
  <c r="S103" i="17"/>
  <c r="R103" i="17"/>
  <c r="Q103" i="17"/>
  <c r="O103" i="17"/>
  <c r="N103" i="17"/>
  <c r="M103" i="17"/>
  <c r="L103" i="17"/>
  <c r="AJ103" i="17" s="1"/>
  <c r="K103" i="17"/>
  <c r="AL102" i="17"/>
  <c r="AK102" i="17"/>
  <c r="AI102" i="17"/>
  <c r="AH102" i="17"/>
  <c r="AG102" i="17"/>
  <c r="AE102" i="17"/>
  <c r="AC102" i="17"/>
  <c r="AA102" i="17"/>
  <c r="Z102" i="17"/>
  <c r="W102" i="17"/>
  <c r="AD102" i="17" s="1"/>
  <c r="V102" i="17"/>
  <c r="U102" i="17"/>
  <c r="AF102" i="17" s="1"/>
  <c r="S102" i="17"/>
  <c r="R102" i="17"/>
  <c r="Q102" i="17"/>
  <c r="O102" i="17"/>
  <c r="N102" i="17"/>
  <c r="M102" i="17"/>
  <c r="L102" i="17"/>
  <c r="AJ102" i="17" s="1"/>
  <c r="K102" i="17"/>
  <c r="AL101" i="17"/>
  <c r="AK101" i="17"/>
  <c r="AI101" i="17"/>
  <c r="AH101" i="17"/>
  <c r="AE101" i="17"/>
  <c r="AC101" i="17"/>
  <c r="AA101" i="17"/>
  <c r="AG101" i="17" s="1"/>
  <c r="Z101" i="17"/>
  <c r="W101" i="17"/>
  <c r="AD101" i="17" s="1"/>
  <c r="V101" i="17"/>
  <c r="U101" i="17"/>
  <c r="AF101" i="17" s="1"/>
  <c r="S101" i="17"/>
  <c r="R101" i="17"/>
  <c r="Q101" i="17"/>
  <c r="O101" i="17"/>
  <c r="N101" i="17"/>
  <c r="M101" i="17"/>
  <c r="L101" i="17"/>
  <c r="AJ101" i="17" s="1"/>
  <c r="K101" i="17"/>
  <c r="AL100" i="17"/>
  <c r="AK100" i="17"/>
  <c r="AI100" i="17"/>
  <c r="AH100" i="17"/>
  <c r="AC100" i="17"/>
  <c r="AE100" i="17" s="1"/>
  <c r="AA100" i="17"/>
  <c r="AG100" i="17" s="1"/>
  <c r="Z100" i="17"/>
  <c r="W100" i="17"/>
  <c r="AD100" i="17" s="1"/>
  <c r="V100" i="17"/>
  <c r="U100" i="17"/>
  <c r="AF100" i="17" s="1"/>
  <c r="S100" i="17"/>
  <c r="R100" i="17"/>
  <c r="Q100" i="17"/>
  <c r="O100" i="17"/>
  <c r="N100" i="17"/>
  <c r="M100" i="17"/>
  <c r="L100" i="17"/>
  <c r="AJ100" i="17" s="1"/>
  <c r="K100" i="17"/>
  <c r="AL99" i="17"/>
  <c r="AK99" i="17"/>
  <c r="AI99" i="17"/>
  <c r="AH99" i="17"/>
  <c r="AE99" i="17"/>
  <c r="AC99" i="17"/>
  <c r="AA99" i="17"/>
  <c r="AG99" i="17" s="1"/>
  <c r="Z99" i="17"/>
  <c r="W99" i="17"/>
  <c r="AD99" i="17" s="1"/>
  <c r="V99" i="17"/>
  <c r="U99" i="17"/>
  <c r="AF99" i="17" s="1"/>
  <c r="S99" i="17"/>
  <c r="R99" i="17"/>
  <c r="Q99" i="17"/>
  <c r="O99" i="17"/>
  <c r="N99" i="17"/>
  <c r="M99" i="17"/>
  <c r="L99" i="17"/>
  <c r="AJ99" i="17" s="1"/>
  <c r="K99" i="17"/>
  <c r="AL98" i="17"/>
  <c r="AK98" i="17"/>
  <c r="AI98" i="17"/>
  <c r="AH98" i="17"/>
  <c r="AG98" i="17"/>
  <c r="AE98" i="17"/>
  <c r="AC98" i="17"/>
  <c r="AA98" i="17"/>
  <c r="Z98" i="17"/>
  <c r="W98" i="17"/>
  <c r="AD98" i="17" s="1"/>
  <c r="V98" i="17"/>
  <c r="U98" i="17"/>
  <c r="AF98" i="17" s="1"/>
  <c r="S98" i="17"/>
  <c r="R98" i="17"/>
  <c r="Q98" i="17"/>
  <c r="O98" i="17"/>
  <c r="N98" i="17"/>
  <c r="M98" i="17"/>
  <c r="L98" i="17"/>
  <c r="AJ98" i="17" s="1"/>
  <c r="K98" i="17"/>
  <c r="AL97" i="17"/>
  <c r="AK97" i="17"/>
  <c r="AI97" i="17"/>
  <c r="AH97" i="17"/>
  <c r="AE97" i="17"/>
  <c r="AC97" i="17"/>
  <c r="AA97" i="17"/>
  <c r="AG97" i="17" s="1"/>
  <c r="Z97" i="17"/>
  <c r="W97" i="17"/>
  <c r="AD97" i="17" s="1"/>
  <c r="V97" i="17"/>
  <c r="U97" i="17"/>
  <c r="AF97" i="17" s="1"/>
  <c r="S97" i="17"/>
  <c r="R97" i="17"/>
  <c r="Q97" i="17"/>
  <c r="O97" i="17"/>
  <c r="N97" i="17"/>
  <c r="M97" i="17"/>
  <c r="L97" i="17"/>
  <c r="AJ97" i="17" s="1"/>
  <c r="K97" i="17"/>
  <c r="AL96" i="17"/>
  <c r="AK96" i="17"/>
  <c r="AI96" i="17"/>
  <c r="AH96" i="17"/>
  <c r="AC96" i="17"/>
  <c r="AE96" i="17" s="1"/>
  <c r="AA96" i="17"/>
  <c r="AG96" i="17" s="1"/>
  <c r="Z96" i="17"/>
  <c r="W96" i="17"/>
  <c r="AD96" i="17" s="1"/>
  <c r="V96" i="17"/>
  <c r="U96" i="17"/>
  <c r="AF96" i="17" s="1"/>
  <c r="S96" i="17"/>
  <c r="R96" i="17"/>
  <c r="Q96" i="17"/>
  <c r="O96" i="17"/>
  <c r="N96" i="17"/>
  <c r="M96" i="17"/>
  <c r="L96" i="17"/>
  <c r="AJ96" i="17" s="1"/>
  <c r="K96" i="17"/>
  <c r="AL95" i="17"/>
  <c r="AK95" i="17"/>
  <c r="AI95" i="17"/>
  <c r="AH95" i="17"/>
  <c r="AE95" i="17"/>
  <c r="AD95" i="17"/>
  <c r="AC95" i="17"/>
  <c r="Z95" i="17"/>
  <c r="AA95" i="17" s="1"/>
  <c r="AG95" i="17" s="1"/>
  <c r="W95" i="17"/>
  <c r="V95" i="17"/>
  <c r="U95" i="17"/>
  <c r="AF95" i="17" s="1"/>
  <c r="S95" i="17"/>
  <c r="R95" i="17"/>
  <c r="Q95" i="17"/>
  <c r="O95" i="17"/>
  <c r="N95" i="17"/>
  <c r="M95" i="17"/>
  <c r="L95" i="17"/>
  <c r="AJ95" i="17" s="1"/>
  <c r="K95" i="17"/>
  <c r="AL94" i="17"/>
  <c r="AK94" i="17"/>
  <c r="AI94" i="17"/>
  <c r="AH94" i="17"/>
  <c r="AC94" i="17"/>
  <c r="AE94" i="17" s="1"/>
  <c r="AA94" i="17"/>
  <c r="AG94" i="17" s="1"/>
  <c r="Z94" i="17"/>
  <c r="W94" i="17"/>
  <c r="AD94" i="17" s="1"/>
  <c r="V94" i="17"/>
  <c r="U94" i="17"/>
  <c r="AF94" i="17" s="1"/>
  <c r="S94" i="17"/>
  <c r="R94" i="17"/>
  <c r="Q94" i="17"/>
  <c r="O94" i="17"/>
  <c r="N94" i="17"/>
  <c r="M94" i="17"/>
  <c r="L94" i="17"/>
  <c r="AJ94" i="17" s="1"/>
  <c r="K94" i="17"/>
  <c r="AL93" i="17"/>
  <c r="AK93" i="17"/>
  <c r="AI93" i="17"/>
  <c r="AH93" i="17"/>
  <c r="AE93" i="17"/>
  <c r="AD93" i="17"/>
  <c r="AC93" i="17"/>
  <c r="Z93" i="17"/>
  <c r="AA93" i="17" s="1"/>
  <c r="AG93" i="17" s="1"/>
  <c r="W93" i="17"/>
  <c r="V93" i="17"/>
  <c r="U93" i="17"/>
  <c r="AF93" i="17" s="1"/>
  <c r="S93" i="17"/>
  <c r="R93" i="17"/>
  <c r="Q93" i="17"/>
  <c r="O93" i="17"/>
  <c r="N93" i="17"/>
  <c r="M93" i="17"/>
  <c r="L93" i="17"/>
  <c r="AJ93" i="17" s="1"/>
  <c r="K93" i="17"/>
  <c r="AL92" i="17"/>
  <c r="AK92" i="17"/>
  <c r="AI92" i="17"/>
  <c r="AH92" i="17"/>
  <c r="AC92" i="17"/>
  <c r="AE92" i="17" s="1"/>
  <c r="AA92" i="17"/>
  <c r="AG92" i="17" s="1"/>
  <c r="Z92" i="17"/>
  <c r="W92" i="17"/>
  <c r="AD92" i="17" s="1"/>
  <c r="V92" i="17"/>
  <c r="U92" i="17"/>
  <c r="AF92" i="17" s="1"/>
  <c r="S92" i="17"/>
  <c r="R92" i="17"/>
  <c r="Q92" i="17"/>
  <c r="O92" i="17"/>
  <c r="N92" i="17"/>
  <c r="M92" i="17"/>
  <c r="L92" i="17"/>
  <c r="AJ92" i="17" s="1"/>
  <c r="K92" i="17"/>
  <c r="AL91" i="17"/>
  <c r="AK91" i="17"/>
  <c r="AI91" i="17"/>
  <c r="AH91" i="17"/>
  <c r="AE91" i="17"/>
  <c r="AD91" i="17"/>
  <c r="AC91" i="17"/>
  <c r="Z91" i="17"/>
  <c r="AA91" i="17" s="1"/>
  <c r="AG91" i="17" s="1"/>
  <c r="W91" i="17"/>
  <c r="V91" i="17"/>
  <c r="U91" i="17"/>
  <c r="AF91" i="17" s="1"/>
  <c r="S91" i="17"/>
  <c r="R91" i="17"/>
  <c r="Q91" i="17"/>
  <c r="O91" i="17"/>
  <c r="N91" i="17"/>
  <c r="M91" i="17"/>
  <c r="L91" i="17"/>
  <c r="AJ91" i="17" s="1"/>
  <c r="K91" i="17"/>
  <c r="AL90" i="17"/>
  <c r="AK90" i="17"/>
  <c r="AI90" i="17"/>
  <c r="AH90" i="17"/>
  <c r="AC90" i="17"/>
  <c r="AE90" i="17" s="1"/>
  <c r="AA90" i="17"/>
  <c r="AG90" i="17" s="1"/>
  <c r="Z90" i="17"/>
  <c r="W90" i="17"/>
  <c r="AD90" i="17" s="1"/>
  <c r="V90" i="17"/>
  <c r="U90" i="17"/>
  <c r="AF90" i="17" s="1"/>
  <c r="S90" i="17"/>
  <c r="R90" i="17"/>
  <c r="Q90" i="17"/>
  <c r="O90" i="17"/>
  <c r="N90" i="17"/>
  <c r="M90" i="17"/>
  <c r="L90" i="17"/>
  <c r="AJ90" i="17" s="1"/>
  <c r="K90" i="17"/>
  <c r="AL89" i="17"/>
  <c r="AK89" i="17"/>
  <c r="AI89" i="17"/>
  <c r="AH89" i="17"/>
  <c r="AE89" i="17"/>
  <c r="AD89" i="17"/>
  <c r="AC89" i="17"/>
  <c r="Z89" i="17"/>
  <c r="AA89" i="17" s="1"/>
  <c r="AG89" i="17" s="1"/>
  <c r="W89" i="17"/>
  <c r="V89" i="17"/>
  <c r="U89" i="17"/>
  <c r="AF89" i="17" s="1"/>
  <c r="S89" i="17"/>
  <c r="R89" i="17"/>
  <c r="Q89" i="17"/>
  <c r="O89" i="17"/>
  <c r="N89" i="17"/>
  <c r="M89" i="17"/>
  <c r="L89" i="17"/>
  <c r="AJ89" i="17" s="1"/>
  <c r="K89" i="17"/>
  <c r="AL88" i="17"/>
  <c r="AK88" i="17"/>
  <c r="AI88" i="17"/>
  <c r="AH88" i="17"/>
  <c r="AC88" i="17"/>
  <c r="AE88" i="17" s="1"/>
  <c r="AA88" i="17"/>
  <c r="AG88" i="17" s="1"/>
  <c r="Z88" i="17"/>
  <c r="W88" i="17"/>
  <c r="AD88" i="17" s="1"/>
  <c r="V88" i="17"/>
  <c r="U88" i="17"/>
  <c r="AF88" i="17" s="1"/>
  <c r="S88" i="17"/>
  <c r="R88" i="17"/>
  <c r="Q88" i="17"/>
  <c r="O88" i="17"/>
  <c r="N88" i="17"/>
  <c r="M88" i="17"/>
  <c r="L88" i="17"/>
  <c r="AJ88" i="17" s="1"/>
  <c r="K88" i="17"/>
  <c r="AL87" i="17"/>
  <c r="AK87" i="17"/>
  <c r="AI87" i="17"/>
  <c r="AH87" i="17"/>
  <c r="AE87" i="17"/>
  <c r="AD87" i="17"/>
  <c r="AC87" i="17"/>
  <c r="Z87" i="17"/>
  <c r="AA87" i="17" s="1"/>
  <c r="AG87" i="17" s="1"/>
  <c r="W87" i="17"/>
  <c r="V87" i="17"/>
  <c r="U87" i="17"/>
  <c r="AF87" i="17" s="1"/>
  <c r="S87" i="17"/>
  <c r="R87" i="17"/>
  <c r="Q87" i="17"/>
  <c r="O87" i="17"/>
  <c r="N87" i="17"/>
  <c r="M87" i="17"/>
  <c r="L87" i="17"/>
  <c r="AJ87" i="17" s="1"/>
  <c r="K87" i="17"/>
  <c r="AL86" i="17"/>
  <c r="AK86" i="17"/>
  <c r="AI86" i="17"/>
  <c r="AH86" i="17"/>
  <c r="AC86" i="17"/>
  <c r="AE86" i="17" s="1"/>
  <c r="AA86" i="17"/>
  <c r="AG86" i="17" s="1"/>
  <c r="Z86" i="17"/>
  <c r="W86" i="17"/>
  <c r="AD86" i="17" s="1"/>
  <c r="V86" i="17"/>
  <c r="U86" i="17"/>
  <c r="AF86" i="17" s="1"/>
  <c r="S86" i="17"/>
  <c r="R86" i="17"/>
  <c r="Q86" i="17"/>
  <c r="O86" i="17"/>
  <c r="N86" i="17"/>
  <c r="M86" i="17"/>
  <c r="L86" i="17"/>
  <c r="AJ86" i="17" s="1"/>
  <c r="K86" i="17"/>
  <c r="AL85" i="17"/>
  <c r="AK85" i="17"/>
  <c r="AI85" i="17"/>
  <c r="AH85" i="17"/>
  <c r="AE85" i="17"/>
  <c r="AD85" i="17"/>
  <c r="AC85" i="17"/>
  <c r="Z85" i="17"/>
  <c r="AA85" i="17" s="1"/>
  <c r="AG85" i="17" s="1"/>
  <c r="W85" i="17"/>
  <c r="V85" i="17"/>
  <c r="U85" i="17"/>
  <c r="AF85" i="17" s="1"/>
  <c r="S85" i="17"/>
  <c r="R85" i="17"/>
  <c r="Q85" i="17"/>
  <c r="O85" i="17"/>
  <c r="N85" i="17"/>
  <c r="M85" i="17"/>
  <c r="L85" i="17"/>
  <c r="AJ85" i="17" s="1"/>
  <c r="K85" i="17"/>
  <c r="AL84" i="17"/>
  <c r="AK84" i="17"/>
  <c r="AI84" i="17"/>
  <c r="AH84" i="17"/>
  <c r="AC84" i="17"/>
  <c r="AE84" i="17" s="1"/>
  <c r="AA84" i="17"/>
  <c r="AG84" i="17" s="1"/>
  <c r="Z84" i="17"/>
  <c r="W84" i="17"/>
  <c r="AD84" i="17" s="1"/>
  <c r="V84" i="17"/>
  <c r="U84" i="17"/>
  <c r="AF84" i="17" s="1"/>
  <c r="S84" i="17"/>
  <c r="R84" i="17"/>
  <c r="Q84" i="17"/>
  <c r="O84" i="17"/>
  <c r="N84" i="17"/>
  <c r="M84" i="17"/>
  <c r="L84" i="17"/>
  <c r="AJ84" i="17" s="1"/>
  <c r="K84" i="17"/>
  <c r="AL83" i="17"/>
  <c r="AK83" i="17"/>
  <c r="AI83" i="17"/>
  <c r="AH83" i="17"/>
  <c r="AE83" i="17"/>
  <c r="AD83" i="17"/>
  <c r="AC83" i="17"/>
  <c r="Z83" i="17"/>
  <c r="AA83" i="17" s="1"/>
  <c r="AG83" i="17" s="1"/>
  <c r="W83" i="17"/>
  <c r="V83" i="17"/>
  <c r="U83" i="17"/>
  <c r="AF83" i="17" s="1"/>
  <c r="S83" i="17"/>
  <c r="R83" i="17"/>
  <c r="Q83" i="17"/>
  <c r="O83" i="17"/>
  <c r="N83" i="17"/>
  <c r="M83" i="17"/>
  <c r="L83" i="17"/>
  <c r="AJ83" i="17" s="1"/>
  <c r="K83" i="17"/>
  <c r="AL82" i="17"/>
  <c r="AK82" i="17"/>
  <c r="AI82" i="17"/>
  <c r="AH82" i="17"/>
  <c r="AC82" i="17"/>
  <c r="AE82" i="17" s="1"/>
  <c r="Z82" i="17"/>
  <c r="AA82" i="17" s="1"/>
  <c r="AG82" i="17" s="1"/>
  <c r="W82" i="17"/>
  <c r="AD82" i="17" s="1"/>
  <c r="V82" i="17"/>
  <c r="U82" i="17"/>
  <c r="AF82" i="17" s="1"/>
  <c r="S82" i="17"/>
  <c r="R82" i="17"/>
  <c r="Q82" i="17"/>
  <c r="O82" i="17"/>
  <c r="N82" i="17"/>
  <c r="M82" i="17"/>
  <c r="L82" i="17"/>
  <c r="AJ82" i="17" s="1"/>
  <c r="K82" i="17"/>
  <c r="AL81" i="17"/>
  <c r="AK81" i="17"/>
  <c r="AI81" i="17"/>
  <c r="AH81" i="17"/>
  <c r="AE81" i="17"/>
  <c r="AC81" i="17"/>
  <c r="Z81" i="17"/>
  <c r="AA81" i="17" s="1"/>
  <c r="AG81" i="17" s="1"/>
  <c r="W81" i="17"/>
  <c r="AD81" i="17" s="1"/>
  <c r="V81" i="17"/>
  <c r="U81" i="17"/>
  <c r="AF81" i="17" s="1"/>
  <c r="S81" i="17"/>
  <c r="R81" i="17"/>
  <c r="Q81" i="17"/>
  <c r="O81" i="17"/>
  <c r="N81" i="17"/>
  <c r="M81" i="17"/>
  <c r="L81" i="17"/>
  <c r="AJ81" i="17" s="1"/>
  <c r="K81" i="17"/>
  <c r="AL80" i="17"/>
  <c r="AK80" i="17"/>
  <c r="AI80" i="17"/>
  <c r="AH80" i="17"/>
  <c r="AC80" i="17"/>
  <c r="AE80" i="17" s="1"/>
  <c r="Z80" i="17"/>
  <c r="AA80" i="17" s="1"/>
  <c r="AG80" i="17" s="1"/>
  <c r="W80" i="17"/>
  <c r="AD80" i="17" s="1"/>
  <c r="V80" i="17"/>
  <c r="U80" i="17"/>
  <c r="AF80" i="17" s="1"/>
  <c r="S80" i="17"/>
  <c r="R80" i="17"/>
  <c r="Q80" i="17"/>
  <c r="O80" i="17"/>
  <c r="N80" i="17"/>
  <c r="M80" i="17"/>
  <c r="L80" i="17"/>
  <c r="AJ80" i="17" s="1"/>
  <c r="K80" i="17"/>
  <c r="AL79" i="17"/>
  <c r="AK79" i="17"/>
  <c r="AI79" i="17"/>
  <c r="AH79" i="17"/>
  <c r="AE79" i="17"/>
  <c r="AC79" i="17"/>
  <c r="Z79" i="17"/>
  <c r="AA79" i="17" s="1"/>
  <c r="AG79" i="17" s="1"/>
  <c r="W79" i="17"/>
  <c r="AD79" i="17" s="1"/>
  <c r="V79" i="17"/>
  <c r="U79" i="17"/>
  <c r="AF79" i="17" s="1"/>
  <c r="S79" i="17"/>
  <c r="R79" i="17"/>
  <c r="Q79" i="17"/>
  <c r="O79" i="17"/>
  <c r="N79" i="17"/>
  <c r="M79" i="17"/>
  <c r="L79" i="17"/>
  <c r="AJ79" i="17" s="1"/>
  <c r="K79" i="17"/>
  <c r="AL78" i="17"/>
  <c r="AK78" i="17"/>
  <c r="AI78" i="17"/>
  <c r="AH78" i="17"/>
  <c r="AC78" i="17"/>
  <c r="AE78" i="17" s="1"/>
  <c r="Z78" i="17"/>
  <c r="AA78" i="17" s="1"/>
  <c r="AG78" i="17" s="1"/>
  <c r="W78" i="17"/>
  <c r="AD78" i="17" s="1"/>
  <c r="V78" i="17"/>
  <c r="U78" i="17"/>
  <c r="AF78" i="17" s="1"/>
  <c r="S78" i="17"/>
  <c r="R78" i="17"/>
  <c r="Q78" i="17"/>
  <c r="O78" i="17"/>
  <c r="N78" i="17"/>
  <c r="M78" i="17"/>
  <c r="L78" i="17"/>
  <c r="AJ78" i="17" s="1"/>
  <c r="K78" i="17"/>
  <c r="AL77" i="17"/>
  <c r="AK77" i="17"/>
  <c r="AI77" i="17"/>
  <c r="AH77" i="17"/>
  <c r="AE77" i="17"/>
  <c r="AC77" i="17"/>
  <c r="Z77" i="17"/>
  <c r="AA77" i="17" s="1"/>
  <c r="AG77" i="17" s="1"/>
  <c r="W77" i="17"/>
  <c r="AD77" i="17" s="1"/>
  <c r="V77" i="17"/>
  <c r="U77" i="17"/>
  <c r="AF77" i="17" s="1"/>
  <c r="S77" i="17"/>
  <c r="R77" i="17"/>
  <c r="Q77" i="17"/>
  <c r="O77" i="17"/>
  <c r="N77" i="17"/>
  <c r="M77" i="17"/>
  <c r="L77" i="17"/>
  <c r="AJ77" i="17" s="1"/>
  <c r="K77" i="17"/>
  <c r="AL76" i="17"/>
  <c r="AK76" i="17"/>
  <c r="AI76" i="17"/>
  <c r="AH76" i="17"/>
  <c r="AC76" i="17"/>
  <c r="AE76" i="17" s="1"/>
  <c r="Z76" i="17"/>
  <c r="AA76" i="17" s="1"/>
  <c r="AG76" i="17" s="1"/>
  <c r="W76" i="17"/>
  <c r="AD76" i="17" s="1"/>
  <c r="V76" i="17"/>
  <c r="U76" i="17"/>
  <c r="AF76" i="17" s="1"/>
  <c r="S76" i="17"/>
  <c r="R76" i="17"/>
  <c r="Q76" i="17"/>
  <c r="O76" i="17"/>
  <c r="N76" i="17"/>
  <c r="M76" i="17"/>
  <c r="L76" i="17"/>
  <c r="AJ76" i="17" s="1"/>
  <c r="K76" i="17"/>
  <c r="AL75" i="17"/>
  <c r="AK75" i="17"/>
  <c r="AI75" i="17"/>
  <c r="AH75" i="17"/>
  <c r="AE75" i="17"/>
  <c r="AC75" i="17"/>
  <c r="Z75" i="17"/>
  <c r="AA75" i="17" s="1"/>
  <c r="AG75" i="17" s="1"/>
  <c r="W75" i="17"/>
  <c r="AD75" i="17" s="1"/>
  <c r="V75" i="17"/>
  <c r="U75" i="17"/>
  <c r="AF75" i="17" s="1"/>
  <c r="S75" i="17"/>
  <c r="R75" i="17"/>
  <c r="Q75" i="17"/>
  <c r="O75" i="17"/>
  <c r="N75" i="17"/>
  <c r="M75" i="17"/>
  <c r="L75" i="17"/>
  <c r="AJ75" i="17" s="1"/>
  <c r="K75" i="17"/>
  <c r="AL74" i="17"/>
  <c r="AK74" i="17"/>
  <c r="AI74" i="17"/>
  <c r="AH74" i="17"/>
  <c r="AC74" i="17"/>
  <c r="AE74" i="17" s="1"/>
  <c r="Z74" i="17"/>
  <c r="AA74" i="17" s="1"/>
  <c r="AG74" i="17" s="1"/>
  <c r="W74" i="17"/>
  <c r="AD74" i="17" s="1"/>
  <c r="V74" i="17"/>
  <c r="U74" i="17"/>
  <c r="AF74" i="17" s="1"/>
  <c r="S74" i="17"/>
  <c r="R74" i="17"/>
  <c r="Q74" i="17"/>
  <c r="O74" i="17"/>
  <c r="N74" i="17"/>
  <c r="M74" i="17"/>
  <c r="L74" i="17"/>
  <c r="AJ74" i="17" s="1"/>
  <c r="K74" i="17"/>
  <c r="AL73" i="17"/>
  <c r="AK73" i="17"/>
  <c r="AI73" i="17"/>
  <c r="AH73" i="17"/>
  <c r="AE73" i="17"/>
  <c r="AC73" i="17"/>
  <c r="Z73" i="17"/>
  <c r="AA73" i="17" s="1"/>
  <c r="AG73" i="17" s="1"/>
  <c r="W73" i="17"/>
  <c r="AD73" i="17" s="1"/>
  <c r="V73" i="17"/>
  <c r="U73" i="17"/>
  <c r="AF73" i="17" s="1"/>
  <c r="S73" i="17"/>
  <c r="R73" i="17"/>
  <c r="Q73" i="17"/>
  <c r="O73" i="17"/>
  <c r="N73" i="17"/>
  <c r="M73" i="17"/>
  <c r="L73" i="17"/>
  <c r="AJ73" i="17" s="1"/>
  <c r="K73" i="17"/>
  <c r="AL72" i="17"/>
  <c r="AK72" i="17"/>
  <c r="AI72" i="17"/>
  <c r="AH72" i="17"/>
  <c r="AC72" i="17"/>
  <c r="AE72" i="17" s="1"/>
  <c r="Z72" i="17"/>
  <c r="AA72" i="17" s="1"/>
  <c r="AG72" i="17" s="1"/>
  <c r="W72" i="17"/>
  <c r="AD72" i="17" s="1"/>
  <c r="V72" i="17"/>
  <c r="U72" i="17"/>
  <c r="AF72" i="17" s="1"/>
  <c r="S72" i="17"/>
  <c r="R72" i="17"/>
  <c r="Q72" i="17"/>
  <c r="O72" i="17"/>
  <c r="N72" i="17"/>
  <c r="M72" i="17"/>
  <c r="L72" i="17"/>
  <c r="AJ72" i="17" s="1"/>
  <c r="K72" i="17"/>
  <c r="AL71" i="17"/>
  <c r="AK71" i="17"/>
  <c r="AI71" i="17"/>
  <c r="AH71" i="17"/>
  <c r="AE71" i="17"/>
  <c r="AC71" i="17"/>
  <c r="Z71" i="17"/>
  <c r="AA71" i="17" s="1"/>
  <c r="AG71" i="17" s="1"/>
  <c r="W71" i="17"/>
  <c r="AD71" i="17" s="1"/>
  <c r="V71" i="17"/>
  <c r="U71" i="17"/>
  <c r="AF71" i="17" s="1"/>
  <c r="S71" i="17"/>
  <c r="R71" i="17"/>
  <c r="Q71" i="17"/>
  <c r="O71" i="17"/>
  <c r="N71" i="17"/>
  <c r="M71" i="17"/>
  <c r="L71" i="17"/>
  <c r="AJ71" i="17" s="1"/>
  <c r="K71" i="17"/>
  <c r="AL70" i="17"/>
  <c r="AK70" i="17"/>
  <c r="AI70" i="17"/>
  <c r="AH70" i="17"/>
  <c r="AC70" i="17"/>
  <c r="AE70" i="17" s="1"/>
  <c r="Z70" i="17"/>
  <c r="AA70" i="17" s="1"/>
  <c r="AG70" i="17" s="1"/>
  <c r="W70" i="17"/>
  <c r="AD70" i="17" s="1"/>
  <c r="V70" i="17"/>
  <c r="U70" i="17"/>
  <c r="AF70" i="17" s="1"/>
  <c r="S70" i="17"/>
  <c r="R70" i="17"/>
  <c r="Q70" i="17"/>
  <c r="O70" i="17"/>
  <c r="N70" i="17"/>
  <c r="M70" i="17"/>
  <c r="L70" i="17"/>
  <c r="AJ70" i="17" s="1"/>
  <c r="K70" i="17"/>
  <c r="AL69" i="17"/>
  <c r="AK69" i="17"/>
  <c r="AI69" i="17"/>
  <c r="AH69" i="17"/>
  <c r="AE69" i="17"/>
  <c r="AC69" i="17"/>
  <c r="Z69" i="17"/>
  <c r="AA69" i="17" s="1"/>
  <c r="AG69" i="17" s="1"/>
  <c r="W69" i="17"/>
  <c r="AD69" i="17" s="1"/>
  <c r="V69" i="17"/>
  <c r="U69" i="17"/>
  <c r="AF69" i="17" s="1"/>
  <c r="S69" i="17"/>
  <c r="R69" i="17"/>
  <c r="Q69" i="17"/>
  <c r="O69" i="17"/>
  <c r="N69" i="17"/>
  <c r="M69" i="17"/>
  <c r="L69" i="17"/>
  <c r="AJ69" i="17" s="1"/>
  <c r="K69" i="17"/>
  <c r="AL68" i="17"/>
  <c r="AK68" i="17"/>
  <c r="AI68" i="17"/>
  <c r="AH68" i="17"/>
  <c r="AC68" i="17"/>
  <c r="AE68" i="17" s="1"/>
  <c r="Z68" i="17"/>
  <c r="AA68" i="17" s="1"/>
  <c r="AG68" i="17" s="1"/>
  <c r="W68" i="17"/>
  <c r="AD68" i="17" s="1"/>
  <c r="V68" i="17"/>
  <c r="U68" i="17"/>
  <c r="AF68" i="17" s="1"/>
  <c r="S68" i="17"/>
  <c r="R68" i="17"/>
  <c r="Q68" i="17"/>
  <c r="O68" i="17"/>
  <c r="N68" i="17"/>
  <c r="M68" i="17"/>
  <c r="L68" i="17"/>
  <c r="AJ68" i="17" s="1"/>
  <c r="K68" i="17"/>
  <c r="AL67" i="17"/>
  <c r="AK67" i="17"/>
  <c r="AI67" i="17"/>
  <c r="AH67" i="17"/>
  <c r="AE67" i="17"/>
  <c r="AC67" i="17"/>
  <c r="Z67" i="17"/>
  <c r="AA67" i="17" s="1"/>
  <c r="AG67" i="17" s="1"/>
  <c r="W67" i="17"/>
  <c r="AD67" i="17" s="1"/>
  <c r="V67" i="17"/>
  <c r="U67" i="17"/>
  <c r="AF67" i="17" s="1"/>
  <c r="S67" i="17"/>
  <c r="R67" i="17"/>
  <c r="Q67" i="17"/>
  <c r="O67" i="17"/>
  <c r="N67" i="17"/>
  <c r="M67" i="17"/>
  <c r="L67" i="17"/>
  <c r="AJ67" i="17" s="1"/>
  <c r="K67" i="17"/>
  <c r="AL66" i="17"/>
  <c r="AK66" i="17"/>
  <c r="AI66" i="17"/>
  <c r="AH66" i="17"/>
  <c r="AC66" i="17"/>
  <c r="AE66" i="17" s="1"/>
  <c r="Z66" i="17"/>
  <c r="AA66" i="17" s="1"/>
  <c r="AG66" i="17" s="1"/>
  <c r="W66" i="17"/>
  <c r="AD66" i="17" s="1"/>
  <c r="V66" i="17"/>
  <c r="U66" i="17"/>
  <c r="AF66" i="17" s="1"/>
  <c r="S66" i="17"/>
  <c r="R66" i="17"/>
  <c r="Q66" i="17"/>
  <c r="O66" i="17"/>
  <c r="N66" i="17"/>
  <c r="M66" i="17"/>
  <c r="L66" i="17"/>
  <c r="AJ66" i="17" s="1"/>
  <c r="K66" i="17"/>
  <c r="AL65" i="17"/>
  <c r="AK65" i="17"/>
  <c r="AI65" i="17"/>
  <c r="AH65" i="17"/>
  <c r="AE65" i="17"/>
  <c r="AC65" i="17"/>
  <c r="Z65" i="17"/>
  <c r="AA65" i="17" s="1"/>
  <c r="AG65" i="17" s="1"/>
  <c r="W65" i="17"/>
  <c r="AD65" i="17" s="1"/>
  <c r="V65" i="17"/>
  <c r="U65" i="17"/>
  <c r="AF65" i="17" s="1"/>
  <c r="S65" i="17"/>
  <c r="R65" i="17"/>
  <c r="Q65" i="17"/>
  <c r="O65" i="17"/>
  <c r="N65" i="17"/>
  <c r="M65" i="17"/>
  <c r="L65" i="17"/>
  <c r="AJ65" i="17" s="1"/>
  <c r="K65" i="17"/>
  <c r="AL64" i="17"/>
  <c r="AK64" i="17"/>
  <c r="AI64" i="17"/>
  <c r="AH64" i="17"/>
  <c r="AC64" i="17"/>
  <c r="AE64" i="17" s="1"/>
  <c r="Z64" i="17"/>
  <c r="AA64" i="17" s="1"/>
  <c r="AG64" i="17" s="1"/>
  <c r="W64" i="17"/>
  <c r="AD64" i="17" s="1"/>
  <c r="V64" i="17"/>
  <c r="U64" i="17"/>
  <c r="AF64" i="17" s="1"/>
  <c r="S64" i="17"/>
  <c r="R64" i="17"/>
  <c r="Q64" i="17"/>
  <c r="O64" i="17"/>
  <c r="N64" i="17"/>
  <c r="M64" i="17"/>
  <c r="L64" i="17"/>
  <c r="AJ64" i="17" s="1"/>
  <c r="K64" i="17"/>
  <c r="AL63" i="17"/>
  <c r="AK63" i="17"/>
  <c r="AI63" i="17"/>
  <c r="AH63" i="17"/>
  <c r="AE63" i="17"/>
  <c r="AC63" i="17"/>
  <c r="Z63" i="17"/>
  <c r="AA63" i="17" s="1"/>
  <c r="AG63" i="17" s="1"/>
  <c r="W63" i="17"/>
  <c r="AD63" i="17" s="1"/>
  <c r="V63" i="17"/>
  <c r="U63" i="17"/>
  <c r="AF63" i="17" s="1"/>
  <c r="S63" i="17"/>
  <c r="R63" i="17"/>
  <c r="Q63" i="17"/>
  <c r="O63" i="17"/>
  <c r="N63" i="17"/>
  <c r="M63" i="17"/>
  <c r="L63" i="17"/>
  <c r="AJ63" i="17" s="1"/>
  <c r="K63" i="17"/>
  <c r="AL62" i="17"/>
  <c r="AK62" i="17"/>
  <c r="AI62" i="17"/>
  <c r="AH62" i="17"/>
  <c r="AC62" i="17"/>
  <c r="AE62" i="17" s="1"/>
  <c r="Z62" i="17"/>
  <c r="AA62" i="17" s="1"/>
  <c r="AG62" i="17" s="1"/>
  <c r="W62" i="17"/>
  <c r="AD62" i="17" s="1"/>
  <c r="V62" i="17"/>
  <c r="U62" i="17"/>
  <c r="AF62" i="17" s="1"/>
  <c r="S62" i="17"/>
  <c r="R62" i="17"/>
  <c r="Q62" i="17"/>
  <c r="O62" i="17"/>
  <c r="N62" i="17"/>
  <c r="M62" i="17"/>
  <c r="L62" i="17"/>
  <c r="AJ62" i="17" s="1"/>
  <c r="K62" i="17"/>
  <c r="AL61" i="17"/>
  <c r="AK61" i="17"/>
  <c r="AI61" i="17"/>
  <c r="AH61" i="17"/>
  <c r="AE61" i="17"/>
  <c r="AC61" i="17"/>
  <c r="Z61" i="17"/>
  <c r="AA61" i="17" s="1"/>
  <c r="AG61" i="17" s="1"/>
  <c r="W61" i="17"/>
  <c r="AD61" i="17" s="1"/>
  <c r="V61" i="17"/>
  <c r="U61" i="17"/>
  <c r="AF61" i="17" s="1"/>
  <c r="S61" i="17"/>
  <c r="R61" i="17"/>
  <c r="Q61" i="17"/>
  <c r="O61" i="17"/>
  <c r="N61" i="17"/>
  <c r="M61" i="17"/>
  <c r="L61" i="17"/>
  <c r="AJ61" i="17" s="1"/>
  <c r="K61" i="17"/>
  <c r="AL60" i="17"/>
  <c r="AK60" i="17"/>
  <c r="AI60" i="17"/>
  <c r="AH60" i="17"/>
  <c r="AC60" i="17"/>
  <c r="AE60" i="17" s="1"/>
  <c r="Z60" i="17"/>
  <c r="AA60" i="17" s="1"/>
  <c r="AG60" i="17" s="1"/>
  <c r="W60" i="17"/>
  <c r="AD60" i="17" s="1"/>
  <c r="V60" i="17"/>
  <c r="U60" i="17"/>
  <c r="AF60" i="17" s="1"/>
  <c r="S60" i="17"/>
  <c r="R60" i="17"/>
  <c r="Q60" i="17"/>
  <c r="O60" i="17"/>
  <c r="N60" i="17"/>
  <c r="M60" i="17"/>
  <c r="L60" i="17"/>
  <c r="AJ60" i="17" s="1"/>
  <c r="K60" i="17"/>
  <c r="AL59" i="17"/>
  <c r="AK59" i="17"/>
  <c r="AI59" i="17"/>
  <c r="AH59" i="17"/>
  <c r="AE59" i="17"/>
  <c r="AC59" i="17"/>
  <c r="Z59" i="17"/>
  <c r="AA59" i="17" s="1"/>
  <c r="AG59" i="17" s="1"/>
  <c r="W59" i="17"/>
  <c r="AD59" i="17" s="1"/>
  <c r="V59" i="17"/>
  <c r="U59" i="17"/>
  <c r="AF59" i="17" s="1"/>
  <c r="S59" i="17"/>
  <c r="R59" i="17"/>
  <c r="Q59" i="17"/>
  <c r="O59" i="17"/>
  <c r="N59" i="17"/>
  <c r="M59" i="17"/>
  <c r="L59" i="17"/>
  <c r="AJ59" i="17" s="1"/>
  <c r="K59" i="17"/>
  <c r="AL58" i="17"/>
  <c r="AK58" i="17"/>
  <c r="AI58" i="17"/>
  <c r="AH58" i="17"/>
  <c r="AC58" i="17"/>
  <c r="AE58" i="17" s="1"/>
  <c r="Z58" i="17"/>
  <c r="AA58" i="17" s="1"/>
  <c r="AG58" i="17" s="1"/>
  <c r="W58" i="17"/>
  <c r="AD58" i="17" s="1"/>
  <c r="V58" i="17"/>
  <c r="U58" i="17"/>
  <c r="AF58" i="17" s="1"/>
  <c r="S58" i="17"/>
  <c r="R58" i="17"/>
  <c r="Q58" i="17"/>
  <c r="O58" i="17"/>
  <c r="N58" i="17"/>
  <c r="M58" i="17"/>
  <c r="L58" i="17"/>
  <c r="AJ58" i="17" s="1"/>
  <c r="K58" i="17"/>
  <c r="AL57" i="17"/>
  <c r="AK57" i="17"/>
  <c r="AI57" i="17"/>
  <c r="AH57" i="17"/>
  <c r="AE57" i="17"/>
  <c r="AC57" i="17"/>
  <c r="Z57" i="17"/>
  <c r="AA57" i="17" s="1"/>
  <c r="AG57" i="17" s="1"/>
  <c r="W57" i="17"/>
  <c r="AD57" i="17" s="1"/>
  <c r="V57" i="17"/>
  <c r="U57" i="17"/>
  <c r="AF57" i="17" s="1"/>
  <c r="S57" i="17"/>
  <c r="R57" i="17"/>
  <c r="Q57" i="17"/>
  <c r="O57" i="17"/>
  <c r="N57" i="17"/>
  <c r="M57" i="17"/>
  <c r="L57" i="17"/>
  <c r="AJ57" i="17" s="1"/>
  <c r="K57" i="17"/>
  <c r="AL56" i="17"/>
  <c r="AK56" i="17"/>
  <c r="AI56" i="17"/>
  <c r="AH56" i="17"/>
  <c r="AC56" i="17"/>
  <c r="AE56" i="17" s="1"/>
  <c r="Z56" i="17"/>
  <c r="AA56" i="17" s="1"/>
  <c r="AG56" i="17" s="1"/>
  <c r="W56" i="17"/>
  <c r="AD56" i="17" s="1"/>
  <c r="V56" i="17"/>
  <c r="U56" i="17"/>
  <c r="AF56" i="17" s="1"/>
  <c r="S56" i="17"/>
  <c r="R56" i="17"/>
  <c r="Q56" i="17"/>
  <c r="O56" i="17"/>
  <c r="N56" i="17"/>
  <c r="M56" i="17"/>
  <c r="L56" i="17"/>
  <c r="AJ56" i="17" s="1"/>
  <c r="K56" i="17"/>
  <c r="AL55" i="17"/>
  <c r="AK55" i="17"/>
  <c r="AI55" i="17"/>
  <c r="AH55" i="17"/>
  <c r="AE55" i="17"/>
  <c r="AC55" i="17"/>
  <c r="Z55" i="17"/>
  <c r="AA55" i="17" s="1"/>
  <c r="AG55" i="17" s="1"/>
  <c r="W55" i="17"/>
  <c r="AD55" i="17" s="1"/>
  <c r="V55" i="17"/>
  <c r="U55" i="17"/>
  <c r="AF55" i="17" s="1"/>
  <c r="S55" i="17"/>
  <c r="R55" i="17"/>
  <c r="Q55" i="17"/>
  <c r="O55" i="17"/>
  <c r="N55" i="17"/>
  <c r="M55" i="17"/>
  <c r="L55" i="17"/>
  <c r="AJ55" i="17" s="1"/>
  <c r="K55" i="17"/>
  <c r="AL54" i="17"/>
  <c r="AK54" i="17"/>
  <c r="AI54" i="17"/>
  <c r="AH54" i="17"/>
  <c r="AC54" i="17"/>
  <c r="AE54" i="17" s="1"/>
  <c r="Z54" i="17"/>
  <c r="AA54" i="17" s="1"/>
  <c r="AG54" i="17" s="1"/>
  <c r="W54" i="17"/>
  <c r="AD54" i="17" s="1"/>
  <c r="V54" i="17"/>
  <c r="U54" i="17"/>
  <c r="AF54" i="17" s="1"/>
  <c r="S54" i="17"/>
  <c r="R54" i="17"/>
  <c r="Q54" i="17"/>
  <c r="O54" i="17"/>
  <c r="N54" i="17"/>
  <c r="M54" i="17"/>
  <c r="L54" i="17"/>
  <c r="AJ54" i="17" s="1"/>
  <c r="K54" i="17"/>
  <c r="AL53" i="17"/>
  <c r="AK53" i="17"/>
  <c r="AI53" i="17"/>
  <c r="AH53" i="17"/>
  <c r="AE53" i="17"/>
  <c r="AC53" i="17"/>
  <c r="Z53" i="17"/>
  <c r="AA53" i="17" s="1"/>
  <c r="AG53" i="17" s="1"/>
  <c r="W53" i="17"/>
  <c r="AD53" i="17" s="1"/>
  <c r="V53" i="17"/>
  <c r="U53" i="17"/>
  <c r="AF53" i="17" s="1"/>
  <c r="S53" i="17"/>
  <c r="R53" i="17"/>
  <c r="Q53" i="17"/>
  <c r="O53" i="17"/>
  <c r="N53" i="17"/>
  <c r="M53" i="17"/>
  <c r="L53" i="17"/>
  <c r="AJ53" i="17" s="1"/>
  <c r="K53" i="17"/>
  <c r="AL52" i="17"/>
  <c r="AK52" i="17"/>
  <c r="AI52" i="17"/>
  <c r="AH52" i="17"/>
  <c r="AC52" i="17"/>
  <c r="AE52" i="17" s="1"/>
  <c r="Z52" i="17"/>
  <c r="AA52" i="17" s="1"/>
  <c r="AG52" i="17" s="1"/>
  <c r="W52" i="17"/>
  <c r="AD52" i="17" s="1"/>
  <c r="V52" i="17"/>
  <c r="U52" i="17"/>
  <c r="AF52" i="17" s="1"/>
  <c r="S52" i="17"/>
  <c r="R52" i="17"/>
  <c r="Q52" i="17"/>
  <c r="O52" i="17"/>
  <c r="N52" i="17"/>
  <c r="M52" i="17"/>
  <c r="L52" i="17"/>
  <c r="AJ52" i="17" s="1"/>
  <c r="K52" i="17"/>
  <c r="AL51" i="17"/>
  <c r="AK51" i="17"/>
  <c r="AI51" i="17"/>
  <c r="AH51" i="17"/>
  <c r="AE51" i="17"/>
  <c r="AC51" i="17"/>
  <c r="Z51" i="17"/>
  <c r="AA51" i="17" s="1"/>
  <c r="AG51" i="17" s="1"/>
  <c r="W51" i="17"/>
  <c r="AD51" i="17" s="1"/>
  <c r="V51" i="17"/>
  <c r="U51" i="17"/>
  <c r="AF51" i="17" s="1"/>
  <c r="S51" i="17"/>
  <c r="R51" i="17"/>
  <c r="Q51" i="17"/>
  <c r="O51" i="17"/>
  <c r="N51" i="17"/>
  <c r="M51" i="17"/>
  <c r="L51" i="17"/>
  <c r="AJ51" i="17" s="1"/>
  <c r="K51" i="17"/>
  <c r="AL50" i="17"/>
  <c r="AK50" i="17"/>
  <c r="AI50" i="17"/>
  <c r="AH50" i="17"/>
  <c r="AC50" i="17"/>
  <c r="AE50" i="17" s="1"/>
  <c r="Z50" i="17"/>
  <c r="AA50" i="17" s="1"/>
  <c r="AG50" i="17" s="1"/>
  <c r="W50" i="17"/>
  <c r="AD50" i="17" s="1"/>
  <c r="V50" i="17"/>
  <c r="U50" i="17"/>
  <c r="AF50" i="17" s="1"/>
  <c r="S50" i="17"/>
  <c r="R50" i="17"/>
  <c r="Q50" i="17"/>
  <c r="O50" i="17"/>
  <c r="N50" i="17"/>
  <c r="M50" i="17"/>
  <c r="L50" i="17"/>
  <c r="AJ50" i="17" s="1"/>
  <c r="K50" i="17"/>
  <c r="AL49" i="17"/>
  <c r="AK49" i="17"/>
  <c r="AI49" i="17"/>
  <c r="AH49" i="17"/>
  <c r="AE49" i="17"/>
  <c r="AC49" i="17"/>
  <c r="Z49" i="17"/>
  <c r="AA49" i="17" s="1"/>
  <c r="AG49" i="17" s="1"/>
  <c r="W49" i="17"/>
  <c r="AD49" i="17" s="1"/>
  <c r="V49" i="17"/>
  <c r="U49" i="17"/>
  <c r="AF49" i="17" s="1"/>
  <c r="S49" i="17"/>
  <c r="R49" i="17"/>
  <c r="Q49" i="17"/>
  <c r="O49" i="17"/>
  <c r="N49" i="17"/>
  <c r="M49" i="17"/>
  <c r="L49" i="17"/>
  <c r="AJ49" i="17" s="1"/>
  <c r="K49" i="17"/>
  <c r="AL48" i="17"/>
  <c r="AK48" i="17"/>
  <c r="AI48" i="17"/>
  <c r="AH48" i="17"/>
  <c r="AC48" i="17"/>
  <c r="AE48" i="17" s="1"/>
  <c r="Z48" i="17"/>
  <c r="AA48" i="17" s="1"/>
  <c r="AG48" i="17" s="1"/>
  <c r="W48" i="17"/>
  <c r="AD48" i="17" s="1"/>
  <c r="V48" i="17"/>
  <c r="U48" i="17"/>
  <c r="AF48" i="17" s="1"/>
  <c r="S48" i="17"/>
  <c r="R48" i="17"/>
  <c r="Q48" i="17"/>
  <c r="O48" i="17"/>
  <c r="N48" i="17"/>
  <c r="M48" i="17"/>
  <c r="L48" i="17"/>
  <c r="AJ48" i="17" s="1"/>
  <c r="K48" i="17"/>
  <c r="AL47" i="17"/>
  <c r="AK47" i="17"/>
  <c r="AI47" i="17"/>
  <c r="AH47" i="17"/>
  <c r="AE47" i="17"/>
  <c r="AC47" i="17"/>
  <c r="Z47" i="17"/>
  <c r="AA47" i="17" s="1"/>
  <c r="AG47" i="17" s="1"/>
  <c r="W47" i="17"/>
  <c r="AD47" i="17" s="1"/>
  <c r="V47" i="17"/>
  <c r="U47" i="17"/>
  <c r="AF47" i="17" s="1"/>
  <c r="S47" i="17"/>
  <c r="R47" i="17"/>
  <c r="Q47" i="17"/>
  <c r="O47" i="17"/>
  <c r="N47" i="17"/>
  <c r="M47" i="17"/>
  <c r="L47" i="17"/>
  <c r="AJ47" i="17" s="1"/>
  <c r="K47" i="17"/>
  <c r="AL46" i="17"/>
  <c r="AK46" i="17"/>
  <c r="AI46" i="17"/>
  <c r="AH46" i="17"/>
  <c r="AC46" i="17"/>
  <c r="AE46" i="17" s="1"/>
  <c r="Z46" i="17"/>
  <c r="AA46" i="17" s="1"/>
  <c r="AG46" i="17" s="1"/>
  <c r="W46" i="17"/>
  <c r="AD46" i="17" s="1"/>
  <c r="V46" i="17"/>
  <c r="U46" i="17"/>
  <c r="AF46" i="17" s="1"/>
  <c r="S46" i="17"/>
  <c r="R46" i="17"/>
  <c r="Q46" i="17"/>
  <c r="O46" i="17"/>
  <c r="N46" i="17"/>
  <c r="M46" i="17"/>
  <c r="L46" i="17"/>
  <c r="AJ46" i="17" s="1"/>
  <c r="K46" i="17"/>
  <c r="AL45" i="17"/>
  <c r="AK45" i="17"/>
  <c r="AI45" i="17"/>
  <c r="AH45" i="17"/>
  <c r="AE45" i="17"/>
  <c r="AC45" i="17"/>
  <c r="Z45" i="17"/>
  <c r="AA45" i="17" s="1"/>
  <c r="AG45" i="17" s="1"/>
  <c r="W45" i="17"/>
  <c r="AD45" i="17" s="1"/>
  <c r="V45" i="17"/>
  <c r="U45" i="17"/>
  <c r="AF45" i="17" s="1"/>
  <c r="S45" i="17"/>
  <c r="R45" i="17"/>
  <c r="Q45" i="17"/>
  <c r="O45" i="17"/>
  <c r="N45" i="17"/>
  <c r="M45" i="17"/>
  <c r="L45" i="17"/>
  <c r="AJ45" i="17" s="1"/>
  <c r="K45" i="17"/>
  <c r="AL44" i="17"/>
  <c r="AK44" i="17"/>
  <c r="AI44" i="17"/>
  <c r="AH44" i="17"/>
  <c r="AC44" i="17"/>
  <c r="AE44" i="17" s="1"/>
  <c r="Z44" i="17"/>
  <c r="AA44" i="17" s="1"/>
  <c r="AG44" i="17" s="1"/>
  <c r="W44" i="17"/>
  <c r="AD44" i="17" s="1"/>
  <c r="V44" i="17"/>
  <c r="U44" i="17"/>
  <c r="AF44" i="17" s="1"/>
  <c r="S44" i="17"/>
  <c r="R44" i="17"/>
  <c r="Q44" i="17"/>
  <c r="O44" i="17"/>
  <c r="N44" i="17"/>
  <c r="M44" i="17"/>
  <c r="L44" i="17"/>
  <c r="AJ44" i="17" s="1"/>
  <c r="K44" i="17"/>
  <c r="AL43" i="17"/>
  <c r="AK43" i="17"/>
  <c r="AI43" i="17"/>
  <c r="AH43" i="17"/>
  <c r="AE43" i="17"/>
  <c r="AC43" i="17"/>
  <c r="Z43" i="17"/>
  <c r="AA43" i="17" s="1"/>
  <c r="AG43" i="17" s="1"/>
  <c r="W43" i="17"/>
  <c r="AD43" i="17" s="1"/>
  <c r="V43" i="17"/>
  <c r="U43" i="17"/>
  <c r="AF43" i="17" s="1"/>
  <c r="S43" i="17"/>
  <c r="R43" i="17"/>
  <c r="Q43" i="17"/>
  <c r="O43" i="17"/>
  <c r="N43" i="17"/>
  <c r="M43" i="17"/>
  <c r="L43" i="17"/>
  <c r="AJ43" i="17" s="1"/>
  <c r="K43" i="17"/>
  <c r="AL42" i="17"/>
  <c r="AK42" i="17"/>
  <c r="AI42" i="17"/>
  <c r="AH42" i="17"/>
  <c r="AC42" i="17"/>
  <c r="AE42" i="17" s="1"/>
  <c r="Z42" i="17"/>
  <c r="AA42" i="17" s="1"/>
  <c r="AG42" i="17" s="1"/>
  <c r="W42" i="17"/>
  <c r="AD42" i="17" s="1"/>
  <c r="V42" i="17"/>
  <c r="U42" i="17"/>
  <c r="AF42" i="17" s="1"/>
  <c r="S42" i="17"/>
  <c r="R42" i="17"/>
  <c r="Q42" i="17"/>
  <c r="O42" i="17"/>
  <c r="N42" i="17"/>
  <c r="M42" i="17"/>
  <c r="L42" i="17"/>
  <c r="AJ42" i="17" s="1"/>
  <c r="K42" i="17"/>
  <c r="AL41" i="17"/>
  <c r="AK41" i="17"/>
  <c r="AI41" i="17"/>
  <c r="AH41" i="17"/>
  <c r="AE41" i="17"/>
  <c r="AC41" i="17"/>
  <c r="Z41" i="17"/>
  <c r="AA41" i="17" s="1"/>
  <c r="AG41" i="17" s="1"/>
  <c r="W41" i="17"/>
  <c r="AD41" i="17" s="1"/>
  <c r="V41" i="17"/>
  <c r="U41" i="17"/>
  <c r="AF41" i="17" s="1"/>
  <c r="S41" i="17"/>
  <c r="R41" i="17"/>
  <c r="Q41" i="17"/>
  <c r="O41" i="17"/>
  <c r="N41" i="17"/>
  <c r="M41" i="17"/>
  <c r="L41" i="17"/>
  <c r="AJ41" i="17" s="1"/>
  <c r="K41" i="17"/>
  <c r="AL40" i="17"/>
  <c r="AK40" i="17"/>
  <c r="AI40" i="17"/>
  <c r="AH40" i="17"/>
  <c r="AC40" i="17"/>
  <c r="AE40" i="17" s="1"/>
  <c r="Z40" i="17"/>
  <c r="AA40" i="17" s="1"/>
  <c r="AG40" i="17" s="1"/>
  <c r="W40" i="17"/>
  <c r="AD40" i="17" s="1"/>
  <c r="V40" i="17"/>
  <c r="U40" i="17"/>
  <c r="AF40" i="17" s="1"/>
  <c r="S40" i="17"/>
  <c r="R40" i="17"/>
  <c r="Q40" i="17"/>
  <c r="O40" i="17"/>
  <c r="N40" i="17"/>
  <c r="M40" i="17"/>
  <c r="L40" i="17"/>
  <c r="AJ40" i="17" s="1"/>
  <c r="K40" i="17"/>
  <c r="AL39" i="17"/>
  <c r="AK39" i="17"/>
  <c r="AI39" i="17"/>
  <c r="AH39" i="17"/>
  <c r="AE39" i="17"/>
  <c r="AC39" i="17"/>
  <c r="Z39" i="17"/>
  <c r="AA39" i="17" s="1"/>
  <c r="AG39" i="17" s="1"/>
  <c r="W39" i="17"/>
  <c r="AD39" i="17" s="1"/>
  <c r="V39" i="17"/>
  <c r="U39" i="17"/>
  <c r="AF39" i="17" s="1"/>
  <c r="S39" i="17"/>
  <c r="R39" i="17"/>
  <c r="Q39" i="17"/>
  <c r="O39" i="17"/>
  <c r="N39" i="17"/>
  <c r="M39" i="17"/>
  <c r="L39" i="17"/>
  <c r="AJ39" i="17" s="1"/>
  <c r="K39" i="17"/>
  <c r="AL38" i="17"/>
  <c r="AK38" i="17"/>
  <c r="AI38" i="17"/>
  <c r="AH38" i="17"/>
  <c r="AC38" i="17"/>
  <c r="AE38" i="17" s="1"/>
  <c r="Z38" i="17"/>
  <c r="AA38" i="17" s="1"/>
  <c r="AG38" i="17" s="1"/>
  <c r="W38" i="17"/>
  <c r="AD38" i="17" s="1"/>
  <c r="V38" i="17"/>
  <c r="U38" i="17"/>
  <c r="AF38" i="17" s="1"/>
  <c r="S38" i="17"/>
  <c r="R38" i="17"/>
  <c r="Q38" i="17"/>
  <c r="O38" i="17"/>
  <c r="N38" i="17"/>
  <c r="M38" i="17"/>
  <c r="L38" i="17"/>
  <c r="AJ38" i="17" s="1"/>
  <c r="K38" i="17"/>
  <c r="AL37" i="17"/>
  <c r="AK37" i="17"/>
  <c r="AI37" i="17"/>
  <c r="AH37" i="17"/>
  <c r="AE37" i="17"/>
  <c r="AC37" i="17"/>
  <c r="Z37" i="17"/>
  <c r="AA37" i="17" s="1"/>
  <c r="AG37" i="17" s="1"/>
  <c r="W37" i="17"/>
  <c r="AD37" i="17" s="1"/>
  <c r="V37" i="17"/>
  <c r="U37" i="17"/>
  <c r="AF37" i="17" s="1"/>
  <c r="S37" i="17"/>
  <c r="R37" i="17"/>
  <c r="Q37" i="17"/>
  <c r="O37" i="17"/>
  <c r="N37" i="17"/>
  <c r="M37" i="17"/>
  <c r="L37" i="17"/>
  <c r="AJ37" i="17" s="1"/>
  <c r="K37" i="17"/>
  <c r="AL36" i="17"/>
  <c r="AK36" i="17"/>
  <c r="AI36" i="17"/>
  <c r="AH36" i="17"/>
  <c r="AC36" i="17"/>
  <c r="AE36" i="17" s="1"/>
  <c r="Z36" i="17"/>
  <c r="AA36" i="17" s="1"/>
  <c r="AG36" i="17" s="1"/>
  <c r="W36" i="17"/>
  <c r="AD36" i="17" s="1"/>
  <c r="V36" i="17"/>
  <c r="U36" i="17"/>
  <c r="AF36" i="17" s="1"/>
  <c r="S36" i="17"/>
  <c r="R36" i="17"/>
  <c r="Q36" i="17"/>
  <c r="O36" i="17"/>
  <c r="N36" i="17"/>
  <c r="M36" i="17"/>
  <c r="L36" i="17"/>
  <c r="AJ36" i="17" s="1"/>
  <c r="K36" i="17"/>
  <c r="AL35" i="17"/>
  <c r="AK35" i="17"/>
  <c r="AI35" i="17"/>
  <c r="AH35" i="17"/>
  <c r="AE35" i="17"/>
  <c r="AC35" i="17"/>
  <c r="Z35" i="17"/>
  <c r="AA35" i="17" s="1"/>
  <c r="AG35" i="17" s="1"/>
  <c r="W35" i="17"/>
  <c r="AD35" i="17" s="1"/>
  <c r="V35" i="17"/>
  <c r="U35" i="17"/>
  <c r="AF35" i="17" s="1"/>
  <c r="S35" i="17"/>
  <c r="R35" i="17"/>
  <c r="Q35" i="17"/>
  <c r="O35" i="17"/>
  <c r="N35" i="17"/>
  <c r="M35" i="17"/>
  <c r="L35" i="17"/>
  <c r="AJ35" i="17" s="1"/>
  <c r="K35" i="17"/>
  <c r="AL34" i="17"/>
  <c r="AK34" i="17"/>
  <c r="AI34" i="17"/>
  <c r="AH34" i="17"/>
  <c r="AC34" i="17"/>
  <c r="AE34" i="17" s="1"/>
  <c r="Z34" i="17"/>
  <c r="AA34" i="17" s="1"/>
  <c r="AG34" i="17" s="1"/>
  <c r="W34" i="17"/>
  <c r="AD34" i="17" s="1"/>
  <c r="V34" i="17"/>
  <c r="U34" i="17"/>
  <c r="AF34" i="17" s="1"/>
  <c r="S34" i="17"/>
  <c r="R34" i="17"/>
  <c r="Q34" i="17"/>
  <c r="O34" i="17"/>
  <c r="N34" i="17"/>
  <c r="M34" i="17"/>
  <c r="L34" i="17"/>
  <c r="AJ34" i="17" s="1"/>
  <c r="K34" i="17"/>
  <c r="AL33" i="17"/>
  <c r="AK33" i="17"/>
  <c r="AI33" i="17"/>
  <c r="AH33" i="17"/>
  <c r="AE33" i="17"/>
  <c r="AC33" i="17"/>
  <c r="Z33" i="17"/>
  <c r="AA33" i="17" s="1"/>
  <c r="AG33" i="17" s="1"/>
  <c r="W33" i="17"/>
  <c r="AD33" i="17" s="1"/>
  <c r="V33" i="17"/>
  <c r="U33" i="17"/>
  <c r="AF33" i="17" s="1"/>
  <c r="S33" i="17"/>
  <c r="R33" i="17"/>
  <c r="Q33" i="17"/>
  <c r="O33" i="17"/>
  <c r="N33" i="17"/>
  <c r="M33" i="17"/>
  <c r="L33" i="17"/>
  <c r="AJ33" i="17" s="1"/>
  <c r="K33" i="17"/>
  <c r="AL32" i="17"/>
  <c r="AK32" i="17"/>
  <c r="AI32" i="17"/>
  <c r="AH32" i="17"/>
  <c r="AC32" i="17"/>
  <c r="AE32" i="17" s="1"/>
  <c r="Z32" i="17"/>
  <c r="AA32" i="17" s="1"/>
  <c r="AG32" i="17" s="1"/>
  <c r="W32" i="17"/>
  <c r="AD32" i="17" s="1"/>
  <c r="V32" i="17"/>
  <c r="U32" i="17"/>
  <c r="AF32" i="17" s="1"/>
  <c r="S32" i="17"/>
  <c r="R32" i="17"/>
  <c r="Q32" i="17"/>
  <c r="O32" i="17"/>
  <c r="N32" i="17"/>
  <c r="M32" i="17"/>
  <c r="L32" i="17"/>
  <c r="AJ32" i="17" s="1"/>
  <c r="K32" i="17"/>
  <c r="AL31" i="17"/>
  <c r="AK31" i="17"/>
  <c r="AI31" i="17"/>
  <c r="AH31" i="17"/>
  <c r="AE31" i="17"/>
  <c r="AC31" i="17"/>
  <c r="Z31" i="17"/>
  <c r="AA31" i="17" s="1"/>
  <c r="AG31" i="17" s="1"/>
  <c r="W31" i="17"/>
  <c r="AD31" i="17" s="1"/>
  <c r="V31" i="17"/>
  <c r="U31" i="17"/>
  <c r="AF31" i="17" s="1"/>
  <c r="S31" i="17"/>
  <c r="R31" i="17"/>
  <c r="Q31" i="17"/>
  <c r="O31" i="17"/>
  <c r="N31" i="17"/>
  <c r="M31" i="17"/>
  <c r="L31" i="17"/>
  <c r="AJ31" i="17" s="1"/>
  <c r="K31" i="17"/>
  <c r="AL30" i="17"/>
  <c r="AK30" i="17"/>
  <c r="AI30" i="17"/>
  <c r="AH30" i="17"/>
  <c r="AC30" i="17"/>
  <c r="AE30" i="17" s="1"/>
  <c r="Z30" i="17"/>
  <c r="AA30" i="17" s="1"/>
  <c r="AG30" i="17" s="1"/>
  <c r="W30" i="17"/>
  <c r="AD30" i="17" s="1"/>
  <c r="V30" i="17"/>
  <c r="U30" i="17"/>
  <c r="AF30" i="17" s="1"/>
  <c r="S30" i="17"/>
  <c r="R30" i="17"/>
  <c r="Q30" i="17"/>
  <c r="O30" i="17"/>
  <c r="N30" i="17"/>
  <c r="M30" i="17"/>
  <c r="L30" i="17"/>
  <c r="AJ30" i="17" s="1"/>
  <c r="K30" i="17"/>
  <c r="AL29" i="17"/>
  <c r="AK29" i="17"/>
  <c r="AI29" i="17"/>
  <c r="AH29" i="17"/>
  <c r="AE29" i="17"/>
  <c r="AC29" i="17"/>
  <c r="Z29" i="17"/>
  <c r="AA29" i="17" s="1"/>
  <c r="AG29" i="17" s="1"/>
  <c r="W29" i="17"/>
  <c r="AD29" i="17" s="1"/>
  <c r="V29" i="17"/>
  <c r="U29" i="17"/>
  <c r="AF29" i="17" s="1"/>
  <c r="S29" i="17"/>
  <c r="R29" i="17"/>
  <c r="Q29" i="17"/>
  <c r="O29" i="17"/>
  <c r="N29" i="17"/>
  <c r="M29" i="17"/>
  <c r="L29" i="17"/>
  <c r="AJ29" i="17" s="1"/>
  <c r="K29" i="17"/>
  <c r="AL28" i="17"/>
  <c r="AK28" i="17"/>
  <c r="AI28" i="17"/>
  <c r="AH28" i="17"/>
  <c r="AC28" i="17"/>
  <c r="AE28" i="17" s="1"/>
  <c r="Z28" i="17"/>
  <c r="AA28" i="17" s="1"/>
  <c r="AG28" i="17" s="1"/>
  <c r="W28" i="17"/>
  <c r="AD28" i="17" s="1"/>
  <c r="V28" i="17"/>
  <c r="U28" i="17"/>
  <c r="AF28" i="17" s="1"/>
  <c r="S28" i="17"/>
  <c r="R28" i="17"/>
  <c r="Q28" i="17"/>
  <c r="O28" i="17"/>
  <c r="N28" i="17"/>
  <c r="M28" i="17"/>
  <c r="L28" i="17"/>
  <c r="AJ28" i="17" s="1"/>
  <c r="K28" i="17"/>
  <c r="AL27" i="17"/>
  <c r="AK27" i="17"/>
  <c r="AI27" i="17"/>
  <c r="AH27" i="17"/>
  <c r="AE27" i="17"/>
  <c r="AC27" i="17"/>
  <c r="Z27" i="17"/>
  <c r="AA27" i="17" s="1"/>
  <c r="AG27" i="17" s="1"/>
  <c r="W27" i="17"/>
  <c r="AD27" i="17" s="1"/>
  <c r="V27" i="17"/>
  <c r="U27" i="17"/>
  <c r="AF27" i="17" s="1"/>
  <c r="S27" i="17"/>
  <c r="R27" i="17"/>
  <c r="Q27" i="17"/>
  <c r="O27" i="17"/>
  <c r="N27" i="17"/>
  <c r="M27" i="17"/>
  <c r="L27" i="17"/>
  <c r="AJ27" i="17" s="1"/>
  <c r="K27" i="17"/>
  <c r="AL26" i="17"/>
  <c r="AK26" i="17"/>
  <c r="AI26" i="17"/>
  <c r="AH26" i="17"/>
  <c r="AC26" i="17"/>
  <c r="AE26" i="17" s="1"/>
  <c r="Z26" i="17"/>
  <c r="AA26" i="17" s="1"/>
  <c r="AG26" i="17" s="1"/>
  <c r="W26" i="17"/>
  <c r="AD26" i="17" s="1"/>
  <c r="V26" i="17"/>
  <c r="U26" i="17"/>
  <c r="AF26" i="17" s="1"/>
  <c r="S26" i="17"/>
  <c r="R26" i="17"/>
  <c r="Q26" i="17"/>
  <c r="O26" i="17"/>
  <c r="N26" i="17"/>
  <c r="M26" i="17"/>
  <c r="L26" i="17"/>
  <c r="AJ26" i="17" s="1"/>
  <c r="K26" i="17"/>
  <c r="AL25" i="17"/>
  <c r="AK25" i="17"/>
  <c r="AI25" i="17"/>
  <c r="AH25" i="17"/>
  <c r="AE25" i="17"/>
  <c r="AC25" i="17"/>
  <c r="Z25" i="17"/>
  <c r="AA25" i="17" s="1"/>
  <c r="AG25" i="17" s="1"/>
  <c r="W25" i="17"/>
  <c r="AD25" i="17" s="1"/>
  <c r="V25" i="17"/>
  <c r="U25" i="17"/>
  <c r="AF25" i="17" s="1"/>
  <c r="S25" i="17"/>
  <c r="R25" i="17"/>
  <c r="Q25" i="17"/>
  <c r="O25" i="17"/>
  <c r="N25" i="17"/>
  <c r="M25" i="17"/>
  <c r="L25" i="17"/>
  <c r="AJ25" i="17" s="1"/>
  <c r="K25" i="17"/>
  <c r="AL24" i="17"/>
  <c r="AK24" i="17"/>
  <c r="AI24" i="17"/>
  <c r="AH24" i="17"/>
  <c r="AC24" i="17"/>
  <c r="AE24" i="17" s="1"/>
  <c r="Z24" i="17"/>
  <c r="AA24" i="17" s="1"/>
  <c r="AG24" i="17" s="1"/>
  <c r="W24" i="17"/>
  <c r="AD24" i="17" s="1"/>
  <c r="V24" i="17"/>
  <c r="U24" i="17"/>
  <c r="AF24" i="17" s="1"/>
  <c r="S24" i="17"/>
  <c r="R24" i="17"/>
  <c r="Q24" i="17"/>
  <c r="O24" i="17"/>
  <c r="N24" i="17"/>
  <c r="M24" i="17"/>
  <c r="L24" i="17"/>
  <c r="AJ24" i="17" s="1"/>
  <c r="K24" i="17"/>
  <c r="AL23" i="17"/>
  <c r="AK23" i="17"/>
  <c r="AI23" i="17"/>
  <c r="AH23" i="17"/>
  <c r="AE23" i="17"/>
  <c r="AC23" i="17"/>
  <c r="Z23" i="17"/>
  <c r="AA23" i="17" s="1"/>
  <c r="AG23" i="17" s="1"/>
  <c r="W23" i="17"/>
  <c r="AD23" i="17" s="1"/>
  <c r="V23" i="17"/>
  <c r="U23" i="17"/>
  <c r="AF23" i="17" s="1"/>
  <c r="S23" i="17"/>
  <c r="R23" i="17"/>
  <c r="Q23" i="17"/>
  <c r="O23" i="17"/>
  <c r="N23" i="17"/>
  <c r="M23" i="17"/>
  <c r="L23" i="17"/>
  <c r="AJ23" i="17" s="1"/>
  <c r="K23" i="17"/>
  <c r="AL22" i="17"/>
  <c r="AK22" i="17"/>
  <c r="AI22" i="17"/>
  <c r="AH22" i="17"/>
  <c r="AC22" i="17"/>
  <c r="AE22" i="17" s="1"/>
  <c r="Z22" i="17"/>
  <c r="AA22" i="17" s="1"/>
  <c r="AG22" i="17" s="1"/>
  <c r="W22" i="17"/>
  <c r="AD22" i="17" s="1"/>
  <c r="V22" i="17"/>
  <c r="U22" i="17"/>
  <c r="AF22" i="17" s="1"/>
  <c r="S22" i="17"/>
  <c r="R22" i="17"/>
  <c r="Q22" i="17"/>
  <c r="O22" i="17"/>
  <c r="N22" i="17"/>
  <c r="M22" i="17"/>
  <c r="L22" i="17"/>
  <c r="AJ22" i="17" s="1"/>
  <c r="K22" i="17"/>
  <c r="AL21" i="17"/>
  <c r="AK21" i="17"/>
  <c r="AI21" i="17"/>
  <c r="AH21" i="17"/>
  <c r="AE21" i="17"/>
  <c r="AC21" i="17"/>
  <c r="Z21" i="17"/>
  <c r="AA21" i="17" s="1"/>
  <c r="AG21" i="17" s="1"/>
  <c r="W21" i="17"/>
  <c r="AD21" i="17" s="1"/>
  <c r="V21" i="17"/>
  <c r="U21" i="17"/>
  <c r="AF21" i="17" s="1"/>
  <c r="S21" i="17"/>
  <c r="R21" i="17"/>
  <c r="Q21" i="17"/>
  <c r="O21" i="17"/>
  <c r="N21" i="17"/>
  <c r="M21" i="17"/>
  <c r="L21" i="17"/>
  <c r="AJ21" i="17" s="1"/>
  <c r="K21" i="17"/>
  <c r="AL20" i="17"/>
  <c r="AK20" i="17"/>
  <c r="AI20" i="17"/>
  <c r="AH20" i="17"/>
  <c r="AC20" i="17"/>
  <c r="AE20" i="17" s="1"/>
  <c r="Z20" i="17"/>
  <c r="AA20" i="17" s="1"/>
  <c r="AG20" i="17" s="1"/>
  <c r="W20" i="17"/>
  <c r="AD20" i="17" s="1"/>
  <c r="V20" i="17"/>
  <c r="U20" i="17"/>
  <c r="AF20" i="17" s="1"/>
  <c r="S20" i="17"/>
  <c r="R20" i="17"/>
  <c r="Q20" i="17"/>
  <c r="O20" i="17"/>
  <c r="N20" i="17"/>
  <c r="M20" i="17"/>
  <c r="L20" i="17"/>
  <c r="AJ20" i="17" s="1"/>
  <c r="K20" i="17"/>
  <c r="AL19" i="17"/>
  <c r="AK19" i="17"/>
  <c r="AI19" i="17"/>
  <c r="AH19" i="17"/>
  <c r="AE19" i="17"/>
  <c r="AC19" i="17"/>
  <c r="Z19" i="17"/>
  <c r="AA19" i="17" s="1"/>
  <c r="AG19" i="17" s="1"/>
  <c r="W19" i="17"/>
  <c r="AD19" i="17" s="1"/>
  <c r="V19" i="17"/>
  <c r="U19" i="17"/>
  <c r="AF19" i="17" s="1"/>
  <c r="S19" i="17"/>
  <c r="R19" i="17"/>
  <c r="Q19" i="17"/>
  <c r="O19" i="17"/>
  <c r="N19" i="17"/>
  <c r="M19" i="17"/>
  <c r="L19" i="17"/>
  <c r="AJ19" i="17" s="1"/>
  <c r="K19" i="17"/>
  <c r="AL18" i="17"/>
  <c r="AK18" i="17"/>
  <c r="AI18" i="17"/>
  <c r="AH18" i="17"/>
  <c r="AC18" i="17"/>
  <c r="AE18" i="17" s="1"/>
  <c r="Z18" i="17"/>
  <c r="AA18" i="17" s="1"/>
  <c r="AG18" i="17" s="1"/>
  <c r="W18" i="17"/>
  <c r="AD18" i="17" s="1"/>
  <c r="V18" i="17"/>
  <c r="U18" i="17"/>
  <c r="AF18" i="17" s="1"/>
  <c r="S18" i="17"/>
  <c r="R18" i="17"/>
  <c r="Q18" i="17"/>
  <c r="O18" i="17"/>
  <c r="N18" i="17"/>
  <c r="M18" i="17"/>
  <c r="L18" i="17"/>
  <c r="AJ18" i="17" s="1"/>
  <c r="K18" i="17"/>
  <c r="AL17" i="17"/>
  <c r="AK17" i="17"/>
  <c r="AI17" i="17"/>
  <c r="AH17" i="17"/>
  <c r="AE17" i="17"/>
  <c r="AC17" i="17"/>
  <c r="Z17" i="17"/>
  <c r="AA17" i="17" s="1"/>
  <c r="AG17" i="17" s="1"/>
  <c r="W17" i="17"/>
  <c r="AD17" i="17" s="1"/>
  <c r="V17" i="17"/>
  <c r="U17" i="17"/>
  <c r="AF17" i="17" s="1"/>
  <c r="S17" i="17"/>
  <c r="R17" i="17"/>
  <c r="Q17" i="17"/>
  <c r="O17" i="17"/>
  <c r="N17" i="17"/>
  <c r="M17" i="17"/>
  <c r="L17" i="17"/>
  <c r="AJ17" i="17" s="1"/>
  <c r="K17" i="17"/>
  <c r="AL16" i="17"/>
  <c r="AK16" i="17"/>
  <c r="AI16" i="17"/>
  <c r="AH16" i="17"/>
  <c r="AC16" i="17"/>
  <c r="AE16" i="17" s="1"/>
  <c r="Z16" i="17"/>
  <c r="AA16" i="17" s="1"/>
  <c r="AG16" i="17" s="1"/>
  <c r="W16" i="17"/>
  <c r="AD16" i="17" s="1"/>
  <c r="V16" i="17"/>
  <c r="U16" i="17"/>
  <c r="AF16" i="17" s="1"/>
  <c r="S16" i="17"/>
  <c r="R16" i="17"/>
  <c r="Q16" i="17"/>
  <c r="O16" i="17"/>
  <c r="N16" i="17"/>
  <c r="M16" i="17"/>
  <c r="L16" i="17"/>
  <c r="AJ16" i="17" s="1"/>
  <c r="K16" i="17"/>
  <c r="AL15" i="17"/>
  <c r="AK15" i="17"/>
  <c r="AI15" i="17"/>
  <c r="AH15" i="17"/>
  <c r="AE15" i="17"/>
  <c r="AC15" i="17"/>
  <c r="Z15" i="17"/>
  <c r="AA15" i="17" s="1"/>
  <c r="AG15" i="17" s="1"/>
  <c r="W15" i="17"/>
  <c r="AD15" i="17" s="1"/>
  <c r="V15" i="17"/>
  <c r="U15" i="17"/>
  <c r="AF15" i="17" s="1"/>
  <c r="S15" i="17"/>
  <c r="R15" i="17"/>
  <c r="Q15" i="17"/>
  <c r="O15" i="17"/>
  <c r="N15" i="17"/>
  <c r="M15" i="17"/>
  <c r="L15" i="17"/>
  <c r="AJ15" i="17" s="1"/>
  <c r="K15" i="17"/>
  <c r="AL14" i="17"/>
  <c r="AK14" i="17"/>
  <c r="AI14" i="17"/>
  <c r="AH14" i="17"/>
  <c r="AC14" i="17"/>
  <c r="AE14" i="17" s="1"/>
  <c r="Z14" i="17"/>
  <c r="AA14" i="17" s="1"/>
  <c r="AG14" i="17" s="1"/>
  <c r="W14" i="17"/>
  <c r="AD14" i="17" s="1"/>
  <c r="V14" i="17"/>
  <c r="U14" i="17"/>
  <c r="AF14" i="17" s="1"/>
  <c r="S14" i="17"/>
  <c r="R14" i="17"/>
  <c r="Q14" i="17"/>
  <c r="O14" i="17"/>
  <c r="N14" i="17"/>
  <c r="M14" i="17"/>
  <c r="L14" i="17"/>
  <c r="AJ14" i="17" s="1"/>
  <c r="K14" i="17"/>
  <c r="AL13" i="17"/>
  <c r="AK13" i="17"/>
  <c r="AI13" i="17"/>
  <c r="AH13" i="17"/>
  <c r="AE13" i="17"/>
  <c r="AC13" i="17"/>
  <c r="Z13" i="17"/>
  <c r="AA13" i="17" s="1"/>
  <c r="AG13" i="17" s="1"/>
  <c r="W13" i="17"/>
  <c r="AD13" i="17" s="1"/>
  <c r="V13" i="17"/>
  <c r="U13" i="17"/>
  <c r="AF13" i="17" s="1"/>
  <c r="S13" i="17"/>
  <c r="R13" i="17"/>
  <c r="Q13" i="17"/>
  <c r="O13" i="17"/>
  <c r="N13" i="17"/>
  <c r="M13" i="17"/>
  <c r="L13" i="17"/>
  <c r="AJ13" i="17" s="1"/>
  <c r="K13" i="17"/>
  <c r="AL12" i="17"/>
  <c r="AK12" i="17"/>
  <c r="AI12" i="17"/>
  <c r="AH12" i="17"/>
  <c r="AC12" i="17"/>
  <c r="AE12" i="17" s="1"/>
  <c r="Z12" i="17"/>
  <c r="AA12" i="17" s="1"/>
  <c r="AG12" i="17" s="1"/>
  <c r="W12" i="17"/>
  <c r="AD12" i="17" s="1"/>
  <c r="V12" i="17"/>
  <c r="U12" i="17"/>
  <c r="AF12" i="17" s="1"/>
  <c r="S12" i="17"/>
  <c r="R12" i="17"/>
  <c r="Q12" i="17"/>
  <c r="O12" i="17"/>
  <c r="N12" i="17"/>
  <c r="M12" i="17"/>
  <c r="L12" i="17"/>
  <c r="AJ12" i="17" s="1"/>
  <c r="K12" i="17"/>
  <c r="AL11" i="17"/>
  <c r="AK11" i="17"/>
  <c r="AI11" i="17"/>
  <c r="AH11" i="17"/>
  <c r="AE11" i="17"/>
  <c r="AC11" i="17"/>
  <c r="Z11" i="17"/>
  <c r="AA11" i="17" s="1"/>
  <c r="AG11" i="17" s="1"/>
  <c r="W11" i="17"/>
  <c r="AD11" i="17" s="1"/>
  <c r="V11" i="17"/>
  <c r="U11" i="17"/>
  <c r="AF11" i="17" s="1"/>
  <c r="S11" i="17"/>
  <c r="R11" i="17"/>
  <c r="Q11" i="17"/>
  <c r="O11" i="17"/>
  <c r="N11" i="17"/>
  <c r="M11" i="17"/>
  <c r="L11" i="17"/>
  <c r="AJ11" i="17" s="1"/>
  <c r="K11" i="17"/>
  <c r="AL10" i="17"/>
  <c r="AK10" i="17"/>
  <c r="AI10" i="17"/>
  <c r="AH10" i="17"/>
  <c r="AC10" i="17"/>
  <c r="AE10" i="17" s="1"/>
  <c r="Z10" i="17"/>
  <c r="AA10" i="17" s="1"/>
  <c r="AG10" i="17" s="1"/>
  <c r="W10" i="17"/>
  <c r="AD10" i="17" s="1"/>
  <c r="V10" i="17"/>
  <c r="U10" i="17"/>
  <c r="AF10" i="17" s="1"/>
  <c r="S10" i="17"/>
  <c r="R10" i="17"/>
  <c r="Q10" i="17"/>
  <c r="O10" i="17"/>
  <c r="N10" i="17"/>
  <c r="M10" i="17"/>
  <c r="L10" i="17"/>
  <c r="AJ10" i="17" s="1"/>
  <c r="K10" i="17"/>
  <c r="AL9" i="17"/>
  <c r="AK9" i="17"/>
  <c r="AI9" i="17"/>
  <c r="AH9" i="17"/>
  <c r="AE9" i="17"/>
  <c r="AC9" i="17"/>
  <c r="Z9" i="17"/>
  <c r="AA9" i="17" s="1"/>
  <c r="AG9" i="17" s="1"/>
  <c r="W9" i="17"/>
  <c r="AD9" i="17" s="1"/>
  <c r="V9" i="17"/>
  <c r="U9" i="17"/>
  <c r="AF9" i="17" s="1"/>
  <c r="S9" i="17"/>
  <c r="R9" i="17"/>
  <c r="Q9" i="17"/>
  <c r="O9" i="17"/>
  <c r="N9" i="17"/>
  <c r="M9" i="17"/>
  <c r="L9" i="17"/>
  <c r="AJ9" i="17" s="1"/>
  <c r="K9" i="17"/>
  <c r="AO8" i="17"/>
  <c r="AL8" i="17"/>
  <c r="AI8" i="17"/>
  <c r="X8" i="17"/>
  <c r="V8" i="17"/>
  <c r="S8" i="17"/>
  <c r="P8" i="17"/>
  <c r="N8" i="17"/>
  <c r="L8" i="17"/>
  <c r="AJ8" i="17" s="1"/>
  <c r="K8" i="17"/>
  <c r="AO7" i="17"/>
  <c r="AK7" i="17"/>
  <c r="AJ7" i="17"/>
  <c r="AI7" i="17"/>
  <c r="AC7" i="17"/>
  <c r="AE7" i="17" s="1"/>
  <c r="X7" i="17"/>
  <c r="Y7" i="17" s="1"/>
  <c r="U7" i="17"/>
  <c r="AF7" i="17" s="1"/>
  <c r="T7" i="17"/>
  <c r="S7" i="17"/>
  <c r="P7" i="17"/>
  <c r="O7" i="17"/>
  <c r="M7" i="17"/>
  <c r="L7" i="17"/>
  <c r="K7" i="17"/>
  <c r="AO6" i="17"/>
  <c r="AJ6" i="17"/>
  <c r="T6" i="17"/>
  <c r="N6" i="17"/>
  <c r="L6" i="17"/>
  <c r="AK6" i="17" s="1"/>
  <c r="AO5" i="17"/>
  <c r="AL5" i="17"/>
  <c r="AI5" i="17"/>
  <c r="AC5" i="17"/>
  <c r="AE5" i="17" s="1"/>
  <c r="W5" i="17"/>
  <c r="AD5" i="17" s="1"/>
  <c r="U5" i="17"/>
  <c r="AF5" i="17" s="1"/>
  <c r="S5" i="17"/>
  <c r="Q5" i="17"/>
  <c r="O5" i="17"/>
  <c r="M5" i="17"/>
  <c r="L5" i="17"/>
  <c r="AJ5" i="17" s="1"/>
  <c r="K5" i="17"/>
  <c r="AL4" i="17"/>
  <c r="AH4" i="17"/>
  <c r="Z4" i="17"/>
  <c r="V4" i="17"/>
  <c r="R4" i="17"/>
  <c r="N4" i="17"/>
  <c r="L4" i="17"/>
  <c r="AK4" i="17" s="1"/>
  <c r="AO3" i="17"/>
  <c r="AL3" i="17"/>
  <c r="AK3" i="17"/>
  <c r="AI3" i="17"/>
  <c r="AH3" i="17"/>
  <c r="AE3" i="17"/>
  <c r="AC3" i="17"/>
  <c r="AA3" i="17"/>
  <c r="AG3" i="17" s="1"/>
  <c r="Z3" i="17"/>
  <c r="W3" i="17"/>
  <c r="AD3" i="17" s="1"/>
  <c r="V3" i="17"/>
  <c r="U3" i="17"/>
  <c r="AF3" i="17" s="1"/>
  <c r="S3" i="17"/>
  <c r="R3" i="17"/>
  <c r="Q3" i="17"/>
  <c r="O3" i="17"/>
  <c r="N3" i="17"/>
  <c r="M3" i="17"/>
  <c r="L3" i="17"/>
  <c r="AJ3" i="17" s="1"/>
  <c r="K3" i="17"/>
  <c r="AO2" i="17"/>
  <c r="AJ2" i="17"/>
  <c r="X2" i="17"/>
  <c r="T2" i="17"/>
  <c r="L2" i="17"/>
  <c r="AO1" i="17"/>
  <c r="K1" i="17"/>
  <c r="AL501" i="16"/>
  <c r="AH501" i="16"/>
  <c r="Z501" i="16"/>
  <c r="V501" i="16"/>
  <c r="R501" i="16"/>
  <c r="N501" i="16"/>
  <c r="L501" i="16"/>
  <c r="AK501" i="16" s="1"/>
  <c r="AL500" i="16"/>
  <c r="AH500" i="16"/>
  <c r="Z500" i="16"/>
  <c r="V500" i="16"/>
  <c r="R500" i="16"/>
  <c r="N500" i="16"/>
  <c r="L500" i="16"/>
  <c r="AK500" i="16" s="1"/>
  <c r="AL499" i="16"/>
  <c r="AH499" i="16"/>
  <c r="Z499" i="16"/>
  <c r="V499" i="16"/>
  <c r="R499" i="16"/>
  <c r="N499" i="16"/>
  <c r="L499" i="16"/>
  <c r="AK499" i="16" s="1"/>
  <c r="AL498" i="16"/>
  <c r="AH498" i="16"/>
  <c r="Z498" i="16"/>
  <c r="V498" i="16"/>
  <c r="R498" i="16"/>
  <c r="N498" i="16"/>
  <c r="L498" i="16"/>
  <c r="AK498" i="16" s="1"/>
  <c r="AL497" i="16"/>
  <c r="AH497" i="16"/>
  <c r="Z497" i="16"/>
  <c r="V497" i="16"/>
  <c r="R497" i="16"/>
  <c r="N497" i="16"/>
  <c r="L497" i="16"/>
  <c r="AK497" i="16" s="1"/>
  <c r="AL496" i="16"/>
  <c r="AH496" i="16"/>
  <c r="Z496" i="16"/>
  <c r="V496" i="16"/>
  <c r="R496" i="16"/>
  <c r="N496" i="16"/>
  <c r="L496" i="16"/>
  <c r="AK496" i="16" s="1"/>
  <c r="AL495" i="16"/>
  <c r="AH495" i="16"/>
  <c r="Z495" i="16"/>
  <c r="V495" i="16"/>
  <c r="R495" i="16"/>
  <c r="N495" i="16"/>
  <c r="L495" i="16"/>
  <c r="AK495" i="16" s="1"/>
  <c r="AL494" i="16"/>
  <c r="AH494" i="16"/>
  <c r="Z494" i="16"/>
  <c r="V494" i="16"/>
  <c r="R494" i="16"/>
  <c r="N494" i="16"/>
  <c r="L494" i="16"/>
  <c r="AK494" i="16" s="1"/>
  <c r="AL493" i="16"/>
  <c r="AH493" i="16"/>
  <c r="Z493" i="16"/>
  <c r="V493" i="16"/>
  <c r="R493" i="16"/>
  <c r="N493" i="16"/>
  <c r="L493" i="16"/>
  <c r="AK493" i="16" s="1"/>
  <c r="AL492" i="16"/>
  <c r="AH492" i="16"/>
  <c r="Z492" i="16"/>
  <c r="V492" i="16"/>
  <c r="R492" i="16"/>
  <c r="N492" i="16"/>
  <c r="L492" i="16"/>
  <c r="AK492" i="16" s="1"/>
  <c r="AL491" i="16"/>
  <c r="AH491" i="16"/>
  <c r="Z491" i="16"/>
  <c r="V491" i="16"/>
  <c r="R491" i="16"/>
  <c r="N491" i="16"/>
  <c r="L491" i="16"/>
  <c r="AK491" i="16" s="1"/>
  <c r="AL490" i="16"/>
  <c r="AH490" i="16"/>
  <c r="Z490" i="16"/>
  <c r="V490" i="16"/>
  <c r="R490" i="16"/>
  <c r="N490" i="16"/>
  <c r="L490" i="16"/>
  <c r="AK490" i="16" s="1"/>
  <c r="AL489" i="16"/>
  <c r="AH489" i="16"/>
  <c r="Z489" i="16"/>
  <c r="V489" i="16"/>
  <c r="R489" i="16"/>
  <c r="N489" i="16"/>
  <c r="L489" i="16"/>
  <c r="AK489" i="16" s="1"/>
  <c r="AL488" i="16"/>
  <c r="AH488" i="16"/>
  <c r="Z488" i="16"/>
  <c r="V488" i="16"/>
  <c r="R488" i="16"/>
  <c r="N488" i="16"/>
  <c r="L488" i="16"/>
  <c r="AK488" i="16" s="1"/>
  <c r="AL487" i="16"/>
  <c r="AH487" i="16"/>
  <c r="Z487" i="16"/>
  <c r="V487" i="16"/>
  <c r="R487" i="16"/>
  <c r="N487" i="16"/>
  <c r="L487" i="16"/>
  <c r="AK487" i="16" s="1"/>
  <c r="AL486" i="16"/>
  <c r="AH486" i="16"/>
  <c r="Z486" i="16"/>
  <c r="V486" i="16"/>
  <c r="R486" i="16"/>
  <c r="N486" i="16"/>
  <c r="L486" i="16"/>
  <c r="AK486" i="16" s="1"/>
  <c r="AL485" i="16"/>
  <c r="AH485" i="16"/>
  <c r="Z485" i="16"/>
  <c r="V485" i="16"/>
  <c r="R485" i="16"/>
  <c r="N485" i="16"/>
  <c r="L485" i="16"/>
  <c r="AK485" i="16" s="1"/>
  <c r="AL484" i="16"/>
  <c r="AH484" i="16"/>
  <c r="Z484" i="16"/>
  <c r="V484" i="16"/>
  <c r="R484" i="16"/>
  <c r="N484" i="16"/>
  <c r="L484" i="16"/>
  <c r="AK484" i="16" s="1"/>
  <c r="AL483" i="16"/>
  <c r="AH483" i="16"/>
  <c r="Z483" i="16"/>
  <c r="V483" i="16"/>
  <c r="R483" i="16"/>
  <c r="N483" i="16"/>
  <c r="L483" i="16"/>
  <c r="AK483" i="16" s="1"/>
  <c r="AL482" i="16"/>
  <c r="AH482" i="16"/>
  <c r="Z482" i="16"/>
  <c r="V482" i="16"/>
  <c r="R482" i="16"/>
  <c r="N482" i="16"/>
  <c r="L482" i="16"/>
  <c r="AK482" i="16" s="1"/>
  <c r="AL481" i="16"/>
  <c r="AH481" i="16"/>
  <c r="Z481" i="16"/>
  <c r="V481" i="16"/>
  <c r="R481" i="16"/>
  <c r="N481" i="16"/>
  <c r="L481" i="16"/>
  <c r="AK481" i="16" s="1"/>
  <c r="AL480" i="16"/>
  <c r="AH480" i="16"/>
  <c r="Z480" i="16"/>
  <c r="V480" i="16"/>
  <c r="R480" i="16"/>
  <c r="N480" i="16"/>
  <c r="L480" i="16"/>
  <c r="AK480" i="16" s="1"/>
  <c r="AL479" i="16"/>
  <c r="AH479" i="16"/>
  <c r="Z479" i="16"/>
  <c r="V479" i="16"/>
  <c r="R479" i="16"/>
  <c r="N479" i="16"/>
  <c r="L479" i="16"/>
  <c r="AK479" i="16" s="1"/>
  <c r="AL478" i="16"/>
  <c r="AH478" i="16"/>
  <c r="Z478" i="16"/>
  <c r="V478" i="16"/>
  <c r="R478" i="16"/>
  <c r="N478" i="16"/>
  <c r="L478" i="16"/>
  <c r="AK478" i="16" s="1"/>
  <c r="AL477" i="16"/>
  <c r="AH477" i="16"/>
  <c r="Z477" i="16"/>
  <c r="V477" i="16"/>
  <c r="R477" i="16"/>
  <c r="N477" i="16"/>
  <c r="L477" i="16"/>
  <c r="AK477" i="16" s="1"/>
  <c r="AL476" i="16"/>
  <c r="AH476" i="16"/>
  <c r="Z476" i="16"/>
  <c r="V476" i="16"/>
  <c r="R476" i="16"/>
  <c r="N476" i="16"/>
  <c r="L476" i="16"/>
  <c r="AK476" i="16" s="1"/>
  <c r="AL475" i="16"/>
  <c r="AH475" i="16"/>
  <c r="Z475" i="16"/>
  <c r="V475" i="16"/>
  <c r="R475" i="16"/>
  <c r="N475" i="16"/>
  <c r="L475" i="16"/>
  <c r="AK475" i="16" s="1"/>
  <c r="AL474" i="16"/>
  <c r="AH474" i="16"/>
  <c r="Z474" i="16"/>
  <c r="V474" i="16"/>
  <c r="R474" i="16"/>
  <c r="N474" i="16"/>
  <c r="L474" i="16"/>
  <c r="AK474" i="16" s="1"/>
  <c r="AL473" i="16"/>
  <c r="AH473" i="16"/>
  <c r="Z473" i="16"/>
  <c r="V473" i="16"/>
  <c r="R473" i="16"/>
  <c r="N473" i="16"/>
  <c r="L473" i="16"/>
  <c r="AK473" i="16" s="1"/>
  <c r="AL472" i="16"/>
  <c r="AH472" i="16"/>
  <c r="Z472" i="16"/>
  <c r="V472" i="16"/>
  <c r="R472" i="16"/>
  <c r="N472" i="16"/>
  <c r="L472" i="16"/>
  <c r="AK472" i="16" s="1"/>
  <c r="AL471" i="16"/>
  <c r="AH471" i="16"/>
  <c r="Z471" i="16"/>
  <c r="V471" i="16"/>
  <c r="R471" i="16"/>
  <c r="N471" i="16"/>
  <c r="L471" i="16"/>
  <c r="AK471" i="16" s="1"/>
  <c r="AL470" i="16"/>
  <c r="AH470" i="16"/>
  <c r="Z470" i="16"/>
  <c r="V470" i="16"/>
  <c r="R470" i="16"/>
  <c r="N470" i="16"/>
  <c r="L470" i="16"/>
  <c r="AK470" i="16" s="1"/>
  <c r="AL469" i="16"/>
  <c r="AH469" i="16"/>
  <c r="Z469" i="16"/>
  <c r="V469" i="16"/>
  <c r="R469" i="16"/>
  <c r="N469" i="16"/>
  <c r="L469" i="16"/>
  <c r="AK469" i="16" s="1"/>
  <c r="AL468" i="16"/>
  <c r="AH468" i="16"/>
  <c r="Z468" i="16"/>
  <c r="V468" i="16"/>
  <c r="R468" i="16"/>
  <c r="N468" i="16"/>
  <c r="L468" i="16"/>
  <c r="AK468" i="16" s="1"/>
  <c r="AL467" i="16"/>
  <c r="AH467" i="16"/>
  <c r="Z467" i="16"/>
  <c r="V467" i="16"/>
  <c r="R467" i="16"/>
  <c r="N467" i="16"/>
  <c r="L467" i="16"/>
  <c r="AK467" i="16" s="1"/>
  <c r="AL466" i="16"/>
  <c r="AH466" i="16"/>
  <c r="Z466" i="16"/>
  <c r="V466" i="16"/>
  <c r="R466" i="16"/>
  <c r="N466" i="16"/>
  <c r="L466" i="16"/>
  <c r="AK466" i="16" s="1"/>
  <c r="AL465" i="16"/>
  <c r="AH465" i="16"/>
  <c r="Z465" i="16"/>
  <c r="V465" i="16"/>
  <c r="R465" i="16"/>
  <c r="N465" i="16"/>
  <c r="L465" i="16"/>
  <c r="AK465" i="16" s="1"/>
  <c r="AL464" i="16"/>
  <c r="AH464" i="16"/>
  <c r="Z464" i="16"/>
  <c r="V464" i="16"/>
  <c r="R464" i="16"/>
  <c r="N464" i="16"/>
  <c r="L464" i="16"/>
  <c r="AK464" i="16" s="1"/>
  <c r="AL463" i="16"/>
  <c r="AH463" i="16"/>
  <c r="Z463" i="16"/>
  <c r="V463" i="16"/>
  <c r="R463" i="16"/>
  <c r="N463" i="16"/>
  <c r="L463" i="16"/>
  <c r="AK463" i="16" s="1"/>
  <c r="AL462" i="16"/>
  <c r="AH462" i="16"/>
  <c r="Z462" i="16"/>
  <c r="V462" i="16"/>
  <c r="R462" i="16"/>
  <c r="N462" i="16"/>
  <c r="L462" i="16"/>
  <c r="AK462" i="16" s="1"/>
  <c r="AL461" i="16"/>
  <c r="AH461" i="16"/>
  <c r="Z461" i="16"/>
  <c r="V461" i="16"/>
  <c r="R461" i="16"/>
  <c r="N461" i="16"/>
  <c r="L461" i="16"/>
  <c r="AK461" i="16" s="1"/>
  <c r="AL460" i="16"/>
  <c r="AH460" i="16"/>
  <c r="Z460" i="16"/>
  <c r="V460" i="16"/>
  <c r="R460" i="16"/>
  <c r="N460" i="16"/>
  <c r="L460" i="16"/>
  <c r="AK460" i="16" s="1"/>
  <c r="AL459" i="16"/>
  <c r="AH459" i="16"/>
  <c r="Z459" i="16"/>
  <c r="V459" i="16"/>
  <c r="R459" i="16"/>
  <c r="N459" i="16"/>
  <c r="L459" i="16"/>
  <c r="AK459" i="16" s="1"/>
  <c r="AL458" i="16"/>
  <c r="AH458" i="16"/>
  <c r="Z458" i="16"/>
  <c r="V458" i="16"/>
  <c r="R458" i="16"/>
  <c r="N458" i="16"/>
  <c r="L458" i="16"/>
  <c r="AK458" i="16" s="1"/>
  <c r="AL457" i="16"/>
  <c r="AH457" i="16"/>
  <c r="Z457" i="16"/>
  <c r="V457" i="16"/>
  <c r="R457" i="16"/>
  <c r="N457" i="16"/>
  <c r="L457" i="16"/>
  <c r="AK457" i="16" s="1"/>
  <c r="AL456" i="16"/>
  <c r="AH456" i="16"/>
  <c r="Z456" i="16"/>
  <c r="V456" i="16"/>
  <c r="R456" i="16"/>
  <c r="N456" i="16"/>
  <c r="L456" i="16"/>
  <c r="AK456" i="16" s="1"/>
  <c r="AL455" i="16"/>
  <c r="AH455" i="16"/>
  <c r="Z455" i="16"/>
  <c r="V455" i="16"/>
  <c r="R455" i="16"/>
  <c r="N455" i="16"/>
  <c r="L455" i="16"/>
  <c r="AK455" i="16" s="1"/>
  <c r="AL454" i="16"/>
  <c r="AH454" i="16"/>
  <c r="Z454" i="16"/>
  <c r="V454" i="16"/>
  <c r="R454" i="16"/>
  <c r="N454" i="16"/>
  <c r="L454" i="16"/>
  <c r="AK454" i="16" s="1"/>
  <c r="AL453" i="16"/>
  <c r="AH453" i="16"/>
  <c r="Z453" i="16"/>
  <c r="V453" i="16"/>
  <c r="R453" i="16"/>
  <c r="N453" i="16"/>
  <c r="L453" i="16"/>
  <c r="AK453" i="16" s="1"/>
  <c r="AL452" i="16"/>
  <c r="AH452" i="16"/>
  <c r="Z452" i="16"/>
  <c r="V452" i="16"/>
  <c r="R452" i="16"/>
  <c r="N452" i="16"/>
  <c r="L452" i="16"/>
  <c r="AK452" i="16" s="1"/>
  <c r="AL451" i="16"/>
  <c r="AH451" i="16"/>
  <c r="Z451" i="16"/>
  <c r="V451" i="16"/>
  <c r="R451" i="16"/>
  <c r="N451" i="16"/>
  <c r="L451" i="16"/>
  <c r="AK451" i="16" s="1"/>
  <c r="AL450" i="16"/>
  <c r="AH450" i="16"/>
  <c r="Z450" i="16"/>
  <c r="V450" i="16"/>
  <c r="R450" i="16"/>
  <c r="N450" i="16"/>
  <c r="L450" i="16"/>
  <c r="AK450" i="16" s="1"/>
  <c r="AL449" i="16"/>
  <c r="AH449" i="16"/>
  <c r="Z449" i="16"/>
  <c r="V449" i="16"/>
  <c r="R449" i="16"/>
  <c r="N449" i="16"/>
  <c r="L449" i="16"/>
  <c r="AK449" i="16" s="1"/>
  <c r="AL448" i="16"/>
  <c r="AH448" i="16"/>
  <c r="Z448" i="16"/>
  <c r="V448" i="16"/>
  <c r="R448" i="16"/>
  <c r="N448" i="16"/>
  <c r="L448" i="16"/>
  <c r="AK448" i="16" s="1"/>
  <c r="AL447" i="16"/>
  <c r="AH447" i="16"/>
  <c r="Z447" i="16"/>
  <c r="V447" i="16"/>
  <c r="R447" i="16"/>
  <c r="N447" i="16"/>
  <c r="L447" i="16"/>
  <c r="AK447" i="16" s="1"/>
  <c r="AL446" i="16"/>
  <c r="AH446" i="16"/>
  <c r="Z446" i="16"/>
  <c r="V446" i="16"/>
  <c r="R446" i="16"/>
  <c r="N446" i="16"/>
  <c r="L446" i="16"/>
  <c r="AK446" i="16" s="1"/>
  <c r="AL445" i="16"/>
  <c r="AH445" i="16"/>
  <c r="Z445" i="16"/>
  <c r="V445" i="16"/>
  <c r="R445" i="16"/>
  <c r="N445" i="16"/>
  <c r="L445" i="16"/>
  <c r="AK445" i="16" s="1"/>
  <c r="AL444" i="16"/>
  <c r="AH444" i="16"/>
  <c r="Z444" i="16"/>
  <c r="V444" i="16"/>
  <c r="R444" i="16"/>
  <c r="N444" i="16"/>
  <c r="L444" i="16"/>
  <c r="AK444" i="16" s="1"/>
  <c r="AL443" i="16"/>
  <c r="AH443" i="16"/>
  <c r="Z443" i="16"/>
  <c r="V443" i="16"/>
  <c r="R443" i="16"/>
  <c r="N443" i="16"/>
  <c r="L443" i="16"/>
  <c r="AK443" i="16" s="1"/>
  <c r="AL442" i="16"/>
  <c r="AH442" i="16"/>
  <c r="Z442" i="16"/>
  <c r="V442" i="16"/>
  <c r="R442" i="16"/>
  <c r="N442" i="16"/>
  <c r="L442" i="16"/>
  <c r="AK442" i="16" s="1"/>
  <c r="AL441" i="16"/>
  <c r="AH441" i="16"/>
  <c r="Z441" i="16"/>
  <c r="V441" i="16"/>
  <c r="R441" i="16"/>
  <c r="N441" i="16"/>
  <c r="L441" i="16"/>
  <c r="AK441" i="16" s="1"/>
  <c r="AL440" i="16"/>
  <c r="AH440" i="16"/>
  <c r="Z440" i="16"/>
  <c r="V440" i="16"/>
  <c r="R440" i="16"/>
  <c r="N440" i="16"/>
  <c r="L440" i="16"/>
  <c r="AK440" i="16" s="1"/>
  <c r="AL439" i="16"/>
  <c r="AH439" i="16"/>
  <c r="Z439" i="16"/>
  <c r="V439" i="16"/>
  <c r="R439" i="16"/>
  <c r="N439" i="16"/>
  <c r="L439" i="16"/>
  <c r="AK439" i="16" s="1"/>
  <c r="AL438" i="16"/>
  <c r="AH438" i="16"/>
  <c r="Z438" i="16"/>
  <c r="V438" i="16"/>
  <c r="R438" i="16"/>
  <c r="N438" i="16"/>
  <c r="L438" i="16"/>
  <c r="AK438" i="16" s="1"/>
  <c r="AL437" i="16"/>
  <c r="AH437" i="16"/>
  <c r="Z437" i="16"/>
  <c r="V437" i="16"/>
  <c r="R437" i="16"/>
  <c r="N437" i="16"/>
  <c r="L437" i="16"/>
  <c r="AK437" i="16" s="1"/>
  <c r="AL436" i="16"/>
  <c r="AH436" i="16"/>
  <c r="Z436" i="16"/>
  <c r="V436" i="16"/>
  <c r="R436" i="16"/>
  <c r="N436" i="16"/>
  <c r="L436" i="16"/>
  <c r="AK436" i="16" s="1"/>
  <c r="AL435" i="16"/>
  <c r="AH435" i="16"/>
  <c r="Z435" i="16"/>
  <c r="V435" i="16"/>
  <c r="R435" i="16"/>
  <c r="N435" i="16"/>
  <c r="L435" i="16"/>
  <c r="AK435" i="16" s="1"/>
  <c r="AL434" i="16"/>
  <c r="AH434" i="16"/>
  <c r="Z434" i="16"/>
  <c r="V434" i="16"/>
  <c r="R434" i="16"/>
  <c r="N434" i="16"/>
  <c r="L434" i="16"/>
  <c r="AK434" i="16" s="1"/>
  <c r="AL433" i="16"/>
  <c r="AH433" i="16"/>
  <c r="Z433" i="16"/>
  <c r="V433" i="16"/>
  <c r="R433" i="16"/>
  <c r="N433" i="16"/>
  <c r="L433" i="16"/>
  <c r="AK433" i="16" s="1"/>
  <c r="AL432" i="16"/>
  <c r="AH432" i="16"/>
  <c r="Z432" i="16"/>
  <c r="V432" i="16"/>
  <c r="R432" i="16"/>
  <c r="N432" i="16"/>
  <c r="L432" i="16"/>
  <c r="AK432" i="16" s="1"/>
  <c r="AL431" i="16"/>
  <c r="AH431" i="16"/>
  <c r="Z431" i="16"/>
  <c r="V431" i="16"/>
  <c r="R431" i="16"/>
  <c r="N431" i="16"/>
  <c r="L431" i="16"/>
  <c r="AK431" i="16" s="1"/>
  <c r="AL430" i="16"/>
  <c r="AH430" i="16"/>
  <c r="Z430" i="16"/>
  <c r="V430" i="16"/>
  <c r="R430" i="16"/>
  <c r="N430" i="16"/>
  <c r="L430" i="16"/>
  <c r="AK430" i="16" s="1"/>
  <c r="AL429" i="16"/>
  <c r="AH429" i="16"/>
  <c r="Z429" i="16"/>
  <c r="V429" i="16"/>
  <c r="R429" i="16"/>
  <c r="N429" i="16"/>
  <c r="L429" i="16"/>
  <c r="AK429" i="16" s="1"/>
  <c r="AL428" i="16"/>
  <c r="AH428" i="16"/>
  <c r="Z428" i="16"/>
  <c r="V428" i="16"/>
  <c r="R428" i="16"/>
  <c r="N428" i="16"/>
  <c r="L428" i="16"/>
  <c r="AK428" i="16" s="1"/>
  <c r="AL427" i="16"/>
  <c r="AH427" i="16"/>
  <c r="Z427" i="16"/>
  <c r="V427" i="16"/>
  <c r="R427" i="16"/>
  <c r="N427" i="16"/>
  <c r="L427" i="16"/>
  <c r="AK427" i="16" s="1"/>
  <c r="AL426" i="16"/>
  <c r="AH426" i="16"/>
  <c r="Z426" i="16"/>
  <c r="V426" i="16"/>
  <c r="R426" i="16"/>
  <c r="N426" i="16"/>
  <c r="L426" i="16"/>
  <c r="AK426" i="16" s="1"/>
  <c r="AL425" i="16"/>
  <c r="AH425" i="16"/>
  <c r="Z425" i="16"/>
  <c r="V425" i="16"/>
  <c r="R425" i="16"/>
  <c r="N425" i="16"/>
  <c r="L425" i="16"/>
  <c r="AK425" i="16" s="1"/>
  <c r="AL424" i="16"/>
  <c r="AH424" i="16"/>
  <c r="Z424" i="16"/>
  <c r="V424" i="16"/>
  <c r="R424" i="16"/>
  <c r="N424" i="16"/>
  <c r="L424" i="16"/>
  <c r="AK424" i="16" s="1"/>
  <c r="AL423" i="16"/>
  <c r="AH423" i="16"/>
  <c r="Z423" i="16"/>
  <c r="V423" i="16"/>
  <c r="R423" i="16"/>
  <c r="N423" i="16"/>
  <c r="L423" i="16"/>
  <c r="AK423" i="16" s="1"/>
  <c r="AL422" i="16"/>
  <c r="AH422" i="16"/>
  <c r="Z422" i="16"/>
  <c r="V422" i="16"/>
  <c r="R422" i="16"/>
  <c r="N422" i="16"/>
  <c r="L422" i="16"/>
  <c r="AK422" i="16" s="1"/>
  <c r="AL421" i="16"/>
  <c r="AH421" i="16"/>
  <c r="Z421" i="16"/>
  <c r="V421" i="16"/>
  <c r="R421" i="16"/>
  <c r="N421" i="16"/>
  <c r="L421" i="16"/>
  <c r="AK421" i="16" s="1"/>
  <c r="AL420" i="16"/>
  <c r="AH420" i="16"/>
  <c r="Z420" i="16"/>
  <c r="V420" i="16"/>
  <c r="R420" i="16"/>
  <c r="N420" i="16"/>
  <c r="L420" i="16"/>
  <c r="AK420" i="16" s="1"/>
  <c r="AL419" i="16"/>
  <c r="AH419" i="16"/>
  <c r="Z419" i="16"/>
  <c r="V419" i="16"/>
  <c r="R419" i="16"/>
  <c r="N419" i="16"/>
  <c r="L419" i="16"/>
  <c r="AK419" i="16" s="1"/>
  <c r="AL418" i="16"/>
  <c r="AH418" i="16"/>
  <c r="Z418" i="16"/>
  <c r="V418" i="16"/>
  <c r="R418" i="16"/>
  <c r="N418" i="16"/>
  <c r="L418" i="16"/>
  <c r="AK418" i="16" s="1"/>
  <c r="AL417" i="16"/>
  <c r="AH417" i="16"/>
  <c r="Z417" i="16"/>
  <c r="V417" i="16"/>
  <c r="R417" i="16"/>
  <c r="N417" i="16"/>
  <c r="L417" i="16"/>
  <c r="AK417" i="16" s="1"/>
  <c r="AL416" i="16"/>
  <c r="AH416" i="16"/>
  <c r="Z416" i="16"/>
  <c r="V416" i="16"/>
  <c r="R416" i="16"/>
  <c r="N416" i="16"/>
  <c r="L416" i="16"/>
  <c r="AK416" i="16" s="1"/>
  <c r="AL415" i="16"/>
  <c r="AH415" i="16"/>
  <c r="Z415" i="16"/>
  <c r="V415" i="16"/>
  <c r="R415" i="16"/>
  <c r="N415" i="16"/>
  <c r="L415" i="16"/>
  <c r="AK415" i="16" s="1"/>
  <c r="AL414" i="16"/>
  <c r="AH414" i="16"/>
  <c r="Z414" i="16"/>
  <c r="V414" i="16"/>
  <c r="R414" i="16"/>
  <c r="N414" i="16"/>
  <c r="L414" i="16"/>
  <c r="AK414" i="16" s="1"/>
  <c r="AL413" i="16"/>
  <c r="AH413" i="16"/>
  <c r="Z413" i="16"/>
  <c r="V413" i="16"/>
  <c r="R413" i="16"/>
  <c r="N413" i="16"/>
  <c r="L413" i="16"/>
  <c r="AK413" i="16" s="1"/>
  <c r="AL412" i="16"/>
  <c r="AH412" i="16"/>
  <c r="Z412" i="16"/>
  <c r="V412" i="16"/>
  <c r="R412" i="16"/>
  <c r="N412" i="16"/>
  <c r="L412" i="16"/>
  <c r="AK412" i="16" s="1"/>
  <c r="AL411" i="16"/>
  <c r="AH411" i="16"/>
  <c r="Z411" i="16"/>
  <c r="V411" i="16"/>
  <c r="R411" i="16"/>
  <c r="N411" i="16"/>
  <c r="L411" i="16"/>
  <c r="AK411" i="16" s="1"/>
  <c r="AL410" i="16"/>
  <c r="AH410" i="16"/>
  <c r="Z410" i="16"/>
  <c r="V410" i="16"/>
  <c r="R410" i="16"/>
  <c r="N410" i="16"/>
  <c r="L410" i="16"/>
  <c r="AK410" i="16" s="1"/>
  <c r="AL409" i="16"/>
  <c r="AH409" i="16"/>
  <c r="Z409" i="16"/>
  <c r="V409" i="16"/>
  <c r="R409" i="16"/>
  <c r="N409" i="16"/>
  <c r="L409" i="16"/>
  <c r="AK409" i="16" s="1"/>
  <c r="AL408" i="16"/>
  <c r="AH408" i="16"/>
  <c r="Z408" i="16"/>
  <c r="V408" i="16"/>
  <c r="R408" i="16"/>
  <c r="N408" i="16"/>
  <c r="L408" i="16"/>
  <c r="AK408" i="16" s="1"/>
  <c r="AL407" i="16"/>
  <c r="AH407" i="16"/>
  <c r="Z407" i="16"/>
  <c r="V407" i="16"/>
  <c r="R407" i="16"/>
  <c r="N407" i="16"/>
  <c r="L407" i="16"/>
  <c r="AK407" i="16" s="1"/>
  <c r="AL406" i="16"/>
  <c r="AH406" i="16"/>
  <c r="Z406" i="16"/>
  <c r="V406" i="16"/>
  <c r="R406" i="16"/>
  <c r="N406" i="16"/>
  <c r="L406" i="16"/>
  <c r="AK406" i="16" s="1"/>
  <c r="AL405" i="16"/>
  <c r="AH405" i="16"/>
  <c r="Z405" i="16"/>
  <c r="V405" i="16"/>
  <c r="R405" i="16"/>
  <c r="N405" i="16"/>
  <c r="L405" i="16"/>
  <c r="AK405" i="16" s="1"/>
  <c r="AL404" i="16"/>
  <c r="AH404" i="16"/>
  <c r="Z404" i="16"/>
  <c r="V404" i="16"/>
  <c r="R404" i="16"/>
  <c r="N404" i="16"/>
  <c r="L404" i="16"/>
  <c r="AK404" i="16" s="1"/>
  <c r="AL403" i="16"/>
  <c r="AH403" i="16"/>
  <c r="Z403" i="16"/>
  <c r="V403" i="16"/>
  <c r="R403" i="16"/>
  <c r="N403" i="16"/>
  <c r="L403" i="16"/>
  <c r="AK403" i="16" s="1"/>
  <c r="AL402" i="16"/>
  <c r="AH402" i="16"/>
  <c r="Z402" i="16"/>
  <c r="V402" i="16"/>
  <c r="R402" i="16"/>
  <c r="N402" i="16"/>
  <c r="L402" i="16"/>
  <c r="AK402" i="16" s="1"/>
  <c r="AL401" i="16"/>
  <c r="AH401" i="16"/>
  <c r="Z401" i="16"/>
  <c r="V401" i="16"/>
  <c r="R401" i="16"/>
  <c r="N401" i="16"/>
  <c r="L401" i="16"/>
  <c r="AK401" i="16" s="1"/>
  <c r="AL400" i="16"/>
  <c r="AH400" i="16"/>
  <c r="Z400" i="16"/>
  <c r="V400" i="16"/>
  <c r="R400" i="16"/>
  <c r="N400" i="16"/>
  <c r="L400" i="16"/>
  <c r="AK400" i="16" s="1"/>
  <c r="AL399" i="16"/>
  <c r="AH399" i="16"/>
  <c r="Z399" i="16"/>
  <c r="V399" i="16"/>
  <c r="R399" i="16"/>
  <c r="N399" i="16"/>
  <c r="L399" i="16"/>
  <c r="AK399" i="16" s="1"/>
  <c r="AL398" i="16"/>
  <c r="AH398" i="16"/>
  <c r="Z398" i="16"/>
  <c r="V398" i="16"/>
  <c r="R398" i="16"/>
  <c r="N398" i="16"/>
  <c r="L398" i="16"/>
  <c r="AK398" i="16" s="1"/>
  <c r="AL397" i="16"/>
  <c r="AH397" i="16"/>
  <c r="Z397" i="16"/>
  <c r="V397" i="16"/>
  <c r="R397" i="16"/>
  <c r="N397" i="16"/>
  <c r="L397" i="16"/>
  <c r="AK397" i="16" s="1"/>
  <c r="AL396" i="16"/>
  <c r="AH396" i="16"/>
  <c r="Z396" i="16"/>
  <c r="V396" i="16"/>
  <c r="R396" i="16"/>
  <c r="N396" i="16"/>
  <c r="L396" i="16"/>
  <c r="AK396" i="16" s="1"/>
  <c r="AL395" i="16"/>
  <c r="AH395" i="16"/>
  <c r="Z395" i="16"/>
  <c r="V395" i="16"/>
  <c r="R395" i="16"/>
  <c r="N395" i="16"/>
  <c r="L395" i="16"/>
  <c r="AK395" i="16" s="1"/>
  <c r="AL394" i="16"/>
  <c r="AH394" i="16"/>
  <c r="Z394" i="16"/>
  <c r="V394" i="16"/>
  <c r="R394" i="16"/>
  <c r="N394" i="16"/>
  <c r="L394" i="16"/>
  <c r="AK394" i="16" s="1"/>
  <c r="AL393" i="16"/>
  <c r="AH393" i="16"/>
  <c r="Z393" i="16"/>
  <c r="V393" i="16"/>
  <c r="R393" i="16"/>
  <c r="N393" i="16"/>
  <c r="L393" i="16"/>
  <c r="AK393" i="16" s="1"/>
  <c r="AL392" i="16"/>
  <c r="AH392" i="16"/>
  <c r="Z392" i="16"/>
  <c r="V392" i="16"/>
  <c r="R392" i="16"/>
  <c r="N392" i="16"/>
  <c r="L392" i="16"/>
  <c r="AK392" i="16" s="1"/>
  <c r="AL391" i="16"/>
  <c r="AH391" i="16"/>
  <c r="Z391" i="16"/>
  <c r="V391" i="16"/>
  <c r="R391" i="16"/>
  <c r="N391" i="16"/>
  <c r="L391" i="16"/>
  <c r="AK391" i="16" s="1"/>
  <c r="AL390" i="16"/>
  <c r="AH390" i="16"/>
  <c r="Z390" i="16"/>
  <c r="V390" i="16"/>
  <c r="R390" i="16"/>
  <c r="N390" i="16"/>
  <c r="L390" i="16"/>
  <c r="AK390" i="16" s="1"/>
  <c r="AL389" i="16"/>
  <c r="AH389" i="16"/>
  <c r="Z389" i="16"/>
  <c r="V389" i="16"/>
  <c r="R389" i="16"/>
  <c r="N389" i="16"/>
  <c r="L389" i="16"/>
  <c r="AK389" i="16" s="1"/>
  <c r="AL388" i="16"/>
  <c r="AH388" i="16"/>
  <c r="Z388" i="16"/>
  <c r="V388" i="16"/>
  <c r="R388" i="16"/>
  <c r="N388" i="16"/>
  <c r="L388" i="16"/>
  <c r="AK388" i="16" s="1"/>
  <c r="AL387" i="16"/>
  <c r="AH387" i="16"/>
  <c r="Z387" i="16"/>
  <c r="V387" i="16"/>
  <c r="R387" i="16"/>
  <c r="N387" i="16"/>
  <c r="L387" i="16"/>
  <c r="AK387" i="16" s="1"/>
  <c r="AL386" i="16"/>
  <c r="AH386" i="16"/>
  <c r="Z386" i="16"/>
  <c r="V386" i="16"/>
  <c r="R386" i="16"/>
  <c r="N386" i="16"/>
  <c r="L386" i="16"/>
  <c r="AK386" i="16" s="1"/>
  <c r="AL385" i="16"/>
  <c r="AH385" i="16"/>
  <c r="Z385" i="16"/>
  <c r="V385" i="16"/>
  <c r="R385" i="16"/>
  <c r="N385" i="16"/>
  <c r="L385" i="16"/>
  <c r="AK385" i="16" s="1"/>
  <c r="AL384" i="16"/>
  <c r="AH384" i="16"/>
  <c r="Z384" i="16"/>
  <c r="V384" i="16"/>
  <c r="R384" i="16"/>
  <c r="N384" i="16"/>
  <c r="L384" i="16"/>
  <c r="AK384" i="16" s="1"/>
  <c r="AL383" i="16"/>
  <c r="AH383" i="16"/>
  <c r="Z383" i="16"/>
  <c r="V383" i="16"/>
  <c r="R383" i="16"/>
  <c r="N383" i="16"/>
  <c r="L383" i="16"/>
  <c r="AK383" i="16" s="1"/>
  <c r="AL382" i="16"/>
  <c r="AH382" i="16"/>
  <c r="Z382" i="16"/>
  <c r="V382" i="16"/>
  <c r="R382" i="16"/>
  <c r="N382" i="16"/>
  <c r="L382" i="16"/>
  <c r="AK382" i="16" s="1"/>
  <c r="AL381" i="16"/>
  <c r="AH381" i="16"/>
  <c r="Z381" i="16"/>
  <c r="V381" i="16"/>
  <c r="R381" i="16"/>
  <c r="N381" i="16"/>
  <c r="L381" i="16"/>
  <c r="AK381" i="16" s="1"/>
  <c r="AL380" i="16"/>
  <c r="AH380" i="16"/>
  <c r="Z380" i="16"/>
  <c r="V380" i="16"/>
  <c r="R380" i="16"/>
  <c r="N380" i="16"/>
  <c r="L380" i="16"/>
  <c r="AK380" i="16" s="1"/>
  <c r="AL379" i="16"/>
  <c r="AH379" i="16"/>
  <c r="Z379" i="16"/>
  <c r="V379" i="16"/>
  <c r="R379" i="16"/>
  <c r="N379" i="16"/>
  <c r="L379" i="16"/>
  <c r="AK379" i="16" s="1"/>
  <c r="AL378" i="16"/>
  <c r="AH378" i="16"/>
  <c r="Z378" i="16"/>
  <c r="V378" i="16"/>
  <c r="R378" i="16"/>
  <c r="N378" i="16"/>
  <c r="L378" i="16"/>
  <c r="AK378" i="16" s="1"/>
  <c r="AL377" i="16"/>
  <c r="AH377" i="16"/>
  <c r="Z377" i="16"/>
  <c r="V377" i="16"/>
  <c r="R377" i="16"/>
  <c r="N377" i="16"/>
  <c r="L377" i="16"/>
  <c r="AK377" i="16" s="1"/>
  <c r="L376" i="16"/>
  <c r="AH375" i="16"/>
  <c r="Z375" i="16"/>
  <c r="X375" i="16"/>
  <c r="R375" i="16"/>
  <c r="P375" i="16"/>
  <c r="L375" i="16"/>
  <c r="L374" i="16"/>
  <c r="AH373" i="16"/>
  <c r="Z373" i="16"/>
  <c r="X373" i="16"/>
  <c r="R373" i="16"/>
  <c r="P373" i="16"/>
  <c r="L373" i="16"/>
  <c r="L372" i="16"/>
  <c r="AH371" i="16"/>
  <c r="Z371" i="16"/>
  <c r="X371" i="16"/>
  <c r="R371" i="16"/>
  <c r="P371" i="16"/>
  <c r="L371" i="16"/>
  <c r="L370" i="16"/>
  <c r="AH369" i="16"/>
  <c r="Z369" i="16"/>
  <c r="X369" i="16"/>
  <c r="R369" i="16"/>
  <c r="P369" i="16"/>
  <c r="L369" i="16"/>
  <c r="L368" i="16"/>
  <c r="AH367" i="16"/>
  <c r="Z367" i="16"/>
  <c r="X367" i="16"/>
  <c r="R367" i="16"/>
  <c r="P367" i="16"/>
  <c r="L367" i="16"/>
  <c r="L366" i="16"/>
  <c r="AH365" i="16"/>
  <c r="Z365" i="16"/>
  <c r="X365" i="16"/>
  <c r="R365" i="16"/>
  <c r="P365" i="16"/>
  <c r="L365" i="16"/>
  <c r="L364" i="16"/>
  <c r="AH363" i="16"/>
  <c r="Z363" i="16"/>
  <c r="X363" i="16"/>
  <c r="R363" i="16"/>
  <c r="P363" i="16"/>
  <c r="L363" i="16"/>
  <c r="L362" i="16"/>
  <c r="AH361" i="16"/>
  <c r="Z361" i="16"/>
  <c r="X361" i="16"/>
  <c r="V361" i="16"/>
  <c r="R361" i="16"/>
  <c r="P361" i="16"/>
  <c r="N361" i="16"/>
  <c r="L361" i="16"/>
  <c r="L360" i="16"/>
  <c r="AH359" i="16"/>
  <c r="Z359" i="16"/>
  <c r="X359" i="16"/>
  <c r="R359" i="16"/>
  <c r="P359" i="16"/>
  <c r="L359" i="16"/>
  <c r="L358" i="16"/>
  <c r="AH357" i="16"/>
  <c r="Z357" i="16"/>
  <c r="X357" i="16"/>
  <c r="V357" i="16"/>
  <c r="R357" i="16"/>
  <c r="P357" i="16"/>
  <c r="N357" i="16"/>
  <c r="L357" i="16"/>
  <c r="L356" i="16"/>
  <c r="AH355" i="16"/>
  <c r="Z355" i="16"/>
  <c r="X355" i="16"/>
  <c r="R355" i="16"/>
  <c r="P355" i="16"/>
  <c r="L355" i="16"/>
  <c r="L354" i="16"/>
  <c r="AH353" i="16"/>
  <c r="Z353" i="16"/>
  <c r="X353" i="16"/>
  <c r="R353" i="16"/>
  <c r="P353" i="16"/>
  <c r="L353" i="16"/>
  <c r="L352" i="16"/>
  <c r="AH351" i="16"/>
  <c r="Z351" i="16"/>
  <c r="X351" i="16"/>
  <c r="R351" i="16"/>
  <c r="P351" i="16"/>
  <c r="L351" i="16"/>
  <c r="L350" i="16"/>
  <c r="AH349" i="16"/>
  <c r="Z349" i="16"/>
  <c r="X349" i="16"/>
  <c r="R349" i="16"/>
  <c r="P349" i="16"/>
  <c r="L349" i="16"/>
  <c r="L348" i="16"/>
  <c r="AH347" i="16"/>
  <c r="Z347" i="16"/>
  <c r="X347" i="16"/>
  <c r="R347" i="16"/>
  <c r="P347" i="16"/>
  <c r="L347" i="16"/>
  <c r="L346" i="16"/>
  <c r="AH345" i="16"/>
  <c r="Z345" i="16"/>
  <c r="X345" i="16"/>
  <c r="R345" i="16"/>
  <c r="P345" i="16"/>
  <c r="L345" i="16"/>
  <c r="L344" i="16"/>
  <c r="AH343" i="16"/>
  <c r="Z343" i="16"/>
  <c r="X343" i="16"/>
  <c r="R343" i="16"/>
  <c r="P343" i="16"/>
  <c r="L343" i="16"/>
  <c r="L342" i="16"/>
  <c r="AH341" i="16"/>
  <c r="Z341" i="16"/>
  <c r="X341" i="16"/>
  <c r="R341" i="16"/>
  <c r="P341" i="16"/>
  <c r="L341" i="16"/>
  <c r="L340" i="16"/>
  <c r="AH339" i="16"/>
  <c r="Z339" i="16"/>
  <c r="X339" i="16"/>
  <c r="R339" i="16"/>
  <c r="P339" i="16"/>
  <c r="L339" i="16"/>
  <c r="L338" i="16"/>
  <c r="AH337" i="16"/>
  <c r="Z337" i="16"/>
  <c r="X337" i="16"/>
  <c r="R337" i="16"/>
  <c r="P337" i="16"/>
  <c r="L337" i="16"/>
  <c r="L336" i="16"/>
  <c r="AH335" i="16"/>
  <c r="Z335" i="16"/>
  <c r="X335" i="16"/>
  <c r="R335" i="16"/>
  <c r="P335" i="16"/>
  <c r="L335" i="16"/>
  <c r="L334" i="16"/>
  <c r="AH333" i="16"/>
  <c r="Z333" i="16"/>
  <c r="X333" i="16"/>
  <c r="R333" i="16"/>
  <c r="P333" i="16"/>
  <c r="L333" i="16"/>
  <c r="L332" i="16"/>
  <c r="AH331" i="16"/>
  <c r="Z331" i="16"/>
  <c r="X331" i="16"/>
  <c r="R331" i="16"/>
  <c r="P331" i="16"/>
  <c r="L331" i="16"/>
  <c r="L330" i="16"/>
  <c r="AH329" i="16"/>
  <c r="Z329" i="16"/>
  <c r="X329" i="16"/>
  <c r="R329" i="16"/>
  <c r="P329" i="16"/>
  <c r="L329" i="16"/>
  <c r="L328" i="16"/>
  <c r="AH327" i="16"/>
  <c r="Z327" i="16"/>
  <c r="X327" i="16"/>
  <c r="V327" i="16"/>
  <c r="R327" i="16"/>
  <c r="P327" i="16"/>
  <c r="N327" i="16"/>
  <c r="L327" i="16"/>
  <c r="L326" i="16"/>
  <c r="AH325" i="16"/>
  <c r="Z325" i="16"/>
  <c r="X325" i="16"/>
  <c r="R325" i="16"/>
  <c r="P325" i="16"/>
  <c r="L325" i="16"/>
  <c r="L324" i="16"/>
  <c r="AH323" i="16"/>
  <c r="Z323" i="16"/>
  <c r="X323" i="16"/>
  <c r="V323" i="16"/>
  <c r="R323" i="16"/>
  <c r="P323" i="16"/>
  <c r="N323" i="16"/>
  <c r="L323" i="16"/>
  <c r="L322" i="16"/>
  <c r="AH321" i="16"/>
  <c r="Z321" i="16"/>
  <c r="X321" i="16"/>
  <c r="R321" i="16"/>
  <c r="P321" i="16"/>
  <c r="L321" i="16"/>
  <c r="L320" i="16"/>
  <c r="AH319" i="16"/>
  <c r="Z319" i="16"/>
  <c r="X319" i="16"/>
  <c r="R319" i="16"/>
  <c r="P319" i="16"/>
  <c r="L319" i="16"/>
  <c r="L318" i="16"/>
  <c r="AH317" i="16"/>
  <c r="Z317" i="16"/>
  <c r="X317" i="16"/>
  <c r="R317" i="16"/>
  <c r="P317" i="16"/>
  <c r="L317" i="16"/>
  <c r="L316" i="16"/>
  <c r="AH315" i="16"/>
  <c r="Z315" i="16"/>
  <c r="X315" i="16"/>
  <c r="R315" i="16"/>
  <c r="P315" i="16"/>
  <c r="L315" i="16"/>
  <c r="L314" i="16"/>
  <c r="AH313" i="16"/>
  <c r="Z313" i="16"/>
  <c r="X313" i="16"/>
  <c r="R313" i="16"/>
  <c r="P313" i="16"/>
  <c r="L313" i="16"/>
  <c r="L312" i="16"/>
  <c r="AH311" i="16"/>
  <c r="Z311" i="16"/>
  <c r="X311" i="16"/>
  <c r="R311" i="16"/>
  <c r="P311" i="16"/>
  <c r="L311" i="16"/>
  <c r="L310" i="16"/>
  <c r="AH309" i="16"/>
  <c r="Z309" i="16"/>
  <c r="X309" i="16"/>
  <c r="R309" i="16"/>
  <c r="P309" i="16"/>
  <c r="L309" i="16"/>
  <c r="L308" i="16"/>
  <c r="AH307" i="16"/>
  <c r="Z307" i="16"/>
  <c r="X307" i="16"/>
  <c r="R307" i="16"/>
  <c r="P307" i="16"/>
  <c r="L307" i="16"/>
  <c r="L306" i="16"/>
  <c r="AH305" i="16"/>
  <c r="Z305" i="16"/>
  <c r="X305" i="16"/>
  <c r="R305" i="16"/>
  <c r="P305" i="16"/>
  <c r="L305" i="16"/>
  <c r="L304" i="16"/>
  <c r="AH303" i="16"/>
  <c r="Z303" i="16"/>
  <c r="X303" i="16"/>
  <c r="R303" i="16"/>
  <c r="P303" i="16"/>
  <c r="L303" i="16"/>
  <c r="L302" i="16"/>
  <c r="AH301" i="16"/>
  <c r="Z301" i="16"/>
  <c r="X301" i="16"/>
  <c r="R301" i="16"/>
  <c r="P301" i="16"/>
  <c r="L301" i="16"/>
  <c r="L300" i="16"/>
  <c r="AH299" i="16"/>
  <c r="Z299" i="16"/>
  <c r="X299" i="16"/>
  <c r="R299" i="16"/>
  <c r="P299" i="16"/>
  <c r="L299" i="16"/>
  <c r="L298" i="16"/>
  <c r="AH297" i="16"/>
  <c r="Z297" i="16"/>
  <c r="X297" i="16"/>
  <c r="R297" i="16"/>
  <c r="P297" i="16"/>
  <c r="L297" i="16"/>
  <c r="L296" i="16"/>
  <c r="AH295" i="16"/>
  <c r="Z295" i="16"/>
  <c r="X295" i="16"/>
  <c r="R295" i="16"/>
  <c r="P295" i="16"/>
  <c r="L295" i="16"/>
  <c r="L294" i="16"/>
  <c r="AH293" i="16"/>
  <c r="Z293" i="16"/>
  <c r="X293" i="16"/>
  <c r="R293" i="16"/>
  <c r="P293" i="16"/>
  <c r="L293" i="16"/>
  <c r="L292" i="16"/>
  <c r="AH291" i="16"/>
  <c r="Z291" i="16"/>
  <c r="X291" i="16"/>
  <c r="R291" i="16"/>
  <c r="P291" i="16"/>
  <c r="L291" i="16"/>
  <c r="L290" i="16"/>
  <c r="AH289" i="16"/>
  <c r="Z289" i="16"/>
  <c r="X289" i="16"/>
  <c r="R289" i="16"/>
  <c r="P289" i="16"/>
  <c r="L289" i="16"/>
  <c r="L288" i="16"/>
  <c r="AH287" i="16"/>
  <c r="Z287" i="16"/>
  <c r="X287" i="16"/>
  <c r="R287" i="16"/>
  <c r="P287" i="16"/>
  <c r="L287" i="16"/>
  <c r="L286" i="16"/>
  <c r="AH285" i="16"/>
  <c r="Z285" i="16"/>
  <c r="X285" i="16"/>
  <c r="R285" i="16"/>
  <c r="P285" i="16"/>
  <c r="L285" i="16"/>
  <c r="L284" i="16"/>
  <c r="AH283" i="16"/>
  <c r="Z283" i="16"/>
  <c r="X283" i="16"/>
  <c r="R283" i="16"/>
  <c r="P283" i="16"/>
  <c r="L283" i="16"/>
  <c r="L282" i="16"/>
  <c r="AH281" i="16"/>
  <c r="Z281" i="16"/>
  <c r="X281" i="16"/>
  <c r="R281" i="16"/>
  <c r="P281" i="16"/>
  <c r="L281" i="16"/>
  <c r="L280" i="16"/>
  <c r="AH279" i="16"/>
  <c r="Z279" i="16"/>
  <c r="X279" i="16"/>
  <c r="R279" i="16"/>
  <c r="P279" i="16"/>
  <c r="L279" i="16"/>
  <c r="T278" i="16"/>
  <c r="L278" i="16"/>
  <c r="AJ278" i="16" s="1"/>
  <c r="AH277" i="16"/>
  <c r="Z277" i="16"/>
  <c r="X277" i="16"/>
  <c r="R277" i="16"/>
  <c r="P277" i="16"/>
  <c r="L277" i="16"/>
  <c r="L276" i="16"/>
  <c r="AJ276" i="16" s="1"/>
  <c r="AH275" i="16"/>
  <c r="Z275" i="16"/>
  <c r="X275" i="16"/>
  <c r="R275" i="16"/>
  <c r="P275" i="16"/>
  <c r="L275" i="16"/>
  <c r="AJ274" i="16"/>
  <c r="L274" i="16"/>
  <c r="AH273" i="16"/>
  <c r="Z273" i="16"/>
  <c r="X273" i="16"/>
  <c r="R273" i="16"/>
  <c r="P273" i="16"/>
  <c r="L273" i="16"/>
  <c r="AJ272" i="16"/>
  <c r="T272" i="16"/>
  <c r="L272" i="16"/>
  <c r="AH271" i="16"/>
  <c r="Z271" i="16"/>
  <c r="X271" i="16"/>
  <c r="R271" i="16"/>
  <c r="P271" i="16"/>
  <c r="L271" i="16"/>
  <c r="T270" i="16"/>
  <c r="L270" i="16"/>
  <c r="AJ270" i="16" s="1"/>
  <c r="AH269" i="16"/>
  <c r="Z269" i="16"/>
  <c r="X269" i="16"/>
  <c r="R269" i="16"/>
  <c r="P269" i="16"/>
  <c r="L269" i="16"/>
  <c r="L268" i="16"/>
  <c r="AJ268" i="16" s="1"/>
  <c r="AH267" i="16"/>
  <c r="Z267" i="16"/>
  <c r="X267" i="16"/>
  <c r="R267" i="16"/>
  <c r="P267" i="16"/>
  <c r="L267" i="16"/>
  <c r="AJ266" i="16"/>
  <c r="L266" i="16"/>
  <c r="AH265" i="16"/>
  <c r="Z265" i="16"/>
  <c r="X265" i="16"/>
  <c r="R265" i="16"/>
  <c r="P265" i="16"/>
  <c r="L265" i="16"/>
  <c r="AJ264" i="16"/>
  <c r="T264" i="16"/>
  <c r="L264" i="16"/>
  <c r="AH263" i="16"/>
  <c r="Z263" i="16"/>
  <c r="X263" i="16"/>
  <c r="R263" i="16"/>
  <c r="P263" i="16"/>
  <c r="L263" i="16"/>
  <c r="T262" i="16"/>
  <c r="L262" i="16"/>
  <c r="AJ262" i="16" s="1"/>
  <c r="AH261" i="16"/>
  <c r="Z261" i="16"/>
  <c r="X261" i="16"/>
  <c r="R261" i="16"/>
  <c r="P261" i="16"/>
  <c r="L261" i="16"/>
  <c r="L260" i="16"/>
  <c r="AJ260" i="16" s="1"/>
  <c r="AH259" i="16"/>
  <c r="Z259" i="16"/>
  <c r="X259" i="16"/>
  <c r="R259" i="16"/>
  <c r="P259" i="16"/>
  <c r="L259" i="16"/>
  <c r="AJ258" i="16"/>
  <c r="L258" i="16"/>
  <c r="AH257" i="16"/>
  <c r="Z257" i="16"/>
  <c r="X257" i="16"/>
  <c r="R257" i="16"/>
  <c r="P257" i="16"/>
  <c r="L257" i="16"/>
  <c r="AJ256" i="16"/>
  <c r="T256" i="16"/>
  <c r="L256" i="16"/>
  <c r="AH255" i="16"/>
  <c r="Z255" i="16"/>
  <c r="X255" i="16"/>
  <c r="R255" i="16"/>
  <c r="P255" i="16"/>
  <c r="L255" i="16"/>
  <c r="T254" i="16"/>
  <c r="L254" i="16"/>
  <c r="AJ254" i="16" s="1"/>
  <c r="AH253" i="16"/>
  <c r="Z253" i="16"/>
  <c r="X253" i="16"/>
  <c r="R253" i="16"/>
  <c r="P253" i="16"/>
  <c r="L253" i="16"/>
  <c r="L252" i="16"/>
  <c r="AJ252" i="16" s="1"/>
  <c r="AH251" i="16"/>
  <c r="Z251" i="16"/>
  <c r="X251" i="16"/>
  <c r="R251" i="16"/>
  <c r="P251" i="16"/>
  <c r="L251" i="16"/>
  <c r="AJ250" i="16"/>
  <c r="L250" i="16"/>
  <c r="AH249" i="16"/>
  <c r="Z249" i="16"/>
  <c r="X249" i="16"/>
  <c r="R249" i="16"/>
  <c r="P249" i="16"/>
  <c r="L249" i="16"/>
  <c r="AJ248" i="16"/>
  <c r="T248" i="16"/>
  <c r="L248" i="16"/>
  <c r="AH247" i="16"/>
  <c r="Z247" i="16"/>
  <c r="X247" i="16"/>
  <c r="R247" i="16"/>
  <c r="P247" i="16"/>
  <c r="L247" i="16"/>
  <c r="T246" i="16"/>
  <c r="L246" i="16"/>
  <c r="AJ246" i="16" s="1"/>
  <c r="AH245" i="16"/>
  <c r="Z245" i="16"/>
  <c r="X245" i="16"/>
  <c r="R245" i="16"/>
  <c r="P245" i="16"/>
  <c r="L245" i="16"/>
  <c r="L244" i="16"/>
  <c r="AJ244" i="16" s="1"/>
  <c r="AH243" i="16"/>
  <c r="Z243" i="16"/>
  <c r="X243" i="16"/>
  <c r="R243" i="16"/>
  <c r="P243" i="16"/>
  <c r="L243" i="16"/>
  <c r="AJ242" i="16"/>
  <c r="L242" i="16"/>
  <c r="AH241" i="16"/>
  <c r="Z241" i="16"/>
  <c r="X241" i="16"/>
  <c r="R241" i="16"/>
  <c r="P241" i="16"/>
  <c r="L241" i="16"/>
  <c r="AJ240" i="16"/>
  <c r="T240" i="16"/>
  <c r="L240" i="16"/>
  <c r="AH239" i="16"/>
  <c r="Z239" i="16"/>
  <c r="X239" i="16"/>
  <c r="R239" i="16"/>
  <c r="P239" i="16"/>
  <c r="L239" i="16"/>
  <c r="T238" i="16"/>
  <c r="L238" i="16"/>
  <c r="AJ238" i="16" s="1"/>
  <c r="AH237" i="16"/>
  <c r="Z237" i="16"/>
  <c r="X237" i="16"/>
  <c r="R237" i="16"/>
  <c r="P237" i="16"/>
  <c r="L237" i="16"/>
  <c r="L236" i="16"/>
  <c r="AJ236" i="16" s="1"/>
  <c r="AH235" i="16"/>
  <c r="Z235" i="16"/>
  <c r="X235" i="16"/>
  <c r="R235" i="16"/>
  <c r="P235" i="16"/>
  <c r="L235" i="16"/>
  <c r="AJ234" i="16"/>
  <c r="L234" i="16"/>
  <c r="AH233" i="16"/>
  <c r="Z233" i="16"/>
  <c r="X233" i="16"/>
  <c r="R233" i="16"/>
  <c r="P233" i="16"/>
  <c r="L233" i="16"/>
  <c r="AJ232" i="16"/>
  <c r="T232" i="16"/>
  <c r="L232" i="16"/>
  <c r="AH231" i="16"/>
  <c r="Z231" i="16"/>
  <c r="X231" i="16"/>
  <c r="R231" i="16"/>
  <c r="P231" i="16"/>
  <c r="L231" i="16"/>
  <c r="T230" i="16"/>
  <c r="L230" i="16"/>
  <c r="AJ230" i="16" s="1"/>
  <c r="AH229" i="16"/>
  <c r="Z229" i="16"/>
  <c r="X229" i="16"/>
  <c r="R229" i="16"/>
  <c r="P229" i="16"/>
  <c r="N229" i="16"/>
  <c r="L229" i="16"/>
  <c r="L228" i="16"/>
  <c r="AJ228" i="16" s="1"/>
  <c r="AH227" i="16"/>
  <c r="Z227" i="16"/>
  <c r="X227" i="16"/>
  <c r="R227" i="16"/>
  <c r="P227" i="16"/>
  <c r="L227" i="16"/>
  <c r="AJ226" i="16"/>
  <c r="T226" i="16"/>
  <c r="L226" i="16"/>
  <c r="AH225" i="16"/>
  <c r="Z225" i="16"/>
  <c r="X225" i="16"/>
  <c r="R225" i="16"/>
  <c r="P225" i="16"/>
  <c r="L225" i="16"/>
  <c r="L224" i="16"/>
  <c r="AJ224" i="16" s="1"/>
  <c r="AH223" i="16"/>
  <c r="Z223" i="16"/>
  <c r="X223" i="16"/>
  <c r="R223" i="16"/>
  <c r="P223" i="16"/>
  <c r="L223" i="16"/>
  <c r="AJ222" i="16"/>
  <c r="T222" i="16"/>
  <c r="L222" i="16"/>
  <c r="AH221" i="16"/>
  <c r="Z221" i="16"/>
  <c r="X221" i="16"/>
  <c r="R221" i="16"/>
  <c r="P221" i="16"/>
  <c r="L221" i="16"/>
  <c r="L220" i="16"/>
  <c r="AJ220" i="16" s="1"/>
  <c r="AH219" i="16"/>
  <c r="Z219" i="16"/>
  <c r="X219" i="16"/>
  <c r="R219" i="16"/>
  <c r="P219" i="16"/>
  <c r="L219" i="16"/>
  <c r="AJ218" i="16"/>
  <c r="T218" i="16"/>
  <c r="L218" i="16"/>
  <c r="AH217" i="16"/>
  <c r="Z217" i="16"/>
  <c r="X217" i="16"/>
  <c r="R217" i="16"/>
  <c r="P217" i="16"/>
  <c r="L217" i="16"/>
  <c r="L216" i="16"/>
  <c r="AJ216" i="16" s="1"/>
  <c r="AH215" i="16"/>
  <c r="Z215" i="16"/>
  <c r="X215" i="16"/>
  <c r="R215" i="16"/>
  <c r="P215" i="16"/>
  <c r="L215" i="16"/>
  <c r="AJ214" i="16"/>
  <c r="T214" i="16"/>
  <c r="L214" i="16"/>
  <c r="AH213" i="16"/>
  <c r="Z213" i="16"/>
  <c r="X213" i="16"/>
  <c r="R213" i="16"/>
  <c r="P213" i="16"/>
  <c r="L213" i="16"/>
  <c r="L212" i="16"/>
  <c r="AJ212" i="16" s="1"/>
  <c r="AH211" i="16"/>
  <c r="Z211" i="16"/>
  <c r="X211" i="16"/>
  <c r="R211" i="16"/>
  <c r="P211" i="16"/>
  <c r="L211" i="16"/>
  <c r="AJ210" i="16"/>
  <c r="T210" i="16"/>
  <c r="L210" i="16"/>
  <c r="AH209" i="16"/>
  <c r="Z209" i="16"/>
  <c r="X209" i="16"/>
  <c r="R209" i="16"/>
  <c r="P209" i="16"/>
  <c r="L209" i="16"/>
  <c r="L208" i="16"/>
  <c r="AJ208" i="16" s="1"/>
  <c r="AH207" i="16"/>
  <c r="Z207" i="16"/>
  <c r="X207" i="16"/>
  <c r="R207" i="16"/>
  <c r="P207" i="16"/>
  <c r="L207" i="16"/>
  <c r="AJ206" i="16"/>
  <c r="T206" i="16"/>
  <c r="L206" i="16"/>
  <c r="AH205" i="16"/>
  <c r="Z205" i="16"/>
  <c r="X205" i="16"/>
  <c r="R205" i="16"/>
  <c r="P205" i="16"/>
  <c r="L205" i="16"/>
  <c r="L204" i="16"/>
  <c r="AJ204" i="16" s="1"/>
  <c r="AH203" i="16"/>
  <c r="Z203" i="16"/>
  <c r="X203" i="16"/>
  <c r="R203" i="16"/>
  <c r="P203" i="16"/>
  <c r="L203" i="16"/>
  <c r="AJ202" i="16"/>
  <c r="T202" i="16"/>
  <c r="L202" i="16"/>
  <c r="AH201" i="16"/>
  <c r="Z201" i="16"/>
  <c r="X201" i="16"/>
  <c r="R201" i="16"/>
  <c r="P201" i="16"/>
  <c r="L201" i="16"/>
  <c r="L200" i="16"/>
  <c r="AJ200" i="16" s="1"/>
  <c r="AH199" i="16"/>
  <c r="Z199" i="16"/>
  <c r="X199" i="16"/>
  <c r="R199" i="16"/>
  <c r="P199" i="16"/>
  <c r="L199" i="16"/>
  <c r="AJ198" i="16"/>
  <c r="T198" i="16"/>
  <c r="L198" i="16"/>
  <c r="AH197" i="16"/>
  <c r="Z197" i="16"/>
  <c r="X197" i="16"/>
  <c r="R197" i="16"/>
  <c r="P197" i="16"/>
  <c r="L197" i="16"/>
  <c r="L196" i="16"/>
  <c r="AJ196" i="16" s="1"/>
  <c r="AH195" i="16"/>
  <c r="Z195" i="16"/>
  <c r="X195" i="16"/>
  <c r="R195" i="16"/>
  <c r="P195" i="16"/>
  <c r="L195" i="16"/>
  <c r="AJ194" i="16"/>
  <c r="T194" i="16"/>
  <c r="L194" i="16"/>
  <c r="AH193" i="16"/>
  <c r="Z193" i="16"/>
  <c r="X193" i="16"/>
  <c r="R193" i="16"/>
  <c r="P193" i="16"/>
  <c r="L193" i="16"/>
  <c r="L192" i="16"/>
  <c r="AJ192" i="16" s="1"/>
  <c r="AH191" i="16"/>
  <c r="Z191" i="16"/>
  <c r="X191" i="16"/>
  <c r="R191" i="16"/>
  <c r="P191" i="16"/>
  <c r="L191" i="16"/>
  <c r="AJ190" i="16"/>
  <c r="T190" i="16"/>
  <c r="L190" i="16"/>
  <c r="AH189" i="16"/>
  <c r="Z189" i="16"/>
  <c r="X189" i="16"/>
  <c r="R189" i="16"/>
  <c r="P189" i="16"/>
  <c r="L189" i="16"/>
  <c r="L188" i="16"/>
  <c r="AJ188" i="16" s="1"/>
  <c r="AH187" i="16"/>
  <c r="Z187" i="16"/>
  <c r="X187" i="16"/>
  <c r="R187" i="16"/>
  <c r="P187" i="16"/>
  <c r="L187" i="16"/>
  <c r="AJ186" i="16"/>
  <c r="T186" i="16"/>
  <c r="L186" i="16"/>
  <c r="AH185" i="16"/>
  <c r="Z185" i="16"/>
  <c r="X185" i="16"/>
  <c r="R185" i="16"/>
  <c r="P185" i="16"/>
  <c r="L185" i="16"/>
  <c r="L184" i="16"/>
  <c r="AJ184" i="16" s="1"/>
  <c r="AH183" i="16"/>
  <c r="Z183" i="16"/>
  <c r="X183" i="16"/>
  <c r="R183" i="16"/>
  <c r="P183" i="16"/>
  <c r="L183" i="16"/>
  <c r="AJ182" i="16"/>
  <c r="T182" i="16"/>
  <c r="L182" i="16"/>
  <c r="AH181" i="16"/>
  <c r="Z181" i="16"/>
  <c r="X181" i="16"/>
  <c r="R181" i="16"/>
  <c r="P181" i="16"/>
  <c r="L181" i="16"/>
  <c r="L180" i="16"/>
  <c r="AJ180" i="16" s="1"/>
  <c r="AH179" i="16"/>
  <c r="Z179" i="16"/>
  <c r="X179" i="16"/>
  <c r="R179" i="16"/>
  <c r="P179" i="16"/>
  <c r="L179" i="16"/>
  <c r="AJ178" i="16"/>
  <c r="T178" i="16"/>
  <c r="L178" i="16"/>
  <c r="AH177" i="16"/>
  <c r="Z177" i="16"/>
  <c r="X177" i="16"/>
  <c r="R177" i="16"/>
  <c r="P177" i="16"/>
  <c r="L177" i="16"/>
  <c r="L176" i="16"/>
  <c r="AJ176" i="16" s="1"/>
  <c r="AH175" i="16"/>
  <c r="Z175" i="16"/>
  <c r="X175" i="16"/>
  <c r="R175" i="16"/>
  <c r="P175" i="16"/>
  <c r="L175" i="16"/>
  <c r="AJ174" i="16"/>
  <c r="T174" i="16"/>
  <c r="L174" i="16"/>
  <c r="AH173" i="16"/>
  <c r="Z173" i="16"/>
  <c r="X173" i="16"/>
  <c r="R173" i="16"/>
  <c r="P173" i="16"/>
  <c r="L173" i="16"/>
  <c r="L172" i="16"/>
  <c r="AJ172" i="16" s="1"/>
  <c r="AH171" i="16"/>
  <c r="Z171" i="16"/>
  <c r="X171" i="16"/>
  <c r="R171" i="16"/>
  <c r="P171" i="16"/>
  <c r="L171" i="16"/>
  <c r="AJ170" i="16"/>
  <c r="T170" i="16"/>
  <c r="L170" i="16"/>
  <c r="AH169" i="16"/>
  <c r="Z169" i="16"/>
  <c r="X169" i="16"/>
  <c r="R169" i="16"/>
  <c r="P169" i="16"/>
  <c r="L169" i="16"/>
  <c r="L168" i="16"/>
  <c r="AJ168" i="16" s="1"/>
  <c r="AH167" i="16"/>
  <c r="Z167" i="16"/>
  <c r="X167" i="16"/>
  <c r="R167" i="16"/>
  <c r="P167" i="16"/>
  <c r="L167" i="16"/>
  <c r="AJ166" i="16"/>
  <c r="T166" i="16"/>
  <c r="L166" i="16"/>
  <c r="AH165" i="16"/>
  <c r="Z165" i="16"/>
  <c r="X165" i="16"/>
  <c r="R165" i="16"/>
  <c r="P165" i="16"/>
  <c r="L165" i="16"/>
  <c r="L164" i="16"/>
  <c r="AJ164" i="16" s="1"/>
  <c r="AH163" i="16"/>
  <c r="Z163" i="16"/>
  <c r="X163" i="16"/>
  <c r="R163" i="16"/>
  <c r="P163" i="16"/>
  <c r="L163" i="16"/>
  <c r="AJ162" i="16"/>
  <c r="T162" i="16"/>
  <c r="L162" i="16"/>
  <c r="AH161" i="16"/>
  <c r="Z161" i="16"/>
  <c r="X161" i="16"/>
  <c r="R161" i="16"/>
  <c r="P161" i="16"/>
  <c r="L161" i="16"/>
  <c r="L160" i="16"/>
  <c r="AJ160" i="16" s="1"/>
  <c r="AH159" i="16"/>
  <c r="Z159" i="16"/>
  <c r="X159" i="16"/>
  <c r="R159" i="16"/>
  <c r="P159" i="16"/>
  <c r="L159" i="16"/>
  <c r="AJ158" i="16"/>
  <c r="T158" i="16"/>
  <c r="L158" i="16"/>
  <c r="AH157" i="16"/>
  <c r="Z157" i="16"/>
  <c r="X157" i="16"/>
  <c r="R157" i="16"/>
  <c r="P157" i="16"/>
  <c r="L157" i="16"/>
  <c r="L156" i="16"/>
  <c r="AJ156" i="16" s="1"/>
  <c r="AH155" i="16"/>
  <c r="Z155" i="16"/>
  <c r="X155" i="16"/>
  <c r="R155" i="16"/>
  <c r="P155" i="16"/>
  <c r="L155" i="16"/>
  <c r="AJ154" i="16"/>
  <c r="T154" i="16"/>
  <c r="L154" i="16"/>
  <c r="AH153" i="16"/>
  <c r="Z153" i="16"/>
  <c r="X153" i="16"/>
  <c r="R153" i="16"/>
  <c r="P153" i="16"/>
  <c r="L153" i="16"/>
  <c r="L152" i="16"/>
  <c r="AJ152" i="16" s="1"/>
  <c r="AH151" i="16"/>
  <c r="Z151" i="16"/>
  <c r="X151" i="16"/>
  <c r="R151" i="16"/>
  <c r="P151" i="16"/>
  <c r="L151" i="16"/>
  <c r="AJ150" i="16"/>
  <c r="T150" i="16"/>
  <c r="L150" i="16"/>
  <c r="AH149" i="16"/>
  <c r="Z149" i="16"/>
  <c r="X149" i="16"/>
  <c r="R149" i="16"/>
  <c r="P149" i="16"/>
  <c r="L149" i="16"/>
  <c r="L148" i="16"/>
  <c r="AJ148" i="16" s="1"/>
  <c r="AI147" i="16"/>
  <c r="AH147" i="16"/>
  <c r="AC147" i="16"/>
  <c r="AE147" i="16" s="1"/>
  <c r="Z147" i="16"/>
  <c r="V147" i="16"/>
  <c r="U147" i="16"/>
  <c r="AF147" i="16" s="1"/>
  <c r="R147" i="16"/>
  <c r="Q147" i="16"/>
  <c r="N147" i="16"/>
  <c r="M147" i="16"/>
  <c r="L147" i="16"/>
  <c r="AK147" i="16" s="1"/>
  <c r="AL146" i="16"/>
  <c r="AK146" i="16"/>
  <c r="AH146" i="16"/>
  <c r="AC146" i="16"/>
  <c r="AE146" i="16" s="1"/>
  <c r="Z146" i="16"/>
  <c r="V146" i="16"/>
  <c r="U146" i="16"/>
  <c r="AF146" i="16" s="1"/>
  <c r="R146" i="16"/>
  <c r="Q146" i="16"/>
  <c r="N146" i="16"/>
  <c r="M146" i="16"/>
  <c r="L146" i="16"/>
  <c r="AJ146" i="16" s="1"/>
  <c r="AL145" i="16"/>
  <c r="AK145" i="16"/>
  <c r="AH145" i="16"/>
  <c r="AC145" i="16"/>
  <c r="AE145" i="16" s="1"/>
  <c r="Z145" i="16"/>
  <c r="V145" i="16"/>
  <c r="U145" i="16"/>
  <c r="AF145" i="16" s="1"/>
  <c r="R145" i="16"/>
  <c r="Q145" i="16"/>
  <c r="N145" i="16"/>
  <c r="M145" i="16"/>
  <c r="L145" i="16"/>
  <c r="AJ145" i="16" s="1"/>
  <c r="AL144" i="16"/>
  <c r="AK144" i="16"/>
  <c r="AH144" i="16"/>
  <c r="AC144" i="16"/>
  <c r="AE144" i="16" s="1"/>
  <c r="Z144" i="16"/>
  <c r="V144" i="16"/>
  <c r="U144" i="16"/>
  <c r="AF144" i="16" s="1"/>
  <c r="R144" i="16"/>
  <c r="Q144" i="16"/>
  <c r="N144" i="16"/>
  <c r="M144" i="16"/>
  <c r="L144" i="16"/>
  <c r="AJ144" i="16" s="1"/>
  <c r="AL143" i="16"/>
  <c r="AK143" i="16"/>
  <c r="AH143" i="16"/>
  <c r="AC143" i="16"/>
  <c r="AE143" i="16" s="1"/>
  <c r="Z143" i="16"/>
  <c r="V143" i="16"/>
  <c r="U143" i="16"/>
  <c r="AF143" i="16" s="1"/>
  <c r="R143" i="16"/>
  <c r="Q143" i="16"/>
  <c r="N143" i="16"/>
  <c r="M143" i="16"/>
  <c r="L143" i="16"/>
  <c r="AJ143" i="16" s="1"/>
  <c r="AL142" i="16"/>
  <c r="AK142" i="16"/>
  <c r="AH142" i="16"/>
  <c r="AC142" i="16"/>
  <c r="AE142" i="16" s="1"/>
  <c r="Z142" i="16"/>
  <c r="V142" i="16"/>
  <c r="U142" i="16"/>
  <c r="AF142" i="16" s="1"/>
  <c r="R142" i="16"/>
  <c r="Q142" i="16"/>
  <c r="N142" i="16"/>
  <c r="M142" i="16"/>
  <c r="L142" i="16"/>
  <c r="AJ142" i="16" s="1"/>
  <c r="AL141" i="16"/>
  <c r="AK141" i="16"/>
  <c r="AH141" i="16"/>
  <c r="AC141" i="16"/>
  <c r="AE141" i="16" s="1"/>
  <c r="Z141" i="16"/>
  <c r="V141" i="16"/>
  <c r="U141" i="16"/>
  <c r="AF141" i="16" s="1"/>
  <c r="R141" i="16"/>
  <c r="Q141" i="16"/>
  <c r="N141" i="16"/>
  <c r="M141" i="16"/>
  <c r="L141" i="16"/>
  <c r="AJ141" i="16" s="1"/>
  <c r="AL140" i="16"/>
  <c r="AK140" i="16"/>
  <c r="AH140" i="16"/>
  <c r="AC140" i="16"/>
  <c r="AE140" i="16" s="1"/>
  <c r="Z140" i="16"/>
  <c r="V140" i="16"/>
  <c r="U140" i="16"/>
  <c r="AF140" i="16" s="1"/>
  <c r="R140" i="16"/>
  <c r="Q140" i="16"/>
  <c r="N140" i="16"/>
  <c r="M140" i="16"/>
  <c r="L140" i="16"/>
  <c r="AJ140" i="16" s="1"/>
  <c r="AL139" i="16"/>
  <c r="AK139" i="16"/>
  <c r="AH139" i="16"/>
  <c r="AC139" i="16"/>
  <c r="AE139" i="16" s="1"/>
  <c r="Z139" i="16"/>
  <c r="V139" i="16"/>
  <c r="U139" i="16"/>
  <c r="AF139" i="16" s="1"/>
  <c r="R139" i="16"/>
  <c r="Q139" i="16"/>
  <c r="N139" i="16"/>
  <c r="M139" i="16"/>
  <c r="L139" i="16"/>
  <c r="AJ139" i="16" s="1"/>
  <c r="AL138" i="16"/>
  <c r="AK138" i="16"/>
  <c r="AH138" i="16"/>
  <c r="AC138" i="16"/>
  <c r="AE138" i="16" s="1"/>
  <c r="Z138" i="16"/>
  <c r="V138" i="16"/>
  <c r="U138" i="16"/>
  <c r="AF138" i="16" s="1"/>
  <c r="R138" i="16"/>
  <c r="Q138" i="16"/>
  <c r="N138" i="16"/>
  <c r="M138" i="16"/>
  <c r="L138" i="16"/>
  <c r="AJ138" i="16" s="1"/>
  <c r="AL137" i="16"/>
  <c r="AK137" i="16"/>
  <c r="AH137" i="16"/>
  <c r="AC137" i="16"/>
  <c r="AE137" i="16" s="1"/>
  <c r="Z137" i="16"/>
  <c r="V137" i="16"/>
  <c r="U137" i="16"/>
  <c r="AF137" i="16" s="1"/>
  <c r="R137" i="16"/>
  <c r="Q137" i="16"/>
  <c r="N137" i="16"/>
  <c r="M137" i="16"/>
  <c r="L137" i="16"/>
  <c r="AJ137" i="16" s="1"/>
  <c r="AL136" i="16"/>
  <c r="AK136" i="16"/>
  <c r="AH136" i="16"/>
  <c r="AC136" i="16"/>
  <c r="AE136" i="16" s="1"/>
  <c r="Z136" i="16"/>
  <c r="V136" i="16"/>
  <c r="U136" i="16"/>
  <c r="AF136" i="16" s="1"/>
  <c r="R136" i="16"/>
  <c r="Q136" i="16"/>
  <c r="N136" i="16"/>
  <c r="M136" i="16"/>
  <c r="L136" i="16"/>
  <c r="AJ136" i="16" s="1"/>
  <c r="AL135" i="16"/>
  <c r="AK135" i="16"/>
  <c r="AH135" i="16"/>
  <c r="AC135" i="16"/>
  <c r="AE135" i="16" s="1"/>
  <c r="Z135" i="16"/>
  <c r="V135" i="16"/>
  <c r="U135" i="16"/>
  <c r="AF135" i="16" s="1"/>
  <c r="R135" i="16"/>
  <c r="Q135" i="16"/>
  <c r="N135" i="16"/>
  <c r="M135" i="16"/>
  <c r="L135" i="16"/>
  <c r="AJ135" i="16" s="1"/>
  <c r="AL134" i="16"/>
  <c r="AK134" i="16"/>
  <c r="AH134" i="16"/>
  <c r="AC134" i="16"/>
  <c r="AE134" i="16" s="1"/>
  <c r="Z134" i="16"/>
  <c r="V134" i="16"/>
  <c r="U134" i="16"/>
  <c r="AF134" i="16" s="1"/>
  <c r="R134" i="16"/>
  <c r="Q134" i="16"/>
  <c r="N134" i="16"/>
  <c r="M134" i="16"/>
  <c r="L134" i="16"/>
  <c r="AJ134" i="16" s="1"/>
  <c r="AL133" i="16"/>
  <c r="AK133" i="16"/>
  <c r="AH133" i="16"/>
  <c r="AC133" i="16"/>
  <c r="AE133" i="16" s="1"/>
  <c r="Z133" i="16"/>
  <c r="V133" i="16"/>
  <c r="U133" i="16"/>
  <c r="AF133" i="16" s="1"/>
  <c r="R133" i="16"/>
  <c r="Q133" i="16"/>
  <c r="N133" i="16"/>
  <c r="M133" i="16"/>
  <c r="L133" i="16"/>
  <c r="AJ133" i="16" s="1"/>
  <c r="AL132" i="16"/>
  <c r="AK132" i="16"/>
  <c r="AH132" i="16"/>
  <c r="AC132" i="16"/>
  <c r="AE132" i="16" s="1"/>
  <c r="Z132" i="16"/>
  <c r="V132" i="16"/>
  <c r="U132" i="16"/>
  <c r="AF132" i="16" s="1"/>
  <c r="R132" i="16"/>
  <c r="Q132" i="16"/>
  <c r="N132" i="16"/>
  <c r="M132" i="16"/>
  <c r="L132" i="16"/>
  <c r="AJ132" i="16" s="1"/>
  <c r="AL131" i="16"/>
  <c r="AK131" i="16"/>
  <c r="AH131" i="16"/>
  <c r="AC131" i="16"/>
  <c r="AE131" i="16" s="1"/>
  <c r="Z131" i="16"/>
  <c r="V131" i="16"/>
  <c r="U131" i="16"/>
  <c r="AF131" i="16" s="1"/>
  <c r="R131" i="16"/>
  <c r="Q131" i="16"/>
  <c r="N131" i="16"/>
  <c r="M131" i="16"/>
  <c r="L131" i="16"/>
  <c r="AJ131" i="16" s="1"/>
  <c r="AL130" i="16"/>
  <c r="AK130" i="16"/>
  <c r="AH130" i="16"/>
  <c r="AC130" i="16"/>
  <c r="AE130" i="16" s="1"/>
  <c r="Z130" i="16"/>
  <c r="V130" i="16"/>
  <c r="U130" i="16"/>
  <c r="AF130" i="16" s="1"/>
  <c r="R130" i="16"/>
  <c r="Q130" i="16"/>
  <c r="N130" i="16"/>
  <c r="M130" i="16"/>
  <c r="L130" i="16"/>
  <c r="AJ130" i="16" s="1"/>
  <c r="AL129" i="16"/>
  <c r="AK129" i="16"/>
  <c r="AH129" i="16"/>
  <c r="AC129" i="16"/>
  <c r="AE129" i="16" s="1"/>
  <c r="Z129" i="16"/>
  <c r="V129" i="16"/>
  <c r="U129" i="16"/>
  <c r="AF129" i="16" s="1"/>
  <c r="R129" i="16"/>
  <c r="Q129" i="16"/>
  <c r="N129" i="16"/>
  <c r="M129" i="16"/>
  <c r="L129" i="16"/>
  <c r="AJ129" i="16" s="1"/>
  <c r="AL128" i="16"/>
  <c r="AK128" i="16"/>
  <c r="AH128" i="16"/>
  <c r="AC128" i="16"/>
  <c r="AE128" i="16" s="1"/>
  <c r="Z128" i="16"/>
  <c r="V128" i="16"/>
  <c r="U128" i="16"/>
  <c r="AF128" i="16" s="1"/>
  <c r="R128" i="16"/>
  <c r="Q128" i="16"/>
  <c r="N128" i="16"/>
  <c r="M128" i="16"/>
  <c r="L128" i="16"/>
  <c r="AJ128" i="16" s="1"/>
  <c r="AL127" i="16"/>
  <c r="AK127" i="16"/>
  <c r="AH127" i="16"/>
  <c r="AC127" i="16"/>
  <c r="AE127" i="16" s="1"/>
  <c r="Z127" i="16"/>
  <c r="V127" i="16"/>
  <c r="U127" i="16"/>
  <c r="AF127" i="16" s="1"/>
  <c r="R127" i="16"/>
  <c r="Q127" i="16"/>
  <c r="N127" i="16"/>
  <c r="M127" i="16"/>
  <c r="L127" i="16"/>
  <c r="AJ127" i="16" s="1"/>
  <c r="AL126" i="16"/>
  <c r="AK126" i="16"/>
  <c r="AH126" i="16"/>
  <c r="AC126" i="16"/>
  <c r="AE126" i="16" s="1"/>
  <c r="Z126" i="16"/>
  <c r="V126" i="16"/>
  <c r="U126" i="16"/>
  <c r="AF126" i="16" s="1"/>
  <c r="R126" i="16"/>
  <c r="Q126" i="16"/>
  <c r="N126" i="16"/>
  <c r="M126" i="16"/>
  <c r="L126" i="16"/>
  <c r="AJ126" i="16" s="1"/>
  <c r="AL125" i="16"/>
  <c r="AK125" i="16"/>
  <c r="AH125" i="16"/>
  <c r="AC125" i="16"/>
  <c r="AE125" i="16" s="1"/>
  <c r="Z125" i="16"/>
  <c r="V125" i="16"/>
  <c r="U125" i="16"/>
  <c r="AF125" i="16" s="1"/>
  <c r="R125" i="16"/>
  <c r="Q125" i="16"/>
  <c r="N125" i="16"/>
  <c r="M125" i="16"/>
  <c r="L125" i="16"/>
  <c r="AJ125" i="16" s="1"/>
  <c r="AL124" i="16"/>
  <c r="AK124" i="16"/>
  <c r="AH124" i="16"/>
  <c r="AC124" i="16"/>
  <c r="AE124" i="16" s="1"/>
  <c r="Z124" i="16"/>
  <c r="V124" i="16"/>
  <c r="U124" i="16"/>
  <c r="AF124" i="16" s="1"/>
  <c r="R124" i="16"/>
  <c r="Q124" i="16"/>
  <c r="N124" i="16"/>
  <c r="M124" i="16"/>
  <c r="L124" i="16"/>
  <c r="AJ124" i="16" s="1"/>
  <c r="AL123" i="16"/>
  <c r="AK123" i="16"/>
  <c r="AH123" i="16"/>
  <c r="AC123" i="16"/>
  <c r="AE123" i="16" s="1"/>
  <c r="Z123" i="16"/>
  <c r="V123" i="16"/>
  <c r="U123" i="16"/>
  <c r="AF123" i="16" s="1"/>
  <c r="R123" i="16"/>
  <c r="Q123" i="16"/>
  <c r="N123" i="16"/>
  <c r="M123" i="16"/>
  <c r="L123" i="16"/>
  <c r="AJ123" i="16" s="1"/>
  <c r="AL122" i="16"/>
  <c r="AK122" i="16"/>
  <c r="AH122" i="16"/>
  <c r="AC122" i="16"/>
  <c r="AE122" i="16" s="1"/>
  <c r="Z122" i="16"/>
  <c r="V122" i="16"/>
  <c r="U122" i="16"/>
  <c r="AF122" i="16" s="1"/>
  <c r="R122" i="16"/>
  <c r="Q122" i="16"/>
  <c r="N122" i="16"/>
  <c r="M122" i="16"/>
  <c r="L122" i="16"/>
  <c r="AJ122" i="16" s="1"/>
  <c r="AL121" i="16"/>
  <c r="AK121" i="16"/>
  <c r="AH121" i="16"/>
  <c r="AC121" i="16"/>
  <c r="AE121" i="16" s="1"/>
  <c r="Z121" i="16"/>
  <c r="V121" i="16"/>
  <c r="U121" i="16"/>
  <c r="AF121" i="16" s="1"/>
  <c r="R121" i="16"/>
  <c r="Q121" i="16"/>
  <c r="N121" i="16"/>
  <c r="M121" i="16"/>
  <c r="L121" i="16"/>
  <c r="AJ121" i="16" s="1"/>
  <c r="AL120" i="16"/>
  <c r="AK120" i="16"/>
  <c r="AH120" i="16"/>
  <c r="AC120" i="16"/>
  <c r="AE120" i="16" s="1"/>
  <c r="Z120" i="16"/>
  <c r="V120" i="16"/>
  <c r="U120" i="16"/>
  <c r="AF120" i="16" s="1"/>
  <c r="R120" i="16"/>
  <c r="Q120" i="16"/>
  <c r="N120" i="16"/>
  <c r="M120" i="16"/>
  <c r="L120" i="16"/>
  <c r="AJ120" i="16" s="1"/>
  <c r="AL119" i="16"/>
  <c r="AK119" i="16"/>
  <c r="AH119" i="16"/>
  <c r="AC119" i="16"/>
  <c r="AE119" i="16" s="1"/>
  <c r="Z119" i="16"/>
  <c r="V119" i="16"/>
  <c r="U119" i="16"/>
  <c r="AF119" i="16" s="1"/>
  <c r="R119" i="16"/>
  <c r="Q119" i="16"/>
  <c r="N119" i="16"/>
  <c r="M119" i="16"/>
  <c r="L119" i="16"/>
  <c r="AJ119" i="16" s="1"/>
  <c r="AL118" i="16"/>
  <c r="AK118" i="16"/>
  <c r="AH118" i="16"/>
  <c r="AC118" i="16"/>
  <c r="AE118" i="16" s="1"/>
  <c r="Z118" i="16"/>
  <c r="V118" i="16"/>
  <c r="U118" i="16"/>
  <c r="AF118" i="16" s="1"/>
  <c r="R118" i="16"/>
  <c r="Q118" i="16"/>
  <c r="N118" i="16"/>
  <c r="M118" i="16"/>
  <c r="L118" i="16"/>
  <c r="AJ118" i="16" s="1"/>
  <c r="AL117" i="16"/>
  <c r="AK117" i="16"/>
  <c r="AH117" i="16"/>
  <c r="AC117" i="16"/>
  <c r="AE117" i="16" s="1"/>
  <c r="Z117" i="16"/>
  <c r="V117" i="16"/>
  <c r="U117" i="16"/>
  <c r="AF117" i="16" s="1"/>
  <c r="R117" i="16"/>
  <c r="Q117" i="16"/>
  <c r="N117" i="16"/>
  <c r="M117" i="16"/>
  <c r="L117" i="16"/>
  <c r="AJ117" i="16" s="1"/>
  <c r="AL116" i="16"/>
  <c r="AK116" i="16"/>
  <c r="AH116" i="16"/>
  <c r="AC116" i="16"/>
  <c r="AE116" i="16" s="1"/>
  <c r="Z116" i="16"/>
  <c r="V116" i="16"/>
  <c r="U116" i="16"/>
  <c r="AF116" i="16" s="1"/>
  <c r="R116" i="16"/>
  <c r="Q116" i="16"/>
  <c r="N116" i="16"/>
  <c r="M116" i="16"/>
  <c r="L116" i="16"/>
  <c r="AJ116" i="16" s="1"/>
  <c r="AL115" i="16"/>
  <c r="AK115" i="16"/>
  <c r="AH115" i="16"/>
  <c r="AC115" i="16"/>
  <c r="AE115" i="16" s="1"/>
  <c r="Z115" i="16"/>
  <c r="V115" i="16"/>
  <c r="U115" i="16"/>
  <c r="AF115" i="16" s="1"/>
  <c r="R115" i="16"/>
  <c r="Q115" i="16"/>
  <c r="N115" i="16"/>
  <c r="M115" i="16"/>
  <c r="L115" i="16"/>
  <c r="AJ115" i="16" s="1"/>
  <c r="AL114" i="16"/>
  <c r="AK114" i="16"/>
  <c r="AH114" i="16"/>
  <c r="AC114" i="16"/>
  <c r="AE114" i="16" s="1"/>
  <c r="Z114" i="16"/>
  <c r="V114" i="16"/>
  <c r="U114" i="16"/>
  <c r="AF114" i="16" s="1"/>
  <c r="R114" i="16"/>
  <c r="Q114" i="16"/>
  <c r="N114" i="16"/>
  <c r="M114" i="16"/>
  <c r="L114" i="16"/>
  <c r="AJ114" i="16" s="1"/>
  <c r="AL113" i="16"/>
  <c r="AK113" i="16"/>
  <c r="AH113" i="16"/>
  <c r="AC113" i="16"/>
  <c r="AE113" i="16" s="1"/>
  <c r="Z113" i="16"/>
  <c r="V113" i="16"/>
  <c r="U113" i="16"/>
  <c r="AF113" i="16" s="1"/>
  <c r="R113" i="16"/>
  <c r="Q113" i="16"/>
  <c r="N113" i="16"/>
  <c r="M113" i="16"/>
  <c r="L113" i="16"/>
  <c r="AJ113" i="16" s="1"/>
  <c r="AL112" i="16"/>
  <c r="AK112" i="16"/>
  <c r="AH112" i="16"/>
  <c r="AC112" i="16"/>
  <c r="AE112" i="16" s="1"/>
  <c r="Z112" i="16"/>
  <c r="V112" i="16"/>
  <c r="U112" i="16"/>
  <c r="AF112" i="16" s="1"/>
  <c r="R112" i="16"/>
  <c r="Q112" i="16"/>
  <c r="N112" i="16"/>
  <c r="M112" i="16"/>
  <c r="L112" i="16"/>
  <c r="AJ112" i="16" s="1"/>
  <c r="AL111" i="16"/>
  <c r="AK111" i="16"/>
  <c r="AH111" i="16"/>
  <c r="AC111" i="16"/>
  <c r="AE111" i="16" s="1"/>
  <c r="Z111" i="16"/>
  <c r="V111" i="16"/>
  <c r="U111" i="16"/>
  <c r="AF111" i="16" s="1"/>
  <c r="R111" i="16"/>
  <c r="Q111" i="16"/>
  <c r="N111" i="16"/>
  <c r="M111" i="16"/>
  <c r="L111" i="16"/>
  <c r="AJ111" i="16" s="1"/>
  <c r="AL110" i="16"/>
  <c r="AK110" i="16"/>
  <c r="AH110" i="16"/>
  <c r="AC110" i="16"/>
  <c r="AE110" i="16" s="1"/>
  <c r="Z110" i="16"/>
  <c r="V110" i="16"/>
  <c r="U110" i="16"/>
  <c r="AF110" i="16" s="1"/>
  <c r="R110" i="16"/>
  <c r="Q110" i="16"/>
  <c r="N110" i="16"/>
  <c r="M110" i="16"/>
  <c r="L110" i="16"/>
  <c r="AJ110" i="16" s="1"/>
  <c r="AL109" i="16"/>
  <c r="AK109" i="16"/>
  <c r="AH109" i="16"/>
  <c r="AC109" i="16"/>
  <c r="AE109" i="16" s="1"/>
  <c r="Z109" i="16"/>
  <c r="V109" i="16"/>
  <c r="U109" i="16"/>
  <c r="AF109" i="16" s="1"/>
  <c r="R109" i="16"/>
  <c r="Q109" i="16"/>
  <c r="N109" i="16"/>
  <c r="M109" i="16"/>
  <c r="L109" i="16"/>
  <c r="AJ109" i="16" s="1"/>
  <c r="AL108" i="16"/>
  <c r="AK108" i="16"/>
  <c r="AH108" i="16"/>
  <c r="AC108" i="16"/>
  <c r="AE108" i="16" s="1"/>
  <c r="Z108" i="16"/>
  <c r="V108" i="16"/>
  <c r="U108" i="16"/>
  <c r="AF108" i="16" s="1"/>
  <c r="R108" i="16"/>
  <c r="Q108" i="16"/>
  <c r="N108" i="16"/>
  <c r="M108" i="16"/>
  <c r="L108" i="16"/>
  <c r="AJ108" i="16" s="1"/>
  <c r="AL107" i="16"/>
  <c r="AK107" i="16"/>
  <c r="AH107" i="16"/>
  <c r="AC107" i="16"/>
  <c r="AE107" i="16" s="1"/>
  <c r="Z107" i="16"/>
  <c r="V107" i="16"/>
  <c r="U107" i="16"/>
  <c r="AF107" i="16" s="1"/>
  <c r="R107" i="16"/>
  <c r="Q107" i="16"/>
  <c r="N107" i="16"/>
  <c r="M107" i="16"/>
  <c r="L107" i="16"/>
  <c r="AJ107" i="16" s="1"/>
  <c r="AL106" i="16"/>
  <c r="AK106" i="16"/>
  <c r="AH106" i="16"/>
  <c r="AG106" i="16"/>
  <c r="AC106" i="16"/>
  <c r="AE106" i="16" s="1"/>
  <c r="Z106" i="16"/>
  <c r="AA106" i="16" s="1"/>
  <c r="W106" i="16"/>
  <c r="AD106" i="16" s="1"/>
  <c r="V106" i="16"/>
  <c r="U106" i="16"/>
  <c r="AF106" i="16" s="1"/>
  <c r="S106" i="16"/>
  <c r="R106" i="16"/>
  <c r="Q106" i="16"/>
  <c r="O106" i="16"/>
  <c r="N106" i="16"/>
  <c r="M106" i="16"/>
  <c r="L106" i="16"/>
  <c r="AJ106" i="16" s="1"/>
  <c r="K106" i="16"/>
  <c r="AL105" i="16"/>
  <c r="AK105" i="16"/>
  <c r="AI105" i="16"/>
  <c r="AH105" i="16"/>
  <c r="AD105" i="16"/>
  <c r="AC105" i="16"/>
  <c r="AE105" i="16" s="1"/>
  <c r="Z105" i="16"/>
  <c r="AA105" i="16" s="1"/>
  <c r="AG105" i="16" s="1"/>
  <c r="W105" i="16"/>
  <c r="V105" i="16"/>
  <c r="U105" i="16"/>
  <c r="AF105" i="16" s="1"/>
  <c r="S105" i="16"/>
  <c r="R105" i="16"/>
  <c r="Q105" i="16"/>
  <c r="O105" i="16"/>
  <c r="N105" i="16"/>
  <c r="M105" i="16"/>
  <c r="L105" i="16"/>
  <c r="AJ105" i="16" s="1"/>
  <c r="K105" i="16"/>
  <c r="AL104" i="16"/>
  <c r="AK104" i="16"/>
  <c r="AI104" i="16"/>
  <c r="AH104" i="16"/>
  <c r="AC104" i="16"/>
  <c r="AE104" i="16" s="1"/>
  <c r="Z104" i="16"/>
  <c r="AA104" i="16" s="1"/>
  <c r="AG104" i="16" s="1"/>
  <c r="W104" i="16"/>
  <c r="AD104" i="16" s="1"/>
  <c r="V104" i="16"/>
  <c r="U104" i="16"/>
  <c r="AF104" i="16" s="1"/>
  <c r="S104" i="16"/>
  <c r="R104" i="16"/>
  <c r="Q104" i="16"/>
  <c r="O104" i="16"/>
  <c r="N104" i="16"/>
  <c r="M104" i="16"/>
  <c r="L104" i="16"/>
  <c r="AJ104" i="16" s="1"/>
  <c r="K104" i="16"/>
  <c r="AL103" i="16"/>
  <c r="AK103" i="16"/>
  <c r="AI103" i="16"/>
  <c r="AH103" i="16"/>
  <c r="AC103" i="16"/>
  <c r="AE103" i="16" s="1"/>
  <c r="Z103" i="16"/>
  <c r="AA103" i="16" s="1"/>
  <c r="AG103" i="16" s="1"/>
  <c r="W103" i="16"/>
  <c r="AD103" i="16" s="1"/>
  <c r="V103" i="16"/>
  <c r="U103" i="16"/>
  <c r="AF103" i="16" s="1"/>
  <c r="S103" i="16"/>
  <c r="R103" i="16"/>
  <c r="Q103" i="16"/>
  <c r="O103" i="16"/>
  <c r="N103" i="16"/>
  <c r="M103" i="16"/>
  <c r="L103" i="16"/>
  <c r="AJ103" i="16" s="1"/>
  <c r="K103" i="16"/>
  <c r="AL102" i="16"/>
  <c r="AK102" i="16"/>
  <c r="AI102" i="16"/>
  <c r="AH102" i="16"/>
  <c r="AC102" i="16"/>
  <c r="AE102" i="16" s="1"/>
  <c r="Z102" i="16"/>
  <c r="AA102" i="16" s="1"/>
  <c r="AG102" i="16" s="1"/>
  <c r="W102" i="16"/>
  <c r="AD102" i="16" s="1"/>
  <c r="V102" i="16"/>
  <c r="U102" i="16"/>
  <c r="AF102" i="16" s="1"/>
  <c r="S102" i="16"/>
  <c r="R102" i="16"/>
  <c r="Q102" i="16"/>
  <c r="O102" i="16"/>
  <c r="N102" i="16"/>
  <c r="M102" i="16"/>
  <c r="L102" i="16"/>
  <c r="AJ102" i="16" s="1"/>
  <c r="K102" i="16"/>
  <c r="AL101" i="16"/>
  <c r="AK101" i="16"/>
  <c r="AI101" i="16"/>
  <c r="AH101" i="16"/>
  <c r="AD101" i="16"/>
  <c r="AC101" i="16"/>
  <c r="AE101" i="16" s="1"/>
  <c r="Z101" i="16"/>
  <c r="AA101" i="16" s="1"/>
  <c r="AG101" i="16" s="1"/>
  <c r="W101" i="16"/>
  <c r="V101" i="16"/>
  <c r="U101" i="16"/>
  <c r="AF101" i="16" s="1"/>
  <c r="S101" i="16"/>
  <c r="R101" i="16"/>
  <c r="Q101" i="16"/>
  <c r="O101" i="16"/>
  <c r="N101" i="16"/>
  <c r="M101" i="16"/>
  <c r="L101" i="16"/>
  <c r="AJ101" i="16" s="1"/>
  <c r="K101" i="16"/>
  <c r="AL100" i="16"/>
  <c r="AK100" i="16"/>
  <c r="AI100" i="16"/>
  <c r="AH100" i="16"/>
  <c r="AC100" i="16"/>
  <c r="AE100" i="16" s="1"/>
  <c r="Z100" i="16"/>
  <c r="AA100" i="16" s="1"/>
  <c r="AG100" i="16" s="1"/>
  <c r="W100" i="16"/>
  <c r="AD100" i="16" s="1"/>
  <c r="V100" i="16"/>
  <c r="U100" i="16"/>
  <c r="AF100" i="16" s="1"/>
  <c r="S100" i="16"/>
  <c r="R100" i="16"/>
  <c r="Q100" i="16"/>
  <c r="O100" i="16"/>
  <c r="N100" i="16"/>
  <c r="M100" i="16"/>
  <c r="L100" i="16"/>
  <c r="AJ100" i="16" s="1"/>
  <c r="K100" i="16"/>
  <c r="AL99" i="16"/>
  <c r="AK99" i="16"/>
  <c r="AI99" i="16"/>
  <c r="AH99" i="16"/>
  <c r="AC99" i="16"/>
  <c r="AE99" i="16" s="1"/>
  <c r="Z99" i="16"/>
  <c r="AA99" i="16" s="1"/>
  <c r="AG99" i="16" s="1"/>
  <c r="W99" i="16"/>
  <c r="AD99" i="16" s="1"/>
  <c r="V99" i="16"/>
  <c r="U99" i="16"/>
  <c r="AF99" i="16" s="1"/>
  <c r="S99" i="16"/>
  <c r="R99" i="16"/>
  <c r="Q99" i="16"/>
  <c r="O99" i="16"/>
  <c r="N99" i="16"/>
  <c r="M99" i="16"/>
  <c r="L99" i="16"/>
  <c r="AJ99" i="16" s="1"/>
  <c r="K99" i="16"/>
  <c r="AL98" i="16"/>
  <c r="AK98" i="16"/>
  <c r="AI98" i="16"/>
  <c r="AH98" i="16"/>
  <c r="AC98" i="16"/>
  <c r="AE98" i="16" s="1"/>
  <c r="Z98" i="16"/>
  <c r="AA98" i="16" s="1"/>
  <c r="AG98" i="16" s="1"/>
  <c r="W98" i="16"/>
  <c r="AD98" i="16" s="1"/>
  <c r="V98" i="16"/>
  <c r="U98" i="16"/>
  <c r="AF98" i="16" s="1"/>
  <c r="S98" i="16"/>
  <c r="R98" i="16"/>
  <c r="Q98" i="16"/>
  <c r="O98" i="16"/>
  <c r="N98" i="16"/>
  <c r="M98" i="16"/>
  <c r="L98" i="16"/>
  <c r="AJ98" i="16" s="1"/>
  <c r="K98" i="16"/>
  <c r="AL97" i="16"/>
  <c r="AK97" i="16"/>
  <c r="AI97" i="16"/>
  <c r="AH97" i="16"/>
  <c r="AD97" i="16"/>
  <c r="AC97" i="16"/>
  <c r="AE97" i="16" s="1"/>
  <c r="Z97" i="16"/>
  <c r="AA97" i="16" s="1"/>
  <c r="AG97" i="16" s="1"/>
  <c r="W97" i="16"/>
  <c r="V97" i="16"/>
  <c r="U97" i="16"/>
  <c r="AF97" i="16" s="1"/>
  <c r="S97" i="16"/>
  <c r="R97" i="16"/>
  <c r="Q97" i="16"/>
  <c r="O97" i="16"/>
  <c r="N97" i="16"/>
  <c r="M97" i="16"/>
  <c r="L97" i="16"/>
  <c r="AJ97" i="16" s="1"/>
  <c r="K97" i="16"/>
  <c r="AL96" i="16"/>
  <c r="AK96" i="16"/>
  <c r="AI96" i="16"/>
  <c r="AH96" i="16"/>
  <c r="AC96" i="16"/>
  <c r="AE96" i="16" s="1"/>
  <c r="Z96" i="16"/>
  <c r="AA96" i="16" s="1"/>
  <c r="AG96" i="16" s="1"/>
  <c r="W96" i="16"/>
  <c r="AD96" i="16" s="1"/>
  <c r="V96" i="16"/>
  <c r="U96" i="16"/>
  <c r="AF96" i="16" s="1"/>
  <c r="S96" i="16"/>
  <c r="R96" i="16"/>
  <c r="Q96" i="16"/>
  <c r="O96" i="16"/>
  <c r="N96" i="16"/>
  <c r="M96" i="16"/>
  <c r="L96" i="16"/>
  <c r="AJ96" i="16" s="1"/>
  <c r="K96" i="16"/>
  <c r="AL95" i="16"/>
  <c r="AK95" i="16"/>
  <c r="AI95" i="16"/>
  <c r="AH95" i="16"/>
  <c r="AC95" i="16"/>
  <c r="AE95" i="16" s="1"/>
  <c r="Z95" i="16"/>
  <c r="AA95" i="16" s="1"/>
  <c r="AG95" i="16" s="1"/>
  <c r="W95" i="16"/>
  <c r="AD95" i="16" s="1"/>
  <c r="V95" i="16"/>
  <c r="U95" i="16"/>
  <c r="AF95" i="16" s="1"/>
  <c r="S95" i="16"/>
  <c r="R95" i="16"/>
  <c r="Q95" i="16"/>
  <c r="O95" i="16"/>
  <c r="N95" i="16"/>
  <c r="M95" i="16"/>
  <c r="L95" i="16"/>
  <c r="AJ95" i="16" s="1"/>
  <c r="K95" i="16"/>
  <c r="AL94" i="16"/>
  <c r="AK94" i="16"/>
  <c r="AI94" i="16"/>
  <c r="AH94" i="16"/>
  <c r="AC94" i="16"/>
  <c r="AE94" i="16" s="1"/>
  <c r="Z94" i="16"/>
  <c r="AA94" i="16" s="1"/>
  <c r="AG94" i="16" s="1"/>
  <c r="W94" i="16"/>
  <c r="AD94" i="16" s="1"/>
  <c r="V94" i="16"/>
  <c r="U94" i="16"/>
  <c r="AF94" i="16" s="1"/>
  <c r="S94" i="16"/>
  <c r="R94" i="16"/>
  <c r="Q94" i="16"/>
  <c r="O94" i="16"/>
  <c r="N94" i="16"/>
  <c r="M94" i="16"/>
  <c r="L94" i="16"/>
  <c r="AJ94" i="16" s="1"/>
  <c r="K94" i="16"/>
  <c r="AL93" i="16"/>
  <c r="AK93" i="16"/>
  <c r="AI93" i="16"/>
  <c r="AH93" i="16"/>
  <c r="AD93" i="16"/>
  <c r="AC93" i="16"/>
  <c r="AE93" i="16" s="1"/>
  <c r="Z93" i="16"/>
  <c r="AA93" i="16" s="1"/>
  <c r="AG93" i="16" s="1"/>
  <c r="W93" i="16"/>
  <c r="V93" i="16"/>
  <c r="U93" i="16"/>
  <c r="AF93" i="16" s="1"/>
  <c r="S93" i="16"/>
  <c r="R93" i="16"/>
  <c r="Q93" i="16"/>
  <c r="O93" i="16"/>
  <c r="N93" i="16"/>
  <c r="M93" i="16"/>
  <c r="L93" i="16"/>
  <c r="AJ93" i="16" s="1"/>
  <c r="K93" i="16"/>
  <c r="AL92" i="16"/>
  <c r="AK92" i="16"/>
  <c r="AI92" i="16"/>
  <c r="AH92" i="16"/>
  <c r="AC92" i="16"/>
  <c r="AE92" i="16" s="1"/>
  <c r="Z92" i="16"/>
  <c r="AA92" i="16" s="1"/>
  <c r="AG92" i="16" s="1"/>
  <c r="W92" i="16"/>
  <c r="AD92" i="16" s="1"/>
  <c r="V92" i="16"/>
  <c r="U92" i="16"/>
  <c r="AF92" i="16" s="1"/>
  <c r="S92" i="16"/>
  <c r="R92" i="16"/>
  <c r="Q92" i="16"/>
  <c r="O92" i="16"/>
  <c r="N92" i="16"/>
  <c r="M92" i="16"/>
  <c r="L92" i="16"/>
  <c r="AJ92" i="16" s="1"/>
  <c r="K92" i="16"/>
  <c r="AL91" i="16"/>
  <c r="AK91" i="16"/>
  <c r="AI91" i="16"/>
  <c r="AH91" i="16"/>
  <c r="AC91" i="16"/>
  <c r="AE91" i="16" s="1"/>
  <c r="Z91" i="16"/>
  <c r="AA91" i="16" s="1"/>
  <c r="AG91" i="16" s="1"/>
  <c r="W91" i="16"/>
  <c r="AD91" i="16" s="1"/>
  <c r="V91" i="16"/>
  <c r="U91" i="16"/>
  <c r="AF91" i="16" s="1"/>
  <c r="S91" i="16"/>
  <c r="R91" i="16"/>
  <c r="Q91" i="16"/>
  <c r="O91" i="16"/>
  <c r="N91" i="16"/>
  <c r="M91" i="16"/>
  <c r="L91" i="16"/>
  <c r="AJ91" i="16" s="1"/>
  <c r="K91" i="16"/>
  <c r="AL90" i="16"/>
  <c r="AK90" i="16"/>
  <c r="AI90" i="16"/>
  <c r="AH90" i="16"/>
  <c r="AC90" i="16"/>
  <c r="AE90" i="16" s="1"/>
  <c r="Z90" i="16"/>
  <c r="AA90" i="16" s="1"/>
  <c r="AG90" i="16" s="1"/>
  <c r="W90" i="16"/>
  <c r="AD90" i="16" s="1"/>
  <c r="V90" i="16"/>
  <c r="U90" i="16"/>
  <c r="AF90" i="16" s="1"/>
  <c r="S90" i="16"/>
  <c r="R90" i="16"/>
  <c r="Q90" i="16"/>
  <c r="O90" i="16"/>
  <c r="N90" i="16"/>
  <c r="M90" i="16"/>
  <c r="L90" i="16"/>
  <c r="AJ90" i="16" s="1"/>
  <c r="K90" i="16"/>
  <c r="AL89" i="16"/>
  <c r="AK89" i="16"/>
  <c r="AI89" i="16"/>
  <c r="AH89" i="16"/>
  <c r="AC89" i="16"/>
  <c r="AE89" i="16" s="1"/>
  <c r="Z89" i="16"/>
  <c r="AA89" i="16" s="1"/>
  <c r="AG89" i="16" s="1"/>
  <c r="W89" i="16"/>
  <c r="AD89" i="16" s="1"/>
  <c r="V89" i="16"/>
  <c r="U89" i="16"/>
  <c r="AF89" i="16" s="1"/>
  <c r="S89" i="16"/>
  <c r="R89" i="16"/>
  <c r="Q89" i="16"/>
  <c r="O89" i="16"/>
  <c r="N89" i="16"/>
  <c r="M89" i="16"/>
  <c r="L89" i="16"/>
  <c r="AJ89" i="16" s="1"/>
  <c r="K89" i="16"/>
  <c r="AL88" i="16"/>
  <c r="AK88" i="16"/>
  <c r="AI88" i="16"/>
  <c r="AH88" i="16"/>
  <c r="AC88" i="16"/>
  <c r="AE88" i="16" s="1"/>
  <c r="Z88" i="16"/>
  <c r="AA88" i="16" s="1"/>
  <c r="AG88" i="16" s="1"/>
  <c r="W88" i="16"/>
  <c r="AD88" i="16" s="1"/>
  <c r="V88" i="16"/>
  <c r="U88" i="16"/>
  <c r="AF88" i="16" s="1"/>
  <c r="S88" i="16"/>
  <c r="R88" i="16"/>
  <c r="Q88" i="16"/>
  <c r="O88" i="16"/>
  <c r="N88" i="16"/>
  <c r="M88" i="16"/>
  <c r="L88" i="16"/>
  <c r="AJ88" i="16" s="1"/>
  <c r="K88" i="16"/>
  <c r="AL87" i="16"/>
  <c r="AK87" i="16"/>
  <c r="AI87" i="16"/>
  <c r="AH87" i="16"/>
  <c r="AC87" i="16"/>
  <c r="AE87" i="16" s="1"/>
  <c r="Z87" i="16"/>
  <c r="AA87" i="16" s="1"/>
  <c r="AG87" i="16" s="1"/>
  <c r="W87" i="16"/>
  <c r="AD87" i="16" s="1"/>
  <c r="V87" i="16"/>
  <c r="U87" i="16"/>
  <c r="AF87" i="16" s="1"/>
  <c r="S87" i="16"/>
  <c r="R87" i="16"/>
  <c r="Q87" i="16"/>
  <c r="O87" i="16"/>
  <c r="N87" i="16"/>
  <c r="M87" i="16"/>
  <c r="L87" i="16"/>
  <c r="AJ87" i="16" s="1"/>
  <c r="K87" i="16"/>
  <c r="AL86" i="16"/>
  <c r="AK86" i="16"/>
  <c r="AI86" i="16"/>
  <c r="AH86" i="16"/>
  <c r="AC86" i="16"/>
  <c r="AE86" i="16" s="1"/>
  <c r="Z86" i="16"/>
  <c r="AA86" i="16" s="1"/>
  <c r="AG86" i="16" s="1"/>
  <c r="W86" i="16"/>
  <c r="AD86" i="16" s="1"/>
  <c r="V86" i="16"/>
  <c r="U86" i="16"/>
  <c r="AF86" i="16" s="1"/>
  <c r="S86" i="16"/>
  <c r="R86" i="16"/>
  <c r="Q86" i="16"/>
  <c r="O86" i="16"/>
  <c r="N86" i="16"/>
  <c r="M86" i="16"/>
  <c r="L86" i="16"/>
  <c r="AJ86" i="16" s="1"/>
  <c r="K86" i="16"/>
  <c r="AL85" i="16"/>
  <c r="AK85" i="16"/>
  <c r="AI85" i="16"/>
  <c r="AH85" i="16"/>
  <c r="AC85" i="16"/>
  <c r="AE85" i="16" s="1"/>
  <c r="Z85" i="16"/>
  <c r="AA85" i="16" s="1"/>
  <c r="AG85" i="16" s="1"/>
  <c r="W85" i="16"/>
  <c r="AD85" i="16" s="1"/>
  <c r="V85" i="16"/>
  <c r="U85" i="16"/>
  <c r="AF85" i="16" s="1"/>
  <c r="S85" i="16"/>
  <c r="R85" i="16"/>
  <c r="Q85" i="16"/>
  <c r="O85" i="16"/>
  <c r="N85" i="16"/>
  <c r="M85" i="16"/>
  <c r="L85" i="16"/>
  <c r="AJ85" i="16" s="1"/>
  <c r="K85" i="16"/>
  <c r="AL84" i="16"/>
  <c r="AK84" i="16"/>
  <c r="AI84" i="16"/>
  <c r="AH84" i="16"/>
  <c r="AC84" i="16"/>
  <c r="AE84" i="16" s="1"/>
  <c r="Z84" i="16"/>
  <c r="AA84" i="16" s="1"/>
  <c r="AG84" i="16" s="1"/>
  <c r="W84" i="16"/>
  <c r="AD84" i="16" s="1"/>
  <c r="V84" i="16"/>
  <c r="U84" i="16"/>
  <c r="AF84" i="16" s="1"/>
  <c r="S84" i="16"/>
  <c r="R84" i="16"/>
  <c r="Q84" i="16"/>
  <c r="O84" i="16"/>
  <c r="N84" i="16"/>
  <c r="M84" i="16"/>
  <c r="L84" i="16"/>
  <c r="AJ84" i="16" s="1"/>
  <c r="K84" i="16"/>
  <c r="AL83" i="16"/>
  <c r="AK83" i="16"/>
  <c r="AI83" i="16"/>
  <c r="AH83" i="16"/>
  <c r="AC83" i="16"/>
  <c r="AE83" i="16" s="1"/>
  <c r="Z83" i="16"/>
  <c r="AA83" i="16" s="1"/>
  <c r="AG83" i="16" s="1"/>
  <c r="W83" i="16"/>
  <c r="AD83" i="16" s="1"/>
  <c r="V83" i="16"/>
  <c r="U83" i="16"/>
  <c r="AF83" i="16" s="1"/>
  <c r="S83" i="16"/>
  <c r="R83" i="16"/>
  <c r="Q83" i="16"/>
  <c r="O83" i="16"/>
  <c r="N83" i="16"/>
  <c r="M83" i="16"/>
  <c r="L83" i="16"/>
  <c r="AJ83" i="16" s="1"/>
  <c r="K83" i="16"/>
  <c r="AL82" i="16"/>
  <c r="AK82" i="16"/>
  <c r="AI82" i="16"/>
  <c r="AH82" i="16"/>
  <c r="AD82" i="16"/>
  <c r="AC82" i="16"/>
  <c r="AE82" i="16" s="1"/>
  <c r="Z82" i="16"/>
  <c r="AA82" i="16" s="1"/>
  <c r="AG82" i="16" s="1"/>
  <c r="W82" i="16"/>
  <c r="V82" i="16"/>
  <c r="U82" i="16"/>
  <c r="AF82" i="16" s="1"/>
  <c r="S82" i="16"/>
  <c r="R82" i="16"/>
  <c r="Q82" i="16"/>
  <c r="O82" i="16"/>
  <c r="N82" i="16"/>
  <c r="M82" i="16"/>
  <c r="L82" i="16"/>
  <c r="AJ82" i="16" s="1"/>
  <c r="K82" i="16"/>
  <c r="AL81" i="16"/>
  <c r="AK81" i="16"/>
  <c r="AI81" i="16"/>
  <c r="AH81" i="16"/>
  <c r="AC81" i="16"/>
  <c r="AE81" i="16" s="1"/>
  <c r="Z81" i="16"/>
  <c r="AA81" i="16" s="1"/>
  <c r="AG81" i="16" s="1"/>
  <c r="W81" i="16"/>
  <c r="AD81" i="16" s="1"/>
  <c r="V81" i="16"/>
  <c r="U81" i="16"/>
  <c r="AF81" i="16" s="1"/>
  <c r="S81" i="16"/>
  <c r="R81" i="16"/>
  <c r="Q81" i="16"/>
  <c r="O81" i="16"/>
  <c r="N81" i="16"/>
  <c r="M81" i="16"/>
  <c r="L81" i="16"/>
  <c r="AJ81" i="16" s="1"/>
  <c r="K81" i="16"/>
  <c r="AL80" i="16"/>
  <c r="AK80" i="16"/>
  <c r="AI80" i="16"/>
  <c r="AH80" i="16"/>
  <c r="AC80" i="16"/>
  <c r="AE80" i="16" s="1"/>
  <c r="Z80" i="16"/>
  <c r="AA80" i="16" s="1"/>
  <c r="AG80" i="16" s="1"/>
  <c r="W80" i="16"/>
  <c r="AD80" i="16" s="1"/>
  <c r="V80" i="16"/>
  <c r="U80" i="16"/>
  <c r="AF80" i="16" s="1"/>
  <c r="S80" i="16"/>
  <c r="R80" i="16"/>
  <c r="Q80" i="16"/>
  <c r="O80" i="16"/>
  <c r="N80" i="16"/>
  <c r="M80" i="16"/>
  <c r="L80" i="16"/>
  <c r="AJ80" i="16" s="1"/>
  <c r="K80" i="16"/>
  <c r="AL79" i="16"/>
  <c r="AK79" i="16"/>
  <c r="AI79" i="16"/>
  <c r="AH79" i="16"/>
  <c r="AC79" i="16"/>
  <c r="AE79" i="16" s="1"/>
  <c r="Z79" i="16"/>
  <c r="AA79" i="16" s="1"/>
  <c r="AG79" i="16" s="1"/>
  <c r="W79" i="16"/>
  <c r="AD79" i="16" s="1"/>
  <c r="V79" i="16"/>
  <c r="U79" i="16"/>
  <c r="AF79" i="16" s="1"/>
  <c r="S79" i="16"/>
  <c r="R79" i="16"/>
  <c r="Q79" i="16"/>
  <c r="O79" i="16"/>
  <c r="N79" i="16"/>
  <c r="M79" i="16"/>
  <c r="L79" i="16"/>
  <c r="AJ79" i="16" s="1"/>
  <c r="K79" i="16"/>
  <c r="AL78" i="16"/>
  <c r="AK78" i="16"/>
  <c r="AI78" i="16"/>
  <c r="AH78" i="16"/>
  <c r="AD78" i="16"/>
  <c r="AC78" i="16"/>
  <c r="AE78" i="16" s="1"/>
  <c r="Z78" i="16"/>
  <c r="AA78" i="16" s="1"/>
  <c r="AG78" i="16" s="1"/>
  <c r="W78" i="16"/>
  <c r="V78" i="16"/>
  <c r="U78" i="16"/>
  <c r="AF78" i="16" s="1"/>
  <c r="S78" i="16"/>
  <c r="R78" i="16"/>
  <c r="Q78" i="16"/>
  <c r="O78" i="16"/>
  <c r="N78" i="16"/>
  <c r="M78" i="16"/>
  <c r="L78" i="16"/>
  <c r="AJ78" i="16" s="1"/>
  <c r="K78" i="16"/>
  <c r="AL77" i="16"/>
  <c r="AK77" i="16"/>
  <c r="AI77" i="16"/>
  <c r="AH77" i="16"/>
  <c r="AC77" i="16"/>
  <c r="AE77" i="16" s="1"/>
  <c r="Z77" i="16"/>
  <c r="AA77" i="16" s="1"/>
  <c r="AG77" i="16" s="1"/>
  <c r="W77" i="16"/>
  <c r="AD77" i="16" s="1"/>
  <c r="V77" i="16"/>
  <c r="U77" i="16"/>
  <c r="AF77" i="16" s="1"/>
  <c r="S77" i="16"/>
  <c r="R77" i="16"/>
  <c r="Q77" i="16"/>
  <c r="O77" i="16"/>
  <c r="N77" i="16"/>
  <c r="M77" i="16"/>
  <c r="L77" i="16"/>
  <c r="AJ77" i="16" s="1"/>
  <c r="K77" i="16"/>
  <c r="AL76" i="16"/>
  <c r="AK76" i="16"/>
  <c r="AI76" i="16"/>
  <c r="AH76" i="16"/>
  <c r="AC76" i="16"/>
  <c r="AE76" i="16" s="1"/>
  <c r="Z76" i="16"/>
  <c r="AA76" i="16" s="1"/>
  <c r="AG76" i="16" s="1"/>
  <c r="W76" i="16"/>
  <c r="AD76" i="16" s="1"/>
  <c r="V76" i="16"/>
  <c r="U76" i="16"/>
  <c r="AF76" i="16" s="1"/>
  <c r="S76" i="16"/>
  <c r="R76" i="16"/>
  <c r="Q76" i="16"/>
  <c r="O76" i="16"/>
  <c r="N76" i="16"/>
  <c r="M76" i="16"/>
  <c r="L76" i="16"/>
  <c r="AJ76" i="16" s="1"/>
  <c r="K76" i="16"/>
  <c r="AL75" i="16"/>
  <c r="AK75" i="16"/>
  <c r="AI75" i="16"/>
  <c r="AH75" i="16"/>
  <c r="AC75" i="16"/>
  <c r="AE75" i="16" s="1"/>
  <c r="Z75" i="16"/>
  <c r="AA75" i="16" s="1"/>
  <c r="AG75" i="16" s="1"/>
  <c r="W75" i="16"/>
  <c r="AD75" i="16" s="1"/>
  <c r="V75" i="16"/>
  <c r="U75" i="16"/>
  <c r="AF75" i="16" s="1"/>
  <c r="S75" i="16"/>
  <c r="R75" i="16"/>
  <c r="Q75" i="16"/>
  <c r="O75" i="16"/>
  <c r="N75" i="16"/>
  <c r="M75" i="16"/>
  <c r="L75" i="16"/>
  <c r="AJ75" i="16" s="1"/>
  <c r="K75" i="16"/>
  <c r="AL74" i="16"/>
  <c r="AK74" i="16"/>
  <c r="AI74" i="16"/>
  <c r="AH74" i="16"/>
  <c r="AD74" i="16"/>
  <c r="AC74" i="16"/>
  <c r="AE74" i="16" s="1"/>
  <c r="Z74" i="16"/>
  <c r="AA74" i="16" s="1"/>
  <c r="AG74" i="16" s="1"/>
  <c r="W74" i="16"/>
  <c r="V74" i="16"/>
  <c r="U74" i="16"/>
  <c r="AF74" i="16" s="1"/>
  <c r="S74" i="16"/>
  <c r="R74" i="16"/>
  <c r="Q74" i="16"/>
  <c r="O74" i="16"/>
  <c r="N74" i="16"/>
  <c r="M74" i="16"/>
  <c r="L74" i="16"/>
  <c r="AJ74" i="16" s="1"/>
  <c r="K74" i="16"/>
  <c r="AL73" i="16"/>
  <c r="AK73" i="16"/>
  <c r="AI73" i="16"/>
  <c r="AH73" i="16"/>
  <c r="AC73" i="16"/>
  <c r="AE73" i="16" s="1"/>
  <c r="Z73" i="16"/>
  <c r="AA73" i="16" s="1"/>
  <c r="AG73" i="16" s="1"/>
  <c r="W73" i="16"/>
  <c r="AD73" i="16" s="1"/>
  <c r="V73" i="16"/>
  <c r="U73" i="16"/>
  <c r="AF73" i="16" s="1"/>
  <c r="S73" i="16"/>
  <c r="R73" i="16"/>
  <c r="Q73" i="16"/>
  <c r="O73" i="16"/>
  <c r="N73" i="16"/>
  <c r="M73" i="16"/>
  <c r="L73" i="16"/>
  <c r="AJ73" i="16" s="1"/>
  <c r="K73" i="16"/>
  <c r="AL72" i="16"/>
  <c r="AK72" i="16"/>
  <c r="AI72" i="16"/>
  <c r="AH72" i="16"/>
  <c r="AC72" i="16"/>
  <c r="AE72" i="16" s="1"/>
  <c r="Z72" i="16"/>
  <c r="AA72" i="16" s="1"/>
  <c r="AG72" i="16" s="1"/>
  <c r="W72" i="16"/>
  <c r="AD72" i="16" s="1"/>
  <c r="V72" i="16"/>
  <c r="U72" i="16"/>
  <c r="AF72" i="16" s="1"/>
  <c r="S72" i="16"/>
  <c r="R72" i="16"/>
  <c r="Q72" i="16"/>
  <c r="O72" i="16"/>
  <c r="N72" i="16"/>
  <c r="M72" i="16"/>
  <c r="L72" i="16"/>
  <c r="AJ72" i="16" s="1"/>
  <c r="K72" i="16"/>
  <c r="AL71" i="16"/>
  <c r="AK71" i="16"/>
  <c r="AI71" i="16"/>
  <c r="AH71" i="16"/>
  <c r="AC71" i="16"/>
  <c r="AE71" i="16" s="1"/>
  <c r="Z71" i="16"/>
  <c r="AA71" i="16" s="1"/>
  <c r="AG71" i="16" s="1"/>
  <c r="W71" i="16"/>
  <c r="AD71" i="16" s="1"/>
  <c r="V71" i="16"/>
  <c r="U71" i="16"/>
  <c r="AF71" i="16" s="1"/>
  <c r="S71" i="16"/>
  <c r="R71" i="16"/>
  <c r="Q71" i="16"/>
  <c r="O71" i="16"/>
  <c r="N71" i="16"/>
  <c r="M71" i="16"/>
  <c r="L71" i="16"/>
  <c r="AJ71" i="16" s="1"/>
  <c r="K71" i="16"/>
  <c r="AL70" i="16"/>
  <c r="AK70" i="16"/>
  <c r="AI70" i="16"/>
  <c r="AH70" i="16"/>
  <c r="AD70" i="16"/>
  <c r="AC70" i="16"/>
  <c r="AE70" i="16" s="1"/>
  <c r="Z70" i="16"/>
  <c r="AA70" i="16" s="1"/>
  <c r="AG70" i="16" s="1"/>
  <c r="W70" i="16"/>
  <c r="V70" i="16"/>
  <c r="U70" i="16"/>
  <c r="AF70" i="16" s="1"/>
  <c r="S70" i="16"/>
  <c r="R70" i="16"/>
  <c r="Q70" i="16"/>
  <c r="O70" i="16"/>
  <c r="N70" i="16"/>
  <c r="M70" i="16"/>
  <c r="L70" i="16"/>
  <c r="AJ70" i="16" s="1"/>
  <c r="K70" i="16"/>
  <c r="AL69" i="16"/>
  <c r="AK69" i="16"/>
  <c r="AI69" i="16"/>
  <c r="AH69" i="16"/>
  <c r="AC69" i="16"/>
  <c r="AE69" i="16" s="1"/>
  <c r="Z69" i="16"/>
  <c r="AA69" i="16" s="1"/>
  <c r="AG69" i="16" s="1"/>
  <c r="W69" i="16"/>
  <c r="AD69" i="16" s="1"/>
  <c r="V69" i="16"/>
  <c r="U69" i="16"/>
  <c r="AF69" i="16" s="1"/>
  <c r="S69" i="16"/>
  <c r="R69" i="16"/>
  <c r="Q69" i="16"/>
  <c r="O69" i="16"/>
  <c r="N69" i="16"/>
  <c r="M69" i="16"/>
  <c r="L69" i="16"/>
  <c r="AJ69" i="16" s="1"/>
  <c r="K69" i="16"/>
  <c r="AL68" i="16"/>
  <c r="AK68" i="16"/>
  <c r="AI68" i="16"/>
  <c r="AH68" i="16"/>
  <c r="AC68" i="16"/>
  <c r="AE68" i="16" s="1"/>
  <c r="Z68" i="16"/>
  <c r="AA68" i="16" s="1"/>
  <c r="AG68" i="16" s="1"/>
  <c r="W68" i="16"/>
  <c r="AD68" i="16" s="1"/>
  <c r="V68" i="16"/>
  <c r="U68" i="16"/>
  <c r="AF68" i="16" s="1"/>
  <c r="S68" i="16"/>
  <c r="R68" i="16"/>
  <c r="Q68" i="16"/>
  <c r="O68" i="16"/>
  <c r="N68" i="16"/>
  <c r="M68" i="16"/>
  <c r="L68" i="16"/>
  <c r="AJ68" i="16" s="1"/>
  <c r="K68" i="16"/>
  <c r="AL67" i="16"/>
  <c r="AK67" i="16"/>
  <c r="AI67" i="16"/>
  <c r="AH67" i="16"/>
  <c r="AC67" i="16"/>
  <c r="AE67" i="16" s="1"/>
  <c r="Z67" i="16"/>
  <c r="AA67" i="16" s="1"/>
  <c r="AG67" i="16" s="1"/>
  <c r="W67" i="16"/>
  <c r="AD67" i="16" s="1"/>
  <c r="V67" i="16"/>
  <c r="U67" i="16"/>
  <c r="AF67" i="16" s="1"/>
  <c r="S67" i="16"/>
  <c r="R67" i="16"/>
  <c r="Q67" i="16"/>
  <c r="O67" i="16"/>
  <c r="N67" i="16"/>
  <c r="M67" i="16"/>
  <c r="L67" i="16"/>
  <c r="AJ67" i="16" s="1"/>
  <c r="K67" i="16"/>
  <c r="AL66" i="16"/>
  <c r="AK66" i="16"/>
  <c r="AI66" i="16"/>
  <c r="AH66" i="16"/>
  <c r="AD66" i="16"/>
  <c r="AC66" i="16"/>
  <c r="AE66" i="16" s="1"/>
  <c r="Z66" i="16"/>
  <c r="AA66" i="16" s="1"/>
  <c r="AG66" i="16" s="1"/>
  <c r="W66" i="16"/>
  <c r="V66" i="16"/>
  <c r="U66" i="16"/>
  <c r="AF66" i="16" s="1"/>
  <c r="S66" i="16"/>
  <c r="R66" i="16"/>
  <c r="Q66" i="16"/>
  <c r="O66" i="16"/>
  <c r="N66" i="16"/>
  <c r="M66" i="16"/>
  <c r="L66" i="16"/>
  <c r="AJ66" i="16" s="1"/>
  <c r="K66" i="16"/>
  <c r="AL65" i="16"/>
  <c r="AK65" i="16"/>
  <c r="AI65" i="16"/>
  <c r="AH65" i="16"/>
  <c r="AC65" i="16"/>
  <c r="AE65" i="16" s="1"/>
  <c r="Z65" i="16"/>
  <c r="AA65" i="16" s="1"/>
  <c r="AG65" i="16" s="1"/>
  <c r="W65" i="16"/>
  <c r="AD65" i="16" s="1"/>
  <c r="V65" i="16"/>
  <c r="U65" i="16"/>
  <c r="AF65" i="16" s="1"/>
  <c r="S65" i="16"/>
  <c r="R65" i="16"/>
  <c r="Q65" i="16"/>
  <c r="O65" i="16"/>
  <c r="N65" i="16"/>
  <c r="M65" i="16"/>
  <c r="L65" i="16"/>
  <c r="AJ65" i="16" s="1"/>
  <c r="K65" i="16"/>
  <c r="AL64" i="16"/>
  <c r="AK64" i="16"/>
  <c r="AI64" i="16"/>
  <c r="AH64" i="16"/>
  <c r="AC64" i="16"/>
  <c r="AE64" i="16" s="1"/>
  <c r="Z64" i="16"/>
  <c r="AA64" i="16" s="1"/>
  <c r="AG64" i="16" s="1"/>
  <c r="W64" i="16"/>
  <c r="AD64" i="16" s="1"/>
  <c r="V64" i="16"/>
  <c r="U64" i="16"/>
  <c r="AF64" i="16" s="1"/>
  <c r="S64" i="16"/>
  <c r="R64" i="16"/>
  <c r="Q64" i="16"/>
  <c r="O64" i="16"/>
  <c r="N64" i="16"/>
  <c r="M64" i="16"/>
  <c r="L64" i="16"/>
  <c r="AJ64" i="16" s="1"/>
  <c r="K64" i="16"/>
  <c r="AL63" i="16"/>
  <c r="AK63" i="16"/>
  <c r="AI63" i="16"/>
  <c r="AH63" i="16"/>
  <c r="AC63" i="16"/>
  <c r="AE63" i="16" s="1"/>
  <c r="Z63" i="16"/>
  <c r="AA63" i="16" s="1"/>
  <c r="AG63" i="16" s="1"/>
  <c r="W63" i="16"/>
  <c r="AD63" i="16" s="1"/>
  <c r="V63" i="16"/>
  <c r="U63" i="16"/>
  <c r="AF63" i="16" s="1"/>
  <c r="S63" i="16"/>
  <c r="R63" i="16"/>
  <c r="Q63" i="16"/>
  <c r="O63" i="16"/>
  <c r="N63" i="16"/>
  <c r="M63" i="16"/>
  <c r="L63" i="16"/>
  <c r="AJ63" i="16" s="1"/>
  <c r="K63" i="16"/>
  <c r="AL62" i="16"/>
  <c r="AK62" i="16"/>
  <c r="AI62" i="16"/>
  <c r="AH62" i="16"/>
  <c r="AD62" i="16"/>
  <c r="AC62" i="16"/>
  <c r="AE62" i="16" s="1"/>
  <c r="Z62" i="16"/>
  <c r="AA62" i="16" s="1"/>
  <c r="AG62" i="16" s="1"/>
  <c r="W62" i="16"/>
  <c r="V62" i="16"/>
  <c r="U62" i="16"/>
  <c r="AF62" i="16" s="1"/>
  <c r="S62" i="16"/>
  <c r="R62" i="16"/>
  <c r="Q62" i="16"/>
  <c r="O62" i="16"/>
  <c r="N62" i="16"/>
  <c r="M62" i="16"/>
  <c r="L62" i="16"/>
  <c r="AJ62" i="16" s="1"/>
  <c r="K62" i="16"/>
  <c r="AL61" i="16"/>
  <c r="AK61" i="16"/>
  <c r="AI61" i="16"/>
  <c r="AH61" i="16"/>
  <c r="AC61" i="16"/>
  <c r="AE61" i="16" s="1"/>
  <c r="Z61" i="16"/>
  <c r="AA61" i="16" s="1"/>
  <c r="AG61" i="16" s="1"/>
  <c r="W61" i="16"/>
  <c r="AD61" i="16" s="1"/>
  <c r="V61" i="16"/>
  <c r="U61" i="16"/>
  <c r="AF61" i="16" s="1"/>
  <c r="S61" i="16"/>
  <c r="R61" i="16"/>
  <c r="Q61" i="16"/>
  <c r="O61" i="16"/>
  <c r="N61" i="16"/>
  <c r="M61" i="16"/>
  <c r="L61" i="16"/>
  <c r="AJ61" i="16" s="1"/>
  <c r="K61" i="16"/>
  <c r="AL60" i="16"/>
  <c r="AK60" i="16"/>
  <c r="AI60" i="16"/>
  <c r="AH60" i="16"/>
  <c r="AC60" i="16"/>
  <c r="AE60" i="16" s="1"/>
  <c r="Z60" i="16"/>
  <c r="AA60" i="16" s="1"/>
  <c r="AG60" i="16" s="1"/>
  <c r="W60" i="16"/>
  <c r="AD60" i="16" s="1"/>
  <c r="V60" i="16"/>
  <c r="U60" i="16"/>
  <c r="AF60" i="16" s="1"/>
  <c r="S60" i="16"/>
  <c r="R60" i="16"/>
  <c r="Q60" i="16"/>
  <c r="O60" i="16"/>
  <c r="N60" i="16"/>
  <c r="M60" i="16"/>
  <c r="L60" i="16"/>
  <c r="AJ60" i="16" s="1"/>
  <c r="K60" i="16"/>
  <c r="AL59" i="16"/>
  <c r="AK59" i="16"/>
  <c r="AI59" i="16"/>
  <c r="AH59" i="16"/>
  <c r="AC59" i="16"/>
  <c r="AE59" i="16" s="1"/>
  <c r="Z59" i="16"/>
  <c r="AA59" i="16" s="1"/>
  <c r="AG59" i="16" s="1"/>
  <c r="W59" i="16"/>
  <c r="AD59" i="16" s="1"/>
  <c r="V59" i="16"/>
  <c r="U59" i="16"/>
  <c r="AF59" i="16" s="1"/>
  <c r="S59" i="16"/>
  <c r="R59" i="16"/>
  <c r="Q59" i="16"/>
  <c r="O59" i="16"/>
  <c r="N59" i="16"/>
  <c r="M59" i="16"/>
  <c r="L59" i="16"/>
  <c r="AJ59" i="16" s="1"/>
  <c r="K59" i="16"/>
  <c r="AL58" i="16"/>
  <c r="AK58" i="16"/>
  <c r="AI58" i="16"/>
  <c r="AH58" i="16"/>
  <c r="AD58" i="16"/>
  <c r="AC58" i="16"/>
  <c r="AE58" i="16" s="1"/>
  <c r="Z58" i="16"/>
  <c r="AA58" i="16" s="1"/>
  <c r="AG58" i="16" s="1"/>
  <c r="W58" i="16"/>
  <c r="V58" i="16"/>
  <c r="U58" i="16"/>
  <c r="AF58" i="16" s="1"/>
  <c r="S58" i="16"/>
  <c r="R58" i="16"/>
  <c r="Q58" i="16"/>
  <c r="O58" i="16"/>
  <c r="N58" i="16"/>
  <c r="M58" i="16"/>
  <c r="L58" i="16"/>
  <c r="AJ58" i="16" s="1"/>
  <c r="K58" i="16"/>
  <c r="AL57" i="16"/>
  <c r="AK57" i="16"/>
  <c r="AI57" i="16"/>
  <c r="AH57" i="16"/>
  <c r="AC57" i="16"/>
  <c r="AE57" i="16" s="1"/>
  <c r="Z57" i="16"/>
  <c r="AA57" i="16" s="1"/>
  <c r="AG57" i="16" s="1"/>
  <c r="W57" i="16"/>
  <c r="AD57" i="16" s="1"/>
  <c r="V57" i="16"/>
  <c r="U57" i="16"/>
  <c r="AF57" i="16" s="1"/>
  <c r="S57" i="16"/>
  <c r="R57" i="16"/>
  <c r="Q57" i="16"/>
  <c r="O57" i="16"/>
  <c r="N57" i="16"/>
  <c r="M57" i="16"/>
  <c r="L57" i="16"/>
  <c r="AJ57" i="16" s="1"/>
  <c r="K57" i="16"/>
  <c r="AL56" i="16"/>
  <c r="AK56" i="16"/>
  <c r="AI56" i="16"/>
  <c r="AH56" i="16"/>
  <c r="AC56" i="16"/>
  <c r="AE56" i="16" s="1"/>
  <c r="Z56" i="16"/>
  <c r="AA56" i="16" s="1"/>
  <c r="AG56" i="16" s="1"/>
  <c r="W56" i="16"/>
  <c r="AD56" i="16" s="1"/>
  <c r="V56" i="16"/>
  <c r="U56" i="16"/>
  <c r="AF56" i="16" s="1"/>
  <c r="S56" i="16"/>
  <c r="R56" i="16"/>
  <c r="Q56" i="16"/>
  <c r="O56" i="16"/>
  <c r="N56" i="16"/>
  <c r="M56" i="16"/>
  <c r="L56" i="16"/>
  <c r="AJ56" i="16" s="1"/>
  <c r="K56" i="16"/>
  <c r="AL55" i="16"/>
  <c r="AK55" i="16"/>
  <c r="AI55" i="16"/>
  <c r="AH55" i="16"/>
  <c r="AC55" i="16"/>
  <c r="AE55" i="16" s="1"/>
  <c r="Z55" i="16"/>
  <c r="AA55" i="16" s="1"/>
  <c r="AG55" i="16" s="1"/>
  <c r="W55" i="16"/>
  <c r="AD55" i="16" s="1"/>
  <c r="V55" i="16"/>
  <c r="U55" i="16"/>
  <c r="AF55" i="16" s="1"/>
  <c r="S55" i="16"/>
  <c r="R55" i="16"/>
  <c r="Q55" i="16"/>
  <c r="O55" i="16"/>
  <c r="N55" i="16"/>
  <c r="M55" i="16"/>
  <c r="L55" i="16"/>
  <c r="AJ55" i="16" s="1"/>
  <c r="K55" i="16"/>
  <c r="AL54" i="16"/>
  <c r="AK54" i="16"/>
  <c r="AI54" i="16"/>
  <c r="AH54" i="16"/>
  <c r="AD54" i="16"/>
  <c r="AC54" i="16"/>
  <c r="AE54" i="16" s="1"/>
  <c r="Z54" i="16"/>
  <c r="AA54" i="16" s="1"/>
  <c r="AG54" i="16" s="1"/>
  <c r="W54" i="16"/>
  <c r="V54" i="16"/>
  <c r="U54" i="16"/>
  <c r="AF54" i="16" s="1"/>
  <c r="S54" i="16"/>
  <c r="R54" i="16"/>
  <c r="Q54" i="16"/>
  <c r="O54" i="16"/>
  <c r="N54" i="16"/>
  <c r="M54" i="16"/>
  <c r="L54" i="16"/>
  <c r="AJ54" i="16" s="1"/>
  <c r="K54" i="16"/>
  <c r="AL53" i="16"/>
  <c r="AK53" i="16"/>
  <c r="AI53" i="16"/>
  <c r="AH53" i="16"/>
  <c r="AC53" i="16"/>
  <c r="AE53" i="16" s="1"/>
  <c r="Z53" i="16"/>
  <c r="AA53" i="16" s="1"/>
  <c r="AG53" i="16" s="1"/>
  <c r="W53" i="16"/>
  <c r="AD53" i="16" s="1"/>
  <c r="V53" i="16"/>
  <c r="U53" i="16"/>
  <c r="AF53" i="16" s="1"/>
  <c r="S53" i="16"/>
  <c r="R53" i="16"/>
  <c r="Q53" i="16"/>
  <c r="O53" i="16"/>
  <c r="N53" i="16"/>
  <c r="M53" i="16"/>
  <c r="L53" i="16"/>
  <c r="AJ53" i="16" s="1"/>
  <c r="K53" i="16"/>
  <c r="AL52" i="16"/>
  <c r="AK52" i="16"/>
  <c r="AI52" i="16"/>
  <c r="AH52" i="16"/>
  <c r="AC52" i="16"/>
  <c r="AE52" i="16" s="1"/>
  <c r="Z52" i="16"/>
  <c r="AA52" i="16" s="1"/>
  <c r="AG52" i="16" s="1"/>
  <c r="W52" i="16"/>
  <c r="AD52" i="16" s="1"/>
  <c r="V52" i="16"/>
  <c r="U52" i="16"/>
  <c r="AF52" i="16" s="1"/>
  <c r="S52" i="16"/>
  <c r="R52" i="16"/>
  <c r="Q52" i="16"/>
  <c r="O52" i="16"/>
  <c r="N52" i="16"/>
  <c r="M52" i="16"/>
  <c r="L52" i="16"/>
  <c r="AJ52" i="16" s="1"/>
  <c r="K52" i="16"/>
  <c r="AL51" i="16"/>
  <c r="AK51" i="16"/>
  <c r="AI51" i="16"/>
  <c r="AH51" i="16"/>
  <c r="AC51" i="16"/>
  <c r="AE51" i="16" s="1"/>
  <c r="Z51" i="16"/>
  <c r="AA51" i="16" s="1"/>
  <c r="AG51" i="16" s="1"/>
  <c r="W51" i="16"/>
  <c r="AD51" i="16" s="1"/>
  <c r="V51" i="16"/>
  <c r="U51" i="16"/>
  <c r="AF51" i="16" s="1"/>
  <c r="S51" i="16"/>
  <c r="R51" i="16"/>
  <c r="Q51" i="16"/>
  <c r="O51" i="16"/>
  <c r="N51" i="16"/>
  <c r="M51" i="16"/>
  <c r="L51" i="16"/>
  <c r="AJ51" i="16" s="1"/>
  <c r="K51" i="16"/>
  <c r="AL50" i="16"/>
  <c r="AK50" i="16"/>
  <c r="AI50" i="16"/>
  <c r="AH50" i="16"/>
  <c r="AD50" i="16"/>
  <c r="AC50" i="16"/>
  <c r="AE50" i="16" s="1"/>
  <c r="Z50" i="16"/>
  <c r="AA50" i="16" s="1"/>
  <c r="AG50" i="16" s="1"/>
  <c r="W50" i="16"/>
  <c r="V50" i="16"/>
  <c r="U50" i="16"/>
  <c r="AF50" i="16" s="1"/>
  <c r="S50" i="16"/>
  <c r="R50" i="16"/>
  <c r="Q50" i="16"/>
  <c r="O50" i="16"/>
  <c r="N50" i="16"/>
  <c r="M50" i="16"/>
  <c r="L50" i="16"/>
  <c r="AJ50" i="16" s="1"/>
  <c r="K50" i="16"/>
  <c r="AL49" i="16"/>
  <c r="AK49" i="16"/>
  <c r="AI49" i="16"/>
  <c r="AH49" i="16"/>
  <c r="AC49" i="16"/>
  <c r="AE49" i="16" s="1"/>
  <c r="Z49" i="16"/>
  <c r="AA49" i="16" s="1"/>
  <c r="AG49" i="16" s="1"/>
  <c r="W49" i="16"/>
  <c r="AD49" i="16" s="1"/>
  <c r="V49" i="16"/>
  <c r="U49" i="16"/>
  <c r="AF49" i="16" s="1"/>
  <c r="S49" i="16"/>
  <c r="R49" i="16"/>
  <c r="Q49" i="16"/>
  <c r="O49" i="16"/>
  <c r="N49" i="16"/>
  <c r="M49" i="16"/>
  <c r="L49" i="16"/>
  <c r="AJ49" i="16" s="1"/>
  <c r="K49" i="16"/>
  <c r="AL48" i="16"/>
  <c r="AK48" i="16"/>
  <c r="AI48" i="16"/>
  <c r="AH48" i="16"/>
  <c r="AC48" i="16"/>
  <c r="AE48" i="16" s="1"/>
  <c r="Z48" i="16"/>
  <c r="AA48" i="16" s="1"/>
  <c r="AG48" i="16" s="1"/>
  <c r="W48" i="16"/>
  <c r="AD48" i="16" s="1"/>
  <c r="V48" i="16"/>
  <c r="U48" i="16"/>
  <c r="AF48" i="16" s="1"/>
  <c r="S48" i="16"/>
  <c r="R48" i="16"/>
  <c r="Q48" i="16"/>
  <c r="O48" i="16"/>
  <c r="N48" i="16"/>
  <c r="M48" i="16"/>
  <c r="L48" i="16"/>
  <c r="AJ48" i="16" s="1"/>
  <c r="K48" i="16"/>
  <c r="AL47" i="16"/>
  <c r="AK47" i="16"/>
  <c r="AI47" i="16"/>
  <c r="AH47" i="16"/>
  <c r="AC47" i="16"/>
  <c r="AE47" i="16" s="1"/>
  <c r="Z47" i="16"/>
  <c r="AA47" i="16" s="1"/>
  <c r="AG47" i="16" s="1"/>
  <c r="W47" i="16"/>
  <c r="AD47" i="16" s="1"/>
  <c r="V47" i="16"/>
  <c r="U47" i="16"/>
  <c r="AF47" i="16" s="1"/>
  <c r="S47" i="16"/>
  <c r="R47" i="16"/>
  <c r="Q47" i="16"/>
  <c r="O47" i="16"/>
  <c r="N47" i="16"/>
  <c r="M47" i="16"/>
  <c r="L47" i="16"/>
  <c r="AJ47" i="16" s="1"/>
  <c r="K47" i="16"/>
  <c r="AL46" i="16"/>
  <c r="AK46" i="16"/>
  <c r="AI46" i="16"/>
  <c r="AH46" i="16"/>
  <c r="AD46" i="16"/>
  <c r="AC46" i="16"/>
  <c r="AE46" i="16" s="1"/>
  <c r="Z46" i="16"/>
  <c r="AA46" i="16" s="1"/>
  <c r="AG46" i="16" s="1"/>
  <c r="W46" i="16"/>
  <c r="V46" i="16"/>
  <c r="U46" i="16"/>
  <c r="AF46" i="16" s="1"/>
  <c r="S46" i="16"/>
  <c r="R46" i="16"/>
  <c r="Q46" i="16"/>
  <c r="O46" i="16"/>
  <c r="N46" i="16"/>
  <c r="M46" i="16"/>
  <c r="L46" i="16"/>
  <c r="AJ46" i="16" s="1"/>
  <c r="K46" i="16"/>
  <c r="AL45" i="16"/>
  <c r="AK45" i="16"/>
  <c r="AI45" i="16"/>
  <c r="AH45" i="16"/>
  <c r="AC45" i="16"/>
  <c r="AE45" i="16" s="1"/>
  <c r="Z45" i="16"/>
  <c r="AA45" i="16" s="1"/>
  <c r="AG45" i="16" s="1"/>
  <c r="W45" i="16"/>
  <c r="AD45" i="16" s="1"/>
  <c r="V45" i="16"/>
  <c r="U45" i="16"/>
  <c r="AF45" i="16" s="1"/>
  <c r="S45" i="16"/>
  <c r="R45" i="16"/>
  <c r="Q45" i="16"/>
  <c r="O45" i="16"/>
  <c r="N45" i="16"/>
  <c r="M45" i="16"/>
  <c r="L45" i="16"/>
  <c r="AJ45" i="16" s="1"/>
  <c r="K45" i="16"/>
  <c r="AL44" i="16"/>
  <c r="AK44" i="16"/>
  <c r="AI44" i="16"/>
  <c r="AH44" i="16"/>
  <c r="AC44" i="16"/>
  <c r="AE44" i="16" s="1"/>
  <c r="Z44" i="16"/>
  <c r="AA44" i="16" s="1"/>
  <c r="AG44" i="16" s="1"/>
  <c r="W44" i="16"/>
  <c r="AD44" i="16" s="1"/>
  <c r="V44" i="16"/>
  <c r="U44" i="16"/>
  <c r="AF44" i="16" s="1"/>
  <c r="S44" i="16"/>
  <c r="R44" i="16"/>
  <c r="Q44" i="16"/>
  <c r="O44" i="16"/>
  <c r="N44" i="16"/>
  <c r="M44" i="16"/>
  <c r="L44" i="16"/>
  <c r="AJ44" i="16" s="1"/>
  <c r="K44" i="16"/>
  <c r="AL43" i="16"/>
  <c r="AK43" i="16"/>
  <c r="AI43" i="16"/>
  <c r="AH43" i="16"/>
  <c r="AC43" i="16"/>
  <c r="AE43" i="16" s="1"/>
  <c r="Z43" i="16"/>
  <c r="AA43" i="16" s="1"/>
  <c r="AG43" i="16" s="1"/>
  <c r="W43" i="16"/>
  <c r="AD43" i="16" s="1"/>
  <c r="V43" i="16"/>
  <c r="U43" i="16"/>
  <c r="AF43" i="16" s="1"/>
  <c r="S43" i="16"/>
  <c r="R43" i="16"/>
  <c r="Q43" i="16"/>
  <c r="O43" i="16"/>
  <c r="N43" i="16"/>
  <c r="M43" i="16"/>
  <c r="L43" i="16"/>
  <c r="AJ43" i="16" s="1"/>
  <c r="K43" i="16"/>
  <c r="AL42" i="16"/>
  <c r="AK42" i="16"/>
  <c r="AI42" i="16"/>
  <c r="AH42" i="16"/>
  <c r="AD42" i="16"/>
  <c r="AC42" i="16"/>
  <c r="AE42" i="16" s="1"/>
  <c r="Z42" i="16"/>
  <c r="AA42" i="16" s="1"/>
  <c r="AG42" i="16" s="1"/>
  <c r="W42" i="16"/>
  <c r="V42" i="16"/>
  <c r="U42" i="16"/>
  <c r="AF42" i="16" s="1"/>
  <c r="S42" i="16"/>
  <c r="R42" i="16"/>
  <c r="Q42" i="16"/>
  <c r="O42" i="16"/>
  <c r="N42" i="16"/>
  <c r="M42" i="16"/>
  <c r="L42" i="16"/>
  <c r="AJ42" i="16" s="1"/>
  <c r="K42" i="16"/>
  <c r="AL41" i="16"/>
  <c r="AK41" i="16"/>
  <c r="AI41" i="16"/>
  <c r="AH41" i="16"/>
  <c r="AC41" i="16"/>
  <c r="AE41" i="16" s="1"/>
  <c r="Z41" i="16"/>
  <c r="AA41" i="16" s="1"/>
  <c r="AG41" i="16" s="1"/>
  <c r="W41" i="16"/>
  <c r="AD41" i="16" s="1"/>
  <c r="V41" i="16"/>
  <c r="U41" i="16"/>
  <c r="AF41" i="16" s="1"/>
  <c r="S41" i="16"/>
  <c r="R41" i="16"/>
  <c r="Q41" i="16"/>
  <c r="O41" i="16"/>
  <c r="N41" i="16"/>
  <c r="M41" i="16"/>
  <c r="L41" i="16"/>
  <c r="AJ41" i="16" s="1"/>
  <c r="K41" i="16"/>
  <c r="AL40" i="16"/>
  <c r="AK40" i="16"/>
  <c r="AI40" i="16"/>
  <c r="AH40" i="16"/>
  <c r="AC40" i="16"/>
  <c r="AE40" i="16" s="1"/>
  <c r="Z40" i="16"/>
  <c r="AA40" i="16" s="1"/>
  <c r="AG40" i="16" s="1"/>
  <c r="W40" i="16"/>
  <c r="AD40" i="16" s="1"/>
  <c r="V40" i="16"/>
  <c r="U40" i="16"/>
  <c r="AF40" i="16" s="1"/>
  <c r="S40" i="16"/>
  <c r="R40" i="16"/>
  <c r="Q40" i="16"/>
  <c r="O40" i="16"/>
  <c r="N40" i="16"/>
  <c r="M40" i="16"/>
  <c r="L40" i="16"/>
  <c r="AJ40" i="16" s="1"/>
  <c r="K40" i="16"/>
  <c r="AL39" i="16"/>
  <c r="AK39" i="16"/>
  <c r="AI39" i="16"/>
  <c r="AH39" i="16"/>
  <c r="AC39" i="16"/>
  <c r="AE39" i="16" s="1"/>
  <c r="Z39" i="16"/>
  <c r="AA39" i="16" s="1"/>
  <c r="AG39" i="16" s="1"/>
  <c r="W39" i="16"/>
  <c r="AD39" i="16" s="1"/>
  <c r="V39" i="16"/>
  <c r="U39" i="16"/>
  <c r="AF39" i="16" s="1"/>
  <c r="S39" i="16"/>
  <c r="R39" i="16"/>
  <c r="Q39" i="16"/>
  <c r="O39" i="16"/>
  <c r="N39" i="16"/>
  <c r="M39" i="16"/>
  <c r="L39" i="16"/>
  <c r="AJ39" i="16" s="1"/>
  <c r="K39" i="16"/>
  <c r="AL38" i="16"/>
  <c r="AK38" i="16"/>
  <c r="AI38" i="16"/>
  <c r="AH38" i="16"/>
  <c r="AD38" i="16"/>
  <c r="AC38" i="16"/>
  <c r="AE38" i="16" s="1"/>
  <c r="Z38" i="16"/>
  <c r="AA38" i="16" s="1"/>
  <c r="AG38" i="16" s="1"/>
  <c r="W38" i="16"/>
  <c r="V38" i="16"/>
  <c r="U38" i="16"/>
  <c r="AF38" i="16" s="1"/>
  <c r="S38" i="16"/>
  <c r="R38" i="16"/>
  <c r="Q38" i="16"/>
  <c r="O38" i="16"/>
  <c r="N38" i="16"/>
  <c r="M38" i="16"/>
  <c r="L38" i="16"/>
  <c r="AJ38" i="16" s="1"/>
  <c r="K38" i="16"/>
  <c r="AL37" i="16"/>
  <c r="AK37" i="16"/>
  <c r="AI37" i="16"/>
  <c r="AH37" i="16"/>
  <c r="AC37" i="16"/>
  <c r="AE37" i="16" s="1"/>
  <c r="Z37" i="16"/>
  <c r="AA37" i="16" s="1"/>
  <c r="AG37" i="16" s="1"/>
  <c r="W37" i="16"/>
  <c r="AD37" i="16" s="1"/>
  <c r="V37" i="16"/>
  <c r="U37" i="16"/>
  <c r="AF37" i="16" s="1"/>
  <c r="S37" i="16"/>
  <c r="R37" i="16"/>
  <c r="Q37" i="16"/>
  <c r="O37" i="16"/>
  <c r="N37" i="16"/>
  <c r="M37" i="16"/>
  <c r="L37" i="16"/>
  <c r="AJ37" i="16" s="1"/>
  <c r="K37" i="16"/>
  <c r="AL36" i="16"/>
  <c r="AK36" i="16"/>
  <c r="AI36" i="16"/>
  <c r="AH36" i="16"/>
  <c r="AC36" i="16"/>
  <c r="AE36" i="16" s="1"/>
  <c r="Z36" i="16"/>
  <c r="AA36" i="16" s="1"/>
  <c r="AG36" i="16" s="1"/>
  <c r="W36" i="16"/>
  <c r="AD36" i="16" s="1"/>
  <c r="V36" i="16"/>
  <c r="U36" i="16"/>
  <c r="AF36" i="16" s="1"/>
  <c r="S36" i="16"/>
  <c r="R36" i="16"/>
  <c r="Q36" i="16"/>
  <c r="O36" i="16"/>
  <c r="N36" i="16"/>
  <c r="M36" i="16"/>
  <c r="L36" i="16"/>
  <c r="AJ36" i="16" s="1"/>
  <c r="K36" i="16"/>
  <c r="AL35" i="16"/>
  <c r="AK35" i="16"/>
  <c r="AI35" i="16"/>
  <c r="AH35" i="16"/>
  <c r="AC35" i="16"/>
  <c r="AE35" i="16" s="1"/>
  <c r="Z35" i="16"/>
  <c r="AA35" i="16" s="1"/>
  <c r="AG35" i="16" s="1"/>
  <c r="W35" i="16"/>
  <c r="AD35" i="16" s="1"/>
  <c r="V35" i="16"/>
  <c r="U35" i="16"/>
  <c r="AF35" i="16" s="1"/>
  <c r="S35" i="16"/>
  <c r="R35" i="16"/>
  <c r="Q35" i="16"/>
  <c r="O35" i="16"/>
  <c r="N35" i="16"/>
  <c r="M35" i="16"/>
  <c r="L35" i="16"/>
  <c r="AJ35" i="16" s="1"/>
  <c r="K35" i="16"/>
  <c r="AL34" i="16"/>
  <c r="AK34" i="16"/>
  <c r="AI34" i="16"/>
  <c r="AH34" i="16"/>
  <c r="AD34" i="16"/>
  <c r="AC34" i="16"/>
  <c r="AE34" i="16" s="1"/>
  <c r="Z34" i="16"/>
  <c r="AA34" i="16" s="1"/>
  <c r="AG34" i="16" s="1"/>
  <c r="W34" i="16"/>
  <c r="V34" i="16"/>
  <c r="U34" i="16"/>
  <c r="AF34" i="16" s="1"/>
  <c r="S34" i="16"/>
  <c r="R34" i="16"/>
  <c r="Q34" i="16"/>
  <c r="O34" i="16"/>
  <c r="N34" i="16"/>
  <c r="M34" i="16"/>
  <c r="L34" i="16"/>
  <c r="AJ34" i="16" s="1"/>
  <c r="K34" i="16"/>
  <c r="AL33" i="16"/>
  <c r="AK33" i="16"/>
  <c r="AI33" i="16"/>
  <c r="AH33" i="16"/>
  <c r="AC33" i="16"/>
  <c r="AE33" i="16" s="1"/>
  <c r="Z33" i="16"/>
  <c r="AA33" i="16" s="1"/>
  <c r="AG33" i="16" s="1"/>
  <c r="W33" i="16"/>
  <c r="AD33" i="16" s="1"/>
  <c r="V33" i="16"/>
  <c r="U33" i="16"/>
  <c r="AF33" i="16" s="1"/>
  <c r="S33" i="16"/>
  <c r="R33" i="16"/>
  <c r="Q33" i="16"/>
  <c r="O33" i="16"/>
  <c r="N33" i="16"/>
  <c r="M33" i="16"/>
  <c r="L33" i="16"/>
  <c r="AJ33" i="16" s="1"/>
  <c r="K33" i="16"/>
  <c r="AL32" i="16"/>
  <c r="AK32" i="16"/>
  <c r="AI32" i="16"/>
  <c r="AH32" i="16"/>
  <c r="AC32" i="16"/>
  <c r="AE32" i="16" s="1"/>
  <c r="Z32" i="16"/>
  <c r="AA32" i="16" s="1"/>
  <c r="AG32" i="16" s="1"/>
  <c r="W32" i="16"/>
  <c r="AD32" i="16" s="1"/>
  <c r="V32" i="16"/>
  <c r="U32" i="16"/>
  <c r="AF32" i="16" s="1"/>
  <c r="S32" i="16"/>
  <c r="R32" i="16"/>
  <c r="Q32" i="16"/>
  <c r="O32" i="16"/>
  <c r="N32" i="16"/>
  <c r="M32" i="16"/>
  <c r="L32" i="16"/>
  <c r="AJ32" i="16" s="1"/>
  <c r="K32" i="16"/>
  <c r="AL31" i="16"/>
  <c r="AK31" i="16"/>
  <c r="AI31" i="16"/>
  <c r="AH31" i="16"/>
  <c r="AC31" i="16"/>
  <c r="AE31" i="16" s="1"/>
  <c r="Z31" i="16"/>
  <c r="AA31" i="16" s="1"/>
  <c r="AG31" i="16" s="1"/>
  <c r="W31" i="16"/>
  <c r="AD31" i="16" s="1"/>
  <c r="V31" i="16"/>
  <c r="U31" i="16"/>
  <c r="AF31" i="16" s="1"/>
  <c r="S31" i="16"/>
  <c r="R31" i="16"/>
  <c r="Q31" i="16"/>
  <c r="O31" i="16"/>
  <c r="N31" i="16"/>
  <c r="M31" i="16"/>
  <c r="L31" i="16"/>
  <c r="AJ31" i="16" s="1"/>
  <c r="K31" i="16"/>
  <c r="AL30" i="16"/>
  <c r="AK30" i="16"/>
  <c r="AI30" i="16"/>
  <c r="AH30" i="16"/>
  <c r="AD30" i="16"/>
  <c r="AC30" i="16"/>
  <c r="AE30" i="16" s="1"/>
  <c r="Z30" i="16"/>
  <c r="AA30" i="16" s="1"/>
  <c r="AG30" i="16" s="1"/>
  <c r="W30" i="16"/>
  <c r="V30" i="16"/>
  <c r="U30" i="16"/>
  <c r="AF30" i="16" s="1"/>
  <c r="S30" i="16"/>
  <c r="R30" i="16"/>
  <c r="Q30" i="16"/>
  <c r="O30" i="16"/>
  <c r="N30" i="16"/>
  <c r="M30" i="16"/>
  <c r="L30" i="16"/>
  <c r="AJ30" i="16" s="1"/>
  <c r="K30" i="16"/>
  <c r="AL29" i="16"/>
  <c r="AK29" i="16"/>
  <c r="AI29" i="16"/>
  <c r="AH29" i="16"/>
  <c r="AC29" i="16"/>
  <c r="AE29" i="16" s="1"/>
  <c r="Z29" i="16"/>
  <c r="AA29" i="16" s="1"/>
  <c r="AG29" i="16" s="1"/>
  <c r="W29" i="16"/>
  <c r="AD29" i="16" s="1"/>
  <c r="V29" i="16"/>
  <c r="U29" i="16"/>
  <c r="AF29" i="16" s="1"/>
  <c r="S29" i="16"/>
  <c r="R29" i="16"/>
  <c r="Q29" i="16"/>
  <c r="O29" i="16"/>
  <c r="N29" i="16"/>
  <c r="M29" i="16"/>
  <c r="L29" i="16"/>
  <c r="AJ29" i="16" s="1"/>
  <c r="K29" i="16"/>
  <c r="AL28" i="16"/>
  <c r="AK28" i="16"/>
  <c r="AI28" i="16"/>
  <c r="AH28" i="16"/>
  <c r="AC28" i="16"/>
  <c r="AE28" i="16" s="1"/>
  <c r="Z28" i="16"/>
  <c r="AA28" i="16" s="1"/>
  <c r="AG28" i="16" s="1"/>
  <c r="W28" i="16"/>
  <c r="AD28" i="16" s="1"/>
  <c r="V28" i="16"/>
  <c r="U28" i="16"/>
  <c r="AF28" i="16" s="1"/>
  <c r="S28" i="16"/>
  <c r="R28" i="16"/>
  <c r="Q28" i="16"/>
  <c r="O28" i="16"/>
  <c r="N28" i="16"/>
  <c r="M28" i="16"/>
  <c r="L28" i="16"/>
  <c r="AJ28" i="16" s="1"/>
  <c r="K28" i="16"/>
  <c r="AL27" i="16"/>
  <c r="AK27" i="16"/>
  <c r="AI27" i="16"/>
  <c r="AH27" i="16"/>
  <c r="AC27" i="16"/>
  <c r="AE27" i="16" s="1"/>
  <c r="Z27" i="16"/>
  <c r="AA27" i="16" s="1"/>
  <c r="AG27" i="16" s="1"/>
  <c r="W27" i="16"/>
  <c r="AD27" i="16" s="1"/>
  <c r="V27" i="16"/>
  <c r="U27" i="16"/>
  <c r="AF27" i="16" s="1"/>
  <c r="S27" i="16"/>
  <c r="R27" i="16"/>
  <c r="Q27" i="16"/>
  <c r="O27" i="16"/>
  <c r="N27" i="16"/>
  <c r="M27" i="16"/>
  <c r="L27" i="16"/>
  <c r="AJ27" i="16" s="1"/>
  <c r="K27" i="16"/>
  <c r="AL26" i="16"/>
  <c r="AK26" i="16"/>
  <c r="AI26" i="16"/>
  <c r="AH26" i="16"/>
  <c r="AD26" i="16"/>
  <c r="AC26" i="16"/>
  <c r="AE26" i="16" s="1"/>
  <c r="Z26" i="16"/>
  <c r="AA26" i="16" s="1"/>
  <c r="AG26" i="16" s="1"/>
  <c r="W26" i="16"/>
  <c r="V26" i="16"/>
  <c r="U26" i="16"/>
  <c r="AF26" i="16" s="1"/>
  <c r="S26" i="16"/>
  <c r="R26" i="16"/>
  <c r="Q26" i="16"/>
  <c r="O26" i="16"/>
  <c r="N26" i="16"/>
  <c r="M26" i="16"/>
  <c r="L26" i="16"/>
  <c r="AJ26" i="16" s="1"/>
  <c r="K26" i="16"/>
  <c r="AL25" i="16"/>
  <c r="AK25" i="16"/>
  <c r="AI25" i="16"/>
  <c r="AH25" i="16"/>
  <c r="AC25" i="16"/>
  <c r="AE25" i="16" s="1"/>
  <c r="Z25" i="16"/>
  <c r="AA25" i="16" s="1"/>
  <c r="AG25" i="16" s="1"/>
  <c r="W25" i="16"/>
  <c r="AD25" i="16" s="1"/>
  <c r="V25" i="16"/>
  <c r="U25" i="16"/>
  <c r="AF25" i="16" s="1"/>
  <c r="S25" i="16"/>
  <c r="R25" i="16"/>
  <c r="Q25" i="16"/>
  <c r="O25" i="16"/>
  <c r="N25" i="16"/>
  <c r="M25" i="16"/>
  <c r="L25" i="16"/>
  <c r="AJ25" i="16" s="1"/>
  <c r="K25" i="16"/>
  <c r="AL24" i="16"/>
  <c r="AK24" i="16"/>
  <c r="AI24" i="16"/>
  <c r="AH24" i="16"/>
  <c r="AC24" i="16"/>
  <c r="AE24" i="16" s="1"/>
  <c r="Z24" i="16"/>
  <c r="AA24" i="16" s="1"/>
  <c r="AG24" i="16" s="1"/>
  <c r="W24" i="16"/>
  <c r="AD24" i="16" s="1"/>
  <c r="V24" i="16"/>
  <c r="U24" i="16"/>
  <c r="AF24" i="16" s="1"/>
  <c r="S24" i="16"/>
  <c r="R24" i="16"/>
  <c r="Q24" i="16"/>
  <c r="O24" i="16"/>
  <c r="N24" i="16"/>
  <c r="M24" i="16"/>
  <c r="L24" i="16"/>
  <c r="AJ24" i="16" s="1"/>
  <c r="K24" i="16"/>
  <c r="AL23" i="16"/>
  <c r="AK23" i="16"/>
  <c r="AI23" i="16"/>
  <c r="AH23" i="16"/>
  <c r="AC23" i="16"/>
  <c r="AE23" i="16" s="1"/>
  <c r="Z23" i="16"/>
  <c r="AA23" i="16" s="1"/>
  <c r="AG23" i="16" s="1"/>
  <c r="W23" i="16"/>
  <c r="AD23" i="16" s="1"/>
  <c r="V23" i="16"/>
  <c r="U23" i="16"/>
  <c r="AF23" i="16" s="1"/>
  <c r="S23" i="16"/>
  <c r="R23" i="16"/>
  <c r="Q23" i="16"/>
  <c r="O23" i="16"/>
  <c r="N23" i="16"/>
  <c r="M23" i="16"/>
  <c r="L23" i="16"/>
  <c r="AJ23" i="16" s="1"/>
  <c r="K23" i="16"/>
  <c r="AL22" i="16"/>
  <c r="AK22" i="16"/>
  <c r="AI22" i="16"/>
  <c r="AH22" i="16"/>
  <c r="AD22" i="16"/>
  <c r="AC22" i="16"/>
  <c r="AE22" i="16" s="1"/>
  <c r="Z22" i="16"/>
  <c r="AA22" i="16" s="1"/>
  <c r="AG22" i="16" s="1"/>
  <c r="W22" i="16"/>
  <c r="V22" i="16"/>
  <c r="U22" i="16"/>
  <c r="AF22" i="16" s="1"/>
  <c r="S22" i="16"/>
  <c r="R22" i="16"/>
  <c r="Q22" i="16"/>
  <c r="O22" i="16"/>
  <c r="N22" i="16"/>
  <c r="M22" i="16"/>
  <c r="L22" i="16"/>
  <c r="AJ22" i="16" s="1"/>
  <c r="K22" i="16"/>
  <c r="AL21" i="16"/>
  <c r="AK21" i="16"/>
  <c r="AI21" i="16"/>
  <c r="AH21" i="16"/>
  <c r="AC21" i="16"/>
  <c r="AE21" i="16" s="1"/>
  <c r="Z21" i="16"/>
  <c r="AA21" i="16" s="1"/>
  <c r="AG21" i="16" s="1"/>
  <c r="W21" i="16"/>
  <c r="AD21" i="16" s="1"/>
  <c r="V21" i="16"/>
  <c r="U21" i="16"/>
  <c r="AF21" i="16" s="1"/>
  <c r="S21" i="16"/>
  <c r="R21" i="16"/>
  <c r="Q21" i="16"/>
  <c r="O21" i="16"/>
  <c r="N21" i="16"/>
  <c r="M21" i="16"/>
  <c r="L21" i="16"/>
  <c r="AJ21" i="16" s="1"/>
  <c r="K21" i="16"/>
  <c r="AL20" i="16"/>
  <c r="AK20" i="16"/>
  <c r="AI20" i="16"/>
  <c r="AH20" i="16"/>
  <c r="AC20" i="16"/>
  <c r="AE20" i="16" s="1"/>
  <c r="Z20" i="16"/>
  <c r="AA20" i="16" s="1"/>
  <c r="AG20" i="16" s="1"/>
  <c r="W20" i="16"/>
  <c r="AD20" i="16" s="1"/>
  <c r="V20" i="16"/>
  <c r="U20" i="16"/>
  <c r="AF20" i="16" s="1"/>
  <c r="S20" i="16"/>
  <c r="R20" i="16"/>
  <c r="Q20" i="16"/>
  <c r="O20" i="16"/>
  <c r="N20" i="16"/>
  <c r="M20" i="16"/>
  <c r="L20" i="16"/>
  <c r="AJ20" i="16" s="1"/>
  <c r="K20" i="16"/>
  <c r="AL19" i="16"/>
  <c r="AK19" i="16"/>
  <c r="AI19" i="16"/>
  <c r="AH19" i="16"/>
  <c r="AC19" i="16"/>
  <c r="AE19" i="16" s="1"/>
  <c r="Z19" i="16"/>
  <c r="AA19" i="16" s="1"/>
  <c r="AG19" i="16" s="1"/>
  <c r="W19" i="16"/>
  <c r="AD19" i="16" s="1"/>
  <c r="V19" i="16"/>
  <c r="U19" i="16"/>
  <c r="AF19" i="16" s="1"/>
  <c r="S19" i="16"/>
  <c r="R19" i="16"/>
  <c r="Q19" i="16"/>
  <c r="O19" i="16"/>
  <c r="N19" i="16"/>
  <c r="M19" i="16"/>
  <c r="L19" i="16"/>
  <c r="AJ19" i="16" s="1"/>
  <c r="K19" i="16"/>
  <c r="AL18" i="16"/>
  <c r="AK18" i="16"/>
  <c r="AI18" i="16"/>
  <c r="AH18" i="16"/>
  <c r="AD18" i="16"/>
  <c r="AC18" i="16"/>
  <c r="AE18" i="16" s="1"/>
  <c r="Z18" i="16"/>
  <c r="AA18" i="16" s="1"/>
  <c r="AG18" i="16" s="1"/>
  <c r="W18" i="16"/>
  <c r="V18" i="16"/>
  <c r="U18" i="16"/>
  <c r="AF18" i="16" s="1"/>
  <c r="S18" i="16"/>
  <c r="R18" i="16"/>
  <c r="Q18" i="16"/>
  <c r="O18" i="16"/>
  <c r="N18" i="16"/>
  <c r="M18" i="16"/>
  <c r="L18" i="16"/>
  <c r="AJ18" i="16" s="1"/>
  <c r="K18" i="16"/>
  <c r="AL17" i="16"/>
  <c r="AK17" i="16"/>
  <c r="AI17" i="16"/>
  <c r="AH17" i="16"/>
  <c r="AC17" i="16"/>
  <c r="AE17" i="16" s="1"/>
  <c r="Z17" i="16"/>
  <c r="AA17" i="16" s="1"/>
  <c r="AG17" i="16" s="1"/>
  <c r="W17" i="16"/>
  <c r="AD17" i="16" s="1"/>
  <c r="V17" i="16"/>
  <c r="U17" i="16"/>
  <c r="AF17" i="16" s="1"/>
  <c r="S17" i="16"/>
  <c r="R17" i="16"/>
  <c r="Q17" i="16"/>
  <c r="O17" i="16"/>
  <c r="N17" i="16"/>
  <c r="M17" i="16"/>
  <c r="L17" i="16"/>
  <c r="AJ17" i="16" s="1"/>
  <c r="K17" i="16"/>
  <c r="AL16" i="16"/>
  <c r="AK16" i="16"/>
  <c r="AI16" i="16"/>
  <c r="AH16" i="16"/>
  <c r="AC16" i="16"/>
  <c r="AE16" i="16" s="1"/>
  <c r="Z16" i="16"/>
  <c r="AA16" i="16" s="1"/>
  <c r="AG16" i="16" s="1"/>
  <c r="W16" i="16"/>
  <c r="AD16" i="16" s="1"/>
  <c r="V16" i="16"/>
  <c r="U16" i="16"/>
  <c r="AF16" i="16" s="1"/>
  <c r="S16" i="16"/>
  <c r="R16" i="16"/>
  <c r="Q16" i="16"/>
  <c r="O16" i="16"/>
  <c r="N16" i="16"/>
  <c r="M16" i="16"/>
  <c r="L16" i="16"/>
  <c r="AJ16" i="16" s="1"/>
  <c r="K16" i="16"/>
  <c r="AL15" i="16"/>
  <c r="AK15" i="16"/>
  <c r="AI15" i="16"/>
  <c r="AH15" i="16"/>
  <c r="AC15" i="16"/>
  <c r="AE15" i="16" s="1"/>
  <c r="Z15" i="16"/>
  <c r="AA15" i="16" s="1"/>
  <c r="AG15" i="16" s="1"/>
  <c r="W15" i="16"/>
  <c r="AD15" i="16" s="1"/>
  <c r="V15" i="16"/>
  <c r="U15" i="16"/>
  <c r="AF15" i="16" s="1"/>
  <c r="S15" i="16"/>
  <c r="R15" i="16"/>
  <c r="Q15" i="16"/>
  <c r="O15" i="16"/>
  <c r="N15" i="16"/>
  <c r="M15" i="16"/>
  <c r="L15" i="16"/>
  <c r="AJ15" i="16" s="1"/>
  <c r="K15" i="16"/>
  <c r="AL14" i="16"/>
  <c r="AK14" i="16"/>
  <c r="AI14" i="16"/>
  <c r="AH14" i="16"/>
  <c r="AD14" i="16"/>
  <c r="AC14" i="16"/>
  <c r="AE14" i="16" s="1"/>
  <c r="Z14" i="16"/>
  <c r="AA14" i="16" s="1"/>
  <c r="AG14" i="16" s="1"/>
  <c r="W14" i="16"/>
  <c r="V14" i="16"/>
  <c r="U14" i="16"/>
  <c r="AF14" i="16" s="1"/>
  <c r="S14" i="16"/>
  <c r="R14" i="16"/>
  <c r="Q14" i="16"/>
  <c r="O14" i="16"/>
  <c r="N14" i="16"/>
  <c r="M14" i="16"/>
  <c r="L14" i="16"/>
  <c r="AJ14" i="16" s="1"/>
  <c r="K14" i="16"/>
  <c r="AL13" i="16"/>
  <c r="AK13" i="16"/>
  <c r="AI13" i="16"/>
  <c r="AH13" i="16"/>
  <c r="AC13" i="16"/>
  <c r="AE13" i="16" s="1"/>
  <c r="Z13" i="16"/>
  <c r="AA13" i="16" s="1"/>
  <c r="AG13" i="16" s="1"/>
  <c r="W13" i="16"/>
  <c r="AD13" i="16" s="1"/>
  <c r="V13" i="16"/>
  <c r="U13" i="16"/>
  <c r="AF13" i="16" s="1"/>
  <c r="S13" i="16"/>
  <c r="R13" i="16"/>
  <c r="Q13" i="16"/>
  <c r="O13" i="16"/>
  <c r="N13" i="16"/>
  <c r="M13" i="16"/>
  <c r="L13" i="16"/>
  <c r="AJ13" i="16" s="1"/>
  <c r="K13" i="16"/>
  <c r="AL12" i="16"/>
  <c r="AK12" i="16"/>
  <c r="AI12" i="16"/>
  <c r="AH12" i="16"/>
  <c r="AC12" i="16"/>
  <c r="AE12" i="16" s="1"/>
  <c r="Z12" i="16"/>
  <c r="AA12" i="16" s="1"/>
  <c r="AG12" i="16" s="1"/>
  <c r="W12" i="16"/>
  <c r="AD12" i="16" s="1"/>
  <c r="V12" i="16"/>
  <c r="U12" i="16"/>
  <c r="AF12" i="16" s="1"/>
  <c r="S12" i="16"/>
  <c r="R12" i="16"/>
  <c r="Q12" i="16"/>
  <c r="O12" i="16"/>
  <c r="N12" i="16"/>
  <c r="M12" i="16"/>
  <c r="L12" i="16"/>
  <c r="AJ12" i="16" s="1"/>
  <c r="K12" i="16"/>
  <c r="AL11" i="16"/>
  <c r="AK11" i="16"/>
  <c r="AI11" i="16"/>
  <c r="AH11" i="16"/>
  <c r="AC11" i="16"/>
  <c r="AE11" i="16" s="1"/>
  <c r="Z11" i="16"/>
  <c r="AA11" i="16" s="1"/>
  <c r="AG11" i="16" s="1"/>
  <c r="W11" i="16"/>
  <c r="AD11" i="16" s="1"/>
  <c r="V11" i="16"/>
  <c r="U11" i="16"/>
  <c r="AF11" i="16" s="1"/>
  <c r="S11" i="16"/>
  <c r="R11" i="16"/>
  <c r="Q11" i="16"/>
  <c r="O11" i="16"/>
  <c r="N11" i="16"/>
  <c r="M11" i="16"/>
  <c r="L11" i="16"/>
  <c r="AJ11" i="16" s="1"/>
  <c r="K11" i="16"/>
  <c r="AL10" i="16"/>
  <c r="AK10" i="16"/>
  <c r="AI10" i="16"/>
  <c r="AH10" i="16"/>
  <c r="AD10" i="16"/>
  <c r="AC10" i="16"/>
  <c r="AE10" i="16" s="1"/>
  <c r="Z10" i="16"/>
  <c r="AA10" i="16" s="1"/>
  <c r="AG10" i="16" s="1"/>
  <c r="W10" i="16"/>
  <c r="V10" i="16"/>
  <c r="U10" i="16"/>
  <c r="AF10" i="16" s="1"/>
  <c r="S10" i="16"/>
  <c r="R10" i="16"/>
  <c r="Q10" i="16"/>
  <c r="O10" i="16"/>
  <c r="N10" i="16"/>
  <c r="M10" i="16"/>
  <c r="L10" i="16"/>
  <c r="AJ10" i="16" s="1"/>
  <c r="K10" i="16"/>
  <c r="AL9" i="16"/>
  <c r="AK9" i="16"/>
  <c r="AI9" i="16"/>
  <c r="AH9" i="16"/>
  <c r="AC9" i="16"/>
  <c r="AE9" i="16" s="1"/>
  <c r="Z9" i="16"/>
  <c r="AA9" i="16" s="1"/>
  <c r="AG9" i="16" s="1"/>
  <c r="W9" i="16"/>
  <c r="AD9" i="16" s="1"/>
  <c r="V9" i="16"/>
  <c r="U9" i="16"/>
  <c r="AF9" i="16" s="1"/>
  <c r="S9" i="16"/>
  <c r="R9" i="16"/>
  <c r="Q9" i="16"/>
  <c r="O9" i="16"/>
  <c r="N9" i="16"/>
  <c r="M9" i="16"/>
  <c r="L9" i="16"/>
  <c r="AJ9" i="16" s="1"/>
  <c r="K9" i="16"/>
  <c r="AO8" i="16"/>
  <c r="AL8" i="16"/>
  <c r="AI8" i="16"/>
  <c r="AH8" i="16"/>
  <c r="Z8" i="16"/>
  <c r="AA8" i="16" s="1"/>
  <c r="AG8" i="16" s="1"/>
  <c r="W8" i="16"/>
  <c r="AD8" i="16" s="1"/>
  <c r="V8" i="16"/>
  <c r="S8" i="16"/>
  <c r="R8" i="16"/>
  <c r="O8" i="16"/>
  <c r="N8" i="16"/>
  <c r="L8" i="16"/>
  <c r="AK8" i="16" s="1"/>
  <c r="K8" i="16"/>
  <c r="AO7" i="16"/>
  <c r="AI7" i="16"/>
  <c r="X7" i="16"/>
  <c r="S7" i="16"/>
  <c r="P7" i="16"/>
  <c r="L7" i="16"/>
  <c r="K7" i="16"/>
  <c r="AO6" i="16"/>
  <c r="X6" i="16"/>
  <c r="Y6" i="16" s="1"/>
  <c r="Q6" i="16"/>
  <c r="P6" i="16"/>
  <c r="L6" i="16"/>
  <c r="AO5" i="16"/>
  <c r="AL5" i="16"/>
  <c r="AK5" i="16"/>
  <c r="AI5" i="16"/>
  <c r="AH5" i="16"/>
  <c r="AC5" i="16"/>
  <c r="AE5" i="16" s="1"/>
  <c r="Z5" i="16"/>
  <c r="AA5" i="16" s="1"/>
  <c r="AG5" i="16" s="1"/>
  <c r="W5" i="16"/>
  <c r="AD5" i="16" s="1"/>
  <c r="V5" i="16"/>
  <c r="U5" i="16"/>
  <c r="AF5" i="16" s="1"/>
  <c r="S5" i="16"/>
  <c r="R5" i="16"/>
  <c r="Q5" i="16"/>
  <c r="O5" i="16"/>
  <c r="N5" i="16"/>
  <c r="M5" i="16"/>
  <c r="L5" i="16"/>
  <c r="AJ5" i="16" s="1"/>
  <c r="K5" i="16"/>
  <c r="AL4" i="16"/>
  <c r="AI4" i="16"/>
  <c r="AH4" i="16"/>
  <c r="Z4" i="16"/>
  <c r="AA4" i="16" s="1"/>
  <c r="AG4" i="16" s="1"/>
  <c r="W4" i="16"/>
  <c r="AD4" i="16" s="1"/>
  <c r="V4" i="16"/>
  <c r="S4" i="16"/>
  <c r="R4" i="16"/>
  <c r="O4" i="16"/>
  <c r="N4" i="16"/>
  <c r="L4" i="16"/>
  <c r="AK4" i="16" s="1"/>
  <c r="K4" i="16"/>
  <c r="AO3" i="16"/>
  <c r="AI3" i="16"/>
  <c r="X3" i="16"/>
  <c r="W3" i="16"/>
  <c r="AD3" i="16" s="1"/>
  <c r="S3" i="16"/>
  <c r="P3" i="16"/>
  <c r="O3" i="16"/>
  <c r="L3" i="16"/>
  <c r="K3" i="16"/>
  <c r="AO2" i="16"/>
  <c r="AK2" i="16"/>
  <c r="AF2" i="16"/>
  <c r="AC2" i="16"/>
  <c r="AE2" i="16" s="1"/>
  <c r="X2" i="16"/>
  <c r="Y2" i="16" s="1"/>
  <c r="U2" i="16"/>
  <c r="Q2" i="16"/>
  <c r="P2" i="16"/>
  <c r="M2" i="16"/>
  <c r="L2" i="16"/>
  <c r="AO1" i="16"/>
  <c r="K1" i="16"/>
  <c r="AL500" i="15"/>
  <c r="L500" i="15"/>
  <c r="R499" i="15"/>
  <c r="L499" i="15"/>
  <c r="AH499" i="15" s="1"/>
  <c r="AL498" i="15"/>
  <c r="W498" i="15"/>
  <c r="AD498" i="15" s="1"/>
  <c r="S498" i="15"/>
  <c r="O498" i="15"/>
  <c r="N498" i="15"/>
  <c r="L498" i="15"/>
  <c r="AH497" i="15"/>
  <c r="O497" i="15"/>
  <c r="L497" i="15"/>
  <c r="AI497" i="15" s="1"/>
  <c r="AI496" i="15"/>
  <c r="W496" i="15"/>
  <c r="AD496" i="15" s="1"/>
  <c r="S496" i="15"/>
  <c r="N496" i="15"/>
  <c r="L496" i="15"/>
  <c r="AL495" i="15"/>
  <c r="AH495" i="15"/>
  <c r="Z495" i="15"/>
  <c r="AA495" i="15" s="1"/>
  <c r="AG495" i="15" s="1"/>
  <c r="S495" i="15"/>
  <c r="R495" i="15"/>
  <c r="O495" i="15"/>
  <c r="L495" i="15"/>
  <c r="K495" i="15"/>
  <c r="L494" i="15"/>
  <c r="AI493" i="15"/>
  <c r="AH493" i="15"/>
  <c r="W493" i="15"/>
  <c r="AD493" i="15" s="1"/>
  <c r="S493" i="15"/>
  <c r="O493" i="15"/>
  <c r="N493" i="15"/>
  <c r="L493" i="15"/>
  <c r="AH492" i="15"/>
  <c r="O492" i="15"/>
  <c r="L492" i="15"/>
  <c r="AI492" i="15" s="1"/>
  <c r="AI491" i="15"/>
  <c r="W491" i="15"/>
  <c r="AD491" i="15" s="1"/>
  <c r="L491" i="15"/>
  <c r="AL490" i="15"/>
  <c r="AD490" i="15"/>
  <c r="W490" i="15"/>
  <c r="S490" i="15"/>
  <c r="N490" i="15"/>
  <c r="L490" i="15"/>
  <c r="L489" i="15"/>
  <c r="AI488" i="15"/>
  <c r="AH488" i="15"/>
  <c r="W488" i="15"/>
  <c r="AD488" i="15" s="1"/>
  <c r="S488" i="15"/>
  <c r="O488" i="15"/>
  <c r="N488" i="15"/>
  <c r="L488" i="15"/>
  <c r="AL487" i="15"/>
  <c r="AH487" i="15"/>
  <c r="Z487" i="15"/>
  <c r="S487" i="15"/>
  <c r="O487" i="15"/>
  <c r="L487" i="15"/>
  <c r="K487" i="15"/>
  <c r="O486" i="15"/>
  <c r="L486" i="15"/>
  <c r="S486" i="15" s="1"/>
  <c r="AI485" i="15"/>
  <c r="W485" i="15"/>
  <c r="AD485" i="15" s="1"/>
  <c r="S485" i="15"/>
  <c r="N485" i="15"/>
  <c r="L485" i="15"/>
  <c r="V484" i="15"/>
  <c r="L484" i="15"/>
  <c r="AL484" i="15" s="1"/>
  <c r="L483" i="15"/>
  <c r="AI483" i="15" s="1"/>
  <c r="AI482" i="15"/>
  <c r="X482" i="15"/>
  <c r="N482" i="15"/>
  <c r="L482" i="15"/>
  <c r="Z481" i="15"/>
  <c r="AA481" i="15" s="1"/>
  <c r="AG481" i="15" s="1"/>
  <c r="P481" i="15"/>
  <c r="L481" i="15"/>
  <c r="AI481" i="15" s="1"/>
  <c r="AJ480" i="15"/>
  <c r="Z480" i="15"/>
  <c r="AA480" i="15" s="1"/>
  <c r="AG480" i="15" s="1"/>
  <c r="T480" i="15"/>
  <c r="P480" i="15"/>
  <c r="O480" i="15"/>
  <c r="L480" i="15"/>
  <c r="AL480" i="15" s="1"/>
  <c r="K480" i="15"/>
  <c r="W479" i="15"/>
  <c r="AD479" i="15" s="1"/>
  <c r="R479" i="15"/>
  <c r="L479" i="15"/>
  <c r="X478" i="15"/>
  <c r="L478" i="15"/>
  <c r="AI478" i="15" s="1"/>
  <c r="AJ477" i="15"/>
  <c r="X477" i="15"/>
  <c r="S477" i="15"/>
  <c r="O477" i="15"/>
  <c r="L477" i="15"/>
  <c r="K477" i="15"/>
  <c r="V476" i="15"/>
  <c r="O476" i="15"/>
  <c r="L476" i="15"/>
  <c r="W475" i="15"/>
  <c r="AD475" i="15" s="1"/>
  <c r="L475" i="15"/>
  <c r="R475" i="15" s="1"/>
  <c r="X474" i="15"/>
  <c r="S474" i="15"/>
  <c r="N474" i="15"/>
  <c r="L474" i="15"/>
  <c r="AL474" i="15" s="1"/>
  <c r="AL473" i="15"/>
  <c r="AJ473" i="15"/>
  <c r="AI473" i="15"/>
  <c r="X473" i="15"/>
  <c r="V473" i="15"/>
  <c r="T473" i="15"/>
  <c r="P473" i="15"/>
  <c r="O473" i="15"/>
  <c r="N473" i="15"/>
  <c r="L473" i="15"/>
  <c r="Z473" i="15" s="1"/>
  <c r="AA473" i="15" s="1"/>
  <c r="AG473" i="15" s="1"/>
  <c r="K473" i="15"/>
  <c r="Z472" i="15"/>
  <c r="L472" i="15"/>
  <c r="R471" i="15"/>
  <c r="L471" i="15"/>
  <c r="W471" i="15" s="1"/>
  <c r="AD471" i="15" s="1"/>
  <c r="AI470" i="15"/>
  <c r="N470" i="15"/>
  <c r="L470" i="15"/>
  <c r="AJ469" i="15"/>
  <c r="V469" i="15"/>
  <c r="O469" i="15"/>
  <c r="L469" i="15"/>
  <c r="AL469" i="15" s="1"/>
  <c r="AL468" i="15"/>
  <c r="V468" i="15"/>
  <c r="L468" i="15"/>
  <c r="L467" i="15"/>
  <c r="X466" i="15"/>
  <c r="S466" i="15"/>
  <c r="N466" i="15"/>
  <c r="L466" i="15"/>
  <c r="AL466" i="15" s="1"/>
  <c r="AL465" i="15"/>
  <c r="AJ465" i="15"/>
  <c r="AI465" i="15"/>
  <c r="X465" i="15"/>
  <c r="V465" i="15"/>
  <c r="T465" i="15"/>
  <c r="P465" i="15"/>
  <c r="O465" i="15"/>
  <c r="N465" i="15"/>
  <c r="L465" i="15"/>
  <c r="Z465" i="15" s="1"/>
  <c r="AA465" i="15" s="1"/>
  <c r="AG465" i="15" s="1"/>
  <c r="K465" i="15"/>
  <c r="AJ464" i="15"/>
  <c r="Z464" i="15"/>
  <c r="T464" i="15"/>
  <c r="O464" i="15"/>
  <c r="L464" i="15"/>
  <c r="AA464" i="15" s="1"/>
  <c r="AG464" i="15" s="1"/>
  <c r="K464" i="15"/>
  <c r="R463" i="15"/>
  <c r="L463" i="15"/>
  <c r="W463" i="15" s="1"/>
  <c r="AD463" i="15" s="1"/>
  <c r="AI462" i="15"/>
  <c r="L462" i="15"/>
  <c r="L461" i="15"/>
  <c r="P460" i="15"/>
  <c r="L460" i="15"/>
  <c r="W459" i="15"/>
  <c r="AD459" i="15" s="1"/>
  <c r="L459" i="15"/>
  <c r="R459" i="15" s="1"/>
  <c r="X458" i="15"/>
  <c r="N458" i="15"/>
  <c r="L458" i="15"/>
  <c r="AL458" i="15" s="1"/>
  <c r="AL457" i="15"/>
  <c r="AI457" i="15"/>
  <c r="X457" i="15"/>
  <c r="T457" i="15"/>
  <c r="P457" i="15"/>
  <c r="N457" i="15"/>
  <c r="L457" i="15"/>
  <c r="AJ457" i="15" s="1"/>
  <c r="K457" i="15"/>
  <c r="AJ456" i="15"/>
  <c r="Z456" i="15"/>
  <c r="AA456" i="15" s="1"/>
  <c r="AG456" i="15" s="1"/>
  <c r="T456" i="15"/>
  <c r="P456" i="15"/>
  <c r="O456" i="15"/>
  <c r="L456" i="15"/>
  <c r="AL456" i="15" s="1"/>
  <c r="K456" i="15"/>
  <c r="W455" i="15"/>
  <c r="AD455" i="15" s="1"/>
  <c r="R455" i="15"/>
  <c r="L455" i="15"/>
  <c r="S454" i="15"/>
  <c r="L454" i="15"/>
  <c r="AI454" i="15" s="1"/>
  <c r="AJ453" i="15"/>
  <c r="V453" i="15"/>
  <c r="O453" i="15"/>
  <c r="L453" i="15"/>
  <c r="L452" i="15"/>
  <c r="L451" i="15"/>
  <c r="X450" i="15"/>
  <c r="S450" i="15"/>
  <c r="N450" i="15"/>
  <c r="L450" i="15"/>
  <c r="AL450" i="15" s="1"/>
  <c r="AL449" i="15"/>
  <c r="AJ449" i="15"/>
  <c r="AI449" i="15"/>
  <c r="X449" i="15"/>
  <c r="V449" i="15"/>
  <c r="T449" i="15"/>
  <c r="P449" i="15"/>
  <c r="O449" i="15"/>
  <c r="N449" i="15"/>
  <c r="L449" i="15"/>
  <c r="Z449" i="15" s="1"/>
  <c r="AA449" i="15" s="1"/>
  <c r="AG449" i="15" s="1"/>
  <c r="K449" i="15"/>
  <c r="AJ448" i="15"/>
  <c r="Z448" i="15"/>
  <c r="T448" i="15"/>
  <c r="O448" i="15"/>
  <c r="L448" i="15"/>
  <c r="AA448" i="15" s="1"/>
  <c r="AG448" i="15" s="1"/>
  <c r="K448" i="15"/>
  <c r="R447" i="15"/>
  <c r="L447" i="15"/>
  <c r="W447" i="15" s="1"/>
  <c r="AD447" i="15" s="1"/>
  <c r="AI446" i="15"/>
  <c r="L446" i="15"/>
  <c r="L445" i="15"/>
  <c r="P444" i="15"/>
  <c r="L444" i="15"/>
  <c r="W443" i="15"/>
  <c r="AD443" i="15" s="1"/>
  <c r="L443" i="15"/>
  <c r="R443" i="15" s="1"/>
  <c r="X442" i="15"/>
  <c r="N442" i="15"/>
  <c r="L442" i="15"/>
  <c r="AL442" i="15" s="1"/>
  <c r="AL441" i="15"/>
  <c r="AI441" i="15"/>
  <c r="X441" i="15"/>
  <c r="T441" i="15"/>
  <c r="P441" i="15"/>
  <c r="N441" i="15"/>
  <c r="L441" i="15"/>
  <c r="AJ441" i="15" s="1"/>
  <c r="K441" i="15"/>
  <c r="AJ440" i="15"/>
  <c r="Z440" i="15"/>
  <c r="T440" i="15"/>
  <c r="P440" i="15"/>
  <c r="N440" i="15"/>
  <c r="L440" i="15"/>
  <c r="AL440" i="15" s="1"/>
  <c r="K440" i="15"/>
  <c r="L439" i="15"/>
  <c r="X438" i="15"/>
  <c r="N438" i="15"/>
  <c r="L438" i="15"/>
  <c r="AL438" i="15" s="1"/>
  <c r="AJ437" i="15"/>
  <c r="T437" i="15"/>
  <c r="N437" i="15"/>
  <c r="L437" i="15"/>
  <c r="O437" i="15" s="1"/>
  <c r="AJ436" i="15"/>
  <c r="AI436" i="15"/>
  <c r="X436" i="15"/>
  <c r="V436" i="15"/>
  <c r="T436" i="15"/>
  <c r="P436" i="15"/>
  <c r="O436" i="15"/>
  <c r="N436" i="15"/>
  <c r="L436" i="15"/>
  <c r="AL436" i="15" s="1"/>
  <c r="K436" i="15"/>
  <c r="L435" i="15"/>
  <c r="X434" i="15"/>
  <c r="S434" i="15"/>
  <c r="N434" i="15"/>
  <c r="L434" i="15"/>
  <c r="AL434" i="15" s="1"/>
  <c r="AI433" i="15"/>
  <c r="T433" i="15"/>
  <c r="O433" i="15"/>
  <c r="L433" i="15"/>
  <c r="AJ433" i="15" s="1"/>
  <c r="AL432" i="15"/>
  <c r="X432" i="15"/>
  <c r="S432" i="15"/>
  <c r="N432" i="15"/>
  <c r="L432" i="15"/>
  <c r="K432" i="15"/>
  <c r="L431" i="15"/>
  <c r="AI430" i="15"/>
  <c r="N430" i="15"/>
  <c r="L430" i="15"/>
  <c r="X430" i="15" s="1"/>
  <c r="AJ429" i="15"/>
  <c r="X429" i="15"/>
  <c r="O429" i="15"/>
  <c r="L429" i="15"/>
  <c r="AJ428" i="15"/>
  <c r="AI428" i="15"/>
  <c r="X428" i="15"/>
  <c r="V428" i="15"/>
  <c r="T428" i="15"/>
  <c r="P428" i="15"/>
  <c r="O428" i="15"/>
  <c r="N428" i="15"/>
  <c r="L428" i="15"/>
  <c r="AL428" i="15" s="1"/>
  <c r="K428" i="15"/>
  <c r="R427" i="15"/>
  <c r="L427" i="15"/>
  <c r="W427" i="15" s="1"/>
  <c r="AD427" i="15" s="1"/>
  <c r="R426" i="15"/>
  <c r="L426" i="15"/>
  <c r="O425" i="15"/>
  <c r="L425" i="15"/>
  <c r="AI424" i="15"/>
  <c r="V424" i="15"/>
  <c r="S424" i="15"/>
  <c r="O424" i="15"/>
  <c r="N424" i="15"/>
  <c r="L424" i="15"/>
  <c r="AL423" i="15"/>
  <c r="V423" i="15"/>
  <c r="P423" i="15"/>
  <c r="L423" i="15"/>
  <c r="K423" i="15"/>
  <c r="L422" i="15"/>
  <c r="AI421" i="15"/>
  <c r="Z421" i="15"/>
  <c r="X421" i="15"/>
  <c r="S421" i="15"/>
  <c r="O421" i="15"/>
  <c r="N421" i="15"/>
  <c r="L421" i="15"/>
  <c r="AL421" i="15" s="1"/>
  <c r="AL420" i="15"/>
  <c r="AJ420" i="15"/>
  <c r="AI420" i="15"/>
  <c r="X420" i="15"/>
  <c r="V420" i="15"/>
  <c r="T420" i="15"/>
  <c r="P420" i="15"/>
  <c r="O420" i="15"/>
  <c r="N420" i="15"/>
  <c r="L420" i="15"/>
  <c r="Z420" i="15" s="1"/>
  <c r="AA420" i="15" s="1"/>
  <c r="AG420" i="15" s="1"/>
  <c r="K420" i="15"/>
  <c r="V419" i="15"/>
  <c r="L419" i="15"/>
  <c r="K419" i="15"/>
  <c r="L418" i="15"/>
  <c r="S418" i="15" s="1"/>
  <c r="AI417" i="15"/>
  <c r="Z417" i="15"/>
  <c r="X417" i="15"/>
  <c r="S417" i="15"/>
  <c r="O417" i="15"/>
  <c r="N417" i="15"/>
  <c r="L417" i="15"/>
  <c r="AL417" i="15" s="1"/>
  <c r="Z416" i="15"/>
  <c r="AA416" i="15" s="1"/>
  <c r="AG416" i="15" s="1"/>
  <c r="V416" i="15"/>
  <c r="L416" i="15"/>
  <c r="AL415" i="15"/>
  <c r="P415" i="15"/>
  <c r="L415" i="15"/>
  <c r="V415" i="15" s="1"/>
  <c r="K415" i="15"/>
  <c r="L414" i="15"/>
  <c r="S414" i="15" s="1"/>
  <c r="T413" i="15"/>
  <c r="O413" i="15"/>
  <c r="L413" i="15"/>
  <c r="Z413" i="15" s="1"/>
  <c r="L412" i="15"/>
  <c r="AL411" i="15"/>
  <c r="P411" i="15"/>
  <c r="L411" i="15"/>
  <c r="V411" i="15" s="1"/>
  <c r="K411" i="15"/>
  <c r="W410" i="15"/>
  <c r="AD410" i="15" s="1"/>
  <c r="R410" i="15"/>
  <c r="N410" i="15"/>
  <c r="L410" i="15"/>
  <c r="AI410" i="15" s="1"/>
  <c r="K410" i="15"/>
  <c r="L409" i="15"/>
  <c r="AJ408" i="15"/>
  <c r="X408" i="15"/>
  <c r="T408" i="15"/>
  <c r="P408" i="15"/>
  <c r="N408" i="15"/>
  <c r="L408" i="15"/>
  <c r="AI408" i="15" s="1"/>
  <c r="K408" i="15"/>
  <c r="Z407" i="15"/>
  <c r="R407" i="15"/>
  <c r="L407" i="15"/>
  <c r="AI406" i="15"/>
  <c r="V406" i="15"/>
  <c r="AB406" i="15" s="1"/>
  <c r="N406" i="15"/>
  <c r="L406" i="15"/>
  <c r="AL406" i="15" s="1"/>
  <c r="K406" i="15"/>
  <c r="X405" i="15"/>
  <c r="R405" i="15"/>
  <c r="L405" i="15"/>
  <c r="AJ404" i="15"/>
  <c r="X404" i="15"/>
  <c r="T404" i="15"/>
  <c r="P404" i="15"/>
  <c r="N404" i="15"/>
  <c r="L404" i="15"/>
  <c r="AL404" i="15" s="1"/>
  <c r="K404" i="15"/>
  <c r="Z403" i="15"/>
  <c r="R403" i="15"/>
  <c r="L403" i="15"/>
  <c r="AI402" i="15"/>
  <c r="V402" i="15"/>
  <c r="AB402" i="15" s="1"/>
  <c r="N402" i="15"/>
  <c r="L402" i="15"/>
  <c r="AL402" i="15" s="1"/>
  <c r="K402" i="15"/>
  <c r="X401" i="15"/>
  <c r="R401" i="15"/>
  <c r="L401" i="15"/>
  <c r="AJ400" i="15"/>
  <c r="X400" i="15"/>
  <c r="T400" i="15"/>
  <c r="P400" i="15"/>
  <c r="N400" i="15"/>
  <c r="L400" i="15"/>
  <c r="AI400" i="15" s="1"/>
  <c r="K400" i="15"/>
  <c r="R399" i="15"/>
  <c r="L399" i="15"/>
  <c r="AI398" i="15"/>
  <c r="V398" i="15"/>
  <c r="AB398" i="15" s="1"/>
  <c r="N398" i="15"/>
  <c r="L398" i="15"/>
  <c r="AL398" i="15" s="1"/>
  <c r="K398" i="15"/>
  <c r="L397" i="15"/>
  <c r="AJ396" i="15"/>
  <c r="X396" i="15"/>
  <c r="T396" i="15"/>
  <c r="P396" i="15"/>
  <c r="O396" i="15"/>
  <c r="N396" i="15"/>
  <c r="L396" i="15"/>
  <c r="AL396" i="15" s="1"/>
  <c r="K396" i="15"/>
  <c r="L395" i="15"/>
  <c r="AI394" i="15"/>
  <c r="V394" i="15"/>
  <c r="AB394" i="15" s="1"/>
  <c r="N394" i="15"/>
  <c r="L394" i="15"/>
  <c r="AL394" i="15" s="1"/>
  <c r="K394" i="15"/>
  <c r="R393" i="15"/>
  <c r="L393" i="15"/>
  <c r="AJ392" i="15"/>
  <c r="X392" i="15"/>
  <c r="T392" i="15"/>
  <c r="P392" i="15"/>
  <c r="N392" i="15"/>
  <c r="L392" i="15"/>
  <c r="AI392" i="15" s="1"/>
  <c r="K392" i="15"/>
  <c r="L391" i="15"/>
  <c r="AI390" i="15"/>
  <c r="V390" i="15"/>
  <c r="AB390" i="15" s="1"/>
  <c r="R390" i="15"/>
  <c r="N390" i="15"/>
  <c r="L390" i="15"/>
  <c r="AL390" i="15" s="1"/>
  <c r="K390" i="15"/>
  <c r="R389" i="15"/>
  <c r="L389" i="15"/>
  <c r="AJ388" i="15"/>
  <c r="AI388" i="15"/>
  <c r="X388" i="15"/>
  <c r="V388" i="15"/>
  <c r="T388" i="15"/>
  <c r="P388" i="15"/>
  <c r="O388" i="15"/>
  <c r="N388" i="15"/>
  <c r="L388" i="15"/>
  <c r="AL388" i="15" s="1"/>
  <c r="K388" i="15"/>
  <c r="Z387" i="15"/>
  <c r="R387" i="15"/>
  <c r="L387" i="15"/>
  <c r="AI386" i="15"/>
  <c r="V386" i="15"/>
  <c r="AB386" i="15" s="1"/>
  <c r="N386" i="15"/>
  <c r="L386" i="15"/>
  <c r="AL386" i="15" s="1"/>
  <c r="K386" i="15"/>
  <c r="X385" i="15"/>
  <c r="R385" i="15"/>
  <c r="L385" i="15"/>
  <c r="AI384" i="15"/>
  <c r="X384" i="15"/>
  <c r="S384" i="15"/>
  <c r="M384" i="15"/>
  <c r="L384" i="15"/>
  <c r="AJ384" i="15" s="1"/>
  <c r="K384" i="15"/>
  <c r="T383" i="15"/>
  <c r="L383" i="15"/>
  <c r="AI382" i="15"/>
  <c r="AC382" i="15"/>
  <c r="AE382" i="15" s="1"/>
  <c r="X382" i="15"/>
  <c r="S382" i="15"/>
  <c r="P382" i="15"/>
  <c r="M382" i="15"/>
  <c r="L382" i="15"/>
  <c r="AK382" i="15" s="1"/>
  <c r="K382" i="15"/>
  <c r="L381" i="15"/>
  <c r="AK381" i="15" s="1"/>
  <c r="L380" i="15"/>
  <c r="AJ379" i="15"/>
  <c r="T379" i="15"/>
  <c r="O379" i="15"/>
  <c r="L379" i="15"/>
  <c r="AK379" i="15" s="1"/>
  <c r="U378" i="15"/>
  <c r="AF378" i="15" s="1"/>
  <c r="P378" i="15"/>
  <c r="L378" i="15"/>
  <c r="AC378" i="15" s="1"/>
  <c r="AE378" i="15" s="1"/>
  <c r="L377" i="15"/>
  <c r="AK377" i="15" s="1"/>
  <c r="AI376" i="15"/>
  <c r="AC376" i="15"/>
  <c r="AE376" i="15" s="1"/>
  <c r="X376" i="15"/>
  <c r="S376" i="15"/>
  <c r="P376" i="15"/>
  <c r="M376" i="15"/>
  <c r="L376" i="15"/>
  <c r="AJ376" i="15" s="1"/>
  <c r="K376" i="15"/>
  <c r="T375" i="15"/>
  <c r="L375" i="15"/>
  <c r="AI374" i="15"/>
  <c r="X374" i="15"/>
  <c r="S374" i="15"/>
  <c r="M374" i="15"/>
  <c r="L374" i="15"/>
  <c r="AC374" i="15" s="1"/>
  <c r="AE374" i="15" s="1"/>
  <c r="K374" i="15"/>
  <c r="L373" i="15"/>
  <c r="AK373" i="15" s="1"/>
  <c r="L372" i="15"/>
  <c r="AJ371" i="15"/>
  <c r="O371" i="15"/>
  <c r="L371" i="15"/>
  <c r="AK371" i="15" s="1"/>
  <c r="AK370" i="15"/>
  <c r="P370" i="15"/>
  <c r="L370" i="15"/>
  <c r="AH369" i="15"/>
  <c r="V369" i="15"/>
  <c r="N369" i="15"/>
  <c r="L369" i="15"/>
  <c r="AL369" i="15" s="1"/>
  <c r="L368" i="15"/>
  <c r="AL367" i="15"/>
  <c r="AH367" i="15"/>
  <c r="V367" i="15"/>
  <c r="R367" i="15"/>
  <c r="N367" i="15"/>
  <c r="L367" i="15"/>
  <c r="AK367" i="15" s="1"/>
  <c r="AL366" i="15"/>
  <c r="Z366" i="15"/>
  <c r="R366" i="15"/>
  <c r="L366" i="15"/>
  <c r="AH365" i="15"/>
  <c r="V365" i="15"/>
  <c r="N365" i="15"/>
  <c r="L365" i="15"/>
  <c r="AK365" i="15" s="1"/>
  <c r="AL364" i="15"/>
  <c r="Z364" i="15"/>
  <c r="R364" i="15"/>
  <c r="L364" i="15"/>
  <c r="AL363" i="15"/>
  <c r="AH363" i="15"/>
  <c r="V363" i="15"/>
  <c r="R363" i="15"/>
  <c r="N363" i="15"/>
  <c r="L363" i="15"/>
  <c r="AK363" i="15" s="1"/>
  <c r="R362" i="15"/>
  <c r="L362" i="15"/>
  <c r="AH361" i="15"/>
  <c r="V361" i="15"/>
  <c r="N361" i="15"/>
  <c r="L361" i="15"/>
  <c r="AK361" i="15" s="1"/>
  <c r="L360" i="15"/>
  <c r="AL359" i="15"/>
  <c r="AH359" i="15"/>
  <c r="V359" i="15"/>
  <c r="R359" i="15"/>
  <c r="N359" i="15"/>
  <c r="L359" i="15"/>
  <c r="AK359" i="15" s="1"/>
  <c r="AL358" i="15"/>
  <c r="Z358" i="15"/>
  <c r="R358" i="15"/>
  <c r="L358" i="15"/>
  <c r="AH357" i="15"/>
  <c r="V357" i="15"/>
  <c r="N357" i="15"/>
  <c r="L357" i="15"/>
  <c r="AK357" i="15" s="1"/>
  <c r="AL356" i="15"/>
  <c r="Z356" i="15"/>
  <c r="R356" i="15"/>
  <c r="L356" i="15"/>
  <c r="AL355" i="15"/>
  <c r="AH355" i="15"/>
  <c r="V355" i="15"/>
  <c r="R355" i="15"/>
  <c r="N355" i="15"/>
  <c r="L355" i="15"/>
  <c r="AK355" i="15" s="1"/>
  <c r="AL354" i="15"/>
  <c r="L354" i="15"/>
  <c r="AH353" i="15"/>
  <c r="V353" i="15"/>
  <c r="N353" i="15"/>
  <c r="L353" i="15"/>
  <c r="AK353" i="15" s="1"/>
  <c r="AL352" i="15"/>
  <c r="R352" i="15"/>
  <c r="L352" i="15"/>
  <c r="AL351" i="15"/>
  <c r="AH351" i="15"/>
  <c r="V351" i="15"/>
  <c r="R351" i="15"/>
  <c r="N351" i="15"/>
  <c r="L351" i="15"/>
  <c r="AK351" i="15" s="1"/>
  <c r="AL350" i="15"/>
  <c r="Z350" i="15"/>
  <c r="R350" i="15"/>
  <c r="L350" i="15"/>
  <c r="AH349" i="15"/>
  <c r="V349" i="15"/>
  <c r="N349" i="15"/>
  <c r="L349" i="15"/>
  <c r="AK349" i="15" s="1"/>
  <c r="AL348" i="15"/>
  <c r="Z348" i="15"/>
  <c r="R348" i="15"/>
  <c r="L348" i="15"/>
  <c r="AL347" i="15"/>
  <c r="AH347" i="15"/>
  <c r="V347" i="15"/>
  <c r="R347" i="15"/>
  <c r="N347" i="15"/>
  <c r="L347" i="15"/>
  <c r="AK347" i="15" s="1"/>
  <c r="L346" i="15"/>
  <c r="AH345" i="15"/>
  <c r="V345" i="15"/>
  <c r="N345" i="15"/>
  <c r="L345" i="15"/>
  <c r="AK345" i="15" s="1"/>
  <c r="L344" i="15"/>
  <c r="AL343" i="15"/>
  <c r="AH343" i="15"/>
  <c r="V343" i="15"/>
  <c r="R343" i="15"/>
  <c r="N343" i="15"/>
  <c r="L343" i="15"/>
  <c r="AK343" i="15" s="1"/>
  <c r="AL342" i="15"/>
  <c r="Z342" i="15"/>
  <c r="R342" i="15"/>
  <c r="L342" i="15"/>
  <c r="AH341" i="15"/>
  <c r="V341" i="15"/>
  <c r="N341" i="15"/>
  <c r="L341" i="15"/>
  <c r="AK341" i="15" s="1"/>
  <c r="AL340" i="15"/>
  <c r="Z340" i="15"/>
  <c r="R340" i="15"/>
  <c r="L340" i="15"/>
  <c r="AL339" i="15"/>
  <c r="AH339" i="15"/>
  <c r="V339" i="15"/>
  <c r="R339" i="15"/>
  <c r="N339" i="15"/>
  <c r="L339" i="15"/>
  <c r="AK339" i="15" s="1"/>
  <c r="AL338" i="15"/>
  <c r="L338" i="15"/>
  <c r="AH337" i="15"/>
  <c r="V337" i="15"/>
  <c r="N337" i="15"/>
  <c r="L337" i="15"/>
  <c r="AK337" i="15" s="1"/>
  <c r="AL336" i="15"/>
  <c r="R336" i="15"/>
  <c r="L336" i="15"/>
  <c r="AL335" i="15"/>
  <c r="AH335" i="15"/>
  <c r="V335" i="15"/>
  <c r="R335" i="15"/>
  <c r="N335" i="15"/>
  <c r="L335" i="15"/>
  <c r="AK335" i="15" s="1"/>
  <c r="AL334" i="15"/>
  <c r="Z334" i="15"/>
  <c r="R334" i="15"/>
  <c r="L334" i="15"/>
  <c r="AH333" i="15"/>
  <c r="V333" i="15"/>
  <c r="N333" i="15"/>
  <c r="L333" i="15"/>
  <c r="AK333" i="15" s="1"/>
  <c r="AL332" i="15"/>
  <c r="Z332" i="15"/>
  <c r="R332" i="15"/>
  <c r="L332" i="15"/>
  <c r="AH331" i="15"/>
  <c r="V331" i="15"/>
  <c r="N331" i="15"/>
  <c r="L331" i="15"/>
  <c r="AK331" i="15" s="1"/>
  <c r="AL330" i="15"/>
  <c r="Z330" i="15"/>
  <c r="R330" i="15"/>
  <c r="L330" i="15"/>
  <c r="AH329" i="15"/>
  <c r="V329" i="15"/>
  <c r="N329" i="15"/>
  <c r="L329" i="15"/>
  <c r="AK329" i="15" s="1"/>
  <c r="AL328" i="15"/>
  <c r="Z328" i="15"/>
  <c r="R328" i="15"/>
  <c r="L328" i="15"/>
  <c r="AH327" i="15"/>
  <c r="V327" i="15"/>
  <c r="N327" i="15"/>
  <c r="L327" i="15"/>
  <c r="AK327" i="15" s="1"/>
  <c r="AL326" i="15"/>
  <c r="Z326" i="15"/>
  <c r="R326" i="15"/>
  <c r="L326" i="15"/>
  <c r="AH325" i="15"/>
  <c r="V325" i="15"/>
  <c r="R325" i="15"/>
  <c r="N325" i="15"/>
  <c r="L325" i="15"/>
  <c r="AK325" i="15" s="1"/>
  <c r="AL324" i="15"/>
  <c r="AH324" i="15"/>
  <c r="V324" i="15"/>
  <c r="R324" i="15"/>
  <c r="N324" i="15"/>
  <c r="L324" i="15"/>
  <c r="AK324" i="15" s="1"/>
  <c r="L323" i="15"/>
  <c r="Z322" i="15"/>
  <c r="V322" i="15"/>
  <c r="N322" i="15"/>
  <c r="L322" i="15"/>
  <c r="Z321" i="15"/>
  <c r="V321" i="15"/>
  <c r="L321" i="15"/>
  <c r="AL320" i="15"/>
  <c r="AH320" i="15"/>
  <c r="V320" i="15"/>
  <c r="R320" i="15"/>
  <c r="N320" i="15"/>
  <c r="L320" i="15"/>
  <c r="AK320" i="15" s="1"/>
  <c r="Z319" i="15"/>
  <c r="R319" i="15"/>
  <c r="L319" i="15"/>
  <c r="Z318" i="15"/>
  <c r="L318" i="15"/>
  <c r="L317" i="15"/>
  <c r="AL316" i="15"/>
  <c r="AH316" i="15"/>
  <c r="V316" i="15"/>
  <c r="R316" i="15"/>
  <c r="N316" i="15"/>
  <c r="L316" i="15"/>
  <c r="AK316" i="15" s="1"/>
  <c r="L315" i="15"/>
  <c r="Z314" i="15"/>
  <c r="V314" i="15"/>
  <c r="N314" i="15"/>
  <c r="L314" i="15"/>
  <c r="Z313" i="15"/>
  <c r="V313" i="15"/>
  <c r="L313" i="15"/>
  <c r="AL312" i="15"/>
  <c r="AH312" i="15"/>
  <c r="V312" i="15"/>
  <c r="R312" i="15"/>
  <c r="N312" i="15"/>
  <c r="L312" i="15"/>
  <c r="AK312" i="15" s="1"/>
  <c r="Z311" i="15"/>
  <c r="R311" i="15"/>
  <c r="L311" i="15"/>
  <c r="Z310" i="15"/>
  <c r="L310" i="15"/>
  <c r="L309" i="15"/>
  <c r="AL308" i="15"/>
  <c r="AH308" i="15"/>
  <c r="V308" i="15"/>
  <c r="R308" i="15"/>
  <c r="N308" i="15"/>
  <c r="L308" i="15"/>
  <c r="AK308" i="15" s="1"/>
  <c r="L307" i="15"/>
  <c r="Z306" i="15"/>
  <c r="V306" i="15"/>
  <c r="N306" i="15"/>
  <c r="L306" i="15"/>
  <c r="Z305" i="15"/>
  <c r="V305" i="15"/>
  <c r="L305" i="15"/>
  <c r="AL304" i="15"/>
  <c r="AH304" i="15"/>
  <c r="V304" i="15"/>
  <c r="R304" i="15"/>
  <c r="N304" i="15"/>
  <c r="L304" i="15"/>
  <c r="AK304" i="15" s="1"/>
  <c r="Z303" i="15"/>
  <c r="V303" i="15"/>
  <c r="N303" i="15"/>
  <c r="L303" i="15"/>
  <c r="R303" i="15" s="1"/>
  <c r="Z302" i="15"/>
  <c r="V302" i="15"/>
  <c r="L302" i="15"/>
  <c r="AL301" i="15"/>
  <c r="AH301" i="15"/>
  <c r="V301" i="15"/>
  <c r="R301" i="15"/>
  <c r="N301" i="15"/>
  <c r="L301" i="15"/>
  <c r="Z301" i="15" s="1"/>
  <c r="Z300" i="15"/>
  <c r="R300" i="15"/>
  <c r="L300" i="15"/>
  <c r="Z299" i="15"/>
  <c r="L299" i="15"/>
  <c r="L298" i="15"/>
  <c r="AL297" i="15"/>
  <c r="AH297" i="15"/>
  <c r="V297" i="15"/>
  <c r="R297" i="15"/>
  <c r="N297" i="15"/>
  <c r="L297" i="15"/>
  <c r="Z297" i="15" s="1"/>
  <c r="L296" i="15"/>
  <c r="Z295" i="15"/>
  <c r="V295" i="15"/>
  <c r="N295" i="15"/>
  <c r="L295" i="15"/>
  <c r="Z294" i="15"/>
  <c r="V294" i="15"/>
  <c r="L294" i="15"/>
  <c r="AL293" i="15"/>
  <c r="AH293" i="15"/>
  <c r="V293" i="15"/>
  <c r="R293" i="15"/>
  <c r="N293" i="15"/>
  <c r="L293" i="15"/>
  <c r="Z293" i="15" s="1"/>
  <c r="L292" i="15"/>
  <c r="X292" i="15" s="1"/>
  <c r="V291" i="15"/>
  <c r="L291" i="15"/>
  <c r="AL291" i="15" s="1"/>
  <c r="AL290" i="15"/>
  <c r="V290" i="15"/>
  <c r="R290" i="15"/>
  <c r="L290" i="15"/>
  <c r="X290" i="15" s="1"/>
  <c r="AL289" i="15"/>
  <c r="AH289" i="15"/>
  <c r="V289" i="15"/>
  <c r="R289" i="15"/>
  <c r="N289" i="15"/>
  <c r="L289" i="15"/>
  <c r="Z289" i="15" s="1"/>
  <c r="L288" i="15"/>
  <c r="X288" i="15" s="1"/>
  <c r="V287" i="15"/>
  <c r="L287" i="15"/>
  <c r="AL287" i="15" s="1"/>
  <c r="AL286" i="15"/>
  <c r="V286" i="15"/>
  <c r="R286" i="15"/>
  <c r="L286" i="15"/>
  <c r="X286" i="15" s="1"/>
  <c r="AL285" i="15"/>
  <c r="AH285" i="15"/>
  <c r="V285" i="15"/>
  <c r="R285" i="15"/>
  <c r="N285" i="15"/>
  <c r="L285" i="15"/>
  <c r="Z285" i="15" s="1"/>
  <c r="L284" i="15"/>
  <c r="X284" i="15" s="1"/>
  <c r="V283" i="15"/>
  <c r="L283" i="15"/>
  <c r="AL283" i="15" s="1"/>
  <c r="L282" i="15"/>
  <c r="AH282" i="15" s="1"/>
  <c r="V281" i="15"/>
  <c r="L281" i="15"/>
  <c r="AL281" i="15" s="1"/>
  <c r="L280" i="15"/>
  <c r="AH280" i="15" s="1"/>
  <c r="V279" i="15"/>
  <c r="L279" i="15"/>
  <c r="AL279" i="15" s="1"/>
  <c r="V278" i="15"/>
  <c r="L278" i="15"/>
  <c r="AH278" i="15" s="1"/>
  <c r="V277" i="15"/>
  <c r="L277" i="15"/>
  <c r="AL277" i="15" s="1"/>
  <c r="L276" i="15"/>
  <c r="AH276" i="15" s="1"/>
  <c r="V275" i="15"/>
  <c r="L275" i="15"/>
  <c r="AL275" i="15" s="1"/>
  <c r="L274" i="15"/>
  <c r="AH274" i="15" s="1"/>
  <c r="V273" i="15"/>
  <c r="L273" i="15"/>
  <c r="AL273" i="15" s="1"/>
  <c r="L272" i="15"/>
  <c r="AH272" i="15" s="1"/>
  <c r="V271" i="15"/>
  <c r="L271" i="15"/>
  <c r="AL271" i="15" s="1"/>
  <c r="L270" i="15"/>
  <c r="AH270" i="15" s="1"/>
  <c r="L269" i="15"/>
  <c r="L268" i="15"/>
  <c r="P268" i="15" s="1"/>
  <c r="L267" i="15"/>
  <c r="L266" i="15"/>
  <c r="P266" i="15" s="1"/>
  <c r="L265" i="15"/>
  <c r="P264" i="15"/>
  <c r="L264" i="15"/>
  <c r="L263" i="15"/>
  <c r="L262" i="15"/>
  <c r="P262" i="15" s="1"/>
  <c r="L261" i="15"/>
  <c r="L260" i="15"/>
  <c r="P260" i="15" s="1"/>
  <c r="L259" i="15"/>
  <c r="L258" i="15"/>
  <c r="P258" i="15" s="1"/>
  <c r="L257" i="15"/>
  <c r="P256" i="15"/>
  <c r="L256" i="15"/>
  <c r="L255" i="15"/>
  <c r="L254" i="15"/>
  <c r="P254" i="15" s="1"/>
  <c r="L253" i="15"/>
  <c r="L252" i="15"/>
  <c r="P252" i="15" s="1"/>
  <c r="L251" i="15"/>
  <c r="L250" i="15"/>
  <c r="P250" i="15" s="1"/>
  <c r="L249" i="15"/>
  <c r="P248" i="15"/>
  <c r="L248" i="15"/>
  <c r="L247" i="15"/>
  <c r="L246" i="15"/>
  <c r="P246" i="15" s="1"/>
  <c r="L245" i="15"/>
  <c r="L244" i="15"/>
  <c r="P244" i="15" s="1"/>
  <c r="L243" i="15"/>
  <c r="L242" i="15"/>
  <c r="P242" i="15" s="1"/>
  <c r="L241" i="15"/>
  <c r="P240" i="15"/>
  <c r="L240" i="15"/>
  <c r="L239" i="15"/>
  <c r="L238" i="15"/>
  <c r="P238" i="15" s="1"/>
  <c r="L237" i="15"/>
  <c r="L236" i="15"/>
  <c r="P236" i="15" s="1"/>
  <c r="L235" i="15"/>
  <c r="L234" i="15"/>
  <c r="P234" i="15" s="1"/>
  <c r="L233" i="15"/>
  <c r="P232" i="15"/>
  <c r="L232" i="15"/>
  <c r="L231" i="15"/>
  <c r="L230" i="15"/>
  <c r="P230" i="15" s="1"/>
  <c r="L229" i="15"/>
  <c r="L228" i="15"/>
  <c r="P228" i="15" s="1"/>
  <c r="L227" i="15"/>
  <c r="L226" i="15"/>
  <c r="P226" i="15" s="1"/>
  <c r="L225" i="15"/>
  <c r="P224" i="15"/>
  <c r="L224" i="15"/>
  <c r="L223" i="15"/>
  <c r="L222" i="15"/>
  <c r="P222" i="15" s="1"/>
  <c r="L221" i="15"/>
  <c r="L220" i="15"/>
  <c r="P220" i="15" s="1"/>
  <c r="L219" i="15"/>
  <c r="L218" i="15"/>
  <c r="P218" i="15" s="1"/>
  <c r="L217" i="15"/>
  <c r="P216" i="15"/>
  <c r="L216" i="15"/>
  <c r="L215" i="15"/>
  <c r="L214" i="15"/>
  <c r="P214" i="15" s="1"/>
  <c r="L213" i="15"/>
  <c r="L212" i="15"/>
  <c r="P212" i="15" s="1"/>
  <c r="L211" i="15"/>
  <c r="L210" i="15"/>
  <c r="P210" i="15" s="1"/>
  <c r="L209" i="15"/>
  <c r="P208" i="15"/>
  <c r="L208" i="15"/>
  <c r="L207" i="15"/>
  <c r="L206" i="15"/>
  <c r="P206" i="15" s="1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P116" i="15" s="1"/>
  <c r="L115" i="15"/>
  <c r="L114" i="15"/>
  <c r="P114" i="15" s="1"/>
  <c r="L113" i="15"/>
  <c r="P112" i="15"/>
  <c r="L112" i="15"/>
  <c r="L111" i="15"/>
  <c r="L110" i="15"/>
  <c r="P110" i="15" s="1"/>
  <c r="L109" i="15"/>
  <c r="L108" i="15"/>
  <c r="P108" i="15" s="1"/>
  <c r="L107" i="15"/>
  <c r="L106" i="15"/>
  <c r="P106" i="15" s="1"/>
  <c r="L105" i="15"/>
  <c r="P104" i="15"/>
  <c r="L104" i="15"/>
  <c r="L103" i="15"/>
  <c r="L102" i="15"/>
  <c r="P102" i="15" s="1"/>
  <c r="L101" i="15"/>
  <c r="L100" i="15"/>
  <c r="P100" i="15" s="1"/>
  <c r="L99" i="15"/>
  <c r="L98" i="15"/>
  <c r="P98" i="15" s="1"/>
  <c r="L97" i="15"/>
  <c r="P96" i="15"/>
  <c r="L96" i="15"/>
  <c r="L95" i="15"/>
  <c r="L94" i="15"/>
  <c r="P94" i="15" s="1"/>
  <c r="L93" i="15"/>
  <c r="L92" i="15"/>
  <c r="P92" i="15" s="1"/>
  <c r="L91" i="15"/>
  <c r="L90" i="15"/>
  <c r="P90" i="15" s="1"/>
  <c r="L89" i="15"/>
  <c r="P88" i="15"/>
  <c r="L88" i="15"/>
  <c r="L87" i="15"/>
  <c r="L86" i="15"/>
  <c r="P86" i="15" s="1"/>
  <c r="L85" i="15"/>
  <c r="L84" i="15"/>
  <c r="P84" i="15" s="1"/>
  <c r="L83" i="15"/>
  <c r="L82" i="15"/>
  <c r="P82" i="15" s="1"/>
  <c r="L81" i="15"/>
  <c r="P80" i="15"/>
  <c r="L80" i="15"/>
  <c r="L79" i="15"/>
  <c r="L78" i="15"/>
  <c r="P78" i="15" s="1"/>
  <c r="L77" i="15"/>
  <c r="L76" i="15"/>
  <c r="P76" i="15" s="1"/>
  <c r="L75" i="15"/>
  <c r="L74" i="15"/>
  <c r="P74" i="15" s="1"/>
  <c r="L73" i="15"/>
  <c r="P72" i="15"/>
  <c r="L72" i="15"/>
  <c r="L71" i="15"/>
  <c r="L70" i="15"/>
  <c r="P70" i="15" s="1"/>
  <c r="L69" i="15"/>
  <c r="L68" i="15"/>
  <c r="P68" i="15" s="1"/>
  <c r="L67" i="15"/>
  <c r="L66" i="15"/>
  <c r="P66" i="15" s="1"/>
  <c r="L65" i="15"/>
  <c r="P64" i="15"/>
  <c r="L64" i="15"/>
  <c r="L63" i="15"/>
  <c r="L62" i="15"/>
  <c r="P62" i="15" s="1"/>
  <c r="L61" i="15"/>
  <c r="L60" i="15"/>
  <c r="P60" i="15" s="1"/>
  <c r="L59" i="15"/>
  <c r="L58" i="15"/>
  <c r="P58" i="15" s="1"/>
  <c r="L57" i="15"/>
  <c r="P56" i="15"/>
  <c r="L56" i="15"/>
  <c r="L55" i="15"/>
  <c r="L54" i="15"/>
  <c r="P54" i="15" s="1"/>
  <c r="L53" i="15"/>
  <c r="L52" i="15"/>
  <c r="P52" i="15" s="1"/>
  <c r="L51" i="15"/>
  <c r="L50" i="15"/>
  <c r="P50" i="15" s="1"/>
  <c r="L49" i="15"/>
  <c r="P48" i="15"/>
  <c r="L48" i="15"/>
  <c r="L47" i="15"/>
  <c r="L46" i="15"/>
  <c r="P46" i="15" s="1"/>
  <c r="L45" i="15"/>
  <c r="L44" i="15"/>
  <c r="P44" i="15" s="1"/>
  <c r="L43" i="15"/>
  <c r="L42" i="15"/>
  <c r="P42" i="15" s="1"/>
  <c r="L41" i="15"/>
  <c r="P41" i="15" s="1"/>
  <c r="L40" i="15"/>
  <c r="L39" i="15"/>
  <c r="P39" i="15" s="1"/>
  <c r="L38" i="15"/>
  <c r="L37" i="15"/>
  <c r="P37" i="15" s="1"/>
  <c r="L36" i="15"/>
  <c r="P35" i="15"/>
  <c r="L35" i="15"/>
  <c r="L34" i="15"/>
  <c r="L33" i="15"/>
  <c r="P33" i="15" s="1"/>
  <c r="L32" i="15"/>
  <c r="L31" i="15"/>
  <c r="P31" i="15" s="1"/>
  <c r="L30" i="15"/>
  <c r="L29" i="15"/>
  <c r="P29" i="15" s="1"/>
  <c r="L28" i="15"/>
  <c r="P27" i="15"/>
  <c r="L27" i="15"/>
  <c r="L26" i="15"/>
  <c r="L25" i="15"/>
  <c r="P25" i="15" s="1"/>
  <c r="L24" i="15"/>
  <c r="L23" i="15"/>
  <c r="P23" i="15" s="1"/>
  <c r="L22" i="15"/>
  <c r="L21" i="15"/>
  <c r="P21" i="15" s="1"/>
  <c r="L20" i="15"/>
  <c r="P19" i="15"/>
  <c r="L19" i="15"/>
  <c r="L18" i="15"/>
  <c r="L17" i="15"/>
  <c r="P17" i="15" s="1"/>
  <c r="L16" i="15"/>
  <c r="L15" i="15"/>
  <c r="P15" i="15" s="1"/>
  <c r="L14" i="15"/>
  <c r="L13" i="15"/>
  <c r="P13" i="15" s="1"/>
  <c r="L12" i="15"/>
  <c r="P11" i="15"/>
  <c r="L11" i="15"/>
  <c r="L10" i="15"/>
  <c r="L9" i="15"/>
  <c r="P9" i="15" s="1"/>
  <c r="AO8" i="15"/>
  <c r="L8" i="15"/>
  <c r="M8" i="15" s="1"/>
  <c r="AO7" i="15"/>
  <c r="L7" i="15"/>
  <c r="AO6" i="15"/>
  <c r="L6" i="15"/>
  <c r="M6" i="15" s="1"/>
  <c r="AO5" i="15"/>
  <c r="L5" i="15"/>
  <c r="P5" i="15" s="1"/>
  <c r="AC4" i="15"/>
  <c r="AE4" i="15" s="1"/>
  <c r="L4" i="15"/>
  <c r="M4" i="15" s="1"/>
  <c r="AO3" i="15"/>
  <c r="L3" i="15"/>
  <c r="AO2" i="15"/>
  <c r="L2" i="15"/>
  <c r="M2" i="15" s="1"/>
  <c r="AO1" i="15"/>
  <c r="AK501" i="14"/>
  <c r="AI501" i="14"/>
  <c r="AC501" i="14"/>
  <c r="AE501" i="14" s="1"/>
  <c r="W501" i="14"/>
  <c r="AD501" i="14" s="1"/>
  <c r="U501" i="14"/>
  <c r="AF501" i="14" s="1"/>
  <c r="S501" i="14"/>
  <c r="Q501" i="14"/>
  <c r="O501" i="14"/>
  <c r="M501" i="14"/>
  <c r="L501" i="14"/>
  <c r="AL501" i="14" s="1"/>
  <c r="K501" i="14"/>
  <c r="AK500" i="14"/>
  <c r="AI500" i="14"/>
  <c r="AC500" i="14"/>
  <c r="AE500" i="14" s="1"/>
  <c r="W500" i="14"/>
  <c r="AD500" i="14" s="1"/>
  <c r="U500" i="14"/>
  <c r="AF500" i="14" s="1"/>
  <c r="S500" i="14"/>
  <c r="Q500" i="14"/>
  <c r="O500" i="14"/>
  <c r="M500" i="14"/>
  <c r="L500" i="14"/>
  <c r="AL500" i="14" s="1"/>
  <c r="K500" i="14"/>
  <c r="AK499" i="14"/>
  <c r="AI499" i="14"/>
  <c r="AC499" i="14"/>
  <c r="AE499" i="14" s="1"/>
  <c r="W499" i="14"/>
  <c r="AD499" i="14" s="1"/>
  <c r="U499" i="14"/>
  <c r="AF499" i="14" s="1"/>
  <c r="S499" i="14"/>
  <c r="Q499" i="14"/>
  <c r="O499" i="14"/>
  <c r="M499" i="14"/>
  <c r="L499" i="14"/>
  <c r="AL499" i="14" s="1"/>
  <c r="K499" i="14"/>
  <c r="AK498" i="14"/>
  <c r="AI498" i="14"/>
  <c r="AC498" i="14"/>
  <c r="AE498" i="14" s="1"/>
  <c r="W498" i="14"/>
  <c r="AD498" i="14" s="1"/>
  <c r="U498" i="14"/>
  <c r="AF498" i="14" s="1"/>
  <c r="S498" i="14"/>
  <c r="Q498" i="14"/>
  <c r="O498" i="14"/>
  <c r="M498" i="14"/>
  <c r="L498" i="14"/>
  <c r="AL498" i="14" s="1"/>
  <c r="K498" i="14"/>
  <c r="AK497" i="14"/>
  <c r="AI497" i="14"/>
  <c r="AC497" i="14"/>
  <c r="AE497" i="14" s="1"/>
  <c r="W497" i="14"/>
  <c r="AD497" i="14" s="1"/>
  <c r="U497" i="14"/>
  <c r="AF497" i="14" s="1"/>
  <c r="S497" i="14"/>
  <c r="Q497" i="14"/>
  <c r="O497" i="14"/>
  <c r="M497" i="14"/>
  <c r="L497" i="14"/>
  <c r="AL497" i="14" s="1"/>
  <c r="K497" i="14"/>
  <c r="AK496" i="14"/>
  <c r="AI496" i="14"/>
  <c r="AC496" i="14"/>
  <c r="AE496" i="14" s="1"/>
  <c r="W496" i="14"/>
  <c r="AD496" i="14" s="1"/>
  <c r="U496" i="14"/>
  <c r="AF496" i="14" s="1"/>
  <c r="S496" i="14"/>
  <c r="Q496" i="14"/>
  <c r="O496" i="14"/>
  <c r="M496" i="14"/>
  <c r="L496" i="14"/>
  <c r="AL496" i="14" s="1"/>
  <c r="K496" i="14"/>
  <c r="AK495" i="14"/>
  <c r="AI495" i="14"/>
  <c r="AC495" i="14"/>
  <c r="AE495" i="14" s="1"/>
  <c r="W495" i="14"/>
  <c r="AD495" i="14" s="1"/>
  <c r="U495" i="14"/>
  <c r="AF495" i="14" s="1"/>
  <c r="S495" i="14"/>
  <c r="Q495" i="14"/>
  <c r="O495" i="14"/>
  <c r="M495" i="14"/>
  <c r="L495" i="14"/>
  <c r="AL495" i="14" s="1"/>
  <c r="K495" i="14"/>
  <c r="AK494" i="14"/>
  <c r="AI494" i="14"/>
  <c r="AC494" i="14"/>
  <c r="AE494" i="14" s="1"/>
  <c r="W494" i="14"/>
  <c r="AD494" i="14" s="1"/>
  <c r="U494" i="14"/>
  <c r="AF494" i="14" s="1"/>
  <c r="S494" i="14"/>
  <c r="Q494" i="14"/>
  <c r="O494" i="14"/>
  <c r="M494" i="14"/>
  <c r="L494" i="14"/>
  <c r="AL494" i="14" s="1"/>
  <c r="K494" i="14"/>
  <c r="AK493" i="14"/>
  <c r="AI493" i="14"/>
  <c r="AC493" i="14"/>
  <c r="AE493" i="14" s="1"/>
  <c r="W493" i="14"/>
  <c r="AD493" i="14" s="1"/>
  <c r="U493" i="14"/>
  <c r="AF493" i="14" s="1"/>
  <c r="S493" i="14"/>
  <c r="Q493" i="14"/>
  <c r="O493" i="14"/>
  <c r="M493" i="14"/>
  <c r="L493" i="14"/>
  <c r="AL493" i="14" s="1"/>
  <c r="K493" i="14"/>
  <c r="AK492" i="14"/>
  <c r="AI492" i="14"/>
  <c r="AC492" i="14"/>
  <c r="AE492" i="14" s="1"/>
  <c r="W492" i="14"/>
  <c r="AD492" i="14" s="1"/>
  <c r="U492" i="14"/>
  <c r="AF492" i="14" s="1"/>
  <c r="S492" i="14"/>
  <c r="Q492" i="14"/>
  <c r="O492" i="14"/>
  <c r="M492" i="14"/>
  <c r="L492" i="14"/>
  <c r="AL492" i="14" s="1"/>
  <c r="K492" i="14"/>
  <c r="AK491" i="14"/>
  <c r="AI491" i="14"/>
  <c r="AC491" i="14"/>
  <c r="AE491" i="14" s="1"/>
  <c r="W491" i="14"/>
  <c r="AD491" i="14" s="1"/>
  <c r="U491" i="14"/>
  <c r="AF491" i="14" s="1"/>
  <c r="S491" i="14"/>
  <c r="Q491" i="14"/>
  <c r="O491" i="14"/>
  <c r="M491" i="14"/>
  <c r="L491" i="14"/>
  <c r="AL491" i="14" s="1"/>
  <c r="K491" i="14"/>
  <c r="AK490" i="14"/>
  <c r="AI490" i="14"/>
  <c r="AC490" i="14"/>
  <c r="AE490" i="14" s="1"/>
  <c r="W490" i="14"/>
  <c r="AD490" i="14" s="1"/>
  <c r="U490" i="14"/>
  <c r="AF490" i="14" s="1"/>
  <c r="S490" i="14"/>
  <c r="Q490" i="14"/>
  <c r="O490" i="14"/>
  <c r="M490" i="14"/>
  <c r="L490" i="14"/>
  <c r="AL490" i="14" s="1"/>
  <c r="K490" i="14"/>
  <c r="AK489" i="14"/>
  <c r="AI489" i="14"/>
  <c r="AC489" i="14"/>
  <c r="AE489" i="14" s="1"/>
  <c r="W489" i="14"/>
  <c r="AD489" i="14" s="1"/>
  <c r="U489" i="14"/>
  <c r="AF489" i="14" s="1"/>
  <c r="S489" i="14"/>
  <c r="Q489" i="14"/>
  <c r="O489" i="14"/>
  <c r="M489" i="14"/>
  <c r="L489" i="14"/>
  <c r="AL489" i="14" s="1"/>
  <c r="K489" i="14"/>
  <c r="AK488" i="14"/>
  <c r="AI488" i="14"/>
  <c r="AC488" i="14"/>
  <c r="AE488" i="14" s="1"/>
  <c r="W488" i="14"/>
  <c r="AD488" i="14" s="1"/>
  <c r="U488" i="14"/>
  <c r="AF488" i="14" s="1"/>
  <c r="S488" i="14"/>
  <c r="Q488" i="14"/>
  <c r="O488" i="14"/>
  <c r="M488" i="14"/>
  <c r="L488" i="14"/>
  <c r="AL488" i="14" s="1"/>
  <c r="K488" i="14"/>
  <c r="AK487" i="14"/>
  <c r="AI487" i="14"/>
  <c r="AC487" i="14"/>
  <c r="AE487" i="14" s="1"/>
  <c r="W487" i="14"/>
  <c r="AD487" i="14" s="1"/>
  <c r="U487" i="14"/>
  <c r="AF487" i="14" s="1"/>
  <c r="S487" i="14"/>
  <c r="Q487" i="14"/>
  <c r="O487" i="14"/>
  <c r="M487" i="14"/>
  <c r="L487" i="14"/>
  <c r="AL487" i="14" s="1"/>
  <c r="K487" i="14"/>
  <c r="AK486" i="14"/>
  <c r="AI486" i="14"/>
  <c r="AC486" i="14"/>
  <c r="AE486" i="14" s="1"/>
  <c r="W486" i="14"/>
  <c r="AD486" i="14" s="1"/>
  <c r="U486" i="14"/>
  <c r="AF486" i="14" s="1"/>
  <c r="S486" i="14"/>
  <c r="Q486" i="14"/>
  <c r="O486" i="14"/>
  <c r="M486" i="14"/>
  <c r="L486" i="14"/>
  <c r="AL486" i="14" s="1"/>
  <c r="K486" i="14"/>
  <c r="AK485" i="14"/>
  <c r="AI485" i="14"/>
  <c r="AC485" i="14"/>
  <c r="AE485" i="14" s="1"/>
  <c r="W485" i="14"/>
  <c r="AD485" i="14" s="1"/>
  <c r="U485" i="14"/>
  <c r="AF485" i="14" s="1"/>
  <c r="S485" i="14"/>
  <c r="Q485" i="14"/>
  <c r="O485" i="14"/>
  <c r="M485" i="14"/>
  <c r="L485" i="14"/>
  <c r="AL485" i="14" s="1"/>
  <c r="K485" i="14"/>
  <c r="AK484" i="14"/>
  <c r="AI484" i="14"/>
  <c r="AE484" i="14"/>
  <c r="AC484" i="14"/>
  <c r="W484" i="14"/>
  <c r="AD484" i="14" s="1"/>
  <c r="U484" i="14"/>
  <c r="AF484" i="14" s="1"/>
  <c r="S484" i="14"/>
  <c r="Q484" i="14"/>
  <c r="O484" i="14"/>
  <c r="M484" i="14"/>
  <c r="L484" i="14"/>
  <c r="AL484" i="14" s="1"/>
  <c r="K484" i="14"/>
  <c r="AK483" i="14"/>
  <c r="AI483" i="14"/>
  <c r="AC483" i="14"/>
  <c r="AE483" i="14" s="1"/>
  <c r="W483" i="14"/>
  <c r="AD483" i="14" s="1"/>
  <c r="U483" i="14"/>
  <c r="AF483" i="14" s="1"/>
  <c r="S483" i="14"/>
  <c r="Q483" i="14"/>
  <c r="O483" i="14"/>
  <c r="M483" i="14"/>
  <c r="L483" i="14"/>
  <c r="AL483" i="14" s="1"/>
  <c r="K483" i="14"/>
  <c r="AK482" i="14"/>
  <c r="AI482" i="14"/>
  <c r="AC482" i="14"/>
  <c r="AE482" i="14" s="1"/>
  <c r="W482" i="14"/>
  <c r="AD482" i="14" s="1"/>
  <c r="U482" i="14"/>
  <c r="AF482" i="14" s="1"/>
  <c r="S482" i="14"/>
  <c r="Q482" i="14"/>
  <c r="O482" i="14"/>
  <c r="M482" i="14"/>
  <c r="L482" i="14"/>
  <c r="AL482" i="14" s="1"/>
  <c r="K482" i="14"/>
  <c r="AK481" i="14"/>
  <c r="AI481" i="14"/>
  <c r="AC481" i="14"/>
  <c r="AE481" i="14" s="1"/>
  <c r="W481" i="14"/>
  <c r="AD481" i="14" s="1"/>
  <c r="U481" i="14"/>
  <c r="AF481" i="14" s="1"/>
  <c r="S481" i="14"/>
  <c r="Q481" i="14"/>
  <c r="O481" i="14"/>
  <c r="M481" i="14"/>
  <c r="L481" i="14"/>
  <c r="AL481" i="14" s="1"/>
  <c r="K481" i="14"/>
  <c r="AK480" i="14"/>
  <c r="AI480" i="14"/>
  <c r="AC480" i="14"/>
  <c r="AE480" i="14" s="1"/>
  <c r="W480" i="14"/>
  <c r="AD480" i="14" s="1"/>
  <c r="U480" i="14"/>
  <c r="AF480" i="14" s="1"/>
  <c r="S480" i="14"/>
  <c r="Q480" i="14"/>
  <c r="O480" i="14"/>
  <c r="M480" i="14"/>
  <c r="L480" i="14"/>
  <c r="AL480" i="14" s="1"/>
  <c r="K480" i="14"/>
  <c r="AK479" i="14"/>
  <c r="AI479" i="14"/>
  <c r="AC479" i="14"/>
  <c r="AE479" i="14" s="1"/>
  <c r="W479" i="14"/>
  <c r="AD479" i="14" s="1"/>
  <c r="U479" i="14"/>
  <c r="AF479" i="14" s="1"/>
  <c r="S479" i="14"/>
  <c r="Q479" i="14"/>
  <c r="O479" i="14"/>
  <c r="M479" i="14"/>
  <c r="L479" i="14"/>
  <c r="AL479" i="14" s="1"/>
  <c r="K479" i="14"/>
  <c r="AK478" i="14"/>
  <c r="AI478" i="14"/>
  <c r="AC478" i="14"/>
  <c r="AE478" i="14" s="1"/>
  <c r="W478" i="14"/>
  <c r="AD478" i="14" s="1"/>
  <c r="U478" i="14"/>
  <c r="AF478" i="14" s="1"/>
  <c r="S478" i="14"/>
  <c r="Q478" i="14"/>
  <c r="O478" i="14"/>
  <c r="M478" i="14"/>
  <c r="L478" i="14"/>
  <c r="AL478" i="14" s="1"/>
  <c r="K478" i="14"/>
  <c r="AK477" i="14"/>
  <c r="AI477" i="14"/>
  <c r="AC477" i="14"/>
  <c r="AE477" i="14" s="1"/>
  <c r="W477" i="14"/>
  <c r="AD477" i="14" s="1"/>
  <c r="U477" i="14"/>
  <c r="AF477" i="14" s="1"/>
  <c r="S477" i="14"/>
  <c r="Q477" i="14"/>
  <c r="O477" i="14"/>
  <c r="M477" i="14"/>
  <c r="L477" i="14"/>
  <c r="AL477" i="14" s="1"/>
  <c r="K477" i="14"/>
  <c r="AK476" i="14"/>
  <c r="AI476" i="14"/>
  <c r="AC476" i="14"/>
  <c r="AE476" i="14" s="1"/>
  <c r="W476" i="14"/>
  <c r="AD476" i="14" s="1"/>
  <c r="U476" i="14"/>
  <c r="AF476" i="14" s="1"/>
  <c r="S476" i="14"/>
  <c r="Q476" i="14"/>
  <c r="O476" i="14"/>
  <c r="M476" i="14"/>
  <c r="L476" i="14"/>
  <c r="AL476" i="14" s="1"/>
  <c r="K476" i="14"/>
  <c r="AK475" i="14"/>
  <c r="AI475" i="14"/>
  <c r="AC475" i="14"/>
  <c r="AE475" i="14" s="1"/>
  <c r="W475" i="14"/>
  <c r="AD475" i="14" s="1"/>
  <c r="U475" i="14"/>
  <c r="AF475" i="14" s="1"/>
  <c r="S475" i="14"/>
  <c r="Q475" i="14"/>
  <c r="O475" i="14"/>
  <c r="M475" i="14"/>
  <c r="L475" i="14"/>
  <c r="AL475" i="14" s="1"/>
  <c r="K475" i="14"/>
  <c r="AK474" i="14"/>
  <c r="AI474" i="14"/>
  <c r="AC474" i="14"/>
  <c r="AE474" i="14" s="1"/>
  <c r="W474" i="14"/>
  <c r="AD474" i="14" s="1"/>
  <c r="U474" i="14"/>
  <c r="AF474" i="14" s="1"/>
  <c r="S474" i="14"/>
  <c r="Q474" i="14"/>
  <c r="O474" i="14"/>
  <c r="M474" i="14"/>
  <c r="L474" i="14"/>
  <c r="AL474" i="14" s="1"/>
  <c r="K474" i="14"/>
  <c r="AK473" i="14"/>
  <c r="AI473" i="14"/>
  <c r="AC473" i="14"/>
  <c r="AE473" i="14" s="1"/>
  <c r="W473" i="14"/>
  <c r="AD473" i="14" s="1"/>
  <c r="U473" i="14"/>
  <c r="AF473" i="14" s="1"/>
  <c r="S473" i="14"/>
  <c r="Q473" i="14"/>
  <c r="O473" i="14"/>
  <c r="M473" i="14"/>
  <c r="L473" i="14"/>
  <c r="AL473" i="14" s="1"/>
  <c r="K473" i="14"/>
  <c r="AK472" i="14"/>
  <c r="AI472" i="14"/>
  <c r="AC472" i="14"/>
  <c r="AE472" i="14" s="1"/>
  <c r="W472" i="14"/>
  <c r="AD472" i="14" s="1"/>
  <c r="U472" i="14"/>
  <c r="AF472" i="14" s="1"/>
  <c r="S472" i="14"/>
  <c r="Q472" i="14"/>
  <c r="O472" i="14"/>
  <c r="M472" i="14"/>
  <c r="L472" i="14"/>
  <c r="AL472" i="14" s="1"/>
  <c r="K472" i="14"/>
  <c r="AK471" i="14"/>
  <c r="AI471" i="14"/>
  <c r="AC471" i="14"/>
  <c r="AE471" i="14" s="1"/>
  <c r="W471" i="14"/>
  <c r="AD471" i="14" s="1"/>
  <c r="U471" i="14"/>
  <c r="AF471" i="14" s="1"/>
  <c r="S471" i="14"/>
  <c r="Q471" i="14"/>
  <c r="O471" i="14"/>
  <c r="M471" i="14"/>
  <c r="L471" i="14"/>
  <c r="AL471" i="14" s="1"/>
  <c r="K471" i="14"/>
  <c r="AK470" i="14"/>
  <c r="AI470" i="14"/>
  <c r="AC470" i="14"/>
  <c r="AE470" i="14" s="1"/>
  <c r="W470" i="14"/>
  <c r="AD470" i="14" s="1"/>
  <c r="U470" i="14"/>
  <c r="AF470" i="14" s="1"/>
  <c r="S470" i="14"/>
  <c r="Q470" i="14"/>
  <c r="O470" i="14"/>
  <c r="M470" i="14"/>
  <c r="L470" i="14"/>
  <c r="AL470" i="14" s="1"/>
  <c r="K470" i="14"/>
  <c r="AK469" i="14"/>
  <c r="AI469" i="14"/>
  <c r="AC469" i="14"/>
  <c r="AE469" i="14" s="1"/>
  <c r="W469" i="14"/>
  <c r="AD469" i="14" s="1"/>
  <c r="U469" i="14"/>
  <c r="AF469" i="14" s="1"/>
  <c r="S469" i="14"/>
  <c r="Q469" i="14"/>
  <c r="O469" i="14"/>
  <c r="M469" i="14"/>
  <c r="L469" i="14"/>
  <c r="AL469" i="14" s="1"/>
  <c r="K469" i="14"/>
  <c r="AK468" i="14"/>
  <c r="AI468" i="14"/>
  <c r="AE468" i="14"/>
  <c r="AC468" i="14"/>
  <c r="W468" i="14"/>
  <c r="AD468" i="14" s="1"/>
  <c r="U468" i="14"/>
  <c r="AF468" i="14" s="1"/>
  <c r="S468" i="14"/>
  <c r="Q468" i="14"/>
  <c r="O468" i="14"/>
  <c r="M468" i="14"/>
  <c r="L468" i="14"/>
  <c r="AL468" i="14" s="1"/>
  <c r="K468" i="14"/>
  <c r="AK467" i="14"/>
  <c r="AI467" i="14"/>
  <c r="AC467" i="14"/>
  <c r="AE467" i="14" s="1"/>
  <c r="W467" i="14"/>
  <c r="AD467" i="14" s="1"/>
  <c r="U467" i="14"/>
  <c r="AF467" i="14" s="1"/>
  <c r="S467" i="14"/>
  <c r="Q467" i="14"/>
  <c r="O467" i="14"/>
  <c r="M467" i="14"/>
  <c r="L467" i="14"/>
  <c r="AL467" i="14" s="1"/>
  <c r="K467" i="14"/>
  <c r="AK466" i="14"/>
  <c r="AI466" i="14"/>
  <c r="AC466" i="14"/>
  <c r="AE466" i="14" s="1"/>
  <c r="W466" i="14"/>
  <c r="AD466" i="14" s="1"/>
  <c r="U466" i="14"/>
  <c r="AF466" i="14" s="1"/>
  <c r="S466" i="14"/>
  <c r="Q466" i="14"/>
  <c r="O466" i="14"/>
  <c r="M466" i="14"/>
  <c r="L466" i="14"/>
  <c r="AL466" i="14" s="1"/>
  <c r="K466" i="14"/>
  <c r="AK465" i="14"/>
  <c r="AI465" i="14"/>
  <c r="AC465" i="14"/>
  <c r="AE465" i="14" s="1"/>
  <c r="W465" i="14"/>
  <c r="AD465" i="14" s="1"/>
  <c r="U465" i="14"/>
  <c r="AF465" i="14" s="1"/>
  <c r="S465" i="14"/>
  <c r="Q465" i="14"/>
  <c r="O465" i="14"/>
  <c r="M465" i="14"/>
  <c r="L465" i="14"/>
  <c r="AL465" i="14" s="1"/>
  <c r="K465" i="14"/>
  <c r="AK464" i="14"/>
  <c r="AI464" i="14"/>
  <c r="AC464" i="14"/>
  <c r="AE464" i="14" s="1"/>
  <c r="W464" i="14"/>
  <c r="AD464" i="14" s="1"/>
  <c r="U464" i="14"/>
  <c r="AF464" i="14" s="1"/>
  <c r="S464" i="14"/>
  <c r="Q464" i="14"/>
  <c r="O464" i="14"/>
  <c r="M464" i="14"/>
  <c r="L464" i="14"/>
  <c r="AL464" i="14" s="1"/>
  <c r="K464" i="14"/>
  <c r="AK463" i="14"/>
  <c r="AI463" i="14"/>
  <c r="AC463" i="14"/>
  <c r="AE463" i="14" s="1"/>
  <c r="W463" i="14"/>
  <c r="AD463" i="14" s="1"/>
  <c r="U463" i="14"/>
  <c r="AF463" i="14" s="1"/>
  <c r="S463" i="14"/>
  <c r="Q463" i="14"/>
  <c r="O463" i="14"/>
  <c r="M463" i="14"/>
  <c r="L463" i="14"/>
  <c r="AL463" i="14" s="1"/>
  <c r="K463" i="14"/>
  <c r="AK462" i="14"/>
  <c r="AI462" i="14"/>
  <c r="AC462" i="14"/>
  <c r="AE462" i="14" s="1"/>
  <c r="W462" i="14"/>
  <c r="AD462" i="14" s="1"/>
  <c r="U462" i="14"/>
  <c r="AF462" i="14" s="1"/>
  <c r="S462" i="14"/>
  <c r="Q462" i="14"/>
  <c r="O462" i="14"/>
  <c r="M462" i="14"/>
  <c r="L462" i="14"/>
  <c r="AL462" i="14" s="1"/>
  <c r="K462" i="14"/>
  <c r="AK461" i="14"/>
  <c r="AI461" i="14"/>
  <c r="AC461" i="14"/>
  <c r="AE461" i="14" s="1"/>
  <c r="W461" i="14"/>
  <c r="AD461" i="14" s="1"/>
  <c r="U461" i="14"/>
  <c r="AF461" i="14" s="1"/>
  <c r="S461" i="14"/>
  <c r="Q461" i="14"/>
  <c r="O461" i="14"/>
  <c r="M461" i="14"/>
  <c r="L461" i="14"/>
  <c r="AL461" i="14" s="1"/>
  <c r="K461" i="14"/>
  <c r="AK460" i="14"/>
  <c r="AI460" i="14"/>
  <c r="AC460" i="14"/>
  <c r="AE460" i="14" s="1"/>
  <c r="W460" i="14"/>
  <c r="AD460" i="14" s="1"/>
  <c r="U460" i="14"/>
  <c r="AF460" i="14" s="1"/>
  <c r="S460" i="14"/>
  <c r="Q460" i="14"/>
  <c r="O460" i="14"/>
  <c r="M460" i="14"/>
  <c r="L460" i="14"/>
  <c r="AL460" i="14" s="1"/>
  <c r="K460" i="14"/>
  <c r="AK459" i="14"/>
  <c r="AI459" i="14"/>
  <c r="AC459" i="14"/>
  <c r="AE459" i="14" s="1"/>
  <c r="W459" i="14"/>
  <c r="AD459" i="14" s="1"/>
  <c r="U459" i="14"/>
  <c r="AF459" i="14" s="1"/>
  <c r="S459" i="14"/>
  <c r="Q459" i="14"/>
  <c r="O459" i="14"/>
  <c r="M459" i="14"/>
  <c r="L459" i="14"/>
  <c r="AL459" i="14" s="1"/>
  <c r="K459" i="14"/>
  <c r="AK458" i="14"/>
  <c r="AI458" i="14"/>
  <c r="AC458" i="14"/>
  <c r="AE458" i="14" s="1"/>
  <c r="W458" i="14"/>
  <c r="AD458" i="14" s="1"/>
  <c r="U458" i="14"/>
  <c r="AF458" i="14" s="1"/>
  <c r="S458" i="14"/>
  <c r="Q458" i="14"/>
  <c r="O458" i="14"/>
  <c r="M458" i="14"/>
  <c r="L458" i="14"/>
  <c r="AL458" i="14" s="1"/>
  <c r="K458" i="14"/>
  <c r="AK457" i="14"/>
  <c r="AI457" i="14"/>
  <c r="AC457" i="14"/>
  <c r="AE457" i="14" s="1"/>
  <c r="W457" i="14"/>
  <c r="AD457" i="14" s="1"/>
  <c r="U457" i="14"/>
  <c r="AF457" i="14" s="1"/>
  <c r="S457" i="14"/>
  <c r="Q457" i="14"/>
  <c r="O457" i="14"/>
  <c r="M457" i="14"/>
  <c r="L457" i="14"/>
  <c r="AL457" i="14" s="1"/>
  <c r="K457" i="14"/>
  <c r="AK456" i="14"/>
  <c r="AI456" i="14"/>
  <c r="AC456" i="14"/>
  <c r="AE456" i="14" s="1"/>
  <c r="W456" i="14"/>
  <c r="AD456" i="14" s="1"/>
  <c r="U456" i="14"/>
  <c r="AF456" i="14" s="1"/>
  <c r="S456" i="14"/>
  <c r="Q456" i="14"/>
  <c r="O456" i="14"/>
  <c r="M456" i="14"/>
  <c r="L456" i="14"/>
  <c r="AL456" i="14" s="1"/>
  <c r="K456" i="14"/>
  <c r="AK455" i="14"/>
  <c r="AI455" i="14"/>
  <c r="AC455" i="14"/>
  <c r="AE455" i="14" s="1"/>
  <c r="W455" i="14"/>
  <c r="AD455" i="14" s="1"/>
  <c r="U455" i="14"/>
  <c r="AF455" i="14" s="1"/>
  <c r="S455" i="14"/>
  <c r="Q455" i="14"/>
  <c r="O455" i="14"/>
  <c r="M455" i="14"/>
  <c r="L455" i="14"/>
  <c r="AL455" i="14" s="1"/>
  <c r="K455" i="14"/>
  <c r="AK454" i="14"/>
  <c r="AI454" i="14"/>
  <c r="AC454" i="14"/>
  <c r="AE454" i="14" s="1"/>
  <c r="W454" i="14"/>
  <c r="AD454" i="14" s="1"/>
  <c r="U454" i="14"/>
  <c r="AF454" i="14" s="1"/>
  <c r="S454" i="14"/>
  <c r="Q454" i="14"/>
  <c r="O454" i="14"/>
  <c r="M454" i="14"/>
  <c r="L454" i="14"/>
  <c r="AL454" i="14" s="1"/>
  <c r="K454" i="14"/>
  <c r="AK453" i="14"/>
  <c r="AI453" i="14"/>
  <c r="AC453" i="14"/>
  <c r="AE453" i="14" s="1"/>
  <c r="W453" i="14"/>
  <c r="AD453" i="14" s="1"/>
  <c r="U453" i="14"/>
  <c r="AF453" i="14" s="1"/>
  <c r="S453" i="14"/>
  <c r="Q453" i="14"/>
  <c r="O453" i="14"/>
  <c r="M453" i="14"/>
  <c r="L453" i="14"/>
  <c r="AL453" i="14" s="1"/>
  <c r="K453" i="14"/>
  <c r="AK452" i="14"/>
  <c r="AI452" i="14"/>
  <c r="AE452" i="14"/>
  <c r="AC452" i="14"/>
  <c r="W452" i="14"/>
  <c r="AD452" i="14" s="1"/>
  <c r="U452" i="14"/>
  <c r="AF452" i="14" s="1"/>
  <c r="S452" i="14"/>
  <c r="Q452" i="14"/>
  <c r="O452" i="14"/>
  <c r="M452" i="14"/>
  <c r="L452" i="14"/>
  <c r="AL452" i="14" s="1"/>
  <c r="K452" i="14"/>
  <c r="AK451" i="14"/>
  <c r="AI451" i="14"/>
  <c r="AC451" i="14"/>
  <c r="AE451" i="14" s="1"/>
  <c r="W451" i="14"/>
  <c r="AD451" i="14" s="1"/>
  <c r="U451" i="14"/>
  <c r="AF451" i="14" s="1"/>
  <c r="S451" i="14"/>
  <c r="Q451" i="14"/>
  <c r="O451" i="14"/>
  <c r="M451" i="14"/>
  <c r="L451" i="14"/>
  <c r="AL451" i="14" s="1"/>
  <c r="K451" i="14"/>
  <c r="AK450" i="14"/>
  <c r="AI450" i="14"/>
  <c r="AC450" i="14"/>
  <c r="AE450" i="14" s="1"/>
  <c r="W450" i="14"/>
  <c r="AD450" i="14" s="1"/>
  <c r="U450" i="14"/>
  <c r="AF450" i="14" s="1"/>
  <c r="S450" i="14"/>
  <c r="Q450" i="14"/>
  <c r="O450" i="14"/>
  <c r="M450" i="14"/>
  <c r="L450" i="14"/>
  <c r="AL450" i="14" s="1"/>
  <c r="K450" i="14"/>
  <c r="AK449" i="14"/>
  <c r="AI449" i="14"/>
  <c r="AC449" i="14"/>
  <c r="AE449" i="14" s="1"/>
  <c r="W449" i="14"/>
  <c r="AD449" i="14" s="1"/>
  <c r="U449" i="14"/>
  <c r="AF449" i="14" s="1"/>
  <c r="S449" i="14"/>
  <c r="Q449" i="14"/>
  <c r="O449" i="14"/>
  <c r="M449" i="14"/>
  <c r="L449" i="14"/>
  <c r="AL449" i="14" s="1"/>
  <c r="K449" i="14"/>
  <c r="AK448" i="14"/>
  <c r="AI448" i="14"/>
  <c r="AC448" i="14"/>
  <c r="AE448" i="14" s="1"/>
  <c r="W448" i="14"/>
  <c r="AD448" i="14" s="1"/>
  <c r="U448" i="14"/>
  <c r="AF448" i="14" s="1"/>
  <c r="S448" i="14"/>
  <c r="Q448" i="14"/>
  <c r="O448" i="14"/>
  <c r="M448" i="14"/>
  <c r="L448" i="14"/>
  <c r="AL448" i="14" s="1"/>
  <c r="K448" i="14"/>
  <c r="AK447" i="14"/>
  <c r="AI447" i="14"/>
  <c r="AC447" i="14"/>
  <c r="AE447" i="14" s="1"/>
  <c r="W447" i="14"/>
  <c r="AD447" i="14" s="1"/>
  <c r="U447" i="14"/>
  <c r="AF447" i="14" s="1"/>
  <c r="S447" i="14"/>
  <c r="Q447" i="14"/>
  <c r="O447" i="14"/>
  <c r="M447" i="14"/>
  <c r="L447" i="14"/>
  <c r="AL447" i="14" s="1"/>
  <c r="K447" i="14"/>
  <c r="AK446" i="14"/>
  <c r="AI446" i="14"/>
  <c r="AC446" i="14"/>
  <c r="AE446" i="14" s="1"/>
  <c r="W446" i="14"/>
  <c r="AD446" i="14" s="1"/>
  <c r="U446" i="14"/>
  <c r="AF446" i="14" s="1"/>
  <c r="S446" i="14"/>
  <c r="Q446" i="14"/>
  <c r="O446" i="14"/>
  <c r="M446" i="14"/>
  <c r="L446" i="14"/>
  <c r="AL446" i="14" s="1"/>
  <c r="K446" i="14"/>
  <c r="AK445" i="14"/>
  <c r="AI445" i="14"/>
  <c r="AC445" i="14"/>
  <c r="AE445" i="14" s="1"/>
  <c r="W445" i="14"/>
  <c r="AD445" i="14" s="1"/>
  <c r="U445" i="14"/>
  <c r="AF445" i="14" s="1"/>
  <c r="S445" i="14"/>
  <c r="Q445" i="14"/>
  <c r="O445" i="14"/>
  <c r="M445" i="14"/>
  <c r="L445" i="14"/>
  <c r="AL445" i="14" s="1"/>
  <c r="K445" i="14"/>
  <c r="AK444" i="14"/>
  <c r="AI444" i="14"/>
  <c r="AC444" i="14"/>
  <c r="AE444" i="14" s="1"/>
  <c r="W444" i="14"/>
  <c r="AD444" i="14" s="1"/>
  <c r="U444" i="14"/>
  <c r="AF444" i="14" s="1"/>
  <c r="S444" i="14"/>
  <c r="Q444" i="14"/>
  <c r="O444" i="14"/>
  <c r="M444" i="14"/>
  <c r="L444" i="14"/>
  <c r="AL444" i="14" s="1"/>
  <c r="K444" i="14"/>
  <c r="AK443" i="14"/>
  <c r="AI443" i="14"/>
  <c r="AC443" i="14"/>
  <c r="AE443" i="14" s="1"/>
  <c r="W443" i="14"/>
  <c r="AD443" i="14" s="1"/>
  <c r="U443" i="14"/>
  <c r="AF443" i="14" s="1"/>
  <c r="S443" i="14"/>
  <c r="Q443" i="14"/>
  <c r="O443" i="14"/>
  <c r="M443" i="14"/>
  <c r="L443" i="14"/>
  <c r="AL443" i="14" s="1"/>
  <c r="K443" i="14"/>
  <c r="AK442" i="14"/>
  <c r="AI442" i="14"/>
  <c r="AC442" i="14"/>
  <c r="AE442" i="14" s="1"/>
  <c r="W442" i="14"/>
  <c r="AD442" i="14" s="1"/>
  <c r="U442" i="14"/>
  <c r="AF442" i="14" s="1"/>
  <c r="S442" i="14"/>
  <c r="Q442" i="14"/>
  <c r="O442" i="14"/>
  <c r="M442" i="14"/>
  <c r="L442" i="14"/>
  <c r="AL442" i="14" s="1"/>
  <c r="K442" i="14"/>
  <c r="AK441" i="14"/>
  <c r="AI441" i="14"/>
  <c r="AC441" i="14"/>
  <c r="AE441" i="14" s="1"/>
  <c r="W441" i="14"/>
  <c r="AD441" i="14" s="1"/>
  <c r="U441" i="14"/>
  <c r="AF441" i="14" s="1"/>
  <c r="S441" i="14"/>
  <c r="Q441" i="14"/>
  <c r="O441" i="14"/>
  <c r="M441" i="14"/>
  <c r="L441" i="14"/>
  <c r="AL441" i="14" s="1"/>
  <c r="K441" i="14"/>
  <c r="AK440" i="14"/>
  <c r="AI440" i="14"/>
  <c r="AC440" i="14"/>
  <c r="AE440" i="14" s="1"/>
  <c r="W440" i="14"/>
  <c r="AD440" i="14" s="1"/>
  <c r="U440" i="14"/>
  <c r="AF440" i="14" s="1"/>
  <c r="S440" i="14"/>
  <c r="Q440" i="14"/>
  <c r="O440" i="14"/>
  <c r="M440" i="14"/>
  <c r="L440" i="14"/>
  <c r="AL440" i="14" s="1"/>
  <c r="K440" i="14"/>
  <c r="AK439" i="14"/>
  <c r="AI439" i="14"/>
  <c r="AC439" i="14"/>
  <c r="AE439" i="14" s="1"/>
  <c r="W439" i="14"/>
  <c r="AD439" i="14" s="1"/>
  <c r="U439" i="14"/>
  <c r="AF439" i="14" s="1"/>
  <c r="S439" i="14"/>
  <c r="Q439" i="14"/>
  <c r="O439" i="14"/>
  <c r="M439" i="14"/>
  <c r="L439" i="14"/>
  <c r="AL439" i="14" s="1"/>
  <c r="K439" i="14"/>
  <c r="AK438" i="14"/>
  <c r="AI438" i="14"/>
  <c r="AC438" i="14"/>
  <c r="AE438" i="14" s="1"/>
  <c r="W438" i="14"/>
  <c r="AD438" i="14" s="1"/>
  <c r="U438" i="14"/>
  <c r="AF438" i="14" s="1"/>
  <c r="S438" i="14"/>
  <c r="Q438" i="14"/>
  <c r="O438" i="14"/>
  <c r="M438" i="14"/>
  <c r="L438" i="14"/>
  <c r="AL438" i="14" s="1"/>
  <c r="K438" i="14"/>
  <c r="AK437" i="14"/>
  <c r="AI437" i="14"/>
  <c r="AC437" i="14"/>
  <c r="AE437" i="14" s="1"/>
  <c r="W437" i="14"/>
  <c r="AD437" i="14" s="1"/>
  <c r="U437" i="14"/>
  <c r="AF437" i="14" s="1"/>
  <c r="S437" i="14"/>
  <c r="Q437" i="14"/>
  <c r="O437" i="14"/>
  <c r="M437" i="14"/>
  <c r="L437" i="14"/>
  <c r="AL437" i="14" s="1"/>
  <c r="K437" i="14"/>
  <c r="AK436" i="14"/>
  <c r="AI436" i="14"/>
  <c r="AE436" i="14"/>
  <c r="AC436" i="14"/>
  <c r="W436" i="14"/>
  <c r="AD436" i="14" s="1"/>
  <c r="U436" i="14"/>
  <c r="AF436" i="14" s="1"/>
  <c r="S436" i="14"/>
  <c r="Q436" i="14"/>
  <c r="O436" i="14"/>
  <c r="M436" i="14"/>
  <c r="L436" i="14"/>
  <c r="AL436" i="14" s="1"/>
  <c r="K436" i="14"/>
  <c r="AK435" i="14"/>
  <c r="AI435" i="14"/>
  <c r="AC435" i="14"/>
  <c r="AE435" i="14" s="1"/>
  <c r="W435" i="14"/>
  <c r="AD435" i="14" s="1"/>
  <c r="U435" i="14"/>
  <c r="AF435" i="14" s="1"/>
  <c r="S435" i="14"/>
  <c r="Q435" i="14"/>
  <c r="O435" i="14"/>
  <c r="M435" i="14"/>
  <c r="L435" i="14"/>
  <c r="AL435" i="14" s="1"/>
  <c r="K435" i="14"/>
  <c r="AK434" i="14"/>
  <c r="AI434" i="14"/>
  <c r="AC434" i="14"/>
  <c r="AE434" i="14" s="1"/>
  <c r="W434" i="14"/>
  <c r="AD434" i="14" s="1"/>
  <c r="U434" i="14"/>
  <c r="AF434" i="14" s="1"/>
  <c r="S434" i="14"/>
  <c r="Q434" i="14"/>
  <c r="O434" i="14"/>
  <c r="M434" i="14"/>
  <c r="L434" i="14"/>
  <c r="AL434" i="14" s="1"/>
  <c r="K434" i="14"/>
  <c r="AK433" i="14"/>
  <c r="AI433" i="14"/>
  <c r="AC433" i="14"/>
  <c r="AE433" i="14" s="1"/>
  <c r="W433" i="14"/>
  <c r="AD433" i="14" s="1"/>
  <c r="U433" i="14"/>
  <c r="AF433" i="14" s="1"/>
  <c r="S433" i="14"/>
  <c r="Q433" i="14"/>
  <c r="O433" i="14"/>
  <c r="M433" i="14"/>
  <c r="L433" i="14"/>
  <c r="AL433" i="14" s="1"/>
  <c r="K433" i="14"/>
  <c r="AK432" i="14"/>
  <c r="AI432" i="14"/>
  <c r="AC432" i="14"/>
  <c r="AE432" i="14" s="1"/>
  <c r="W432" i="14"/>
  <c r="AD432" i="14" s="1"/>
  <c r="U432" i="14"/>
  <c r="AF432" i="14" s="1"/>
  <c r="S432" i="14"/>
  <c r="Q432" i="14"/>
  <c r="O432" i="14"/>
  <c r="M432" i="14"/>
  <c r="L432" i="14"/>
  <c r="AL432" i="14" s="1"/>
  <c r="K432" i="14"/>
  <c r="AK431" i="14"/>
  <c r="AI431" i="14"/>
  <c r="AC431" i="14"/>
  <c r="AE431" i="14" s="1"/>
  <c r="W431" i="14"/>
  <c r="AD431" i="14" s="1"/>
  <c r="U431" i="14"/>
  <c r="AF431" i="14" s="1"/>
  <c r="S431" i="14"/>
  <c r="Q431" i="14"/>
  <c r="O431" i="14"/>
  <c r="M431" i="14"/>
  <c r="L431" i="14"/>
  <c r="AL431" i="14" s="1"/>
  <c r="K431" i="14"/>
  <c r="AK430" i="14"/>
  <c r="AI430" i="14"/>
  <c r="AC430" i="14"/>
  <c r="AE430" i="14" s="1"/>
  <c r="W430" i="14"/>
  <c r="AD430" i="14" s="1"/>
  <c r="U430" i="14"/>
  <c r="AF430" i="14" s="1"/>
  <c r="S430" i="14"/>
  <c r="Q430" i="14"/>
  <c r="O430" i="14"/>
  <c r="M430" i="14"/>
  <c r="L430" i="14"/>
  <c r="AL430" i="14" s="1"/>
  <c r="K430" i="14"/>
  <c r="AK429" i="14"/>
  <c r="AI429" i="14"/>
  <c r="AC429" i="14"/>
  <c r="AE429" i="14" s="1"/>
  <c r="W429" i="14"/>
  <c r="AD429" i="14" s="1"/>
  <c r="U429" i="14"/>
  <c r="AF429" i="14" s="1"/>
  <c r="S429" i="14"/>
  <c r="Q429" i="14"/>
  <c r="O429" i="14"/>
  <c r="M429" i="14"/>
  <c r="L429" i="14"/>
  <c r="AL429" i="14" s="1"/>
  <c r="K429" i="14"/>
  <c r="AK428" i="14"/>
  <c r="AI428" i="14"/>
  <c r="AC428" i="14"/>
  <c r="AE428" i="14" s="1"/>
  <c r="W428" i="14"/>
  <c r="AD428" i="14" s="1"/>
  <c r="U428" i="14"/>
  <c r="AF428" i="14" s="1"/>
  <c r="S428" i="14"/>
  <c r="Q428" i="14"/>
  <c r="O428" i="14"/>
  <c r="M428" i="14"/>
  <c r="L428" i="14"/>
  <c r="AL428" i="14" s="1"/>
  <c r="K428" i="14"/>
  <c r="AK427" i="14"/>
  <c r="AI427" i="14"/>
  <c r="AC427" i="14"/>
  <c r="AE427" i="14" s="1"/>
  <c r="W427" i="14"/>
  <c r="AD427" i="14" s="1"/>
  <c r="U427" i="14"/>
  <c r="AF427" i="14" s="1"/>
  <c r="S427" i="14"/>
  <c r="Q427" i="14"/>
  <c r="O427" i="14"/>
  <c r="M427" i="14"/>
  <c r="L427" i="14"/>
  <c r="AL427" i="14" s="1"/>
  <c r="K427" i="14"/>
  <c r="AK426" i="14"/>
  <c r="AI426" i="14"/>
  <c r="AE426" i="14"/>
  <c r="AC426" i="14"/>
  <c r="W426" i="14"/>
  <c r="AD426" i="14" s="1"/>
  <c r="U426" i="14"/>
  <c r="AF426" i="14" s="1"/>
  <c r="S426" i="14"/>
  <c r="Q426" i="14"/>
  <c r="O426" i="14"/>
  <c r="M426" i="14"/>
  <c r="L426" i="14"/>
  <c r="AL426" i="14" s="1"/>
  <c r="K426" i="14"/>
  <c r="AK425" i="14"/>
  <c r="AI425" i="14"/>
  <c r="AC425" i="14"/>
  <c r="AE425" i="14" s="1"/>
  <c r="W425" i="14"/>
  <c r="AD425" i="14" s="1"/>
  <c r="U425" i="14"/>
  <c r="AF425" i="14" s="1"/>
  <c r="S425" i="14"/>
  <c r="Q425" i="14"/>
  <c r="O425" i="14"/>
  <c r="M425" i="14"/>
  <c r="L425" i="14"/>
  <c r="AL425" i="14" s="1"/>
  <c r="K425" i="14"/>
  <c r="AK424" i="14"/>
  <c r="AI424" i="14"/>
  <c r="AC424" i="14"/>
  <c r="AE424" i="14" s="1"/>
  <c r="W424" i="14"/>
  <c r="AD424" i="14" s="1"/>
  <c r="U424" i="14"/>
  <c r="AF424" i="14" s="1"/>
  <c r="S424" i="14"/>
  <c r="Q424" i="14"/>
  <c r="O424" i="14"/>
  <c r="M424" i="14"/>
  <c r="L424" i="14"/>
  <c r="AL424" i="14" s="1"/>
  <c r="K424" i="14"/>
  <c r="AK423" i="14"/>
  <c r="AI423" i="14"/>
  <c r="AC423" i="14"/>
  <c r="AE423" i="14" s="1"/>
  <c r="W423" i="14"/>
  <c r="AD423" i="14" s="1"/>
  <c r="U423" i="14"/>
  <c r="AF423" i="14" s="1"/>
  <c r="S423" i="14"/>
  <c r="Q423" i="14"/>
  <c r="O423" i="14"/>
  <c r="M423" i="14"/>
  <c r="L423" i="14"/>
  <c r="AL423" i="14" s="1"/>
  <c r="K423" i="14"/>
  <c r="AK422" i="14"/>
  <c r="AI422" i="14"/>
  <c r="AC422" i="14"/>
  <c r="AE422" i="14" s="1"/>
  <c r="W422" i="14"/>
  <c r="AD422" i="14" s="1"/>
  <c r="U422" i="14"/>
  <c r="AF422" i="14" s="1"/>
  <c r="S422" i="14"/>
  <c r="Q422" i="14"/>
  <c r="O422" i="14"/>
  <c r="M422" i="14"/>
  <c r="L422" i="14"/>
  <c r="AL422" i="14" s="1"/>
  <c r="K422" i="14"/>
  <c r="AK421" i="14"/>
  <c r="AI421" i="14"/>
  <c r="AC421" i="14"/>
  <c r="AE421" i="14" s="1"/>
  <c r="W421" i="14"/>
  <c r="AD421" i="14" s="1"/>
  <c r="U421" i="14"/>
  <c r="AF421" i="14" s="1"/>
  <c r="S421" i="14"/>
  <c r="Q421" i="14"/>
  <c r="O421" i="14"/>
  <c r="M421" i="14"/>
  <c r="L421" i="14"/>
  <c r="AL421" i="14" s="1"/>
  <c r="K421" i="14"/>
  <c r="AK420" i="14"/>
  <c r="AI420" i="14"/>
  <c r="AE420" i="14"/>
  <c r="AC420" i="14"/>
  <c r="W420" i="14"/>
  <c r="AD420" i="14" s="1"/>
  <c r="U420" i="14"/>
  <c r="AF420" i="14" s="1"/>
  <c r="S420" i="14"/>
  <c r="Q420" i="14"/>
  <c r="O420" i="14"/>
  <c r="M420" i="14"/>
  <c r="L420" i="14"/>
  <c r="AL420" i="14" s="1"/>
  <c r="K420" i="14"/>
  <c r="AK419" i="14"/>
  <c r="AI419" i="14"/>
  <c r="AC419" i="14"/>
  <c r="AE419" i="14" s="1"/>
  <c r="W419" i="14"/>
  <c r="AD419" i="14" s="1"/>
  <c r="U419" i="14"/>
  <c r="AF419" i="14" s="1"/>
  <c r="S419" i="14"/>
  <c r="Q419" i="14"/>
  <c r="O419" i="14"/>
  <c r="M419" i="14"/>
  <c r="L419" i="14"/>
  <c r="AL419" i="14" s="1"/>
  <c r="K419" i="14"/>
  <c r="AK418" i="14"/>
  <c r="AI418" i="14"/>
  <c r="AC418" i="14"/>
  <c r="AE418" i="14" s="1"/>
  <c r="W418" i="14"/>
  <c r="AD418" i="14" s="1"/>
  <c r="U418" i="14"/>
  <c r="AF418" i="14" s="1"/>
  <c r="S418" i="14"/>
  <c r="Q418" i="14"/>
  <c r="O418" i="14"/>
  <c r="M418" i="14"/>
  <c r="L418" i="14"/>
  <c r="AL418" i="14" s="1"/>
  <c r="K418" i="14"/>
  <c r="AK417" i="14"/>
  <c r="AI417" i="14"/>
  <c r="AC417" i="14"/>
  <c r="AE417" i="14" s="1"/>
  <c r="W417" i="14"/>
  <c r="AD417" i="14" s="1"/>
  <c r="U417" i="14"/>
  <c r="AF417" i="14" s="1"/>
  <c r="S417" i="14"/>
  <c r="Q417" i="14"/>
  <c r="O417" i="14"/>
  <c r="M417" i="14"/>
  <c r="L417" i="14"/>
  <c r="AL417" i="14" s="1"/>
  <c r="K417" i="14"/>
  <c r="AK416" i="14"/>
  <c r="AI416" i="14"/>
  <c r="AC416" i="14"/>
  <c r="AE416" i="14" s="1"/>
  <c r="W416" i="14"/>
  <c r="AD416" i="14" s="1"/>
  <c r="U416" i="14"/>
  <c r="AF416" i="14" s="1"/>
  <c r="S416" i="14"/>
  <c r="Q416" i="14"/>
  <c r="O416" i="14"/>
  <c r="M416" i="14"/>
  <c r="L416" i="14"/>
  <c r="AL416" i="14" s="1"/>
  <c r="K416" i="14"/>
  <c r="AK415" i="14"/>
  <c r="AI415" i="14"/>
  <c r="AC415" i="14"/>
  <c r="AE415" i="14" s="1"/>
  <c r="W415" i="14"/>
  <c r="AD415" i="14" s="1"/>
  <c r="U415" i="14"/>
  <c r="AF415" i="14" s="1"/>
  <c r="S415" i="14"/>
  <c r="Q415" i="14"/>
  <c r="O415" i="14"/>
  <c r="M415" i="14"/>
  <c r="L415" i="14"/>
  <c r="AL415" i="14" s="1"/>
  <c r="K415" i="14"/>
  <c r="AK414" i="14"/>
  <c r="AI414" i="14"/>
  <c r="AC414" i="14"/>
  <c r="AE414" i="14" s="1"/>
  <c r="W414" i="14"/>
  <c r="AD414" i="14" s="1"/>
  <c r="U414" i="14"/>
  <c r="AF414" i="14" s="1"/>
  <c r="S414" i="14"/>
  <c r="Q414" i="14"/>
  <c r="O414" i="14"/>
  <c r="M414" i="14"/>
  <c r="L414" i="14"/>
  <c r="AL414" i="14" s="1"/>
  <c r="K414" i="14"/>
  <c r="AK413" i="14"/>
  <c r="AI413" i="14"/>
  <c r="AC413" i="14"/>
  <c r="AE413" i="14" s="1"/>
  <c r="W413" i="14"/>
  <c r="AD413" i="14" s="1"/>
  <c r="U413" i="14"/>
  <c r="AF413" i="14" s="1"/>
  <c r="S413" i="14"/>
  <c r="Q413" i="14"/>
  <c r="O413" i="14"/>
  <c r="M413" i="14"/>
  <c r="L413" i="14"/>
  <c r="AL413" i="14" s="1"/>
  <c r="K413" i="14"/>
  <c r="AK412" i="14"/>
  <c r="AI412" i="14"/>
  <c r="AE412" i="14"/>
  <c r="AC412" i="14"/>
  <c r="W412" i="14"/>
  <c r="AD412" i="14" s="1"/>
  <c r="U412" i="14"/>
  <c r="AF412" i="14" s="1"/>
  <c r="S412" i="14"/>
  <c r="Q412" i="14"/>
  <c r="O412" i="14"/>
  <c r="M412" i="14"/>
  <c r="L412" i="14"/>
  <c r="AL412" i="14" s="1"/>
  <c r="K412" i="14"/>
  <c r="AK411" i="14"/>
  <c r="AI411" i="14"/>
  <c r="AC411" i="14"/>
  <c r="AE411" i="14" s="1"/>
  <c r="W411" i="14"/>
  <c r="AD411" i="14" s="1"/>
  <c r="U411" i="14"/>
  <c r="AF411" i="14" s="1"/>
  <c r="S411" i="14"/>
  <c r="Q411" i="14"/>
  <c r="O411" i="14"/>
  <c r="M411" i="14"/>
  <c r="L411" i="14"/>
  <c r="AL411" i="14" s="1"/>
  <c r="K411" i="14"/>
  <c r="AK410" i="14"/>
  <c r="AI410" i="14"/>
  <c r="AC410" i="14"/>
  <c r="AE410" i="14" s="1"/>
  <c r="W410" i="14"/>
  <c r="AD410" i="14" s="1"/>
  <c r="U410" i="14"/>
  <c r="AF410" i="14" s="1"/>
  <c r="S410" i="14"/>
  <c r="Q410" i="14"/>
  <c r="O410" i="14"/>
  <c r="M410" i="14"/>
  <c r="L410" i="14"/>
  <c r="AL410" i="14" s="1"/>
  <c r="K410" i="14"/>
  <c r="AK409" i="14"/>
  <c r="AI409" i="14"/>
  <c r="AC409" i="14"/>
  <c r="AE409" i="14" s="1"/>
  <c r="W409" i="14"/>
  <c r="AD409" i="14" s="1"/>
  <c r="U409" i="14"/>
  <c r="AF409" i="14" s="1"/>
  <c r="S409" i="14"/>
  <c r="Q409" i="14"/>
  <c r="O409" i="14"/>
  <c r="M409" i="14"/>
  <c r="L409" i="14"/>
  <c r="AL409" i="14" s="1"/>
  <c r="K409" i="14"/>
  <c r="AK408" i="14"/>
  <c r="AI408" i="14"/>
  <c r="AC408" i="14"/>
  <c r="AE408" i="14" s="1"/>
  <c r="W408" i="14"/>
  <c r="AD408" i="14" s="1"/>
  <c r="U408" i="14"/>
  <c r="AF408" i="14" s="1"/>
  <c r="S408" i="14"/>
  <c r="Q408" i="14"/>
  <c r="O408" i="14"/>
  <c r="M408" i="14"/>
  <c r="L408" i="14"/>
  <c r="AL408" i="14" s="1"/>
  <c r="K408" i="14"/>
  <c r="AK407" i="14"/>
  <c r="AI407" i="14"/>
  <c r="AC407" i="14"/>
  <c r="AE407" i="14" s="1"/>
  <c r="W407" i="14"/>
  <c r="AD407" i="14" s="1"/>
  <c r="U407" i="14"/>
  <c r="AF407" i="14" s="1"/>
  <c r="S407" i="14"/>
  <c r="Q407" i="14"/>
  <c r="O407" i="14"/>
  <c r="M407" i="14"/>
  <c r="L407" i="14"/>
  <c r="AL407" i="14" s="1"/>
  <c r="K407" i="14"/>
  <c r="AK406" i="14"/>
  <c r="AI406" i="14"/>
  <c r="AC406" i="14"/>
  <c r="AE406" i="14" s="1"/>
  <c r="W406" i="14"/>
  <c r="AD406" i="14" s="1"/>
  <c r="U406" i="14"/>
  <c r="AF406" i="14" s="1"/>
  <c r="S406" i="14"/>
  <c r="Q406" i="14"/>
  <c r="O406" i="14"/>
  <c r="M406" i="14"/>
  <c r="L406" i="14"/>
  <c r="AL406" i="14" s="1"/>
  <c r="K406" i="14"/>
  <c r="AK405" i="14"/>
  <c r="AI405" i="14"/>
  <c r="AC405" i="14"/>
  <c r="AE405" i="14" s="1"/>
  <c r="W405" i="14"/>
  <c r="AD405" i="14" s="1"/>
  <c r="U405" i="14"/>
  <c r="AF405" i="14" s="1"/>
  <c r="S405" i="14"/>
  <c r="Q405" i="14"/>
  <c r="O405" i="14"/>
  <c r="M405" i="14"/>
  <c r="L405" i="14"/>
  <c r="AL405" i="14" s="1"/>
  <c r="K405" i="14"/>
  <c r="AK404" i="14"/>
  <c r="AI404" i="14"/>
  <c r="AC404" i="14"/>
  <c r="AE404" i="14" s="1"/>
  <c r="W404" i="14"/>
  <c r="AD404" i="14" s="1"/>
  <c r="U404" i="14"/>
  <c r="AF404" i="14" s="1"/>
  <c r="S404" i="14"/>
  <c r="Q404" i="14"/>
  <c r="O404" i="14"/>
  <c r="M404" i="14"/>
  <c r="L404" i="14"/>
  <c r="AL404" i="14" s="1"/>
  <c r="K404" i="14"/>
  <c r="AK403" i="14"/>
  <c r="AI403" i="14"/>
  <c r="AC403" i="14"/>
  <c r="AE403" i="14" s="1"/>
  <c r="W403" i="14"/>
  <c r="AD403" i="14" s="1"/>
  <c r="U403" i="14"/>
  <c r="AF403" i="14" s="1"/>
  <c r="S403" i="14"/>
  <c r="Q403" i="14"/>
  <c r="O403" i="14"/>
  <c r="M403" i="14"/>
  <c r="L403" i="14"/>
  <c r="AL403" i="14" s="1"/>
  <c r="K403" i="14"/>
  <c r="AK402" i="14"/>
  <c r="AI402" i="14"/>
  <c r="AC402" i="14"/>
  <c r="AE402" i="14" s="1"/>
  <c r="W402" i="14"/>
  <c r="AD402" i="14" s="1"/>
  <c r="U402" i="14"/>
  <c r="AF402" i="14" s="1"/>
  <c r="S402" i="14"/>
  <c r="Q402" i="14"/>
  <c r="O402" i="14"/>
  <c r="M402" i="14"/>
  <c r="L402" i="14"/>
  <c r="AL402" i="14" s="1"/>
  <c r="K402" i="14"/>
  <c r="AK401" i="14"/>
  <c r="AI401" i="14"/>
  <c r="AC401" i="14"/>
  <c r="AE401" i="14" s="1"/>
  <c r="W401" i="14"/>
  <c r="AD401" i="14" s="1"/>
  <c r="U401" i="14"/>
  <c r="AF401" i="14" s="1"/>
  <c r="S401" i="14"/>
  <c r="Q401" i="14"/>
  <c r="O401" i="14"/>
  <c r="M401" i="14"/>
  <c r="L401" i="14"/>
  <c r="AL401" i="14" s="1"/>
  <c r="K401" i="14"/>
  <c r="AK400" i="14"/>
  <c r="AI400" i="14"/>
  <c r="AC400" i="14"/>
  <c r="AE400" i="14" s="1"/>
  <c r="W400" i="14"/>
  <c r="AD400" i="14" s="1"/>
  <c r="U400" i="14"/>
  <c r="AF400" i="14" s="1"/>
  <c r="S400" i="14"/>
  <c r="Q400" i="14"/>
  <c r="O400" i="14"/>
  <c r="M400" i="14"/>
  <c r="L400" i="14"/>
  <c r="AL400" i="14" s="1"/>
  <c r="K400" i="14"/>
  <c r="AK399" i="14"/>
  <c r="AI399" i="14"/>
  <c r="AC399" i="14"/>
  <c r="AE399" i="14" s="1"/>
  <c r="W399" i="14"/>
  <c r="AD399" i="14" s="1"/>
  <c r="U399" i="14"/>
  <c r="AF399" i="14" s="1"/>
  <c r="S399" i="14"/>
  <c r="Q399" i="14"/>
  <c r="O399" i="14"/>
  <c r="M399" i="14"/>
  <c r="L399" i="14"/>
  <c r="AL399" i="14" s="1"/>
  <c r="K399" i="14"/>
  <c r="AK398" i="14"/>
  <c r="AI398" i="14"/>
  <c r="AC398" i="14"/>
  <c r="AE398" i="14" s="1"/>
  <c r="W398" i="14"/>
  <c r="AD398" i="14" s="1"/>
  <c r="U398" i="14"/>
  <c r="AF398" i="14" s="1"/>
  <c r="S398" i="14"/>
  <c r="Q398" i="14"/>
  <c r="O398" i="14"/>
  <c r="M398" i="14"/>
  <c r="L398" i="14"/>
  <c r="AL398" i="14" s="1"/>
  <c r="K398" i="14"/>
  <c r="AK397" i="14"/>
  <c r="AI397" i="14"/>
  <c r="AC397" i="14"/>
  <c r="AE397" i="14" s="1"/>
  <c r="W397" i="14"/>
  <c r="AD397" i="14" s="1"/>
  <c r="U397" i="14"/>
  <c r="AF397" i="14" s="1"/>
  <c r="S397" i="14"/>
  <c r="Q397" i="14"/>
  <c r="O397" i="14"/>
  <c r="M397" i="14"/>
  <c r="L397" i="14"/>
  <c r="AL397" i="14" s="1"/>
  <c r="K397" i="14"/>
  <c r="AK396" i="14"/>
  <c r="AI396" i="14"/>
  <c r="AC396" i="14"/>
  <c r="AE396" i="14" s="1"/>
  <c r="W396" i="14"/>
  <c r="AD396" i="14" s="1"/>
  <c r="U396" i="14"/>
  <c r="AF396" i="14" s="1"/>
  <c r="S396" i="14"/>
  <c r="Q396" i="14"/>
  <c r="O396" i="14"/>
  <c r="M396" i="14"/>
  <c r="L396" i="14"/>
  <c r="AL396" i="14" s="1"/>
  <c r="K396" i="14"/>
  <c r="AK395" i="14"/>
  <c r="AI395" i="14"/>
  <c r="AC395" i="14"/>
  <c r="AE395" i="14" s="1"/>
  <c r="W395" i="14"/>
  <c r="AD395" i="14" s="1"/>
  <c r="U395" i="14"/>
  <c r="AF395" i="14" s="1"/>
  <c r="S395" i="14"/>
  <c r="Q395" i="14"/>
  <c r="O395" i="14"/>
  <c r="M395" i="14"/>
  <c r="L395" i="14"/>
  <c r="AL395" i="14" s="1"/>
  <c r="K395" i="14"/>
  <c r="AK394" i="14"/>
  <c r="AI394" i="14"/>
  <c r="AC394" i="14"/>
  <c r="AE394" i="14" s="1"/>
  <c r="W394" i="14"/>
  <c r="AD394" i="14" s="1"/>
  <c r="U394" i="14"/>
  <c r="AF394" i="14" s="1"/>
  <c r="S394" i="14"/>
  <c r="Q394" i="14"/>
  <c r="O394" i="14"/>
  <c r="M394" i="14"/>
  <c r="L394" i="14"/>
  <c r="AL394" i="14" s="1"/>
  <c r="K394" i="14"/>
  <c r="AK393" i="14"/>
  <c r="AI393" i="14"/>
  <c r="AC393" i="14"/>
  <c r="AE393" i="14" s="1"/>
  <c r="W393" i="14"/>
  <c r="AD393" i="14" s="1"/>
  <c r="U393" i="14"/>
  <c r="AF393" i="14" s="1"/>
  <c r="S393" i="14"/>
  <c r="Q393" i="14"/>
  <c r="O393" i="14"/>
  <c r="M393" i="14"/>
  <c r="L393" i="14"/>
  <c r="AL393" i="14" s="1"/>
  <c r="K393" i="14"/>
  <c r="AK392" i="14"/>
  <c r="AI392" i="14"/>
  <c r="AC392" i="14"/>
  <c r="AE392" i="14" s="1"/>
  <c r="W392" i="14"/>
  <c r="AD392" i="14" s="1"/>
  <c r="U392" i="14"/>
  <c r="AF392" i="14" s="1"/>
  <c r="S392" i="14"/>
  <c r="Q392" i="14"/>
  <c r="O392" i="14"/>
  <c r="M392" i="14"/>
  <c r="L392" i="14"/>
  <c r="AL392" i="14" s="1"/>
  <c r="K392" i="14"/>
  <c r="AK391" i="14"/>
  <c r="AI391" i="14"/>
  <c r="AC391" i="14"/>
  <c r="AE391" i="14" s="1"/>
  <c r="W391" i="14"/>
  <c r="AD391" i="14" s="1"/>
  <c r="U391" i="14"/>
  <c r="AF391" i="14" s="1"/>
  <c r="S391" i="14"/>
  <c r="Q391" i="14"/>
  <c r="O391" i="14"/>
  <c r="M391" i="14"/>
  <c r="L391" i="14"/>
  <c r="AL391" i="14" s="1"/>
  <c r="K391" i="14"/>
  <c r="AK390" i="14"/>
  <c r="AI390" i="14"/>
  <c r="AC390" i="14"/>
  <c r="AE390" i="14" s="1"/>
  <c r="W390" i="14"/>
  <c r="AD390" i="14" s="1"/>
  <c r="U390" i="14"/>
  <c r="AF390" i="14" s="1"/>
  <c r="S390" i="14"/>
  <c r="Q390" i="14"/>
  <c r="O390" i="14"/>
  <c r="M390" i="14"/>
  <c r="L390" i="14"/>
  <c r="AL390" i="14" s="1"/>
  <c r="K390" i="14"/>
  <c r="AK389" i="14"/>
  <c r="AI389" i="14"/>
  <c r="AC389" i="14"/>
  <c r="AE389" i="14" s="1"/>
  <c r="W389" i="14"/>
  <c r="AD389" i="14" s="1"/>
  <c r="U389" i="14"/>
  <c r="AF389" i="14" s="1"/>
  <c r="S389" i="14"/>
  <c r="Q389" i="14"/>
  <c r="O389" i="14"/>
  <c r="M389" i="14"/>
  <c r="L389" i="14"/>
  <c r="AL389" i="14" s="1"/>
  <c r="K389" i="14"/>
  <c r="AK388" i="14"/>
  <c r="AI388" i="14"/>
  <c r="AE388" i="14"/>
  <c r="AC388" i="14"/>
  <c r="W388" i="14"/>
  <c r="AD388" i="14" s="1"/>
  <c r="U388" i="14"/>
  <c r="AF388" i="14" s="1"/>
  <c r="S388" i="14"/>
  <c r="Q388" i="14"/>
  <c r="O388" i="14"/>
  <c r="M388" i="14"/>
  <c r="L388" i="14"/>
  <c r="AL388" i="14" s="1"/>
  <c r="K388" i="14"/>
  <c r="AK387" i="14"/>
  <c r="AI387" i="14"/>
  <c r="AC387" i="14"/>
  <c r="AE387" i="14" s="1"/>
  <c r="W387" i="14"/>
  <c r="AD387" i="14" s="1"/>
  <c r="U387" i="14"/>
  <c r="AF387" i="14" s="1"/>
  <c r="S387" i="14"/>
  <c r="Q387" i="14"/>
  <c r="O387" i="14"/>
  <c r="M387" i="14"/>
  <c r="L387" i="14"/>
  <c r="AL387" i="14" s="1"/>
  <c r="K387" i="14"/>
  <c r="AK386" i="14"/>
  <c r="AI386" i="14"/>
  <c r="AC386" i="14"/>
  <c r="AE386" i="14" s="1"/>
  <c r="W386" i="14"/>
  <c r="AD386" i="14" s="1"/>
  <c r="U386" i="14"/>
  <c r="AF386" i="14" s="1"/>
  <c r="S386" i="14"/>
  <c r="Q386" i="14"/>
  <c r="O386" i="14"/>
  <c r="M386" i="14"/>
  <c r="L386" i="14"/>
  <c r="AL386" i="14" s="1"/>
  <c r="K386" i="14"/>
  <c r="AK385" i="14"/>
  <c r="AI385" i="14"/>
  <c r="AC385" i="14"/>
  <c r="AE385" i="14" s="1"/>
  <c r="W385" i="14"/>
  <c r="AD385" i="14" s="1"/>
  <c r="U385" i="14"/>
  <c r="AF385" i="14" s="1"/>
  <c r="S385" i="14"/>
  <c r="Q385" i="14"/>
  <c r="O385" i="14"/>
  <c r="M385" i="14"/>
  <c r="L385" i="14"/>
  <c r="AL385" i="14" s="1"/>
  <c r="K385" i="14"/>
  <c r="AK384" i="14"/>
  <c r="AI384" i="14"/>
  <c r="AC384" i="14"/>
  <c r="AE384" i="14" s="1"/>
  <c r="W384" i="14"/>
  <c r="AD384" i="14" s="1"/>
  <c r="U384" i="14"/>
  <c r="AF384" i="14" s="1"/>
  <c r="S384" i="14"/>
  <c r="Q384" i="14"/>
  <c r="O384" i="14"/>
  <c r="M384" i="14"/>
  <c r="L384" i="14"/>
  <c r="AL384" i="14" s="1"/>
  <c r="K384" i="14"/>
  <c r="AK383" i="14"/>
  <c r="AI383" i="14"/>
  <c r="AC383" i="14"/>
  <c r="AE383" i="14" s="1"/>
  <c r="W383" i="14"/>
  <c r="AD383" i="14" s="1"/>
  <c r="U383" i="14"/>
  <c r="AF383" i="14" s="1"/>
  <c r="S383" i="14"/>
  <c r="Q383" i="14"/>
  <c r="O383" i="14"/>
  <c r="M383" i="14"/>
  <c r="L383" i="14"/>
  <c r="AL383" i="14" s="1"/>
  <c r="K383" i="14"/>
  <c r="AK382" i="14"/>
  <c r="AI382" i="14"/>
  <c r="AC382" i="14"/>
  <c r="AE382" i="14" s="1"/>
  <c r="W382" i="14"/>
  <c r="AD382" i="14" s="1"/>
  <c r="U382" i="14"/>
  <c r="AF382" i="14" s="1"/>
  <c r="S382" i="14"/>
  <c r="Q382" i="14"/>
  <c r="O382" i="14"/>
  <c r="M382" i="14"/>
  <c r="L382" i="14"/>
  <c r="AL382" i="14" s="1"/>
  <c r="K382" i="14"/>
  <c r="AK381" i="14"/>
  <c r="AI381" i="14"/>
  <c r="AC381" i="14"/>
  <c r="AE381" i="14" s="1"/>
  <c r="W381" i="14"/>
  <c r="AD381" i="14" s="1"/>
  <c r="U381" i="14"/>
  <c r="AF381" i="14" s="1"/>
  <c r="S381" i="14"/>
  <c r="Q381" i="14"/>
  <c r="O381" i="14"/>
  <c r="M381" i="14"/>
  <c r="L381" i="14"/>
  <c r="AL381" i="14" s="1"/>
  <c r="K381" i="14"/>
  <c r="AK380" i="14"/>
  <c r="AI380" i="14"/>
  <c r="AE380" i="14"/>
  <c r="AC380" i="14"/>
  <c r="W380" i="14"/>
  <c r="AD380" i="14" s="1"/>
  <c r="U380" i="14"/>
  <c r="AF380" i="14" s="1"/>
  <c r="S380" i="14"/>
  <c r="Q380" i="14"/>
  <c r="O380" i="14"/>
  <c r="M380" i="14"/>
  <c r="L380" i="14"/>
  <c r="AL380" i="14" s="1"/>
  <c r="K380" i="14"/>
  <c r="AK379" i="14"/>
  <c r="AI379" i="14"/>
  <c r="AC379" i="14"/>
  <c r="AE379" i="14" s="1"/>
  <c r="W379" i="14"/>
  <c r="AD379" i="14" s="1"/>
  <c r="U379" i="14"/>
  <c r="AF379" i="14" s="1"/>
  <c r="S379" i="14"/>
  <c r="Q379" i="14"/>
  <c r="O379" i="14"/>
  <c r="M379" i="14"/>
  <c r="L379" i="14"/>
  <c r="AL379" i="14" s="1"/>
  <c r="K379" i="14"/>
  <c r="AK378" i="14"/>
  <c r="AI378" i="14"/>
  <c r="AC378" i="14"/>
  <c r="AE378" i="14" s="1"/>
  <c r="W378" i="14"/>
  <c r="AD378" i="14" s="1"/>
  <c r="U378" i="14"/>
  <c r="AF378" i="14" s="1"/>
  <c r="S378" i="14"/>
  <c r="Q378" i="14"/>
  <c r="O378" i="14"/>
  <c r="M378" i="14"/>
  <c r="L378" i="14"/>
  <c r="AL378" i="14" s="1"/>
  <c r="K378" i="14"/>
  <c r="AK377" i="14"/>
  <c r="AI377" i="14"/>
  <c r="AC377" i="14"/>
  <c r="AE377" i="14" s="1"/>
  <c r="W377" i="14"/>
  <c r="AD377" i="14" s="1"/>
  <c r="U377" i="14"/>
  <c r="AF377" i="14" s="1"/>
  <c r="S377" i="14"/>
  <c r="Q377" i="14"/>
  <c r="O377" i="14"/>
  <c r="M377" i="14"/>
  <c r="L377" i="14"/>
  <c r="AL377" i="14" s="1"/>
  <c r="K377" i="14"/>
  <c r="AK376" i="14"/>
  <c r="AI376" i="14"/>
  <c r="AC376" i="14"/>
  <c r="AE376" i="14" s="1"/>
  <c r="W376" i="14"/>
  <c r="AD376" i="14" s="1"/>
  <c r="U376" i="14"/>
  <c r="AF376" i="14" s="1"/>
  <c r="S376" i="14"/>
  <c r="Q376" i="14"/>
  <c r="O376" i="14"/>
  <c r="M376" i="14"/>
  <c r="L376" i="14"/>
  <c r="AL376" i="14" s="1"/>
  <c r="K376" i="14"/>
  <c r="AK375" i="14"/>
  <c r="AI375" i="14"/>
  <c r="AC375" i="14"/>
  <c r="AE375" i="14" s="1"/>
  <c r="W375" i="14"/>
  <c r="AD375" i="14" s="1"/>
  <c r="U375" i="14"/>
  <c r="AF375" i="14" s="1"/>
  <c r="S375" i="14"/>
  <c r="Q375" i="14"/>
  <c r="O375" i="14"/>
  <c r="M375" i="14"/>
  <c r="L375" i="14"/>
  <c r="AL375" i="14" s="1"/>
  <c r="K375" i="14"/>
  <c r="AK374" i="14"/>
  <c r="AI374" i="14"/>
  <c r="AC374" i="14"/>
  <c r="AE374" i="14" s="1"/>
  <c r="W374" i="14"/>
  <c r="AD374" i="14" s="1"/>
  <c r="U374" i="14"/>
  <c r="AF374" i="14" s="1"/>
  <c r="S374" i="14"/>
  <c r="Q374" i="14"/>
  <c r="O374" i="14"/>
  <c r="M374" i="14"/>
  <c r="L374" i="14"/>
  <c r="AL374" i="14" s="1"/>
  <c r="K374" i="14"/>
  <c r="AK373" i="14"/>
  <c r="AI373" i="14"/>
  <c r="AC373" i="14"/>
  <c r="AE373" i="14" s="1"/>
  <c r="W373" i="14"/>
  <c r="AD373" i="14" s="1"/>
  <c r="U373" i="14"/>
  <c r="AF373" i="14" s="1"/>
  <c r="S373" i="14"/>
  <c r="Q373" i="14"/>
  <c r="O373" i="14"/>
  <c r="M373" i="14"/>
  <c r="L373" i="14"/>
  <c r="AL373" i="14" s="1"/>
  <c r="K373" i="14"/>
  <c r="AK372" i="14"/>
  <c r="AI372" i="14"/>
  <c r="AC372" i="14"/>
  <c r="AE372" i="14" s="1"/>
  <c r="W372" i="14"/>
  <c r="AD372" i="14" s="1"/>
  <c r="U372" i="14"/>
  <c r="AF372" i="14" s="1"/>
  <c r="S372" i="14"/>
  <c r="Q372" i="14"/>
  <c r="O372" i="14"/>
  <c r="M372" i="14"/>
  <c r="L372" i="14"/>
  <c r="AL372" i="14" s="1"/>
  <c r="K372" i="14"/>
  <c r="AK371" i="14"/>
  <c r="AI371" i="14"/>
  <c r="AC371" i="14"/>
  <c r="AE371" i="14" s="1"/>
  <c r="W371" i="14"/>
  <c r="AD371" i="14" s="1"/>
  <c r="U371" i="14"/>
  <c r="AF371" i="14" s="1"/>
  <c r="S371" i="14"/>
  <c r="Q371" i="14"/>
  <c r="O371" i="14"/>
  <c r="M371" i="14"/>
  <c r="L371" i="14"/>
  <c r="AL371" i="14" s="1"/>
  <c r="K371" i="14"/>
  <c r="AK370" i="14"/>
  <c r="AI370" i="14"/>
  <c r="AC370" i="14"/>
  <c r="AE370" i="14" s="1"/>
  <c r="W370" i="14"/>
  <c r="AD370" i="14" s="1"/>
  <c r="U370" i="14"/>
  <c r="AF370" i="14" s="1"/>
  <c r="S370" i="14"/>
  <c r="Q370" i="14"/>
  <c r="O370" i="14"/>
  <c r="M370" i="14"/>
  <c r="L370" i="14"/>
  <c r="AL370" i="14" s="1"/>
  <c r="K370" i="14"/>
  <c r="AK369" i="14"/>
  <c r="AI369" i="14"/>
  <c r="AC369" i="14"/>
  <c r="AE369" i="14" s="1"/>
  <c r="W369" i="14"/>
  <c r="AD369" i="14" s="1"/>
  <c r="U369" i="14"/>
  <c r="AF369" i="14" s="1"/>
  <c r="S369" i="14"/>
  <c r="Q369" i="14"/>
  <c r="O369" i="14"/>
  <c r="M369" i="14"/>
  <c r="L369" i="14"/>
  <c r="AL369" i="14" s="1"/>
  <c r="K369" i="14"/>
  <c r="AK368" i="14"/>
  <c r="AI368" i="14"/>
  <c r="AC368" i="14"/>
  <c r="AE368" i="14" s="1"/>
  <c r="W368" i="14"/>
  <c r="AD368" i="14" s="1"/>
  <c r="U368" i="14"/>
  <c r="AF368" i="14" s="1"/>
  <c r="S368" i="14"/>
  <c r="Q368" i="14"/>
  <c r="O368" i="14"/>
  <c r="M368" i="14"/>
  <c r="L368" i="14"/>
  <c r="AL368" i="14" s="1"/>
  <c r="K368" i="14"/>
  <c r="AK367" i="14"/>
  <c r="AI367" i="14"/>
  <c r="AC367" i="14"/>
  <c r="AE367" i="14" s="1"/>
  <c r="W367" i="14"/>
  <c r="AD367" i="14" s="1"/>
  <c r="U367" i="14"/>
  <c r="AF367" i="14" s="1"/>
  <c r="S367" i="14"/>
  <c r="Q367" i="14"/>
  <c r="O367" i="14"/>
  <c r="M367" i="14"/>
  <c r="L367" i="14"/>
  <c r="AL367" i="14" s="1"/>
  <c r="K367" i="14"/>
  <c r="AK366" i="14"/>
  <c r="AI366" i="14"/>
  <c r="AC366" i="14"/>
  <c r="AE366" i="14" s="1"/>
  <c r="W366" i="14"/>
  <c r="AD366" i="14" s="1"/>
  <c r="U366" i="14"/>
  <c r="AF366" i="14" s="1"/>
  <c r="S366" i="14"/>
  <c r="Q366" i="14"/>
  <c r="O366" i="14"/>
  <c r="M366" i="14"/>
  <c r="L366" i="14"/>
  <c r="AL366" i="14" s="1"/>
  <c r="K366" i="14"/>
  <c r="AK365" i="14"/>
  <c r="AI365" i="14"/>
  <c r="AC365" i="14"/>
  <c r="AE365" i="14" s="1"/>
  <c r="W365" i="14"/>
  <c r="AD365" i="14" s="1"/>
  <c r="U365" i="14"/>
  <c r="AF365" i="14" s="1"/>
  <c r="S365" i="14"/>
  <c r="Q365" i="14"/>
  <c r="O365" i="14"/>
  <c r="M365" i="14"/>
  <c r="L365" i="14"/>
  <c r="AL365" i="14" s="1"/>
  <c r="K365" i="14"/>
  <c r="AK364" i="14"/>
  <c r="AI364" i="14"/>
  <c r="AC364" i="14"/>
  <c r="AE364" i="14" s="1"/>
  <c r="W364" i="14"/>
  <c r="AD364" i="14" s="1"/>
  <c r="U364" i="14"/>
  <c r="AF364" i="14" s="1"/>
  <c r="S364" i="14"/>
  <c r="Q364" i="14"/>
  <c r="O364" i="14"/>
  <c r="M364" i="14"/>
  <c r="L364" i="14"/>
  <c r="AL364" i="14" s="1"/>
  <c r="K364" i="14"/>
  <c r="AK363" i="14"/>
  <c r="AI363" i="14"/>
  <c r="AC363" i="14"/>
  <c r="AE363" i="14" s="1"/>
  <c r="W363" i="14"/>
  <c r="AD363" i="14" s="1"/>
  <c r="U363" i="14"/>
  <c r="AF363" i="14" s="1"/>
  <c r="S363" i="14"/>
  <c r="Q363" i="14"/>
  <c r="O363" i="14"/>
  <c r="M363" i="14"/>
  <c r="L363" i="14"/>
  <c r="AL363" i="14" s="1"/>
  <c r="K363" i="14"/>
  <c r="AK362" i="14"/>
  <c r="AI362" i="14"/>
  <c r="AC362" i="14"/>
  <c r="AE362" i="14" s="1"/>
  <c r="W362" i="14"/>
  <c r="AD362" i="14" s="1"/>
  <c r="U362" i="14"/>
  <c r="AF362" i="14" s="1"/>
  <c r="S362" i="14"/>
  <c r="Q362" i="14"/>
  <c r="O362" i="14"/>
  <c r="M362" i="14"/>
  <c r="L362" i="14"/>
  <c r="AL362" i="14" s="1"/>
  <c r="K362" i="14"/>
  <c r="AK361" i="14"/>
  <c r="AI361" i="14"/>
  <c r="AC361" i="14"/>
  <c r="AE361" i="14" s="1"/>
  <c r="W361" i="14"/>
  <c r="AD361" i="14" s="1"/>
  <c r="U361" i="14"/>
  <c r="AF361" i="14" s="1"/>
  <c r="S361" i="14"/>
  <c r="Q361" i="14"/>
  <c r="O361" i="14"/>
  <c r="M361" i="14"/>
  <c r="L361" i="14"/>
  <c r="AL361" i="14" s="1"/>
  <c r="K361" i="14"/>
  <c r="AI360" i="14"/>
  <c r="AC360" i="14"/>
  <c r="AE360" i="14" s="1"/>
  <c r="W360" i="14"/>
  <c r="AD360" i="14" s="1"/>
  <c r="U360" i="14"/>
  <c r="AF360" i="14" s="1"/>
  <c r="S360" i="14"/>
  <c r="Q360" i="14"/>
  <c r="O360" i="14"/>
  <c r="M360" i="14"/>
  <c r="L360" i="14"/>
  <c r="K360" i="14"/>
  <c r="AK359" i="14"/>
  <c r="AI359" i="14"/>
  <c r="AC359" i="14"/>
  <c r="AE359" i="14" s="1"/>
  <c r="W359" i="14"/>
  <c r="AD359" i="14" s="1"/>
  <c r="U359" i="14"/>
  <c r="AF359" i="14" s="1"/>
  <c r="S359" i="14"/>
  <c r="Q359" i="14"/>
  <c r="O359" i="14"/>
  <c r="M359" i="14"/>
  <c r="L359" i="14"/>
  <c r="AL359" i="14" s="1"/>
  <c r="K359" i="14"/>
  <c r="AK358" i="14"/>
  <c r="AI358" i="14"/>
  <c r="AC358" i="14"/>
  <c r="AE358" i="14" s="1"/>
  <c r="W358" i="14"/>
  <c r="AD358" i="14" s="1"/>
  <c r="U358" i="14"/>
  <c r="AF358" i="14" s="1"/>
  <c r="S358" i="14"/>
  <c r="Q358" i="14"/>
  <c r="O358" i="14"/>
  <c r="M358" i="14"/>
  <c r="L358" i="14"/>
  <c r="AL358" i="14" s="1"/>
  <c r="K358" i="14"/>
  <c r="AK357" i="14"/>
  <c r="AI357" i="14"/>
  <c r="AC357" i="14"/>
  <c r="AE357" i="14" s="1"/>
  <c r="W357" i="14"/>
  <c r="AD357" i="14" s="1"/>
  <c r="U357" i="14"/>
  <c r="AF357" i="14" s="1"/>
  <c r="S357" i="14"/>
  <c r="Q357" i="14"/>
  <c r="O357" i="14"/>
  <c r="M357" i="14"/>
  <c r="L357" i="14"/>
  <c r="AL357" i="14" s="1"/>
  <c r="K357" i="14"/>
  <c r="AK356" i="14"/>
  <c r="AI356" i="14"/>
  <c r="AC356" i="14"/>
  <c r="AE356" i="14" s="1"/>
  <c r="W356" i="14"/>
  <c r="AD356" i="14" s="1"/>
  <c r="U356" i="14"/>
  <c r="AF356" i="14" s="1"/>
  <c r="S356" i="14"/>
  <c r="Q356" i="14"/>
  <c r="O356" i="14"/>
  <c r="M356" i="14"/>
  <c r="L356" i="14"/>
  <c r="AL356" i="14" s="1"/>
  <c r="K356" i="14"/>
  <c r="AK355" i="14"/>
  <c r="AI355" i="14"/>
  <c r="AC355" i="14"/>
  <c r="AE355" i="14" s="1"/>
  <c r="W355" i="14"/>
  <c r="AD355" i="14" s="1"/>
  <c r="U355" i="14"/>
  <c r="AF355" i="14" s="1"/>
  <c r="S355" i="14"/>
  <c r="Q355" i="14"/>
  <c r="O355" i="14"/>
  <c r="M355" i="14"/>
  <c r="L355" i="14"/>
  <c r="AL355" i="14" s="1"/>
  <c r="K355" i="14"/>
  <c r="AK354" i="14"/>
  <c r="AI354" i="14"/>
  <c r="AC354" i="14"/>
  <c r="AE354" i="14" s="1"/>
  <c r="W354" i="14"/>
  <c r="AD354" i="14" s="1"/>
  <c r="U354" i="14"/>
  <c r="AF354" i="14" s="1"/>
  <c r="S354" i="14"/>
  <c r="Q354" i="14"/>
  <c r="O354" i="14"/>
  <c r="M354" i="14"/>
  <c r="L354" i="14"/>
  <c r="AL354" i="14" s="1"/>
  <c r="K354" i="14"/>
  <c r="AK353" i="14"/>
  <c r="AI353" i="14"/>
  <c r="AC353" i="14"/>
  <c r="AE353" i="14" s="1"/>
  <c r="W353" i="14"/>
  <c r="AD353" i="14" s="1"/>
  <c r="U353" i="14"/>
  <c r="AF353" i="14" s="1"/>
  <c r="S353" i="14"/>
  <c r="Q353" i="14"/>
  <c r="O353" i="14"/>
  <c r="M353" i="14"/>
  <c r="L353" i="14"/>
  <c r="AL353" i="14" s="1"/>
  <c r="K353" i="14"/>
  <c r="AK352" i="14"/>
  <c r="AI352" i="14"/>
  <c r="AC352" i="14"/>
  <c r="AE352" i="14" s="1"/>
  <c r="W352" i="14"/>
  <c r="AD352" i="14" s="1"/>
  <c r="U352" i="14"/>
  <c r="AF352" i="14" s="1"/>
  <c r="S352" i="14"/>
  <c r="Q352" i="14"/>
  <c r="O352" i="14"/>
  <c r="M352" i="14"/>
  <c r="L352" i="14"/>
  <c r="AL352" i="14" s="1"/>
  <c r="K352" i="14"/>
  <c r="AK351" i="14"/>
  <c r="AI351" i="14"/>
  <c r="AC351" i="14"/>
  <c r="AE351" i="14" s="1"/>
  <c r="W351" i="14"/>
  <c r="AD351" i="14" s="1"/>
  <c r="U351" i="14"/>
  <c r="AF351" i="14" s="1"/>
  <c r="S351" i="14"/>
  <c r="Q351" i="14"/>
  <c r="O351" i="14"/>
  <c r="M351" i="14"/>
  <c r="L351" i="14"/>
  <c r="AL351" i="14" s="1"/>
  <c r="K351" i="14"/>
  <c r="AK350" i="14"/>
  <c r="AI350" i="14"/>
  <c r="AC350" i="14"/>
  <c r="AE350" i="14" s="1"/>
  <c r="W350" i="14"/>
  <c r="AD350" i="14" s="1"/>
  <c r="U350" i="14"/>
  <c r="AF350" i="14" s="1"/>
  <c r="S350" i="14"/>
  <c r="Q350" i="14"/>
  <c r="O350" i="14"/>
  <c r="M350" i="14"/>
  <c r="L350" i="14"/>
  <c r="AL350" i="14" s="1"/>
  <c r="K350" i="14"/>
  <c r="AK349" i="14"/>
  <c r="AI349" i="14"/>
  <c r="AC349" i="14"/>
  <c r="AE349" i="14" s="1"/>
  <c r="W349" i="14"/>
  <c r="AD349" i="14" s="1"/>
  <c r="U349" i="14"/>
  <c r="AF349" i="14" s="1"/>
  <c r="S349" i="14"/>
  <c r="Q349" i="14"/>
  <c r="O349" i="14"/>
  <c r="M349" i="14"/>
  <c r="L349" i="14"/>
  <c r="AL349" i="14" s="1"/>
  <c r="K349" i="14"/>
  <c r="AK348" i="14"/>
  <c r="AI348" i="14"/>
  <c r="AC348" i="14"/>
  <c r="AE348" i="14" s="1"/>
  <c r="W348" i="14"/>
  <c r="AD348" i="14" s="1"/>
  <c r="U348" i="14"/>
  <c r="AF348" i="14" s="1"/>
  <c r="S348" i="14"/>
  <c r="Q348" i="14"/>
  <c r="O348" i="14"/>
  <c r="M348" i="14"/>
  <c r="L348" i="14"/>
  <c r="AL348" i="14" s="1"/>
  <c r="K348" i="14"/>
  <c r="AK347" i="14"/>
  <c r="AI347" i="14"/>
  <c r="AC347" i="14"/>
  <c r="AE347" i="14" s="1"/>
  <c r="W347" i="14"/>
  <c r="AD347" i="14" s="1"/>
  <c r="U347" i="14"/>
  <c r="AF347" i="14" s="1"/>
  <c r="S347" i="14"/>
  <c r="Q347" i="14"/>
  <c r="O347" i="14"/>
  <c r="M347" i="14"/>
  <c r="L347" i="14"/>
  <c r="AL347" i="14" s="1"/>
  <c r="K347" i="14"/>
  <c r="AK346" i="14"/>
  <c r="AI346" i="14"/>
  <c r="AC346" i="14"/>
  <c r="AE346" i="14" s="1"/>
  <c r="W346" i="14"/>
  <c r="AD346" i="14" s="1"/>
  <c r="U346" i="14"/>
  <c r="AF346" i="14" s="1"/>
  <c r="S346" i="14"/>
  <c r="Q346" i="14"/>
  <c r="O346" i="14"/>
  <c r="M346" i="14"/>
  <c r="L346" i="14"/>
  <c r="AL346" i="14" s="1"/>
  <c r="K346" i="14"/>
  <c r="AK345" i="14"/>
  <c r="AI345" i="14"/>
  <c r="AC345" i="14"/>
  <c r="AE345" i="14" s="1"/>
  <c r="W345" i="14"/>
  <c r="AD345" i="14" s="1"/>
  <c r="U345" i="14"/>
  <c r="AF345" i="14" s="1"/>
  <c r="S345" i="14"/>
  <c r="Q345" i="14"/>
  <c r="O345" i="14"/>
  <c r="M345" i="14"/>
  <c r="L345" i="14"/>
  <c r="AL345" i="14" s="1"/>
  <c r="K345" i="14"/>
  <c r="AK344" i="14"/>
  <c r="AI344" i="14"/>
  <c r="AC344" i="14"/>
  <c r="AE344" i="14" s="1"/>
  <c r="W344" i="14"/>
  <c r="AD344" i="14" s="1"/>
  <c r="U344" i="14"/>
  <c r="AF344" i="14" s="1"/>
  <c r="S344" i="14"/>
  <c r="Q344" i="14"/>
  <c r="O344" i="14"/>
  <c r="M344" i="14"/>
  <c r="L344" i="14"/>
  <c r="AL344" i="14" s="1"/>
  <c r="K344" i="14"/>
  <c r="AK343" i="14"/>
  <c r="AI343" i="14"/>
  <c r="AC343" i="14"/>
  <c r="AE343" i="14" s="1"/>
  <c r="W343" i="14"/>
  <c r="AD343" i="14" s="1"/>
  <c r="U343" i="14"/>
  <c r="AF343" i="14" s="1"/>
  <c r="S343" i="14"/>
  <c r="Q343" i="14"/>
  <c r="O343" i="14"/>
  <c r="M343" i="14"/>
  <c r="L343" i="14"/>
  <c r="AL343" i="14" s="1"/>
  <c r="K343" i="14"/>
  <c r="AK342" i="14"/>
  <c r="AI342" i="14"/>
  <c r="AC342" i="14"/>
  <c r="AE342" i="14" s="1"/>
  <c r="W342" i="14"/>
  <c r="AD342" i="14" s="1"/>
  <c r="U342" i="14"/>
  <c r="AF342" i="14" s="1"/>
  <c r="S342" i="14"/>
  <c r="Q342" i="14"/>
  <c r="O342" i="14"/>
  <c r="M342" i="14"/>
  <c r="L342" i="14"/>
  <c r="AL342" i="14" s="1"/>
  <c r="K342" i="14"/>
  <c r="AK341" i="14"/>
  <c r="AI341" i="14"/>
  <c r="AC341" i="14"/>
  <c r="AE341" i="14" s="1"/>
  <c r="W341" i="14"/>
  <c r="AD341" i="14" s="1"/>
  <c r="U341" i="14"/>
  <c r="AF341" i="14" s="1"/>
  <c r="S341" i="14"/>
  <c r="Q341" i="14"/>
  <c r="O341" i="14"/>
  <c r="M341" i="14"/>
  <c r="L341" i="14"/>
  <c r="AL341" i="14" s="1"/>
  <c r="K341" i="14"/>
  <c r="AK340" i="14"/>
  <c r="AI340" i="14"/>
  <c r="AC340" i="14"/>
  <c r="AE340" i="14" s="1"/>
  <c r="W340" i="14"/>
  <c r="AD340" i="14" s="1"/>
  <c r="U340" i="14"/>
  <c r="AF340" i="14" s="1"/>
  <c r="S340" i="14"/>
  <c r="Q340" i="14"/>
  <c r="O340" i="14"/>
  <c r="M340" i="14"/>
  <c r="L340" i="14"/>
  <c r="AL340" i="14" s="1"/>
  <c r="K340" i="14"/>
  <c r="AK339" i="14"/>
  <c r="AI339" i="14"/>
  <c r="AC339" i="14"/>
  <c r="AE339" i="14" s="1"/>
  <c r="W339" i="14"/>
  <c r="AD339" i="14" s="1"/>
  <c r="U339" i="14"/>
  <c r="AF339" i="14" s="1"/>
  <c r="S339" i="14"/>
  <c r="Q339" i="14"/>
  <c r="O339" i="14"/>
  <c r="M339" i="14"/>
  <c r="L339" i="14"/>
  <c r="AL339" i="14" s="1"/>
  <c r="K339" i="14"/>
  <c r="AK338" i="14"/>
  <c r="AI338" i="14"/>
  <c r="AC338" i="14"/>
  <c r="AE338" i="14" s="1"/>
  <c r="W338" i="14"/>
  <c r="AD338" i="14" s="1"/>
  <c r="U338" i="14"/>
  <c r="AF338" i="14" s="1"/>
  <c r="S338" i="14"/>
  <c r="Q338" i="14"/>
  <c r="O338" i="14"/>
  <c r="M338" i="14"/>
  <c r="L338" i="14"/>
  <c r="AL338" i="14" s="1"/>
  <c r="K338" i="14"/>
  <c r="AK337" i="14"/>
  <c r="AI337" i="14"/>
  <c r="AC337" i="14"/>
  <c r="AE337" i="14" s="1"/>
  <c r="W337" i="14"/>
  <c r="AD337" i="14" s="1"/>
  <c r="U337" i="14"/>
  <c r="AF337" i="14" s="1"/>
  <c r="S337" i="14"/>
  <c r="Q337" i="14"/>
  <c r="O337" i="14"/>
  <c r="M337" i="14"/>
  <c r="L337" i="14"/>
  <c r="AL337" i="14" s="1"/>
  <c r="K337" i="14"/>
  <c r="AK336" i="14"/>
  <c r="AI336" i="14"/>
  <c r="AC336" i="14"/>
  <c r="AE336" i="14" s="1"/>
  <c r="W336" i="14"/>
  <c r="AD336" i="14" s="1"/>
  <c r="U336" i="14"/>
  <c r="AF336" i="14" s="1"/>
  <c r="S336" i="14"/>
  <c r="Q336" i="14"/>
  <c r="O336" i="14"/>
  <c r="M336" i="14"/>
  <c r="L336" i="14"/>
  <c r="AL336" i="14" s="1"/>
  <c r="K336" i="14"/>
  <c r="AK335" i="14"/>
  <c r="AI335" i="14"/>
  <c r="AC335" i="14"/>
  <c r="AE335" i="14" s="1"/>
  <c r="W335" i="14"/>
  <c r="AD335" i="14" s="1"/>
  <c r="U335" i="14"/>
  <c r="AF335" i="14" s="1"/>
  <c r="S335" i="14"/>
  <c r="Q335" i="14"/>
  <c r="O335" i="14"/>
  <c r="M335" i="14"/>
  <c r="L335" i="14"/>
  <c r="AL335" i="14" s="1"/>
  <c r="K335" i="14"/>
  <c r="AK334" i="14"/>
  <c r="AI334" i="14"/>
  <c r="AC334" i="14"/>
  <c r="AE334" i="14" s="1"/>
  <c r="W334" i="14"/>
  <c r="AD334" i="14" s="1"/>
  <c r="U334" i="14"/>
  <c r="AF334" i="14" s="1"/>
  <c r="S334" i="14"/>
  <c r="Q334" i="14"/>
  <c r="O334" i="14"/>
  <c r="M334" i="14"/>
  <c r="L334" i="14"/>
  <c r="AL334" i="14" s="1"/>
  <c r="K334" i="14"/>
  <c r="AK333" i="14"/>
  <c r="AI333" i="14"/>
  <c r="AC333" i="14"/>
  <c r="AE333" i="14" s="1"/>
  <c r="W333" i="14"/>
  <c r="AD333" i="14" s="1"/>
  <c r="U333" i="14"/>
  <c r="AF333" i="14" s="1"/>
  <c r="S333" i="14"/>
  <c r="Q333" i="14"/>
  <c r="O333" i="14"/>
  <c r="M333" i="14"/>
  <c r="L333" i="14"/>
  <c r="AL333" i="14" s="1"/>
  <c r="K333" i="14"/>
  <c r="AK332" i="14"/>
  <c r="AI332" i="14"/>
  <c r="AC332" i="14"/>
  <c r="AE332" i="14" s="1"/>
  <c r="W332" i="14"/>
  <c r="AD332" i="14" s="1"/>
  <c r="U332" i="14"/>
  <c r="AF332" i="14" s="1"/>
  <c r="S332" i="14"/>
  <c r="Q332" i="14"/>
  <c r="O332" i="14"/>
  <c r="M332" i="14"/>
  <c r="L332" i="14"/>
  <c r="AL332" i="14" s="1"/>
  <c r="K332" i="14"/>
  <c r="AK331" i="14"/>
  <c r="AI331" i="14"/>
  <c r="AC331" i="14"/>
  <c r="AE331" i="14" s="1"/>
  <c r="W331" i="14"/>
  <c r="AD331" i="14" s="1"/>
  <c r="U331" i="14"/>
  <c r="AF331" i="14" s="1"/>
  <c r="S331" i="14"/>
  <c r="Q331" i="14"/>
  <c r="O331" i="14"/>
  <c r="M331" i="14"/>
  <c r="L331" i="14"/>
  <c r="AL331" i="14" s="1"/>
  <c r="K331" i="14"/>
  <c r="AK330" i="14"/>
  <c r="AI330" i="14"/>
  <c r="AC330" i="14"/>
  <c r="AE330" i="14" s="1"/>
  <c r="W330" i="14"/>
  <c r="AD330" i="14" s="1"/>
  <c r="U330" i="14"/>
  <c r="AF330" i="14" s="1"/>
  <c r="S330" i="14"/>
  <c r="Q330" i="14"/>
  <c r="O330" i="14"/>
  <c r="M330" i="14"/>
  <c r="L330" i="14"/>
  <c r="AL330" i="14" s="1"/>
  <c r="K330" i="14"/>
  <c r="AK329" i="14"/>
  <c r="AI329" i="14"/>
  <c r="AC329" i="14"/>
  <c r="AE329" i="14" s="1"/>
  <c r="W329" i="14"/>
  <c r="AD329" i="14" s="1"/>
  <c r="U329" i="14"/>
  <c r="AF329" i="14" s="1"/>
  <c r="S329" i="14"/>
  <c r="Q329" i="14"/>
  <c r="O329" i="14"/>
  <c r="M329" i="14"/>
  <c r="L329" i="14"/>
  <c r="AL329" i="14" s="1"/>
  <c r="K329" i="14"/>
  <c r="AK328" i="14"/>
  <c r="AI328" i="14"/>
  <c r="AC328" i="14"/>
  <c r="AE328" i="14" s="1"/>
  <c r="W328" i="14"/>
  <c r="AD328" i="14" s="1"/>
  <c r="U328" i="14"/>
  <c r="AF328" i="14" s="1"/>
  <c r="S328" i="14"/>
  <c r="Q328" i="14"/>
  <c r="O328" i="14"/>
  <c r="M328" i="14"/>
  <c r="L328" i="14"/>
  <c r="AL328" i="14" s="1"/>
  <c r="K328" i="14"/>
  <c r="AK327" i="14"/>
  <c r="AI327" i="14"/>
  <c r="AC327" i="14"/>
  <c r="AE327" i="14" s="1"/>
  <c r="W327" i="14"/>
  <c r="AD327" i="14" s="1"/>
  <c r="U327" i="14"/>
  <c r="AF327" i="14" s="1"/>
  <c r="S327" i="14"/>
  <c r="Q327" i="14"/>
  <c r="O327" i="14"/>
  <c r="M327" i="14"/>
  <c r="L327" i="14"/>
  <c r="AL327" i="14" s="1"/>
  <c r="K327" i="14"/>
  <c r="AK326" i="14"/>
  <c r="AI326" i="14"/>
  <c r="AC326" i="14"/>
  <c r="AE326" i="14" s="1"/>
  <c r="W326" i="14"/>
  <c r="AD326" i="14" s="1"/>
  <c r="U326" i="14"/>
  <c r="AF326" i="14" s="1"/>
  <c r="S326" i="14"/>
  <c r="Q326" i="14"/>
  <c r="O326" i="14"/>
  <c r="M326" i="14"/>
  <c r="L326" i="14"/>
  <c r="AL326" i="14" s="1"/>
  <c r="K326" i="14"/>
  <c r="AK325" i="14"/>
  <c r="AI325" i="14"/>
  <c r="AC325" i="14"/>
  <c r="AE325" i="14" s="1"/>
  <c r="W325" i="14"/>
  <c r="AD325" i="14" s="1"/>
  <c r="U325" i="14"/>
  <c r="AF325" i="14" s="1"/>
  <c r="S325" i="14"/>
  <c r="Q325" i="14"/>
  <c r="O325" i="14"/>
  <c r="M325" i="14"/>
  <c r="L325" i="14"/>
  <c r="AL325" i="14" s="1"/>
  <c r="K325" i="14"/>
  <c r="AK324" i="14"/>
  <c r="AI324" i="14"/>
  <c r="AC324" i="14"/>
  <c r="AE324" i="14" s="1"/>
  <c r="W324" i="14"/>
  <c r="AD324" i="14" s="1"/>
  <c r="U324" i="14"/>
  <c r="AF324" i="14" s="1"/>
  <c r="S324" i="14"/>
  <c r="Q324" i="14"/>
  <c r="O324" i="14"/>
  <c r="M324" i="14"/>
  <c r="L324" i="14"/>
  <c r="AL324" i="14" s="1"/>
  <c r="K324" i="14"/>
  <c r="AK323" i="14"/>
  <c r="AI323" i="14"/>
  <c r="AC323" i="14"/>
  <c r="AE323" i="14" s="1"/>
  <c r="W323" i="14"/>
  <c r="AD323" i="14" s="1"/>
  <c r="U323" i="14"/>
  <c r="AF323" i="14" s="1"/>
  <c r="S323" i="14"/>
  <c r="Q323" i="14"/>
  <c r="O323" i="14"/>
  <c r="M323" i="14"/>
  <c r="L323" i="14"/>
  <c r="AL323" i="14" s="1"/>
  <c r="K323" i="14"/>
  <c r="AK322" i="14"/>
  <c r="AI322" i="14"/>
  <c r="AC322" i="14"/>
  <c r="AE322" i="14" s="1"/>
  <c r="W322" i="14"/>
  <c r="AD322" i="14" s="1"/>
  <c r="U322" i="14"/>
  <c r="AF322" i="14" s="1"/>
  <c r="S322" i="14"/>
  <c r="Q322" i="14"/>
  <c r="O322" i="14"/>
  <c r="M322" i="14"/>
  <c r="L322" i="14"/>
  <c r="AL322" i="14" s="1"/>
  <c r="K322" i="14"/>
  <c r="AK321" i="14"/>
  <c r="AI321" i="14"/>
  <c r="AC321" i="14"/>
  <c r="AE321" i="14" s="1"/>
  <c r="W321" i="14"/>
  <c r="AD321" i="14" s="1"/>
  <c r="U321" i="14"/>
  <c r="AF321" i="14" s="1"/>
  <c r="S321" i="14"/>
  <c r="Q321" i="14"/>
  <c r="O321" i="14"/>
  <c r="M321" i="14"/>
  <c r="L321" i="14"/>
  <c r="AL321" i="14" s="1"/>
  <c r="K321" i="14"/>
  <c r="AK320" i="14"/>
  <c r="AI320" i="14"/>
  <c r="AC320" i="14"/>
  <c r="AE320" i="14" s="1"/>
  <c r="W320" i="14"/>
  <c r="AD320" i="14" s="1"/>
  <c r="U320" i="14"/>
  <c r="AF320" i="14" s="1"/>
  <c r="S320" i="14"/>
  <c r="Q320" i="14"/>
  <c r="O320" i="14"/>
  <c r="M320" i="14"/>
  <c r="L320" i="14"/>
  <c r="AL320" i="14" s="1"/>
  <c r="K320" i="14"/>
  <c r="AK319" i="14"/>
  <c r="AI319" i="14"/>
  <c r="AC319" i="14"/>
  <c r="AE319" i="14" s="1"/>
  <c r="W319" i="14"/>
  <c r="AD319" i="14" s="1"/>
  <c r="U319" i="14"/>
  <c r="AF319" i="14" s="1"/>
  <c r="S319" i="14"/>
  <c r="Q319" i="14"/>
  <c r="O319" i="14"/>
  <c r="M319" i="14"/>
  <c r="L319" i="14"/>
  <c r="AL319" i="14" s="1"/>
  <c r="K319" i="14"/>
  <c r="AK318" i="14"/>
  <c r="AI318" i="14"/>
  <c r="AC318" i="14"/>
  <c r="AE318" i="14" s="1"/>
  <c r="W318" i="14"/>
  <c r="AD318" i="14" s="1"/>
  <c r="U318" i="14"/>
  <c r="AF318" i="14" s="1"/>
  <c r="S318" i="14"/>
  <c r="Q318" i="14"/>
  <c r="O318" i="14"/>
  <c r="M318" i="14"/>
  <c r="L318" i="14"/>
  <c r="AL318" i="14" s="1"/>
  <c r="K318" i="14"/>
  <c r="AK317" i="14"/>
  <c r="AI317" i="14"/>
  <c r="AC317" i="14"/>
  <c r="AE317" i="14" s="1"/>
  <c r="W317" i="14"/>
  <c r="AD317" i="14" s="1"/>
  <c r="U317" i="14"/>
  <c r="AF317" i="14" s="1"/>
  <c r="S317" i="14"/>
  <c r="Q317" i="14"/>
  <c r="O317" i="14"/>
  <c r="M317" i="14"/>
  <c r="L317" i="14"/>
  <c r="AL317" i="14" s="1"/>
  <c r="K317" i="14"/>
  <c r="AK316" i="14"/>
  <c r="AI316" i="14"/>
  <c r="AC316" i="14"/>
  <c r="AE316" i="14" s="1"/>
  <c r="W316" i="14"/>
  <c r="AD316" i="14" s="1"/>
  <c r="U316" i="14"/>
  <c r="AF316" i="14" s="1"/>
  <c r="S316" i="14"/>
  <c r="Q316" i="14"/>
  <c r="O316" i="14"/>
  <c r="M316" i="14"/>
  <c r="L316" i="14"/>
  <c r="AL316" i="14" s="1"/>
  <c r="K316" i="14"/>
  <c r="AK315" i="14"/>
  <c r="AI315" i="14"/>
  <c r="AC315" i="14"/>
  <c r="AE315" i="14" s="1"/>
  <c r="W315" i="14"/>
  <c r="AD315" i="14" s="1"/>
  <c r="U315" i="14"/>
  <c r="AF315" i="14" s="1"/>
  <c r="S315" i="14"/>
  <c r="Q315" i="14"/>
  <c r="O315" i="14"/>
  <c r="M315" i="14"/>
  <c r="L315" i="14"/>
  <c r="AL315" i="14" s="1"/>
  <c r="K315" i="14"/>
  <c r="AK314" i="14"/>
  <c r="AI314" i="14"/>
  <c r="AC314" i="14"/>
  <c r="AE314" i="14" s="1"/>
  <c r="W314" i="14"/>
  <c r="AD314" i="14" s="1"/>
  <c r="U314" i="14"/>
  <c r="AF314" i="14" s="1"/>
  <c r="S314" i="14"/>
  <c r="Q314" i="14"/>
  <c r="O314" i="14"/>
  <c r="M314" i="14"/>
  <c r="L314" i="14"/>
  <c r="AL314" i="14" s="1"/>
  <c r="K314" i="14"/>
  <c r="AK313" i="14"/>
  <c r="AI313" i="14"/>
  <c r="AC313" i="14"/>
  <c r="AE313" i="14" s="1"/>
  <c r="W313" i="14"/>
  <c r="AD313" i="14" s="1"/>
  <c r="U313" i="14"/>
  <c r="AF313" i="14" s="1"/>
  <c r="S313" i="14"/>
  <c r="Q313" i="14"/>
  <c r="O313" i="14"/>
  <c r="M313" i="14"/>
  <c r="L313" i="14"/>
  <c r="AL313" i="14" s="1"/>
  <c r="K313" i="14"/>
  <c r="AK312" i="14"/>
  <c r="AI312" i="14"/>
  <c r="AC312" i="14"/>
  <c r="AE312" i="14" s="1"/>
  <c r="W312" i="14"/>
  <c r="AD312" i="14" s="1"/>
  <c r="U312" i="14"/>
  <c r="AF312" i="14" s="1"/>
  <c r="S312" i="14"/>
  <c r="Q312" i="14"/>
  <c r="O312" i="14"/>
  <c r="M312" i="14"/>
  <c r="L312" i="14"/>
  <c r="AL312" i="14" s="1"/>
  <c r="K312" i="14"/>
  <c r="AK311" i="14"/>
  <c r="AI311" i="14"/>
  <c r="AC311" i="14"/>
  <c r="AE311" i="14" s="1"/>
  <c r="W311" i="14"/>
  <c r="AD311" i="14" s="1"/>
  <c r="U311" i="14"/>
  <c r="AF311" i="14" s="1"/>
  <c r="S311" i="14"/>
  <c r="Q311" i="14"/>
  <c r="O311" i="14"/>
  <c r="M311" i="14"/>
  <c r="L311" i="14"/>
  <c r="AL311" i="14" s="1"/>
  <c r="K311" i="14"/>
  <c r="AK310" i="14"/>
  <c r="AI310" i="14"/>
  <c r="AC310" i="14"/>
  <c r="AE310" i="14" s="1"/>
  <c r="W310" i="14"/>
  <c r="AD310" i="14" s="1"/>
  <c r="U310" i="14"/>
  <c r="AF310" i="14" s="1"/>
  <c r="S310" i="14"/>
  <c r="Q310" i="14"/>
  <c r="O310" i="14"/>
  <c r="M310" i="14"/>
  <c r="L310" i="14"/>
  <c r="AL310" i="14" s="1"/>
  <c r="K310" i="14"/>
  <c r="AK309" i="14"/>
  <c r="AI309" i="14"/>
  <c r="AC309" i="14"/>
  <c r="AE309" i="14" s="1"/>
  <c r="W309" i="14"/>
  <c r="AD309" i="14" s="1"/>
  <c r="U309" i="14"/>
  <c r="AF309" i="14" s="1"/>
  <c r="S309" i="14"/>
  <c r="Q309" i="14"/>
  <c r="O309" i="14"/>
  <c r="M309" i="14"/>
  <c r="L309" i="14"/>
  <c r="AL309" i="14" s="1"/>
  <c r="K309" i="14"/>
  <c r="AK308" i="14"/>
  <c r="AI308" i="14"/>
  <c r="AC308" i="14"/>
  <c r="AE308" i="14" s="1"/>
  <c r="W308" i="14"/>
  <c r="AD308" i="14" s="1"/>
  <c r="U308" i="14"/>
  <c r="AF308" i="14" s="1"/>
  <c r="S308" i="14"/>
  <c r="Q308" i="14"/>
  <c r="O308" i="14"/>
  <c r="M308" i="14"/>
  <c r="L308" i="14"/>
  <c r="AL308" i="14" s="1"/>
  <c r="K308" i="14"/>
  <c r="AK307" i="14"/>
  <c r="AI307" i="14"/>
  <c r="AC307" i="14"/>
  <c r="AE307" i="14" s="1"/>
  <c r="W307" i="14"/>
  <c r="AD307" i="14" s="1"/>
  <c r="U307" i="14"/>
  <c r="AF307" i="14" s="1"/>
  <c r="S307" i="14"/>
  <c r="Q307" i="14"/>
  <c r="O307" i="14"/>
  <c r="M307" i="14"/>
  <c r="L307" i="14"/>
  <c r="AL307" i="14" s="1"/>
  <c r="K307" i="14"/>
  <c r="AK306" i="14"/>
  <c r="AI306" i="14"/>
  <c r="AC306" i="14"/>
  <c r="AE306" i="14" s="1"/>
  <c r="W306" i="14"/>
  <c r="AD306" i="14" s="1"/>
  <c r="U306" i="14"/>
  <c r="AF306" i="14" s="1"/>
  <c r="S306" i="14"/>
  <c r="Q306" i="14"/>
  <c r="O306" i="14"/>
  <c r="M306" i="14"/>
  <c r="L306" i="14"/>
  <c r="AL306" i="14" s="1"/>
  <c r="K306" i="14"/>
  <c r="AK305" i="14"/>
  <c r="AI305" i="14"/>
  <c r="AC305" i="14"/>
  <c r="AE305" i="14" s="1"/>
  <c r="W305" i="14"/>
  <c r="AD305" i="14" s="1"/>
  <c r="U305" i="14"/>
  <c r="AF305" i="14" s="1"/>
  <c r="S305" i="14"/>
  <c r="Q305" i="14"/>
  <c r="O305" i="14"/>
  <c r="M305" i="14"/>
  <c r="L305" i="14"/>
  <c r="AL305" i="14" s="1"/>
  <c r="K305" i="14"/>
  <c r="AK304" i="14"/>
  <c r="AI304" i="14"/>
  <c r="AC304" i="14"/>
  <c r="AE304" i="14" s="1"/>
  <c r="W304" i="14"/>
  <c r="AD304" i="14" s="1"/>
  <c r="U304" i="14"/>
  <c r="AF304" i="14" s="1"/>
  <c r="S304" i="14"/>
  <c r="Q304" i="14"/>
  <c r="O304" i="14"/>
  <c r="M304" i="14"/>
  <c r="L304" i="14"/>
  <c r="AL304" i="14" s="1"/>
  <c r="K304" i="14"/>
  <c r="AK303" i="14"/>
  <c r="AI303" i="14"/>
  <c r="AC303" i="14"/>
  <c r="AE303" i="14" s="1"/>
  <c r="W303" i="14"/>
  <c r="AD303" i="14" s="1"/>
  <c r="U303" i="14"/>
  <c r="AF303" i="14" s="1"/>
  <c r="S303" i="14"/>
  <c r="Q303" i="14"/>
  <c r="O303" i="14"/>
  <c r="M303" i="14"/>
  <c r="L303" i="14"/>
  <c r="AL303" i="14" s="1"/>
  <c r="K303" i="14"/>
  <c r="AK302" i="14"/>
  <c r="AI302" i="14"/>
  <c r="AC302" i="14"/>
  <c r="AE302" i="14" s="1"/>
  <c r="W302" i="14"/>
  <c r="AD302" i="14" s="1"/>
  <c r="U302" i="14"/>
  <c r="AF302" i="14" s="1"/>
  <c r="S302" i="14"/>
  <c r="Q302" i="14"/>
  <c r="O302" i="14"/>
  <c r="M302" i="14"/>
  <c r="L302" i="14"/>
  <c r="AL302" i="14" s="1"/>
  <c r="K302" i="14"/>
  <c r="AK301" i="14"/>
  <c r="AI301" i="14"/>
  <c r="AC301" i="14"/>
  <c r="AE301" i="14" s="1"/>
  <c r="W301" i="14"/>
  <c r="AD301" i="14" s="1"/>
  <c r="U301" i="14"/>
  <c r="AF301" i="14" s="1"/>
  <c r="S301" i="14"/>
  <c r="Q301" i="14"/>
  <c r="O301" i="14"/>
  <c r="M301" i="14"/>
  <c r="L301" i="14"/>
  <c r="AL301" i="14" s="1"/>
  <c r="K301" i="14"/>
  <c r="AK300" i="14"/>
  <c r="AI300" i="14"/>
  <c r="AC300" i="14"/>
  <c r="AE300" i="14" s="1"/>
  <c r="W300" i="14"/>
  <c r="AD300" i="14" s="1"/>
  <c r="U300" i="14"/>
  <c r="AF300" i="14" s="1"/>
  <c r="S300" i="14"/>
  <c r="Q300" i="14"/>
  <c r="O300" i="14"/>
  <c r="M300" i="14"/>
  <c r="L300" i="14"/>
  <c r="AL300" i="14" s="1"/>
  <c r="K300" i="14"/>
  <c r="AK299" i="14"/>
  <c r="AI299" i="14"/>
  <c r="AC299" i="14"/>
  <c r="AE299" i="14" s="1"/>
  <c r="W299" i="14"/>
  <c r="AD299" i="14" s="1"/>
  <c r="U299" i="14"/>
  <c r="AF299" i="14" s="1"/>
  <c r="S299" i="14"/>
  <c r="Q299" i="14"/>
  <c r="O299" i="14"/>
  <c r="M299" i="14"/>
  <c r="L299" i="14"/>
  <c r="AL299" i="14" s="1"/>
  <c r="K299" i="14"/>
  <c r="AK298" i="14"/>
  <c r="AI298" i="14"/>
  <c r="AC298" i="14"/>
  <c r="AE298" i="14" s="1"/>
  <c r="W298" i="14"/>
  <c r="AD298" i="14" s="1"/>
  <c r="U298" i="14"/>
  <c r="AF298" i="14" s="1"/>
  <c r="S298" i="14"/>
  <c r="Q298" i="14"/>
  <c r="O298" i="14"/>
  <c r="M298" i="14"/>
  <c r="L298" i="14"/>
  <c r="AL298" i="14" s="1"/>
  <c r="K298" i="14"/>
  <c r="AK297" i="14"/>
  <c r="AI297" i="14"/>
  <c r="AC297" i="14"/>
  <c r="AE297" i="14" s="1"/>
  <c r="W297" i="14"/>
  <c r="AD297" i="14" s="1"/>
  <c r="U297" i="14"/>
  <c r="AF297" i="14" s="1"/>
  <c r="S297" i="14"/>
  <c r="Q297" i="14"/>
  <c r="O297" i="14"/>
  <c r="M297" i="14"/>
  <c r="L297" i="14"/>
  <c r="AL297" i="14" s="1"/>
  <c r="K297" i="14"/>
  <c r="AK296" i="14"/>
  <c r="AI296" i="14"/>
  <c r="AC296" i="14"/>
  <c r="AE296" i="14" s="1"/>
  <c r="W296" i="14"/>
  <c r="AD296" i="14" s="1"/>
  <c r="U296" i="14"/>
  <c r="AF296" i="14" s="1"/>
  <c r="S296" i="14"/>
  <c r="Q296" i="14"/>
  <c r="O296" i="14"/>
  <c r="M296" i="14"/>
  <c r="L296" i="14"/>
  <c r="AL296" i="14" s="1"/>
  <c r="K296" i="14"/>
  <c r="AK295" i="14"/>
  <c r="AI295" i="14"/>
  <c r="AC295" i="14"/>
  <c r="AE295" i="14" s="1"/>
  <c r="W295" i="14"/>
  <c r="AD295" i="14" s="1"/>
  <c r="U295" i="14"/>
  <c r="AF295" i="14" s="1"/>
  <c r="S295" i="14"/>
  <c r="Q295" i="14"/>
  <c r="O295" i="14"/>
  <c r="M295" i="14"/>
  <c r="L295" i="14"/>
  <c r="AL295" i="14" s="1"/>
  <c r="K295" i="14"/>
  <c r="AK294" i="14"/>
  <c r="AI294" i="14"/>
  <c r="AC294" i="14"/>
  <c r="AE294" i="14" s="1"/>
  <c r="W294" i="14"/>
  <c r="AD294" i="14" s="1"/>
  <c r="U294" i="14"/>
  <c r="AF294" i="14" s="1"/>
  <c r="S294" i="14"/>
  <c r="Q294" i="14"/>
  <c r="O294" i="14"/>
  <c r="M294" i="14"/>
  <c r="L294" i="14"/>
  <c r="AL294" i="14" s="1"/>
  <c r="K294" i="14"/>
  <c r="AK293" i="14"/>
  <c r="AI293" i="14"/>
  <c r="AC293" i="14"/>
  <c r="AE293" i="14" s="1"/>
  <c r="W293" i="14"/>
  <c r="AD293" i="14" s="1"/>
  <c r="U293" i="14"/>
  <c r="AF293" i="14" s="1"/>
  <c r="S293" i="14"/>
  <c r="Q293" i="14"/>
  <c r="O293" i="14"/>
  <c r="M293" i="14"/>
  <c r="L293" i="14"/>
  <c r="AL293" i="14" s="1"/>
  <c r="K293" i="14"/>
  <c r="AK292" i="14"/>
  <c r="AI292" i="14"/>
  <c r="AC292" i="14"/>
  <c r="AE292" i="14" s="1"/>
  <c r="W292" i="14"/>
  <c r="AD292" i="14" s="1"/>
  <c r="U292" i="14"/>
  <c r="AF292" i="14" s="1"/>
  <c r="S292" i="14"/>
  <c r="Q292" i="14"/>
  <c r="O292" i="14"/>
  <c r="M292" i="14"/>
  <c r="L292" i="14"/>
  <c r="AL292" i="14" s="1"/>
  <c r="K292" i="14"/>
  <c r="AK291" i="14"/>
  <c r="AI291" i="14"/>
  <c r="AC291" i="14"/>
  <c r="AE291" i="14" s="1"/>
  <c r="W291" i="14"/>
  <c r="AD291" i="14" s="1"/>
  <c r="U291" i="14"/>
  <c r="AF291" i="14" s="1"/>
  <c r="S291" i="14"/>
  <c r="Q291" i="14"/>
  <c r="O291" i="14"/>
  <c r="M291" i="14"/>
  <c r="L291" i="14"/>
  <c r="AL291" i="14" s="1"/>
  <c r="K291" i="14"/>
  <c r="AK290" i="14"/>
  <c r="AI290" i="14"/>
  <c r="AC290" i="14"/>
  <c r="AE290" i="14" s="1"/>
  <c r="W290" i="14"/>
  <c r="AD290" i="14" s="1"/>
  <c r="U290" i="14"/>
  <c r="AF290" i="14" s="1"/>
  <c r="S290" i="14"/>
  <c r="Q290" i="14"/>
  <c r="O290" i="14"/>
  <c r="M290" i="14"/>
  <c r="L290" i="14"/>
  <c r="AL290" i="14" s="1"/>
  <c r="K290" i="14"/>
  <c r="AK289" i="14"/>
  <c r="AI289" i="14"/>
  <c r="AC289" i="14"/>
  <c r="AE289" i="14" s="1"/>
  <c r="W289" i="14"/>
  <c r="AD289" i="14" s="1"/>
  <c r="U289" i="14"/>
  <c r="AF289" i="14" s="1"/>
  <c r="S289" i="14"/>
  <c r="Q289" i="14"/>
  <c r="O289" i="14"/>
  <c r="M289" i="14"/>
  <c r="L289" i="14"/>
  <c r="AL289" i="14" s="1"/>
  <c r="K289" i="14"/>
  <c r="AK288" i="14"/>
  <c r="AI288" i="14"/>
  <c r="AC288" i="14"/>
  <c r="AE288" i="14" s="1"/>
  <c r="W288" i="14"/>
  <c r="AD288" i="14" s="1"/>
  <c r="U288" i="14"/>
  <c r="AF288" i="14" s="1"/>
  <c r="S288" i="14"/>
  <c r="Q288" i="14"/>
  <c r="O288" i="14"/>
  <c r="M288" i="14"/>
  <c r="L288" i="14"/>
  <c r="AL288" i="14" s="1"/>
  <c r="K288" i="14"/>
  <c r="AK287" i="14"/>
  <c r="AI287" i="14"/>
  <c r="AC287" i="14"/>
  <c r="AE287" i="14" s="1"/>
  <c r="W287" i="14"/>
  <c r="AD287" i="14" s="1"/>
  <c r="U287" i="14"/>
  <c r="AF287" i="14" s="1"/>
  <c r="S287" i="14"/>
  <c r="Q287" i="14"/>
  <c r="O287" i="14"/>
  <c r="M287" i="14"/>
  <c r="L287" i="14"/>
  <c r="AL287" i="14" s="1"/>
  <c r="K287" i="14"/>
  <c r="AK286" i="14"/>
  <c r="AI286" i="14"/>
  <c r="AC286" i="14"/>
  <c r="AE286" i="14" s="1"/>
  <c r="W286" i="14"/>
  <c r="AD286" i="14" s="1"/>
  <c r="U286" i="14"/>
  <c r="AF286" i="14" s="1"/>
  <c r="S286" i="14"/>
  <c r="Q286" i="14"/>
  <c r="O286" i="14"/>
  <c r="M286" i="14"/>
  <c r="L286" i="14"/>
  <c r="AL286" i="14" s="1"/>
  <c r="K286" i="14"/>
  <c r="AK285" i="14"/>
  <c r="AI285" i="14"/>
  <c r="AC285" i="14"/>
  <c r="AE285" i="14" s="1"/>
  <c r="W285" i="14"/>
  <c r="AD285" i="14" s="1"/>
  <c r="U285" i="14"/>
  <c r="AF285" i="14" s="1"/>
  <c r="S285" i="14"/>
  <c r="Q285" i="14"/>
  <c r="O285" i="14"/>
  <c r="M285" i="14"/>
  <c r="L285" i="14"/>
  <c r="AL285" i="14" s="1"/>
  <c r="K285" i="14"/>
  <c r="AK284" i="14"/>
  <c r="AI284" i="14"/>
  <c r="AC284" i="14"/>
  <c r="AE284" i="14" s="1"/>
  <c r="W284" i="14"/>
  <c r="AD284" i="14" s="1"/>
  <c r="U284" i="14"/>
  <c r="AF284" i="14" s="1"/>
  <c r="S284" i="14"/>
  <c r="Q284" i="14"/>
  <c r="O284" i="14"/>
  <c r="M284" i="14"/>
  <c r="L284" i="14"/>
  <c r="AL284" i="14" s="1"/>
  <c r="K284" i="14"/>
  <c r="AK283" i="14"/>
  <c r="AI283" i="14"/>
  <c r="AC283" i="14"/>
  <c r="AE283" i="14" s="1"/>
  <c r="W283" i="14"/>
  <c r="AD283" i="14" s="1"/>
  <c r="U283" i="14"/>
  <c r="AF283" i="14" s="1"/>
  <c r="S283" i="14"/>
  <c r="Q283" i="14"/>
  <c r="O283" i="14"/>
  <c r="M283" i="14"/>
  <c r="L283" i="14"/>
  <c r="AL283" i="14" s="1"/>
  <c r="K283" i="14"/>
  <c r="AK282" i="14"/>
  <c r="AI282" i="14"/>
  <c r="AC282" i="14"/>
  <c r="AE282" i="14" s="1"/>
  <c r="W282" i="14"/>
  <c r="AD282" i="14" s="1"/>
  <c r="U282" i="14"/>
  <c r="AF282" i="14" s="1"/>
  <c r="S282" i="14"/>
  <c r="Q282" i="14"/>
  <c r="O282" i="14"/>
  <c r="M282" i="14"/>
  <c r="L282" i="14"/>
  <c r="AL282" i="14" s="1"/>
  <c r="K282" i="14"/>
  <c r="AK281" i="14"/>
  <c r="AI281" i="14"/>
  <c r="AC281" i="14"/>
  <c r="AE281" i="14" s="1"/>
  <c r="W281" i="14"/>
  <c r="AD281" i="14" s="1"/>
  <c r="U281" i="14"/>
  <c r="AF281" i="14" s="1"/>
  <c r="S281" i="14"/>
  <c r="Q281" i="14"/>
  <c r="O281" i="14"/>
  <c r="M281" i="14"/>
  <c r="L281" i="14"/>
  <c r="AL281" i="14" s="1"/>
  <c r="K281" i="14"/>
  <c r="AK280" i="14"/>
  <c r="AI280" i="14"/>
  <c r="AC280" i="14"/>
  <c r="AE280" i="14" s="1"/>
  <c r="W280" i="14"/>
  <c r="AD280" i="14" s="1"/>
  <c r="U280" i="14"/>
  <c r="AF280" i="14" s="1"/>
  <c r="S280" i="14"/>
  <c r="Q280" i="14"/>
  <c r="O280" i="14"/>
  <c r="M280" i="14"/>
  <c r="L280" i="14"/>
  <c r="AL280" i="14" s="1"/>
  <c r="K280" i="14"/>
  <c r="AK279" i="14"/>
  <c r="AI279" i="14"/>
  <c r="AC279" i="14"/>
  <c r="AE279" i="14" s="1"/>
  <c r="W279" i="14"/>
  <c r="AD279" i="14" s="1"/>
  <c r="U279" i="14"/>
  <c r="AF279" i="14" s="1"/>
  <c r="S279" i="14"/>
  <c r="Q279" i="14"/>
  <c r="O279" i="14"/>
  <c r="M279" i="14"/>
  <c r="L279" i="14"/>
  <c r="AL279" i="14" s="1"/>
  <c r="K279" i="14"/>
  <c r="AK278" i="14"/>
  <c r="AI278" i="14"/>
  <c r="AC278" i="14"/>
  <c r="AE278" i="14" s="1"/>
  <c r="W278" i="14"/>
  <c r="AD278" i="14" s="1"/>
  <c r="U278" i="14"/>
  <c r="AF278" i="14" s="1"/>
  <c r="S278" i="14"/>
  <c r="Q278" i="14"/>
  <c r="O278" i="14"/>
  <c r="M278" i="14"/>
  <c r="L278" i="14"/>
  <c r="AL278" i="14" s="1"/>
  <c r="K278" i="14"/>
  <c r="AK277" i="14"/>
  <c r="AI277" i="14"/>
  <c r="AC277" i="14"/>
  <c r="AE277" i="14" s="1"/>
  <c r="W277" i="14"/>
  <c r="AD277" i="14" s="1"/>
  <c r="U277" i="14"/>
  <c r="AF277" i="14" s="1"/>
  <c r="S277" i="14"/>
  <c r="Q277" i="14"/>
  <c r="O277" i="14"/>
  <c r="M277" i="14"/>
  <c r="L277" i="14"/>
  <c r="AL277" i="14" s="1"/>
  <c r="K277" i="14"/>
  <c r="AK276" i="14"/>
  <c r="AI276" i="14"/>
  <c r="AC276" i="14"/>
  <c r="AE276" i="14" s="1"/>
  <c r="W276" i="14"/>
  <c r="AD276" i="14" s="1"/>
  <c r="U276" i="14"/>
  <c r="AF276" i="14" s="1"/>
  <c r="S276" i="14"/>
  <c r="Q276" i="14"/>
  <c r="O276" i="14"/>
  <c r="M276" i="14"/>
  <c r="L276" i="14"/>
  <c r="AL276" i="14" s="1"/>
  <c r="K276" i="14"/>
  <c r="AK275" i="14"/>
  <c r="AI275" i="14"/>
  <c r="AC275" i="14"/>
  <c r="AE275" i="14" s="1"/>
  <c r="W275" i="14"/>
  <c r="AD275" i="14" s="1"/>
  <c r="U275" i="14"/>
  <c r="AF275" i="14" s="1"/>
  <c r="S275" i="14"/>
  <c r="Q275" i="14"/>
  <c r="O275" i="14"/>
  <c r="M275" i="14"/>
  <c r="L275" i="14"/>
  <c r="AL275" i="14" s="1"/>
  <c r="K275" i="14"/>
  <c r="AK274" i="14"/>
  <c r="AI274" i="14"/>
  <c r="AC274" i="14"/>
  <c r="AE274" i="14" s="1"/>
  <c r="W274" i="14"/>
  <c r="AD274" i="14" s="1"/>
  <c r="U274" i="14"/>
  <c r="AF274" i="14" s="1"/>
  <c r="S274" i="14"/>
  <c r="Q274" i="14"/>
  <c r="O274" i="14"/>
  <c r="M274" i="14"/>
  <c r="L274" i="14"/>
  <c r="AL274" i="14" s="1"/>
  <c r="K274" i="14"/>
  <c r="AK273" i="14"/>
  <c r="AI273" i="14"/>
  <c r="AC273" i="14"/>
  <c r="AE273" i="14" s="1"/>
  <c r="W273" i="14"/>
  <c r="AD273" i="14" s="1"/>
  <c r="U273" i="14"/>
  <c r="AF273" i="14" s="1"/>
  <c r="S273" i="14"/>
  <c r="Q273" i="14"/>
  <c r="O273" i="14"/>
  <c r="M273" i="14"/>
  <c r="L273" i="14"/>
  <c r="AL273" i="14" s="1"/>
  <c r="K273" i="14"/>
  <c r="AK272" i="14"/>
  <c r="AI272" i="14"/>
  <c r="AC272" i="14"/>
  <c r="AE272" i="14" s="1"/>
  <c r="W272" i="14"/>
  <c r="AD272" i="14" s="1"/>
  <c r="U272" i="14"/>
  <c r="AF272" i="14" s="1"/>
  <c r="S272" i="14"/>
  <c r="Q272" i="14"/>
  <c r="O272" i="14"/>
  <c r="M272" i="14"/>
  <c r="L272" i="14"/>
  <c r="AL272" i="14" s="1"/>
  <c r="K272" i="14"/>
  <c r="AK271" i="14"/>
  <c r="AI271" i="14"/>
  <c r="AC271" i="14"/>
  <c r="AE271" i="14" s="1"/>
  <c r="W271" i="14"/>
  <c r="AD271" i="14" s="1"/>
  <c r="U271" i="14"/>
  <c r="AF271" i="14" s="1"/>
  <c r="S271" i="14"/>
  <c r="Q271" i="14"/>
  <c r="O271" i="14"/>
  <c r="M271" i="14"/>
  <c r="L271" i="14"/>
  <c r="AL271" i="14" s="1"/>
  <c r="K271" i="14"/>
  <c r="AK270" i="14"/>
  <c r="AI270" i="14"/>
  <c r="AC270" i="14"/>
  <c r="AE270" i="14" s="1"/>
  <c r="W270" i="14"/>
  <c r="AD270" i="14" s="1"/>
  <c r="U270" i="14"/>
  <c r="AF270" i="14" s="1"/>
  <c r="S270" i="14"/>
  <c r="Q270" i="14"/>
  <c r="O270" i="14"/>
  <c r="M270" i="14"/>
  <c r="L270" i="14"/>
  <c r="AL270" i="14" s="1"/>
  <c r="K270" i="14"/>
  <c r="AK269" i="14"/>
  <c r="AI269" i="14"/>
  <c r="AC269" i="14"/>
  <c r="AE269" i="14" s="1"/>
  <c r="W269" i="14"/>
  <c r="AD269" i="14" s="1"/>
  <c r="U269" i="14"/>
  <c r="AF269" i="14" s="1"/>
  <c r="S269" i="14"/>
  <c r="Q269" i="14"/>
  <c r="O269" i="14"/>
  <c r="M269" i="14"/>
  <c r="L269" i="14"/>
  <c r="AL269" i="14" s="1"/>
  <c r="K269" i="14"/>
  <c r="AK268" i="14"/>
  <c r="AI268" i="14"/>
  <c r="AC268" i="14"/>
  <c r="AE268" i="14" s="1"/>
  <c r="W268" i="14"/>
  <c r="AD268" i="14" s="1"/>
  <c r="U268" i="14"/>
  <c r="AF268" i="14" s="1"/>
  <c r="S268" i="14"/>
  <c r="Q268" i="14"/>
  <c r="O268" i="14"/>
  <c r="M268" i="14"/>
  <c r="L268" i="14"/>
  <c r="AL268" i="14" s="1"/>
  <c r="K268" i="14"/>
  <c r="AK267" i="14"/>
  <c r="AI267" i="14"/>
  <c r="AC267" i="14"/>
  <c r="AE267" i="14" s="1"/>
  <c r="W267" i="14"/>
  <c r="AD267" i="14" s="1"/>
  <c r="U267" i="14"/>
  <c r="AF267" i="14" s="1"/>
  <c r="S267" i="14"/>
  <c r="Q267" i="14"/>
  <c r="O267" i="14"/>
  <c r="M267" i="14"/>
  <c r="L267" i="14"/>
  <c r="AL267" i="14" s="1"/>
  <c r="K267" i="14"/>
  <c r="AK266" i="14"/>
  <c r="AI266" i="14"/>
  <c r="AC266" i="14"/>
  <c r="AE266" i="14" s="1"/>
  <c r="W266" i="14"/>
  <c r="AD266" i="14" s="1"/>
  <c r="U266" i="14"/>
  <c r="AF266" i="14" s="1"/>
  <c r="S266" i="14"/>
  <c r="Q266" i="14"/>
  <c r="O266" i="14"/>
  <c r="M266" i="14"/>
  <c r="L266" i="14"/>
  <c r="AL266" i="14" s="1"/>
  <c r="K266" i="14"/>
  <c r="AK265" i="14"/>
  <c r="AI265" i="14"/>
  <c r="AC265" i="14"/>
  <c r="AE265" i="14" s="1"/>
  <c r="W265" i="14"/>
  <c r="AD265" i="14" s="1"/>
  <c r="U265" i="14"/>
  <c r="AF265" i="14" s="1"/>
  <c r="S265" i="14"/>
  <c r="Q265" i="14"/>
  <c r="O265" i="14"/>
  <c r="M265" i="14"/>
  <c r="L265" i="14"/>
  <c r="AL265" i="14" s="1"/>
  <c r="K265" i="14"/>
  <c r="AK264" i="14"/>
  <c r="AI264" i="14"/>
  <c r="AC264" i="14"/>
  <c r="AE264" i="14" s="1"/>
  <c r="W264" i="14"/>
  <c r="AD264" i="14" s="1"/>
  <c r="U264" i="14"/>
  <c r="AF264" i="14" s="1"/>
  <c r="S264" i="14"/>
  <c r="Q264" i="14"/>
  <c r="O264" i="14"/>
  <c r="M264" i="14"/>
  <c r="L264" i="14"/>
  <c r="AL264" i="14" s="1"/>
  <c r="K264" i="14"/>
  <c r="AK263" i="14"/>
  <c r="AI263" i="14"/>
  <c r="AC263" i="14"/>
  <c r="AE263" i="14" s="1"/>
  <c r="W263" i="14"/>
  <c r="AD263" i="14" s="1"/>
  <c r="U263" i="14"/>
  <c r="AF263" i="14" s="1"/>
  <c r="S263" i="14"/>
  <c r="Q263" i="14"/>
  <c r="O263" i="14"/>
  <c r="M263" i="14"/>
  <c r="L263" i="14"/>
  <c r="AL263" i="14" s="1"/>
  <c r="K263" i="14"/>
  <c r="L262" i="14"/>
  <c r="L261" i="14"/>
  <c r="M260" i="14"/>
  <c r="L260" i="14"/>
  <c r="M259" i="14"/>
  <c r="L259" i="14"/>
  <c r="L258" i="14"/>
  <c r="L257" i="14"/>
  <c r="M256" i="14"/>
  <c r="L256" i="14"/>
  <c r="M255" i="14"/>
  <c r="L255" i="14"/>
  <c r="M254" i="14"/>
  <c r="L254" i="14"/>
  <c r="M253" i="14"/>
  <c r="L253" i="14"/>
  <c r="L252" i="14"/>
  <c r="L251" i="14"/>
  <c r="L250" i="14"/>
  <c r="M249" i="14"/>
  <c r="L249" i="14"/>
  <c r="L248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L72" i="14"/>
  <c r="M71" i="14"/>
  <c r="L71" i="14"/>
  <c r="M70" i="14"/>
  <c r="L70" i="14"/>
  <c r="M69" i="14"/>
  <c r="L69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L60" i="14"/>
  <c r="M59" i="14"/>
  <c r="L59" i="14"/>
  <c r="M58" i="14"/>
  <c r="L58" i="14"/>
  <c r="M57" i="14"/>
  <c r="L57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L44" i="14"/>
  <c r="M43" i="14"/>
  <c r="L43" i="14"/>
  <c r="M42" i="14"/>
  <c r="L42" i="14"/>
  <c r="M41" i="14"/>
  <c r="L41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L16" i="14"/>
  <c r="M15" i="14"/>
  <c r="L15" i="14"/>
  <c r="M14" i="14"/>
  <c r="L14" i="14"/>
  <c r="M13" i="14"/>
  <c r="L13" i="14"/>
  <c r="L12" i="14"/>
  <c r="M11" i="14"/>
  <c r="L11" i="14"/>
  <c r="M10" i="14"/>
  <c r="L10" i="14"/>
  <c r="M9" i="14"/>
  <c r="L9" i="14"/>
  <c r="AO8" i="14"/>
  <c r="L8" i="14"/>
  <c r="AO7" i="14"/>
  <c r="L7" i="14"/>
  <c r="AO6" i="14"/>
  <c r="L6" i="14"/>
  <c r="AO5" i="14"/>
  <c r="M5" i="14"/>
  <c r="L5" i="14"/>
  <c r="P4" i="14"/>
  <c r="L4" i="14"/>
  <c r="AO3" i="14"/>
  <c r="M248" i="14" s="1"/>
  <c r="M3" i="14"/>
  <c r="L3" i="14"/>
  <c r="AO2" i="14"/>
  <c r="L2" i="14"/>
  <c r="AO1" i="14"/>
  <c r="L500" i="13"/>
  <c r="L499" i="13"/>
  <c r="L498" i="13"/>
  <c r="AB497" i="13"/>
  <c r="V497" i="13"/>
  <c r="L497" i="13"/>
  <c r="L496" i="13"/>
  <c r="AL495" i="13"/>
  <c r="AJ495" i="13"/>
  <c r="T495" i="13"/>
  <c r="P495" i="13"/>
  <c r="N495" i="13"/>
  <c r="L495" i="13"/>
  <c r="X495" i="13" s="1"/>
  <c r="Z494" i="13"/>
  <c r="T494" i="13"/>
  <c r="L494" i="13"/>
  <c r="P494" i="13" s="1"/>
  <c r="L493" i="13"/>
  <c r="R492" i="13"/>
  <c r="L492" i="13"/>
  <c r="T491" i="13"/>
  <c r="L491" i="13"/>
  <c r="R490" i="13"/>
  <c r="P490" i="13"/>
  <c r="L490" i="13"/>
  <c r="T490" i="13" s="1"/>
  <c r="L489" i="13"/>
  <c r="L488" i="13"/>
  <c r="R488" i="13" s="1"/>
  <c r="T487" i="13"/>
  <c r="P487" i="13"/>
  <c r="L487" i="13"/>
  <c r="X487" i="13" s="1"/>
  <c r="Z486" i="13"/>
  <c r="P486" i="13"/>
  <c r="L486" i="13"/>
  <c r="T486" i="13" s="1"/>
  <c r="L485" i="13"/>
  <c r="X484" i="13"/>
  <c r="R484" i="13"/>
  <c r="L484" i="13"/>
  <c r="AJ483" i="13"/>
  <c r="X483" i="13"/>
  <c r="T483" i="13"/>
  <c r="L483" i="13"/>
  <c r="N483" i="13" s="1"/>
  <c r="Z482" i="13"/>
  <c r="L482" i="13"/>
  <c r="P481" i="13"/>
  <c r="L481" i="13"/>
  <c r="AL481" i="13" s="1"/>
  <c r="L480" i="13"/>
  <c r="AL479" i="13"/>
  <c r="AJ479" i="13"/>
  <c r="T479" i="13"/>
  <c r="P479" i="13"/>
  <c r="N479" i="13"/>
  <c r="L479" i="13"/>
  <c r="X479" i="13" s="1"/>
  <c r="Z478" i="13"/>
  <c r="T478" i="13"/>
  <c r="L478" i="13"/>
  <c r="P478" i="13" s="1"/>
  <c r="L477" i="13"/>
  <c r="X476" i="13"/>
  <c r="L476" i="13"/>
  <c r="X475" i="13"/>
  <c r="T475" i="13"/>
  <c r="N475" i="13"/>
  <c r="L475" i="13"/>
  <c r="AJ475" i="13" s="1"/>
  <c r="L474" i="13"/>
  <c r="AL473" i="13"/>
  <c r="P473" i="13"/>
  <c r="L473" i="13"/>
  <c r="V473" i="13" s="1"/>
  <c r="AB473" i="13" s="1"/>
  <c r="X472" i="13"/>
  <c r="L472" i="13"/>
  <c r="AL471" i="13"/>
  <c r="X471" i="13"/>
  <c r="P471" i="13"/>
  <c r="N471" i="13"/>
  <c r="L471" i="13"/>
  <c r="T471" i="13" s="1"/>
  <c r="Z470" i="13"/>
  <c r="T470" i="13"/>
  <c r="P470" i="13"/>
  <c r="L470" i="13"/>
  <c r="AJ470" i="13" s="1"/>
  <c r="L469" i="13"/>
  <c r="V469" i="13" s="1"/>
  <c r="AB469" i="13" s="1"/>
  <c r="L468" i="13"/>
  <c r="X467" i="13"/>
  <c r="T467" i="13"/>
  <c r="N467" i="13"/>
  <c r="L467" i="13"/>
  <c r="AJ467" i="13" s="1"/>
  <c r="Z466" i="13"/>
  <c r="T466" i="13"/>
  <c r="P466" i="13"/>
  <c r="L466" i="13"/>
  <c r="R466" i="13" s="1"/>
  <c r="V465" i="13"/>
  <c r="AB465" i="13" s="1"/>
  <c r="L465" i="13"/>
  <c r="L464" i="13"/>
  <c r="AL463" i="13"/>
  <c r="AJ463" i="13"/>
  <c r="T463" i="13"/>
  <c r="P463" i="13"/>
  <c r="N463" i="13"/>
  <c r="L463" i="13"/>
  <c r="X463" i="13" s="1"/>
  <c r="L462" i="13"/>
  <c r="L461" i="13"/>
  <c r="R460" i="13"/>
  <c r="L460" i="13"/>
  <c r="AJ459" i="13"/>
  <c r="X459" i="13"/>
  <c r="T459" i="13"/>
  <c r="L459" i="13"/>
  <c r="N459" i="13" s="1"/>
  <c r="AJ458" i="13"/>
  <c r="Z458" i="13"/>
  <c r="L458" i="13"/>
  <c r="L457" i="13"/>
  <c r="R456" i="13"/>
  <c r="L456" i="13"/>
  <c r="L455" i="13"/>
  <c r="AJ454" i="13"/>
  <c r="L454" i="13"/>
  <c r="AL453" i="13"/>
  <c r="L453" i="13"/>
  <c r="P453" i="13" s="1"/>
  <c r="X452" i="13"/>
  <c r="R452" i="13"/>
  <c r="L452" i="13"/>
  <c r="T451" i="13"/>
  <c r="L451" i="13"/>
  <c r="R450" i="13"/>
  <c r="P450" i="13"/>
  <c r="L450" i="13"/>
  <c r="T450" i="13" s="1"/>
  <c r="L449" i="13"/>
  <c r="X448" i="13"/>
  <c r="L448" i="13"/>
  <c r="R448" i="13" s="1"/>
  <c r="AL447" i="13"/>
  <c r="AJ447" i="13"/>
  <c r="T447" i="13"/>
  <c r="P447" i="13"/>
  <c r="N447" i="13"/>
  <c r="L447" i="13"/>
  <c r="X447" i="13" s="1"/>
  <c r="L446" i="13"/>
  <c r="AL445" i="13"/>
  <c r="V445" i="13"/>
  <c r="AB445" i="13" s="1"/>
  <c r="L445" i="13"/>
  <c r="P445" i="13" s="1"/>
  <c r="L444" i="13"/>
  <c r="X444" i="13" s="1"/>
  <c r="X443" i="13"/>
  <c r="T443" i="13"/>
  <c r="N443" i="13"/>
  <c r="L443" i="13"/>
  <c r="AJ443" i="13" s="1"/>
  <c r="T442" i="13"/>
  <c r="P442" i="13"/>
  <c r="L442" i="13"/>
  <c r="R442" i="13" s="1"/>
  <c r="L441" i="13"/>
  <c r="X440" i="13"/>
  <c r="L440" i="13"/>
  <c r="AL439" i="13"/>
  <c r="AJ439" i="13"/>
  <c r="L439" i="13"/>
  <c r="Z438" i="13"/>
  <c r="T438" i="13"/>
  <c r="P438" i="13"/>
  <c r="L438" i="13"/>
  <c r="AJ438" i="13" s="1"/>
  <c r="V437" i="13"/>
  <c r="AB437" i="13" s="1"/>
  <c r="L437" i="13"/>
  <c r="L436" i="13"/>
  <c r="X435" i="13"/>
  <c r="T435" i="13"/>
  <c r="N435" i="13"/>
  <c r="L435" i="13"/>
  <c r="AJ435" i="13" s="1"/>
  <c r="P434" i="13"/>
  <c r="L434" i="13"/>
  <c r="V433" i="13"/>
  <c r="AB433" i="13" s="1"/>
  <c r="L433" i="13"/>
  <c r="L432" i="13"/>
  <c r="AL431" i="13"/>
  <c r="AJ431" i="13"/>
  <c r="T431" i="13"/>
  <c r="P431" i="13"/>
  <c r="N431" i="13"/>
  <c r="L431" i="13"/>
  <c r="X431" i="13" s="1"/>
  <c r="Z430" i="13"/>
  <c r="T430" i="13"/>
  <c r="L430" i="13"/>
  <c r="P430" i="13" s="1"/>
  <c r="L429" i="13"/>
  <c r="R428" i="13"/>
  <c r="L428" i="13"/>
  <c r="T427" i="13"/>
  <c r="L427" i="13"/>
  <c r="R426" i="13"/>
  <c r="P426" i="13"/>
  <c r="L426" i="13"/>
  <c r="T426" i="13" s="1"/>
  <c r="L425" i="13"/>
  <c r="L424" i="13"/>
  <c r="R424" i="13" s="1"/>
  <c r="T423" i="13"/>
  <c r="P423" i="13"/>
  <c r="L423" i="13"/>
  <c r="X423" i="13" s="1"/>
  <c r="Z422" i="13"/>
  <c r="P422" i="13"/>
  <c r="L422" i="13"/>
  <c r="T422" i="13" s="1"/>
  <c r="L421" i="13"/>
  <c r="X420" i="13"/>
  <c r="R420" i="13"/>
  <c r="L420" i="13"/>
  <c r="AJ419" i="13"/>
  <c r="X419" i="13"/>
  <c r="T419" i="13"/>
  <c r="L419" i="13"/>
  <c r="N419" i="13" s="1"/>
  <c r="L418" i="13"/>
  <c r="P417" i="13"/>
  <c r="L417" i="13"/>
  <c r="AL417" i="13" s="1"/>
  <c r="L416" i="13"/>
  <c r="AL415" i="13"/>
  <c r="AJ415" i="13"/>
  <c r="T415" i="13"/>
  <c r="P415" i="13"/>
  <c r="N415" i="13"/>
  <c r="L415" i="13"/>
  <c r="X415" i="13" s="1"/>
  <c r="Z414" i="13"/>
  <c r="T414" i="13"/>
  <c r="L414" i="13"/>
  <c r="P414" i="13" s="1"/>
  <c r="L413" i="13"/>
  <c r="X412" i="13"/>
  <c r="L412" i="13"/>
  <c r="X411" i="13"/>
  <c r="T411" i="13"/>
  <c r="N411" i="13"/>
  <c r="L411" i="13"/>
  <c r="AJ411" i="13" s="1"/>
  <c r="L410" i="13"/>
  <c r="AL409" i="13"/>
  <c r="P409" i="13"/>
  <c r="L409" i="13"/>
  <c r="V409" i="13" s="1"/>
  <c r="AB409" i="13" s="1"/>
  <c r="X408" i="13"/>
  <c r="L408" i="13"/>
  <c r="AL407" i="13"/>
  <c r="X407" i="13"/>
  <c r="P407" i="13"/>
  <c r="N407" i="13"/>
  <c r="L407" i="13"/>
  <c r="T407" i="13" s="1"/>
  <c r="Z406" i="13"/>
  <c r="T406" i="13"/>
  <c r="P406" i="13"/>
  <c r="L406" i="13"/>
  <c r="AJ406" i="13" s="1"/>
  <c r="L405" i="13"/>
  <c r="V405" i="13" s="1"/>
  <c r="AB405" i="13" s="1"/>
  <c r="L404" i="13"/>
  <c r="X403" i="13"/>
  <c r="T403" i="13"/>
  <c r="N403" i="13"/>
  <c r="L403" i="13"/>
  <c r="AJ403" i="13" s="1"/>
  <c r="Z402" i="13"/>
  <c r="T402" i="13"/>
  <c r="P402" i="13"/>
  <c r="L402" i="13"/>
  <c r="R402" i="13" s="1"/>
  <c r="V401" i="13"/>
  <c r="AB401" i="13" s="1"/>
  <c r="L401" i="13"/>
  <c r="L400" i="13"/>
  <c r="AL399" i="13"/>
  <c r="AJ399" i="13"/>
  <c r="T399" i="13"/>
  <c r="P399" i="13"/>
  <c r="N399" i="13"/>
  <c r="L399" i="13"/>
  <c r="X399" i="13" s="1"/>
  <c r="L398" i="13"/>
  <c r="L397" i="13"/>
  <c r="R396" i="13"/>
  <c r="L396" i="13"/>
  <c r="AJ395" i="13"/>
  <c r="X395" i="13"/>
  <c r="T395" i="13"/>
  <c r="L395" i="13"/>
  <c r="N395" i="13" s="1"/>
  <c r="AJ394" i="13"/>
  <c r="Z394" i="13"/>
  <c r="L394" i="13"/>
  <c r="L393" i="13"/>
  <c r="R392" i="13"/>
  <c r="L392" i="13"/>
  <c r="L391" i="13"/>
  <c r="AJ390" i="13"/>
  <c r="L390" i="13"/>
  <c r="AL389" i="13"/>
  <c r="L389" i="13"/>
  <c r="P389" i="13" s="1"/>
  <c r="X388" i="13"/>
  <c r="R388" i="13"/>
  <c r="L388" i="13"/>
  <c r="T387" i="13"/>
  <c r="L387" i="13"/>
  <c r="R386" i="13"/>
  <c r="P386" i="13"/>
  <c r="L386" i="13"/>
  <c r="T386" i="13" s="1"/>
  <c r="L385" i="13"/>
  <c r="X384" i="13"/>
  <c r="L384" i="13"/>
  <c r="R384" i="13" s="1"/>
  <c r="AL383" i="13"/>
  <c r="AJ383" i="13"/>
  <c r="T383" i="13"/>
  <c r="P383" i="13"/>
  <c r="N383" i="13"/>
  <c r="L383" i="13"/>
  <c r="X383" i="13" s="1"/>
  <c r="L382" i="13"/>
  <c r="AL381" i="13"/>
  <c r="V381" i="13"/>
  <c r="AB381" i="13" s="1"/>
  <c r="L381" i="13"/>
  <c r="P381" i="13" s="1"/>
  <c r="L380" i="13"/>
  <c r="X380" i="13" s="1"/>
  <c r="N379" i="13"/>
  <c r="L379" i="13"/>
  <c r="AJ378" i="13"/>
  <c r="T378" i="13"/>
  <c r="R378" i="13"/>
  <c r="P378" i="13"/>
  <c r="L378" i="13"/>
  <c r="Z378" i="13" s="1"/>
  <c r="AL377" i="13"/>
  <c r="V377" i="13"/>
  <c r="AB377" i="13" s="1"/>
  <c r="P377" i="13"/>
  <c r="L377" i="13"/>
  <c r="L376" i="13"/>
  <c r="X376" i="13" s="1"/>
  <c r="L375" i="13"/>
  <c r="AJ374" i="13"/>
  <c r="L374" i="13"/>
  <c r="V373" i="13"/>
  <c r="AB373" i="13" s="1"/>
  <c r="L373" i="13"/>
  <c r="L372" i="13"/>
  <c r="L371" i="13"/>
  <c r="AJ370" i="13"/>
  <c r="T370" i="13"/>
  <c r="R370" i="13"/>
  <c r="P370" i="13"/>
  <c r="L370" i="13"/>
  <c r="Z370" i="13" s="1"/>
  <c r="L369" i="13"/>
  <c r="V369" i="13" s="1"/>
  <c r="AB369" i="13" s="1"/>
  <c r="L368" i="13"/>
  <c r="L367" i="13"/>
  <c r="T366" i="13"/>
  <c r="P366" i="13"/>
  <c r="L366" i="13"/>
  <c r="AJ366" i="13" s="1"/>
  <c r="L365" i="13"/>
  <c r="L364" i="13"/>
  <c r="R364" i="13" s="1"/>
  <c r="T363" i="13"/>
  <c r="N363" i="13"/>
  <c r="L363" i="13"/>
  <c r="AJ363" i="13" s="1"/>
  <c r="T362" i="13"/>
  <c r="L362" i="13"/>
  <c r="L361" i="13"/>
  <c r="R360" i="13"/>
  <c r="L360" i="13"/>
  <c r="AL359" i="13"/>
  <c r="AJ359" i="13"/>
  <c r="P359" i="13"/>
  <c r="N359" i="13"/>
  <c r="L359" i="13"/>
  <c r="X359" i="13" s="1"/>
  <c r="Z358" i="13"/>
  <c r="T358" i="13"/>
  <c r="P358" i="13"/>
  <c r="L358" i="13"/>
  <c r="AJ358" i="13" s="1"/>
  <c r="AL357" i="13"/>
  <c r="P357" i="13"/>
  <c r="L357" i="13"/>
  <c r="R356" i="13"/>
  <c r="L356" i="13"/>
  <c r="X356" i="13" s="1"/>
  <c r="T355" i="13"/>
  <c r="N355" i="13"/>
  <c r="L355" i="13"/>
  <c r="AJ355" i="13" s="1"/>
  <c r="L354" i="13"/>
  <c r="AL353" i="13"/>
  <c r="P353" i="13"/>
  <c r="L353" i="13"/>
  <c r="X352" i="13"/>
  <c r="R352" i="13"/>
  <c r="L352" i="13"/>
  <c r="AJ351" i="13"/>
  <c r="X351" i="13"/>
  <c r="N351" i="13"/>
  <c r="L351" i="13"/>
  <c r="T350" i="13"/>
  <c r="P350" i="13"/>
  <c r="L350" i="13"/>
  <c r="AJ350" i="13" s="1"/>
  <c r="V349" i="13"/>
  <c r="AB349" i="13" s="1"/>
  <c r="P349" i="13"/>
  <c r="L349" i="13"/>
  <c r="AL349" i="13" s="1"/>
  <c r="L348" i="13"/>
  <c r="X348" i="13" s="1"/>
  <c r="L347" i="13"/>
  <c r="AJ346" i="13"/>
  <c r="T346" i="13"/>
  <c r="R346" i="13"/>
  <c r="P346" i="13"/>
  <c r="L346" i="13"/>
  <c r="Z346" i="13" s="1"/>
  <c r="AL345" i="13"/>
  <c r="V345" i="13"/>
  <c r="AB345" i="13" s="1"/>
  <c r="P345" i="13"/>
  <c r="L345" i="13"/>
  <c r="L344" i="13"/>
  <c r="X344" i="13" s="1"/>
  <c r="X343" i="13"/>
  <c r="T343" i="13"/>
  <c r="L343" i="13"/>
  <c r="P342" i="13"/>
  <c r="L342" i="13"/>
  <c r="AJ342" i="13" s="1"/>
  <c r="L341" i="13"/>
  <c r="L340" i="13"/>
  <c r="T339" i="13"/>
  <c r="N339" i="13"/>
  <c r="L339" i="13"/>
  <c r="AJ339" i="13" s="1"/>
  <c r="T338" i="13"/>
  <c r="L338" i="13"/>
  <c r="Z338" i="13" s="1"/>
  <c r="V337" i="13"/>
  <c r="AB337" i="13" s="1"/>
  <c r="L337" i="13"/>
  <c r="L336" i="13"/>
  <c r="AL335" i="13"/>
  <c r="AJ335" i="13"/>
  <c r="P335" i="13"/>
  <c r="N335" i="13"/>
  <c r="L335" i="13"/>
  <c r="X335" i="13" s="1"/>
  <c r="Z334" i="13"/>
  <c r="T334" i="13"/>
  <c r="P334" i="13"/>
  <c r="L334" i="13"/>
  <c r="AJ334" i="13" s="1"/>
  <c r="L333" i="13"/>
  <c r="R332" i="13"/>
  <c r="L332" i="13"/>
  <c r="X331" i="13"/>
  <c r="T331" i="13"/>
  <c r="N331" i="13"/>
  <c r="L331" i="13"/>
  <c r="AJ331" i="13" s="1"/>
  <c r="AJ330" i="13"/>
  <c r="L330" i="13"/>
  <c r="L329" i="13"/>
  <c r="L328" i="13"/>
  <c r="R328" i="13" s="1"/>
  <c r="AL327" i="13"/>
  <c r="AJ327" i="13"/>
  <c r="T327" i="13"/>
  <c r="P327" i="13"/>
  <c r="N327" i="13"/>
  <c r="L327" i="13"/>
  <c r="X327" i="13" s="1"/>
  <c r="AJ326" i="13"/>
  <c r="L326" i="13"/>
  <c r="AL325" i="13"/>
  <c r="P325" i="13"/>
  <c r="L325" i="13"/>
  <c r="X324" i="13"/>
  <c r="R324" i="13"/>
  <c r="L324" i="13"/>
  <c r="X323" i="13"/>
  <c r="T323" i="13"/>
  <c r="N323" i="13"/>
  <c r="L323" i="13"/>
  <c r="AJ323" i="13" s="1"/>
  <c r="Z322" i="13"/>
  <c r="P322" i="13"/>
  <c r="L322" i="13"/>
  <c r="L321" i="13"/>
  <c r="X320" i="13"/>
  <c r="R320" i="13"/>
  <c r="L320" i="13"/>
  <c r="AL319" i="13"/>
  <c r="AJ319" i="13"/>
  <c r="P319" i="13"/>
  <c r="N319" i="13"/>
  <c r="L319" i="13"/>
  <c r="X319" i="13" s="1"/>
  <c r="Z318" i="13"/>
  <c r="T318" i="13"/>
  <c r="P318" i="13"/>
  <c r="L318" i="13"/>
  <c r="AJ318" i="13" s="1"/>
  <c r="AL317" i="13"/>
  <c r="V317" i="13"/>
  <c r="AB317" i="13" s="1"/>
  <c r="P317" i="13"/>
  <c r="L317" i="13"/>
  <c r="X316" i="13"/>
  <c r="L316" i="13"/>
  <c r="T315" i="13"/>
  <c r="N315" i="13"/>
  <c r="L315" i="13"/>
  <c r="AJ315" i="13" s="1"/>
  <c r="Z314" i="13"/>
  <c r="T314" i="13"/>
  <c r="L314" i="13"/>
  <c r="AL313" i="13"/>
  <c r="L313" i="13"/>
  <c r="X312" i="13"/>
  <c r="L312" i="13"/>
  <c r="AJ311" i="13"/>
  <c r="X311" i="13"/>
  <c r="N311" i="13"/>
  <c r="L311" i="13"/>
  <c r="T310" i="13"/>
  <c r="P310" i="13"/>
  <c r="L310" i="13"/>
  <c r="AJ310" i="13" s="1"/>
  <c r="L309" i="13"/>
  <c r="V309" i="13" s="1"/>
  <c r="AB309" i="13" s="1"/>
  <c r="L308" i="13"/>
  <c r="T307" i="13"/>
  <c r="N307" i="13"/>
  <c r="L307" i="13"/>
  <c r="AJ307" i="13" s="1"/>
  <c r="Z306" i="13"/>
  <c r="T306" i="13"/>
  <c r="L306" i="13"/>
  <c r="AB305" i="13"/>
  <c r="V305" i="13"/>
  <c r="L305" i="13"/>
  <c r="L304" i="13"/>
  <c r="AL303" i="13"/>
  <c r="AJ303" i="13"/>
  <c r="T303" i="13"/>
  <c r="P303" i="13"/>
  <c r="N303" i="13"/>
  <c r="L303" i="13"/>
  <c r="X303" i="13" s="1"/>
  <c r="AJ302" i="13"/>
  <c r="Z302" i="13"/>
  <c r="L302" i="13"/>
  <c r="L301" i="13"/>
  <c r="R300" i="13"/>
  <c r="L300" i="13"/>
  <c r="L299" i="13"/>
  <c r="AJ298" i="13"/>
  <c r="R298" i="13"/>
  <c r="P298" i="13"/>
  <c r="L298" i="13"/>
  <c r="Z298" i="13" s="1"/>
  <c r="L297" i="13"/>
  <c r="L296" i="13"/>
  <c r="R296" i="13" s="1"/>
  <c r="X295" i="13"/>
  <c r="T295" i="13"/>
  <c r="L295" i="13"/>
  <c r="L294" i="13"/>
  <c r="P294" i="13" s="1"/>
  <c r="L293" i="13"/>
  <c r="X292" i="13"/>
  <c r="R292" i="13"/>
  <c r="L292" i="13"/>
  <c r="X291" i="13"/>
  <c r="L291" i="13"/>
  <c r="AJ290" i="13"/>
  <c r="R290" i="13"/>
  <c r="P290" i="13"/>
  <c r="L290" i="13"/>
  <c r="Z290" i="13" s="1"/>
  <c r="P289" i="13"/>
  <c r="L289" i="13"/>
  <c r="AL289" i="13" s="1"/>
  <c r="L288" i="13"/>
  <c r="AL287" i="13"/>
  <c r="AJ287" i="13"/>
  <c r="T287" i="13"/>
  <c r="P287" i="13"/>
  <c r="N287" i="13"/>
  <c r="L287" i="13"/>
  <c r="X287" i="13" s="1"/>
  <c r="Z286" i="13"/>
  <c r="L286" i="13"/>
  <c r="AL285" i="13"/>
  <c r="L285" i="13"/>
  <c r="X284" i="13"/>
  <c r="L284" i="13"/>
  <c r="X283" i="13"/>
  <c r="T283" i="13"/>
  <c r="N283" i="13"/>
  <c r="L283" i="13"/>
  <c r="AJ283" i="13" s="1"/>
  <c r="L282" i="13"/>
  <c r="P282" i="13" s="1"/>
  <c r="P281" i="13"/>
  <c r="L281" i="13"/>
  <c r="X280" i="13"/>
  <c r="L280" i="13"/>
  <c r="AL279" i="13"/>
  <c r="AJ279" i="13"/>
  <c r="P279" i="13"/>
  <c r="N279" i="13"/>
  <c r="L279" i="13"/>
  <c r="X279" i="13" s="1"/>
  <c r="Z278" i="13"/>
  <c r="T278" i="13"/>
  <c r="P278" i="13"/>
  <c r="L278" i="13"/>
  <c r="AJ278" i="13" s="1"/>
  <c r="L277" i="13"/>
  <c r="V277" i="13" s="1"/>
  <c r="AB277" i="13" s="1"/>
  <c r="L276" i="13"/>
  <c r="X275" i="13"/>
  <c r="T275" i="13"/>
  <c r="N275" i="13"/>
  <c r="L275" i="13"/>
  <c r="AJ275" i="13" s="1"/>
  <c r="AJ274" i="13"/>
  <c r="P274" i="13"/>
  <c r="L274" i="13"/>
  <c r="V273" i="13"/>
  <c r="AB273" i="13" s="1"/>
  <c r="L273" i="13"/>
  <c r="L272" i="13"/>
  <c r="AL271" i="13"/>
  <c r="AJ271" i="13"/>
  <c r="T271" i="13"/>
  <c r="P271" i="13"/>
  <c r="N271" i="13"/>
  <c r="L271" i="13"/>
  <c r="X271" i="13" s="1"/>
  <c r="Z270" i="13"/>
  <c r="T270" i="13"/>
  <c r="L270" i="13"/>
  <c r="L269" i="13"/>
  <c r="R268" i="13"/>
  <c r="L268" i="13"/>
  <c r="L267" i="13"/>
  <c r="L266" i="13"/>
  <c r="P266" i="13" s="1"/>
  <c r="L265" i="13"/>
  <c r="R264" i="13"/>
  <c r="L264" i="13"/>
  <c r="AL263" i="13"/>
  <c r="T263" i="13"/>
  <c r="P263" i="13"/>
  <c r="L263" i="13"/>
  <c r="Z262" i="13"/>
  <c r="P262" i="13"/>
  <c r="L262" i="13"/>
  <c r="L261" i="13"/>
  <c r="X260" i="13"/>
  <c r="R260" i="13"/>
  <c r="L260" i="13"/>
  <c r="AJ259" i="13"/>
  <c r="X259" i="13"/>
  <c r="T259" i="13"/>
  <c r="L259" i="13"/>
  <c r="N259" i="13" s="1"/>
  <c r="Z258" i="13"/>
  <c r="R258" i="13"/>
  <c r="L258" i="13"/>
  <c r="AJ258" i="13" s="1"/>
  <c r="L257" i="13"/>
  <c r="AL257" i="13" s="1"/>
  <c r="L256" i="13"/>
  <c r="AL255" i="13"/>
  <c r="AJ255" i="13"/>
  <c r="T255" i="13"/>
  <c r="P255" i="13"/>
  <c r="N255" i="13"/>
  <c r="L255" i="13"/>
  <c r="X255" i="13" s="1"/>
  <c r="Z254" i="13"/>
  <c r="T254" i="13"/>
  <c r="L254" i="13"/>
  <c r="L253" i="13"/>
  <c r="V253" i="13" s="1"/>
  <c r="AB253" i="13" s="1"/>
  <c r="X252" i="13"/>
  <c r="L252" i="13"/>
  <c r="X251" i="13"/>
  <c r="T251" i="13"/>
  <c r="N251" i="13"/>
  <c r="L251" i="13"/>
  <c r="AJ251" i="13" s="1"/>
  <c r="AJ250" i="13"/>
  <c r="Z250" i="13"/>
  <c r="T250" i="13"/>
  <c r="L250" i="13"/>
  <c r="AL249" i="13"/>
  <c r="P249" i="13"/>
  <c r="L249" i="13"/>
  <c r="V249" i="13" s="1"/>
  <c r="AB249" i="13" s="1"/>
  <c r="X248" i="13"/>
  <c r="L248" i="13"/>
  <c r="AL247" i="13"/>
  <c r="X247" i="13"/>
  <c r="P247" i="13"/>
  <c r="N247" i="13"/>
  <c r="L247" i="13"/>
  <c r="T247" i="13" s="1"/>
  <c r="Z246" i="13"/>
  <c r="T246" i="13"/>
  <c r="P246" i="13"/>
  <c r="L246" i="13"/>
  <c r="AJ246" i="13" s="1"/>
  <c r="L245" i="13"/>
  <c r="V245" i="13" s="1"/>
  <c r="AB245" i="13" s="1"/>
  <c r="L244" i="13"/>
  <c r="AJ243" i="13"/>
  <c r="X243" i="13"/>
  <c r="T243" i="13"/>
  <c r="L243" i="13"/>
  <c r="N243" i="13" s="1"/>
  <c r="L242" i="13"/>
  <c r="L241" i="13"/>
  <c r="V241" i="13" s="1"/>
  <c r="AB241" i="13" s="1"/>
  <c r="L240" i="13"/>
  <c r="P239" i="13"/>
  <c r="L239" i="13"/>
  <c r="P238" i="13"/>
  <c r="L238" i="13"/>
  <c r="L237" i="13"/>
  <c r="L236" i="13"/>
  <c r="L235" i="13"/>
  <c r="P234" i="13"/>
  <c r="L234" i="13"/>
  <c r="L233" i="13"/>
  <c r="P233" i="13" s="1"/>
  <c r="L232" i="13"/>
  <c r="P231" i="13"/>
  <c r="L231" i="13"/>
  <c r="P230" i="13"/>
  <c r="L230" i="13"/>
  <c r="P229" i="13"/>
  <c r="L229" i="13"/>
  <c r="L228" i="13"/>
  <c r="L227" i="13"/>
  <c r="P226" i="13"/>
  <c r="L226" i="13"/>
  <c r="P225" i="13"/>
  <c r="L225" i="13"/>
  <c r="L224" i="13"/>
  <c r="L223" i="13"/>
  <c r="P223" i="13" s="1"/>
  <c r="P222" i="13"/>
  <c r="L222" i="13"/>
  <c r="L221" i="13"/>
  <c r="P221" i="13" s="1"/>
  <c r="L220" i="13"/>
  <c r="L219" i="13"/>
  <c r="L218" i="13"/>
  <c r="P218" i="13" s="1"/>
  <c r="L217" i="13"/>
  <c r="L216" i="13"/>
  <c r="L215" i="13"/>
  <c r="P215" i="13" s="1"/>
  <c r="P214" i="13"/>
  <c r="L214" i="13"/>
  <c r="L213" i="13"/>
  <c r="L212" i="13"/>
  <c r="L211" i="13"/>
  <c r="P210" i="13"/>
  <c r="L210" i="13"/>
  <c r="L209" i="13"/>
  <c r="L208" i="13"/>
  <c r="P207" i="13"/>
  <c r="L207" i="13"/>
  <c r="P206" i="13"/>
  <c r="L206" i="13"/>
  <c r="L205" i="13"/>
  <c r="L204" i="13"/>
  <c r="L203" i="13"/>
  <c r="P202" i="13"/>
  <c r="M202" i="13"/>
  <c r="L202" i="13"/>
  <c r="M201" i="13"/>
  <c r="N201" i="13" s="1"/>
  <c r="L201" i="13"/>
  <c r="P200" i="13"/>
  <c r="L200" i="13"/>
  <c r="P199" i="13"/>
  <c r="L199" i="13"/>
  <c r="P198" i="13"/>
  <c r="L198" i="13"/>
  <c r="M198" i="13" s="1"/>
  <c r="M197" i="13"/>
  <c r="N197" i="13" s="1"/>
  <c r="L197" i="13"/>
  <c r="L196" i="13"/>
  <c r="P196" i="13" s="1"/>
  <c r="L195" i="13"/>
  <c r="P195" i="13" s="1"/>
  <c r="L194" i="13"/>
  <c r="P194" i="13" s="1"/>
  <c r="M193" i="13"/>
  <c r="N193" i="13" s="1"/>
  <c r="L193" i="13"/>
  <c r="L192" i="13"/>
  <c r="P192" i="13" s="1"/>
  <c r="P191" i="13"/>
  <c r="L191" i="13"/>
  <c r="L190" i="13"/>
  <c r="P190" i="13" s="1"/>
  <c r="L189" i="13"/>
  <c r="L188" i="13"/>
  <c r="P188" i="13" s="1"/>
  <c r="L187" i="13"/>
  <c r="P187" i="13" s="1"/>
  <c r="L186" i="13"/>
  <c r="P186" i="13" s="1"/>
  <c r="L185" i="13"/>
  <c r="P184" i="13"/>
  <c r="L184" i="13"/>
  <c r="P183" i="13"/>
  <c r="L183" i="13"/>
  <c r="P182" i="13"/>
  <c r="L182" i="13"/>
  <c r="M181" i="13"/>
  <c r="N181" i="13" s="1"/>
  <c r="L181" i="13"/>
  <c r="M180" i="13"/>
  <c r="N180" i="13" s="1"/>
  <c r="L180" i="13"/>
  <c r="P180" i="13" s="1"/>
  <c r="P179" i="13"/>
  <c r="L179" i="13"/>
  <c r="P178" i="13"/>
  <c r="M178" i="13"/>
  <c r="L178" i="13"/>
  <c r="L177" i="13"/>
  <c r="M177" i="13" s="1"/>
  <c r="N177" i="13" s="1"/>
  <c r="P176" i="13"/>
  <c r="M176" i="13"/>
  <c r="N176" i="13" s="1"/>
  <c r="L176" i="13"/>
  <c r="L175" i="13"/>
  <c r="P175" i="13" s="1"/>
  <c r="P174" i="13"/>
  <c r="L174" i="13"/>
  <c r="M174" i="13" s="1"/>
  <c r="L173" i="13"/>
  <c r="M173" i="13" s="1"/>
  <c r="N173" i="13" s="1"/>
  <c r="L172" i="13"/>
  <c r="P172" i="13" s="1"/>
  <c r="L171" i="13"/>
  <c r="P171" i="13" s="1"/>
  <c r="P170" i="13"/>
  <c r="M170" i="13"/>
  <c r="L170" i="13"/>
  <c r="M169" i="13"/>
  <c r="N169" i="13" s="1"/>
  <c r="L169" i="13"/>
  <c r="AC168" i="13"/>
  <c r="AE168" i="13" s="1"/>
  <c r="L168" i="13"/>
  <c r="P167" i="13"/>
  <c r="L167" i="13"/>
  <c r="P166" i="13"/>
  <c r="M166" i="13"/>
  <c r="L166" i="13"/>
  <c r="L165" i="13"/>
  <c r="AC165" i="13" s="1"/>
  <c r="AE165" i="13" s="1"/>
  <c r="P164" i="13"/>
  <c r="L164" i="13"/>
  <c r="L163" i="13"/>
  <c r="P163" i="13" s="1"/>
  <c r="AC162" i="13"/>
  <c r="AE162" i="13" s="1"/>
  <c r="L162" i="13"/>
  <c r="M161" i="13"/>
  <c r="N161" i="13" s="1"/>
  <c r="L161" i="13"/>
  <c r="P160" i="13"/>
  <c r="M160" i="13"/>
  <c r="N160" i="13" s="1"/>
  <c r="AH160" i="13" s="1"/>
  <c r="L160" i="13"/>
  <c r="P159" i="13"/>
  <c r="L159" i="13"/>
  <c r="L158" i="13"/>
  <c r="P158" i="13" s="1"/>
  <c r="L157" i="13"/>
  <c r="L156" i="13"/>
  <c r="AC156" i="13" s="1"/>
  <c r="AE156" i="13" s="1"/>
  <c r="P155" i="13"/>
  <c r="L155" i="13"/>
  <c r="P154" i="13"/>
  <c r="L154" i="13"/>
  <c r="AC154" i="13" s="1"/>
  <c r="AE154" i="13" s="1"/>
  <c r="L153" i="13"/>
  <c r="P152" i="13"/>
  <c r="L152" i="13"/>
  <c r="L151" i="13"/>
  <c r="P151" i="13" s="1"/>
  <c r="AC150" i="13"/>
  <c r="AE150" i="13" s="1"/>
  <c r="L150" i="13"/>
  <c r="P150" i="13" s="1"/>
  <c r="L149" i="13"/>
  <c r="AC149" i="13" s="1"/>
  <c r="AE149" i="13" s="1"/>
  <c r="P148" i="13"/>
  <c r="L148" i="13"/>
  <c r="P147" i="13"/>
  <c r="L147" i="13"/>
  <c r="AC146" i="13"/>
  <c r="AE146" i="13" s="1"/>
  <c r="P146" i="13"/>
  <c r="M146" i="13"/>
  <c r="L146" i="13"/>
  <c r="AC145" i="13"/>
  <c r="AE145" i="13" s="1"/>
  <c r="L145" i="13"/>
  <c r="L144" i="13"/>
  <c r="P144" i="13" s="1"/>
  <c r="P143" i="13"/>
  <c r="L143" i="13"/>
  <c r="L142" i="13"/>
  <c r="AC141" i="13"/>
  <c r="AE141" i="13" s="1"/>
  <c r="L141" i="13"/>
  <c r="L140" i="13"/>
  <c r="AC140" i="13" s="1"/>
  <c r="AE140" i="13" s="1"/>
  <c r="L139" i="13"/>
  <c r="P139" i="13" s="1"/>
  <c r="L138" i="13"/>
  <c r="M138" i="13" s="1"/>
  <c r="M137" i="13"/>
  <c r="N137" i="13" s="1"/>
  <c r="L137" i="13"/>
  <c r="AC136" i="13"/>
  <c r="AE136" i="13" s="1"/>
  <c r="P136" i="13"/>
  <c r="M136" i="13"/>
  <c r="N136" i="13" s="1"/>
  <c r="L136" i="13"/>
  <c r="P135" i="13"/>
  <c r="L135" i="13"/>
  <c r="L134" i="13"/>
  <c r="P134" i="13" s="1"/>
  <c r="AC133" i="13"/>
  <c r="AE133" i="13" s="1"/>
  <c r="M133" i="13"/>
  <c r="N133" i="13" s="1"/>
  <c r="L133" i="13"/>
  <c r="P132" i="13"/>
  <c r="M132" i="13"/>
  <c r="N132" i="13" s="1"/>
  <c r="L132" i="13"/>
  <c r="L131" i="13"/>
  <c r="P131" i="13" s="1"/>
  <c r="M130" i="13"/>
  <c r="L130" i="13"/>
  <c r="P130" i="13" s="1"/>
  <c r="AC129" i="13"/>
  <c r="AE129" i="13" s="1"/>
  <c r="M129" i="13"/>
  <c r="L129" i="13"/>
  <c r="M128" i="13"/>
  <c r="L128" i="13"/>
  <c r="AC128" i="13" s="1"/>
  <c r="AE128" i="13" s="1"/>
  <c r="N127" i="13"/>
  <c r="L127" i="13"/>
  <c r="M127" i="13" s="1"/>
  <c r="AC126" i="13"/>
  <c r="AE126" i="13" s="1"/>
  <c r="L126" i="13"/>
  <c r="L125" i="13"/>
  <c r="L124" i="13"/>
  <c r="AC124" i="13" s="1"/>
  <c r="AE124" i="13" s="1"/>
  <c r="L123" i="13"/>
  <c r="L122" i="13"/>
  <c r="AC122" i="13" s="1"/>
  <c r="AE122" i="13" s="1"/>
  <c r="L121" i="13"/>
  <c r="M120" i="13"/>
  <c r="N120" i="13" s="1"/>
  <c r="L120" i="13"/>
  <c r="L119" i="13"/>
  <c r="M118" i="13"/>
  <c r="L118" i="13"/>
  <c r="L117" i="13"/>
  <c r="M117" i="13" s="1"/>
  <c r="L116" i="13"/>
  <c r="M116" i="13" s="1"/>
  <c r="N115" i="13"/>
  <c r="M115" i="13"/>
  <c r="L115" i="13"/>
  <c r="M114" i="13"/>
  <c r="L114" i="13"/>
  <c r="AC114" i="13" s="1"/>
  <c r="AE114" i="13" s="1"/>
  <c r="L113" i="13"/>
  <c r="AC112" i="13"/>
  <c r="AE112" i="13" s="1"/>
  <c r="M112" i="13"/>
  <c r="L112" i="13"/>
  <c r="L111" i="13"/>
  <c r="M111" i="13" s="1"/>
  <c r="M110" i="13"/>
  <c r="L110" i="13"/>
  <c r="N109" i="13"/>
  <c r="M109" i="13"/>
  <c r="L109" i="13"/>
  <c r="M108" i="13"/>
  <c r="L108" i="13"/>
  <c r="N108" i="13" s="1"/>
  <c r="L107" i="13"/>
  <c r="AC106" i="13"/>
  <c r="AE106" i="13" s="1"/>
  <c r="L106" i="13"/>
  <c r="M106" i="13" s="1"/>
  <c r="M105" i="13"/>
  <c r="N105" i="13" s="1"/>
  <c r="L105" i="13"/>
  <c r="M104" i="13"/>
  <c r="N104" i="13" s="1"/>
  <c r="L104" i="13"/>
  <c r="L103" i="13"/>
  <c r="M103" i="13" s="1"/>
  <c r="N103" i="13" s="1"/>
  <c r="M102" i="13"/>
  <c r="L102" i="13"/>
  <c r="L101" i="13"/>
  <c r="M101" i="13" s="1"/>
  <c r="AC100" i="13"/>
  <c r="AE100" i="13" s="1"/>
  <c r="N100" i="13"/>
  <c r="L100" i="13"/>
  <c r="M100" i="13" s="1"/>
  <c r="M99" i="13"/>
  <c r="N99" i="13" s="1"/>
  <c r="L99" i="13"/>
  <c r="L98" i="13"/>
  <c r="AC98" i="13" s="1"/>
  <c r="AE98" i="13" s="1"/>
  <c r="M97" i="13"/>
  <c r="L97" i="13"/>
  <c r="M96" i="13"/>
  <c r="L96" i="13"/>
  <c r="AC96" i="13" s="1"/>
  <c r="AE96" i="13" s="1"/>
  <c r="L95" i="13"/>
  <c r="M95" i="13" s="1"/>
  <c r="AC94" i="13"/>
  <c r="AE94" i="13" s="1"/>
  <c r="M94" i="13"/>
  <c r="L94" i="13"/>
  <c r="M93" i="13"/>
  <c r="L93" i="13"/>
  <c r="N93" i="13" s="1"/>
  <c r="L92" i="13"/>
  <c r="AC92" i="13" s="1"/>
  <c r="AE92" i="13" s="1"/>
  <c r="M91" i="13"/>
  <c r="L91" i="13"/>
  <c r="L90" i="13"/>
  <c r="AC90" i="13" s="1"/>
  <c r="AE90" i="13" s="1"/>
  <c r="L89" i="13"/>
  <c r="M88" i="13"/>
  <c r="L88" i="13"/>
  <c r="AC88" i="13" s="1"/>
  <c r="AE88" i="13" s="1"/>
  <c r="L87" i="13"/>
  <c r="L86" i="13"/>
  <c r="M86" i="13" s="1"/>
  <c r="N85" i="13"/>
  <c r="M85" i="13"/>
  <c r="L85" i="13"/>
  <c r="L84" i="13"/>
  <c r="AC84" i="13" s="1"/>
  <c r="AE84" i="13" s="1"/>
  <c r="L83" i="13"/>
  <c r="L82" i="13"/>
  <c r="AC82" i="13" s="1"/>
  <c r="AE82" i="13" s="1"/>
  <c r="L81" i="13"/>
  <c r="L80" i="13"/>
  <c r="L79" i="13"/>
  <c r="AC78" i="13"/>
  <c r="AE78" i="13" s="1"/>
  <c r="L78" i="13"/>
  <c r="M78" i="13" s="1"/>
  <c r="N78" i="13" s="1"/>
  <c r="L77" i="13"/>
  <c r="L76" i="13"/>
  <c r="M75" i="13"/>
  <c r="L75" i="13"/>
  <c r="N75" i="13" s="1"/>
  <c r="L74" i="13"/>
  <c r="AC74" i="13" s="1"/>
  <c r="AE74" i="13" s="1"/>
  <c r="N73" i="13"/>
  <c r="M73" i="13"/>
  <c r="L73" i="13"/>
  <c r="L72" i="13"/>
  <c r="AC72" i="13" s="1"/>
  <c r="AE72" i="13" s="1"/>
  <c r="L71" i="13"/>
  <c r="M71" i="13" s="1"/>
  <c r="N71" i="13" s="1"/>
  <c r="AC70" i="13"/>
  <c r="AE70" i="13" s="1"/>
  <c r="L70" i="13"/>
  <c r="L69" i="13"/>
  <c r="L68" i="13"/>
  <c r="AC68" i="13" s="1"/>
  <c r="AE68" i="13" s="1"/>
  <c r="L67" i="13"/>
  <c r="L66" i="13"/>
  <c r="AC66" i="13" s="1"/>
  <c r="AE66" i="13" s="1"/>
  <c r="L65" i="13"/>
  <c r="L64" i="13"/>
  <c r="L63" i="13"/>
  <c r="AC62" i="13"/>
  <c r="AE62" i="13" s="1"/>
  <c r="M62" i="13"/>
  <c r="L62" i="13"/>
  <c r="M61" i="13"/>
  <c r="L61" i="13"/>
  <c r="N61" i="13" s="1"/>
  <c r="L60" i="13"/>
  <c r="AC60" i="13" s="1"/>
  <c r="AE60" i="13" s="1"/>
  <c r="N59" i="13"/>
  <c r="M59" i="13"/>
  <c r="L59" i="13"/>
  <c r="M58" i="13"/>
  <c r="L58" i="13"/>
  <c r="AC58" i="13" s="1"/>
  <c r="AE58" i="13" s="1"/>
  <c r="L57" i="13"/>
  <c r="L56" i="13"/>
  <c r="AC56" i="13" s="1"/>
  <c r="AE56" i="13" s="1"/>
  <c r="L55" i="13"/>
  <c r="M54" i="13"/>
  <c r="L54" i="13"/>
  <c r="AC54" i="13" s="1"/>
  <c r="AE54" i="13" s="1"/>
  <c r="L53" i="13"/>
  <c r="L52" i="13"/>
  <c r="AC52" i="13" s="1"/>
  <c r="AE52" i="13" s="1"/>
  <c r="L51" i="13"/>
  <c r="L50" i="13"/>
  <c r="AC50" i="13" s="1"/>
  <c r="AE50" i="13" s="1"/>
  <c r="N49" i="13"/>
  <c r="M49" i="13"/>
  <c r="L49" i="13"/>
  <c r="N48" i="13"/>
  <c r="M48" i="13"/>
  <c r="L48" i="13"/>
  <c r="M47" i="13"/>
  <c r="L47" i="13"/>
  <c r="N47" i="13" s="1"/>
  <c r="L46" i="13"/>
  <c r="AC46" i="13" s="1"/>
  <c r="AE46" i="13" s="1"/>
  <c r="L45" i="13"/>
  <c r="M45" i="13" s="1"/>
  <c r="N45" i="13" s="1"/>
  <c r="AC44" i="13"/>
  <c r="AE44" i="13" s="1"/>
  <c r="L44" i="13"/>
  <c r="L43" i="13"/>
  <c r="AC42" i="13"/>
  <c r="AE42" i="13" s="1"/>
  <c r="L42" i="13"/>
  <c r="L41" i="13"/>
  <c r="AC40" i="13"/>
  <c r="AE40" i="13" s="1"/>
  <c r="L40" i="13"/>
  <c r="L39" i="13"/>
  <c r="L38" i="13"/>
  <c r="AC38" i="13" s="1"/>
  <c r="AE38" i="13" s="1"/>
  <c r="AC37" i="13"/>
  <c r="AE37" i="13" s="1"/>
  <c r="L37" i="13"/>
  <c r="L36" i="13"/>
  <c r="AC35" i="13"/>
  <c r="AE35" i="13" s="1"/>
  <c r="M35" i="13"/>
  <c r="L35" i="13"/>
  <c r="M34" i="13"/>
  <c r="L34" i="13"/>
  <c r="N34" i="13" s="1"/>
  <c r="M33" i="13"/>
  <c r="L33" i="13"/>
  <c r="AC33" i="13" s="1"/>
  <c r="AE33" i="13" s="1"/>
  <c r="L32" i="13"/>
  <c r="AC31" i="13"/>
  <c r="AE31" i="13" s="1"/>
  <c r="L31" i="13"/>
  <c r="M31" i="13" s="1"/>
  <c r="N30" i="13"/>
  <c r="M30" i="13"/>
  <c r="L30" i="13"/>
  <c r="N29" i="13"/>
  <c r="M29" i="13"/>
  <c r="L29" i="13"/>
  <c r="M28" i="13"/>
  <c r="L28" i="13"/>
  <c r="N28" i="13" s="1"/>
  <c r="L27" i="13"/>
  <c r="AC27" i="13" s="1"/>
  <c r="AE27" i="13" s="1"/>
  <c r="L26" i="13"/>
  <c r="AC25" i="13"/>
  <c r="AE25" i="13" s="1"/>
  <c r="L25" i="13"/>
  <c r="M24" i="13"/>
  <c r="L24" i="13"/>
  <c r="N24" i="13" s="1"/>
  <c r="L23" i="13"/>
  <c r="AC23" i="13" s="1"/>
  <c r="AE23" i="13" s="1"/>
  <c r="N22" i="13"/>
  <c r="M22" i="13"/>
  <c r="L22" i="13"/>
  <c r="L21" i="13"/>
  <c r="AC21" i="13" s="1"/>
  <c r="AE21" i="13" s="1"/>
  <c r="L20" i="13"/>
  <c r="M19" i="13"/>
  <c r="L19" i="13"/>
  <c r="AC19" i="13" s="1"/>
  <c r="AE19" i="13" s="1"/>
  <c r="L18" i="13"/>
  <c r="L17" i="13"/>
  <c r="AC17" i="13" s="1"/>
  <c r="AE17" i="13" s="1"/>
  <c r="L16" i="13"/>
  <c r="M16" i="13" s="1"/>
  <c r="N16" i="13" s="1"/>
  <c r="AC15" i="13"/>
  <c r="AE15" i="13" s="1"/>
  <c r="L15" i="13"/>
  <c r="L14" i="13"/>
  <c r="AC13" i="13"/>
  <c r="AE13" i="13" s="1"/>
  <c r="L13" i="13"/>
  <c r="L12" i="13"/>
  <c r="AC12" i="13" s="1"/>
  <c r="AE12" i="13" s="1"/>
  <c r="L11" i="13"/>
  <c r="AC11" i="13" s="1"/>
  <c r="AE11" i="13" s="1"/>
  <c r="AC10" i="13"/>
  <c r="AE10" i="13" s="1"/>
  <c r="L10" i="13"/>
  <c r="L9" i="13"/>
  <c r="AC9" i="13" s="1"/>
  <c r="AE9" i="13" s="1"/>
  <c r="AO8" i="13"/>
  <c r="L8" i="13"/>
  <c r="P8" i="13" s="1"/>
  <c r="AO7" i="13"/>
  <c r="AC7" i="13"/>
  <c r="AE7" i="13" s="1"/>
  <c r="L7" i="13"/>
  <c r="P7" i="13" s="1"/>
  <c r="AO6" i="13"/>
  <c r="AC6" i="13"/>
  <c r="AE6" i="13" s="1"/>
  <c r="L6" i="13"/>
  <c r="AO5" i="13"/>
  <c r="AE5" i="13"/>
  <c r="AC5" i="13"/>
  <c r="L5" i="13"/>
  <c r="L4" i="13"/>
  <c r="AO3" i="13"/>
  <c r="M10" i="13" s="1"/>
  <c r="P3" i="13"/>
  <c r="L3" i="13"/>
  <c r="AO2" i="13"/>
  <c r="AC2" i="13"/>
  <c r="AE2" i="13" s="1"/>
  <c r="P2" i="13"/>
  <c r="L2" i="13"/>
  <c r="M2" i="13" s="1"/>
  <c r="N2" i="13" s="1"/>
  <c r="AO1" i="13"/>
  <c r="L499" i="12"/>
  <c r="L498" i="12"/>
  <c r="T497" i="12"/>
  <c r="N497" i="12"/>
  <c r="L497" i="12"/>
  <c r="X497" i="12" s="1"/>
  <c r="L496" i="12"/>
  <c r="L495" i="12"/>
  <c r="L494" i="12"/>
  <c r="X493" i="12"/>
  <c r="P493" i="12"/>
  <c r="N493" i="12"/>
  <c r="L493" i="12"/>
  <c r="AI493" i="12" s="1"/>
  <c r="L492" i="12"/>
  <c r="L491" i="12"/>
  <c r="L490" i="12"/>
  <c r="Z489" i="12"/>
  <c r="AA489" i="12" s="1"/>
  <c r="AG489" i="12" s="1"/>
  <c r="L489" i="12"/>
  <c r="K489" i="12"/>
  <c r="L488" i="12"/>
  <c r="L487" i="12"/>
  <c r="L486" i="12"/>
  <c r="AL485" i="12"/>
  <c r="AI485" i="12"/>
  <c r="L485" i="12"/>
  <c r="K485" i="12"/>
  <c r="L484" i="12"/>
  <c r="L483" i="12"/>
  <c r="L482" i="12"/>
  <c r="AL481" i="12"/>
  <c r="N481" i="12"/>
  <c r="L481" i="12"/>
  <c r="L480" i="12"/>
  <c r="L479" i="12"/>
  <c r="L478" i="12"/>
  <c r="P477" i="12"/>
  <c r="N477" i="12"/>
  <c r="L477" i="12"/>
  <c r="AI477" i="12" s="1"/>
  <c r="L476" i="12"/>
  <c r="L475" i="12"/>
  <c r="L474" i="12"/>
  <c r="S473" i="12"/>
  <c r="P473" i="12"/>
  <c r="L473" i="12"/>
  <c r="AI473" i="12" s="1"/>
  <c r="L472" i="12"/>
  <c r="L471" i="12"/>
  <c r="L470" i="12"/>
  <c r="S469" i="12"/>
  <c r="L469" i="12"/>
  <c r="L468" i="12"/>
  <c r="L467" i="12"/>
  <c r="L466" i="12"/>
  <c r="L465" i="12"/>
  <c r="L464" i="12"/>
  <c r="L463" i="12"/>
  <c r="L462" i="12"/>
  <c r="L461" i="12"/>
  <c r="X461" i="12" s="1"/>
  <c r="L460" i="12"/>
  <c r="L459" i="12"/>
  <c r="L458" i="12"/>
  <c r="AI457" i="12"/>
  <c r="L457" i="12"/>
  <c r="K457" i="12"/>
  <c r="L456" i="12"/>
  <c r="L455" i="12"/>
  <c r="L454" i="12"/>
  <c r="AL453" i="12"/>
  <c r="AI453" i="12"/>
  <c r="L453" i="12"/>
  <c r="K453" i="12"/>
  <c r="L452" i="12"/>
  <c r="L451" i="12"/>
  <c r="L450" i="12"/>
  <c r="AL449" i="12"/>
  <c r="N449" i="12"/>
  <c r="L449" i="12"/>
  <c r="L448" i="12"/>
  <c r="L447" i="12"/>
  <c r="L446" i="12"/>
  <c r="P445" i="12"/>
  <c r="N445" i="12"/>
  <c r="L445" i="12"/>
  <c r="AI445" i="12" s="1"/>
  <c r="L444" i="12"/>
  <c r="L443" i="12"/>
  <c r="L442" i="12"/>
  <c r="S441" i="12"/>
  <c r="P441" i="12"/>
  <c r="L441" i="12"/>
  <c r="AI441" i="12" s="1"/>
  <c r="L440" i="12"/>
  <c r="L439" i="12"/>
  <c r="L438" i="12"/>
  <c r="S437" i="12"/>
  <c r="L437" i="12"/>
  <c r="L436" i="12"/>
  <c r="L435" i="12"/>
  <c r="L434" i="12"/>
  <c r="L433" i="12"/>
  <c r="L432" i="12"/>
  <c r="L431" i="12"/>
  <c r="L430" i="12"/>
  <c r="L429" i="12"/>
  <c r="X429" i="12" s="1"/>
  <c r="L428" i="12"/>
  <c r="L427" i="12"/>
  <c r="L426" i="12"/>
  <c r="AI425" i="12"/>
  <c r="L425" i="12"/>
  <c r="K425" i="12"/>
  <c r="L424" i="12"/>
  <c r="L423" i="12"/>
  <c r="L422" i="12"/>
  <c r="AL421" i="12"/>
  <c r="AI421" i="12"/>
  <c r="L421" i="12"/>
  <c r="K421" i="12"/>
  <c r="L420" i="12"/>
  <c r="L419" i="12"/>
  <c r="L418" i="12"/>
  <c r="AL417" i="12"/>
  <c r="N417" i="12"/>
  <c r="L417" i="12"/>
  <c r="L416" i="12"/>
  <c r="L415" i="12"/>
  <c r="L414" i="12"/>
  <c r="P413" i="12"/>
  <c r="N413" i="12"/>
  <c r="L413" i="12"/>
  <c r="AI413" i="12" s="1"/>
  <c r="L412" i="12"/>
  <c r="L411" i="12"/>
  <c r="L410" i="12"/>
  <c r="S409" i="12"/>
  <c r="P409" i="12"/>
  <c r="L409" i="12"/>
  <c r="AI409" i="12" s="1"/>
  <c r="L408" i="12"/>
  <c r="L407" i="12"/>
  <c r="L406" i="12"/>
  <c r="S405" i="12"/>
  <c r="L405" i="12"/>
  <c r="L404" i="12"/>
  <c r="L403" i="12"/>
  <c r="L402" i="12"/>
  <c r="X401" i="12"/>
  <c r="L401" i="12"/>
  <c r="L400" i="12"/>
  <c r="L399" i="12"/>
  <c r="L398" i="12"/>
  <c r="L397" i="12"/>
  <c r="X397" i="12" s="1"/>
  <c r="L396" i="12"/>
  <c r="L395" i="12"/>
  <c r="L394" i="12"/>
  <c r="AI393" i="12"/>
  <c r="Z393" i="12"/>
  <c r="AA393" i="12" s="1"/>
  <c r="AG393" i="12" s="1"/>
  <c r="L393" i="12"/>
  <c r="K393" i="12"/>
  <c r="L392" i="12"/>
  <c r="L391" i="12"/>
  <c r="L390" i="12"/>
  <c r="AL389" i="12"/>
  <c r="V389" i="12"/>
  <c r="P389" i="12"/>
  <c r="L389" i="12"/>
  <c r="AI389" i="12" s="1"/>
  <c r="K389" i="12"/>
  <c r="L388" i="12"/>
  <c r="L387" i="12"/>
  <c r="L386" i="12"/>
  <c r="AL385" i="12"/>
  <c r="AJ385" i="12"/>
  <c r="P385" i="12"/>
  <c r="O385" i="12"/>
  <c r="L385" i="12"/>
  <c r="AI385" i="12" s="1"/>
  <c r="L384" i="12"/>
  <c r="L383" i="12"/>
  <c r="L382" i="12"/>
  <c r="AJ381" i="12"/>
  <c r="X381" i="12"/>
  <c r="O381" i="12"/>
  <c r="L381" i="12"/>
  <c r="L380" i="12"/>
  <c r="L379" i="12"/>
  <c r="L378" i="12"/>
  <c r="L377" i="12"/>
  <c r="V377" i="12" s="1"/>
  <c r="L376" i="12"/>
  <c r="L375" i="12"/>
  <c r="L374" i="12"/>
  <c r="AL373" i="12"/>
  <c r="V373" i="12"/>
  <c r="P373" i="12"/>
  <c r="L373" i="12"/>
  <c r="AI373" i="12" s="1"/>
  <c r="K373" i="12"/>
  <c r="L372" i="12"/>
  <c r="L371" i="12"/>
  <c r="L370" i="12"/>
  <c r="AL369" i="12"/>
  <c r="AJ369" i="12"/>
  <c r="P369" i="12"/>
  <c r="O369" i="12"/>
  <c r="L369" i="12"/>
  <c r="AI369" i="12" s="1"/>
  <c r="L368" i="12"/>
  <c r="L367" i="12"/>
  <c r="L366" i="12"/>
  <c r="L365" i="12"/>
  <c r="O365" i="12" s="1"/>
  <c r="L364" i="12"/>
  <c r="L363" i="12"/>
  <c r="L362" i="12"/>
  <c r="X361" i="12"/>
  <c r="V361" i="12"/>
  <c r="L361" i="12"/>
  <c r="K361" i="12"/>
  <c r="L360" i="12"/>
  <c r="L359" i="12"/>
  <c r="L358" i="12"/>
  <c r="AL357" i="12"/>
  <c r="V357" i="12"/>
  <c r="P357" i="12"/>
  <c r="L357" i="12"/>
  <c r="AI357" i="12" s="1"/>
  <c r="K357" i="12"/>
  <c r="L356" i="12"/>
  <c r="L355" i="12"/>
  <c r="L354" i="12"/>
  <c r="AJ353" i="12"/>
  <c r="X353" i="12"/>
  <c r="L353" i="12"/>
  <c r="O353" i="12" s="1"/>
  <c r="L352" i="12"/>
  <c r="L351" i="12"/>
  <c r="L350" i="12"/>
  <c r="L349" i="12"/>
  <c r="L348" i="12"/>
  <c r="L347" i="12"/>
  <c r="L346" i="12"/>
  <c r="N345" i="12"/>
  <c r="L345" i="12"/>
  <c r="L344" i="12"/>
  <c r="L343" i="12"/>
  <c r="L342" i="12"/>
  <c r="L341" i="12"/>
  <c r="L340" i="12"/>
  <c r="L339" i="12"/>
  <c r="L338" i="12"/>
  <c r="AI337" i="12"/>
  <c r="T337" i="12"/>
  <c r="L337" i="12"/>
  <c r="L336" i="12"/>
  <c r="L335" i="12"/>
  <c r="L334" i="12"/>
  <c r="L333" i="12"/>
  <c r="L332" i="12"/>
  <c r="L331" i="12"/>
  <c r="L330" i="12"/>
  <c r="AI329" i="12"/>
  <c r="N329" i="12"/>
  <c r="L329" i="12"/>
  <c r="T329" i="12" s="1"/>
  <c r="L328" i="12"/>
  <c r="L327" i="12"/>
  <c r="L326" i="12"/>
  <c r="L325" i="12"/>
  <c r="N325" i="12" s="1"/>
  <c r="L324" i="12"/>
  <c r="L323" i="12"/>
  <c r="L322" i="12"/>
  <c r="AI321" i="12"/>
  <c r="N321" i="12"/>
  <c r="L321" i="12"/>
  <c r="L320" i="12"/>
  <c r="L319" i="12"/>
  <c r="L318" i="12"/>
  <c r="L317" i="12"/>
  <c r="L316" i="12"/>
  <c r="L315" i="12"/>
  <c r="L314" i="12"/>
  <c r="AI313" i="12"/>
  <c r="N313" i="12"/>
  <c r="L313" i="12"/>
  <c r="T313" i="12" s="1"/>
  <c r="L312" i="12"/>
  <c r="L311" i="12"/>
  <c r="L310" i="12"/>
  <c r="S309" i="12"/>
  <c r="N309" i="12"/>
  <c r="L309" i="12"/>
  <c r="T309" i="12" s="1"/>
  <c r="L308" i="12"/>
  <c r="L307" i="12"/>
  <c r="L306" i="12"/>
  <c r="S305" i="12"/>
  <c r="N305" i="12"/>
  <c r="L305" i="12"/>
  <c r="AI305" i="12" s="1"/>
  <c r="L304" i="12"/>
  <c r="L303" i="12"/>
  <c r="L302" i="12"/>
  <c r="L301" i="12"/>
  <c r="L300" i="12"/>
  <c r="L299" i="12"/>
  <c r="L298" i="12"/>
  <c r="L297" i="12"/>
  <c r="L296" i="12"/>
  <c r="L295" i="12"/>
  <c r="L294" i="12"/>
  <c r="AI293" i="12"/>
  <c r="S293" i="12"/>
  <c r="L293" i="12"/>
  <c r="T293" i="12" s="1"/>
  <c r="L292" i="12"/>
  <c r="L291" i="12"/>
  <c r="L290" i="12"/>
  <c r="T289" i="12"/>
  <c r="S289" i="12"/>
  <c r="L289" i="12"/>
  <c r="N289" i="12" s="1"/>
  <c r="L288" i="12"/>
  <c r="L287" i="12"/>
  <c r="L286" i="12"/>
  <c r="Z285" i="12"/>
  <c r="AA285" i="12" s="1"/>
  <c r="AG285" i="12" s="1"/>
  <c r="L285" i="12"/>
  <c r="L284" i="12"/>
  <c r="L283" i="12"/>
  <c r="L282" i="12"/>
  <c r="AI281" i="12"/>
  <c r="S281" i="12"/>
  <c r="O281" i="12"/>
  <c r="L281" i="12"/>
  <c r="Z281" i="12" s="1"/>
  <c r="AA281" i="12" s="1"/>
  <c r="AG281" i="12" s="1"/>
  <c r="L280" i="12"/>
  <c r="L279" i="12"/>
  <c r="L278" i="12"/>
  <c r="V277" i="12"/>
  <c r="N277" i="12"/>
  <c r="L277" i="12"/>
  <c r="AI277" i="12" s="1"/>
  <c r="L276" i="12"/>
  <c r="L275" i="12"/>
  <c r="L274" i="12"/>
  <c r="AJ273" i="12"/>
  <c r="T273" i="12"/>
  <c r="O273" i="12"/>
  <c r="L273" i="12"/>
  <c r="Z273" i="12" s="1"/>
  <c r="AA273" i="12" s="1"/>
  <c r="AG273" i="12" s="1"/>
  <c r="L272" i="12"/>
  <c r="L271" i="12"/>
  <c r="L270" i="12"/>
  <c r="AI269" i="12"/>
  <c r="L269" i="12"/>
  <c r="L268" i="12"/>
  <c r="L267" i="12"/>
  <c r="L266" i="12"/>
  <c r="AJ265" i="12"/>
  <c r="T265" i="12"/>
  <c r="O265" i="12"/>
  <c r="L265" i="12"/>
  <c r="Z265" i="12" s="1"/>
  <c r="AA265" i="12" s="1"/>
  <c r="AG265" i="12" s="1"/>
  <c r="L264" i="12"/>
  <c r="L263" i="12"/>
  <c r="L262" i="12"/>
  <c r="V261" i="12"/>
  <c r="N261" i="12"/>
  <c r="L261" i="12"/>
  <c r="AI261" i="12" s="1"/>
  <c r="L260" i="12"/>
  <c r="L259" i="12"/>
  <c r="L258" i="12"/>
  <c r="AJ257" i="12"/>
  <c r="T257" i="12"/>
  <c r="O257" i="12"/>
  <c r="L257" i="12"/>
  <c r="Z257" i="12" s="1"/>
  <c r="AA257" i="12" s="1"/>
  <c r="AG257" i="12" s="1"/>
  <c r="L256" i="12"/>
  <c r="L255" i="12"/>
  <c r="L254" i="12"/>
  <c r="AI253" i="12"/>
  <c r="L253" i="12"/>
  <c r="L252" i="12"/>
  <c r="L251" i="12"/>
  <c r="L250" i="12"/>
  <c r="AJ249" i="12"/>
  <c r="T249" i="12"/>
  <c r="O249" i="12"/>
  <c r="L249" i="12"/>
  <c r="Z249" i="12" s="1"/>
  <c r="AA249" i="12" s="1"/>
  <c r="AG249" i="12" s="1"/>
  <c r="L248" i="12"/>
  <c r="L247" i="12"/>
  <c r="L246" i="12"/>
  <c r="V245" i="12"/>
  <c r="N245" i="12"/>
  <c r="L245" i="12"/>
  <c r="AI245" i="12" s="1"/>
  <c r="L244" i="12"/>
  <c r="L243" i="12"/>
  <c r="L242" i="12"/>
  <c r="AJ241" i="12"/>
  <c r="T241" i="12"/>
  <c r="O241" i="12"/>
  <c r="L241" i="12"/>
  <c r="Z241" i="12" s="1"/>
  <c r="AA241" i="12" s="1"/>
  <c r="AG241" i="12" s="1"/>
  <c r="L240" i="12"/>
  <c r="L239" i="12"/>
  <c r="L238" i="12"/>
  <c r="P237" i="12"/>
  <c r="L237" i="12"/>
  <c r="L236" i="12"/>
  <c r="L235" i="12"/>
  <c r="L234" i="12"/>
  <c r="P233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P217" i="12" s="1"/>
  <c r="L216" i="12"/>
  <c r="L215" i="12"/>
  <c r="L214" i="12"/>
  <c r="L213" i="12"/>
  <c r="L212" i="12"/>
  <c r="L211" i="12"/>
  <c r="L210" i="12"/>
  <c r="L209" i="12"/>
  <c r="P209" i="12" s="1"/>
  <c r="L208" i="12"/>
  <c r="L207" i="12"/>
  <c r="L206" i="12"/>
  <c r="L205" i="12"/>
  <c r="L204" i="12"/>
  <c r="L203" i="12"/>
  <c r="L202" i="12"/>
  <c r="P201" i="12"/>
  <c r="L201" i="12"/>
  <c r="L200" i="12"/>
  <c r="L199" i="12"/>
  <c r="L198" i="12"/>
  <c r="L197" i="12"/>
  <c r="L196" i="12"/>
  <c r="L195" i="12"/>
  <c r="L194" i="12"/>
  <c r="P193" i="12"/>
  <c r="L193" i="12"/>
  <c r="L192" i="12"/>
  <c r="L191" i="12"/>
  <c r="L190" i="12"/>
  <c r="L189" i="12"/>
  <c r="L188" i="12"/>
  <c r="L187" i="12"/>
  <c r="L186" i="12"/>
  <c r="L185" i="12"/>
  <c r="P185" i="12" s="1"/>
  <c r="L184" i="12"/>
  <c r="L183" i="12"/>
  <c r="L182" i="12"/>
  <c r="L181" i="12"/>
  <c r="L180" i="12"/>
  <c r="L179" i="12"/>
  <c r="P178" i="12"/>
  <c r="L178" i="12"/>
  <c r="L177" i="12"/>
  <c r="L176" i="12"/>
  <c r="L175" i="12"/>
  <c r="L174" i="12"/>
  <c r="L173" i="12"/>
  <c r="L172" i="12"/>
  <c r="L171" i="12"/>
  <c r="L170" i="12"/>
  <c r="P170" i="12" s="1"/>
  <c r="L169" i="12"/>
  <c r="L168" i="12"/>
  <c r="L167" i="12"/>
  <c r="L166" i="12"/>
  <c r="L165" i="12"/>
  <c r="L164" i="12"/>
  <c r="L163" i="12"/>
  <c r="L162" i="12"/>
  <c r="L161" i="12"/>
  <c r="L160" i="12"/>
  <c r="L159" i="12"/>
  <c r="P158" i="12"/>
  <c r="L158" i="12"/>
  <c r="L157" i="12"/>
  <c r="L156" i="12"/>
  <c r="L155" i="12"/>
  <c r="L154" i="12"/>
  <c r="P154" i="12" s="1"/>
  <c r="L153" i="12"/>
  <c r="L152" i="12"/>
  <c r="L151" i="12"/>
  <c r="L150" i="12"/>
  <c r="L149" i="12"/>
  <c r="L148" i="12"/>
  <c r="L147" i="12"/>
  <c r="P146" i="12"/>
  <c r="L146" i="12"/>
  <c r="L145" i="12"/>
  <c r="L144" i="12"/>
  <c r="P143" i="12"/>
  <c r="L143" i="12"/>
  <c r="L142" i="12"/>
  <c r="L141" i="12"/>
  <c r="L140" i="12"/>
  <c r="L139" i="12"/>
  <c r="L138" i="12"/>
  <c r="L137" i="12"/>
  <c r="L136" i="12"/>
  <c r="P135" i="12"/>
  <c r="L135" i="12"/>
  <c r="L134" i="12"/>
  <c r="L133" i="12"/>
  <c r="L132" i="12"/>
  <c r="L131" i="12"/>
  <c r="L130" i="12"/>
  <c r="L129" i="12"/>
  <c r="L128" i="12"/>
  <c r="L127" i="12"/>
  <c r="P127" i="12" s="1"/>
  <c r="L126" i="12"/>
  <c r="L125" i="12"/>
  <c r="L124" i="12"/>
  <c r="L123" i="12"/>
  <c r="L122" i="12"/>
  <c r="L121" i="12"/>
  <c r="L120" i="12"/>
  <c r="V119" i="12"/>
  <c r="X119" i="12" s="1"/>
  <c r="L119" i="12"/>
  <c r="P119" i="12" s="1"/>
  <c r="L118" i="12"/>
  <c r="L117" i="12"/>
  <c r="L116" i="12"/>
  <c r="P115" i="12"/>
  <c r="L115" i="12"/>
  <c r="L114" i="12"/>
  <c r="L113" i="12"/>
  <c r="L112" i="12"/>
  <c r="P111" i="12"/>
  <c r="L111" i="12"/>
  <c r="L110" i="12"/>
  <c r="L109" i="12"/>
  <c r="L108" i="12"/>
  <c r="L107" i="12"/>
  <c r="L106" i="12"/>
  <c r="L105" i="12"/>
  <c r="L104" i="12"/>
  <c r="L103" i="12"/>
  <c r="P103" i="12" s="1"/>
  <c r="L102" i="12"/>
  <c r="L101" i="12"/>
  <c r="L100" i="12"/>
  <c r="V99" i="12"/>
  <c r="X99" i="12" s="1"/>
  <c r="L99" i="12"/>
  <c r="L98" i="12"/>
  <c r="L97" i="12"/>
  <c r="L96" i="12"/>
  <c r="P95" i="12"/>
  <c r="L95" i="12"/>
  <c r="L94" i="12"/>
  <c r="L93" i="12"/>
  <c r="L92" i="12"/>
  <c r="L91" i="12"/>
  <c r="L90" i="12"/>
  <c r="L89" i="12"/>
  <c r="L88" i="12"/>
  <c r="L87" i="12"/>
  <c r="P87" i="12" s="1"/>
  <c r="L86" i="12"/>
  <c r="L85" i="12"/>
  <c r="L84" i="12"/>
  <c r="V83" i="12"/>
  <c r="X83" i="12" s="1"/>
  <c r="P83" i="12"/>
  <c r="L83" i="12"/>
  <c r="L82" i="12"/>
  <c r="L81" i="12"/>
  <c r="L80" i="12"/>
  <c r="P79" i="12"/>
  <c r="L79" i="12"/>
  <c r="L78" i="12"/>
  <c r="L77" i="12"/>
  <c r="L76" i="12"/>
  <c r="L75" i="12"/>
  <c r="L74" i="12"/>
  <c r="L73" i="12"/>
  <c r="L72" i="12"/>
  <c r="L71" i="12"/>
  <c r="V71" i="12" s="1"/>
  <c r="X71" i="12" s="1"/>
  <c r="L70" i="12"/>
  <c r="L69" i="12"/>
  <c r="L68" i="12"/>
  <c r="V67" i="12"/>
  <c r="X67" i="12" s="1"/>
  <c r="P67" i="12"/>
  <c r="L67" i="12"/>
  <c r="L66" i="12"/>
  <c r="L65" i="12"/>
  <c r="L64" i="12"/>
  <c r="L63" i="12"/>
  <c r="P63" i="12" s="1"/>
  <c r="L62" i="12"/>
  <c r="L61" i="12"/>
  <c r="L60" i="12"/>
  <c r="L59" i="12"/>
  <c r="L58" i="12"/>
  <c r="L57" i="12"/>
  <c r="L56" i="12"/>
  <c r="L55" i="12"/>
  <c r="P55" i="12" s="1"/>
  <c r="L54" i="12"/>
  <c r="L53" i="12"/>
  <c r="L52" i="12"/>
  <c r="V51" i="12"/>
  <c r="X51" i="12" s="1"/>
  <c r="L51" i="12"/>
  <c r="P51" i="12" s="1"/>
  <c r="L50" i="12"/>
  <c r="L49" i="12"/>
  <c r="L48" i="12"/>
  <c r="P47" i="12"/>
  <c r="L47" i="12"/>
  <c r="L46" i="12"/>
  <c r="L45" i="12"/>
  <c r="L44" i="12"/>
  <c r="L43" i="12"/>
  <c r="L42" i="12"/>
  <c r="L41" i="12"/>
  <c r="L40" i="12"/>
  <c r="L39" i="12"/>
  <c r="P39" i="12" s="1"/>
  <c r="L38" i="12"/>
  <c r="L37" i="12"/>
  <c r="L36" i="12"/>
  <c r="V35" i="12"/>
  <c r="X35" i="12" s="1"/>
  <c r="P35" i="12"/>
  <c r="L35" i="12"/>
  <c r="L34" i="12"/>
  <c r="L33" i="12"/>
  <c r="L32" i="12"/>
  <c r="L31" i="12"/>
  <c r="P31" i="12" s="1"/>
  <c r="L30" i="12"/>
  <c r="L29" i="12"/>
  <c r="L28" i="12"/>
  <c r="L27" i="12"/>
  <c r="L26" i="12"/>
  <c r="L25" i="12"/>
  <c r="L24" i="12"/>
  <c r="V23" i="12"/>
  <c r="X23" i="12" s="1"/>
  <c r="L23" i="12"/>
  <c r="P23" i="12" s="1"/>
  <c r="L22" i="12"/>
  <c r="L21" i="12"/>
  <c r="L20" i="12"/>
  <c r="L19" i="12"/>
  <c r="P19" i="12" s="1"/>
  <c r="L18" i="12"/>
  <c r="L17" i="12"/>
  <c r="L16" i="12"/>
  <c r="P15" i="12"/>
  <c r="L15" i="12"/>
  <c r="V15" i="12" s="1"/>
  <c r="X15" i="12" s="1"/>
  <c r="L14" i="12"/>
  <c r="L13" i="12"/>
  <c r="L12" i="12"/>
  <c r="L11" i="12"/>
  <c r="L10" i="12"/>
  <c r="L9" i="12"/>
  <c r="AO8" i="12"/>
  <c r="L8" i="12"/>
  <c r="AO7" i="12"/>
  <c r="L7" i="12"/>
  <c r="AO6" i="12"/>
  <c r="L6" i="12"/>
  <c r="V6" i="12" s="1"/>
  <c r="Z6" i="12" s="1"/>
  <c r="AA6" i="12" s="1"/>
  <c r="AG6" i="12" s="1"/>
  <c r="AO5" i="12"/>
  <c r="L5" i="12"/>
  <c r="L4" i="12"/>
  <c r="AO3" i="12"/>
  <c r="L3" i="12"/>
  <c r="AC3" i="12" s="1"/>
  <c r="AE3" i="12" s="1"/>
  <c r="AO2" i="12"/>
  <c r="L2" i="12"/>
  <c r="AO1" i="12"/>
  <c r="V209" i="12" s="1"/>
  <c r="L501" i="11"/>
  <c r="L500" i="11"/>
  <c r="L499" i="11"/>
  <c r="AK498" i="11"/>
  <c r="AJ498" i="11"/>
  <c r="AI498" i="11"/>
  <c r="AF498" i="11"/>
  <c r="AC498" i="11"/>
  <c r="AE498" i="11" s="1"/>
  <c r="Y498" i="11"/>
  <c r="X498" i="11"/>
  <c r="U498" i="11"/>
  <c r="T498" i="11"/>
  <c r="S498" i="11"/>
  <c r="P498" i="11"/>
  <c r="O498" i="11"/>
  <c r="M498" i="11"/>
  <c r="L498" i="11"/>
  <c r="K498" i="11"/>
  <c r="L497" i="11"/>
  <c r="L496" i="11"/>
  <c r="L495" i="11"/>
  <c r="AK494" i="11"/>
  <c r="AJ494" i="11"/>
  <c r="AI494" i="11"/>
  <c r="AF494" i="11"/>
  <c r="AC494" i="11"/>
  <c r="AE494" i="11" s="1"/>
  <c r="Y494" i="11"/>
  <c r="X494" i="11"/>
  <c r="U494" i="11"/>
  <c r="T494" i="11"/>
  <c r="S494" i="11"/>
  <c r="P494" i="11"/>
  <c r="O494" i="11"/>
  <c r="M494" i="11"/>
  <c r="L494" i="11"/>
  <c r="K494" i="11"/>
  <c r="L493" i="11"/>
  <c r="L492" i="11"/>
  <c r="L491" i="11"/>
  <c r="AK490" i="11"/>
  <c r="AJ490" i="11"/>
  <c r="AI490" i="11"/>
  <c r="AF490" i="11"/>
  <c r="AC490" i="11"/>
  <c r="AE490" i="11" s="1"/>
  <c r="Y490" i="11"/>
  <c r="X490" i="11"/>
  <c r="U490" i="11"/>
  <c r="T490" i="11"/>
  <c r="S490" i="11"/>
  <c r="P490" i="11"/>
  <c r="O490" i="11"/>
  <c r="M490" i="11"/>
  <c r="L490" i="11"/>
  <c r="K490" i="11"/>
  <c r="L489" i="11"/>
  <c r="AI488" i="11"/>
  <c r="U488" i="11"/>
  <c r="AF488" i="11" s="1"/>
  <c r="S488" i="11"/>
  <c r="N488" i="11"/>
  <c r="M488" i="11"/>
  <c r="L488" i="11"/>
  <c r="AK488" i="11" s="1"/>
  <c r="AK487" i="11"/>
  <c r="AJ487" i="11"/>
  <c r="Z487" i="11"/>
  <c r="U487" i="11"/>
  <c r="AF487" i="11" s="1"/>
  <c r="T487" i="11"/>
  <c r="P487" i="11"/>
  <c r="N487" i="11"/>
  <c r="L487" i="11"/>
  <c r="AK486" i="11"/>
  <c r="Z486" i="11"/>
  <c r="U486" i="11"/>
  <c r="AF486" i="11" s="1"/>
  <c r="P486" i="11"/>
  <c r="L486" i="11"/>
  <c r="L485" i="11"/>
  <c r="AK484" i="11"/>
  <c r="AJ484" i="11"/>
  <c r="AH484" i="11"/>
  <c r="AC484" i="11"/>
  <c r="AE484" i="11" s="1"/>
  <c r="Z484" i="11"/>
  <c r="X484" i="11"/>
  <c r="Y484" i="11" s="1"/>
  <c r="U484" i="11"/>
  <c r="AF484" i="11" s="1"/>
  <c r="T484" i="11"/>
  <c r="R484" i="11"/>
  <c r="P484" i="11"/>
  <c r="N484" i="11"/>
  <c r="M484" i="11"/>
  <c r="L484" i="11"/>
  <c r="AK483" i="11"/>
  <c r="AJ483" i="11"/>
  <c r="Z483" i="11"/>
  <c r="U483" i="11"/>
  <c r="AF483" i="11" s="1"/>
  <c r="T483" i="11"/>
  <c r="P483" i="11"/>
  <c r="N483" i="11"/>
  <c r="L483" i="11"/>
  <c r="AK482" i="11"/>
  <c r="Z482" i="11"/>
  <c r="U482" i="11"/>
  <c r="AF482" i="11" s="1"/>
  <c r="P482" i="11"/>
  <c r="L482" i="11"/>
  <c r="L481" i="11"/>
  <c r="AK480" i="11"/>
  <c r="AJ480" i="11"/>
  <c r="AH480" i="11"/>
  <c r="AC480" i="11"/>
  <c r="AE480" i="11" s="1"/>
  <c r="Z480" i="11"/>
  <c r="X480" i="11"/>
  <c r="Y480" i="11" s="1"/>
  <c r="U480" i="11"/>
  <c r="AF480" i="11" s="1"/>
  <c r="T480" i="11"/>
  <c r="R480" i="11"/>
  <c r="P480" i="11"/>
  <c r="N480" i="11"/>
  <c r="M480" i="11"/>
  <c r="L480" i="11"/>
  <c r="AK479" i="11"/>
  <c r="AJ479" i="11"/>
  <c r="Z479" i="11"/>
  <c r="U479" i="11"/>
  <c r="AF479" i="11" s="1"/>
  <c r="T479" i="11"/>
  <c r="P479" i="11"/>
  <c r="N479" i="11"/>
  <c r="L479" i="11"/>
  <c r="AK478" i="11"/>
  <c r="Z478" i="11"/>
  <c r="U478" i="11"/>
  <c r="AF478" i="11" s="1"/>
  <c r="P478" i="11"/>
  <c r="L478" i="11"/>
  <c r="L477" i="11"/>
  <c r="AJ476" i="11"/>
  <c r="AH476" i="11"/>
  <c r="AC476" i="11"/>
  <c r="AE476" i="11" s="1"/>
  <c r="X476" i="11"/>
  <c r="Y476" i="11" s="1"/>
  <c r="T476" i="11"/>
  <c r="R476" i="11"/>
  <c r="N476" i="11"/>
  <c r="M476" i="11"/>
  <c r="L476" i="11"/>
  <c r="AK476" i="11" s="1"/>
  <c r="AK475" i="11"/>
  <c r="AJ475" i="11"/>
  <c r="Z475" i="11"/>
  <c r="U475" i="11"/>
  <c r="AF475" i="11" s="1"/>
  <c r="T475" i="11"/>
  <c r="P475" i="11"/>
  <c r="N475" i="11"/>
  <c r="L475" i="11"/>
  <c r="AK474" i="11"/>
  <c r="Z474" i="11"/>
  <c r="U474" i="11"/>
  <c r="AF474" i="11" s="1"/>
  <c r="P474" i="11"/>
  <c r="L474" i="11"/>
  <c r="L473" i="11"/>
  <c r="AJ472" i="11"/>
  <c r="AH472" i="11"/>
  <c r="AC472" i="11"/>
  <c r="AE472" i="11" s="1"/>
  <c r="X472" i="11"/>
  <c r="Y472" i="11" s="1"/>
  <c r="T472" i="11"/>
  <c r="R472" i="11"/>
  <c r="N472" i="11"/>
  <c r="M472" i="11"/>
  <c r="L472" i="11"/>
  <c r="AK472" i="11" s="1"/>
  <c r="AK471" i="11"/>
  <c r="AJ471" i="11"/>
  <c r="Z471" i="11"/>
  <c r="U471" i="11"/>
  <c r="AF471" i="11" s="1"/>
  <c r="T471" i="11"/>
  <c r="P471" i="11"/>
  <c r="N471" i="11"/>
  <c r="M471" i="11"/>
  <c r="L471" i="11"/>
  <c r="AK470" i="11"/>
  <c r="Z470" i="11"/>
  <c r="U470" i="11"/>
  <c r="AF470" i="11" s="1"/>
  <c r="P470" i="11"/>
  <c r="L470" i="11"/>
  <c r="L469" i="11"/>
  <c r="AJ468" i="11"/>
  <c r="AH468" i="11"/>
  <c r="AC468" i="11"/>
  <c r="AE468" i="11" s="1"/>
  <c r="X468" i="11"/>
  <c r="Y468" i="11" s="1"/>
  <c r="T468" i="11"/>
  <c r="R468" i="11"/>
  <c r="N468" i="11"/>
  <c r="M468" i="11"/>
  <c r="L468" i="11"/>
  <c r="AK468" i="11" s="1"/>
  <c r="AK467" i="11"/>
  <c r="AJ467" i="11"/>
  <c r="Z467" i="11"/>
  <c r="U467" i="11"/>
  <c r="AF467" i="11" s="1"/>
  <c r="T467" i="11"/>
  <c r="P467" i="11"/>
  <c r="N467" i="11"/>
  <c r="L467" i="11"/>
  <c r="AK466" i="11"/>
  <c r="Z466" i="11"/>
  <c r="U466" i="11"/>
  <c r="AF466" i="11" s="1"/>
  <c r="P466" i="11"/>
  <c r="L466" i="11"/>
  <c r="L465" i="11"/>
  <c r="AJ464" i="11"/>
  <c r="AH464" i="11"/>
  <c r="AC464" i="11"/>
  <c r="AE464" i="11" s="1"/>
  <c r="X464" i="11"/>
  <c r="Y464" i="11" s="1"/>
  <c r="T464" i="11"/>
  <c r="R464" i="11"/>
  <c r="N464" i="11"/>
  <c r="M464" i="11"/>
  <c r="L464" i="11"/>
  <c r="AK464" i="11" s="1"/>
  <c r="AK463" i="11"/>
  <c r="AJ463" i="11"/>
  <c r="Z463" i="11"/>
  <c r="U463" i="11"/>
  <c r="AF463" i="11" s="1"/>
  <c r="T463" i="11"/>
  <c r="P463" i="11"/>
  <c r="N463" i="11"/>
  <c r="L463" i="11"/>
  <c r="AK462" i="11"/>
  <c r="Z462" i="11"/>
  <c r="U462" i="11"/>
  <c r="AF462" i="11" s="1"/>
  <c r="P462" i="11"/>
  <c r="L462" i="11"/>
  <c r="L461" i="11"/>
  <c r="AJ460" i="11"/>
  <c r="AH460" i="11"/>
  <c r="AC460" i="11"/>
  <c r="AE460" i="11" s="1"/>
  <c r="X460" i="11"/>
  <c r="Y460" i="11" s="1"/>
  <c r="T460" i="11"/>
  <c r="R460" i="11"/>
  <c r="N460" i="11"/>
  <c r="M460" i="11"/>
  <c r="L460" i="11"/>
  <c r="AK460" i="11" s="1"/>
  <c r="AK459" i="11"/>
  <c r="AJ459" i="11"/>
  <c r="Z459" i="11"/>
  <c r="U459" i="11"/>
  <c r="AF459" i="11" s="1"/>
  <c r="T459" i="11"/>
  <c r="P459" i="11"/>
  <c r="N459" i="11"/>
  <c r="L459" i="11"/>
  <c r="AK458" i="11"/>
  <c r="Z458" i="11"/>
  <c r="U458" i="11"/>
  <c r="AF458" i="11" s="1"/>
  <c r="P458" i="11"/>
  <c r="L458" i="11"/>
  <c r="L457" i="11"/>
  <c r="AJ456" i="11"/>
  <c r="AH456" i="11"/>
  <c r="AC456" i="11"/>
  <c r="AE456" i="11" s="1"/>
  <c r="X456" i="11"/>
  <c r="Y456" i="11" s="1"/>
  <c r="T456" i="11"/>
  <c r="R456" i="11"/>
  <c r="N456" i="11"/>
  <c r="M456" i="11"/>
  <c r="L456" i="11"/>
  <c r="AK456" i="11" s="1"/>
  <c r="AK455" i="11"/>
  <c r="AJ455" i="11"/>
  <c r="Z455" i="11"/>
  <c r="U455" i="11"/>
  <c r="AF455" i="11" s="1"/>
  <c r="T455" i="11"/>
  <c r="P455" i="11"/>
  <c r="N455" i="11"/>
  <c r="L455" i="11"/>
  <c r="AK454" i="11"/>
  <c r="Z454" i="11"/>
  <c r="U454" i="11"/>
  <c r="AF454" i="11" s="1"/>
  <c r="P454" i="11"/>
  <c r="L454" i="11"/>
  <c r="L453" i="11"/>
  <c r="AJ452" i="11"/>
  <c r="AH452" i="11"/>
  <c r="AC452" i="11"/>
  <c r="AE452" i="11" s="1"/>
  <c r="X452" i="11"/>
  <c r="Y452" i="11" s="1"/>
  <c r="T452" i="11"/>
  <c r="R452" i="11"/>
  <c r="N452" i="11"/>
  <c r="M452" i="11"/>
  <c r="L452" i="11"/>
  <c r="AK452" i="11" s="1"/>
  <c r="AK451" i="11"/>
  <c r="AJ451" i="11"/>
  <c r="Z451" i="11"/>
  <c r="U451" i="11"/>
  <c r="AF451" i="11" s="1"/>
  <c r="T451" i="11"/>
  <c r="P451" i="11"/>
  <c r="N451" i="11"/>
  <c r="L451" i="11"/>
  <c r="AK450" i="11"/>
  <c r="Z450" i="11"/>
  <c r="U450" i="11"/>
  <c r="AF450" i="11" s="1"/>
  <c r="P450" i="11"/>
  <c r="L450" i="11"/>
  <c r="L449" i="11"/>
  <c r="AJ448" i="11"/>
  <c r="AH448" i="11"/>
  <c r="AC448" i="11"/>
  <c r="AE448" i="11" s="1"/>
  <c r="Z448" i="11"/>
  <c r="X448" i="11"/>
  <c r="Y448" i="11" s="1"/>
  <c r="U448" i="11"/>
  <c r="AF448" i="11" s="1"/>
  <c r="T448" i="11"/>
  <c r="R448" i="11"/>
  <c r="P448" i="11"/>
  <c r="N448" i="11"/>
  <c r="M448" i="11"/>
  <c r="L448" i="11"/>
  <c r="AK448" i="11" s="1"/>
  <c r="AK447" i="11"/>
  <c r="AJ447" i="11"/>
  <c r="Z447" i="11"/>
  <c r="U447" i="11"/>
  <c r="AF447" i="11" s="1"/>
  <c r="T447" i="11"/>
  <c r="P447" i="11"/>
  <c r="N447" i="11"/>
  <c r="L447" i="11"/>
  <c r="AK446" i="11"/>
  <c r="Z446" i="11"/>
  <c r="U446" i="11"/>
  <c r="AF446" i="11" s="1"/>
  <c r="P446" i="11"/>
  <c r="L446" i="11"/>
  <c r="L445" i="11"/>
  <c r="AJ444" i="11"/>
  <c r="AH444" i="11"/>
  <c r="AC444" i="11"/>
  <c r="AE444" i="11" s="1"/>
  <c r="Z444" i="11"/>
  <c r="X444" i="11"/>
  <c r="Y444" i="11" s="1"/>
  <c r="U444" i="11"/>
  <c r="AF444" i="11" s="1"/>
  <c r="T444" i="11"/>
  <c r="R444" i="11"/>
  <c r="P444" i="11"/>
  <c r="N444" i="11"/>
  <c r="M444" i="11"/>
  <c r="L444" i="11"/>
  <c r="AK444" i="11" s="1"/>
  <c r="AK443" i="11"/>
  <c r="AJ443" i="11"/>
  <c r="Z443" i="11"/>
  <c r="U443" i="11"/>
  <c r="AF443" i="11" s="1"/>
  <c r="T443" i="11"/>
  <c r="P443" i="11"/>
  <c r="N443" i="11"/>
  <c r="L443" i="11"/>
  <c r="AK442" i="11"/>
  <c r="Z442" i="11"/>
  <c r="U442" i="11"/>
  <c r="AF442" i="11" s="1"/>
  <c r="P442" i="11"/>
  <c r="L442" i="11"/>
  <c r="L441" i="11"/>
  <c r="AJ440" i="11"/>
  <c r="AH440" i="11"/>
  <c r="AC440" i="11"/>
  <c r="AE440" i="11" s="1"/>
  <c r="X440" i="11"/>
  <c r="Y440" i="11" s="1"/>
  <c r="T440" i="11"/>
  <c r="R440" i="11"/>
  <c r="N440" i="11"/>
  <c r="M440" i="11"/>
  <c r="L440" i="11"/>
  <c r="AK440" i="11" s="1"/>
  <c r="AK439" i="11"/>
  <c r="AJ439" i="11"/>
  <c r="Z439" i="11"/>
  <c r="U439" i="11"/>
  <c r="AF439" i="11" s="1"/>
  <c r="T439" i="11"/>
  <c r="P439" i="11"/>
  <c r="N439" i="11"/>
  <c r="L439" i="11"/>
  <c r="AK438" i="11"/>
  <c r="Z438" i="11"/>
  <c r="U438" i="11"/>
  <c r="AF438" i="11" s="1"/>
  <c r="P438" i="11"/>
  <c r="L438" i="11"/>
  <c r="L437" i="11"/>
  <c r="AJ436" i="11"/>
  <c r="AH436" i="11"/>
  <c r="AC436" i="11"/>
  <c r="AE436" i="11" s="1"/>
  <c r="X436" i="11"/>
  <c r="Y436" i="11" s="1"/>
  <c r="T436" i="11"/>
  <c r="R436" i="11"/>
  <c r="N436" i="11"/>
  <c r="M436" i="11"/>
  <c r="L436" i="11"/>
  <c r="AK436" i="11" s="1"/>
  <c r="AK435" i="11"/>
  <c r="AJ435" i="11"/>
  <c r="Z435" i="11"/>
  <c r="Y435" i="11"/>
  <c r="X435" i="11"/>
  <c r="U435" i="11"/>
  <c r="AF435" i="11" s="1"/>
  <c r="T435" i="11"/>
  <c r="R435" i="11"/>
  <c r="P435" i="11"/>
  <c r="N435" i="11"/>
  <c r="M435" i="11"/>
  <c r="L435" i="11"/>
  <c r="AK434" i="11"/>
  <c r="Z434" i="11"/>
  <c r="U434" i="11"/>
  <c r="AF434" i="11" s="1"/>
  <c r="P434" i="11"/>
  <c r="L434" i="11"/>
  <c r="L433" i="11"/>
  <c r="AJ432" i="11"/>
  <c r="AH432" i="11"/>
  <c r="AC432" i="11"/>
  <c r="AE432" i="11" s="1"/>
  <c r="X432" i="11"/>
  <c r="Y432" i="11" s="1"/>
  <c r="T432" i="11"/>
  <c r="R432" i="11"/>
  <c r="N432" i="11"/>
  <c r="M432" i="11"/>
  <c r="L432" i="11"/>
  <c r="AK432" i="11" s="1"/>
  <c r="AK431" i="11"/>
  <c r="AJ431" i="11"/>
  <c r="Z431" i="11"/>
  <c r="U431" i="11"/>
  <c r="AF431" i="11" s="1"/>
  <c r="T431" i="11"/>
  <c r="P431" i="11"/>
  <c r="N431" i="11"/>
  <c r="L431" i="11"/>
  <c r="AK430" i="11"/>
  <c r="Z430" i="11"/>
  <c r="U430" i="11"/>
  <c r="AF430" i="11" s="1"/>
  <c r="P430" i="11"/>
  <c r="L430" i="11"/>
  <c r="L429" i="11"/>
  <c r="AJ428" i="11"/>
  <c r="AH428" i="11"/>
  <c r="AC428" i="11"/>
  <c r="AE428" i="11" s="1"/>
  <c r="X428" i="11"/>
  <c r="Y428" i="11" s="1"/>
  <c r="T428" i="11"/>
  <c r="R428" i="11"/>
  <c r="N428" i="11"/>
  <c r="M428" i="11"/>
  <c r="L428" i="11"/>
  <c r="AK428" i="11" s="1"/>
  <c r="AK427" i="11"/>
  <c r="AJ427" i="11"/>
  <c r="Z427" i="11"/>
  <c r="U427" i="11"/>
  <c r="AF427" i="11" s="1"/>
  <c r="T427" i="11"/>
  <c r="P427" i="11"/>
  <c r="N427" i="11"/>
  <c r="L427" i="11"/>
  <c r="AK426" i="11"/>
  <c r="Z426" i="11"/>
  <c r="U426" i="11"/>
  <c r="AF426" i="11" s="1"/>
  <c r="P426" i="11"/>
  <c r="L426" i="11"/>
  <c r="L425" i="11"/>
  <c r="AJ424" i="11"/>
  <c r="AH424" i="11"/>
  <c r="AC424" i="11"/>
  <c r="AE424" i="11" s="1"/>
  <c r="X424" i="11"/>
  <c r="Y424" i="11" s="1"/>
  <c r="T424" i="11"/>
  <c r="R424" i="11"/>
  <c r="N424" i="11"/>
  <c r="M424" i="11"/>
  <c r="L424" i="11"/>
  <c r="AK424" i="11" s="1"/>
  <c r="AK423" i="11"/>
  <c r="AJ423" i="11"/>
  <c r="Z423" i="11"/>
  <c r="U423" i="11"/>
  <c r="AF423" i="11" s="1"/>
  <c r="T423" i="11"/>
  <c r="P423" i="11"/>
  <c r="N423" i="11"/>
  <c r="L423" i="11"/>
  <c r="AK422" i="11"/>
  <c r="Z422" i="11"/>
  <c r="U422" i="11"/>
  <c r="AF422" i="11" s="1"/>
  <c r="P422" i="11"/>
  <c r="L422" i="11"/>
  <c r="L421" i="11"/>
  <c r="AJ420" i="11"/>
  <c r="AH420" i="11"/>
  <c r="AC420" i="11"/>
  <c r="AE420" i="11" s="1"/>
  <c r="X420" i="11"/>
  <c r="Y420" i="11" s="1"/>
  <c r="T420" i="11"/>
  <c r="R420" i="11"/>
  <c r="N420" i="11"/>
  <c r="M420" i="11"/>
  <c r="L420" i="11"/>
  <c r="AK420" i="11" s="1"/>
  <c r="AK419" i="11"/>
  <c r="AJ419" i="11"/>
  <c r="Z419" i="11"/>
  <c r="U419" i="11"/>
  <c r="AF419" i="11" s="1"/>
  <c r="T419" i="11"/>
  <c r="P419" i="11"/>
  <c r="N419" i="11"/>
  <c r="L419" i="11"/>
  <c r="AK418" i="11"/>
  <c r="Z418" i="11"/>
  <c r="U418" i="11"/>
  <c r="AF418" i="11" s="1"/>
  <c r="P418" i="11"/>
  <c r="L418" i="11"/>
  <c r="L417" i="11"/>
  <c r="AJ416" i="11"/>
  <c r="AH416" i="11"/>
  <c r="AC416" i="11"/>
  <c r="AE416" i="11" s="1"/>
  <c r="X416" i="11"/>
  <c r="Y416" i="11" s="1"/>
  <c r="T416" i="11"/>
  <c r="R416" i="11"/>
  <c r="N416" i="11"/>
  <c r="M416" i="11"/>
  <c r="L416" i="11"/>
  <c r="AK416" i="11" s="1"/>
  <c r="AK415" i="11"/>
  <c r="AJ415" i="11"/>
  <c r="Z415" i="11"/>
  <c r="U415" i="11"/>
  <c r="AF415" i="11" s="1"/>
  <c r="T415" i="11"/>
  <c r="P415" i="11"/>
  <c r="N415" i="11"/>
  <c r="L415" i="11"/>
  <c r="AK414" i="11"/>
  <c r="Z414" i="11"/>
  <c r="U414" i="11"/>
  <c r="AF414" i="11" s="1"/>
  <c r="P414" i="11"/>
  <c r="L414" i="11"/>
  <c r="L413" i="11"/>
  <c r="AJ412" i="11"/>
  <c r="AH412" i="11"/>
  <c r="AC412" i="11"/>
  <c r="AE412" i="11" s="1"/>
  <c r="X412" i="11"/>
  <c r="Y412" i="11" s="1"/>
  <c r="U412" i="11"/>
  <c r="AF412" i="11" s="1"/>
  <c r="T412" i="11"/>
  <c r="R412" i="11"/>
  <c r="P412" i="11"/>
  <c r="N412" i="11"/>
  <c r="M412" i="11"/>
  <c r="L412" i="11"/>
  <c r="AK412" i="11" s="1"/>
  <c r="AK411" i="11"/>
  <c r="AJ411" i="11"/>
  <c r="Z411" i="11"/>
  <c r="U411" i="11"/>
  <c r="AF411" i="11" s="1"/>
  <c r="T411" i="11"/>
  <c r="P411" i="11"/>
  <c r="N411" i="11"/>
  <c r="L411" i="11"/>
  <c r="AK410" i="11"/>
  <c r="Z410" i="11"/>
  <c r="U410" i="11"/>
  <c r="AF410" i="11" s="1"/>
  <c r="P410" i="11"/>
  <c r="L410" i="11"/>
  <c r="L409" i="11"/>
  <c r="AJ408" i="11"/>
  <c r="AH408" i="11"/>
  <c r="AC408" i="11"/>
  <c r="AE408" i="11" s="1"/>
  <c r="X408" i="11"/>
  <c r="Y408" i="11" s="1"/>
  <c r="T408" i="11"/>
  <c r="R408" i="11"/>
  <c r="N408" i="11"/>
  <c r="M408" i="11"/>
  <c r="L408" i="11"/>
  <c r="AK408" i="11" s="1"/>
  <c r="AK407" i="11"/>
  <c r="AJ407" i="11"/>
  <c r="Z407" i="11"/>
  <c r="U407" i="11"/>
  <c r="AF407" i="11" s="1"/>
  <c r="T407" i="11"/>
  <c r="P407" i="11"/>
  <c r="N407" i="11"/>
  <c r="L407" i="11"/>
  <c r="AK406" i="11"/>
  <c r="Z406" i="11"/>
  <c r="U406" i="11"/>
  <c r="AF406" i="11" s="1"/>
  <c r="P406" i="11"/>
  <c r="L406" i="11"/>
  <c r="L405" i="11"/>
  <c r="AJ404" i="11"/>
  <c r="AH404" i="11"/>
  <c r="AC404" i="11"/>
  <c r="AE404" i="11" s="1"/>
  <c r="X404" i="11"/>
  <c r="Y404" i="11" s="1"/>
  <c r="T404" i="11"/>
  <c r="R404" i="11"/>
  <c r="N404" i="11"/>
  <c r="M404" i="11"/>
  <c r="L404" i="11"/>
  <c r="AK404" i="11" s="1"/>
  <c r="AK403" i="11"/>
  <c r="AJ403" i="11"/>
  <c r="AH403" i="11"/>
  <c r="AC403" i="11"/>
  <c r="AE403" i="11" s="1"/>
  <c r="Z403" i="11"/>
  <c r="Y403" i="11"/>
  <c r="X403" i="11"/>
  <c r="U403" i="11"/>
  <c r="AF403" i="11" s="1"/>
  <c r="T403" i="11"/>
  <c r="R403" i="11"/>
  <c r="P403" i="11"/>
  <c r="N403" i="11"/>
  <c r="M403" i="11"/>
  <c r="L403" i="11"/>
  <c r="AK402" i="11"/>
  <c r="Z402" i="11"/>
  <c r="U402" i="11"/>
  <c r="AF402" i="11" s="1"/>
  <c r="P402" i="11"/>
  <c r="L402" i="11"/>
  <c r="L401" i="11"/>
  <c r="AJ400" i="11"/>
  <c r="AH400" i="11"/>
  <c r="AC400" i="11"/>
  <c r="AE400" i="11" s="1"/>
  <c r="X400" i="11"/>
  <c r="Y400" i="11" s="1"/>
  <c r="T400" i="11"/>
  <c r="R400" i="11"/>
  <c r="N400" i="11"/>
  <c r="M400" i="11"/>
  <c r="L400" i="11"/>
  <c r="AK400" i="11" s="1"/>
  <c r="AK399" i="11"/>
  <c r="AJ399" i="11"/>
  <c r="AH399" i="11"/>
  <c r="AC399" i="11"/>
  <c r="AE399" i="11" s="1"/>
  <c r="Z399" i="11"/>
  <c r="Y399" i="11"/>
  <c r="X399" i="11"/>
  <c r="U399" i="11"/>
  <c r="AF399" i="11" s="1"/>
  <c r="T399" i="11"/>
  <c r="R399" i="11"/>
  <c r="P399" i="11"/>
  <c r="N399" i="11"/>
  <c r="M399" i="11"/>
  <c r="L399" i="11"/>
  <c r="AK398" i="11"/>
  <c r="Z398" i="11"/>
  <c r="U398" i="11"/>
  <c r="AF398" i="11" s="1"/>
  <c r="P398" i="11"/>
  <c r="L398" i="11"/>
  <c r="L397" i="11"/>
  <c r="AJ396" i="11"/>
  <c r="AH396" i="11"/>
  <c r="AC396" i="11"/>
  <c r="AE396" i="11" s="1"/>
  <c r="X396" i="11"/>
  <c r="Y396" i="11" s="1"/>
  <c r="T396" i="11"/>
  <c r="R396" i="11"/>
  <c r="N396" i="11"/>
  <c r="M396" i="11"/>
  <c r="L396" i="11"/>
  <c r="AK396" i="11" s="1"/>
  <c r="AK395" i="11"/>
  <c r="AJ395" i="11"/>
  <c r="AH395" i="11"/>
  <c r="AC395" i="11"/>
  <c r="AE395" i="11" s="1"/>
  <c r="Z395" i="11"/>
  <c r="Y395" i="11"/>
  <c r="X395" i="11"/>
  <c r="U395" i="11"/>
  <c r="AF395" i="11" s="1"/>
  <c r="T395" i="11"/>
  <c r="R395" i="11"/>
  <c r="P395" i="11"/>
  <c r="N395" i="11"/>
  <c r="M395" i="11"/>
  <c r="L395" i="11"/>
  <c r="AK394" i="11"/>
  <c r="Z394" i="11"/>
  <c r="U394" i="11"/>
  <c r="AF394" i="11" s="1"/>
  <c r="P394" i="11"/>
  <c r="L394" i="11"/>
  <c r="L393" i="11"/>
  <c r="AJ392" i="11"/>
  <c r="AH392" i="11"/>
  <c r="AC392" i="11"/>
  <c r="AE392" i="11" s="1"/>
  <c r="X392" i="11"/>
  <c r="Y392" i="11" s="1"/>
  <c r="T392" i="11"/>
  <c r="R392" i="11"/>
  <c r="N392" i="11"/>
  <c r="M392" i="11"/>
  <c r="L392" i="11"/>
  <c r="AK392" i="11" s="1"/>
  <c r="AK391" i="11"/>
  <c r="AJ391" i="11"/>
  <c r="AH391" i="11"/>
  <c r="AC391" i="11"/>
  <c r="AE391" i="11" s="1"/>
  <c r="Z391" i="11"/>
  <c r="Y391" i="11"/>
  <c r="X391" i="11"/>
  <c r="U391" i="11"/>
  <c r="AF391" i="11" s="1"/>
  <c r="T391" i="11"/>
  <c r="R391" i="11"/>
  <c r="P391" i="11"/>
  <c r="N391" i="11"/>
  <c r="M391" i="11"/>
  <c r="L391" i="11"/>
  <c r="AK390" i="11"/>
  <c r="Z390" i="11"/>
  <c r="U390" i="11"/>
  <c r="AF390" i="11" s="1"/>
  <c r="P390" i="11"/>
  <c r="L390" i="11"/>
  <c r="L389" i="11"/>
  <c r="AJ388" i="11"/>
  <c r="AH388" i="11"/>
  <c r="AC388" i="11"/>
  <c r="AE388" i="11" s="1"/>
  <c r="X388" i="11"/>
  <c r="Y388" i="11" s="1"/>
  <c r="T388" i="11"/>
  <c r="R388" i="11"/>
  <c r="N388" i="11"/>
  <c r="M388" i="11"/>
  <c r="L388" i="11"/>
  <c r="AK388" i="11" s="1"/>
  <c r="AK387" i="11"/>
  <c r="AJ387" i="11"/>
  <c r="AH387" i="11"/>
  <c r="AC387" i="11"/>
  <c r="AE387" i="11" s="1"/>
  <c r="Z387" i="11"/>
  <c r="Y387" i="11"/>
  <c r="X387" i="11"/>
  <c r="U387" i="11"/>
  <c r="AF387" i="11" s="1"/>
  <c r="T387" i="11"/>
  <c r="R387" i="11"/>
  <c r="P387" i="11"/>
  <c r="N387" i="11"/>
  <c r="M387" i="11"/>
  <c r="L387" i="11"/>
  <c r="AK386" i="11"/>
  <c r="Z386" i="11"/>
  <c r="U386" i="11"/>
  <c r="AF386" i="11" s="1"/>
  <c r="P386" i="11"/>
  <c r="L386" i="11"/>
  <c r="L385" i="11"/>
  <c r="AJ384" i="11"/>
  <c r="AH384" i="11"/>
  <c r="AC384" i="11"/>
  <c r="AE384" i="11" s="1"/>
  <c r="X384" i="11"/>
  <c r="Y384" i="11" s="1"/>
  <c r="T384" i="11"/>
  <c r="R384" i="11"/>
  <c r="N384" i="11"/>
  <c r="M384" i="11"/>
  <c r="L384" i="11"/>
  <c r="AK384" i="11" s="1"/>
  <c r="AK383" i="11"/>
  <c r="AJ383" i="11"/>
  <c r="AH383" i="11"/>
  <c r="AC383" i="11"/>
  <c r="AE383" i="11" s="1"/>
  <c r="Z383" i="11"/>
  <c r="Y383" i="11"/>
  <c r="X383" i="11"/>
  <c r="U383" i="11"/>
  <c r="AF383" i="11" s="1"/>
  <c r="T383" i="11"/>
  <c r="R383" i="11"/>
  <c r="P383" i="11"/>
  <c r="N383" i="11"/>
  <c r="M383" i="11"/>
  <c r="L383" i="11"/>
  <c r="AK382" i="11"/>
  <c r="Z382" i="11"/>
  <c r="U382" i="11"/>
  <c r="AF382" i="11" s="1"/>
  <c r="P382" i="11"/>
  <c r="L382" i="11"/>
  <c r="L381" i="11"/>
  <c r="AJ380" i="11"/>
  <c r="AH380" i="11"/>
  <c r="AC380" i="11"/>
  <c r="AE380" i="11" s="1"/>
  <c r="X380" i="11"/>
  <c r="Y380" i="11" s="1"/>
  <c r="T380" i="11"/>
  <c r="R380" i="11"/>
  <c r="N380" i="11"/>
  <c r="M380" i="11"/>
  <c r="L380" i="11"/>
  <c r="AK380" i="11" s="1"/>
  <c r="AK379" i="11"/>
  <c r="AJ379" i="11"/>
  <c r="AC379" i="11"/>
  <c r="AE379" i="11" s="1"/>
  <c r="Z379" i="11"/>
  <c r="Y379" i="11"/>
  <c r="X379" i="11"/>
  <c r="U379" i="11"/>
  <c r="AF379" i="11" s="1"/>
  <c r="T379" i="11"/>
  <c r="R379" i="11"/>
  <c r="P379" i="11"/>
  <c r="N379" i="11"/>
  <c r="M379" i="11"/>
  <c r="L379" i="11"/>
  <c r="AK378" i="11"/>
  <c r="Z378" i="11"/>
  <c r="U378" i="11"/>
  <c r="AF378" i="11" s="1"/>
  <c r="P378" i="11"/>
  <c r="L378" i="11"/>
  <c r="L377" i="11"/>
  <c r="AJ376" i="11"/>
  <c r="AH376" i="11"/>
  <c r="AC376" i="11"/>
  <c r="AE376" i="11" s="1"/>
  <c r="X376" i="11"/>
  <c r="Y376" i="11" s="1"/>
  <c r="T376" i="11"/>
  <c r="R376" i="11"/>
  <c r="N376" i="11"/>
  <c r="M376" i="11"/>
  <c r="L376" i="11"/>
  <c r="AK376" i="11" s="1"/>
  <c r="AK375" i="11"/>
  <c r="AJ375" i="11"/>
  <c r="AH375" i="11"/>
  <c r="AC375" i="11"/>
  <c r="AE375" i="11" s="1"/>
  <c r="Z375" i="11"/>
  <c r="Y375" i="11"/>
  <c r="X375" i="11"/>
  <c r="U375" i="11"/>
  <c r="AF375" i="11" s="1"/>
  <c r="T375" i="11"/>
  <c r="R375" i="11"/>
  <c r="P375" i="11"/>
  <c r="N375" i="11"/>
  <c r="M375" i="11"/>
  <c r="L375" i="11"/>
  <c r="AK374" i="11"/>
  <c r="Z374" i="11"/>
  <c r="U374" i="11"/>
  <c r="AF374" i="11" s="1"/>
  <c r="P374" i="11"/>
  <c r="L374" i="11"/>
  <c r="L373" i="11"/>
  <c r="AJ372" i="11"/>
  <c r="AH372" i="11"/>
  <c r="AC372" i="11"/>
  <c r="AE372" i="11" s="1"/>
  <c r="X372" i="11"/>
  <c r="Y372" i="11" s="1"/>
  <c r="T372" i="11"/>
  <c r="R372" i="11"/>
  <c r="N372" i="11"/>
  <c r="M372" i="11"/>
  <c r="L372" i="11"/>
  <c r="AK372" i="11" s="1"/>
  <c r="AK371" i="11"/>
  <c r="AJ371" i="11"/>
  <c r="AH371" i="11"/>
  <c r="AC371" i="11"/>
  <c r="AE371" i="11" s="1"/>
  <c r="Z371" i="11"/>
  <c r="Y371" i="11"/>
  <c r="X371" i="11"/>
  <c r="U371" i="11"/>
  <c r="AF371" i="11" s="1"/>
  <c r="T371" i="11"/>
  <c r="R371" i="11"/>
  <c r="P371" i="11"/>
  <c r="N371" i="11"/>
  <c r="M371" i="11"/>
  <c r="L371" i="11"/>
  <c r="AK370" i="11"/>
  <c r="Z370" i="11"/>
  <c r="U370" i="11"/>
  <c r="AF370" i="11" s="1"/>
  <c r="P370" i="11"/>
  <c r="L370" i="11"/>
  <c r="L369" i="11"/>
  <c r="AJ368" i="11"/>
  <c r="AH368" i="11"/>
  <c r="AC368" i="11"/>
  <c r="AE368" i="11" s="1"/>
  <c r="X368" i="11"/>
  <c r="Y368" i="11" s="1"/>
  <c r="T368" i="11"/>
  <c r="R368" i="11"/>
  <c r="N368" i="11"/>
  <c r="M368" i="11"/>
  <c r="L368" i="11"/>
  <c r="AK368" i="11" s="1"/>
  <c r="AK367" i="11"/>
  <c r="AJ367" i="11"/>
  <c r="AH367" i="11"/>
  <c r="AC367" i="11"/>
  <c r="AE367" i="11" s="1"/>
  <c r="Z367" i="11"/>
  <c r="Y367" i="11"/>
  <c r="X367" i="11"/>
  <c r="U367" i="11"/>
  <c r="AF367" i="11" s="1"/>
  <c r="T367" i="11"/>
  <c r="R367" i="11"/>
  <c r="P367" i="11"/>
  <c r="N367" i="11"/>
  <c r="M367" i="11"/>
  <c r="L367" i="11"/>
  <c r="AK366" i="11"/>
  <c r="Z366" i="11"/>
  <c r="U366" i="11"/>
  <c r="AF366" i="11" s="1"/>
  <c r="P366" i="11"/>
  <c r="L366" i="11"/>
  <c r="L365" i="11"/>
  <c r="AJ364" i="11"/>
  <c r="AH364" i="11"/>
  <c r="AC364" i="11"/>
  <c r="AE364" i="11" s="1"/>
  <c r="X364" i="11"/>
  <c r="Y364" i="11" s="1"/>
  <c r="T364" i="11"/>
  <c r="R364" i="11"/>
  <c r="N364" i="11"/>
  <c r="M364" i="11"/>
  <c r="L364" i="11"/>
  <c r="AK364" i="11" s="1"/>
  <c r="AK363" i="11"/>
  <c r="AJ363" i="11"/>
  <c r="AH363" i="11"/>
  <c r="AC363" i="11"/>
  <c r="AE363" i="11" s="1"/>
  <c r="Z363" i="11"/>
  <c r="Y363" i="11"/>
  <c r="X363" i="11"/>
  <c r="U363" i="11"/>
  <c r="AF363" i="11" s="1"/>
  <c r="T363" i="11"/>
  <c r="R363" i="11"/>
  <c r="P363" i="11"/>
  <c r="N363" i="11"/>
  <c r="M363" i="11"/>
  <c r="L363" i="11"/>
  <c r="AK362" i="11"/>
  <c r="Z362" i="11"/>
  <c r="U362" i="11"/>
  <c r="AF362" i="11" s="1"/>
  <c r="P362" i="11"/>
  <c r="L362" i="11"/>
  <c r="L361" i="11"/>
  <c r="AJ360" i="11"/>
  <c r="AH360" i="11"/>
  <c r="AC360" i="11"/>
  <c r="AE360" i="11" s="1"/>
  <c r="X360" i="11"/>
  <c r="Y360" i="11" s="1"/>
  <c r="T360" i="11"/>
  <c r="R360" i="11"/>
  <c r="N360" i="11"/>
  <c r="M360" i="11"/>
  <c r="L360" i="11"/>
  <c r="AK360" i="11" s="1"/>
  <c r="AK359" i="11"/>
  <c r="AJ359" i="11"/>
  <c r="AH359" i="11"/>
  <c r="AC359" i="11"/>
  <c r="AE359" i="11" s="1"/>
  <c r="Z359" i="11"/>
  <c r="Y359" i="11"/>
  <c r="X359" i="11"/>
  <c r="U359" i="11"/>
  <c r="AF359" i="11" s="1"/>
  <c r="T359" i="11"/>
  <c r="R359" i="11"/>
  <c r="P359" i="11"/>
  <c r="N359" i="11"/>
  <c r="M359" i="11"/>
  <c r="L359" i="11"/>
  <c r="AK358" i="11"/>
  <c r="Z358" i="11"/>
  <c r="U358" i="11"/>
  <c r="AF358" i="11" s="1"/>
  <c r="P358" i="11"/>
  <c r="L358" i="11"/>
  <c r="L357" i="11"/>
  <c r="AJ356" i="11"/>
  <c r="AH356" i="11"/>
  <c r="AC356" i="11"/>
  <c r="AE356" i="11" s="1"/>
  <c r="X356" i="11"/>
  <c r="Y356" i="11" s="1"/>
  <c r="T356" i="11"/>
  <c r="R356" i="11"/>
  <c r="N356" i="11"/>
  <c r="M356" i="11"/>
  <c r="L356" i="11"/>
  <c r="AK356" i="11" s="1"/>
  <c r="AK355" i="11"/>
  <c r="AJ355" i="11"/>
  <c r="AH355" i="11"/>
  <c r="AC355" i="11"/>
  <c r="AE355" i="11" s="1"/>
  <c r="Z355" i="11"/>
  <c r="Y355" i="11"/>
  <c r="X355" i="11"/>
  <c r="U355" i="11"/>
  <c r="AF355" i="11" s="1"/>
  <c r="T355" i="11"/>
  <c r="R355" i="11"/>
  <c r="P355" i="11"/>
  <c r="N355" i="11"/>
  <c r="M355" i="11"/>
  <c r="L355" i="11"/>
  <c r="AK354" i="11"/>
  <c r="Z354" i="11"/>
  <c r="U354" i="11"/>
  <c r="AF354" i="11" s="1"/>
  <c r="P354" i="11"/>
  <c r="L354" i="11"/>
  <c r="L353" i="11"/>
  <c r="AJ352" i="11"/>
  <c r="AH352" i="11"/>
  <c r="AC352" i="11"/>
  <c r="AE352" i="11" s="1"/>
  <c r="X352" i="11"/>
  <c r="Y352" i="11" s="1"/>
  <c r="T352" i="11"/>
  <c r="R352" i="11"/>
  <c r="N352" i="11"/>
  <c r="M352" i="11"/>
  <c r="L352" i="11"/>
  <c r="AK352" i="11" s="1"/>
  <c r="AK351" i="11"/>
  <c r="AJ351" i="11"/>
  <c r="AH351" i="11"/>
  <c r="AC351" i="11"/>
  <c r="AE351" i="11" s="1"/>
  <c r="Z351" i="11"/>
  <c r="Y351" i="11"/>
  <c r="X351" i="11"/>
  <c r="U351" i="11"/>
  <c r="AF351" i="11" s="1"/>
  <c r="T351" i="11"/>
  <c r="R351" i="11"/>
  <c r="P351" i="11"/>
  <c r="N351" i="11"/>
  <c r="M351" i="11"/>
  <c r="L351" i="11"/>
  <c r="AK350" i="11"/>
  <c r="Z350" i="11"/>
  <c r="U350" i="11"/>
  <c r="AF350" i="11" s="1"/>
  <c r="P350" i="11"/>
  <c r="L350" i="11"/>
  <c r="L349" i="11"/>
  <c r="AJ348" i="11"/>
  <c r="AH348" i="11"/>
  <c r="AC348" i="11"/>
  <c r="AE348" i="11" s="1"/>
  <c r="X348" i="11"/>
  <c r="Y348" i="11" s="1"/>
  <c r="T348" i="11"/>
  <c r="R348" i="11"/>
  <c r="N348" i="11"/>
  <c r="M348" i="11"/>
  <c r="L348" i="11"/>
  <c r="AK348" i="11" s="1"/>
  <c r="AK347" i="11"/>
  <c r="AJ347" i="11"/>
  <c r="AH347" i="11"/>
  <c r="AC347" i="11"/>
  <c r="AE347" i="11" s="1"/>
  <c r="Z347" i="11"/>
  <c r="Y347" i="11"/>
  <c r="X347" i="11"/>
  <c r="U347" i="11"/>
  <c r="AF347" i="11" s="1"/>
  <c r="T347" i="11"/>
  <c r="R347" i="11"/>
  <c r="P347" i="11"/>
  <c r="N347" i="11"/>
  <c r="M347" i="11"/>
  <c r="L347" i="11"/>
  <c r="AK346" i="11"/>
  <c r="Z346" i="11"/>
  <c r="U346" i="11"/>
  <c r="AF346" i="11" s="1"/>
  <c r="P346" i="11"/>
  <c r="L346" i="11"/>
  <c r="L345" i="11"/>
  <c r="AJ344" i="11"/>
  <c r="AH344" i="11"/>
  <c r="AC344" i="11"/>
  <c r="AE344" i="11" s="1"/>
  <c r="X344" i="11"/>
  <c r="Y344" i="11" s="1"/>
  <c r="T344" i="11"/>
  <c r="R344" i="11"/>
  <c r="N344" i="11"/>
  <c r="M344" i="11"/>
  <c r="L344" i="11"/>
  <c r="AK344" i="11" s="1"/>
  <c r="AK343" i="11"/>
  <c r="AJ343" i="11"/>
  <c r="AH343" i="11"/>
  <c r="AC343" i="11"/>
  <c r="AE343" i="11" s="1"/>
  <c r="Z343" i="11"/>
  <c r="Y343" i="11"/>
  <c r="X343" i="11"/>
  <c r="U343" i="11"/>
  <c r="AF343" i="11" s="1"/>
  <c r="T343" i="11"/>
  <c r="R343" i="11"/>
  <c r="P343" i="11"/>
  <c r="N343" i="11"/>
  <c r="M343" i="11"/>
  <c r="L343" i="11"/>
  <c r="AK342" i="11"/>
  <c r="Z342" i="11"/>
  <c r="U342" i="11"/>
  <c r="AF342" i="11" s="1"/>
  <c r="P342" i="11"/>
  <c r="L342" i="11"/>
  <c r="L341" i="11"/>
  <c r="AJ340" i="11"/>
  <c r="AH340" i="11"/>
  <c r="AC340" i="11"/>
  <c r="AE340" i="11" s="1"/>
  <c r="X340" i="11"/>
  <c r="Y340" i="11" s="1"/>
  <c r="T340" i="11"/>
  <c r="R340" i="11"/>
  <c r="N340" i="11"/>
  <c r="M340" i="11"/>
  <c r="L340" i="11"/>
  <c r="AK340" i="11" s="1"/>
  <c r="AK339" i="11"/>
  <c r="AJ339" i="11"/>
  <c r="AH339" i="11"/>
  <c r="AC339" i="11"/>
  <c r="AE339" i="11" s="1"/>
  <c r="Z339" i="11"/>
  <c r="Y339" i="11"/>
  <c r="X339" i="11"/>
  <c r="U339" i="11"/>
  <c r="AF339" i="11" s="1"/>
  <c r="T339" i="11"/>
  <c r="R339" i="11"/>
  <c r="P339" i="11"/>
  <c r="N339" i="11"/>
  <c r="M339" i="11"/>
  <c r="L339" i="11"/>
  <c r="AK338" i="11"/>
  <c r="Z338" i="11"/>
  <c r="U338" i="11"/>
  <c r="AF338" i="11" s="1"/>
  <c r="P338" i="11"/>
  <c r="L338" i="11"/>
  <c r="L337" i="11"/>
  <c r="AJ336" i="11"/>
  <c r="AH336" i="11"/>
  <c r="AC336" i="11"/>
  <c r="AE336" i="11" s="1"/>
  <c r="X336" i="11"/>
  <c r="Y336" i="11" s="1"/>
  <c r="T336" i="11"/>
  <c r="R336" i="11"/>
  <c r="N336" i="11"/>
  <c r="M336" i="11"/>
  <c r="L336" i="11"/>
  <c r="AK336" i="11" s="1"/>
  <c r="AK335" i="11"/>
  <c r="AJ335" i="11"/>
  <c r="AH335" i="11"/>
  <c r="AC335" i="11"/>
  <c r="AE335" i="11" s="1"/>
  <c r="Z335" i="11"/>
  <c r="Y335" i="11"/>
  <c r="X335" i="11"/>
  <c r="U335" i="11"/>
  <c r="AF335" i="11" s="1"/>
  <c r="T335" i="11"/>
  <c r="R335" i="11"/>
  <c r="P335" i="11"/>
  <c r="N335" i="11"/>
  <c r="M335" i="11"/>
  <c r="L335" i="11"/>
  <c r="AK334" i="11"/>
  <c r="Z334" i="11"/>
  <c r="U334" i="11"/>
  <c r="AF334" i="11" s="1"/>
  <c r="P334" i="11"/>
  <c r="L334" i="11"/>
  <c r="L333" i="11"/>
  <c r="AJ332" i="11"/>
  <c r="AH332" i="11"/>
  <c r="AC332" i="11"/>
  <c r="AE332" i="11" s="1"/>
  <c r="X332" i="11"/>
  <c r="Y332" i="11" s="1"/>
  <c r="T332" i="11"/>
  <c r="R332" i="11"/>
  <c r="N332" i="11"/>
  <c r="M332" i="11"/>
  <c r="L332" i="11"/>
  <c r="AK332" i="11" s="1"/>
  <c r="AK331" i="11"/>
  <c r="AJ331" i="11"/>
  <c r="AH331" i="11"/>
  <c r="AC331" i="11"/>
  <c r="AE331" i="11" s="1"/>
  <c r="Z331" i="11"/>
  <c r="Y331" i="11"/>
  <c r="X331" i="11"/>
  <c r="U331" i="11"/>
  <c r="AF331" i="11" s="1"/>
  <c r="T331" i="11"/>
  <c r="R331" i="11"/>
  <c r="P331" i="11"/>
  <c r="N331" i="11"/>
  <c r="M331" i="11"/>
  <c r="L331" i="11"/>
  <c r="AK330" i="11"/>
  <c r="Z330" i="11"/>
  <c r="U330" i="11"/>
  <c r="AF330" i="11" s="1"/>
  <c r="P330" i="11"/>
  <c r="L330" i="11"/>
  <c r="L329" i="11"/>
  <c r="AJ328" i="11"/>
  <c r="AH328" i="11"/>
  <c r="AC328" i="11"/>
  <c r="AE328" i="11" s="1"/>
  <c r="X328" i="11"/>
  <c r="Y328" i="11" s="1"/>
  <c r="T328" i="11"/>
  <c r="R328" i="11"/>
  <c r="N328" i="11"/>
  <c r="M328" i="11"/>
  <c r="L328" i="11"/>
  <c r="AK328" i="11" s="1"/>
  <c r="AK327" i="11"/>
  <c r="AJ327" i="11"/>
  <c r="AH327" i="11"/>
  <c r="AC327" i="11"/>
  <c r="AE327" i="11" s="1"/>
  <c r="Z327" i="11"/>
  <c r="Y327" i="11"/>
  <c r="X327" i="11"/>
  <c r="U327" i="11"/>
  <c r="AF327" i="11" s="1"/>
  <c r="T327" i="11"/>
  <c r="R327" i="11"/>
  <c r="P327" i="11"/>
  <c r="N327" i="11"/>
  <c r="M327" i="11"/>
  <c r="L327" i="11"/>
  <c r="AK326" i="11"/>
  <c r="Z326" i="11"/>
  <c r="U326" i="11"/>
  <c r="AF326" i="11" s="1"/>
  <c r="P326" i="11"/>
  <c r="L326" i="11"/>
  <c r="L325" i="11"/>
  <c r="AJ324" i="11"/>
  <c r="AH324" i="11"/>
  <c r="AC324" i="11"/>
  <c r="AE324" i="11" s="1"/>
  <c r="X324" i="11"/>
  <c r="Y324" i="11" s="1"/>
  <c r="T324" i="11"/>
  <c r="R324" i="11"/>
  <c r="N324" i="11"/>
  <c r="M324" i="11"/>
  <c r="L324" i="11"/>
  <c r="AK324" i="11" s="1"/>
  <c r="AK323" i="11"/>
  <c r="AJ323" i="11"/>
  <c r="AH323" i="11"/>
  <c r="AC323" i="11"/>
  <c r="AE323" i="11" s="1"/>
  <c r="Z323" i="11"/>
  <c r="Y323" i="11"/>
  <c r="X323" i="11"/>
  <c r="U323" i="11"/>
  <c r="AF323" i="11" s="1"/>
  <c r="T323" i="11"/>
  <c r="R323" i="11"/>
  <c r="P323" i="11"/>
  <c r="N323" i="11"/>
  <c r="M323" i="11"/>
  <c r="L323" i="11"/>
  <c r="AK322" i="11"/>
  <c r="Z322" i="11"/>
  <c r="U322" i="11"/>
  <c r="AF322" i="11" s="1"/>
  <c r="P322" i="11"/>
  <c r="L322" i="11"/>
  <c r="L321" i="11"/>
  <c r="AJ320" i="11"/>
  <c r="AH320" i="11"/>
  <c r="AC320" i="11"/>
  <c r="AE320" i="11" s="1"/>
  <c r="X320" i="11"/>
  <c r="Y320" i="11" s="1"/>
  <c r="T320" i="11"/>
  <c r="R320" i="11"/>
  <c r="N320" i="11"/>
  <c r="M320" i="11"/>
  <c r="L320" i="11"/>
  <c r="AK320" i="11" s="1"/>
  <c r="AK319" i="11"/>
  <c r="AJ319" i="11"/>
  <c r="AH319" i="11"/>
  <c r="AC319" i="11"/>
  <c r="AE319" i="11" s="1"/>
  <c r="Z319" i="11"/>
  <c r="Y319" i="11"/>
  <c r="X319" i="11"/>
  <c r="U319" i="11"/>
  <c r="AF319" i="11" s="1"/>
  <c r="T319" i="11"/>
  <c r="R319" i="11"/>
  <c r="P319" i="11"/>
  <c r="N319" i="11"/>
  <c r="M319" i="11"/>
  <c r="L319" i="11"/>
  <c r="AK318" i="11"/>
  <c r="Z318" i="11"/>
  <c r="U318" i="11"/>
  <c r="AF318" i="11" s="1"/>
  <c r="P318" i="11"/>
  <c r="L318" i="11"/>
  <c r="L317" i="11"/>
  <c r="AJ316" i="11"/>
  <c r="AH316" i="11"/>
  <c r="AC316" i="11"/>
  <c r="AE316" i="11" s="1"/>
  <c r="X316" i="11"/>
  <c r="Y316" i="11" s="1"/>
  <c r="T316" i="11"/>
  <c r="R316" i="11"/>
  <c r="N316" i="11"/>
  <c r="M316" i="11"/>
  <c r="L316" i="11"/>
  <c r="AK316" i="11" s="1"/>
  <c r="AK315" i="11"/>
  <c r="AJ315" i="11"/>
  <c r="AH315" i="11"/>
  <c r="AC315" i="11"/>
  <c r="AE315" i="11" s="1"/>
  <c r="Z315" i="11"/>
  <c r="Y315" i="11"/>
  <c r="X315" i="11"/>
  <c r="U315" i="11"/>
  <c r="AF315" i="11" s="1"/>
  <c r="T315" i="11"/>
  <c r="R315" i="11"/>
  <c r="P315" i="11"/>
  <c r="N315" i="11"/>
  <c r="M315" i="11"/>
  <c r="L315" i="11"/>
  <c r="AK314" i="11"/>
  <c r="Z314" i="11"/>
  <c r="U314" i="11"/>
  <c r="AF314" i="11" s="1"/>
  <c r="P314" i="11"/>
  <c r="L314" i="11"/>
  <c r="L313" i="11"/>
  <c r="AJ312" i="11"/>
  <c r="AH312" i="11"/>
  <c r="AC312" i="11"/>
  <c r="AE312" i="11" s="1"/>
  <c r="X312" i="11"/>
  <c r="Y312" i="11" s="1"/>
  <c r="T312" i="11"/>
  <c r="R312" i="11"/>
  <c r="N312" i="11"/>
  <c r="M312" i="11"/>
  <c r="L312" i="11"/>
  <c r="AK312" i="11" s="1"/>
  <c r="AK311" i="11"/>
  <c r="AJ311" i="11"/>
  <c r="AH311" i="11"/>
  <c r="AC311" i="11"/>
  <c r="AE311" i="11" s="1"/>
  <c r="Z311" i="11"/>
  <c r="Y311" i="11"/>
  <c r="X311" i="11"/>
  <c r="U311" i="11"/>
  <c r="AF311" i="11" s="1"/>
  <c r="T311" i="11"/>
  <c r="R311" i="11"/>
  <c r="P311" i="11"/>
  <c r="N311" i="11"/>
  <c r="M311" i="11"/>
  <c r="L311" i="11"/>
  <c r="AK310" i="11"/>
  <c r="Z310" i="11"/>
  <c r="U310" i="11"/>
  <c r="AF310" i="11" s="1"/>
  <c r="P310" i="11"/>
  <c r="L310" i="11"/>
  <c r="L309" i="11"/>
  <c r="AJ308" i="11"/>
  <c r="AH308" i="11"/>
  <c r="AC308" i="11"/>
  <c r="AE308" i="11" s="1"/>
  <c r="X308" i="11"/>
  <c r="Y308" i="11" s="1"/>
  <c r="T308" i="11"/>
  <c r="R308" i="11"/>
  <c r="N308" i="11"/>
  <c r="M308" i="11"/>
  <c r="L308" i="11"/>
  <c r="AK308" i="11" s="1"/>
  <c r="AK307" i="11"/>
  <c r="AJ307" i="11"/>
  <c r="AH307" i="11"/>
  <c r="AC307" i="11"/>
  <c r="AE307" i="11" s="1"/>
  <c r="Z307" i="11"/>
  <c r="Y307" i="11"/>
  <c r="X307" i="11"/>
  <c r="U307" i="11"/>
  <c r="AF307" i="11" s="1"/>
  <c r="T307" i="11"/>
  <c r="R307" i="11"/>
  <c r="P307" i="11"/>
  <c r="N307" i="11"/>
  <c r="M307" i="11"/>
  <c r="L307" i="11"/>
  <c r="AK306" i="11"/>
  <c r="Z306" i="11"/>
  <c r="U306" i="11"/>
  <c r="AF306" i="11" s="1"/>
  <c r="P306" i="11"/>
  <c r="L306" i="11"/>
  <c r="L305" i="11"/>
  <c r="AJ304" i="11"/>
  <c r="AH304" i="11"/>
  <c r="AC304" i="11"/>
  <c r="AE304" i="11" s="1"/>
  <c r="X304" i="11"/>
  <c r="Y304" i="11" s="1"/>
  <c r="T304" i="11"/>
  <c r="R304" i="11"/>
  <c r="N304" i="11"/>
  <c r="M304" i="11"/>
  <c r="L304" i="11"/>
  <c r="AK304" i="11" s="1"/>
  <c r="AK303" i="11"/>
  <c r="AJ303" i="11"/>
  <c r="AH303" i="11"/>
  <c r="AC303" i="11"/>
  <c r="AE303" i="11" s="1"/>
  <c r="Z303" i="11"/>
  <c r="Y303" i="11"/>
  <c r="X303" i="11"/>
  <c r="U303" i="11"/>
  <c r="AF303" i="11" s="1"/>
  <c r="T303" i="11"/>
  <c r="R303" i="11"/>
  <c r="P303" i="11"/>
  <c r="N303" i="11"/>
  <c r="M303" i="11"/>
  <c r="L303" i="11"/>
  <c r="AK302" i="11"/>
  <c r="Z302" i="11"/>
  <c r="U302" i="11"/>
  <c r="AF302" i="11" s="1"/>
  <c r="P302" i="11"/>
  <c r="L302" i="11"/>
  <c r="L301" i="11"/>
  <c r="AJ300" i="11"/>
  <c r="AH300" i="11"/>
  <c r="AC300" i="11"/>
  <c r="AE300" i="11" s="1"/>
  <c r="X300" i="11"/>
  <c r="Y300" i="11" s="1"/>
  <c r="T300" i="11"/>
  <c r="R300" i="11"/>
  <c r="N300" i="11"/>
  <c r="M300" i="11"/>
  <c r="L300" i="11"/>
  <c r="AK300" i="11" s="1"/>
  <c r="AK299" i="11"/>
  <c r="AJ299" i="11"/>
  <c r="AH299" i="11"/>
  <c r="AC299" i="11"/>
  <c r="AE299" i="11" s="1"/>
  <c r="Z299" i="11"/>
  <c r="Y299" i="11"/>
  <c r="X299" i="11"/>
  <c r="U299" i="11"/>
  <c r="AF299" i="11" s="1"/>
  <c r="T299" i="11"/>
  <c r="R299" i="11"/>
  <c r="P299" i="11"/>
  <c r="N299" i="11"/>
  <c r="M299" i="11"/>
  <c r="L299" i="11"/>
  <c r="AK298" i="11"/>
  <c r="Z298" i="11"/>
  <c r="U298" i="11"/>
  <c r="AF298" i="11" s="1"/>
  <c r="P298" i="11"/>
  <c r="L298" i="11"/>
  <c r="L297" i="11"/>
  <c r="AJ296" i="11"/>
  <c r="AH296" i="11"/>
  <c r="AC296" i="11"/>
  <c r="AE296" i="11" s="1"/>
  <c r="X296" i="11"/>
  <c r="Y296" i="11" s="1"/>
  <c r="T296" i="11"/>
  <c r="R296" i="11"/>
  <c r="N296" i="11"/>
  <c r="M296" i="11"/>
  <c r="L296" i="11"/>
  <c r="AK296" i="11" s="1"/>
  <c r="AK295" i="11"/>
  <c r="AJ295" i="11"/>
  <c r="AH295" i="11"/>
  <c r="AC295" i="11"/>
  <c r="AE295" i="11" s="1"/>
  <c r="Z295" i="11"/>
  <c r="Y295" i="11"/>
  <c r="X295" i="11"/>
  <c r="U295" i="11"/>
  <c r="AF295" i="11" s="1"/>
  <c r="T295" i="11"/>
  <c r="R295" i="11"/>
  <c r="P295" i="11"/>
  <c r="N295" i="11"/>
  <c r="M295" i="11"/>
  <c r="L295" i="11"/>
  <c r="AK294" i="11"/>
  <c r="Z294" i="11"/>
  <c r="U294" i="11"/>
  <c r="AF294" i="11" s="1"/>
  <c r="P294" i="11"/>
  <c r="L294" i="11"/>
  <c r="L293" i="11"/>
  <c r="AJ292" i="11"/>
  <c r="AH292" i="11"/>
  <c r="AC292" i="11"/>
  <c r="AE292" i="11" s="1"/>
  <c r="X292" i="11"/>
  <c r="Y292" i="11" s="1"/>
  <c r="T292" i="11"/>
  <c r="R292" i="11"/>
  <c r="N292" i="11"/>
  <c r="M292" i="11"/>
  <c r="L292" i="11"/>
  <c r="AK292" i="11" s="1"/>
  <c r="AK291" i="11"/>
  <c r="AJ291" i="11"/>
  <c r="AH291" i="11"/>
  <c r="AC291" i="11"/>
  <c r="AE291" i="11" s="1"/>
  <c r="Z291" i="11"/>
  <c r="Y291" i="11"/>
  <c r="X291" i="11"/>
  <c r="U291" i="11"/>
  <c r="AF291" i="11" s="1"/>
  <c r="T291" i="11"/>
  <c r="R291" i="11"/>
  <c r="P291" i="11"/>
  <c r="N291" i="11"/>
  <c r="M291" i="11"/>
  <c r="L291" i="11"/>
  <c r="AK290" i="11"/>
  <c r="Z290" i="11"/>
  <c r="U290" i="11"/>
  <c r="AF290" i="11" s="1"/>
  <c r="P290" i="11"/>
  <c r="L290" i="11"/>
  <c r="L289" i="11"/>
  <c r="AJ288" i="11"/>
  <c r="AH288" i="11"/>
  <c r="AC288" i="11"/>
  <c r="AE288" i="11" s="1"/>
  <c r="X288" i="11"/>
  <c r="Y288" i="11" s="1"/>
  <c r="T288" i="11"/>
  <c r="R288" i="11"/>
  <c r="N288" i="11"/>
  <c r="M288" i="11"/>
  <c r="L288" i="11"/>
  <c r="AK288" i="11" s="1"/>
  <c r="AK287" i="11"/>
  <c r="AJ287" i="11"/>
  <c r="AH287" i="11"/>
  <c r="AC287" i="11"/>
  <c r="AE287" i="11" s="1"/>
  <c r="Z287" i="11"/>
  <c r="Y287" i="11"/>
  <c r="X287" i="11"/>
  <c r="U287" i="11"/>
  <c r="AF287" i="11" s="1"/>
  <c r="T287" i="11"/>
  <c r="R287" i="11"/>
  <c r="P287" i="11"/>
  <c r="N287" i="11"/>
  <c r="M287" i="11"/>
  <c r="L287" i="11"/>
  <c r="AK286" i="11"/>
  <c r="Z286" i="11"/>
  <c r="U286" i="11"/>
  <c r="AF286" i="11" s="1"/>
  <c r="P286" i="11"/>
  <c r="L286" i="11"/>
  <c r="L285" i="11"/>
  <c r="AJ284" i="11"/>
  <c r="AH284" i="11"/>
  <c r="AC284" i="11"/>
  <c r="AE284" i="11" s="1"/>
  <c r="X284" i="11"/>
  <c r="Y284" i="11" s="1"/>
  <c r="T284" i="11"/>
  <c r="R284" i="11"/>
  <c r="N284" i="11"/>
  <c r="M284" i="11"/>
  <c r="L284" i="11"/>
  <c r="AK284" i="11" s="1"/>
  <c r="AK283" i="11"/>
  <c r="AJ283" i="11"/>
  <c r="AH283" i="11"/>
  <c r="AC283" i="11"/>
  <c r="AE283" i="11" s="1"/>
  <c r="Z283" i="11"/>
  <c r="Y283" i="11"/>
  <c r="X283" i="11"/>
  <c r="U283" i="11"/>
  <c r="AF283" i="11" s="1"/>
  <c r="T283" i="11"/>
  <c r="R283" i="11"/>
  <c r="P283" i="11"/>
  <c r="N283" i="11"/>
  <c r="M283" i="11"/>
  <c r="L283" i="11"/>
  <c r="AK282" i="11"/>
  <c r="Z282" i="11"/>
  <c r="U282" i="11"/>
  <c r="AF282" i="11" s="1"/>
  <c r="P282" i="11"/>
  <c r="L282" i="11"/>
  <c r="L281" i="11"/>
  <c r="AJ280" i="11"/>
  <c r="AH280" i="11"/>
  <c r="AC280" i="11"/>
  <c r="AE280" i="11" s="1"/>
  <c r="X280" i="11"/>
  <c r="Y280" i="11" s="1"/>
  <c r="T280" i="11"/>
  <c r="R280" i="11"/>
  <c r="N280" i="11"/>
  <c r="M280" i="11"/>
  <c r="L280" i="11"/>
  <c r="AK280" i="11" s="1"/>
  <c r="AK279" i="11"/>
  <c r="AJ279" i="11"/>
  <c r="AH279" i="11"/>
  <c r="AC279" i="11"/>
  <c r="AE279" i="11" s="1"/>
  <c r="Z279" i="11"/>
  <c r="Y279" i="11"/>
  <c r="X279" i="11"/>
  <c r="U279" i="11"/>
  <c r="AF279" i="11" s="1"/>
  <c r="T279" i="11"/>
  <c r="R279" i="11"/>
  <c r="P279" i="11"/>
  <c r="N279" i="11"/>
  <c r="M279" i="11"/>
  <c r="L279" i="11"/>
  <c r="AK278" i="11"/>
  <c r="Z278" i="11"/>
  <c r="U278" i="11"/>
  <c r="AF278" i="11" s="1"/>
  <c r="P278" i="11"/>
  <c r="L278" i="11"/>
  <c r="L277" i="11"/>
  <c r="AJ276" i="11"/>
  <c r="AH276" i="11"/>
  <c r="AC276" i="11"/>
  <c r="AE276" i="11" s="1"/>
  <c r="X276" i="11"/>
  <c r="Y276" i="11" s="1"/>
  <c r="T276" i="11"/>
  <c r="R276" i="11"/>
  <c r="N276" i="11"/>
  <c r="M276" i="11"/>
  <c r="L276" i="11"/>
  <c r="AK276" i="11" s="1"/>
  <c r="AK275" i="11"/>
  <c r="AJ275" i="11"/>
  <c r="AH275" i="11"/>
  <c r="AC275" i="11"/>
  <c r="AE275" i="11" s="1"/>
  <c r="Z275" i="11"/>
  <c r="Y275" i="11"/>
  <c r="X275" i="11"/>
  <c r="U275" i="11"/>
  <c r="AF275" i="11" s="1"/>
  <c r="T275" i="11"/>
  <c r="R275" i="11"/>
  <c r="P275" i="11"/>
  <c r="N275" i="11"/>
  <c r="M275" i="11"/>
  <c r="L275" i="11"/>
  <c r="AK274" i="11"/>
  <c r="Z274" i="11"/>
  <c r="U274" i="11"/>
  <c r="AF274" i="11" s="1"/>
  <c r="P274" i="11"/>
  <c r="L274" i="11"/>
  <c r="L273" i="11"/>
  <c r="AJ272" i="11"/>
  <c r="AH272" i="11"/>
  <c r="AC272" i="11"/>
  <c r="AE272" i="11" s="1"/>
  <c r="X272" i="11"/>
  <c r="Y272" i="11" s="1"/>
  <c r="T272" i="11"/>
  <c r="R272" i="11"/>
  <c r="N272" i="11"/>
  <c r="M272" i="11"/>
  <c r="L272" i="11"/>
  <c r="AK272" i="11" s="1"/>
  <c r="AK271" i="11"/>
  <c r="AJ271" i="11"/>
  <c r="AH271" i="11"/>
  <c r="AC271" i="11"/>
  <c r="AE271" i="11" s="1"/>
  <c r="Z271" i="11"/>
  <c r="Y271" i="11"/>
  <c r="X271" i="11"/>
  <c r="U271" i="11"/>
  <c r="AF271" i="11" s="1"/>
  <c r="T271" i="11"/>
  <c r="R271" i="11"/>
  <c r="P271" i="11"/>
  <c r="N271" i="11"/>
  <c r="M271" i="11"/>
  <c r="L271" i="11"/>
  <c r="AK270" i="11"/>
  <c r="Z270" i="11"/>
  <c r="U270" i="11"/>
  <c r="AF270" i="11" s="1"/>
  <c r="P270" i="11"/>
  <c r="L270" i="11"/>
  <c r="L269" i="11"/>
  <c r="AJ268" i="11"/>
  <c r="AH268" i="11"/>
  <c r="AC268" i="11"/>
  <c r="AE268" i="11" s="1"/>
  <c r="X268" i="11"/>
  <c r="Y268" i="11" s="1"/>
  <c r="T268" i="11"/>
  <c r="R268" i="11"/>
  <c r="N268" i="11"/>
  <c r="M268" i="11"/>
  <c r="L268" i="11"/>
  <c r="AK268" i="11" s="1"/>
  <c r="AK267" i="11"/>
  <c r="AJ267" i="11"/>
  <c r="AH267" i="11"/>
  <c r="AC267" i="11"/>
  <c r="AE267" i="11" s="1"/>
  <c r="Z267" i="11"/>
  <c r="Y267" i="11"/>
  <c r="X267" i="11"/>
  <c r="U267" i="11"/>
  <c r="AF267" i="11" s="1"/>
  <c r="T267" i="11"/>
  <c r="R267" i="11"/>
  <c r="P267" i="11"/>
  <c r="N267" i="11"/>
  <c r="M267" i="11"/>
  <c r="L267" i="11"/>
  <c r="AK266" i="11"/>
  <c r="Z266" i="11"/>
  <c r="U266" i="11"/>
  <c r="AF266" i="11" s="1"/>
  <c r="P266" i="11"/>
  <c r="L266" i="11"/>
  <c r="L265" i="11"/>
  <c r="AJ264" i="11"/>
  <c r="AH264" i="11"/>
  <c r="AC264" i="11"/>
  <c r="AE264" i="11" s="1"/>
  <c r="X264" i="11"/>
  <c r="Y264" i="11" s="1"/>
  <c r="T264" i="11"/>
  <c r="R264" i="11"/>
  <c r="N264" i="11"/>
  <c r="M264" i="11"/>
  <c r="L264" i="11"/>
  <c r="AK264" i="11" s="1"/>
  <c r="AK263" i="11"/>
  <c r="AJ263" i="11"/>
  <c r="AH263" i="11"/>
  <c r="AC263" i="11"/>
  <c r="AE263" i="11" s="1"/>
  <c r="Z263" i="11"/>
  <c r="Y263" i="11"/>
  <c r="X263" i="11"/>
  <c r="U263" i="11"/>
  <c r="AF263" i="11" s="1"/>
  <c r="T263" i="11"/>
  <c r="R263" i="11"/>
  <c r="P263" i="11"/>
  <c r="N263" i="11"/>
  <c r="M263" i="11"/>
  <c r="L263" i="11"/>
  <c r="AK262" i="11"/>
  <c r="Z262" i="11"/>
  <c r="U262" i="11"/>
  <c r="AF262" i="11" s="1"/>
  <c r="P262" i="11"/>
  <c r="L262" i="11"/>
  <c r="L261" i="11"/>
  <c r="AJ260" i="11"/>
  <c r="AH260" i="11"/>
  <c r="AC260" i="11"/>
  <c r="AE260" i="11" s="1"/>
  <c r="X260" i="11"/>
  <c r="Y260" i="11" s="1"/>
  <c r="T260" i="11"/>
  <c r="R260" i="11"/>
  <c r="N260" i="11"/>
  <c r="M260" i="11"/>
  <c r="L260" i="11"/>
  <c r="AK260" i="11" s="1"/>
  <c r="AK259" i="11"/>
  <c r="AJ259" i="11"/>
  <c r="AH259" i="11"/>
  <c r="AC259" i="11"/>
  <c r="AE259" i="11" s="1"/>
  <c r="Z259" i="11"/>
  <c r="Y259" i="11"/>
  <c r="X259" i="11"/>
  <c r="U259" i="11"/>
  <c r="AF259" i="11" s="1"/>
  <c r="T259" i="11"/>
  <c r="R259" i="11"/>
  <c r="P259" i="11"/>
  <c r="N259" i="11"/>
  <c r="M259" i="11"/>
  <c r="L259" i="11"/>
  <c r="AK258" i="11"/>
  <c r="Z258" i="11"/>
  <c r="U258" i="11"/>
  <c r="AF258" i="11" s="1"/>
  <c r="P258" i="11"/>
  <c r="L258" i="11"/>
  <c r="L257" i="11"/>
  <c r="AJ256" i="11"/>
  <c r="AH256" i="11"/>
  <c r="AC256" i="11"/>
  <c r="AE256" i="11" s="1"/>
  <c r="X256" i="11"/>
  <c r="Y256" i="11" s="1"/>
  <c r="T256" i="11"/>
  <c r="R256" i="11"/>
  <c r="N256" i="11"/>
  <c r="M256" i="11"/>
  <c r="L256" i="11"/>
  <c r="AK256" i="11" s="1"/>
  <c r="AK255" i="11"/>
  <c r="AJ255" i="11"/>
  <c r="AH255" i="11"/>
  <c r="AC255" i="11"/>
  <c r="AE255" i="11" s="1"/>
  <c r="Z255" i="11"/>
  <c r="Y255" i="11"/>
  <c r="X255" i="11"/>
  <c r="U255" i="11"/>
  <c r="AF255" i="11" s="1"/>
  <c r="T255" i="11"/>
  <c r="R255" i="11"/>
  <c r="P255" i="11"/>
  <c r="N255" i="11"/>
  <c r="M255" i="11"/>
  <c r="L255" i="11"/>
  <c r="AK254" i="11"/>
  <c r="Z254" i="11"/>
  <c r="U254" i="11"/>
  <c r="AF254" i="11" s="1"/>
  <c r="P254" i="11"/>
  <c r="L254" i="11"/>
  <c r="L253" i="11"/>
  <c r="AJ252" i="11"/>
  <c r="AH252" i="11"/>
  <c r="AC252" i="11"/>
  <c r="AE252" i="11" s="1"/>
  <c r="X252" i="11"/>
  <c r="Y252" i="11" s="1"/>
  <c r="T252" i="11"/>
  <c r="R252" i="11"/>
  <c r="N252" i="11"/>
  <c r="M252" i="11"/>
  <c r="L252" i="11"/>
  <c r="AK252" i="11" s="1"/>
  <c r="AK251" i="11"/>
  <c r="AJ251" i="11"/>
  <c r="AH251" i="11"/>
  <c r="AC251" i="11"/>
  <c r="AE251" i="11" s="1"/>
  <c r="Z251" i="11"/>
  <c r="Y251" i="11"/>
  <c r="X251" i="11"/>
  <c r="U251" i="11"/>
  <c r="AF251" i="11" s="1"/>
  <c r="T251" i="11"/>
  <c r="R251" i="11"/>
  <c r="P251" i="11"/>
  <c r="N251" i="11"/>
  <c r="M251" i="11"/>
  <c r="L251" i="11"/>
  <c r="AK250" i="11"/>
  <c r="Z250" i="11"/>
  <c r="U250" i="11"/>
  <c r="AF250" i="11" s="1"/>
  <c r="P250" i="11"/>
  <c r="L250" i="11"/>
  <c r="L249" i="11"/>
  <c r="AJ248" i="11"/>
  <c r="AH248" i="11"/>
  <c r="AC248" i="11"/>
  <c r="AE248" i="11" s="1"/>
  <c r="X248" i="11"/>
  <c r="Y248" i="11" s="1"/>
  <c r="T248" i="11"/>
  <c r="R248" i="11"/>
  <c r="N248" i="11"/>
  <c r="M248" i="11"/>
  <c r="L248" i="11"/>
  <c r="AK248" i="11" s="1"/>
  <c r="AK247" i="11"/>
  <c r="AJ247" i="11"/>
  <c r="AH247" i="11"/>
  <c r="AC247" i="11"/>
  <c r="AE247" i="11" s="1"/>
  <c r="Z247" i="11"/>
  <c r="Y247" i="11"/>
  <c r="X247" i="11"/>
  <c r="U247" i="11"/>
  <c r="AF247" i="11" s="1"/>
  <c r="T247" i="11"/>
  <c r="R247" i="11"/>
  <c r="P247" i="11"/>
  <c r="N247" i="11"/>
  <c r="M247" i="11"/>
  <c r="L247" i="11"/>
  <c r="AK246" i="11"/>
  <c r="Z246" i="11"/>
  <c r="U246" i="11"/>
  <c r="AF246" i="11" s="1"/>
  <c r="P246" i="11"/>
  <c r="L246" i="11"/>
  <c r="L245" i="11"/>
  <c r="AJ244" i="11"/>
  <c r="AH244" i="11"/>
  <c r="AC244" i="11"/>
  <c r="AE244" i="11" s="1"/>
  <c r="X244" i="11"/>
  <c r="Y244" i="11" s="1"/>
  <c r="T244" i="11"/>
  <c r="R244" i="11"/>
  <c r="N244" i="11"/>
  <c r="M244" i="11"/>
  <c r="L244" i="11"/>
  <c r="AK244" i="11" s="1"/>
  <c r="AK243" i="11"/>
  <c r="AJ243" i="11"/>
  <c r="AH243" i="11"/>
  <c r="AC243" i="11"/>
  <c r="AE243" i="11" s="1"/>
  <c r="Z243" i="11"/>
  <c r="Y243" i="11"/>
  <c r="X243" i="11"/>
  <c r="U243" i="11"/>
  <c r="AF243" i="11" s="1"/>
  <c r="T243" i="11"/>
  <c r="R243" i="11"/>
  <c r="P243" i="11"/>
  <c r="N243" i="11"/>
  <c r="M243" i="11"/>
  <c r="L243" i="11"/>
  <c r="AK242" i="11"/>
  <c r="Z242" i="11"/>
  <c r="U242" i="11"/>
  <c r="AF242" i="11" s="1"/>
  <c r="P242" i="11"/>
  <c r="L242" i="11"/>
  <c r="L241" i="11"/>
  <c r="AJ240" i="11"/>
  <c r="AH240" i="11"/>
  <c r="AC240" i="11"/>
  <c r="AE240" i="11" s="1"/>
  <c r="X240" i="11"/>
  <c r="Y240" i="11" s="1"/>
  <c r="T240" i="11"/>
  <c r="R240" i="11"/>
  <c r="N240" i="11"/>
  <c r="M240" i="11"/>
  <c r="L240" i="11"/>
  <c r="AK240" i="11" s="1"/>
  <c r="AK239" i="11"/>
  <c r="AJ239" i="11"/>
  <c r="AH239" i="11"/>
  <c r="AC239" i="11"/>
  <c r="AE239" i="11" s="1"/>
  <c r="Z239" i="11"/>
  <c r="Y239" i="11"/>
  <c r="X239" i="11"/>
  <c r="U239" i="11"/>
  <c r="AF239" i="11" s="1"/>
  <c r="T239" i="11"/>
  <c r="R239" i="11"/>
  <c r="P239" i="11"/>
  <c r="N239" i="11"/>
  <c r="M239" i="11"/>
  <c r="L239" i="11"/>
  <c r="AK238" i="11"/>
  <c r="Z238" i="11"/>
  <c r="U238" i="11"/>
  <c r="AF238" i="11" s="1"/>
  <c r="P238" i="11"/>
  <c r="L238" i="11"/>
  <c r="L237" i="11"/>
  <c r="AJ236" i="11"/>
  <c r="AH236" i="11"/>
  <c r="AC236" i="11"/>
  <c r="AE236" i="11" s="1"/>
  <c r="X236" i="11"/>
  <c r="Y236" i="11" s="1"/>
  <c r="T236" i="11"/>
  <c r="R236" i="11"/>
  <c r="N236" i="11"/>
  <c r="M236" i="11"/>
  <c r="L236" i="11"/>
  <c r="AK236" i="11" s="1"/>
  <c r="AK235" i="11"/>
  <c r="AJ235" i="11"/>
  <c r="AH235" i="11"/>
  <c r="AC235" i="11"/>
  <c r="AE235" i="11" s="1"/>
  <c r="Z235" i="11"/>
  <c r="Y235" i="11"/>
  <c r="X235" i="11"/>
  <c r="U235" i="11"/>
  <c r="AF235" i="11" s="1"/>
  <c r="T235" i="11"/>
  <c r="R235" i="11"/>
  <c r="P235" i="11"/>
  <c r="N235" i="11"/>
  <c r="M235" i="11"/>
  <c r="L235" i="11"/>
  <c r="AK234" i="11"/>
  <c r="Z234" i="11"/>
  <c r="U234" i="11"/>
  <c r="AF234" i="11" s="1"/>
  <c r="P234" i="11"/>
  <c r="L234" i="11"/>
  <c r="L233" i="11"/>
  <c r="AJ232" i="11"/>
  <c r="AH232" i="11"/>
  <c r="AC232" i="11"/>
  <c r="AE232" i="11" s="1"/>
  <c r="X232" i="11"/>
  <c r="Y232" i="11" s="1"/>
  <c r="T232" i="11"/>
  <c r="R232" i="11"/>
  <c r="N232" i="11"/>
  <c r="M232" i="11"/>
  <c r="L232" i="11"/>
  <c r="AK232" i="11" s="1"/>
  <c r="AK231" i="11"/>
  <c r="AJ231" i="11"/>
  <c r="AH231" i="11"/>
  <c r="AC231" i="11"/>
  <c r="AE231" i="11" s="1"/>
  <c r="Z231" i="11"/>
  <c r="Y231" i="11"/>
  <c r="X231" i="11"/>
  <c r="U231" i="11"/>
  <c r="AF231" i="11" s="1"/>
  <c r="T231" i="11"/>
  <c r="R231" i="11"/>
  <c r="P231" i="11"/>
  <c r="N231" i="11"/>
  <c r="M231" i="11"/>
  <c r="L231" i="11"/>
  <c r="AK230" i="11"/>
  <c r="Z230" i="11"/>
  <c r="U230" i="11"/>
  <c r="AF230" i="11" s="1"/>
  <c r="P230" i="11"/>
  <c r="L230" i="11"/>
  <c r="L229" i="11"/>
  <c r="AJ228" i="11"/>
  <c r="AH228" i="11"/>
  <c r="AC228" i="11"/>
  <c r="AE228" i="11" s="1"/>
  <c r="X228" i="11"/>
  <c r="Y228" i="11" s="1"/>
  <c r="T228" i="11"/>
  <c r="R228" i="11"/>
  <c r="N228" i="11"/>
  <c r="M228" i="11"/>
  <c r="L228" i="11"/>
  <c r="AK228" i="11" s="1"/>
  <c r="AK227" i="11"/>
  <c r="AJ227" i="11"/>
  <c r="AH227" i="11"/>
  <c r="AC227" i="11"/>
  <c r="AE227" i="11" s="1"/>
  <c r="Z227" i="11"/>
  <c r="Y227" i="11"/>
  <c r="X227" i="11"/>
  <c r="U227" i="11"/>
  <c r="AF227" i="11" s="1"/>
  <c r="T227" i="11"/>
  <c r="R227" i="11"/>
  <c r="P227" i="11"/>
  <c r="N227" i="11"/>
  <c r="M227" i="11"/>
  <c r="L227" i="11"/>
  <c r="AK226" i="11"/>
  <c r="Z226" i="11"/>
  <c r="U226" i="11"/>
  <c r="AF226" i="11" s="1"/>
  <c r="P226" i="11"/>
  <c r="L226" i="11"/>
  <c r="L225" i="11"/>
  <c r="AJ224" i="11"/>
  <c r="AH224" i="11"/>
  <c r="AC224" i="11"/>
  <c r="AE224" i="11" s="1"/>
  <c r="X224" i="11"/>
  <c r="Y224" i="11" s="1"/>
  <c r="T224" i="11"/>
  <c r="R224" i="11"/>
  <c r="N224" i="11"/>
  <c r="M224" i="11"/>
  <c r="L224" i="11"/>
  <c r="AK224" i="11" s="1"/>
  <c r="AK223" i="11"/>
  <c r="AJ223" i="11"/>
  <c r="AH223" i="11"/>
  <c r="AC223" i="11"/>
  <c r="AE223" i="11" s="1"/>
  <c r="Z223" i="11"/>
  <c r="Y223" i="11"/>
  <c r="X223" i="11"/>
  <c r="U223" i="11"/>
  <c r="AF223" i="11" s="1"/>
  <c r="T223" i="11"/>
  <c r="R223" i="11"/>
  <c r="P223" i="11"/>
  <c r="N223" i="11"/>
  <c r="M223" i="11"/>
  <c r="L223" i="11"/>
  <c r="AK222" i="11"/>
  <c r="Z222" i="11"/>
  <c r="U222" i="11"/>
  <c r="AF222" i="11" s="1"/>
  <c r="P222" i="11"/>
  <c r="L222" i="11"/>
  <c r="L221" i="11"/>
  <c r="AJ220" i="11"/>
  <c r="AH220" i="11"/>
  <c r="AC220" i="11"/>
  <c r="AE220" i="11" s="1"/>
  <c r="X220" i="11"/>
  <c r="Y220" i="11" s="1"/>
  <c r="T220" i="11"/>
  <c r="R220" i="11"/>
  <c r="N220" i="11"/>
  <c r="M220" i="11"/>
  <c r="L220" i="11"/>
  <c r="AK220" i="11" s="1"/>
  <c r="AK219" i="11"/>
  <c r="AJ219" i="11"/>
  <c r="AH219" i="11"/>
  <c r="AC219" i="11"/>
  <c r="AE219" i="11" s="1"/>
  <c r="Z219" i="11"/>
  <c r="Y219" i="11"/>
  <c r="X219" i="11"/>
  <c r="U219" i="11"/>
  <c r="AF219" i="11" s="1"/>
  <c r="T219" i="11"/>
  <c r="R219" i="11"/>
  <c r="P219" i="11"/>
  <c r="N219" i="11"/>
  <c r="M219" i="11"/>
  <c r="L219" i="11"/>
  <c r="AK218" i="11"/>
  <c r="Z218" i="11"/>
  <c r="U218" i="11"/>
  <c r="AF218" i="11" s="1"/>
  <c r="P218" i="11"/>
  <c r="L218" i="11"/>
  <c r="L217" i="11"/>
  <c r="AJ216" i="11"/>
  <c r="AH216" i="11"/>
  <c r="AC216" i="11"/>
  <c r="AE216" i="11" s="1"/>
  <c r="X216" i="11"/>
  <c r="Y216" i="11" s="1"/>
  <c r="T216" i="11"/>
  <c r="R216" i="11"/>
  <c r="N216" i="11"/>
  <c r="M216" i="11"/>
  <c r="L216" i="11"/>
  <c r="AK216" i="11" s="1"/>
  <c r="AK215" i="11"/>
  <c r="AJ215" i="11"/>
  <c r="AH215" i="11"/>
  <c r="AC215" i="11"/>
  <c r="AE215" i="11" s="1"/>
  <c r="Z215" i="11"/>
  <c r="Y215" i="11"/>
  <c r="X215" i="11"/>
  <c r="U215" i="11"/>
  <c r="AF215" i="11" s="1"/>
  <c r="T215" i="11"/>
  <c r="R215" i="11"/>
  <c r="P215" i="11"/>
  <c r="N215" i="11"/>
  <c r="M215" i="11"/>
  <c r="L215" i="11"/>
  <c r="AK214" i="11"/>
  <c r="Z214" i="11"/>
  <c r="U214" i="11"/>
  <c r="AF214" i="11" s="1"/>
  <c r="P214" i="11"/>
  <c r="L214" i="11"/>
  <c r="L213" i="11"/>
  <c r="AJ212" i="11"/>
  <c r="AH212" i="11"/>
  <c r="AC212" i="11"/>
  <c r="AE212" i="11" s="1"/>
  <c r="X212" i="11"/>
  <c r="Y212" i="11" s="1"/>
  <c r="T212" i="11"/>
  <c r="R212" i="11"/>
  <c r="N212" i="11"/>
  <c r="M212" i="11"/>
  <c r="L212" i="11"/>
  <c r="AK212" i="11" s="1"/>
  <c r="AK211" i="11"/>
  <c r="AJ211" i="11"/>
  <c r="AH211" i="11"/>
  <c r="AC211" i="11"/>
  <c r="AE211" i="11" s="1"/>
  <c r="Z211" i="11"/>
  <c r="Y211" i="11"/>
  <c r="X211" i="11"/>
  <c r="U211" i="11"/>
  <c r="AF211" i="11" s="1"/>
  <c r="T211" i="11"/>
  <c r="R211" i="11"/>
  <c r="P211" i="11"/>
  <c r="N211" i="11"/>
  <c r="M211" i="11"/>
  <c r="L211" i="11"/>
  <c r="AK210" i="11"/>
  <c r="Z210" i="11"/>
  <c r="U210" i="11"/>
  <c r="AF210" i="11" s="1"/>
  <c r="P210" i="11"/>
  <c r="L210" i="11"/>
  <c r="L209" i="11"/>
  <c r="AJ208" i="11"/>
  <c r="AH208" i="11"/>
  <c r="AC208" i="11"/>
  <c r="AE208" i="11" s="1"/>
  <c r="X208" i="11"/>
  <c r="Y208" i="11" s="1"/>
  <c r="T208" i="11"/>
  <c r="R208" i="11"/>
  <c r="N208" i="11"/>
  <c r="M208" i="11"/>
  <c r="L208" i="11"/>
  <c r="AK208" i="11" s="1"/>
  <c r="AK207" i="11"/>
  <c r="AJ207" i="11"/>
  <c r="AH207" i="11"/>
  <c r="AC207" i="11"/>
  <c r="AE207" i="11" s="1"/>
  <c r="Z207" i="11"/>
  <c r="Y207" i="11"/>
  <c r="X207" i="11"/>
  <c r="U207" i="11"/>
  <c r="AF207" i="11" s="1"/>
  <c r="T207" i="11"/>
  <c r="R207" i="11"/>
  <c r="P207" i="11"/>
  <c r="N207" i="11"/>
  <c r="M207" i="11"/>
  <c r="L207" i="11"/>
  <c r="AK206" i="11"/>
  <c r="Z206" i="11"/>
  <c r="U206" i="11"/>
  <c r="AF206" i="11" s="1"/>
  <c r="P206" i="11"/>
  <c r="L206" i="11"/>
  <c r="L205" i="11"/>
  <c r="AJ204" i="11"/>
  <c r="AH204" i="11"/>
  <c r="AC204" i="11"/>
  <c r="AE204" i="11" s="1"/>
  <c r="X204" i="11"/>
  <c r="Y204" i="11" s="1"/>
  <c r="T204" i="11"/>
  <c r="R204" i="11"/>
  <c r="N204" i="11"/>
  <c r="M204" i="11"/>
  <c r="L204" i="11"/>
  <c r="AK204" i="11" s="1"/>
  <c r="AK203" i="11"/>
  <c r="AJ203" i="11"/>
  <c r="AH203" i="11"/>
  <c r="AC203" i="11"/>
  <c r="AE203" i="11" s="1"/>
  <c r="Z203" i="11"/>
  <c r="Y203" i="11"/>
  <c r="X203" i="11"/>
  <c r="U203" i="11"/>
  <c r="AF203" i="11" s="1"/>
  <c r="T203" i="11"/>
  <c r="R203" i="11"/>
  <c r="P203" i="11"/>
  <c r="N203" i="11"/>
  <c r="M203" i="11"/>
  <c r="L203" i="11"/>
  <c r="AK202" i="11"/>
  <c r="Z202" i="11"/>
  <c r="U202" i="11"/>
  <c r="AF202" i="11" s="1"/>
  <c r="P202" i="11"/>
  <c r="L202" i="11"/>
  <c r="L201" i="11"/>
  <c r="AJ200" i="11"/>
  <c r="AH200" i="11"/>
  <c r="AC200" i="11"/>
  <c r="AE200" i="11" s="1"/>
  <c r="X200" i="11"/>
  <c r="Y200" i="11" s="1"/>
  <c r="T200" i="11"/>
  <c r="R200" i="11"/>
  <c r="N200" i="11"/>
  <c r="M200" i="11"/>
  <c r="L200" i="11"/>
  <c r="AK200" i="11" s="1"/>
  <c r="AK199" i="11"/>
  <c r="AJ199" i="11"/>
  <c r="AH199" i="11"/>
  <c r="AC199" i="11"/>
  <c r="AE199" i="11" s="1"/>
  <c r="Z199" i="11"/>
  <c r="Y199" i="11"/>
  <c r="X199" i="11"/>
  <c r="U199" i="11"/>
  <c r="AF199" i="11" s="1"/>
  <c r="T199" i="11"/>
  <c r="R199" i="11"/>
  <c r="P199" i="11"/>
  <c r="N199" i="11"/>
  <c r="M199" i="11"/>
  <c r="L199" i="11"/>
  <c r="AK198" i="11"/>
  <c r="Z198" i="11"/>
  <c r="U198" i="11"/>
  <c r="AF198" i="11" s="1"/>
  <c r="P198" i="11"/>
  <c r="L198" i="11"/>
  <c r="L197" i="11"/>
  <c r="AJ196" i="11"/>
  <c r="AH196" i="11"/>
  <c r="AC196" i="11"/>
  <c r="AE196" i="11" s="1"/>
  <c r="X196" i="11"/>
  <c r="Y196" i="11" s="1"/>
  <c r="T196" i="11"/>
  <c r="R196" i="11"/>
  <c r="N196" i="11"/>
  <c r="M196" i="11"/>
  <c r="L196" i="11"/>
  <c r="AK196" i="11" s="1"/>
  <c r="AK195" i="11"/>
  <c r="AJ195" i="11"/>
  <c r="AH195" i="11"/>
  <c r="AC195" i="11"/>
  <c r="AE195" i="11" s="1"/>
  <c r="Z195" i="11"/>
  <c r="Y195" i="11"/>
  <c r="X195" i="11"/>
  <c r="U195" i="11"/>
  <c r="AF195" i="11" s="1"/>
  <c r="T195" i="11"/>
  <c r="R195" i="11"/>
  <c r="P195" i="11"/>
  <c r="N195" i="11"/>
  <c r="M195" i="11"/>
  <c r="L195" i="11"/>
  <c r="AK194" i="11"/>
  <c r="Z194" i="11"/>
  <c r="U194" i="11"/>
  <c r="AF194" i="11" s="1"/>
  <c r="P194" i="11"/>
  <c r="L194" i="11"/>
  <c r="L193" i="11"/>
  <c r="AJ192" i="11"/>
  <c r="AH192" i="11"/>
  <c r="AC192" i="11"/>
  <c r="AE192" i="11" s="1"/>
  <c r="X192" i="11"/>
  <c r="Y192" i="11" s="1"/>
  <c r="T192" i="11"/>
  <c r="R192" i="11"/>
  <c r="N192" i="11"/>
  <c r="M192" i="11"/>
  <c r="L192" i="11"/>
  <c r="AK192" i="11" s="1"/>
  <c r="AK191" i="11"/>
  <c r="AJ191" i="11"/>
  <c r="AH191" i="11"/>
  <c r="AC191" i="11"/>
  <c r="AE191" i="11" s="1"/>
  <c r="Z191" i="11"/>
  <c r="Y191" i="11"/>
  <c r="X191" i="11"/>
  <c r="U191" i="11"/>
  <c r="AF191" i="11" s="1"/>
  <c r="T191" i="11"/>
  <c r="R191" i="11"/>
  <c r="P191" i="11"/>
  <c r="N191" i="11"/>
  <c r="M191" i="11"/>
  <c r="L191" i="11"/>
  <c r="AK190" i="11"/>
  <c r="Z190" i="11"/>
  <c r="U190" i="11"/>
  <c r="AF190" i="11" s="1"/>
  <c r="P190" i="11"/>
  <c r="L190" i="11"/>
  <c r="L189" i="11"/>
  <c r="AJ188" i="11"/>
  <c r="AH188" i="11"/>
  <c r="AC188" i="11"/>
  <c r="AE188" i="11" s="1"/>
  <c r="X188" i="11"/>
  <c r="Y188" i="11" s="1"/>
  <c r="T188" i="11"/>
  <c r="R188" i="11"/>
  <c r="N188" i="11"/>
  <c r="M188" i="11"/>
  <c r="L188" i="11"/>
  <c r="AK188" i="11" s="1"/>
  <c r="AK187" i="11"/>
  <c r="AJ187" i="11"/>
  <c r="AH187" i="11"/>
  <c r="AC187" i="11"/>
  <c r="AE187" i="11" s="1"/>
  <c r="Z187" i="11"/>
  <c r="Y187" i="11"/>
  <c r="X187" i="11"/>
  <c r="U187" i="11"/>
  <c r="AF187" i="11" s="1"/>
  <c r="T187" i="11"/>
  <c r="R187" i="11"/>
  <c r="P187" i="11"/>
  <c r="N187" i="11"/>
  <c r="M187" i="11"/>
  <c r="L187" i="11"/>
  <c r="AK186" i="11"/>
  <c r="Z186" i="11"/>
  <c r="U186" i="11"/>
  <c r="AF186" i="11" s="1"/>
  <c r="P186" i="11"/>
  <c r="L186" i="11"/>
  <c r="L185" i="11"/>
  <c r="AJ184" i="11"/>
  <c r="AH184" i="11"/>
  <c r="AC184" i="11"/>
  <c r="AE184" i="11" s="1"/>
  <c r="X184" i="11"/>
  <c r="Y184" i="11" s="1"/>
  <c r="T184" i="11"/>
  <c r="R184" i="11"/>
  <c r="N184" i="11"/>
  <c r="M184" i="11"/>
  <c r="L184" i="11"/>
  <c r="AK184" i="11" s="1"/>
  <c r="AK183" i="11"/>
  <c r="AJ183" i="11"/>
  <c r="AH183" i="11"/>
  <c r="AC183" i="11"/>
  <c r="AE183" i="11" s="1"/>
  <c r="Z183" i="11"/>
  <c r="Y183" i="11"/>
  <c r="X183" i="11"/>
  <c r="U183" i="11"/>
  <c r="AF183" i="11" s="1"/>
  <c r="T183" i="11"/>
  <c r="R183" i="11"/>
  <c r="P183" i="11"/>
  <c r="N183" i="11"/>
  <c r="M183" i="11"/>
  <c r="L183" i="11"/>
  <c r="AK182" i="11"/>
  <c r="Z182" i="11"/>
  <c r="U182" i="11"/>
  <c r="AF182" i="11" s="1"/>
  <c r="P182" i="11"/>
  <c r="L182" i="11"/>
  <c r="L181" i="11"/>
  <c r="AJ180" i="11"/>
  <c r="AH180" i="11"/>
  <c r="AC180" i="11"/>
  <c r="AE180" i="11" s="1"/>
  <c r="X180" i="11"/>
  <c r="Y180" i="11" s="1"/>
  <c r="T180" i="11"/>
  <c r="R180" i="11"/>
  <c r="N180" i="11"/>
  <c r="M180" i="11"/>
  <c r="L180" i="11"/>
  <c r="AK180" i="11" s="1"/>
  <c r="AK179" i="11"/>
  <c r="AJ179" i="11"/>
  <c r="AH179" i="11"/>
  <c r="AC179" i="11"/>
  <c r="AE179" i="11" s="1"/>
  <c r="Z179" i="11"/>
  <c r="Y179" i="11"/>
  <c r="X179" i="11"/>
  <c r="U179" i="11"/>
  <c r="AF179" i="11" s="1"/>
  <c r="T179" i="11"/>
  <c r="R179" i="11"/>
  <c r="P179" i="11"/>
  <c r="N179" i="11"/>
  <c r="M179" i="11"/>
  <c r="L179" i="11"/>
  <c r="AK178" i="11"/>
  <c r="Z178" i="11"/>
  <c r="U178" i="11"/>
  <c r="AF178" i="11" s="1"/>
  <c r="P178" i="11"/>
  <c r="L178" i="11"/>
  <c r="L177" i="11"/>
  <c r="AJ176" i="11"/>
  <c r="AH176" i="11"/>
  <c r="AC176" i="11"/>
  <c r="AE176" i="11" s="1"/>
  <c r="X176" i="11"/>
  <c r="Y176" i="11" s="1"/>
  <c r="T176" i="11"/>
  <c r="R176" i="11"/>
  <c r="N176" i="11"/>
  <c r="M176" i="11"/>
  <c r="L176" i="11"/>
  <c r="AK176" i="11" s="1"/>
  <c r="AK175" i="11"/>
  <c r="AJ175" i="11"/>
  <c r="AH175" i="11"/>
  <c r="AC175" i="11"/>
  <c r="AE175" i="11" s="1"/>
  <c r="Z175" i="11"/>
  <c r="Y175" i="11"/>
  <c r="X175" i="11"/>
  <c r="U175" i="11"/>
  <c r="AF175" i="11" s="1"/>
  <c r="T175" i="11"/>
  <c r="R175" i="11"/>
  <c r="P175" i="11"/>
  <c r="N175" i="11"/>
  <c r="M175" i="11"/>
  <c r="L175" i="11"/>
  <c r="AK174" i="11"/>
  <c r="Z174" i="11"/>
  <c r="U174" i="11"/>
  <c r="AF174" i="11" s="1"/>
  <c r="P174" i="11"/>
  <c r="L174" i="11"/>
  <c r="L173" i="11"/>
  <c r="AJ172" i="11"/>
  <c r="AH172" i="11"/>
  <c r="AC172" i="11"/>
  <c r="AE172" i="11" s="1"/>
  <c r="X172" i="11"/>
  <c r="Y172" i="11" s="1"/>
  <c r="T172" i="11"/>
  <c r="R172" i="11"/>
  <c r="N172" i="11"/>
  <c r="M172" i="11"/>
  <c r="L172" i="11"/>
  <c r="AK172" i="11" s="1"/>
  <c r="AK171" i="11"/>
  <c r="AJ171" i="11"/>
  <c r="AH171" i="11"/>
  <c r="AC171" i="11"/>
  <c r="AE171" i="11" s="1"/>
  <c r="Z171" i="11"/>
  <c r="Y171" i="11"/>
  <c r="X171" i="11"/>
  <c r="U171" i="11"/>
  <c r="AF171" i="11" s="1"/>
  <c r="T171" i="11"/>
  <c r="R171" i="11"/>
  <c r="P171" i="11"/>
  <c r="N171" i="11"/>
  <c r="M171" i="11"/>
  <c r="L171" i="11"/>
  <c r="AK170" i="11"/>
  <c r="Z170" i="11"/>
  <c r="U170" i="11"/>
  <c r="AF170" i="11" s="1"/>
  <c r="P170" i="11"/>
  <c r="L170" i="11"/>
  <c r="L169" i="11"/>
  <c r="AJ168" i="11"/>
  <c r="AH168" i="11"/>
  <c r="AC168" i="11"/>
  <c r="AE168" i="11" s="1"/>
  <c r="X168" i="11"/>
  <c r="Y168" i="11" s="1"/>
  <c r="T168" i="11"/>
  <c r="R168" i="11"/>
  <c r="N168" i="11"/>
  <c r="M168" i="11"/>
  <c r="L168" i="11"/>
  <c r="AK168" i="11" s="1"/>
  <c r="AK167" i="11"/>
  <c r="AJ167" i="11"/>
  <c r="AH167" i="11"/>
  <c r="AC167" i="11"/>
  <c r="AE167" i="11" s="1"/>
  <c r="Z167" i="11"/>
  <c r="Y167" i="11"/>
  <c r="X167" i="11"/>
  <c r="U167" i="11"/>
  <c r="AF167" i="11" s="1"/>
  <c r="T167" i="11"/>
  <c r="R167" i="11"/>
  <c r="P167" i="11"/>
  <c r="N167" i="11"/>
  <c r="M167" i="11"/>
  <c r="L167" i="11"/>
  <c r="AK166" i="11"/>
  <c r="Z166" i="11"/>
  <c r="U166" i="11"/>
  <c r="AF166" i="11" s="1"/>
  <c r="P166" i="11"/>
  <c r="L166" i="11"/>
  <c r="L165" i="11"/>
  <c r="AJ164" i="11"/>
  <c r="AH164" i="11"/>
  <c r="AC164" i="11"/>
  <c r="AE164" i="11" s="1"/>
  <c r="X164" i="11"/>
  <c r="Y164" i="11" s="1"/>
  <c r="T164" i="11"/>
  <c r="R164" i="11"/>
  <c r="N164" i="11"/>
  <c r="M164" i="11"/>
  <c r="L164" i="11"/>
  <c r="AK164" i="11" s="1"/>
  <c r="AK163" i="11"/>
  <c r="AJ163" i="11"/>
  <c r="AH163" i="11"/>
  <c r="AC163" i="11"/>
  <c r="AE163" i="11" s="1"/>
  <c r="Z163" i="11"/>
  <c r="Y163" i="11"/>
  <c r="X163" i="11"/>
  <c r="U163" i="11"/>
  <c r="AF163" i="11" s="1"/>
  <c r="T163" i="11"/>
  <c r="R163" i="11"/>
  <c r="P163" i="11"/>
  <c r="N163" i="11"/>
  <c r="M163" i="11"/>
  <c r="L163" i="11"/>
  <c r="AK162" i="11"/>
  <c r="Z162" i="11"/>
  <c r="U162" i="11"/>
  <c r="AF162" i="11" s="1"/>
  <c r="P162" i="11"/>
  <c r="L162" i="11"/>
  <c r="L161" i="11"/>
  <c r="AJ160" i="11"/>
  <c r="AH160" i="11"/>
  <c r="AC160" i="11"/>
  <c r="AE160" i="11" s="1"/>
  <c r="X160" i="11"/>
  <c r="Y160" i="11" s="1"/>
  <c r="T160" i="11"/>
  <c r="R160" i="11"/>
  <c r="N160" i="11"/>
  <c r="M160" i="11"/>
  <c r="L160" i="11"/>
  <c r="AK160" i="11" s="1"/>
  <c r="AK159" i="11"/>
  <c r="AJ159" i="11"/>
  <c r="AH159" i="11"/>
  <c r="AC159" i="11"/>
  <c r="AE159" i="11" s="1"/>
  <c r="Z159" i="11"/>
  <c r="Y159" i="11"/>
  <c r="X159" i="11"/>
  <c r="U159" i="11"/>
  <c r="AF159" i="11" s="1"/>
  <c r="T159" i="11"/>
  <c r="R159" i="11"/>
  <c r="P159" i="11"/>
  <c r="N159" i="11"/>
  <c r="M159" i="11"/>
  <c r="L159" i="11"/>
  <c r="AK158" i="11"/>
  <c r="Z158" i="11"/>
  <c r="U158" i="11"/>
  <c r="AF158" i="11" s="1"/>
  <c r="P158" i="11"/>
  <c r="L158" i="11"/>
  <c r="L157" i="11"/>
  <c r="AJ156" i="11"/>
  <c r="AH156" i="11"/>
  <c r="AC156" i="11"/>
  <c r="AE156" i="11" s="1"/>
  <c r="X156" i="11"/>
  <c r="Y156" i="11" s="1"/>
  <c r="T156" i="11"/>
  <c r="R156" i="11"/>
  <c r="N156" i="11"/>
  <c r="M156" i="11"/>
  <c r="L156" i="11"/>
  <c r="AK156" i="11" s="1"/>
  <c r="AK155" i="11"/>
  <c r="AJ155" i="11"/>
  <c r="AH155" i="11"/>
  <c r="AC155" i="11"/>
  <c r="AE155" i="11" s="1"/>
  <c r="Z155" i="11"/>
  <c r="Y155" i="11"/>
  <c r="X155" i="11"/>
  <c r="U155" i="11"/>
  <c r="AF155" i="11" s="1"/>
  <c r="T155" i="11"/>
  <c r="R155" i="11"/>
  <c r="P155" i="11"/>
  <c r="N155" i="11"/>
  <c r="M155" i="11"/>
  <c r="L155" i="11"/>
  <c r="AK154" i="11"/>
  <c r="Z154" i="11"/>
  <c r="U154" i="11"/>
  <c r="AF154" i="11" s="1"/>
  <c r="P154" i="11"/>
  <c r="L154" i="11"/>
  <c r="L153" i="11"/>
  <c r="AJ152" i="11"/>
  <c r="AH152" i="11"/>
  <c r="AC152" i="11"/>
  <c r="AE152" i="11" s="1"/>
  <c r="X152" i="11"/>
  <c r="Y152" i="11" s="1"/>
  <c r="T152" i="11"/>
  <c r="R152" i="11"/>
  <c r="N152" i="11"/>
  <c r="M152" i="11"/>
  <c r="L152" i="11"/>
  <c r="AK152" i="11" s="1"/>
  <c r="AK151" i="11"/>
  <c r="AJ151" i="11"/>
  <c r="AH151" i="11"/>
  <c r="AC151" i="11"/>
  <c r="AE151" i="11" s="1"/>
  <c r="Z151" i="11"/>
  <c r="Y151" i="11"/>
  <c r="X151" i="11"/>
  <c r="U151" i="11"/>
  <c r="AF151" i="11" s="1"/>
  <c r="T151" i="11"/>
  <c r="R151" i="11"/>
  <c r="P151" i="11"/>
  <c r="N151" i="11"/>
  <c r="M151" i="11"/>
  <c r="L151" i="11"/>
  <c r="AK150" i="11"/>
  <c r="Z150" i="11"/>
  <c r="U150" i="11"/>
  <c r="AF150" i="11" s="1"/>
  <c r="P150" i="11"/>
  <c r="L150" i="11"/>
  <c r="L149" i="11"/>
  <c r="AJ148" i="11"/>
  <c r="AH148" i="11"/>
  <c r="AC148" i="11"/>
  <c r="AE148" i="11" s="1"/>
  <c r="X148" i="11"/>
  <c r="Y148" i="11" s="1"/>
  <c r="T148" i="11"/>
  <c r="R148" i="11"/>
  <c r="N148" i="11"/>
  <c r="M148" i="11"/>
  <c r="L148" i="11"/>
  <c r="AK148" i="11" s="1"/>
  <c r="AK147" i="11"/>
  <c r="AJ147" i="11"/>
  <c r="AH147" i="11"/>
  <c r="AC147" i="11"/>
  <c r="AE147" i="11" s="1"/>
  <c r="Z147" i="11"/>
  <c r="Y147" i="11"/>
  <c r="X147" i="11"/>
  <c r="U147" i="11"/>
  <c r="AF147" i="11" s="1"/>
  <c r="T147" i="11"/>
  <c r="R147" i="11"/>
  <c r="P147" i="11"/>
  <c r="N147" i="11"/>
  <c r="M147" i="11"/>
  <c r="L147" i="11"/>
  <c r="AK146" i="11"/>
  <c r="Z146" i="11"/>
  <c r="U146" i="11"/>
  <c r="AF146" i="11" s="1"/>
  <c r="P146" i="11"/>
  <c r="L146" i="11"/>
  <c r="L145" i="11"/>
  <c r="AJ144" i="11"/>
  <c r="AH144" i="11"/>
  <c r="AC144" i="11"/>
  <c r="AE144" i="11" s="1"/>
  <c r="X144" i="11"/>
  <c r="Y144" i="11" s="1"/>
  <c r="T144" i="11"/>
  <c r="R144" i="11"/>
  <c r="N144" i="11"/>
  <c r="M144" i="11"/>
  <c r="L144" i="11"/>
  <c r="AK144" i="11" s="1"/>
  <c r="AK143" i="11"/>
  <c r="AJ143" i="11"/>
  <c r="AH143" i="11"/>
  <c r="AC143" i="11"/>
  <c r="AE143" i="11" s="1"/>
  <c r="Z143" i="11"/>
  <c r="Y143" i="11"/>
  <c r="X143" i="11"/>
  <c r="U143" i="11"/>
  <c r="AF143" i="11" s="1"/>
  <c r="T143" i="11"/>
  <c r="R143" i="11"/>
  <c r="P143" i="11"/>
  <c r="N143" i="11"/>
  <c r="M143" i="11"/>
  <c r="L143" i="11"/>
  <c r="AK142" i="11"/>
  <c r="Z142" i="11"/>
  <c r="U142" i="11"/>
  <c r="AF142" i="11" s="1"/>
  <c r="P142" i="11"/>
  <c r="L142" i="11"/>
  <c r="L141" i="11"/>
  <c r="AJ140" i="11"/>
  <c r="AH140" i="11"/>
  <c r="AC140" i="11"/>
  <c r="AE140" i="11" s="1"/>
  <c r="X140" i="11"/>
  <c r="Y140" i="11" s="1"/>
  <c r="T140" i="11"/>
  <c r="R140" i="11"/>
  <c r="N140" i="11"/>
  <c r="M140" i="11"/>
  <c r="L140" i="11"/>
  <c r="AK140" i="11" s="1"/>
  <c r="AK139" i="11"/>
  <c r="AJ139" i="11"/>
  <c r="AH139" i="11"/>
  <c r="AC139" i="11"/>
  <c r="AE139" i="11" s="1"/>
  <c r="Z139" i="11"/>
  <c r="Y139" i="11"/>
  <c r="X139" i="11"/>
  <c r="U139" i="11"/>
  <c r="AF139" i="11" s="1"/>
  <c r="T139" i="11"/>
  <c r="R139" i="11"/>
  <c r="P139" i="11"/>
  <c r="N139" i="11"/>
  <c r="M139" i="11"/>
  <c r="L139" i="11"/>
  <c r="AK138" i="11"/>
  <c r="Z138" i="11"/>
  <c r="U138" i="11"/>
  <c r="AF138" i="11" s="1"/>
  <c r="P138" i="11"/>
  <c r="L138" i="11"/>
  <c r="L137" i="11"/>
  <c r="AJ136" i="11"/>
  <c r="AH136" i="11"/>
  <c r="AC136" i="11"/>
  <c r="AE136" i="11" s="1"/>
  <c r="X136" i="11"/>
  <c r="Y136" i="11" s="1"/>
  <c r="T136" i="11"/>
  <c r="R136" i="11"/>
  <c r="N136" i="11"/>
  <c r="M136" i="11"/>
  <c r="L136" i="11"/>
  <c r="AK136" i="11" s="1"/>
  <c r="AK135" i="11"/>
  <c r="AJ135" i="11"/>
  <c r="AH135" i="11"/>
  <c r="AC135" i="11"/>
  <c r="AE135" i="11" s="1"/>
  <c r="Z135" i="11"/>
  <c r="Y135" i="11"/>
  <c r="X135" i="11"/>
  <c r="U135" i="11"/>
  <c r="AF135" i="11" s="1"/>
  <c r="T135" i="11"/>
  <c r="R135" i="11"/>
  <c r="P135" i="11"/>
  <c r="N135" i="11"/>
  <c r="M135" i="11"/>
  <c r="L135" i="11"/>
  <c r="AK134" i="11"/>
  <c r="Z134" i="11"/>
  <c r="U134" i="11"/>
  <c r="AF134" i="11" s="1"/>
  <c r="P134" i="11"/>
  <c r="L134" i="11"/>
  <c r="L133" i="11"/>
  <c r="AJ132" i="11"/>
  <c r="AH132" i="11"/>
  <c r="AC132" i="11"/>
  <c r="AE132" i="11" s="1"/>
  <c r="X132" i="11"/>
  <c r="Y132" i="11" s="1"/>
  <c r="T132" i="11"/>
  <c r="R132" i="11"/>
  <c r="N132" i="11"/>
  <c r="M132" i="11"/>
  <c r="L132" i="11"/>
  <c r="AK132" i="11" s="1"/>
  <c r="AK131" i="11"/>
  <c r="AJ131" i="11"/>
  <c r="AH131" i="11"/>
  <c r="AC131" i="11"/>
  <c r="AE131" i="11" s="1"/>
  <c r="Z131" i="11"/>
  <c r="Y131" i="11"/>
  <c r="X131" i="11"/>
  <c r="U131" i="11"/>
  <c r="AF131" i="11" s="1"/>
  <c r="T131" i="11"/>
  <c r="R131" i="11"/>
  <c r="P131" i="11"/>
  <c r="N131" i="11"/>
  <c r="M131" i="11"/>
  <c r="L131" i="11"/>
  <c r="AK130" i="11"/>
  <c r="Z130" i="11"/>
  <c r="U130" i="11"/>
  <c r="AF130" i="11" s="1"/>
  <c r="P130" i="11"/>
  <c r="L130" i="11"/>
  <c r="L129" i="11"/>
  <c r="AJ128" i="11"/>
  <c r="AH128" i="11"/>
  <c r="AC128" i="11"/>
  <c r="AE128" i="11" s="1"/>
  <c r="X128" i="11"/>
  <c r="Y128" i="11" s="1"/>
  <c r="T128" i="11"/>
  <c r="R128" i="11"/>
  <c r="N128" i="11"/>
  <c r="M128" i="11"/>
  <c r="L128" i="11"/>
  <c r="AK128" i="11" s="1"/>
  <c r="AK127" i="11"/>
  <c r="AJ127" i="11"/>
  <c r="AH127" i="11"/>
  <c r="AC127" i="11"/>
  <c r="AE127" i="11" s="1"/>
  <c r="Z127" i="11"/>
  <c r="Y127" i="11"/>
  <c r="X127" i="11"/>
  <c r="U127" i="11"/>
  <c r="AF127" i="11" s="1"/>
  <c r="T127" i="11"/>
  <c r="R127" i="11"/>
  <c r="P127" i="11"/>
  <c r="N127" i="11"/>
  <c r="M127" i="11"/>
  <c r="L127" i="11"/>
  <c r="AK126" i="11"/>
  <c r="Z126" i="11"/>
  <c r="U126" i="11"/>
  <c r="AF126" i="11" s="1"/>
  <c r="P126" i="11"/>
  <c r="L126" i="11"/>
  <c r="L125" i="11"/>
  <c r="AJ124" i="11"/>
  <c r="AH124" i="11"/>
  <c r="AC124" i="11"/>
  <c r="AE124" i="11" s="1"/>
  <c r="X124" i="11"/>
  <c r="Y124" i="11" s="1"/>
  <c r="T124" i="11"/>
  <c r="R124" i="11"/>
  <c r="N124" i="11"/>
  <c r="M124" i="11"/>
  <c r="L124" i="11"/>
  <c r="AK124" i="11" s="1"/>
  <c r="AK123" i="11"/>
  <c r="AJ123" i="11"/>
  <c r="AH123" i="11"/>
  <c r="AC123" i="11"/>
  <c r="AE123" i="11" s="1"/>
  <c r="Z123" i="11"/>
  <c r="Y123" i="11"/>
  <c r="X123" i="11"/>
  <c r="U123" i="11"/>
  <c r="AF123" i="11" s="1"/>
  <c r="T123" i="11"/>
  <c r="R123" i="11"/>
  <c r="P123" i="11"/>
  <c r="N123" i="11"/>
  <c r="M123" i="11"/>
  <c r="L123" i="11"/>
  <c r="AK122" i="11"/>
  <c r="Z122" i="11"/>
  <c r="U122" i="11"/>
  <c r="AF122" i="11" s="1"/>
  <c r="P122" i="11"/>
  <c r="L122" i="11"/>
  <c r="L121" i="11"/>
  <c r="AJ120" i="11"/>
  <c r="AH120" i="11"/>
  <c r="AC120" i="11"/>
  <c r="AE120" i="11" s="1"/>
  <c r="X120" i="11"/>
  <c r="Y120" i="11" s="1"/>
  <c r="T120" i="11"/>
  <c r="R120" i="11"/>
  <c r="N120" i="11"/>
  <c r="M120" i="11"/>
  <c r="L120" i="11"/>
  <c r="AK120" i="11" s="1"/>
  <c r="AK119" i="11"/>
  <c r="AJ119" i="11"/>
  <c r="AH119" i="11"/>
  <c r="AC119" i="11"/>
  <c r="AE119" i="11" s="1"/>
  <c r="Z119" i="11"/>
  <c r="Y119" i="11"/>
  <c r="X119" i="11"/>
  <c r="U119" i="11"/>
  <c r="AF119" i="11" s="1"/>
  <c r="T119" i="11"/>
  <c r="R119" i="11"/>
  <c r="P119" i="11"/>
  <c r="N119" i="11"/>
  <c r="M119" i="11"/>
  <c r="L119" i="11"/>
  <c r="AK118" i="11"/>
  <c r="Z118" i="11"/>
  <c r="U118" i="11"/>
  <c r="AF118" i="11" s="1"/>
  <c r="P118" i="11"/>
  <c r="L118" i="11"/>
  <c r="L117" i="11"/>
  <c r="AJ116" i="11"/>
  <c r="AH116" i="11"/>
  <c r="AC116" i="11"/>
  <c r="AE116" i="11" s="1"/>
  <c r="X116" i="11"/>
  <c r="Y116" i="11" s="1"/>
  <c r="T116" i="11"/>
  <c r="R116" i="11"/>
  <c r="N116" i="11"/>
  <c r="M116" i="11"/>
  <c r="L116" i="11"/>
  <c r="AK116" i="11" s="1"/>
  <c r="AK115" i="11"/>
  <c r="AJ115" i="11"/>
  <c r="AH115" i="11"/>
  <c r="AC115" i="11"/>
  <c r="AE115" i="11" s="1"/>
  <c r="Z115" i="11"/>
  <c r="Y115" i="11"/>
  <c r="X115" i="11"/>
  <c r="U115" i="11"/>
  <c r="AF115" i="11" s="1"/>
  <c r="T115" i="11"/>
  <c r="R115" i="11"/>
  <c r="P115" i="11"/>
  <c r="N115" i="11"/>
  <c r="M115" i="11"/>
  <c r="L115" i="11"/>
  <c r="AK114" i="11"/>
  <c r="Z114" i="11"/>
  <c r="U114" i="11"/>
  <c r="AF114" i="11" s="1"/>
  <c r="P114" i="11"/>
  <c r="L114" i="11"/>
  <c r="L113" i="11"/>
  <c r="AJ112" i="11"/>
  <c r="AH112" i="11"/>
  <c r="AC112" i="11"/>
  <c r="AE112" i="11" s="1"/>
  <c r="X112" i="11"/>
  <c r="Y112" i="11" s="1"/>
  <c r="T112" i="11"/>
  <c r="R112" i="11"/>
  <c r="N112" i="11"/>
  <c r="M112" i="11"/>
  <c r="L112" i="11"/>
  <c r="AK112" i="11" s="1"/>
  <c r="AK111" i="11"/>
  <c r="AJ111" i="11"/>
  <c r="AH111" i="11"/>
  <c r="AC111" i="11"/>
  <c r="AE111" i="11" s="1"/>
  <c r="Z111" i="11"/>
  <c r="Y111" i="11"/>
  <c r="X111" i="11"/>
  <c r="U111" i="11"/>
  <c r="AF111" i="11" s="1"/>
  <c r="T111" i="11"/>
  <c r="R111" i="11"/>
  <c r="P111" i="11"/>
  <c r="N111" i="11"/>
  <c r="M111" i="11"/>
  <c r="L111" i="11"/>
  <c r="AK110" i="11"/>
  <c r="Z110" i="11"/>
  <c r="U110" i="11"/>
  <c r="AF110" i="11" s="1"/>
  <c r="P110" i="11"/>
  <c r="L110" i="11"/>
  <c r="L109" i="11"/>
  <c r="AJ108" i="11"/>
  <c r="AH108" i="11"/>
  <c r="AC108" i="11"/>
  <c r="AE108" i="11" s="1"/>
  <c r="X108" i="11"/>
  <c r="Y108" i="11" s="1"/>
  <c r="T108" i="11"/>
  <c r="R108" i="11"/>
  <c r="N108" i="11"/>
  <c r="M108" i="11"/>
  <c r="L108" i="11"/>
  <c r="AK108" i="11" s="1"/>
  <c r="AK107" i="11"/>
  <c r="AJ107" i="11"/>
  <c r="AH107" i="11"/>
  <c r="AC107" i="11"/>
  <c r="AE107" i="11" s="1"/>
  <c r="Z107" i="11"/>
  <c r="Y107" i="11"/>
  <c r="X107" i="11"/>
  <c r="U107" i="11"/>
  <c r="AF107" i="11" s="1"/>
  <c r="T107" i="11"/>
  <c r="R107" i="11"/>
  <c r="P107" i="11"/>
  <c r="N107" i="11"/>
  <c r="M107" i="11"/>
  <c r="L107" i="11"/>
  <c r="AK106" i="11"/>
  <c r="Z106" i="11"/>
  <c r="U106" i="11"/>
  <c r="AF106" i="11" s="1"/>
  <c r="P106" i="11"/>
  <c r="L106" i="11"/>
  <c r="L105" i="11"/>
  <c r="AJ104" i="11"/>
  <c r="AH104" i="11"/>
  <c r="AC104" i="11"/>
  <c r="AE104" i="11" s="1"/>
  <c r="X104" i="11"/>
  <c r="Y104" i="11" s="1"/>
  <c r="T104" i="11"/>
  <c r="R104" i="11"/>
  <c r="N104" i="11"/>
  <c r="M104" i="11"/>
  <c r="L104" i="11"/>
  <c r="AK104" i="11" s="1"/>
  <c r="AK103" i="11"/>
  <c r="AJ103" i="11"/>
  <c r="AH103" i="11"/>
  <c r="AC103" i="11"/>
  <c r="AE103" i="11" s="1"/>
  <c r="Z103" i="11"/>
  <c r="Y103" i="11"/>
  <c r="X103" i="11"/>
  <c r="U103" i="11"/>
  <c r="AF103" i="11" s="1"/>
  <c r="T103" i="11"/>
  <c r="R103" i="11"/>
  <c r="P103" i="11"/>
  <c r="N103" i="11"/>
  <c r="M103" i="11"/>
  <c r="L103" i="11"/>
  <c r="AK102" i="11"/>
  <c r="Z102" i="11"/>
  <c r="U102" i="11"/>
  <c r="AF102" i="11" s="1"/>
  <c r="P102" i="11"/>
  <c r="L102" i="11"/>
  <c r="L101" i="11"/>
  <c r="AJ100" i="11"/>
  <c r="AH100" i="11"/>
  <c r="AC100" i="11"/>
  <c r="AE100" i="11" s="1"/>
  <c r="X100" i="11"/>
  <c r="Y100" i="11" s="1"/>
  <c r="T100" i="11"/>
  <c r="R100" i="11"/>
  <c r="N100" i="11"/>
  <c r="M100" i="11"/>
  <c r="L100" i="11"/>
  <c r="AK100" i="11" s="1"/>
  <c r="AK99" i="11"/>
  <c r="AJ99" i="11"/>
  <c r="AH99" i="11"/>
  <c r="AC99" i="11"/>
  <c r="AE99" i="11" s="1"/>
  <c r="Z99" i="11"/>
  <c r="Y99" i="11"/>
  <c r="X99" i="11"/>
  <c r="U99" i="11"/>
  <c r="AF99" i="11" s="1"/>
  <c r="T99" i="11"/>
  <c r="R99" i="11"/>
  <c r="P99" i="11"/>
  <c r="N99" i="11"/>
  <c r="M99" i="11"/>
  <c r="L99" i="11"/>
  <c r="AK98" i="11"/>
  <c r="Z98" i="11"/>
  <c r="U98" i="11"/>
  <c r="AF98" i="11" s="1"/>
  <c r="P98" i="11"/>
  <c r="L98" i="11"/>
  <c r="L97" i="11"/>
  <c r="AJ96" i="11"/>
  <c r="AH96" i="11"/>
  <c r="AC96" i="11"/>
  <c r="AE96" i="11" s="1"/>
  <c r="X96" i="11"/>
  <c r="Y96" i="11" s="1"/>
  <c r="T96" i="11"/>
  <c r="R96" i="11"/>
  <c r="N96" i="11"/>
  <c r="M96" i="11"/>
  <c r="L96" i="11"/>
  <c r="AK96" i="11" s="1"/>
  <c r="AK95" i="11"/>
  <c r="AJ95" i="11"/>
  <c r="AH95" i="11"/>
  <c r="AC95" i="11"/>
  <c r="AE95" i="11" s="1"/>
  <c r="Z95" i="11"/>
  <c r="Y95" i="11"/>
  <c r="X95" i="11"/>
  <c r="U95" i="11"/>
  <c r="AF95" i="11" s="1"/>
  <c r="T95" i="11"/>
  <c r="R95" i="11"/>
  <c r="P95" i="11"/>
  <c r="N95" i="11"/>
  <c r="M95" i="11"/>
  <c r="L95" i="11"/>
  <c r="AK94" i="11"/>
  <c r="Z94" i="11"/>
  <c r="U94" i="11"/>
  <c r="AF94" i="11" s="1"/>
  <c r="P94" i="11"/>
  <c r="L94" i="11"/>
  <c r="L93" i="11"/>
  <c r="AJ92" i="11"/>
  <c r="AH92" i="11"/>
  <c r="AC92" i="11"/>
  <c r="AE92" i="11" s="1"/>
  <c r="X92" i="11"/>
  <c r="Y92" i="11" s="1"/>
  <c r="T92" i="11"/>
  <c r="R92" i="11"/>
  <c r="N92" i="11"/>
  <c r="M92" i="11"/>
  <c r="L92" i="11"/>
  <c r="AK92" i="11" s="1"/>
  <c r="AK91" i="11"/>
  <c r="AJ91" i="11"/>
  <c r="AH91" i="11"/>
  <c r="AC91" i="11"/>
  <c r="AE91" i="11" s="1"/>
  <c r="Z91" i="11"/>
  <c r="Y91" i="11"/>
  <c r="X91" i="11"/>
  <c r="U91" i="11"/>
  <c r="AF91" i="11" s="1"/>
  <c r="T91" i="11"/>
  <c r="R91" i="11"/>
  <c r="P91" i="11"/>
  <c r="N91" i="11"/>
  <c r="M91" i="11"/>
  <c r="L91" i="11"/>
  <c r="AK90" i="11"/>
  <c r="Z90" i="11"/>
  <c r="U90" i="11"/>
  <c r="AF90" i="11" s="1"/>
  <c r="P90" i="11"/>
  <c r="L90" i="11"/>
  <c r="L89" i="11"/>
  <c r="AJ88" i="11"/>
  <c r="AH88" i="11"/>
  <c r="AC88" i="11"/>
  <c r="AE88" i="11" s="1"/>
  <c r="X88" i="11"/>
  <c r="Y88" i="11" s="1"/>
  <c r="T88" i="11"/>
  <c r="R88" i="11"/>
  <c r="N88" i="11"/>
  <c r="M88" i="11"/>
  <c r="L88" i="11"/>
  <c r="AK88" i="11" s="1"/>
  <c r="AK87" i="11"/>
  <c r="AJ87" i="11"/>
  <c r="AH87" i="11"/>
  <c r="AC87" i="11"/>
  <c r="AE87" i="11" s="1"/>
  <c r="Z87" i="11"/>
  <c r="Y87" i="11"/>
  <c r="X87" i="11"/>
  <c r="U87" i="11"/>
  <c r="AF87" i="11" s="1"/>
  <c r="T87" i="11"/>
  <c r="R87" i="11"/>
  <c r="P87" i="11"/>
  <c r="N87" i="11"/>
  <c r="M87" i="11"/>
  <c r="L87" i="11"/>
  <c r="AK86" i="11"/>
  <c r="Z86" i="11"/>
  <c r="U86" i="11"/>
  <c r="AF86" i="11" s="1"/>
  <c r="P86" i="11"/>
  <c r="L86" i="11"/>
  <c r="L85" i="11"/>
  <c r="AJ84" i="11"/>
  <c r="AH84" i="11"/>
  <c r="AC84" i="11"/>
  <c r="AE84" i="11" s="1"/>
  <c r="X84" i="11"/>
  <c r="Y84" i="11" s="1"/>
  <c r="T84" i="11"/>
  <c r="R84" i="11"/>
  <c r="N84" i="11"/>
  <c r="M84" i="11"/>
  <c r="L84" i="11"/>
  <c r="AK84" i="11" s="1"/>
  <c r="AK83" i="11"/>
  <c r="AJ83" i="11"/>
  <c r="AH83" i="11"/>
  <c r="AC83" i="11"/>
  <c r="AE83" i="11" s="1"/>
  <c r="Z83" i="11"/>
  <c r="Y83" i="11"/>
  <c r="X83" i="11"/>
  <c r="U83" i="11"/>
  <c r="AF83" i="11" s="1"/>
  <c r="T83" i="11"/>
  <c r="R83" i="11"/>
  <c r="P83" i="11"/>
  <c r="N83" i="11"/>
  <c r="M83" i="11"/>
  <c r="L83" i="11"/>
  <c r="AK82" i="11"/>
  <c r="Z82" i="11"/>
  <c r="U82" i="11"/>
  <c r="AF82" i="11" s="1"/>
  <c r="P82" i="11"/>
  <c r="L82" i="11"/>
  <c r="L81" i="11"/>
  <c r="AJ80" i="11"/>
  <c r="AH80" i="11"/>
  <c r="AC80" i="11"/>
  <c r="AE80" i="11" s="1"/>
  <c r="X80" i="11"/>
  <c r="Y80" i="11" s="1"/>
  <c r="T80" i="11"/>
  <c r="R80" i="11"/>
  <c r="N80" i="11"/>
  <c r="M80" i="11"/>
  <c r="L80" i="11"/>
  <c r="AK80" i="11" s="1"/>
  <c r="AK79" i="11"/>
  <c r="AJ79" i="11"/>
  <c r="AH79" i="11"/>
  <c r="AC79" i="11"/>
  <c r="AE79" i="11" s="1"/>
  <c r="Z79" i="11"/>
  <c r="Y79" i="11"/>
  <c r="X79" i="11"/>
  <c r="U79" i="11"/>
  <c r="AF79" i="11" s="1"/>
  <c r="T79" i="11"/>
  <c r="R79" i="11"/>
  <c r="P79" i="11"/>
  <c r="N79" i="11"/>
  <c r="M79" i="11"/>
  <c r="L79" i="11"/>
  <c r="AK78" i="11"/>
  <c r="Z78" i="11"/>
  <c r="U78" i="11"/>
  <c r="AF78" i="11" s="1"/>
  <c r="P78" i="11"/>
  <c r="L78" i="11"/>
  <c r="L77" i="11"/>
  <c r="AJ76" i="11"/>
  <c r="AH76" i="11"/>
  <c r="AC76" i="11"/>
  <c r="AE76" i="11" s="1"/>
  <c r="X76" i="11"/>
  <c r="Y76" i="11" s="1"/>
  <c r="T76" i="11"/>
  <c r="R76" i="11"/>
  <c r="N76" i="11"/>
  <c r="M76" i="11"/>
  <c r="L76" i="11"/>
  <c r="AK76" i="11" s="1"/>
  <c r="AK75" i="11"/>
  <c r="AJ75" i="11"/>
  <c r="AH75" i="11"/>
  <c r="AC75" i="11"/>
  <c r="AE75" i="11" s="1"/>
  <c r="Z75" i="11"/>
  <c r="Y75" i="11"/>
  <c r="X75" i="11"/>
  <c r="U75" i="11"/>
  <c r="AF75" i="11" s="1"/>
  <c r="T75" i="11"/>
  <c r="R75" i="11"/>
  <c r="P75" i="11"/>
  <c r="N75" i="11"/>
  <c r="M75" i="11"/>
  <c r="L75" i="11"/>
  <c r="AK74" i="11"/>
  <c r="Z74" i="11"/>
  <c r="U74" i="11"/>
  <c r="AF74" i="11" s="1"/>
  <c r="P74" i="11"/>
  <c r="L74" i="11"/>
  <c r="L73" i="11"/>
  <c r="AJ72" i="11"/>
  <c r="AH72" i="11"/>
  <c r="AC72" i="11"/>
  <c r="AE72" i="11" s="1"/>
  <c r="X72" i="11"/>
  <c r="Y72" i="11" s="1"/>
  <c r="T72" i="11"/>
  <c r="R72" i="11"/>
  <c r="N72" i="11"/>
  <c r="M72" i="11"/>
  <c r="L72" i="11"/>
  <c r="AK72" i="11" s="1"/>
  <c r="AK71" i="11"/>
  <c r="AJ71" i="11"/>
  <c r="AH71" i="11"/>
  <c r="AC71" i="11"/>
  <c r="AE71" i="11" s="1"/>
  <c r="Z71" i="11"/>
  <c r="Y71" i="11"/>
  <c r="X71" i="11"/>
  <c r="U71" i="11"/>
  <c r="AF71" i="11" s="1"/>
  <c r="T71" i="11"/>
  <c r="R71" i="11"/>
  <c r="P71" i="11"/>
  <c r="N71" i="11"/>
  <c r="M71" i="11"/>
  <c r="L71" i="11"/>
  <c r="AK70" i="11"/>
  <c r="Z70" i="11"/>
  <c r="U70" i="11"/>
  <c r="AF70" i="11" s="1"/>
  <c r="P70" i="11"/>
  <c r="L70" i="11"/>
  <c r="L69" i="11"/>
  <c r="AJ68" i="11"/>
  <c r="AH68" i="11"/>
  <c r="AC68" i="11"/>
  <c r="AE68" i="11" s="1"/>
  <c r="X68" i="11"/>
  <c r="Y68" i="11" s="1"/>
  <c r="T68" i="11"/>
  <c r="R68" i="11"/>
  <c r="N68" i="11"/>
  <c r="M68" i="11"/>
  <c r="L68" i="11"/>
  <c r="AK68" i="11" s="1"/>
  <c r="AK67" i="11"/>
  <c r="AJ67" i="11"/>
  <c r="AH67" i="11"/>
  <c r="AC67" i="11"/>
  <c r="AE67" i="11" s="1"/>
  <c r="Z67" i="11"/>
  <c r="Y67" i="11"/>
  <c r="X67" i="11"/>
  <c r="U67" i="11"/>
  <c r="AF67" i="11" s="1"/>
  <c r="T67" i="11"/>
  <c r="R67" i="11"/>
  <c r="P67" i="11"/>
  <c r="N67" i="11"/>
  <c r="M67" i="11"/>
  <c r="L67" i="11"/>
  <c r="AK66" i="11"/>
  <c r="Z66" i="11"/>
  <c r="U66" i="11"/>
  <c r="AF66" i="11" s="1"/>
  <c r="P66" i="11"/>
  <c r="L66" i="11"/>
  <c r="L65" i="11"/>
  <c r="AJ64" i="11"/>
  <c r="AH64" i="11"/>
  <c r="AC64" i="11"/>
  <c r="AE64" i="11" s="1"/>
  <c r="X64" i="11"/>
  <c r="Y64" i="11" s="1"/>
  <c r="T64" i="11"/>
  <c r="R64" i="11"/>
  <c r="N64" i="11"/>
  <c r="M64" i="11"/>
  <c r="L64" i="11"/>
  <c r="AK64" i="11" s="1"/>
  <c r="AK63" i="11"/>
  <c r="AJ63" i="11"/>
  <c r="AH63" i="11"/>
  <c r="AC63" i="11"/>
  <c r="AE63" i="11" s="1"/>
  <c r="Z63" i="11"/>
  <c r="Y63" i="11"/>
  <c r="X63" i="11"/>
  <c r="U63" i="11"/>
  <c r="AF63" i="11" s="1"/>
  <c r="T63" i="11"/>
  <c r="R63" i="11"/>
  <c r="P63" i="11"/>
  <c r="N63" i="11"/>
  <c r="M63" i="11"/>
  <c r="L63" i="11"/>
  <c r="AK62" i="11"/>
  <c r="Z62" i="11"/>
  <c r="U62" i="11"/>
  <c r="AF62" i="11" s="1"/>
  <c r="P62" i="11"/>
  <c r="L62" i="11"/>
  <c r="L61" i="11"/>
  <c r="AJ60" i="11"/>
  <c r="AH60" i="11"/>
  <c r="AC60" i="11"/>
  <c r="AE60" i="11" s="1"/>
  <c r="X60" i="11"/>
  <c r="Y60" i="11" s="1"/>
  <c r="T60" i="11"/>
  <c r="R60" i="11"/>
  <c r="N60" i="11"/>
  <c r="M60" i="11"/>
  <c r="L60" i="11"/>
  <c r="AK60" i="11" s="1"/>
  <c r="AK59" i="11"/>
  <c r="AJ59" i="11"/>
  <c r="AH59" i="11"/>
  <c r="AC59" i="11"/>
  <c r="AE59" i="11" s="1"/>
  <c r="Z59" i="11"/>
  <c r="Y59" i="11"/>
  <c r="X59" i="11"/>
  <c r="U59" i="11"/>
  <c r="AF59" i="11" s="1"/>
  <c r="T59" i="11"/>
  <c r="R59" i="11"/>
  <c r="P59" i="11"/>
  <c r="N59" i="11"/>
  <c r="M59" i="11"/>
  <c r="L59" i="11"/>
  <c r="AK58" i="11"/>
  <c r="Z58" i="11"/>
  <c r="U58" i="11"/>
  <c r="AF58" i="11" s="1"/>
  <c r="P58" i="11"/>
  <c r="L58" i="11"/>
  <c r="L57" i="11"/>
  <c r="AJ56" i="11"/>
  <c r="AH56" i="11"/>
  <c r="AC56" i="11"/>
  <c r="AE56" i="11" s="1"/>
  <c r="X56" i="11"/>
  <c r="Y56" i="11" s="1"/>
  <c r="T56" i="11"/>
  <c r="R56" i="11"/>
  <c r="N56" i="11"/>
  <c r="M56" i="11"/>
  <c r="L56" i="11"/>
  <c r="AK56" i="11" s="1"/>
  <c r="AK55" i="11"/>
  <c r="AJ55" i="11"/>
  <c r="AH55" i="11"/>
  <c r="AC55" i="11"/>
  <c r="AE55" i="11" s="1"/>
  <c r="Z55" i="11"/>
  <c r="Y55" i="11"/>
  <c r="X55" i="11"/>
  <c r="U55" i="11"/>
  <c r="AF55" i="11" s="1"/>
  <c r="T55" i="11"/>
  <c r="R55" i="11"/>
  <c r="P55" i="11"/>
  <c r="N55" i="11"/>
  <c r="M55" i="11"/>
  <c r="L55" i="11"/>
  <c r="AK54" i="11"/>
  <c r="Z54" i="11"/>
  <c r="U54" i="11"/>
  <c r="AF54" i="11" s="1"/>
  <c r="P54" i="11"/>
  <c r="L54" i="11"/>
  <c r="L53" i="11"/>
  <c r="AJ52" i="11"/>
  <c r="AH52" i="11"/>
  <c r="AC52" i="11"/>
  <c r="AE52" i="11" s="1"/>
  <c r="X52" i="11"/>
  <c r="Y52" i="11" s="1"/>
  <c r="T52" i="11"/>
  <c r="R52" i="11"/>
  <c r="N52" i="11"/>
  <c r="M52" i="11"/>
  <c r="L52" i="11"/>
  <c r="AK52" i="11" s="1"/>
  <c r="AK51" i="11"/>
  <c r="AJ51" i="11"/>
  <c r="AH51" i="11"/>
  <c r="AC51" i="11"/>
  <c r="AE51" i="11" s="1"/>
  <c r="Z51" i="11"/>
  <c r="Y51" i="11"/>
  <c r="X51" i="11"/>
  <c r="U51" i="11"/>
  <c r="AF51" i="11" s="1"/>
  <c r="T51" i="11"/>
  <c r="R51" i="11"/>
  <c r="P51" i="11"/>
  <c r="N51" i="11"/>
  <c r="M51" i="11"/>
  <c r="L51" i="11"/>
  <c r="AK50" i="11"/>
  <c r="Z50" i="11"/>
  <c r="U50" i="11"/>
  <c r="AF50" i="11" s="1"/>
  <c r="P50" i="11"/>
  <c r="L50" i="11"/>
  <c r="L49" i="11"/>
  <c r="AJ48" i="11"/>
  <c r="AH48" i="11"/>
  <c r="AC48" i="11"/>
  <c r="AE48" i="11" s="1"/>
  <c r="X48" i="11"/>
  <c r="Y48" i="11" s="1"/>
  <c r="T48" i="11"/>
  <c r="R48" i="11"/>
  <c r="N48" i="11"/>
  <c r="M48" i="11"/>
  <c r="L48" i="11"/>
  <c r="AK48" i="11" s="1"/>
  <c r="AK47" i="11"/>
  <c r="AJ47" i="11"/>
  <c r="AH47" i="11"/>
  <c r="AC47" i="11"/>
  <c r="AE47" i="11" s="1"/>
  <c r="Z47" i="11"/>
  <c r="Y47" i="11"/>
  <c r="X47" i="11"/>
  <c r="U47" i="11"/>
  <c r="AF47" i="11" s="1"/>
  <c r="T47" i="11"/>
  <c r="R47" i="11"/>
  <c r="P47" i="11"/>
  <c r="N47" i="11"/>
  <c r="M47" i="11"/>
  <c r="L47" i="11"/>
  <c r="AK46" i="11"/>
  <c r="Z46" i="11"/>
  <c r="U46" i="11"/>
  <c r="AF46" i="11" s="1"/>
  <c r="P46" i="11"/>
  <c r="L46" i="11"/>
  <c r="L45" i="11"/>
  <c r="AJ44" i="11"/>
  <c r="AH44" i="11"/>
  <c r="AC44" i="11"/>
  <c r="AE44" i="11" s="1"/>
  <c r="X44" i="11"/>
  <c r="Y44" i="11" s="1"/>
  <c r="T44" i="11"/>
  <c r="R44" i="11"/>
  <c r="N44" i="11"/>
  <c r="M44" i="11"/>
  <c r="L44" i="11"/>
  <c r="AK44" i="11" s="1"/>
  <c r="AK43" i="11"/>
  <c r="AJ43" i="11"/>
  <c r="AH43" i="11"/>
  <c r="AC43" i="11"/>
  <c r="AE43" i="11" s="1"/>
  <c r="Z43" i="11"/>
  <c r="Y43" i="11"/>
  <c r="X43" i="11"/>
  <c r="U43" i="11"/>
  <c r="AF43" i="11" s="1"/>
  <c r="T43" i="11"/>
  <c r="R43" i="11"/>
  <c r="P43" i="11"/>
  <c r="N43" i="11"/>
  <c r="M43" i="11"/>
  <c r="L43" i="11"/>
  <c r="AK42" i="11"/>
  <c r="Z42" i="11"/>
  <c r="U42" i="11"/>
  <c r="AF42" i="11" s="1"/>
  <c r="P42" i="11"/>
  <c r="L42" i="11"/>
  <c r="L41" i="11"/>
  <c r="AJ40" i="11"/>
  <c r="AH40" i="11"/>
  <c r="AC40" i="11"/>
  <c r="AE40" i="11" s="1"/>
  <c r="X40" i="11"/>
  <c r="Y40" i="11" s="1"/>
  <c r="T40" i="11"/>
  <c r="R40" i="11"/>
  <c r="N40" i="11"/>
  <c r="M40" i="11"/>
  <c r="L40" i="11"/>
  <c r="AK40" i="11" s="1"/>
  <c r="AK39" i="11"/>
  <c r="AJ39" i="11"/>
  <c r="AH39" i="11"/>
  <c r="AC39" i="11"/>
  <c r="AE39" i="11" s="1"/>
  <c r="Z39" i="11"/>
  <c r="Y39" i="11"/>
  <c r="X39" i="11"/>
  <c r="U39" i="11"/>
  <c r="AF39" i="11" s="1"/>
  <c r="T39" i="11"/>
  <c r="R39" i="11"/>
  <c r="P39" i="11"/>
  <c r="N39" i="11"/>
  <c r="M39" i="11"/>
  <c r="L39" i="11"/>
  <c r="AK38" i="11"/>
  <c r="Z38" i="11"/>
  <c r="U38" i="11"/>
  <c r="AF38" i="11" s="1"/>
  <c r="P38" i="11"/>
  <c r="L38" i="11"/>
  <c r="L37" i="11"/>
  <c r="AJ36" i="11"/>
  <c r="AH36" i="11"/>
  <c r="AC36" i="11"/>
  <c r="AE36" i="11" s="1"/>
  <c r="X36" i="11"/>
  <c r="Y36" i="11" s="1"/>
  <c r="T36" i="11"/>
  <c r="R36" i="11"/>
  <c r="N36" i="11"/>
  <c r="M36" i="11"/>
  <c r="L36" i="11"/>
  <c r="AK36" i="11" s="1"/>
  <c r="AK35" i="11"/>
  <c r="AJ35" i="11"/>
  <c r="AH35" i="11"/>
  <c r="AC35" i="11"/>
  <c r="AE35" i="11" s="1"/>
  <c r="Z35" i="11"/>
  <c r="Y35" i="11"/>
  <c r="X35" i="11"/>
  <c r="U35" i="11"/>
  <c r="AF35" i="11" s="1"/>
  <c r="T35" i="11"/>
  <c r="R35" i="11"/>
  <c r="P35" i="11"/>
  <c r="N35" i="11"/>
  <c r="M35" i="11"/>
  <c r="L35" i="11"/>
  <c r="AK34" i="11"/>
  <c r="Z34" i="11"/>
  <c r="U34" i="11"/>
  <c r="AF34" i="11" s="1"/>
  <c r="P34" i="11"/>
  <c r="L34" i="11"/>
  <c r="L33" i="11"/>
  <c r="AJ32" i="11"/>
  <c r="AH32" i="11"/>
  <c r="AC32" i="11"/>
  <c r="AE32" i="11" s="1"/>
  <c r="X32" i="11"/>
  <c r="Y32" i="11" s="1"/>
  <c r="T32" i="11"/>
  <c r="R32" i="11"/>
  <c r="N32" i="11"/>
  <c r="M32" i="11"/>
  <c r="L32" i="11"/>
  <c r="AK32" i="11" s="1"/>
  <c r="AK31" i="11"/>
  <c r="AJ31" i="11"/>
  <c r="AH31" i="11"/>
  <c r="AC31" i="11"/>
  <c r="AE31" i="11" s="1"/>
  <c r="Z31" i="11"/>
  <c r="Y31" i="11"/>
  <c r="X31" i="11"/>
  <c r="U31" i="11"/>
  <c r="AF31" i="11" s="1"/>
  <c r="T31" i="11"/>
  <c r="R31" i="11"/>
  <c r="P31" i="11"/>
  <c r="N31" i="11"/>
  <c r="M31" i="11"/>
  <c r="L31" i="11"/>
  <c r="AK30" i="11"/>
  <c r="Z30" i="11"/>
  <c r="U30" i="11"/>
  <c r="AF30" i="11" s="1"/>
  <c r="P30" i="11"/>
  <c r="L30" i="11"/>
  <c r="L29" i="11"/>
  <c r="AJ28" i="11"/>
  <c r="AH28" i="11"/>
  <c r="AC28" i="11"/>
  <c r="AE28" i="11" s="1"/>
  <c r="X28" i="11"/>
  <c r="Y28" i="11" s="1"/>
  <c r="T28" i="11"/>
  <c r="R28" i="11"/>
  <c r="N28" i="11"/>
  <c r="M28" i="11"/>
  <c r="L28" i="11"/>
  <c r="AK28" i="11" s="1"/>
  <c r="AK27" i="11"/>
  <c r="AJ27" i="11"/>
  <c r="AH27" i="11"/>
  <c r="AC27" i="11"/>
  <c r="AE27" i="11" s="1"/>
  <c r="Z27" i="11"/>
  <c r="Y27" i="11"/>
  <c r="X27" i="11"/>
  <c r="U27" i="11"/>
  <c r="AF27" i="11" s="1"/>
  <c r="T27" i="11"/>
  <c r="R27" i="11"/>
  <c r="P27" i="11"/>
  <c r="N27" i="11"/>
  <c r="M27" i="11"/>
  <c r="L27" i="11"/>
  <c r="AK26" i="11"/>
  <c r="Z26" i="11"/>
  <c r="U26" i="11"/>
  <c r="AF26" i="11" s="1"/>
  <c r="P26" i="11"/>
  <c r="L26" i="11"/>
  <c r="L25" i="11"/>
  <c r="AJ24" i="11"/>
  <c r="AH24" i="11"/>
  <c r="AC24" i="11"/>
  <c r="AE24" i="11" s="1"/>
  <c r="X24" i="11"/>
  <c r="Y24" i="11" s="1"/>
  <c r="T24" i="11"/>
  <c r="R24" i="11"/>
  <c r="N24" i="11"/>
  <c r="M24" i="11"/>
  <c r="L24" i="11"/>
  <c r="AK24" i="11" s="1"/>
  <c r="AK23" i="11"/>
  <c r="AJ23" i="11"/>
  <c r="AH23" i="11"/>
  <c r="AC23" i="11"/>
  <c r="AE23" i="11" s="1"/>
  <c r="Z23" i="11"/>
  <c r="Y23" i="11"/>
  <c r="X23" i="11"/>
  <c r="U23" i="11"/>
  <c r="AF23" i="11" s="1"/>
  <c r="T23" i="11"/>
  <c r="R23" i="11"/>
  <c r="P23" i="11"/>
  <c r="N23" i="11"/>
  <c r="M23" i="11"/>
  <c r="L23" i="11"/>
  <c r="AK22" i="11"/>
  <c r="Z22" i="11"/>
  <c r="U22" i="11"/>
  <c r="AF22" i="11" s="1"/>
  <c r="P22" i="11"/>
  <c r="L22" i="11"/>
  <c r="L21" i="11"/>
  <c r="AJ20" i="11"/>
  <c r="AH20" i="11"/>
  <c r="AC20" i="11"/>
  <c r="AE20" i="11" s="1"/>
  <c r="X20" i="11"/>
  <c r="Y20" i="11" s="1"/>
  <c r="T20" i="11"/>
  <c r="R20" i="11"/>
  <c r="N20" i="11"/>
  <c r="M20" i="11"/>
  <c r="L20" i="11"/>
  <c r="AK20" i="11" s="1"/>
  <c r="AK19" i="11"/>
  <c r="AJ19" i="11"/>
  <c r="AH19" i="11"/>
  <c r="AC19" i="11"/>
  <c r="AE19" i="11" s="1"/>
  <c r="Z19" i="11"/>
  <c r="Y19" i="11"/>
  <c r="X19" i="11"/>
  <c r="U19" i="11"/>
  <c r="AF19" i="11" s="1"/>
  <c r="T19" i="11"/>
  <c r="R19" i="11"/>
  <c r="P19" i="11"/>
  <c r="N19" i="11"/>
  <c r="M19" i="11"/>
  <c r="L19" i="11"/>
  <c r="AK18" i="11"/>
  <c r="Z18" i="11"/>
  <c r="U18" i="11"/>
  <c r="AF18" i="11" s="1"/>
  <c r="P18" i="11"/>
  <c r="L18" i="11"/>
  <c r="L17" i="11"/>
  <c r="AJ16" i="11"/>
  <c r="AH16" i="11"/>
  <c r="AC16" i="11"/>
  <c r="AE16" i="11" s="1"/>
  <c r="X16" i="11"/>
  <c r="Y16" i="11" s="1"/>
  <c r="T16" i="11"/>
  <c r="R16" i="11"/>
  <c r="N16" i="11"/>
  <c r="M16" i="11"/>
  <c r="L16" i="11"/>
  <c r="AK16" i="11" s="1"/>
  <c r="AK15" i="11"/>
  <c r="AJ15" i="11"/>
  <c r="AH15" i="11"/>
  <c r="AC15" i="11"/>
  <c r="AE15" i="11" s="1"/>
  <c r="Z15" i="11"/>
  <c r="Y15" i="11"/>
  <c r="X15" i="11"/>
  <c r="U15" i="11"/>
  <c r="AF15" i="11" s="1"/>
  <c r="T15" i="11"/>
  <c r="R15" i="11"/>
  <c r="P15" i="11"/>
  <c r="N15" i="11"/>
  <c r="M15" i="11"/>
  <c r="L15" i="11"/>
  <c r="AK14" i="11"/>
  <c r="Z14" i="11"/>
  <c r="U14" i="11"/>
  <c r="AF14" i="11" s="1"/>
  <c r="P14" i="11"/>
  <c r="L14" i="11"/>
  <c r="L13" i="11"/>
  <c r="AJ12" i="11"/>
  <c r="AH12" i="11"/>
  <c r="AC12" i="11"/>
  <c r="AE12" i="11" s="1"/>
  <c r="X12" i="11"/>
  <c r="Y12" i="11" s="1"/>
  <c r="T12" i="11"/>
  <c r="R12" i="11"/>
  <c r="N12" i="11"/>
  <c r="M12" i="11"/>
  <c r="L12" i="11"/>
  <c r="AK12" i="11" s="1"/>
  <c r="AK11" i="11"/>
  <c r="AJ11" i="11"/>
  <c r="AH11" i="11"/>
  <c r="AC11" i="11"/>
  <c r="AE11" i="11" s="1"/>
  <c r="Z11" i="11"/>
  <c r="Y11" i="11"/>
  <c r="X11" i="11"/>
  <c r="U11" i="11"/>
  <c r="AF11" i="11" s="1"/>
  <c r="T11" i="11"/>
  <c r="R11" i="11"/>
  <c r="P11" i="11"/>
  <c r="N11" i="11"/>
  <c r="M11" i="11"/>
  <c r="L11" i="11"/>
  <c r="AK10" i="11"/>
  <c r="Z10" i="11"/>
  <c r="U10" i="11"/>
  <c r="AF10" i="11" s="1"/>
  <c r="P10" i="11"/>
  <c r="L10" i="11"/>
  <c r="L9" i="11"/>
  <c r="AO8" i="11"/>
  <c r="AL8" i="11"/>
  <c r="AK8" i="11"/>
  <c r="AI8" i="11"/>
  <c r="AH8" i="11"/>
  <c r="AD8" i="11"/>
  <c r="AC8" i="11"/>
  <c r="AE8" i="11" s="1"/>
  <c r="Z8" i="11"/>
  <c r="AA8" i="11" s="1"/>
  <c r="AG8" i="11" s="1"/>
  <c r="W8" i="11"/>
  <c r="V8" i="11"/>
  <c r="U8" i="11"/>
  <c r="AF8" i="11" s="1"/>
  <c r="S8" i="11"/>
  <c r="R8" i="11"/>
  <c r="Q8" i="11"/>
  <c r="O8" i="11"/>
  <c r="N8" i="11"/>
  <c r="M8" i="11"/>
  <c r="L8" i="11"/>
  <c r="AJ8" i="11" s="1"/>
  <c r="K8" i="11"/>
  <c r="AO7" i="11"/>
  <c r="L7" i="11"/>
  <c r="AO6" i="11"/>
  <c r="AK6" i="11"/>
  <c r="AJ6" i="11"/>
  <c r="AI6" i="11"/>
  <c r="AC6" i="11"/>
  <c r="AE6" i="11" s="1"/>
  <c r="Y6" i="11"/>
  <c r="X6" i="11"/>
  <c r="U6" i="11"/>
  <c r="AF6" i="11" s="1"/>
  <c r="T6" i="11"/>
  <c r="S6" i="11"/>
  <c r="P6" i="11"/>
  <c r="O6" i="11"/>
  <c r="M6" i="11"/>
  <c r="L6" i="11"/>
  <c r="K6" i="11"/>
  <c r="AO5" i="11"/>
  <c r="AJ5" i="11"/>
  <c r="AH5" i="11"/>
  <c r="AC5" i="11"/>
  <c r="AE5" i="11" s="1"/>
  <c r="X5" i="11"/>
  <c r="Y5" i="11" s="1"/>
  <c r="T5" i="11"/>
  <c r="R5" i="11"/>
  <c r="N5" i="11"/>
  <c r="M5" i="11"/>
  <c r="L5" i="11"/>
  <c r="AK5" i="11" s="1"/>
  <c r="AL4" i="11"/>
  <c r="AK4" i="11"/>
  <c r="AI4" i="11"/>
  <c r="AH4" i="11"/>
  <c r="AD4" i="11"/>
  <c r="AC4" i="11"/>
  <c r="AE4" i="11" s="1"/>
  <c r="Z4" i="11"/>
  <c r="AA4" i="11" s="1"/>
  <c r="AG4" i="11" s="1"/>
  <c r="W4" i="11"/>
  <c r="V4" i="11"/>
  <c r="U4" i="11"/>
  <c r="AF4" i="11" s="1"/>
  <c r="S4" i="11"/>
  <c r="R4" i="11"/>
  <c r="Q4" i="11"/>
  <c r="O4" i="11"/>
  <c r="N4" i="11"/>
  <c r="M4" i="11"/>
  <c r="L4" i="11"/>
  <c r="AJ4" i="11" s="1"/>
  <c r="K4" i="11"/>
  <c r="AO3" i="11"/>
  <c r="AJ3" i="11"/>
  <c r="AI3" i="11"/>
  <c r="Z3" i="11"/>
  <c r="X3" i="11"/>
  <c r="T3" i="11"/>
  <c r="S3" i="11"/>
  <c r="O3" i="11"/>
  <c r="N3" i="11"/>
  <c r="L3" i="11"/>
  <c r="AL3" i="11" s="1"/>
  <c r="AO2" i="11"/>
  <c r="AK2" i="11"/>
  <c r="U2" i="11"/>
  <c r="AF2" i="11" s="1"/>
  <c r="P2" i="11"/>
  <c r="L2" i="11"/>
  <c r="K2" i="11"/>
  <c r="AO1" i="11"/>
  <c r="K1" i="11"/>
  <c r="AL501" i="10"/>
  <c r="AK501" i="10"/>
  <c r="AI501" i="10"/>
  <c r="AH501" i="10"/>
  <c r="AE501" i="10"/>
  <c r="AD501" i="10"/>
  <c r="AC501" i="10"/>
  <c r="Z501" i="10"/>
  <c r="AA501" i="10" s="1"/>
  <c r="AG501" i="10" s="1"/>
  <c r="W501" i="10"/>
  <c r="V501" i="10"/>
  <c r="U501" i="10"/>
  <c r="AF501" i="10" s="1"/>
  <c r="S501" i="10"/>
  <c r="R501" i="10"/>
  <c r="Q501" i="10"/>
  <c r="O501" i="10"/>
  <c r="N501" i="10"/>
  <c r="M501" i="10"/>
  <c r="L501" i="10"/>
  <c r="AJ501" i="10" s="1"/>
  <c r="K501" i="10"/>
  <c r="AL500" i="10"/>
  <c r="AK500" i="10"/>
  <c r="AI500" i="10"/>
  <c r="AH500" i="10"/>
  <c r="AC500" i="10"/>
  <c r="AE500" i="10" s="1"/>
  <c r="AA500" i="10"/>
  <c r="AG500" i="10" s="1"/>
  <c r="Z500" i="10"/>
  <c r="W500" i="10"/>
  <c r="AD500" i="10" s="1"/>
  <c r="V500" i="10"/>
  <c r="U500" i="10"/>
  <c r="AF500" i="10" s="1"/>
  <c r="S500" i="10"/>
  <c r="R500" i="10"/>
  <c r="Q500" i="10"/>
  <c r="O500" i="10"/>
  <c r="N500" i="10"/>
  <c r="M500" i="10"/>
  <c r="L500" i="10"/>
  <c r="AJ500" i="10" s="1"/>
  <c r="K500" i="10"/>
  <c r="AL499" i="10"/>
  <c r="AK499" i="10"/>
  <c r="AI499" i="10"/>
  <c r="AH499" i="10"/>
  <c r="AE499" i="10"/>
  <c r="AD499" i="10"/>
  <c r="AC499" i="10"/>
  <c r="Z499" i="10"/>
  <c r="AA499" i="10" s="1"/>
  <c r="AG499" i="10" s="1"/>
  <c r="W499" i="10"/>
  <c r="V499" i="10"/>
  <c r="U499" i="10"/>
  <c r="AF499" i="10" s="1"/>
  <c r="S499" i="10"/>
  <c r="R499" i="10"/>
  <c r="Q499" i="10"/>
  <c r="O499" i="10"/>
  <c r="N499" i="10"/>
  <c r="M499" i="10"/>
  <c r="L499" i="10"/>
  <c r="AJ499" i="10" s="1"/>
  <c r="K499" i="10"/>
  <c r="AL498" i="10"/>
  <c r="AK498" i="10"/>
  <c r="AI498" i="10"/>
  <c r="AH498" i="10"/>
  <c r="AC498" i="10"/>
  <c r="AE498" i="10" s="1"/>
  <c r="AA498" i="10"/>
  <c r="AG498" i="10" s="1"/>
  <c r="Z498" i="10"/>
  <c r="W498" i="10"/>
  <c r="AD498" i="10" s="1"/>
  <c r="V498" i="10"/>
  <c r="U498" i="10"/>
  <c r="AF498" i="10" s="1"/>
  <c r="S498" i="10"/>
  <c r="R498" i="10"/>
  <c r="Q498" i="10"/>
  <c r="O498" i="10"/>
  <c r="N498" i="10"/>
  <c r="M498" i="10"/>
  <c r="L498" i="10"/>
  <c r="AJ498" i="10" s="1"/>
  <c r="K498" i="10"/>
  <c r="AL497" i="10"/>
  <c r="AK497" i="10"/>
  <c r="AI497" i="10"/>
  <c r="AH497" i="10"/>
  <c r="AE497" i="10"/>
  <c r="AD497" i="10"/>
  <c r="AC497" i="10"/>
  <c r="Z497" i="10"/>
  <c r="AA497" i="10" s="1"/>
  <c r="AG497" i="10" s="1"/>
  <c r="W497" i="10"/>
  <c r="V497" i="10"/>
  <c r="U497" i="10"/>
  <c r="AF497" i="10" s="1"/>
  <c r="S497" i="10"/>
  <c r="R497" i="10"/>
  <c r="Q497" i="10"/>
  <c r="O497" i="10"/>
  <c r="N497" i="10"/>
  <c r="M497" i="10"/>
  <c r="L497" i="10"/>
  <c r="AJ497" i="10" s="1"/>
  <c r="K497" i="10"/>
  <c r="AL496" i="10"/>
  <c r="AK496" i="10"/>
  <c r="AI496" i="10"/>
  <c r="AH496" i="10"/>
  <c r="AC496" i="10"/>
  <c r="AE496" i="10" s="1"/>
  <c r="AA496" i="10"/>
  <c r="AG496" i="10" s="1"/>
  <c r="Z496" i="10"/>
  <c r="W496" i="10"/>
  <c r="AD496" i="10" s="1"/>
  <c r="V496" i="10"/>
  <c r="U496" i="10"/>
  <c r="AF496" i="10" s="1"/>
  <c r="S496" i="10"/>
  <c r="R496" i="10"/>
  <c r="Q496" i="10"/>
  <c r="O496" i="10"/>
  <c r="N496" i="10"/>
  <c r="M496" i="10"/>
  <c r="L496" i="10"/>
  <c r="AJ496" i="10" s="1"/>
  <c r="K496" i="10"/>
  <c r="AL495" i="10"/>
  <c r="AK495" i="10"/>
  <c r="AI495" i="10"/>
  <c r="AH495" i="10"/>
  <c r="AE495" i="10"/>
  <c r="AD495" i="10"/>
  <c r="AC495" i="10"/>
  <c r="Z495" i="10"/>
  <c r="AA495" i="10" s="1"/>
  <c r="AG495" i="10" s="1"/>
  <c r="W495" i="10"/>
  <c r="V495" i="10"/>
  <c r="U495" i="10"/>
  <c r="AF495" i="10" s="1"/>
  <c r="S495" i="10"/>
  <c r="R495" i="10"/>
  <c r="Q495" i="10"/>
  <c r="O495" i="10"/>
  <c r="N495" i="10"/>
  <c r="M495" i="10"/>
  <c r="L495" i="10"/>
  <c r="AJ495" i="10" s="1"/>
  <c r="K495" i="10"/>
  <c r="AL494" i="10"/>
  <c r="AK494" i="10"/>
  <c r="AI494" i="10"/>
  <c r="AH494" i="10"/>
  <c r="AC494" i="10"/>
  <c r="AE494" i="10" s="1"/>
  <c r="AA494" i="10"/>
  <c r="AG494" i="10" s="1"/>
  <c r="Z494" i="10"/>
  <c r="W494" i="10"/>
  <c r="AD494" i="10" s="1"/>
  <c r="V494" i="10"/>
  <c r="U494" i="10"/>
  <c r="AF494" i="10" s="1"/>
  <c r="S494" i="10"/>
  <c r="R494" i="10"/>
  <c r="Q494" i="10"/>
  <c r="O494" i="10"/>
  <c r="N494" i="10"/>
  <c r="M494" i="10"/>
  <c r="L494" i="10"/>
  <c r="AJ494" i="10" s="1"/>
  <c r="K494" i="10"/>
  <c r="AL493" i="10"/>
  <c r="AK493" i="10"/>
  <c r="AI493" i="10"/>
  <c r="AH493" i="10"/>
  <c r="AE493" i="10"/>
  <c r="AD493" i="10"/>
  <c r="AC493" i="10"/>
  <c r="Z493" i="10"/>
  <c r="AA493" i="10" s="1"/>
  <c r="AG493" i="10" s="1"/>
  <c r="W493" i="10"/>
  <c r="V493" i="10"/>
  <c r="U493" i="10"/>
  <c r="AF493" i="10" s="1"/>
  <c r="S493" i="10"/>
  <c r="R493" i="10"/>
  <c r="Q493" i="10"/>
  <c r="O493" i="10"/>
  <c r="N493" i="10"/>
  <c r="M493" i="10"/>
  <c r="L493" i="10"/>
  <c r="AJ493" i="10" s="1"/>
  <c r="K493" i="10"/>
  <c r="AL492" i="10"/>
  <c r="AK492" i="10"/>
  <c r="AI492" i="10"/>
  <c r="AH492" i="10"/>
  <c r="AC492" i="10"/>
  <c r="AE492" i="10" s="1"/>
  <c r="AA492" i="10"/>
  <c r="AG492" i="10" s="1"/>
  <c r="Z492" i="10"/>
  <c r="W492" i="10"/>
  <c r="AD492" i="10" s="1"/>
  <c r="V492" i="10"/>
  <c r="U492" i="10"/>
  <c r="AF492" i="10" s="1"/>
  <c r="S492" i="10"/>
  <c r="R492" i="10"/>
  <c r="Q492" i="10"/>
  <c r="O492" i="10"/>
  <c r="N492" i="10"/>
  <c r="M492" i="10"/>
  <c r="L492" i="10"/>
  <c r="AJ492" i="10" s="1"/>
  <c r="K492" i="10"/>
  <c r="AL491" i="10"/>
  <c r="AK491" i="10"/>
  <c r="AI491" i="10"/>
  <c r="AH491" i="10"/>
  <c r="AE491" i="10"/>
  <c r="AD491" i="10"/>
  <c r="AC491" i="10"/>
  <c r="Z491" i="10"/>
  <c r="AA491" i="10" s="1"/>
  <c r="AG491" i="10" s="1"/>
  <c r="W491" i="10"/>
  <c r="V491" i="10"/>
  <c r="U491" i="10"/>
  <c r="AF491" i="10" s="1"/>
  <c r="S491" i="10"/>
  <c r="R491" i="10"/>
  <c r="Q491" i="10"/>
  <c r="O491" i="10"/>
  <c r="N491" i="10"/>
  <c r="M491" i="10"/>
  <c r="L491" i="10"/>
  <c r="AJ491" i="10" s="1"/>
  <c r="K491" i="10"/>
  <c r="AL490" i="10"/>
  <c r="AK490" i="10"/>
  <c r="AI490" i="10"/>
  <c r="AH490" i="10"/>
  <c r="AC490" i="10"/>
  <c r="AE490" i="10" s="1"/>
  <c r="AA490" i="10"/>
  <c r="AG490" i="10" s="1"/>
  <c r="Z490" i="10"/>
  <c r="W490" i="10"/>
  <c r="AD490" i="10" s="1"/>
  <c r="V490" i="10"/>
  <c r="U490" i="10"/>
  <c r="AF490" i="10" s="1"/>
  <c r="S490" i="10"/>
  <c r="R490" i="10"/>
  <c r="Q490" i="10"/>
  <c r="O490" i="10"/>
  <c r="N490" i="10"/>
  <c r="M490" i="10"/>
  <c r="L490" i="10"/>
  <c r="AJ490" i="10" s="1"/>
  <c r="K490" i="10"/>
  <c r="AL489" i="10"/>
  <c r="AK489" i="10"/>
  <c r="AI489" i="10"/>
  <c r="AH489" i="10"/>
  <c r="AE489" i="10"/>
  <c r="AD489" i="10"/>
  <c r="AC489" i="10"/>
  <c r="Z489" i="10"/>
  <c r="AA489" i="10" s="1"/>
  <c r="AG489" i="10" s="1"/>
  <c r="W489" i="10"/>
  <c r="V489" i="10"/>
  <c r="U489" i="10"/>
  <c r="AF489" i="10" s="1"/>
  <c r="S489" i="10"/>
  <c r="R489" i="10"/>
  <c r="Q489" i="10"/>
  <c r="O489" i="10"/>
  <c r="N489" i="10"/>
  <c r="M489" i="10"/>
  <c r="L489" i="10"/>
  <c r="AJ489" i="10" s="1"/>
  <c r="K489" i="10"/>
  <c r="AL488" i="10"/>
  <c r="AK488" i="10"/>
  <c r="AI488" i="10"/>
  <c r="AH488" i="10"/>
  <c r="AC488" i="10"/>
  <c r="AE488" i="10" s="1"/>
  <c r="AA488" i="10"/>
  <c r="AG488" i="10" s="1"/>
  <c r="Z488" i="10"/>
  <c r="W488" i="10"/>
  <c r="AD488" i="10" s="1"/>
  <c r="V488" i="10"/>
  <c r="U488" i="10"/>
  <c r="AF488" i="10" s="1"/>
  <c r="S488" i="10"/>
  <c r="R488" i="10"/>
  <c r="Q488" i="10"/>
  <c r="O488" i="10"/>
  <c r="N488" i="10"/>
  <c r="M488" i="10"/>
  <c r="L488" i="10"/>
  <c r="AJ488" i="10" s="1"/>
  <c r="K488" i="10"/>
  <c r="AL487" i="10"/>
  <c r="AK487" i="10"/>
  <c r="AI487" i="10"/>
  <c r="AH487" i="10"/>
  <c r="AE487" i="10"/>
  <c r="AD487" i="10"/>
  <c r="AC487" i="10"/>
  <c r="Z487" i="10"/>
  <c r="AA487" i="10" s="1"/>
  <c r="AG487" i="10" s="1"/>
  <c r="W487" i="10"/>
  <c r="V487" i="10"/>
  <c r="U487" i="10"/>
  <c r="AF487" i="10" s="1"/>
  <c r="S487" i="10"/>
  <c r="R487" i="10"/>
  <c r="Q487" i="10"/>
  <c r="O487" i="10"/>
  <c r="N487" i="10"/>
  <c r="M487" i="10"/>
  <c r="L487" i="10"/>
  <c r="AJ487" i="10" s="1"/>
  <c r="K487" i="10"/>
  <c r="AL486" i="10"/>
  <c r="AK486" i="10"/>
  <c r="AI486" i="10"/>
  <c r="AH486" i="10"/>
  <c r="AC486" i="10"/>
  <c r="AE486" i="10" s="1"/>
  <c r="AA486" i="10"/>
  <c r="AG486" i="10" s="1"/>
  <c r="Z486" i="10"/>
  <c r="W486" i="10"/>
  <c r="AD486" i="10" s="1"/>
  <c r="V486" i="10"/>
  <c r="U486" i="10"/>
  <c r="AF486" i="10" s="1"/>
  <c r="S486" i="10"/>
  <c r="R486" i="10"/>
  <c r="Q486" i="10"/>
  <c r="O486" i="10"/>
  <c r="N486" i="10"/>
  <c r="M486" i="10"/>
  <c r="L486" i="10"/>
  <c r="AJ486" i="10" s="1"/>
  <c r="K486" i="10"/>
  <c r="AL485" i="10"/>
  <c r="AK485" i="10"/>
  <c r="AI485" i="10"/>
  <c r="AH485" i="10"/>
  <c r="AE485" i="10"/>
  <c r="AD485" i="10"/>
  <c r="AC485" i="10"/>
  <c r="Z485" i="10"/>
  <c r="AA485" i="10" s="1"/>
  <c r="AG485" i="10" s="1"/>
  <c r="W485" i="10"/>
  <c r="V485" i="10"/>
  <c r="U485" i="10"/>
  <c r="AF485" i="10" s="1"/>
  <c r="S485" i="10"/>
  <c r="R485" i="10"/>
  <c r="Q485" i="10"/>
  <c r="O485" i="10"/>
  <c r="N485" i="10"/>
  <c r="M485" i="10"/>
  <c r="L485" i="10"/>
  <c r="AJ485" i="10" s="1"/>
  <c r="K485" i="10"/>
  <c r="AL484" i="10"/>
  <c r="AK484" i="10"/>
  <c r="AI484" i="10"/>
  <c r="AH484" i="10"/>
  <c r="AC484" i="10"/>
  <c r="AE484" i="10" s="1"/>
  <c r="AA484" i="10"/>
  <c r="AG484" i="10" s="1"/>
  <c r="Z484" i="10"/>
  <c r="W484" i="10"/>
  <c r="AD484" i="10" s="1"/>
  <c r="V484" i="10"/>
  <c r="U484" i="10"/>
  <c r="AF484" i="10" s="1"/>
  <c r="S484" i="10"/>
  <c r="R484" i="10"/>
  <c r="Q484" i="10"/>
  <c r="O484" i="10"/>
  <c r="N484" i="10"/>
  <c r="M484" i="10"/>
  <c r="L484" i="10"/>
  <c r="AJ484" i="10" s="1"/>
  <c r="K484" i="10"/>
  <c r="AL483" i="10"/>
  <c r="AK483" i="10"/>
  <c r="AI483" i="10"/>
  <c r="AH483" i="10"/>
  <c r="AE483" i="10"/>
  <c r="AD483" i="10"/>
  <c r="AC483" i="10"/>
  <c r="Z483" i="10"/>
  <c r="AA483" i="10" s="1"/>
  <c r="AG483" i="10" s="1"/>
  <c r="W483" i="10"/>
  <c r="V483" i="10"/>
  <c r="U483" i="10"/>
  <c r="AF483" i="10" s="1"/>
  <c r="S483" i="10"/>
  <c r="R483" i="10"/>
  <c r="Q483" i="10"/>
  <c r="O483" i="10"/>
  <c r="N483" i="10"/>
  <c r="M483" i="10"/>
  <c r="L483" i="10"/>
  <c r="AJ483" i="10" s="1"/>
  <c r="K483" i="10"/>
  <c r="AL482" i="10"/>
  <c r="AK482" i="10"/>
  <c r="AI482" i="10"/>
  <c r="AH482" i="10"/>
  <c r="AC482" i="10"/>
  <c r="AE482" i="10" s="1"/>
  <c r="AA482" i="10"/>
  <c r="AG482" i="10" s="1"/>
  <c r="Z482" i="10"/>
  <c r="W482" i="10"/>
  <c r="AD482" i="10" s="1"/>
  <c r="V482" i="10"/>
  <c r="U482" i="10"/>
  <c r="AF482" i="10" s="1"/>
  <c r="S482" i="10"/>
  <c r="R482" i="10"/>
  <c r="Q482" i="10"/>
  <c r="O482" i="10"/>
  <c r="N482" i="10"/>
  <c r="M482" i="10"/>
  <c r="L482" i="10"/>
  <c r="AJ482" i="10" s="1"/>
  <c r="K482" i="10"/>
  <c r="AL481" i="10"/>
  <c r="AK481" i="10"/>
  <c r="AI481" i="10"/>
  <c r="AH481" i="10"/>
  <c r="AE481" i="10"/>
  <c r="AD481" i="10"/>
  <c r="AC481" i="10"/>
  <c r="Z481" i="10"/>
  <c r="AA481" i="10" s="1"/>
  <c r="AG481" i="10" s="1"/>
  <c r="W481" i="10"/>
  <c r="V481" i="10"/>
  <c r="U481" i="10"/>
  <c r="AF481" i="10" s="1"/>
  <c r="S481" i="10"/>
  <c r="R481" i="10"/>
  <c r="Q481" i="10"/>
  <c r="O481" i="10"/>
  <c r="N481" i="10"/>
  <c r="M481" i="10"/>
  <c r="L481" i="10"/>
  <c r="AJ481" i="10" s="1"/>
  <c r="K481" i="10"/>
  <c r="AL480" i="10"/>
  <c r="AK480" i="10"/>
  <c r="AI480" i="10"/>
  <c r="AH480" i="10"/>
  <c r="AC480" i="10"/>
  <c r="AE480" i="10" s="1"/>
  <c r="AA480" i="10"/>
  <c r="AG480" i="10" s="1"/>
  <c r="Z480" i="10"/>
  <c r="W480" i="10"/>
  <c r="AD480" i="10" s="1"/>
  <c r="V480" i="10"/>
  <c r="U480" i="10"/>
  <c r="AF480" i="10" s="1"/>
  <c r="S480" i="10"/>
  <c r="R480" i="10"/>
  <c r="Q480" i="10"/>
  <c r="O480" i="10"/>
  <c r="N480" i="10"/>
  <c r="M480" i="10"/>
  <c r="L480" i="10"/>
  <c r="AJ480" i="10" s="1"/>
  <c r="K480" i="10"/>
  <c r="AL479" i="10"/>
  <c r="AK479" i="10"/>
  <c r="AI479" i="10"/>
  <c r="AH479" i="10"/>
  <c r="AE479" i="10"/>
  <c r="AD479" i="10"/>
  <c r="AC479" i="10"/>
  <c r="Z479" i="10"/>
  <c r="AA479" i="10" s="1"/>
  <c r="AG479" i="10" s="1"/>
  <c r="W479" i="10"/>
  <c r="V479" i="10"/>
  <c r="U479" i="10"/>
  <c r="AF479" i="10" s="1"/>
  <c r="S479" i="10"/>
  <c r="R479" i="10"/>
  <c r="Q479" i="10"/>
  <c r="O479" i="10"/>
  <c r="N479" i="10"/>
  <c r="M479" i="10"/>
  <c r="L479" i="10"/>
  <c r="AJ479" i="10" s="1"/>
  <c r="K479" i="10"/>
  <c r="AL478" i="10"/>
  <c r="AK478" i="10"/>
  <c r="AI478" i="10"/>
  <c r="AH478" i="10"/>
  <c r="AC478" i="10"/>
  <c r="AE478" i="10" s="1"/>
  <c r="AA478" i="10"/>
  <c r="AG478" i="10" s="1"/>
  <c r="Z478" i="10"/>
  <c r="W478" i="10"/>
  <c r="AD478" i="10" s="1"/>
  <c r="V478" i="10"/>
  <c r="U478" i="10"/>
  <c r="AF478" i="10" s="1"/>
  <c r="S478" i="10"/>
  <c r="R478" i="10"/>
  <c r="Q478" i="10"/>
  <c r="O478" i="10"/>
  <c r="N478" i="10"/>
  <c r="M478" i="10"/>
  <c r="L478" i="10"/>
  <c r="AJ478" i="10" s="1"/>
  <c r="K478" i="10"/>
  <c r="AL477" i="10"/>
  <c r="AK477" i="10"/>
  <c r="AI477" i="10"/>
  <c r="AH477" i="10"/>
  <c r="AE477" i="10"/>
  <c r="AD477" i="10"/>
  <c r="AC477" i="10"/>
  <c r="Z477" i="10"/>
  <c r="AA477" i="10" s="1"/>
  <c r="AG477" i="10" s="1"/>
  <c r="W477" i="10"/>
  <c r="V477" i="10"/>
  <c r="U477" i="10"/>
  <c r="AF477" i="10" s="1"/>
  <c r="S477" i="10"/>
  <c r="R477" i="10"/>
  <c r="Q477" i="10"/>
  <c r="O477" i="10"/>
  <c r="N477" i="10"/>
  <c r="M477" i="10"/>
  <c r="L477" i="10"/>
  <c r="AJ477" i="10" s="1"/>
  <c r="K477" i="10"/>
  <c r="AL476" i="10"/>
  <c r="AK476" i="10"/>
  <c r="AI476" i="10"/>
  <c r="AH476" i="10"/>
  <c r="AC476" i="10"/>
  <c r="AE476" i="10" s="1"/>
  <c r="AA476" i="10"/>
  <c r="AG476" i="10" s="1"/>
  <c r="Z476" i="10"/>
  <c r="W476" i="10"/>
  <c r="AD476" i="10" s="1"/>
  <c r="V476" i="10"/>
  <c r="U476" i="10"/>
  <c r="AF476" i="10" s="1"/>
  <c r="S476" i="10"/>
  <c r="R476" i="10"/>
  <c r="Q476" i="10"/>
  <c r="O476" i="10"/>
  <c r="N476" i="10"/>
  <c r="M476" i="10"/>
  <c r="L476" i="10"/>
  <c r="AJ476" i="10" s="1"/>
  <c r="K476" i="10"/>
  <c r="AL475" i="10"/>
  <c r="AK475" i="10"/>
  <c r="AI475" i="10"/>
  <c r="AH475" i="10"/>
  <c r="AE475" i="10"/>
  <c r="AD475" i="10"/>
  <c r="AC475" i="10"/>
  <c r="Z475" i="10"/>
  <c r="AA475" i="10" s="1"/>
  <c r="AG475" i="10" s="1"/>
  <c r="W475" i="10"/>
  <c r="V475" i="10"/>
  <c r="U475" i="10"/>
  <c r="AF475" i="10" s="1"/>
  <c r="S475" i="10"/>
  <c r="R475" i="10"/>
  <c r="Q475" i="10"/>
  <c r="O475" i="10"/>
  <c r="N475" i="10"/>
  <c r="M475" i="10"/>
  <c r="L475" i="10"/>
  <c r="AJ475" i="10" s="1"/>
  <c r="K475" i="10"/>
  <c r="AL474" i="10"/>
  <c r="AK474" i="10"/>
  <c r="AI474" i="10"/>
  <c r="AH474" i="10"/>
  <c r="AC474" i="10"/>
  <c r="AE474" i="10" s="1"/>
  <c r="AA474" i="10"/>
  <c r="AG474" i="10" s="1"/>
  <c r="Z474" i="10"/>
  <c r="W474" i="10"/>
  <c r="AD474" i="10" s="1"/>
  <c r="V474" i="10"/>
  <c r="U474" i="10"/>
  <c r="AF474" i="10" s="1"/>
  <c r="S474" i="10"/>
  <c r="R474" i="10"/>
  <c r="Q474" i="10"/>
  <c r="O474" i="10"/>
  <c r="N474" i="10"/>
  <c r="M474" i="10"/>
  <c r="L474" i="10"/>
  <c r="AJ474" i="10" s="1"/>
  <c r="K474" i="10"/>
  <c r="AL473" i="10"/>
  <c r="AK473" i="10"/>
  <c r="AI473" i="10"/>
  <c r="AH473" i="10"/>
  <c r="AE473" i="10"/>
  <c r="AD473" i="10"/>
  <c r="AC473" i="10"/>
  <c r="Z473" i="10"/>
  <c r="AA473" i="10" s="1"/>
  <c r="AG473" i="10" s="1"/>
  <c r="W473" i="10"/>
  <c r="V473" i="10"/>
  <c r="U473" i="10"/>
  <c r="AF473" i="10" s="1"/>
  <c r="S473" i="10"/>
  <c r="R473" i="10"/>
  <c r="Q473" i="10"/>
  <c r="O473" i="10"/>
  <c r="N473" i="10"/>
  <c r="M473" i="10"/>
  <c r="L473" i="10"/>
  <c r="AJ473" i="10" s="1"/>
  <c r="K473" i="10"/>
  <c r="AL472" i="10"/>
  <c r="AK472" i="10"/>
  <c r="AI472" i="10"/>
  <c r="AH472" i="10"/>
  <c r="AC472" i="10"/>
  <c r="AE472" i="10" s="1"/>
  <c r="AA472" i="10"/>
  <c r="AG472" i="10" s="1"/>
  <c r="Z472" i="10"/>
  <c r="W472" i="10"/>
  <c r="AD472" i="10" s="1"/>
  <c r="V472" i="10"/>
  <c r="U472" i="10"/>
  <c r="AF472" i="10" s="1"/>
  <c r="S472" i="10"/>
  <c r="R472" i="10"/>
  <c r="Q472" i="10"/>
  <c r="O472" i="10"/>
  <c r="N472" i="10"/>
  <c r="M472" i="10"/>
  <c r="L472" i="10"/>
  <c r="AJ472" i="10" s="1"/>
  <c r="K472" i="10"/>
  <c r="AL471" i="10"/>
  <c r="AK471" i="10"/>
  <c r="AI471" i="10"/>
  <c r="AH471" i="10"/>
  <c r="AE471" i="10"/>
  <c r="AD471" i="10"/>
  <c r="AC471" i="10"/>
  <c r="Z471" i="10"/>
  <c r="AA471" i="10" s="1"/>
  <c r="AG471" i="10" s="1"/>
  <c r="W471" i="10"/>
  <c r="V471" i="10"/>
  <c r="U471" i="10"/>
  <c r="AF471" i="10" s="1"/>
  <c r="S471" i="10"/>
  <c r="R471" i="10"/>
  <c r="Q471" i="10"/>
  <c r="O471" i="10"/>
  <c r="N471" i="10"/>
  <c r="M471" i="10"/>
  <c r="L471" i="10"/>
  <c r="AJ471" i="10" s="1"/>
  <c r="K471" i="10"/>
  <c r="AL470" i="10"/>
  <c r="AK470" i="10"/>
  <c r="AI470" i="10"/>
  <c r="AH470" i="10"/>
  <c r="AC470" i="10"/>
  <c r="AE470" i="10" s="1"/>
  <c r="AA470" i="10"/>
  <c r="AG470" i="10" s="1"/>
  <c r="Z470" i="10"/>
  <c r="W470" i="10"/>
  <c r="AD470" i="10" s="1"/>
  <c r="V470" i="10"/>
  <c r="U470" i="10"/>
  <c r="AF470" i="10" s="1"/>
  <c r="S470" i="10"/>
  <c r="R470" i="10"/>
  <c r="Q470" i="10"/>
  <c r="O470" i="10"/>
  <c r="N470" i="10"/>
  <c r="M470" i="10"/>
  <c r="L470" i="10"/>
  <c r="AJ470" i="10" s="1"/>
  <c r="K470" i="10"/>
  <c r="AL469" i="10"/>
  <c r="AK469" i="10"/>
  <c r="AI469" i="10"/>
  <c r="AH469" i="10"/>
  <c r="AE469" i="10"/>
  <c r="AD469" i="10"/>
  <c r="AC469" i="10"/>
  <c r="Z469" i="10"/>
  <c r="AA469" i="10" s="1"/>
  <c r="AG469" i="10" s="1"/>
  <c r="W469" i="10"/>
  <c r="V469" i="10"/>
  <c r="U469" i="10"/>
  <c r="AF469" i="10" s="1"/>
  <c r="S469" i="10"/>
  <c r="R469" i="10"/>
  <c r="Q469" i="10"/>
  <c r="O469" i="10"/>
  <c r="N469" i="10"/>
  <c r="M469" i="10"/>
  <c r="L469" i="10"/>
  <c r="AJ469" i="10" s="1"/>
  <c r="K469" i="10"/>
  <c r="AL468" i="10"/>
  <c r="AK468" i="10"/>
  <c r="AI468" i="10"/>
  <c r="AH468" i="10"/>
  <c r="AC468" i="10"/>
  <c r="AE468" i="10" s="1"/>
  <c r="AA468" i="10"/>
  <c r="AG468" i="10" s="1"/>
  <c r="Z468" i="10"/>
  <c r="W468" i="10"/>
  <c r="AD468" i="10" s="1"/>
  <c r="V468" i="10"/>
  <c r="U468" i="10"/>
  <c r="AF468" i="10" s="1"/>
  <c r="S468" i="10"/>
  <c r="R468" i="10"/>
  <c r="Q468" i="10"/>
  <c r="O468" i="10"/>
  <c r="N468" i="10"/>
  <c r="M468" i="10"/>
  <c r="L468" i="10"/>
  <c r="AJ468" i="10" s="1"/>
  <c r="K468" i="10"/>
  <c r="AL467" i="10"/>
  <c r="AK467" i="10"/>
  <c r="AI467" i="10"/>
  <c r="AH467" i="10"/>
  <c r="AE467" i="10"/>
  <c r="AD467" i="10"/>
  <c r="AC467" i="10"/>
  <c r="Z467" i="10"/>
  <c r="AA467" i="10" s="1"/>
  <c r="AG467" i="10" s="1"/>
  <c r="W467" i="10"/>
  <c r="V467" i="10"/>
  <c r="U467" i="10"/>
  <c r="AF467" i="10" s="1"/>
  <c r="S467" i="10"/>
  <c r="R467" i="10"/>
  <c r="Q467" i="10"/>
  <c r="O467" i="10"/>
  <c r="N467" i="10"/>
  <c r="M467" i="10"/>
  <c r="L467" i="10"/>
  <c r="AJ467" i="10" s="1"/>
  <c r="K467" i="10"/>
  <c r="AL466" i="10"/>
  <c r="AK466" i="10"/>
  <c r="AI466" i="10"/>
  <c r="AH466" i="10"/>
  <c r="AC466" i="10"/>
  <c r="AE466" i="10" s="1"/>
  <c r="AA466" i="10"/>
  <c r="AG466" i="10" s="1"/>
  <c r="Z466" i="10"/>
  <c r="W466" i="10"/>
  <c r="AD466" i="10" s="1"/>
  <c r="V466" i="10"/>
  <c r="U466" i="10"/>
  <c r="AF466" i="10" s="1"/>
  <c r="S466" i="10"/>
  <c r="R466" i="10"/>
  <c r="Q466" i="10"/>
  <c r="O466" i="10"/>
  <c r="N466" i="10"/>
  <c r="M466" i="10"/>
  <c r="L466" i="10"/>
  <c r="AJ466" i="10" s="1"/>
  <c r="K466" i="10"/>
  <c r="AL465" i="10"/>
  <c r="AK465" i="10"/>
  <c r="AI465" i="10"/>
  <c r="AH465" i="10"/>
  <c r="AE465" i="10"/>
  <c r="AD465" i="10"/>
  <c r="AC465" i="10"/>
  <c r="Z465" i="10"/>
  <c r="AA465" i="10" s="1"/>
  <c r="AG465" i="10" s="1"/>
  <c r="W465" i="10"/>
  <c r="V465" i="10"/>
  <c r="U465" i="10"/>
  <c r="AF465" i="10" s="1"/>
  <c r="S465" i="10"/>
  <c r="R465" i="10"/>
  <c r="Q465" i="10"/>
  <c r="O465" i="10"/>
  <c r="N465" i="10"/>
  <c r="M465" i="10"/>
  <c r="L465" i="10"/>
  <c r="AJ465" i="10" s="1"/>
  <c r="K465" i="10"/>
  <c r="AL464" i="10"/>
  <c r="AK464" i="10"/>
  <c r="AI464" i="10"/>
  <c r="AH464" i="10"/>
  <c r="AC464" i="10"/>
  <c r="AE464" i="10" s="1"/>
  <c r="AA464" i="10"/>
  <c r="AG464" i="10" s="1"/>
  <c r="Z464" i="10"/>
  <c r="W464" i="10"/>
  <c r="AD464" i="10" s="1"/>
  <c r="V464" i="10"/>
  <c r="U464" i="10"/>
  <c r="AF464" i="10" s="1"/>
  <c r="S464" i="10"/>
  <c r="R464" i="10"/>
  <c r="Q464" i="10"/>
  <c r="O464" i="10"/>
  <c r="N464" i="10"/>
  <c r="M464" i="10"/>
  <c r="L464" i="10"/>
  <c r="AJ464" i="10" s="1"/>
  <c r="K464" i="10"/>
  <c r="AL463" i="10"/>
  <c r="AK463" i="10"/>
  <c r="AI463" i="10"/>
  <c r="AH463" i="10"/>
  <c r="AE463" i="10"/>
  <c r="AD463" i="10"/>
  <c r="AC463" i="10"/>
  <c r="Z463" i="10"/>
  <c r="AA463" i="10" s="1"/>
  <c r="AG463" i="10" s="1"/>
  <c r="W463" i="10"/>
  <c r="V463" i="10"/>
  <c r="U463" i="10"/>
  <c r="AF463" i="10" s="1"/>
  <c r="S463" i="10"/>
  <c r="R463" i="10"/>
  <c r="Q463" i="10"/>
  <c r="O463" i="10"/>
  <c r="N463" i="10"/>
  <c r="M463" i="10"/>
  <c r="L463" i="10"/>
  <c r="AJ463" i="10" s="1"/>
  <c r="K463" i="10"/>
  <c r="AL462" i="10"/>
  <c r="AK462" i="10"/>
  <c r="AI462" i="10"/>
  <c r="AH462" i="10"/>
  <c r="AC462" i="10"/>
  <c r="AE462" i="10" s="1"/>
  <c r="AA462" i="10"/>
  <c r="AG462" i="10" s="1"/>
  <c r="Z462" i="10"/>
  <c r="W462" i="10"/>
  <c r="AD462" i="10" s="1"/>
  <c r="V462" i="10"/>
  <c r="U462" i="10"/>
  <c r="AF462" i="10" s="1"/>
  <c r="S462" i="10"/>
  <c r="R462" i="10"/>
  <c r="Q462" i="10"/>
  <c r="O462" i="10"/>
  <c r="N462" i="10"/>
  <c r="M462" i="10"/>
  <c r="L462" i="10"/>
  <c r="AJ462" i="10" s="1"/>
  <c r="K462" i="10"/>
  <c r="AL461" i="10"/>
  <c r="AK461" i="10"/>
  <c r="AI461" i="10"/>
  <c r="AH461" i="10"/>
  <c r="AE461" i="10"/>
  <c r="AD461" i="10"/>
  <c r="AC461" i="10"/>
  <c r="Z461" i="10"/>
  <c r="AA461" i="10" s="1"/>
  <c r="AG461" i="10" s="1"/>
  <c r="W461" i="10"/>
  <c r="V461" i="10"/>
  <c r="U461" i="10"/>
  <c r="AF461" i="10" s="1"/>
  <c r="S461" i="10"/>
  <c r="R461" i="10"/>
  <c r="Q461" i="10"/>
  <c r="O461" i="10"/>
  <c r="N461" i="10"/>
  <c r="M461" i="10"/>
  <c r="L461" i="10"/>
  <c r="AJ461" i="10" s="1"/>
  <c r="K461" i="10"/>
  <c r="AL460" i="10"/>
  <c r="AK460" i="10"/>
  <c r="AI460" i="10"/>
  <c r="AH460" i="10"/>
  <c r="AC460" i="10"/>
  <c r="AE460" i="10" s="1"/>
  <c r="AA460" i="10"/>
  <c r="AG460" i="10" s="1"/>
  <c r="Z460" i="10"/>
  <c r="W460" i="10"/>
  <c r="AD460" i="10" s="1"/>
  <c r="V460" i="10"/>
  <c r="U460" i="10"/>
  <c r="AF460" i="10" s="1"/>
  <c r="S460" i="10"/>
  <c r="R460" i="10"/>
  <c r="Q460" i="10"/>
  <c r="O460" i="10"/>
  <c r="N460" i="10"/>
  <c r="M460" i="10"/>
  <c r="L460" i="10"/>
  <c r="AJ460" i="10" s="1"/>
  <c r="K460" i="10"/>
  <c r="AL459" i="10"/>
  <c r="AK459" i="10"/>
  <c r="AI459" i="10"/>
  <c r="AH459" i="10"/>
  <c r="AE459" i="10"/>
  <c r="AD459" i="10"/>
  <c r="AC459" i="10"/>
  <c r="Z459" i="10"/>
  <c r="AA459" i="10" s="1"/>
  <c r="AG459" i="10" s="1"/>
  <c r="W459" i="10"/>
  <c r="V459" i="10"/>
  <c r="U459" i="10"/>
  <c r="AF459" i="10" s="1"/>
  <c r="S459" i="10"/>
  <c r="R459" i="10"/>
  <c r="Q459" i="10"/>
  <c r="O459" i="10"/>
  <c r="N459" i="10"/>
  <c r="M459" i="10"/>
  <c r="L459" i="10"/>
  <c r="AJ459" i="10" s="1"/>
  <c r="K459" i="10"/>
  <c r="AL458" i="10"/>
  <c r="AK458" i="10"/>
  <c r="AI458" i="10"/>
  <c r="AH458" i="10"/>
  <c r="AC458" i="10"/>
  <c r="AE458" i="10" s="1"/>
  <c r="AA458" i="10"/>
  <c r="AG458" i="10" s="1"/>
  <c r="Z458" i="10"/>
  <c r="W458" i="10"/>
  <c r="AD458" i="10" s="1"/>
  <c r="V458" i="10"/>
  <c r="U458" i="10"/>
  <c r="AF458" i="10" s="1"/>
  <c r="S458" i="10"/>
  <c r="R458" i="10"/>
  <c r="Q458" i="10"/>
  <c r="O458" i="10"/>
  <c r="N458" i="10"/>
  <c r="M458" i="10"/>
  <c r="L458" i="10"/>
  <c r="AJ458" i="10" s="1"/>
  <c r="K458" i="10"/>
  <c r="AL457" i="10"/>
  <c r="AK457" i="10"/>
  <c r="AI457" i="10"/>
  <c r="AH457" i="10"/>
  <c r="AE457" i="10"/>
  <c r="AD457" i="10"/>
  <c r="AC457" i="10"/>
  <c r="Z457" i="10"/>
  <c r="AA457" i="10" s="1"/>
  <c r="AG457" i="10" s="1"/>
  <c r="W457" i="10"/>
  <c r="V457" i="10"/>
  <c r="U457" i="10"/>
  <c r="AF457" i="10" s="1"/>
  <c r="S457" i="10"/>
  <c r="R457" i="10"/>
  <c r="Q457" i="10"/>
  <c r="O457" i="10"/>
  <c r="N457" i="10"/>
  <c r="M457" i="10"/>
  <c r="L457" i="10"/>
  <c r="AJ457" i="10" s="1"/>
  <c r="K457" i="10"/>
  <c r="AL456" i="10"/>
  <c r="AK456" i="10"/>
  <c r="AI456" i="10"/>
  <c r="AH456" i="10"/>
  <c r="AC456" i="10"/>
  <c r="AE456" i="10" s="1"/>
  <c r="AA456" i="10"/>
  <c r="AG456" i="10" s="1"/>
  <c r="Z456" i="10"/>
  <c r="W456" i="10"/>
  <c r="AD456" i="10" s="1"/>
  <c r="V456" i="10"/>
  <c r="U456" i="10"/>
  <c r="AF456" i="10" s="1"/>
  <c r="S456" i="10"/>
  <c r="R456" i="10"/>
  <c r="Q456" i="10"/>
  <c r="O456" i="10"/>
  <c r="N456" i="10"/>
  <c r="M456" i="10"/>
  <c r="L456" i="10"/>
  <c r="AJ456" i="10" s="1"/>
  <c r="K456" i="10"/>
  <c r="AL455" i="10"/>
  <c r="AK455" i="10"/>
  <c r="AI455" i="10"/>
  <c r="AH455" i="10"/>
  <c r="AE455" i="10"/>
  <c r="AD455" i="10"/>
  <c r="AC455" i="10"/>
  <c r="Z455" i="10"/>
  <c r="AA455" i="10" s="1"/>
  <c r="AG455" i="10" s="1"/>
  <c r="W455" i="10"/>
  <c r="V455" i="10"/>
  <c r="U455" i="10"/>
  <c r="AF455" i="10" s="1"/>
  <c r="S455" i="10"/>
  <c r="R455" i="10"/>
  <c r="Q455" i="10"/>
  <c r="O455" i="10"/>
  <c r="N455" i="10"/>
  <c r="M455" i="10"/>
  <c r="L455" i="10"/>
  <c r="AJ455" i="10" s="1"/>
  <c r="K455" i="10"/>
  <c r="AL454" i="10"/>
  <c r="AK454" i="10"/>
  <c r="AI454" i="10"/>
  <c r="AH454" i="10"/>
  <c r="AC454" i="10"/>
  <c r="AE454" i="10" s="1"/>
  <c r="AA454" i="10"/>
  <c r="AG454" i="10" s="1"/>
  <c r="Z454" i="10"/>
  <c r="W454" i="10"/>
  <c r="AD454" i="10" s="1"/>
  <c r="V454" i="10"/>
  <c r="U454" i="10"/>
  <c r="AF454" i="10" s="1"/>
  <c r="S454" i="10"/>
  <c r="R454" i="10"/>
  <c r="Q454" i="10"/>
  <c r="O454" i="10"/>
  <c r="N454" i="10"/>
  <c r="M454" i="10"/>
  <c r="L454" i="10"/>
  <c r="AJ454" i="10" s="1"/>
  <c r="K454" i="10"/>
  <c r="AL453" i="10"/>
  <c r="AK453" i="10"/>
  <c r="AI453" i="10"/>
  <c r="AH453" i="10"/>
  <c r="AE453" i="10"/>
  <c r="AD453" i="10"/>
  <c r="AC453" i="10"/>
  <c r="Z453" i="10"/>
  <c r="AA453" i="10" s="1"/>
  <c r="AG453" i="10" s="1"/>
  <c r="W453" i="10"/>
  <c r="V453" i="10"/>
  <c r="U453" i="10"/>
  <c r="AF453" i="10" s="1"/>
  <c r="S453" i="10"/>
  <c r="R453" i="10"/>
  <c r="Q453" i="10"/>
  <c r="O453" i="10"/>
  <c r="N453" i="10"/>
  <c r="M453" i="10"/>
  <c r="L453" i="10"/>
  <c r="AJ453" i="10" s="1"/>
  <c r="K453" i="10"/>
  <c r="AL452" i="10"/>
  <c r="AK452" i="10"/>
  <c r="AI452" i="10"/>
  <c r="AH452" i="10"/>
  <c r="AC452" i="10"/>
  <c r="AE452" i="10" s="1"/>
  <c r="AA452" i="10"/>
  <c r="AG452" i="10" s="1"/>
  <c r="Z452" i="10"/>
  <c r="W452" i="10"/>
  <c r="AD452" i="10" s="1"/>
  <c r="V452" i="10"/>
  <c r="U452" i="10"/>
  <c r="AF452" i="10" s="1"/>
  <c r="S452" i="10"/>
  <c r="R452" i="10"/>
  <c r="Q452" i="10"/>
  <c r="O452" i="10"/>
  <c r="N452" i="10"/>
  <c r="M452" i="10"/>
  <c r="L452" i="10"/>
  <c r="AJ452" i="10" s="1"/>
  <c r="K452" i="10"/>
  <c r="AL451" i="10"/>
  <c r="AK451" i="10"/>
  <c r="AI451" i="10"/>
  <c r="AH451" i="10"/>
  <c r="AE451" i="10"/>
  <c r="AD451" i="10"/>
  <c r="AC451" i="10"/>
  <c r="Z451" i="10"/>
  <c r="AA451" i="10" s="1"/>
  <c r="AG451" i="10" s="1"/>
  <c r="W451" i="10"/>
  <c r="V451" i="10"/>
  <c r="U451" i="10"/>
  <c r="AF451" i="10" s="1"/>
  <c r="S451" i="10"/>
  <c r="R451" i="10"/>
  <c r="Q451" i="10"/>
  <c r="O451" i="10"/>
  <c r="N451" i="10"/>
  <c r="M451" i="10"/>
  <c r="L451" i="10"/>
  <c r="AJ451" i="10" s="1"/>
  <c r="K451" i="10"/>
  <c r="AL450" i="10"/>
  <c r="AK450" i="10"/>
  <c r="AI450" i="10"/>
  <c r="AH450" i="10"/>
  <c r="AC450" i="10"/>
  <c r="AE450" i="10" s="1"/>
  <c r="AA450" i="10"/>
  <c r="AG450" i="10" s="1"/>
  <c r="Z450" i="10"/>
  <c r="W450" i="10"/>
  <c r="AD450" i="10" s="1"/>
  <c r="V450" i="10"/>
  <c r="U450" i="10"/>
  <c r="AF450" i="10" s="1"/>
  <c r="S450" i="10"/>
  <c r="R450" i="10"/>
  <c r="Q450" i="10"/>
  <c r="O450" i="10"/>
  <c r="N450" i="10"/>
  <c r="M450" i="10"/>
  <c r="L450" i="10"/>
  <c r="AJ450" i="10" s="1"/>
  <c r="K450" i="10"/>
  <c r="AL449" i="10"/>
  <c r="AK449" i="10"/>
  <c r="AI449" i="10"/>
  <c r="AH449" i="10"/>
  <c r="AE449" i="10"/>
  <c r="AD449" i="10"/>
  <c r="AC449" i="10"/>
  <c r="Z449" i="10"/>
  <c r="AA449" i="10" s="1"/>
  <c r="AG449" i="10" s="1"/>
  <c r="W449" i="10"/>
  <c r="V449" i="10"/>
  <c r="U449" i="10"/>
  <c r="AF449" i="10" s="1"/>
  <c r="S449" i="10"/>
  <c r="R449" i="10"/>
  <c r="Q449" i="10"/>
  <c r="O449" i="10"/>
  <c r="N449" i="10"/>
  <c r="M449" i="10"/>
  <c r="L449" i="10"/>
  <c r="AJ449" i="10" s="1"/>
  <c r="K449" i="10"/>
  <c r="AL448" i="10"/>
  <c r="AK448" i="10"/>
  <c r="AI448" i="10"/>
  <c r="AH448" i="10"/>
  <c r="AC448" i="10"/>
  <c r="AE448" i="10" s="1"/>
  <c r="AA448" i="10"/>
  <c r="AG448" i="10" s="1"/>
  <c r="Z448" i="10"/>
  <c r="W448" i="10"/>
  <c r="AD448" i="10" s="1"/>
  <c r="V448" i="10"/>
  <c r="U448" i="10"/>
  <c r="AF448" i="10" s="1"/>
  <c r="S448" i="10"/>
  <c r="R448" i="10"/>
  <c r="Q448" i="10"/>
  <c r="O448" i="10"/>
  <c r="N448" i="10"/>
  <c r="M448" i="10"/>
  <c r="L448" i="10"/>
  <c r="AJ448" i="10" s="1"/>
  <c r="K448" i="10"/>
  <c r="AL447" i="10"/>
  <c r="AK447" i="10"/>
  <c r="AI447" i="10"/>
  <c r="AH447" i="10"/>
  <c r="AE447" i="10"/>
  <c r="AD447" i="10"/>
  <c r="AC447" i="10"/>
  <c r="Z447" i="10"/>
  <c r="AA447" i="10" s="1"/>
  <c r="AG447" i="10" s="1"/>
  <c r="W447" i="10"/>
  <c r="V447" i="10"/>
  <c r="U447" i="10"/>
  <c r="AF447" i="10" s="1"/>
  <c r="S447" i="10"/>
  <c r="R447" i="10"/>
  <c r="Q447" i="10"/>
  <c r="O447" i="10"/>
  <c r="N447" i="10"/>
  <c r="M447" i="10"/>
  <c r="L447" i="10"/>
  <c r="AJ447" i="10" s="1"/>
  <c r="K447" i="10"/>
  <c r="AL446" i="10"/>
  <c r="AK446" i="10"/>
  <c r="AI446" i="10"/>
  <c r="AH446" i="10"/>
  <c r="AC446" i="10"/>
  <c r="AE446" i="10" s="1"/>
  <c r="AA446" i="10"/>
  <c r="AG446" i="10" s="1"/>
  <c r="Z446" i="10"/>
  <c r="W446" i="10"/>
  <c r="AD446" i="10" s="1"/>
  <c r="V446" i="10"/>
  <c r="U446" i="10"/>
  <c r="AF446" i="10" s="1"/>
  <c r="S446" i="10"/>
  <c r="R446" i="10"/>
  <c r="Q446" i="10"/>
  <c r="O446" i="10"/>
  <c r="N446" i="10"/>
  <c r="M446" i="10"/>
  <c r="L446" i="10"/>
  <c r="AJ446" i="10" s="1"/>
  <c r="K446" i="10"/>
  <c r="AL445" i="10"/>
  <c r="AK445" i="10"/>
  <c r="AI445" i="10"/>
  <c r="AH445" i="10"/>
  <c r="AE445" i="10"/>
  <c r="AD445" i="10"/>
  <c r="AC445" i="10"/>
  <c r="Z445" i="10"/>
  <c r="AA445" i="10" s="1"/>
  <c r="AG445" i="10" s="1"/>
  <c r="W445" i="10"/>
  <c r="V445" i="10"/>
  <c r="U445" i="10"/>
  <c r="AF445" i="10" s="1"/>
  <c r="S445" i="10"/>
  <c r="R445" i="10"/>
  <c r="Q445" i="10"/>
  <c r="O445" i="10"/>
  <c r="N445" i="10"/>
  <c r="M445" i="10"/>
  <c r="L445" i="10"/>
  <c r="AJ445" i="10" s="1"/>
  <c r="K445" i="10"/>
  <c r="AL444" i="10"/>
  <c r="AK444" i="10"/>
  <c r="AI444" i="10"/>
  <c r="AH444" i="10"/>
  <c r="AC444" i="10"/>
  <c r="AE444" i="10" s="1"/>
  <c r="AA444" i="10"/>
  <c r="AG444" i="10" s="1"/>
  <c r="Z444" i="10"/>
  <c r="W444" i="10"/>
  <c r="AD444" i="10" s="1"/>
  <c r="V444" i="10"/>
  <c r="U444" i="10"/>
  <c r="AF444" i="10" s="1"/>
  <c r="S444" i="10"/>
  <c r="R444" i="10"/>
  <c r="Q444" i="10"/>
  <c r="O444" i="10"/>
  <c r="N444" i="10"/>
  <c r="M444" i="10"/>
  <c r="L444" i="10"/>
  <c r="AJ444" i="10" s="1"/>
  <c r="K444" i="10"/>
  <c r="AL443" i="10"/>
  <c r="AK443" i="10"/>
  <c r="AI443" i="10"/>
  <c r="AH443" i="10"/>
  <c r="AE443" i="10"/>
  <c r="AD443" i="10"/>
  <c r="AC443" i="10"/>
  <c r="Z443" i="10"/>
  <c r="AA443" i="10" s="1"/>
  <c r="AG443" i="10" s="1"/>
  <c r="W443" i="10"/>
  <c r="V443" i="10"/>
  <c r="U443" i="10"/>
  <c r="AF443" i="10" s="1"/>
  <c r="S443" i="10"/>
  <c r="R443" i="10"/>
  <c r="Q443" i="10"/>
  <c r="O443" i="10"/>
  <c r="N443" i="10"/>
  <c r="M443" i="10"/>
  <c r="L443" i="10"/>
  <c r="AJ443" i="10" s="1"/>
  <c r="K443" i="10"/>
  <c r="AL442" i="10"/>
  <c r="AK442" i="10"/>
  <c r="AI442" i="10"/>
  <c r="AH442" i="10"/>
  <c r="AC442" i="10"/>
  <c r="AE442" i="10" s="1"/>
  <c r="AA442" i="10"/>
  <c r="AG442" i="10" s="1"/>
  <c r="Z442" i="10"/>
  <c r="W442" i="10"/>
  <c r="AD442" i="10" s="1"/>
  <c r="V442" i="10"/>
  <c r="U442" i="10"/>
  <c r="AF442" i="10" s="1"/>
  <c r="S442" i="10"/>
  <c r="R442" i="10"/>
  <c r="Q442" i="10"/>
  <c r="O442" i="10"/>
  <c r="N442" i="10"/>
  <c r="M442" i="10"/>
  <c r="L442" i="10"/>
  <c r="AJ442" i="10" s="1"/>
  <c r="K442" i="10"/>
  <c r="AL441" i="10"/>
  <c r="AK441" i="10"/>
  <c r="AI441" i="10"/>
  <c r="AH441" i="10"/>
  <c r="AE441" i="10"/>
  <c r="AD441" i="10"/>
  <c r="AC441" i="10"/>
  <c r="Z441" i="10"/>
  <c r="AA441" i="10" s="1"/>
  <c r="AG441" i="10" s="1"/>
  <c r="W441" i="10"/>
  <c r="V441" i="10"/>
  <c r="U441" i="10"/>
  <c r="AF441" i="10" s="1"/>
  <c r="S441" i="10"/>
  <c r="R441" i="10"/>
  <c r="Q441" i="10"/>
  <c r="O441" i="10"/>
  <c r="N441" i="10"/>
  <c r="M441" i="10"/>
  <c r="L441" i="10"/>
  <c r="AJ441" i="10" s="1"/>
  <c r="K441" i="10"/>
  <c r="AL440" i="10"/>
  <c r="AK440" i="10"/>
  <c r="AI440" i="10"/>
  <c r="AH440" i="10"/>
  <c r="AC440" i="10"/>
  <c r="AE440" i="10" s="1"/>
  <c r="AA440" i="10"/>
  <c r="AG440" i="10" s="1"/>
  <c r="Z440" i="10"/>
  <c r="W440" i="10"/>
  <c r="AD440" i="10" s="1"/>
  <c r="V440" i="10"/>
  <c r="U440" i="10"/>
  <c r="AF440" i="10" s="1"/>
  <c r="S440" i="10"/>
  <c r="R440" i="10"/>
  <c r="Q440" i="10"/>
  <c r="O440" i="10"/>
  <c r="N440" i="10"/>
  <c r="M440" i="10"/>
  <c r="L440" i="10"/>
  <c r="AJ440" i="10" s="1"/>
  <c r="K440" i="10"/>
  <c r="AL439" i="10"/>
  <c r="AK439" i="10"/>
  <c r="AI439" i="10"/>
  <c r="AH439" i="10"/>
  <c r="AE439" i="10"/>
  <c r="AD439" i="10"/>
  <c r="AC439" i="10"/>
  <c r="Z439" i="10"/>
  <c r="AA439" i="10" s="1"/>
  <c r="AG439" i="10" s="1"/>
  <c r="W439" i="10"/>
  <c r="V439" i="10"/>
  <c r="U439" i="10"/>
  <c r="AF439" i="10" s="1"/>
  <c r="S439" i="10"/>
  <c r="R439" i="10"/>
  <c r="Q439" i="10"/>
  <c r="O439" i="10"/>
  <c r="N439" i="10"/>
  <c r="M439" i="10"/>
  <c r="L439" i="10"/>
  <c r="AJ439" i="10" s="1"/>
  <c r="K439" i="10"/>
  <c r="AL438" i="10"/>
  <c r="AK438" i="10"/>
  <c r="AI438" i="10"/>
  <c r="AH438" i="10"/>
  <c r="AC438" i="10"/>
  <c r="AE438" i="10" s="1"/>
  <c r="AA438" i="10"/>
  <c r="AG438" i="10" s="1"/>
  <c r="Z438" i="10"/>
  <c r="W438" i="10"/>
  <c r="AD438" i="10" s="1"/>
  <c r="V438" i="10"/>
  <c r="U438" i="10"/>
  <c r="AF438" i="10" s="1"/>
  <c r="S438" i="10"/>
  <c r="R438" i="10"/>
  <c r="Q438" i="10"/>
  <c r="O438" i="10"/>
  <c r="N438" i="10"/>
  <c r="M438" i="10"/>
  <c r="L438" i="10"/>
  <c r="AJ438" i="10" s="1"/>
  <c r="K438" i="10"/>
  <c r="AL437" i="10"/>
  <c r="AK437" i="10"/>
  <c r="AI437" i="10"/>
  <c r="AH437" i="10"/>
  <c r="AE437" i="10"/>
  <c r="AD437" i="10"/>
  <c r="AC437" i="10"/>
  <c r="Z437" i="10"/>
  <c r="AA437" i="10" s="1"/>
  <c r="AG437" i="10" s="1"/>
  <c r="W437" i="10"/>
  <c r="V437" i="10"/>
  <c r="U437" i="10"/>
  <c r="AF437" i="10" s="1"/>
  <c r="S437" i="10"/>
  <c r="R437" i="10"/>
  <c r="Q437" i="10"/>
  <c r="O437" i="10"/>
  <c r="N437" i="10"/>
  <c r="M437" i="10"/>
  <c r="L437" i="10"/>
  <c r="AJ437" i="10" s="1"/>
  <c r="K437" i="10"/>
  <c r="AL436" i="10"/>
  <c r="AK436" i="10"/>
  <c r="AI436" i="10"/>
  <c r="AH436" i="10"/>
  <c r="AC436" i="10"/>
  <c r="AE436" i="10" s="1"/>
  <c r="AA436" i="10"/>
  <c r="AG436" i="10" s="1"/>
  <c r="Z436" i="10"/>
  <c r="W436" i="10"/>
  <c r="AD436" i="10" s="1"/>
  <c r="V436" i="10"/>
  <c r="U436" i="10"/>
  <c r="AF436" i="10" s="1"/>
  <c r="S436" i="10"/>
  <c r="R436" i="10"/>
  <c r="Q436" i="10"/>
  <c r="O436" i="10"/>
  <c r="N436" i="10"/>
  <c r="M436" i="10"/>
  <c r="L436" i="10"/>
  <c r="AJ436" i="10" s="1"/>
  <c r="K436" i="10"/>
  <c r="AL435" i="10"/>
  <c r="AK435" i="10"/>
  <c r="AI435" i="10"/>
  <c r="AH435" i="10"/>
  <c r="AE435" i="10"/>
  <c r="AD435" i="10"/>
  <c r="AC435" i="10"/>
  <c r="Z435" i="10"/>
  <c r="AA435" i="10" s="1"/>
  <c r="AG435" i="10" s="1"/>
  <c r="W435" i="10"/>
  <c r="V435" i="10"/>
  <c r="U435" i="10"/>
  <c r="AF435" i="10" s="1"/>
  <c r="S435" i="10"/>
  <c r="R435" i="10"/>
  <c r="Q435" i="10"/>
  <c r="O435" i="10"/>
  <c r="N435" i="10"/>
  <c r="M435" i="10"/>
  <c r="L435" i="10"/>
  <c r="AJ435" i="10" s="1"/>
  <c r="K435" i="10"/>
  <c r="AL434" i="10"/>
  <c r="AK434" i="10"/>
  <c r="AI434" i="10"/>
  <c r="AH434" i="10"/>
  <c r="AC434" i="10"/>
  <c r="AE434" i="10" s="1"/>
  <c r="AA434" i="10"/>
  <c r="AG434" i="10" s="1"/>
  <c r="Z434" i="10"/>
  <c r="W434" i="10"/>
  <c r="AD434" i="10" s="1"/>
  <c r="V434" i="10"/>
  <c r="U434" i="10"/>
  <c r="AF434" i="10" s="1"/>
  <c r="S434" i="10"/>
  <c r="R434" i="10"/>
  <c r="Q434" i="10"/>
  <c r="O434" i="10"/>
  <c r="N434" i="10"/>
  <c r="M434" i="10"/>
  <c r="L434" i="10"/>
  <c r="AJ434" i="10" s="1"/>
  <c r="K434" i="10"/>
  <c r="AL433" i="10"/>
  <c r="AK433" i="10"/>
  <c r="AI433" i="10"/>
  <c r="AH433" i="10"/>
  <c r="AE433" i="10"/>
  <c r="AD433" i="10"/>
  <c r="AC433" i="10"/>
  <c r="Z433" i="10"/>
  <c r="AA433" i="10" s="1"/>
  <c r="AG433" i="10" s="1"/>
  <c r="W433" i="10"/>
  <c r="V433" i="10"/>
  <c r="U433" i="10"/>
  <c r="AF433" i="10" s="1"/>
  <c r="S433" i="10"/>
  <c r="R433" i="10"/>
  <c r="Q433" i="10"/>
  <c r="O433" i="10"/>
  <c r="N433" i="10"/>
  <c r="M433" i="10"/>
  <c r="L433" i="10"/>
  <c r="AJ433" i="10" s="1"/>
  <c r="K433" i="10"/>
  <c r="AL432" i="10"/>
  <c r="AK432" i="10"/>
  <c r="AI432" i="10"/>
  <c r="AH432" i="10"/>
  <c r="AC432" i="10"/>
  <c r="AE432" i="10" s="1"/>
  <c r="AA432" i="10"/>
  <c r="AG432" i="10" s="1"/>
  <c r="Z432" i="10"/>
  <c r="W432" i="10"/>
  <c r="AD432" i="10" s="1"/>
  <c r="V432" i="10"/>
  <c r="U432" i="10"/>
  <c r="AF432" i="10" s="1"/>
  <c r="S432" i="10"/>
  <c r="R432" i="10"/>
  <c r="Q432" i="10"/>
  <c r="O432" i="10"/>
  <c r="N432" i="10"/>
  <c r="M432" i="10"/>
  <c r="L432" i="10"/>
  <c r="AJ432" i="10" s="1"/>
  <c r="K432" i="10"/>
  <c r="AL431" i="10"/>
  <c r="AK431" i="10"/>
  <c r="AI431" i="10"/>
  <c r="AH431" i="10"/>
  <c r="AE431" i="10"/>
  <c r="AD431" i="10"/>
  <c r="AC431" i="10"/>
  <c r="Z431" i="10"/>
  <c r="AA431" i="10" s="1"/>
  <c r="AG431" i="10" s="1"/>
  <c r="W431" i="10"/>
  <c r="V431" i="10"/>
  <c r="U431" i="10"/>
  <c r="AF431" i="10" s="1"/>
  <c r="S431" i="10"/>
  <c r="R431" i="10"/>
  <c r="Q431" i="10"/>
  <c r="O431" i="10"/>
  <c r="N431" i="10"/>
  <c r="M431" i="10"/>
  <c r="L431" i="10"/>
  <c r="AJ431" i="10" s="1"/>
  <c r="K431" i="10"/>
  <c r="AL430" i="10"/>
  <c r="AK430" i="10"/>
  <c r="AI430" i="10"/>
  <c r="AH430" i="10"/>
  <c r="AC430" i="10"/>
  <c r="AE430" i="10" s="1"/>
  <c r="AA430" i="10"/>
  <c r="AG430" i="10" s="1"/>
  <c r="Z430" i="10"/>
  <c r="W430" i="10"/>
  <c r="AD430" i="10" s="1"/>
  <c r="V430" i="10"/>
  <c r="U430" i="10"/>
  <c r="AF430" i="10" s="1"/>
  <c r="S430" i="10"/>
  <c r="R430" i="10"/>
  <c r="Q430" i="10"/>
  <c r="O430" i="10"/>
  <c r="N430" i="10"/>
  <c r="M430" i="10"/>
  <c r="L430" i="10"/>
  <c r="AJ430" i="10" s="1"/>
  <c r="K430" i="10"/>
  <c r="AL429" i="10"/>
  <c r="AK429" i="10"/>
  <c r="AI429" i="10"/>
  <c r="AH429" i="10"/>
  <c r="AE429" i="10"/>
  <c r="AC429" i="10"/>
  <c r="Z429" i="10"/>
  <c r="AA429" i="10" s="1"/>
  <c r="AG429" i="10" s="1"/>
  <c r="W429" i="10"/>
  <c r="AD429" i="10" s="1"/>
  <c r="V429" i="10"/>
  <c r="U429" i="10"/>
  <c r="AF429" i="10" s="1"/>
  <c r="S429" i="10"/>
  <c r="R429" i="10"/>
  <c r="Q429" i="10"/>
  <c r="O429" i="10"/>
  <c r="N429" i="10"/>
  <c r="M429" i="10"/>
  <c r="L429" i="10"/>
  <c r="AJ429" i="10" s="1"/>
  <c r="K429" i="10"/>
  <c r="AL428" i="10"/>
  <c r="AK428" i="10"/>
  <c r="AI428" i="10"/>
  <c r="AH428" i="10"/>
  <c r="AC428" i="10"/>
  <c r="AE428" i="10" s="1"/>
  <c r="Z428" i="10"/>
  <c r="AA428" i="10" s="1"/>
  <c r="AG428" i="10" s="1"/>
  <c r="W428" i="10"/>
  <c r="AD428" i="10" s="1"/>
  <c r="V428" i="10"/>
  <c r="U428" i="10"/>
  <c r="AF428" i="10" s="1"/>
  <c r="S428" i="10"/>
  <c r="R428" i="10"/>
  <c r="Q428" i="10"/>
  <c r="O428" i="10"/>
  <c r="N428" i="10"/>
  <c r="M428" i="10"/>
  <c r="L428" i="10"/>
  <c r="AJ428" i="10" s="1"/>
  <c r="K428" i="10"/>
  <c r="AL427" i="10"/>
  <c r="AK427" i="10"/>
  <c r="AI427" i="10"/>
  <c r="AH427" i="10"/>
  <c r="AE427" i="10"/>
  <c r="AC427" i="10"/>
  <c r="Z427" i="10"/>
  <c r="AA427" i="10" s="1"/>
  <c r="AG427" i="10" s="1"/>
  <c r="W427" i="10"/>
  <c r="AD427" i="10" s="1"/>
  <c r="V427" i="10"/>
  <c r="U427" i="10"/>
  <c r="AF427" i="10" s="1"/>
  <c r="S427" i="10"/>
  <c r="R427" i="10"/>
  <c r="Q427" i="10"/>
  <c r="O427" i="10"/>
  <c r="N427" i="10"/>
  <c r="M427" i="10"/>
  <c r="L427" i="10"/>
  <c r="AJ427" i="10" s="1"/>
  <c r="K427" i="10"/>
  <c r="AL426" i="10"/>
  <c r="AK426" i="10"/>
  <c r="AI426" i="10"/>
  <c r="AH426" i="10"/>
  <c r="AC426" i="10"/>
  <c r="AE426" i="10" s="1"/>
  <c r="Z426" i="10"/>
  <c r="AA426" i="10" s="1"/>
  <c r="AG426" i="10" s="1"/>
  <c r="W426" i="10"/>
  <c r="AD426" i="10" s="1"/>
  <c r="V426" i="10"/>
  <c r="U426" i="10"/>
  <c r="AF426" i="10" s="1"/>
  <c r="S426" i="10"/>
  <c r="R426" i="10"/>
  <c r="Q426" i="10"/>
  <c r="O426" i="10"/>
  <c r="N426" i="10"/>
  <c r="M426" i="10"/>
  <c r="L426" i="10"/>
  <c r="AJ426" i="10" s="1"/>
  <c r="K426" i="10"/>
  <c r="AL425" i="10"/>
  <c r="AK425" i="10"/>
  <c r="AI425" i="10"/>
  <c r="AH425" i="10"/>
  <c r="AE425" i="10"/>
  <c r="AC425" i="10"/>
  <c r="Z425" i="10"/>
  <c r="AA425" i="10" s="1"/>
  <c r="AG425" i="10" s="1"/>
  <c r="W425" i="10"/>
  <c r="AD425" i="10" s="1"/>
  <c r="V425" i="10"/>
  <c r="U425" i="10"/>
  <c r="AF425" i="10" s="1"/>
  <c r="S425" i="10"/>
  <c r="R425" i="10"/>
  <c r="Q425" i="10"/>
  <c r="O425" i="10"/>
  <c r="N425" i="10"/>
  <c r="M425" i="10"/>
  <c r="L425" i="10"/>
  <c r="AJ425" i="10" s="1"/>
  <c r="K425" i="10"/>
  <c r="AL424" i="10"/>
  <c r="AK424" i="10"/>
  <c r="AI424" i="10"/>
  <c r="AH424" i="10"/>
  <c r="AC424" i="10"/>
  <c r="AE424" i="10" s="1"/>
  <c r="Z424" i="10"/>
  <c r="AA424" i="10" s="1"/>
  <c r="AG424" i="10" s="1"/>
  <c r="W424" i="10"/>
  <c r="AD424" i="10" s="1"/>
  <c r="V424" i="10"/>
  <c r="U424" i="10"/>
  <c r="AF424" i="10" s="1"/>
  <c r="S424" i="10"/>
  <c r="R424" i="10"/>
  <c r="Q424" i="10"/>
  <c r="O424" i="10"/>
  <c r="N424" i="10"/>
  <c r="M424" i="10"/>
  <c r="L424" i="10"/>
  <c r="AJ424" i="10" s="1"/>
  <c r="K424" i="10"/>
  <c r="AL423" i="10"/>
  <c r="AK423" i="10"/>
  <c r="AI423" i="10"/>
  <c r="AH423" i="10"/>
  <c r="AE423" i="10"/>
  <c r="AC423" i="10"/>
  <c r="Z423" i="10"/>
  <c r="AA423" i="10" s="1"/>
  <c r="AG423" i="10" s="1"/>
  <c r="W423" i="10"/>
  <c r="AD423" i="10" s="1"/>
  <c r="V423" i="10"/>
  <c r="U423" i="10"/>
  <c r="AF423" i="10" s="1"/>
  <c r="S423" i="10"/>
  <c r="R423" i="10"/>
  <c r="Q423" i="10"/>
  <c r="O423" i="10"/>
  <c r="N423" i="10"/>
  <c r="M423" i="10"/>
  <c r="L423" i="10"/>
  <c r="AJ423" i="10" s="1"/>
  <c r="K423" i="10"/>
  <c r="AL422" i="10"/>
  <c r="AK422" i="10"/>
  <c r="AI422" i="10"/>
  <c r="AH422" i="10"/>
  <c r="AC422" i="10"/>
  <c r="AE422" i="10" s="1"/>
  <c r="Z422" i="10"/>
  <c r="AA422" i="10" s="1"/>
  <c r="AG422" i="10" s="1"/>
  <c r="W422" i="10"/>
  <c r="AD422" i="10" s="1"/>
  <c r="V422" i="10"/>
  <c r="U422" i="10"/>
  <c r="AF422" i="10" s="1"/>
  <c r="S422" i="10"/>
  <c r="R422" i="10"/>
  <c r="Q422" i="10"/>
  <c r="O422" i="10"/>
  <c r="N422" i="10"/>
  <c r="M422" i="10"/>
  <c r="L422" i="10"/>
  <c r="AJ422" i="10" s="1"/>
  <c r="K422" i="10"/>
  <c r="AL421" i="10"/>
  <c r="AK421" i="10"/>
  <c r="AI421" i="10"/>
  <c r="AH421" i="10"/>
  <c r="AE421" i="10"/>
  <c r="AC421" i="10"/>
  <c r="Z421" i="10"/>
  <c r="AA421" i="10" s="1"/>
  <c r="AG421" i="10" s="1"/>
  <c r="W421" i="10"/>
  <c r="AD421" i="10" s="1"/>
  <c r="V421" i="10"/>
  <c r="U421" i="10"/>
  <c r="AF421" i="10" s="1"/>
  <c r="S421" i="10"/>
  <c r="R421" i="10"/>
  <c r="Q421" i="10"/>
  <c r="O421" i="10"/>
  <c r="N421" i="10"/>
  <c r="M421" i="10"/>
  <c r="L421" i="10"/>
  <c r="AJ421" i="10" s="1"/>
  <c r="K421" i="10"/>
  <c r="AL420" i="10"/>
  <c r="AK420" i="10"/>
  <c r="AI420" i="10"/>
  <c r="AH420" i="10"/>
  <c r="AC420" i="10"/>
  <c r="AE420" i="10" s="1"/>
  <c r="Z420" i="10"/>
  <c r="AA420" i="10" s="1"/>
  <c r="AG420" i="10" s="1"/>
  <c r="W420" i="10"/>
  <c r="AD420" i="10" s="1"/>
  <c r="V420" i="10"/>
  <c r="U420" i="10"/>
  <c r="AF420" i="10" s="1"/>
  <c r="S420" i="10"/>
  <c r="R420" i="10"/>
  <c r="Q420" i="10"/>
  <c r="O420" i="10"/>
  <c r="N420" i="10"/>
  <c r="M420" i="10"/>
  <c r="L420" i="10"/>
  <c r="AJ420" i="10" s="1"/>
  <c r="K420" i="10"/>
  <c r="AL419" i="10"/>
  <c r="AK419" i="10"/>
  <c r="AI419" i="10"/>
  <c r="AH419" i="10"/>
  <c r="AE419" i="10"/>
  <c r="AC419" i="10"/>
  <c r="Z419" i="10"/>
  <c r="AA419" i="10" s="1"/>
  <c r="AG419" i="10" s="1"/>
  <c r="W419" i="10"/>
  <c r="AD419" i="10" s="1"/>
  <c r="V419" i="10"/>
  <c r="U419" i="10"/>
  <c r="AF419" i="10" s="1"/>
  <c r="S419" i="10"/>
  <c r="R419" i="10"/>
  <c r="Q419" i="10"/>
  <c r="O419" i="10"/>
  <c r="N419" i="10"/>
  <c r="M419" i="10"/>
  <c r="L419" i="10"/>
  <c r="AJ419" i="10" s="1"/>
  <c r="K419" i="10"/>
  <c r="AL418" i="10"/>
  <c r="AK418" i="10"/>
  <c r="AI418" i="10"/>
  <c r="AH418" i="10"/>
  <c r="AC418" i="10"/>
  <c r="AE418" i="10" s="1"/>
  <c r="Z418" i="10"/>
  <c r="AA418" i="10" s="1"/>
  <c r="AG418" i="10" s="1"/>
  <c r="W418" i="10"/>
  <c r="AD418" i="10" s="1"/>
  <c r="V418" i="10"/>
  <c r="U418" i="10"/>
  <c r="AF418" i="10" s="1"/>
  <c r="S418" i="10"/>
  <c r="R418" i="10"/>
  <c r="Q418" i="10"/>
  <c r="O418" i="10"/>
  <c r="N418" i="10"/>
  <c r="M418" i="10"/>
  <c r="L418" i="10"/>
  <c r="AJ418" i="10" s="1"/>
  <c r="K418" i="10"/>
  <c r="AL417" i="10"/>
  <c r="AK417" i="10"/>
  <c r="AI417" i="10"/>
  <c r="AH417" i="10"/>
  <c r="AE417" i="10"/>
  <c r="AC417" i="10"/>
  <c r="Z417" i="10"/>
  <c r="AA417" i="10" s="1"/>
  <c r="AG417" i="10" s="1"/>
  <c r="W417" i="10"/>
  <c r="AD417" i="10" s="1"/>
  <c r="V417" i="10"/>
  <c r="U417" i="10"/>
  <c r="AF417" i="10" s="1"/>
  <c r="S417" i="10"/>
  <c r="R417" i="10"/>
  <c r="Q417" i="10"/>
  <c r="O417" i="10"/>
  <c r="N417" i="10"/>
  <c r="M417" i="10"/>
  <c r="L417" i="10"/>
  <c r="AJ417" i="10" s="1"/>
  <c r="K417" i="10"/>
  <c r="AL416" i="10"/>
  <c r="AK416" i="10"/>
  <c r="AI416" i="10"/>
  <c r="AH416" i="10"/>
  <c r="AC416" i="10"/>
  <c r="AE416" i="10" s="1"/>
  <c r="Z416" i="10"/>
  <c r="AA416" i="10" s="1"/>
  <c r="AG416" i="10" s="1"/>
  <c r="W416" i="10"/>
  <c r="AD416" i="10" s="1"/>
  <c r="V416" i="10"/>
  <c r="U416" i="10"/>
  <c r="AF416" i="10" s="1"/>
  <c r="S416" i="10"/>
  <c r="R416" i="10"/>
  <c r="Q416" i="10"/>
  <c r="O416" i="10"/>
  <c r="N416" i="10"/>
  <c r="M416" i="10"/>
  <c r="L416" i="10"/>
  <c r="AJ416" i="10" s="1"/>
  <c r="K416" i="10"/>
  <c r="AL415" i="10"/>
  <c r="AK415" i="10"/>
  <c r="AI415" i="10"/>
  <c r="AH415" i="10"/>
  <c r="AE415" i="10"/>
  <c r="AC415" i="10"/>
  <c r="Z415" i="10"/>
  <c r="AA415" i="10" s="1"/>
  <c r="AG415" i="10" s="1"/>
  <c r="W415" i="10"/>
  <c r="AD415" i="10" s="1"/>
  <c r="V415" i="10"/>
  <c r="U415" i="10"/>
  <c r="AF415" i="10" s="1"/>
  <c r="S415" i="10"/>
  <c r="R415" i="10"/>
  <c r="Q415" i="10"/>
  <c r="O415" i="10"/>
  <c r="N415" i="10"/>
  <c r="M415" i="10"/>
  <c r="L415" i="10"/>
  <c r="AJ415" i="10" s="1"/>
  <c r="K415" i="10"/>
  <c r="AL414" i="10"/>
  <c r="AK414" i="10"/>
  <c r="AI414" i="10"/>
  <c r="AH414" i="10"/>
  <c r="AC414" i="10"/>
  <c r="AE414" i="10" s="1"/>
  <c r="Z414" i="10"/>
  <c r="AA414" i="10" s="1"/>
  <c r="AG414" i="10" s="1"/>
  <c r="W414" i="10"/>
  <c r="AD414" i="10" s="1"/>
  <c r="V414" i="10"/>
  <c r="U414" i="10"/>
  <c r="AF414" i="10" s="1"/>
  <c r="S414" i="10"/>
  <c r="R414" i="10"/>
  <c r="Q414" i="10"/>
  <c r="O414" i="10"/>
  <c r="N414" i="10"/>
  <c r="M414" i="10"/>
  <c r="L414" i="10"/>
  <c r="AJ414" i="10" s="1"/>
  <c r="K414" i="10"/>
  <c r="AL413" i="10"/>
  <c r="AK413" i="10"/>
  <c r="AI413" i="10"/>
  <c r="AH413" i="10"/>
  <c r="AE413" i="10"/>
  <c r="AC413" i="10"/>
  <c r="Z413" i="10"/>
  <c r="AA413" i="10" s="1"/>
  <c r="AG413" i="10" s="1"/>
  <c r="W413" i="10"/>
  <c r="AD413" i="10" s="1"/>
  <c r="V413" i="10"/>
  <c r="U413" i="10"/>
  <c r="AF413" i="10" s="1"/>
  <c r="S413" i="10"/>
  <c r="R413" i="10"/>
  <c r="Q413" i="10"/>
  <c r="O413" i="10"/>
  <c r="N413" i="10"/>
  <c r="M413" i="10"/>
  <c r="L413" i="10"/>
  <c r="AJ413" i="10" s="1"/>
  <c r="K413" i="10"/>
  <c r="AL412" i="10"/>
  <c r="AK412" i="10"/>
  <c r="AI412" i="10"/>
  <c r="AH412" i="10"/>
  <c r="AC412" i="10"/>
  <c r="AE412" i="10" s="1"/>
  <c r="Z412" i="10"/>
  <c r="AA412" i="10" s="1"/>
  <c r="AG412" i="10" s="1"/>
  <c r="W412" i="10"/>
  <c r="AD412" i="10" s="1"/>
  <c r="V412" i="10"/>
  <c r="U412" i="10"/>
  <c r="AF412" i="10" s="1"/>
  <c r="S412" i="10"/>
  <c r="R412" i="10"/>
  <c r="Q412" i="10"/>
  <c r="O412" i="10"/>
  <c r="N412" i="10"/>
  <c r="M412" i="10"/>
  <c r="L412" i="10"/>
  <c r="AJ412" i="10" s="1"/>
  <c r="K412" i="10"/>
  <c r="AL411" i="10"/>
  <c r="AK411" i="10"/>
  <c r="AI411" i="10"/>
  <c r="AH411" i="10"/>
  <c r="AE411" i="10"/>
  <c r="AC411" i="10"/>
  <c r="Z411" i="10"/>
  <c r="AA411" i="10" s="1"/>
  <c r="AG411" i="10" s="1"/>
  <c r="W411" i="10"/>
  <c r="AD411" i="10" s="1"/>
  <c r="V411" i="10"/>
  <c r="U411" i="10"/>
  <c r="AF411" i="10" s="1"/>
  <c r="S411" i="10"/>
  <c r="R411" i="10"/>
  <c r="Q411" i="10"/>
  <c r="O411" i="10"/>
  <c r="N411" i="10"/>
  <c r="M411" i="10"/>
  <c r="L411" i="10"/>
  <c r="AJ411" i="10" s="1"/>
  <c r="K411" i="10"/>
  <c r="AL410" i="10"/>
  <c r="AK410" i="10"/>
  <c r="AI410" i="10"/>
  <c r="AH410" i="10"/>
  <c r="AC410" i="10"/>
  <c r="AE410" i="10" s="1"/>
  <c r="Z410" i="10"/>
  <c r="AA410" i="10" s="1"/>
  <c r="AG410" i="10" s="1"/>
  <c r="W410" i="10"/>
  <c r="AD410" i="10" s="1"/>
  <c r="V410" i="10"/>
  <c r="U410" i="10"/>
  <c r="AF410" i="10" s="1"/>
  <c r="S410" i="10"/>
  <c r="R410" i="10"/>
  <c r="Q410" i="10"/>
  <c r="O410" i="10"/>
  <c r="N410" i="10"/>
  <c r="M410" i="10"/>
  <c r="L410" i="10"/>
  <c r="AJ410" i="10" s="1"/>
  <c r="K410" i="10"/>
  <c r="AL409" i="10"/>
  <c r="AK409" i="10"/>
  <c r="AI409" i="10"/>
  <c r="AH409" i="10"/>
  <c r="AE409" i="10"/>
  <c r="AC409" i="10"/>
  <c r="Z409" i="10"/>
  <c r="AA409" i="10" s="1"/>
  <c r="AG409" i="10" s="1"/>
  <c r="W409" i="10"/>
  <c r="AD409" i="10" s="1"/>
  <c r="V409" i="10"/>
  <c r="U409" i="10"/>
  <c r="AF409" i="10" s="1"/>
  <c r="S409" i="10"/>
  <c r="R409" i="10"/>
  <c r="Q409" i="10"/>
  <c r="O409" i="10"/>
  <c r="N409" i="10"/>
  <c r="M409" i="10"/>
  <c r="L409" i="10"/>
  <c r="AJ409" i="10" s="1"/>
  <c r="K409" i="10"/>
  <c r="AL408" i="10"/>
  <c r="AK408" i="10"/>
  <c r="AI408" i="10"/>
  <c r="AH408" i="10"/>
  <c r="AC408" i="10"/>
  <c r="AE408" i="10" s="1"/>
  <c r="Z408" i="10"/>
  <c r="AA408" i="10" s="1"/>
  <c r="AG408" i="10" s="1"/>
  <c r="W408" i="10"/>
  <c r="AD408" i="10" s="1"/>
  <c r="V408" i="10"/>
  <c r="U408" i="10"/>
  <c r="AF408" i="10" s="1"/>
  <c r="S408" i="10"/>
  <c r="R408" i="10"/>
  <c r="Q408" i="10"/>
  <c r="O408" i="10"/>
  <c r="N408" i="10"/>
  <c r="M408" i="10"/>
  <c r="L408" i="10"/>
  <c r="AJ408" i="10" s="1"/>
  <c r="K408" i="10"/>
  <c r="AL407" i="10"/>
  <c r="AK407" i="10"/>
  <c r="AI407" i="10"/>
  <c r="AH407" i="10"/>
  <c r="AE407" i="10"/>
  <c r="AC407" i="10"/>
  <c r="Z407" i="10"/>
  <c r="AA407" i="10" s="1"/>
  <c r="AG407" i="10" s="1"/>
  <c r="W407" i="10"/>
  <c r="AD407" i="10" s="1"/>
  <c r="V407" i="10"/>
  <c r="U407" i="10"/>
  <c r="AF407" i="10" s="1"/>
  <c r="S407" i="10"/>
  <c r="R407" i="10"/>
  <c r="Q407" i="10"/>
  <c r="O407" i="10"/>
  <c r="N407" i="10"/>
  <c r="M407" i="10"/>
  <c r="L407" i="10"/>
  <c r="AJ407" i="10" s="1"/>
  <c r="K407" i="10"/>
  <c r="AL406" i="10"/>
  <c r="AK406" i="10"/>
  <c r="AI406" i="10"/>
  <c r="AH406" i="10"/>
  <c r="AC406" i="10"/>
  <c r="AE406" i="10" s="1"/>
  <c r="Z406" i="10"/>
  <c r="AA406" i="10" s="1"/>
  <c r="AG406" i="10" s="1"/>
  <c r="W406" i="10"/>
  <c r="AD406" i="10" s="1"/>
  <c r="V406" i="10"/>
  <c r="U406" i="10"/>
  <c r="AF406" i="10" s="1"/>
  <c r="S406" i="10"/>
  <c r="R406" i="10"/>
  <c r="Q406" i="10"/>
  <c r="O406" i="10"/>
  <c r="N406" i="10"/>
  <c r="M406" i="10"/>
  <c r="L406" i="10"/>
  <c r="AJ406" i="10" s="1"/>
  <c r="K406" i="10"/>
  <c r="AL405" i="10"/>
  <c r="AK405" i="10"/>
  <c r="AI405" i="10"/>
  <c r="AH405" i="10"/>
  <c r="AE405" i="10"/>
  <c r="AC405" i="10"/>
  <c r="Z405" i="10"/>
  <c r="AA405" i="10" s="1"/>
  <c r="AG405" i="10" s="1"/>
  <c r="W405" i="10"/>
  <c r="AD405" i="10" s="1"/>
  <c r="V405" i="10"/>
  <c r="U405" i="10"/>
  <c r="AF405" i="10" s="1"/>
  <c r="S405" i="10"/>
  <c r="R405" i="10"/>
  <c r="Q405" i="10"/>
  <c r="O405" i="10"/>
  <c r="N405" i="10"/>
  <c r="M405" i="10"/>
  <c r="L405" i="10"/>
  <c r="AJ405" i="10" s="1"/>
  <c r="K405" i="10"/>
  <c r="AL404" i="10"/>
  <c r="AK404" i="10"/>
  <c r="AI404" i="10"/>
  <c r="AH404" i="10"/>
  <c r="AC404" i="10"/>
  <c r="AE404" i="10" s="1"/>
  <c r="Z404" i="10"/>
  <c r="AA404" i="10" s="1"/>
  <c r="AG404" i="10" s="1"/>
  <c r="W404" i="10"/>
  <c r="AD404" i="10" s="1"/>
  <c r="V404" i="10"/>
  <c r="U404" i="10"/>
  <c r="AF404" i="10" s="1"/>
  <c r="S404" i="10"/>
  <c r="R404" i="10"/>
  <c r="Q404" i="10"/>
  <c r="O404" i="10"/>
  <c r="N404" i="10"/>
  <c r="M404" i="10"/>
  <c r="L404" i="10"/>
  <c r="AJ404" i="10" s="1"/>
  <c r="K404" i="10"/>
  <c r="AL403" i="10"/>
  <c r="AK403" i="10"/>
  <c r="AI403" i="10"/>
  <c r="AH403" i="10"/>
  <c r="AE403" i="10"/>
  <c r="AC403" i="10"/>
  <c r="Z403" i="10"/>
  <c r="AA403" i="10" s="1"/>
  <c r="AG403" i="10" s="1"/>
  <c r="W403" i="10"/>
  <c r="AD403" i="10" s="1"/>
  <c r="V403" i="10"/>
  <c r="U403" i="10"/>
  <c r="AF403" i="10" s="1"/>
  <c r="S403" i="10"/>
  <c r="R403" i="10"/>
  <c r="Q403" i="10"/>
  <c r="O403" i="10"/>
  <c r="N403" i="10"/>
  <c r="M403" i="10"/>
  <c r="L403" i="10"/>
  <c r="AJ403" i="10" s="1"/>
  <c r="K403" i="10"/>
  <c r="AL402" i="10"/>
  <c r="AK402" i="10"/>
  <c r="AI402" i="10"/>
  <c r="AH402" i="10"/>
  <c r="AC402" i="10"/>
  <c r="AE402" i="10" s="1"/>
  <c r="Z402" i="10"/>
  <c r="AA402" i="10" s="1"/>
  <c r="AG402" i="10" s="1"/>
  <c r="W402" i="10"/>
  <c r="AD402" i="10" s="1"/>
  <c r="V402" i="10"/>
  <c r="U402" i="10"/>
  <c r="AF402" i="10" s="1"/>
  <c r="S402" i="10"/>
  <c r="R402" i="10"/>
  <c r="Q402" i="10"/>
  <c r="O402" i="10"/>
  <c r="N402" i="10"/>
  <c r="M402" i="10"/>
  <c r="L402" i="10"/>
  <c r="AJ402" i="10" s="1"/>
  <c r="K402" i="10"/>
  <c r="AL401" i="10"/>
  <c r="AK401" i="10"/>
  <c r="AI401" i="10"/>
  <c r="AH401" i="10"/>
  <c r="AE401" i="10"/>
  <c r="AC401" i="10"/>
  <c r="Z401" i="10"/>
  <c r="AA401" i="10" s="1"/>
  <c r="AG401" i="10" s="1"/>
  <c r="W401" i="10"/>
  <c r="AD401" i="10" s="1"/>
  <c r="V401" i="10"/>
  <c r="U401" i="10"/>
  <c r="AF401" i="10" s="1"/>
  <c r="S401" i="10"/>
  <c r="R401" i="10"/>
  <c r="Q401" i="10"/>
  <c r="O401" i="10"/>
  <c r="N401" i="10"/>
  <c r="M401" i="10"/>
  <c r="L401" i="10"/>
  <c r="AJ401" i="10" s="1"/>
  <c r="K401" i="10"/>
  <c r="AL400" i="10"/>
  <c r="AK400" i="10"/>
  <c r="AI400" i="10"/>
  <c r="AH400" i="10"/>
  <c r="AC400" i="10"/>
  <c r="AE400" i="10" s="1"/>
  <c r="Z400" i="10"/>
  <c r="AA400" i="10" s="1"/>
  <c r="AG400" i="10" s="1"/>
  <c r="W400" i="10"/>
  <c r="AD400" i="10" s="1"/>
  <c r="V400" i="10"/>
  <c r="U400" i="10"/>
  <c r="AF400" i="10" s="1"/>
  <c r="S400" i="10"/>
  <c r="R400" i="10"/>
  <c r="Q400" i="10"/>
  <c r="O400" i="10"/>
  <c r="N400" i="10"/>
  <c r="M400" i="10"/>
  <c r="L400" i="10"/>
  <c r="AJ400" i="10" s="1"/>
  <c r="K400" i="10"/>
  <c r="AL399" i="10"/>
  <c r="AK399" i="10"/>
  <c r="AI399" i="10"/>
  <c r="AH399" i="10"/>
  <c r="AE399" i="10"/>
  <c r="AC399" i="10"/>
  <c r="Z399" i="10"/>
  <c r="AA399" i="10" s="1"/>
  <c r="AG399" i="10" s="1"/>
  <c r="W399" i="10"/>
  <c r="AD399" i="10" s="1"/>
  <c r="V399" i="10"/>
  <c r="U399" i="10"/>
  <c r="AF399" i="10" s="1"/>
  <c r="S399" i="10"/>
  <c r="R399" i="10"/>
  <c r="Q399" i="10"/>
  <c r="O399" i="10"/>
  <c r="N399" i="10"/>
  <c r="M399" i="10"/>
  <c r="L399" i="10"/>
  <c r="AJ399" i="10" s="1"/>
  <c r="K399" i="10"/>
  <c r="AL398" i="10"/>
  <c r="AK398" i="10"/>
  <c r="AI398" i="10"/>
  <c r="AH398" i="10"/>
  <c r="AC398" i="10"/>
  <c r="AE398" i="10" s="1"/>
  <c r="Z398" i="10"/>
  <c r="AA398" i="10" s="1"/>
  <c r="AG398" i="10" s="1"/>
  <c r="W398" i="10"/>
  <c r="AD398" i="10" s="1"/>
  <c r="V398" i="10"/>
  <c r="U398" i="10"/>
  <c r="AF398" i="10" s="1"/>
  <c r="S398" i="10"/>
  <c r="R398" i="10"/>
  <c r="Q398" i="10"/>
  <c r="O398" i="10"/>
  <c r="N398" i="10"/>
  <c r="M398" i="10"/>
  <c r="L398" i="10"/>
  <c r="AJ398" i="10" s="1"/>
  <c r="K398" i="10"/>
  <c r="AL397" i="10"/>
  <c r="AK397" i="10"/>
  <c r="AI397" i="10"/>
  <c r="AH397" i="10"/>
  <c r="AE397" i="10"/>
  <c r="AC397" i="10"/>
  <c r="Z397" i="10"/>
  <c r="AA397" i="10" s="1"/>
  <c r="AG397" i="10" s="1"/>
  <c r="W397" i="10"/>
  <c r="AD397" i="10" s="1"/>
  <c r="V397" i="10"/>
  <c r="U397" i="10"/>
  <c r="AF397" i="10" s="1"/>
  <c r="S397" i="10"/>
  <c r="R397" i="10"/>
  <c r="Q397" i="10"/>
  <c r="O397" i="10"/>
  <c r="N397" i="10"/>
  <c r="M397" i="10"/>
  <c r="L397" i="10"/>
  <c r="AJ397" i="10" s="1"/>
  <c r="K397" i="10"/>
  <c r="AL396" i="10"/>
  <c r="AK396" i="10"/>
  <c r="AI396" i="10"/>
  <c r="AH396" i="10"/>
  <c r="AC396" i="10"/>
  <c r="AE396" i="10" s="1"/>
  <c r="Z396" i="10"/>
  <c r="AA396" i="10" s="1"/>
  <c r="AG396" i="10" s="1"/>
  <c r="W396" i="10"/>
  <c r="AD396" i="10" s="1"/>
  <c r="V396" i="10"/>
  <c r="U396" i="10"/>
  <c r="AF396" i="10" s="1"/>
  <c r="S396" i="10"/>
  <c r="R396" i="10"/>
  <c r="Q396" i="10"/>
  <c r="O396" i="10"/>
  <c r="N396" i="10"/>
  <c r="M396" i="10"/>
  <c r="L396" i="10"/>
  <c r="AJ396" i="10" s="1"/>
  <c r="K396" i="10"/>
  <c r="AL395" i="10"/>
  <c r="AK395" i="10"/>
  <c r="AI395" i="10"/>
  <c r="AH395" i="10"/>
  <c r="AE395" i="10"/>
  <c r="AC395" i="10"/>
  <c r="Z395" i="10"/>
  <c r="AA395" i="10" s="1"/>
  <c r="AG395" i="10" s="1"/>
  <c r="W395" i="10"/>
  <c r="AD395" i="10" s="1"/>
  <c r="V395" i="10"/>
  <c r="U395" i="10"/>
  <c r="AF395" i="10" s="1"/>
  <c r="S395" i="10"/>
  <c r="R395" i="10"/>
  <c r="Q395" i="10"/>
  <c r="O395" i="10"/>
  <c r="N395" i="10"/>
  <c r="M395" i="10"/>
  <c r="L395" i="10"/>
  <c r="AJ395" i="10" s="1"/>
  <c r="K395" i="10"/>
  <c r="AL394" i="10"/>
  <c r="AK394" i="10"/>
  <c r="AI394" i="10"/>
  <c r="AH394" i="10"/>
  <c r="AC394" i="10"/>
  <c r="AE394" i="10" s="1"/>
  <c r="Z394" i="10"/>
  <c r="AA394" i="10" s="1"/>
  <c r="AG394" i="10" s="1"/>
  <c r="W394" i="10"/>
  <c r="AD394" i="10" s="1"/>
  <c r="V394" i="10"/>
  <c r="U394" i="10"/>
  <c r="AF394" i="10" s="1"/>
  <c r="S394" i="10"/>
  <c r="R394" i="10"/>
  <c r="Q394" i="10"/>
  <c r="O394" i="10"/>
  <c r="N394" i="10"/>
  <c r="M394" i="10"/>
  <c r="L394" i="10"/>
  <c r="AJ394" i="10" s="1"/>
  <c r="K394" i="10"/>
  <c r="AL393" i="10"/>
  <c r="AK393" i="10"/>
  <c r="AI393" i="10"/>
  <c r="AH393" i="10"/>
  <c r="AE393" i="10"/>
  <c r="AC393" i="10"/>
  <c r="Z393" i="10"/>
  <c r="AA393" i="10" s="1"/>
  <c r="AG393" i="10" s="1"/>
  <c r="W393" i="10"/>
  <c r="AD393" i="10" s="1"/>
  <c r="V393" i="10"/>
  <c r="U393" i="10"/>
  <c r="AF393" i="10" s="1"/>
  <c r="S393" i="10"/>
  <c r="R393" i="10"/>
  <c r="Q393" i="10"/>
  <c r="O393" i="10"/>
  <c r="N393" i="10"/>
  <c r="M393" i="10"/>
  <c r="L393" i="10"/>
  <c r="AJ393" i="10" s="1"/>
  <c r="K393" i="10"/>
  <c r="AL392" i="10"/>
  <c r="AK392" i="10"/>
  <c r="AI392" i="10"/>
  <c r="AH392" i="10"/>
  <c r="AC392" i="10"/>
  <c r="AE392" i="10" s="1"/>
  <c r="Z392" i="10"/>
  <c r="AA392" i="10" s="1"/>
  <c r="AG392" i="10" s="1"/>
  <c r="W392" i="10"/>
  <c r="AD392" i="10" s="1"/>
  <c r="V392" i="10"/>
  <c r="U392" i="10"/>
  <c r="AF392" i="10" s="1"/>
  <c r="S392" i="10"/>
  <c r="R392" i="10"/>
  <c r="Q392" i="10"/>
  <c r="O392" i="10"/>
  <c r="N392" i="10"/>
  <c r="M392" i="10"/>
  <c r="L392" i="10"/>
  <c r="AJ392" i="10" s="1"/>
  <c r="K392" i="10"/>
  <c r="AL391" i="10"/>
  <c r="AK391" i="10"/>
  <c r="AI391" i="10"/>
  <c r="AH391" i="10"/>
  <c r="AE391" i="10"/>
  <c r="AC391" i="10"/>
  <c r="Z391" i="10"/>
  <c r="AA391" i="10" s="1"/>
  <c r="AG391" i="10" s="1"/>
  <c r="W391" i="10"/>
  <c r="AD391" i="10" s="1"/>
  <c r="V391" i="10"/>
  <c r="U391" i="10"/>
  <c r="AF391" i="10" s="1"/>
  <c r="S391" i="10"/>
  <c r="R391" i="10"/>
  <c r="Q391" i="10"/>
  <c r="O391" i="10"/>
  <c r="N391" i="10"/>
  <c r="M391" i="10"/>
  <c r="L391" i="10"/>
  <c r="AJ391" i="10" s="1"/>
  <c r="K391" i="10"/>
  <c r="AL390" i="10"/>
  <c r="AK390" i="10"/>
  <c r="AI390" i="10"/>
  <c r="AH390" i="10"/>
  <c r="AC390" i="10"/>
  <c r="AE390" i="10" s="1"/>
  <c r="Z390" i="10"/>
  <c r="AA390" i="10" s="1"/>
  <c r="AG390" i="10" s="1"/>
  <c r="W390" i="10"/>
  <c r="AD390" i="10" s="1"/>
  <c r="V390" i="10"/>
  <c r="U390" i="10"/>
  <c r="AF390" i="10" s="1"/>
  <c r="S390" i="10"/>
  <c r="R390" i="10"/>
  <c r="Q390" i="10"/>
  <c r="O390" i="10"/>
  <c r="N390" i="10"/>
  <c r="M390" i="10"/>
  <c r="L390" i="10"/>
  <c r="AJ390" i="10" s="1"/>
  <c r="K390" i="10"/>
  <c r="AL389" i="10"/>
  <c r="AK389" i="10"/>
  <c r="AI389" i="10"/>
  <c r="AH389" i="10"/>
  <c r="AE389" i="10"/>
  <c r="AC389" i="10"/>
  <c r="Z389" i="10"/>
  <c r="AA389" i="10" s="1"/>
  <c r="AG389" i="10" s="1"/>
  <c r="W389" i="10"/>
  <c r="AD389" i="10" s="1"/>
  <c r="V389" i="10"/>
  <c r="U389" i="10"/>
  <c r="AF389" i="10" s="1"/>
  <c r="S389" i="10"/>
  <c r="R389" i="10"/>
  <c r="Q389" i="10"/>
  <c r="O389" i="10"/>
  <c r="N389" i="10"/>
  <c r="M389" i="10"/>
  <c r="L389" i="10"/>
  <c r="AJ389" i="10" s="1"/>
  <c r="K389" i="10"/>
  <c r="AL388" i="10"/>
  <c r="AK388" i="10"/>
  <c r="AI388" i="10"/>
  <c r="AH388" i="10"/>
  <c r="AC388" i="10"/>
  <c r="AE388" i="10" s="1"/>
  <c r="Z388" i="10"/>
  <c r="AA388" i="10" s="1"/>
  <c r="AG388" i="10" s="1"/>
  <c r="W388" i="10"/>
  <c r="AD388" i="10" s="1"/>
  <c r="V388" i="10"/>
  <c r="U388" i="10"/>
  <c r="AF388" i="10" s="1"/>
  <c r="S388" i="10"/>
  <c r="R388" i="10"/>
  <c r="Q388" i="10"/>
  <c r="O388" i="10"/>
  <c r="N388" i="10"/>
  <c r="M388" i="10"/>
  <c r="L388" i="10"/>
  <c r="AJ388" i="10" s="1"/>
  <c r="K388" i="10"/>
  <c r="AL387" i="10"/>
  <c r="AK387" i="10"/>
  <c r="AI387" i="10"/>
  <c r="AH387" i="10"/>
  <c r="AE387" i="10"/>
  <c r="AC387" i="10"/>
  <c r="Z387" i="10"/>
  <c r="AA387" i="10" s="1"/>
  <c r="AG387" i="10" s="1"/>
  <c r="W387" i="10"/>
  <c r="AD387" i="10" s="1"/>
  <c r="V387" i="10"/>
  <c r="U387" i="10"/>
  <c r="AF387" i="10" s="1"/>
  <c r="S387" i="10"/>
  <c r="R387" i="10"/>
  <c r="Q387" i="10"/>
  <c r="O387" i="10"/>
  <c r="N387" i="10"/>
  <c r="M387" i="10"/>
  <c r="L387" i="10"/>
  <c r="AJ387" i="10" s="1"/>
  <c r="K387" i="10"/>
  <c r="AL386" i="10"/>
  <c r="AK386" i="10"/>
  <c r="AI386" i="10"/>
  <c r="AH386" i="10"/>
  <c r="AC386" i="10"/>
  <c r="AE386" i="10" s="1"/>
  <c r="Z386" i="10"/>
  <c r="AA386" i="10" s="1"/>
  <c r="AG386" i="10" s="1"/>
  <c r="W386" i="10"/>
  <c r="AD386" i="10" s="1"/>
  <c r="V386" i="10"/>
  <c r="U386" i="10"/>
  <c r="AF386" i="10" s="1"/>
  <c r="S386" i="10"/>
  <c r="R386" i="10"/>
  <c r="Q386" i="10"/>
  <c r="O386" i="10"/>
  <c r="N386" i="10"/>
  <c r="M386" i="10"/>
  <c r="L386" i="10"/>
  <c r="AJ386" i="10" s="1"/>
  <c r="K386" i="10"/>
  <c r="AL385" i="10"/>
  <c r="AK385" i="10"/>
  <c r="AI385" i="10"/>
  <c r="AH385" i="10"/>
  <c r="AE385" i="10"/>
  <c r="AC385" i="10"/>
  <c r="Z385" i="10"/>
  <c r="AA385" i="10" s="1"/>
  <c r="AG385" i="10" s="1"/>
  <c r="W385" i="10"/>
  <c r="AD385" i="10" s="1"/>
  <c r="V385" i="10"/>
  <c r="U385" i="10"/>
  <c r="AF385" i="10" s="1"/>
  <c r="S385" i="10"/>
  <c r="R385" i="10"/>
  <c r="Q385" i="10"/>
  <c r="O385" i="10"/>
  <c r="N385" i="10"/>
  <c r="M385" i="10"/>
  <c r="L385" i="10"/>
  <c r="AJ385" i="10" s="1"/>
  <c r="K385" i="10"/>
  <c r="AL384" i="10"/>
  <c r="AK384" i="10"/>
  <c r="AI384" i="10"/>
  <c r="AH384" i="10"/>
  <c r="AC384" i="10"/>
  <c r="AE384" i="10" s="1"/>
  <c r="Z384" i="10"/>
  <c r="AA384" i="10" s="1"/>
  <c r="AG384" i="10" s="1"/>
  <c r="W384" i="10"/>
  <c r="AD384" i="10" s="1"/>
  <c r="V384" i="10"/>
  <c r="U384" i="10"/>
  <c r="AF384" i="10" s="1"/>
  <c r="S384" i="10"/>
  <c r="R384" i="10"/>
  <c r="Q384" i="10"/>
  <c r="O384" i="10"/>
  <c r="N384" i="10"/>
  <c r="M384" i="10"/>
  <c r="L384" i="10"/>
  <c r="AJ384" i="10" s="1"/>
  <c r="K384" i="10"/>
  <c r="AL383" i="10"/>
  <c r="AK383" i="10"/>
  <c r="AI383" i="10"/>
  <c r="AH383" i="10"/>
  <c r="AE383" i="10"/>
  <c r="AC383" i="10"/>
  <c r="Z383" i="10"/>
  <c r="AA383" i="10" s="1"/>
  <c r="AG383" i="10" s="1"/>
  <c r="W383" i="10"/>
  <c r="AD383" i="10" s="1"/>
  <c r="V383" i="10"/>
  <c r="U383" i="10"/>
  <c r="AF383" i="10" s="1"/>
  <c r="S383" i="10"/>
  <c r="R383" i="10"/>
  <c r="Q383" i="10"/>
  <c r="O383" i="10"/>
  <c r="N383" i="10"/>
  <c r="M383" i="10"/>
  <c r="L383" i="10"/>
  <c r="AJ383" i="10" s="1"/>
  <c r="K383" i="10"/>
  <c r="AL382" i="10"/>
  <c r="AK382" i="10"/>
  <c r="AI382" i="10"/>
  <c r="AH382" i="10"/>
  <c r="AC382" i="10"/>
  <c r="AE382" i="10" s="1"/>
  <c r="Z382" i="10"/>
  <c r="AA382" i="10" s="1"/>
  <c r="AG382" i="10" s="1"/>
  <c r="W382" i="10"/>
  <c r="AD382" i="10" s="1"/>
  <c r="V382" i="10"/>
  <c r="U382" i="10"/>
  <c r="AF382" i="10" s="1"/>
  <c r="S382" i="10"/>
  <c r="R382" i="10"/>
  <c r="Q382" i="10"/>
  <c r="O382" i="10"/>
  <c r="N382" i="10"/>
  <c r="M382" i="10"/>
  <c r="L382" i="10"/>
  <c r="AJ382" i="10" s="1"/>
  <c r="K382" i="10"/>
  <c r="AL381" i="10"/>
  <c r="AK381" i="10"/>
  <c r="AI381" i="10"/>
  <c r="AH381" i="10"/>
  <c r="AE381" i="10"/>
  <c r="AC381" i="10"/>
  <c r="Z381" i="10"/>
  <c r="AA381" i="10" s="1"/>
  <c r="AG381" i="10" s="1"/>
  <c r="W381" i="10"/>
  <c r="AD381" i="10" s="1"/>
  <c r="V381" i="10"/>
  <c r="U381" i="10"/>
  <c r="AF381" i="10" s="1"/>
  <c r="S381" i="10"/>
  <c r="R381" i="10"/>
  <c r="Q381" i="10"/>
  <c r="O381" i="10"/>
  <c r="N381" i="10"/>
  <c r="M381" i="10"/>
  <c r="L381" i="10"/>
  <c r="AJ381" i="10" s="1"/>
  <c r="K381" i="10"/>
  <c r="AL380" i="10"/>
  <c r="AK380" i="10"/>
  <c r="AI380" i="10"/>
  <c r="AH380" i="10"/>
  <c r="AC380" i="10"/>
  <c r="AE380" i="10" s="1"/>
  <c r="Z380" i="10"/>
  <c r="AA380" i="10" s="1"/>
  <c r="AG380" i="10" s="1"/>
  <c r="W380" i="10"/>
  <c r="AD380" i="10" s="1"/>
  <c r="V380" i="10"/>
  <c r="U380" i="10"/>
  <c r="AF380" i="10" s="1"/>
  <c r="S380" i="10"/>
  <c r="R380" i="10"/>
  <c r="Q380" i="10"/>
  <c r="O380" i="10"/>
  <c r="N380" i="10"/>
  <c r="M380" i="10"/>
  <c r="L380" i="10"/>
  <c r="AJ380" i="10" s="1"/>
  <c r="K380" i="10"/>
  <c r="AL379" i="10"/>
  <c r="AK379" i="10"/>
  <c r="AI379" i="10"/>
  <c r="AH379" i="10"/>
  <c r="AE379" i="10"/>
  <c r="AC379" i="10"/>
  <c r="Z379" i="10"/>
  <c r="AA379" i="10" s="1"/>
  <c r="AG379" i="10" s="1"/>
  <c r="W379" i="10"/>
  <c r="AD379" i="10" s="1"/>
  <c r="V379" i="10"/>
  <c r="U379" i="10"/>
  <c r="AF379" i="10" s="1"/>
  <c r="S379" i="10"/>
  <c r="R379" i="10"/>
  <c r="Q379" i="10"/>
  <c r="O379" i="10"/>
  <c r="N379" i="10"/>
  <c r="M379" i="10"/>
  <c r="L379" i="10"/>
  <c r="AJ379" i="10" s="1"/>
  <c r="K379" i="10"/>
  <c r="AL378" i="10"/>
  <c r="AK378" i="10"/>
  <c r="AI378" i="10"/>
  <c r="AH378" i="10"/>
  <c r="AC378" i="10"/>
  <c r="AE378" i="10" s="1"/>
  <c r="Z378" i="10"/>
  <c r="AA378" i="10" s="1"/>
  <c r="AG378" i="10" s="1"/>
  <c r="W378" i="10"/>
  <c r="AD378" i="10" s="1"/>
  <c r="V378" i="10"/>
  <c r="U378" i="10"/>
  <c r="AF378" i="10" s="1"/>
  <c r="S378" i="10"/>
  <c r="R378" i="10"/>
  <c r="Q378" i="10"/>
  <c r="O378" i="10"/>
  <c r="N378" i="10"/>
  <c r="M378" i="10"/>
  <c r="L378" i="10"/>
  <c r="AJ378" i="10" s="1"/>
  <c r="K378" i="10"/>
  <c r="AL377" i="10"/>
  <c r="AK377" i="10"/>
  <c r="AI377" i="10"/>
  <c r="AH377" i="10"/>
  <c r="AE377" i="10"/>
  <c r="AC377" i="10"/>
  <c r="Z377" i="10"/>
  <c r="AA377" i="10" s="1"/>
  <c r="AG377" i="10" s="1"/>
  <c r="W377" i="10"/>
  <c r="AD377" i="10" s="1"/>
  <c r="V377" i="10"/>
  <c r="U377" i="10"/>
  <c r="AF377" i="10" s="1"/>
  <c r="S377" i="10"/>
  <c r="R377" i="10"/>
  <c r="Q377" i="10"/>
  <c r="O377" i="10"/>
  <c r="N377" i="10"/>
  <c r="M377" i="10"/>
  <c r="L377" i="10"/>
  <c r="AJ377" i="10" s="1"/>
  <c r="K377" i="10"/>
  <c r="AL376" i="10"/>
  <c r="AK376" i="10"/>
  <c r="AI376" i="10"/>
  <c r="AH376" i="10"/>
  <c r="AC376" i="10"/>
  <c r="AE376" i="10" s="1"/>
  <c r="Z376" i="10"/>
  <c r="AA376" i="10" s="1"/>
  <c r="AG376" i="10" s="1"/>
  <c r="W376" i="10"/>
  <c r="AD376" i="10" s="1"/>
  <c r="V376" i="10"/>
  <c r="U376" i="10"/>
  <c r="AF376" i="10" s="1"/>
  <c r="S376" i="10"/>
  <c r="R376" i="10"/>
  <c r="Q376" i="10"/>
  <c r="O376" i="10"/>
  <c r="N376" i="10"/>
  <c r="M376" i="10"/>
  <c r="L376" i="10"/>
  <c r="AJ376" i="10" s="1"/>
  <c r="K376" i="10"/>
  <c r="AL375" i="10"/>
  <c r="AK375" i="10"/>
  <c r="AI375" i="10"/>
  <c r="AH375" i="10"/>
  <c r="AE375" i="10"/>
  <c r="AC375" i="10"/>
  <c r="Z375" i="10"/>
  <c r="AA375" i="10" s="1"/>
  <c r="AG375" i="10" s="1"/>
  <c r="W375" i="10"/>
  <c r="AD375" i="10" s="1"/>
  <c r="V375" i="10"/>
  <c r="U375" i="10"/>
  <c r="AF375" i="10" s="1"/>
  <c r="S375" i="10"/>
  <c r="R375" i="10"/>
  <c r="Q375" i="10"/>
  <c r="O375" i="10"/>
  <c r="N375" i="10"/>
  <c r="M375" i="10"/>
  <c r="L375" i="10"/>
  <c r="AJ375" i="10" s="1"/>
  <c r="K375" i="10"/>
  <c r="AL374" i="10"/>
  <c r="AK374" i="10"/>
  <c r="AI374" i="10"/>
  <c r="AH374" i="10"/>
  <c r="AC374" i="10"/>
  <c r="AE374" i="10" s="1"/>
  <c r="Z374" i="10"/>
  <c r="AA374" i="10" s="1"/>
  <c r="AG374" i="10" s="1"/>
  <c r="W374" i="10"/>
  <c r="AD374" i="10" s="1"/>
  <c r="V374" i="10"/>
  <c r="U374" i="10"/>
  <c r="AF374" i="10" s="1"/>
  <c r="S374" i="10"/>
  <c r="R374" i="10"/>
  <c r="Q374" i="10"/>
  <c r="O374" i="10"/>
  <c r="N374" i="10"/>
  <c r="M374" i="10"/>
  <c r="L374" i="10"/>
  <c r="AJ374" i="10" s="1"/>
  <c r="K374" i="10"/>
  <c r="AL373" i="10"/>
  <c r="AK373" i="10"/>
  <c r="AI373" i="10"/>
  <c r="AH373" i="10"/>
  <c r="AE373" i="10"/>
  <c r="AC373" i="10"/>
  <c r="Z373" i="10"/>
  <c r="AA373" i="10" s="1"/>
  <c r="AG373" i="10" s="1"/>
  <c r="W373" i="10"/>
  <c r="AD373" i="10" s="1"/>
  <c r="V373" i="10"/>
  <c r="U373" i="10"/>
  <c r="AF373" i="10" s="1"/>
  <c r="S373" i="10"/>
  <c r="R373" i="10"/>
  <c r="Q373" i="10"/>
  <c r="O373" i="10"/>
  <c r="N373" i="10"/>
  <c r="M373" i="10"/>
  <c r="L373" i="10"/>
  <c r="AJ373" i="10" s="1"/>
  <c r="K373" i="10"/>
  <c r="AL372" i="10"/>
  <c r="AK372" i="10"/>
  <c r="AI372" i="10"/>
  <c r="AH372" i="10"/>
  <c r="AC372" i="10"/>
  <c r="AE372" i="10" s="1"/>
  <c r="Z372" i="10"/>
  <c r="AA372" i="10" s="1"/>
  <c r="AG372" i="10" s="1"/>
  <c r="W372" i="10"/>
  <c r="AD372" i="10" s="1"/>
  <c r="V372" i="10"/>
  <c r="U372" i="10"/>
  <c r="AF372" i="10" s="1"/>
  <c r="S372" i="10"/>
  <c r="R372" i="10"/>
  <c r="Q372" i="10"/>
  <c r="O372" i="10"/>
  <c r="N372" i="10"/>
  <c r="M372" i="10"/>
  <c r="L372" i="10"/>
  <c r="AJ372" i="10" s="1"/>
  <c r="K372" i="10"/>
  <c r="AL371" i="10"/>
  <c r="AK371" i="10"/>
  <c r="AI371" i="10"/>
  <c r="AH371" i="10"/>
  <c r="AE371" i="10"/>
  <c r="AC371" i="10"/>
  <c r="Z371" i="10"/>
  <c r="AA371" i="10" s="1"/>
  <c r="AG371" i="10" s="1"/>
  <c r="W371" i="10"/>
  <c r="AD371" i="10" s="1"/>
  <c r="V371" i="10"/>
  <c r="U371" i="10"/>
  <c r="AF371" i="10" s="1"/>
  <c r="S371" i="10"/>
  <c r="R371" i="10"/>
  <c r="Q371" i="10"/>
  <c r="O371" i="10"/>
  <c r="N371" i="10"/>
  <c r="M371" i="10"/>
  <c r="L371" i="10"/>
  <c r="AJ371" i="10" s="1"/>
  <c r="K371" i="10"/>
  <c r="AL370" i="10"/>
  <c r="AK370" i="10"/>
  <c r="AI370" i="10"/>
  <c r="AH370" i="10"/>
  <c r="AC370" i="10"/>
  <c r="AE370" i="10" s="1"/>
  <c r="Z370" i="10"/>
  <c r="AA370" i="10" s="1"/>
  <c r="AG370" i="10" s="1"/>
  <c r="W370" i="10"/>
  <c r="AD370" i="10" s="1"/>
  <c r="V370" i="10"/>
  <c r="U370" i="10"/>
  <c r="AF370" i="10" s="1"/>
  <c r="S370" i="10"/>
  <c r="R370" i="10"/>
  <c r="Q370" i="10"/>
  <c r="O370" i="10"/>
  <c r="N370" i="10"/>
  <c r="M370" i="10"/>
  <c r="L370" i="10"/>
  <c r="AJ370" i="10" s="1"/>
  <c r="K370" i="10"/>
  <c r="AL369" i="10"/>
  <c r="AK369" i="10"/>
  <c r="AI369" i="10"/>
  <c r="AH369" i="10"/>
  <c r="AE369" i="10"/>
  <c r="AC369" i="10"/>
  <c r="Z369" i="10"/>
  <c r="AA369" i="10" s="1"/>
  <c r="AG369" i="10" s="1"/>
  <c r="W369" i="10"/>
  <c r="AD369" i="10" s="1"/>
  <c r="V369" i="10"/>
  <c r="U369" i="10"/>
  <c r="AF369" i="10" s="1"/>
  <c r="S369" i="10"/>
  <c r="R369" i="10"/>
  <c r="Q369" i="10"/>
  <c r="O369" i="10"/>
  <c r="N369" i="10"/>
  <c r="M369" i="10"/>
  <c r="L369" i="10"/>
  <c r="AJ369" i="10" s="1"/>
  <c r="K369" i="10"/>
  <c r="AL368" i="10"/>
  <c r="AK368" i="10"/>
  <c r="AI368" i="10"/>
  <c r="AH368" i="10"/>
  <c r="AC368" i="10"/>
  <c r="AE368" i="10" s="1"/>
  <c r="Z368" i="10"/>
  <c r="AA368" i="10" s="1"/>
  <c r="AG368" i="10" s="1"/>
  <c r="W368" i="10"/>
  <c r="AD368" i="10" s="1"/>
  <c r="V368" i="10"/>
  <c r="U368" i="10"/>
  <c r="AF368" i="10" s="1"/>
  <c r="S368" i="10"/>
  <c r="R368" i="10"/>
  <c r="Q368" i="10"/>
  <c r="O368" i="10"/>
  <c r="N368" i="10"/>
  <c r="M368" i="10"/>
  <c r="L368" i="10"/>
  <c r="AJ368" i="10" s="1"/>
  <c r="K368" i="10"/>
  <c r="AL367" i="10"/>
  <c r="AK367" i="10"/>
  <c r="AI367" i="10"/>
  <c r="AH367" i="10"/>
  <c r="AE367" i="10"/>
  <c r="AC367" i="10"/>
  <c r="Z367" i="10"/>
  <c r="AA367" i="10" s="1"/>
  <c r="AG367" i="10" s="1"/>
  <c r="W367" i="10"/>
  <c r="AD367" i="10" s="1"/>
  <c r="V367" i="10"/>
  <c r="U367" i="10"/>
  <c r="AF367" i="10" s="1"/>
  <c r="S367" i="10"/>
  <c r="R367" i="10"/>
  <c r="Q367" i="10"/>
  <c r="O367" i="10"/>
  <c r="N367" i="10"/>
  <c r="M367" i="10"/>
  <c r="L367" i="10"/>
  <c r="AJ367" i="10" s="1"/>
  <c r="K367" i="10"/>
  <c r="AL366" i="10"/>
  <c r="AK366" i="10"/>
  <c r="AI366" i="10"/>
  <c r="AH366" i="10"/>
  <c r="AC366" i="10"/>
  <c r="AE366" i="10" s="1"/>
  <c r="Z366" i="10"/>
  <c r="AA366" i="10" s="1"/>
  <c r="AG366" i="10" s="1"/>
  <c r="W366" i="10"/>
  <c r="AD366" i="10" s="1"/>
  <c r="V366" i="10"/>
  <c r="U366" i="10"/>
  <c r="AF366" i="10" s="1"/>
  <c r="S366" i="10"/>
  <c r="R366" i="10"/>
  <c r="Q366" i="10"/>
  <c r="O366" i="10"/>
  <c r="N366" i="10"/>
  <c r="M366" i="10"/>
  <c r="L366" i="10"/>
  <c r="AJ366" i="10" s="1"/>
  <c r="K366" i="10"/>
  <c r="AL365" i="10"/>
  <c r="AK365" i="10"/>
  <c r="AI365" i="10"/>
  <c r="AH365" i="10"/>
  <c r="AE365" i="10"/>
  <c r="AC365" i="10"/>
  <c r="Z365" i="10"/>
  <c r="AA365" i="10" s="1"/>
  <c r="AG365" i="10" s="1"/>
  <c r="W365" i="10"/>
  <c r="AD365" i="10" s="1"/>
  <c r="V365" i="10"/>
  <c r="U365" i="10"/>
  <c r="AF365" i="10" s="1"/>
  <c r="S365" i="10"/>
  <c r="R365" i="10"/>
  <c r="Q365" i="10"/>
  <c r="O365" i="10"/>
  <c r="N365" i="10"/>
  <c r="M365" i="10"/>
  <c r="L365" i="10"/>
  <c r="AJ365" i="10" s="1"/>
  <c r="K365" i="10"/>
  <c r="AL364" i="10"/>
  <c r="AK364" i="10"/>
  <c r="AI364" i="10"/>
  <c r="AH364" i="10"/>
  <c r="AC364" i="10"/>
  <c r="AE364" i="10" s="1"/>
  <c r="Z364" i="10"/>
  <c r="AA364" i="10" s="1"/>
  <c r="AG364" i="10" s="1"/>
  <c r="W364" i="10"/>
  <c r="AD364" i="10" s="1"/>
  <c r="V364" i="10"/>
  <c r="U364" i="10"/>
  <c r="AF364" i="10" s="1"/>
  <c r="S364" i="10"/>
  <c r="R364" i="10"/>
  <c r="Q364" i="10"/>
  <c r="O364" i="10"/>
  <c r="N364" i="10"/>
  <c r="M364" i="10"/>
  <c r="L364" i="10"/>
  <c r="AJ364" i="10" s="1"/>
  <c r="K364" i="10"/>
  <c r="AL363" i="10"/>
  <c r="AK363" i="10"/>
  <c r="AI363" i="10"/>
  <c r="AH363" i="10"/>
  <c r="AE363" i="10"/>
  <c r="AC363" i="10"/>
  <c r="Z363" i="10"/>
  <c r="AA363" i="10" s="1"/>
  <c r="AG363" i="10" s="1"/>
  <c r="W363" i="10"/>
  <c r="AD363" i="10" s="1"/>
  <c r="V363" i="10"/>
  <c r="U363" i="10"/>
  <c r="AF363" i="10" s="1"/>
  <c r="S363" i="10"/>
  <c r="R363" i="10"/>
  <c r="Q363" i="10"/>
  <c r="O363" i="10"/>
  <c r="N363" i="10"/>
  <c r="M363" i="10"/>
  <c r="L363" i="10"/>
  <c r="AJ363" i="10" s="1"/>
  <c r="K363" i="10"/>
  <c r="AL362" i="10"/>
  <c r="AK362" i="10"/>
  <c r="AI362" i="10"/>
  <c r="AH362" i="10"/>
  <c r="AC362" i="10"/>
  <c r="AE362" i="10" s="1"/>
  <c r="Z362" i="10"/>
  <c r="AA362" i="10" s="1"/>
  <c r="AG362" i="10" s="1"/>
  <c r="W362" i="10"/>
  <c r="AD362" i="10" s="1"/>
  <c r="V362" i="10"/>
  <c r="U362" i="10"/>
  <c r="AF362" i="10" s="1"/>
  <c r="S362" i="10"/>
  <c r="R362" i="10"/>
  <c r="Q362" i="10"/>
  <c r="O362" i="10"/>
  <c r="N362" i="10"/>
  <c r="M362" i="10"/>
  <c r="L362" i="10"/>
  <c r="AJ362" i="10" s="1"/>
  <c r="K362" i="10"/>
  <c r="AL361" i="10"/>
  <c r="AK361" i="10"/>
  <c r="AI361" i="10"/>
  <c r="AH361" i="10"/>
  <c r="AE361" i="10"/>
  <c r="AC361" i="10"/>
  <c r="Z361" i="10"/>
  <c r="AA361" i="10" s="1"/>
  <c r="AG361" i="10" s="1"/>
  <c r="W361" i="10"/>
  <c r="AD361" i="10" s="1"/>
  <c r="V361" i="10"/>
  <c r="U361" i="10"/>
  <c r="AF361" i="10" s="1"/>
  <c r="S361" i="10"/>
  <c r="R361" i="10"/>
  <c r="Q361" i="10"/>
  <c r="O361" i="10"/>
  <c r="N361" i="10"/>
  <c r="M361" i="10"/>
  <c r="L361" i="10"/>
  <c r="AJ361" i="10" s="1"/>
  <c r="K361" i="10"/>
  <c r="AL360" i="10"/>
  <c r="AK360" i="10"/>
  <c r="AI360" i="10"/>
  <c r="AH360" i="10"/>
  <c r="AC360" i="10"/>
  <c r="AE360" i="10" s="1"/>
  <c r="Z360" i="10"/>
  <c r="AA360" i="10" s="1"/>
  <c r="AG360" i="10" s="1"/>
  <c r="W360" i="10"/>
  <c r="AD360" i="10" s="1"/>
  <c r="V360" i="10"/>
  <c r="U360" i="10"/>
  <c r="AF360" i="10" s="1"/>
  <c r="S360" i="10"/>
  <c r="R360" i="10"/>
  <c r="Q360" i="10"/>
  <c r="O360" i="10"/>
  <c r="N360" i="10"/>
  <c r="M360" i="10"/>
  <c r="L360" i="10"/>
  <c r="AJ360" i="10" s="1"/>
  <c r="K360" i="10"/>
  <c r="AL359" i="10"/>
  <c r="AK359" i="10"/>
  <c r="AI359" i="10"/>
  <c r="AH359" i="10"/>
  <c r="AE359" i="10"/>
  <c r="AC359" i="10"/>
  <c r="Z359" i="10"/>
  <c r="AA359" i="10" s="1"/>
  <c r="AG359" i="10" s="1"/>
  <c r="W359" i="10"/>
  <c r="AD359" i="10" s="1"/>
  <c r="V359" i="10"/>
  <c r="U359" i="10"/>
  <c r="AF359" i="10" s="1"/>
  <c r="S359" i="10"/>
  <c r="R359" i="10"/>
  <c r="Q359" i="10"/>
  <c r="O359" i="10"/>
  <c r="N359" i="10"/>
  <c r="M359" i="10"/>
  <c r="L359" i="10"/>
  <c r="AJ359" i="10" s="1"/>
  <c r="K359" i="10"/>
  <c r="AL358" i="10"/>
  <c r="AK358" i="10"/>
  <c r="AI358" i="10"/>
  <c r="AH358" i="10"/>
  <c r="AC358" i="10"/>
  <c r="AE358" i="10" s="1"/>
  <c r="Z358" i="10"/>
  <c r="AA358" i="10" s="1"/>
  <c r="AG358" i="10" s="1"/>
  <c r="W358" i="10"/>
  <c r="AD358" i="10" s="1"/>
  <c r="V358" i="10"/>
  <c r="U358" i="10"/>
  <c r="AF358" i="10" s="1"/>
  <c r="S358" i="10"/>
  <c r="R358" i="10"/>
  <c r="Q358" i="10"/>
  <c r="O358" i="10"/>
  <c r="N358" i="10"/>
  <c r="M358" i="10"/>
  <c r="L358" i="10"/>
  <c r="AJ358" i="10" s="1"/>
  <c r="K358" i="10"/>
  <c r="AL357" i="10"/>
  <c r="AK357" i="10"/>
  <c r="AI357" i="10"/>
  <c r="AH357" i="10"/>
  <c r="AE357" i="10"/>
  <c r="AC357" i="10"/>
  <c r="Z357" i="10"/>
  <c r="AA357" i="10" s="1"/>
  <c r="AG357" i="10" s="1"/>
  <c r="W357" i="10"/>
  <c r="AD357" i="10" s="1"/>
  <c r="V357" i="10"/>
  <c r="U357" i="10"/>
  <c r="AF357" i="10" s="1"/>
  <c r="S357" i="10"/>
  <c r="R357" i="10"/>
  <c r="Q357" i="10"/>
  <c r="O357" i="10"/>
  <c r="N357" i="10"/>
  <c r="M357" i="10"/>
  <c r="L357" i="10"/>
  <c r="AJ357" i="10" s="1"/>
  <c r="K357" i="10"/>
  <c r="AL356" i="10"/>
  <c r="AK356" i="10"/>
  <c r="AI356" i="10"/>
  <c r="AH356" i="10"/>
  <c r="AC356" i="10"/>
  <c r="AE356" i="10" s="1"/>
  <c r="Z356" i="10"/>
  <c r="AA356" i="10" s="1"/>
  <c r="AG356" i="10" s="1"/>
  <c r="W356" i="10"/>
  <c r="AD356" i="10" s="1"/>
  <c r="V356" i="10"/>
  <c r="U356" i="10"/>
  <c r="AF356" i="10" s="1"/>
  <c r="S356" i="10"/>
  <c r="R356" i="10"/>
  <c r="Q356" i="10"/>
  <c r="O356" i="10"/>
  <c r="N356" i="10"/>
  <c r="M356" i="10"/>
  <c r="L356" i="10"/>
  <c r="AJ356" i="10" s="1"/>
  <c r="K356" i="10"/>
  <c r="AL355" i="10"/>
  <c r="AK355" i="10"/>
  <c r="AI355" i="10"/>
  <c r="AH355" i="10"/>
  <c r="AE355" i="10"/>
  <c r="AC355" i="10"/>
  <c r="Z355" i="10"/>
  <c r="AA355" i="10" s="1"/>
  <c r="AG355" i="10" s="1"/>
  <c r="W355" i="10"/>
  <c r="AD355" i="10" s="1"/>
  <c r="V355" i="10"/>
  <c r="U355" i="10"/>
  <c r="AF355" i="10" s="1"/>
  <c r="S355" i="10"/>
  <c r="R355" i="10"/>
  <c r="Q355" i="10"/>
  <c r="O355" i="10"/>
  <c r="N355" i="10"/>
  <c r="M355" i="10"/>
  <c r="L355" i="10"/>
  <c r="AJ355" i="10" s="1"/>
  <c r="K355" i="10"/>
  <c r="AL354" i="10"/>
  <c r="AK354" i="10"/>
  <c r="AI354" i="10"/>
  <c r="AH354" i="10"/>
  <c r="AC354" i="10"/>
  <c r="AE354" i="10" s="1"/>
  <c r="Z354" i="10"/>
  <c r="AA354" i="10" s="1"/>
  <c r="AG354" i="10" s="1"/>
  <c r="W354" i="10"/>
  <c r="AD354" i="10" s="1"/>
  <c r="V354" i="10"/>
  <c r="U354" i="10"/>
  <c r="AF354" i="10" s="1"/>
  <c r="S354" i="10"/>
  <c r="R354" i="10"/>
  <c r="Q354" i="10"/>
  <c r="O354" i="10"/>
  <c r="N354" i="10"/>
  <c r="M354" i="10"/>
  <c r="L354" i="10"/>
  <c r="AJ354" i="10" s="1"/>
  <c r="K354" i="10"/>
  <c r="AL353" i="10"/>
  <c r="AK353" i="10"/>
  <c r="AI353" i="10"/>
  <c r="AH353" i="10"/>
  <c r="AE353" i="10"/>
  <c r="AC353" i="10"/>
  <c r="Z353" i="10"/>
  <c r="AA353" i="10" s="1"/>
  <c r="AG353" i="10" s="1"/>
  <c r="W353" i="10"/>
  <c r="AD353" i="10" s="1"/>
  <c r="V353" i="10"/>
  <c r="U353" i="10"/>
  <c r="AF353" i="10" s="1"/>
  <c r="S353" i="10"/>
  <c r="R353" i="10"/>
  <c r="Q353" i="10"/>
  <c r="O353" i="10"/>
  <c r="N353" i="10"/>
  <c r="M353" i="10"/>
  <c r="L353" i="10"/>
  <c r="AJ353" i="10" s="1"/>
  <c r="K353" i="10"/>
  <c r="AL352" i="10"/>
  <c r="AK352" i="10"/>
  <c r="AI352" i="10"/>
  <c r="AH352" i="10"/>
  <c r="AC352" i="10"/>
  <c r="AE352" i="10" s="1"/>
  <c r="Z352" i="10"/>
  <c r="AA352" i="10" s="1"/>
  <c r="AG352" i="10" s="1"/>
  <c r="W352" i="10"/>
  <c r="AD352" i="10" s="1"/>
  <c r="V352" i="10"/>
  <c r="U352" i="10"/>
  <c r="AF352" i="10" s="1"/>
  <c r="S352" i="10"/>
  <c r="R352" i="10"/>
  <c r="Q352" i="10"/>
  <c r="O352" i="10"/>
  <c r="N352" i="10"/>
  <c r="M352" i="10"/>
  <c r="L352" i="10"/>
  <c r="AJ352" i="10" s="1"/>
  <c r="K352" i="10"/>
  <c r="AL351" i="10"/>
  <c r="AK351" i="10"/>
  <c r="AI351" i="10"/>
  <c r="AH351" i="10"/>
  <c r="AE351" i="10"/>
  <c r="AC351" i="10"/>
  <c r="Z351" i="10"/>
  <c r="AA351" i="10" s="1"/>
  <c r="AG351" i="10" s="1"/>
  <c r="W351" i="10"/>
  <c r="AD351" i="10" s="1"/>
  <c r="V351" i="10"/>
  <c r="U351" i="10"/>
  <c r="AF351" i="10" s="1"/>
  <c r="S351" i="10"/>
  <c r="R351" i="10"/>
  <c r="Q351" i="10"/>
  <c r="O351" i="10"/>
  <c r="N351" i="10"/>
  <c r="M351" i="10"/>
  <c r="L351" i="10"/>
  <c r="AJ351" i="10" s="1"/>
  <c r="K351" i="10"/>
  <c r="AL350" i="10"/>
  <c r="AK350" i="10"/>
  <c r="AI350" i="10"/>
  <c r="AH350" i="10"/>
  <c r="AC350" i="10"/>
  <c r="AE350" i="10" s="1"/>
  <c r="Z350" i="10"/>
  <c r="AA350" i="10" s="1"/>
  <c r="AG350" i="10" s="1"/>
  <c r="W350" i="10"/>
  <c r="AD350" i="10" s="1"/>
  <c r="V350" i="10"/>
  <c r="U350" i="10"/>
  <c r="AF350" i="10" s="1"/>
  <c r="S350" i="10"/>
  <c r="R350" i="10"/>
  <c r="Q350" i="10"/>
  <c r="O350" i="10"/>
  <c r="N350" i="10"/>
  <c r="M350" i="10"/>
  <c r="L350" i="10"/>
  <c r="AJ350" i="10" s="1"/>
  <c r="K350" i="10"/>
  <c r="AL349" i="10"/>
  <c r="AK349" i="10"/>
  <c r="AI349" i="10"/>
  <c r="AH349" i="10"/>
  <c r="AE349" i="10"/>
  <c r="AC349" i="10"/>
  <c r="Z349" i="10"/>
  <c r="AA349" i="10" s="1"/>
  <c r="AG349" i="10" s="1"/>
  <c r="W349" i="10"/>
  <c r="AD349" i="10" s="1"/>
  <c r="V349" i="10"/>
  <c r="U349" i="10"/>
  <c r="AF349" i="10" s="1"/>
  <c r="S349" i="10"/>
  <c r="R349" i="10"/>
  <c r="Q349" i="10"/>
  <c r="O349" i="10"/>
  <c r="N349" i="10"/>
  <c r="M349" i="10"/>
  <c r="L349" i="10"/>
  <c r="AJ349" i="10" s="1"/>
  <c r="K349" i="10"/>
  <c r="AL348" i="10"/>
  <c r="AK348" i="10"/>
  <c r="AI348" i="10"/>
  <c r="AH348" i="10"/>
  <c r="AC348" i="10"/>
  <c r="AE348" i="10" s="1"/>
  <c r="Z348" i="10"/>
  <c r="AA348" i="10" s="1"/>
  <c r="AG348" i="10" s="1"/>
  <c r="W348" i="10"/>
  <c r="AD348" i="10" s="1"/>
  <c r="V348" i="10"/>
  <c r="U348" i="10"/>
  <c r="AF348" i="10" s="1"/>
  <c r="S348" i="10"/>
  <c r="R348" i="10"/>
  <c r="Q348" i="10"/>
  <c r="O348" i="10"/>
  <c r="N348" i="10"/>
  <c r="M348" i="10"/>
  <c r="L348" i="10"/>
  <c r="AJ348" i="10" s="1"/>
  <c r="K348" i="10"/>
  <c r="AL347" i="10"/>
  <c r="AK347" i="10"/>
  <c r="AI347" i="10"/>
  <c r="AH347" i="10"/>
  <c r="AE347" i="10"/>
  <c r="AC347" i="10"/>
  <c r="Z347" i="10"/>
  <c r="AA347" i="10" s="1"/>
  <c r="AG347" i="10" s="1"/>
  <c r="W347" i="10"/>
  <c r="AD347" i="10" s="1"/>
  <c r="V347" i="10"/>
  <c r="U347" i="10"/>
  <c r="AF347" i="10" s="1"/>
  <c r="S347" i="10"/>
  <c r="R347" i="10"/>
  <c r="Q347" i="10"/>
  <c r="O347" i="10"/>
  <c r="N347" i="10"/>
  <c r="M347" i="10"/>
  <c r="L347" i="10"/>
  <c r="AJ347" i="10" s="1"/>
  <c r="K347" i="10"/>
  <c r="AL346" i="10"/>
  <c r="AK346" i="10"/>
  <c r="AI346" i="10"/>
  <c r="AH346" i="10"/>
  <c r="AC346" i="10"/>
  <c r="AE346" i="10" s="1"/>
  <c r="Z346" i="10"/>
  <c r="AA346" i="10" s="1"/>
  <c r="AG346" i="10" s="1"/>
  <c r="W346" i="10"/>
  <c r="AD346" i="10" s="1"/>
  <c r="V346" i="10"/>
  <c r="U346" i="10"/>
  <c r="AF346" i="10" s="1"/>
  <c r="S346" i="10"/>
  <c r="R346" i="10"/>
  <c r="Q346" i="10"/>
  <c r="O346" i="10"/>
  <c r="N346" i="10"/>
  <c r="M346" i="10"/>
  <c r="L346" i="10"/>
  <c r="AJ346" i="10" s="1"/>
  <c r="K346" i="10"/>
  <c r="AL345" i="10"/>
  <c r="AK345" i="10"/>
  <c r="AI345" i="10"/>
  <c r="AH345" i="10"/>
  <c r="AE345" i="10"/>
  <c r="AC345" i="10"/>
  <c r="Z345" i="10"/>
  <c r="AA345" i="10" s="1"/>
  <c r="AG345" i="10" s="1"/>
  <c r="W345" i="10"/>
  <c r="AD345" i="10" s="1"/>
  <c r="V345" i="10"/>
  <c r="U345" i="10"/>
  <c r="AF345" i="10" s="1"/>
  <c r="S345" i="10"/>
  <c r="R345" i="10"/>
  <c r="Q345" i="10"/>
  <c r="O345" i="10"/>
  <c r="N345" i="10"/>
  <c r="M345" i="10"/>
  <c r="L345" i="10"/>
  <c r="AJ345" i="10" s="1"/>
  <c r="K345" i="10"/>
  <c r="AL344" i="10"/>
  <c r="AK344" i="10"/>
  <c r="AI344" i="10"/>
  <c r="AH344" i="10"/>
  <c r="AC344" i="10"/>
  <c r="AE344" i="10" s="1"/>
  <c r="Z344" i="10"/>
  <c r="AA344" i="10" s="1"/>
  <c r="AG344" i="10" s="1"/>
  <c r="W344" i="10"/>
  <c r="AD344" i="10" s="1"/>
  <c r="V344" i="10"/>
  <c r="U344" i="10"/>
  <c r="AF344" i="10" s="1"/>
  <c r="S344" i="10"/>
  <c r="R344" i="10"/>
  <c r="Q344" i="10"/>
  <c r="O344" i="10"/>
  <c r="N344" i="10"/>
  <c r="M344" i="10"/>
  <c r="L344" i="10"/>
  <c r="AJ344" i="10" s="1"/>
  <c r="K344" i="10"/>
  <c r="AL343" i="10"/>
  <c r="AK343" i="10"/>
  <c r="AI343" i="10"/>
  <c r="AH343" i="10"/>
  <c r="AE343" i="10"/>
  <c r="AC343" i="10"/>
  <c r="Z343" i="10"/>
  <c r="AA343" i="10" s="1"/>
  <c r="AG343" i="10" s="1"/>
  <c r="W343" i="10"/>
  <c r="AD343" i="10" s="1"/>
  <c r="V343" i="10"/>
  <c r="U343" i="10"/>
  <c r="AF343" i="10" s="1"/>
  <c r="S343" i="10"/>
  <c r="R343" i="10"/>
  <c r="Q343" i="10"/>
  <c r="O343" i="10"/>
  <c r="N343" i="10"/>
  <c r="M343" i="10"/>
  <c r="L343" i="10"/>
  <c r="AJ343" i="10" s="1"/>
  <c r="K343" i="10"/>
  <c r="AL342" i="10"/>
  <c r="AK342" i="10"/>
  <c r="AI342" i="10"/>
  <c r="AH342" i="10"/>
  <c r="AC342" i="10"/>
  <c r="AE342" i="10" s="1"/>
  <c r="Z342" i="10"/>
  <c r="AA342" i="10" s="1"/>
  <c r="AG342" i="10" s="1"/>
  <c r="W342" i="10"/>
  <c r="AD342" i="10" s="1"/>
  <c r="V342" i="10"/>
  <c r="U342" i="10"/>
  <c r="AF342" i="10" s="1"/>
  <c r="S342" i="10"/>
  <c r="R342" i="10"/>
  <c r="Q342" i="10"/>
  <c r="O342" i="10"/>
  <c r="N342" i="10"/>
  <c r="M342" i="10"/>
  <c r="L342" i="10"/>
  <c r="AJ342" i="10" s="1"/>
  <c r="K342" i="10"/>
  <c r="AL341" i="10"/>
  <c r="AK341" i="10"/>
  <c r="AI341" i="10"/>
  <c r="AH341" i="10"/>
  <c r="AE341" i="10"/>
  <c r="AC341" i="10"/>
  <c r="Z341" i="10"/>
  <c r="AA341" i="10" s="1"/>
  <c r="AG341" i="10" s="1"/>
  <c r="W341" i="10"/>
  <c r="AD341" i="10" s="1"/>
  <c r="V341" i="10"/>
  <c r="U341" i="10"/>
  <c r="AF341" i="10" s="1"/>
  <c r="S341" i="10"/>
  <c r="R341" i="10"/>
  <c r="Q341" i="10"/>
  <c r="O341" i="10"/>
  <c r="N341" i="10"/>
  <c r="M341" i="10"/>
  <c r="L341" i="10"/>
  <c r="AJ341" i="10" s="1"/>
  <c r="K341" i="10"/>
  <c r="AL340" i="10"/>
  <c r="AK340" i="10"/>
  <c r="AI340" i="10"/>
  <c r="AH340" i="10"/>
  <c r="AC340" i="10"/>
  <c r="AE340" i="10" s="1"/>
  <c r="Z340" i="10"/>
  <c r="AA340" i="10" s="1"/>
  <c r="AG340" i="10" s="1"/>
  <c r="W340" i="10"/>
  <c r="AD340" i="10" s="1"/>
  <c r="V340" i="10"/>
  <c r="U340" i="10"/>
  <c r="AF340" i="10" s="1"/>
  <c r="S340" i="10"/>
  <c r="R340" i="10"/>
  <c r="Q340" i="10"/>
  <c r="O340" i="10"/>
  <c r="N340" i="10"/>
  <c r="M340" i="10"/>
  <c r="L340" i="10"/>
  <c r="AJ340" i="10" s="1"/>
  <c r="K340" i="10"/>
  <c r="AL339" i="10"/>
  <c r="AK339" i="10"/>
  <c r="AI339" i="10"/>
  <c r="AH339" i="10"/>
  <c r="AE339" i="10"/>
  <c r="AC339" i="10"/>
  <c r="Z339" i="10"/>
  <c r="AA339" i="10" s="1"/>
  <c r="AG339" i="10" s="1"/>
  <c r="W339" i="10"/>
  <c r="AD339" i="10" s="1"/>
  <c r="V339" i="10"/>
  <c r="U339" i="10"/>
  <c r="AF339" i="10" s="1"/>
  <c r="S339" i="10"/>
  <c r="R339" i="10"/>
  <c r="Q339" i="10"/>
  <c r="O339" i="10"/>
  <c r="N339" i="10"/>
  <c r="M339" i="10"/>
  <c r="L339" i="10"/>
  <c r="AJ339" i="10" s="1"/>
  <c r="K339" i="10"/>
  <c r="AL338" i="10"/>
  <c r="AK338" i="10"/>
  <c r="AI338" i="10"/>
  <c r="AH338" i="10"/>
  <c r="AC338" i="10"/>
  <c r="AE338" i="10" s="1"/>
  <c r="Z338" i="10"/>
  <c r="AA338" i="10" s="1"/>
  <c r="AG338" i="10" s="1"/>
  <c r="W338" i="10"/>
  <c r="AD338" i="10" s="1"/>
  <c r="V338" i="10"/>
  <c r="U338" i="10"/>
  <c r="AF338" i="10" s="1"/>
  <c r="S338" i="10"/>
  <c r="R338" i="10"/>
  <c r="Q338" i="10"/>
  <c r="O338" i="10"/>
  <c r="N338" i="10"/>
  <c r="M338" i="10"/>
  <c r="L338" i="10"/>
  <c r="AJ338" i="10" s="1"/>
  <c r="K338" i="10"/>
  <c r="AL337" i="10"/>
  <c r="AK337" i="10"/>
  <c r="AI337" i="10"/>
  <c r="AH337" i="10"/>
  <c r="AE337" i="10"/>
  <c r="AC337" i="10"/>
  <c r="Z337" i="10"/>
  <c r="AA337" i="10" s="1"/>
  <c r="AG337" i="10" s="1"/>
  <c r="W337" i="10"/>
  <c r="AD337" i="10" s="1"/>
  <c r="V337" i="10"/>
  <c r="U337" i="10"/>
  <c r="AF337" i="10" s="1"/>
  <c r="S337" i="10"/>
  <c r="R337" i="10"/>
  <c r="Q337" i="10"/>
  <c r="O337" i="10"/>
  <c r="N337" i="10"/>
  <c r="M337" i="10"/>
  <c r="L337" i="10"/>
  <c r="AJ337" i="10" s="1"/>
  <c r="K337" i="10"/>
  <c r="AL336" i="10"/>
  <c r="AK336" i="10"/>
  <c r="AI336" i="10"/>
  <c r="AH336" i="10"/>
  <c r="AC336" i="10"/>
  <c r="AE336" i="10" s="1"/>
  <c r="Z336" i="10"/>
  <c r="AA336" i="10" s="1"/>
  <c r="AG336" i="10" s="1"/>
  <c r="W336" i="10"/>
  <c r="AD336" i="10" s="1"/>
  <c r="V336" i="10"/>
  <c r="U336" i="10"/>
  <c r="AF336" i="10" s="1"/>
  <c r="S336" i="10"/>
  <c r="R336" i="10"/>
  <c r="Q336" i="10"/>
  <c r="O336" i="10"/>
  <c r="N336" i="10"/>
  <c r="M336" i="10"/>
  <c r="L336" i="10"/>
  <c r="AJ336" i="10" s="1"/>
  <c r="K336" i="10"/>
  <c r="AL335" i="10"/>
  <c r="AK335" i="10"/>
  <c r="AI335" i="10"/>
  <c r="AH335" i="10"/>
  <c r="AE335" i="10"/>
  <c r="AC335" i="10"/>
  <c r="Z335" i="10"/>
  <c r="AA335" i="10" s="1"/>
  <c r="AG335" i="10" s="1"/>
  <c r="W335" i="10"/>
  <c r="AD335" i="10" s="1"/>
  <c r="V335" i="10"/>
  <c r="U335" i="10"/>
  <c r="AF335" i="10" s="1"/>
  <c r="S335" i="10"/>
  <c r="R335" i="10"/>
  <c r="Q335" i="10"/>
  <c r="O335" i="10"/>
  <c r="N335" i="10"/>
  <c r="M335" i="10"/>
  <c r="L335" i="10"/>
  <c r="AJ335" i="10" s="1"/>
  <c r="K335" i="10"/>
  <c r="AL334" i="10"/>
  <c r="AK334" i="10"/>
  <c r="AI334" i="10"/>
  <c r="AH334" i="10"/>
  <c r="AC334" i="10"/>
  <c r="AE334" i="10" s="1"/>
  <c r="Z334" i="10"/>
  <c r="AA334" i="10" s="1"/>
  <c r="AG334" i="10" s="1"/>
  <c r="W334" i="10"/>
  <c r="AD334" i="10" s="1"/>
  <c r="V334" i="10"/>
  <c r="U334" i="10"/>
  <c r="AF334" i="10" s="1"/>
  <c r="S334" i="10"/>
  <c r="R334" i="10"/>
  <c r="Q334" i="10"/>
  <c r="O334" i="10"/>
  <c r="N334" i="10"/>
  <c r="M334" i="10"/>
  <c r="L334" i="10"/>
  <c r="AJ334" i="10" s="1"/>
  <c r="K334" i="10"/>
  <c r="AL333" i="10"/>
  <c r="AK333" i="10"/>
  <c r="AI333" i="10"/>
  <c r="AH333" i="10"/>
  <c r="AE333" i="10"/>
  <c r="AC333" i="10"/>
  <c r="Z333" i="10"/>
  <c r="AA333" i="10" s="1"/>
  <c r="AG333" i="10" s="1"/>
  <c r="W333" i="10"/>
  <c r="AD333" i="10" s="1"/>
  <c r="V333" i="10"/>
  <c r="U333" i="10"/>
  <c r="AF333" i="10" s="1"/>
  <c r="S333" i="10"/>
  <c r="R333" i="10"/>
  <c r="Q333" i="10"/>
  <c r="O333" i="10"/>
  <c r="N333" i="10"/>
  <c r="M333" i="10"/>
  <c r="L333" i="10"/>
  <c r="AJ333" i="10" s="1"/>
  <c r="K333" i="10"/>
  <c r="AL332" i="10"/>
  <c r="AK332" i="10"/>
  <c r="AI332" i="10"/>
  <c r="AH332" i="10"/>
  <c r="AC332" i="10"/>
  <c r="AE332" i="10" s="1"/>
  <c r="Z332" i="10"/>
  <c r="AA332" i="10" s="1"/>
  <c r="AG332" i="10" s="1"/>
  <c r="W332" i="10"/>
  <c r="AD332" i="10" s="1"/>
  <c r="V332" i="10"/>
  <c r="U332" i="10"/>
  <c r="AF332" i="10" s="1"/>
  <c r="S332" i="10"/>
  <c r="R332" i="10"/>
  <c r="Q332" i="10"/>
  <c r="O332" i="10"/>
  <c r="N332" i="10"/>
  <c r="M332" i="10"/>
  <c r="L332" i="10"/>
  <c r="AJ332" i="10" s="1"/>
  <c r="K332" i="10"/>
  <c r="AL331" i="10"/>
  <c r="AK331" i="10"/>
  <c r="AI331" i="10"/>
  <c r="AH331" i="10"/>
  <c r="AE331" i="10"/>
  <c r="AC331" i="10"/>
  <c r="Z331" i="10"/>
  <c r="AA331" i="10" s="1"/>
  <c r="AG331" i="10" s="1"/>
  <c r="W331" i="10"/>
  <c r="AD331" i="10" s="1"/>
  <c r="V331" i="10"/>
  <c r="U331" i="10"/>
  <c r="AF331" i="10" s="1"/>
  <c r="S331" i="10"/>
  <c r="R331" i="10"/>
  <c r="Q331" i="10"/>
  <c r="O331" i="10"/>
  <c r="N331" i="10"/>
  <c r="M331" i="10"/>
  <c r="L331" i="10"/>
  <c r="AJ331" i="10" s="1"/>
  <c r="K331" i="10"/>
  <c r="AL330" i="10"/>
  <c r="AK330" i="10"/>
  <c r="AI330" i="10"/>
  <c r="AH330" i="10"/>
  <c r="AC330" i="10"/>
  <c r="AE330" i="10" s="1"/>
  <c r="Z330" i="10"/>
  <c r="AA330" i="10" s="1"/>
  <c r="AG330" i="10" s="1"/>
  <c r="W330" i="10"/>
  <c r="AD330" i="10" s="1"/>
  <c r="V330" i="10"/>
  <c r="U330" i="10"/>
  <c r="AF330" i="10" s="1"/>
  <c r="S330" i="10"/>
  <c r="R330" i="10"/>
  <c r="Q330" i="10"/>
  <c r="O330" i="10"/>
  <c r="N330" i="10"/>
  <c r="M330" i="10"/>
  <c r="L330" i="10"/>
  <c r="AJ330" i="10" s="1"/>
  <c r="K330" i="10"/>
  <c r="AL329" i="10"/>
  <c r="AK329" i="10"/>
  <c r="AI329" i="10"/>
  <c r="AH329" i="10"/>
  <c r="AE329" i="10"/>
  <c r="AC329" i="10"/>
  <c r="Z329" i="10"/>
  <c r="AA329" i="10" s="1"/>
  <c r="AG329" i="10" s="1"/>
  <c r="W329" i="10"/>
  <c r="AD329" i="10" s="1"/>
  <c r="V329" i="10"/>
  <c r="U329" i="10"/>
  <c r="AF329" i="10" s="1"/>
  <c r="S329" i="10"/>
  <c r="R329" i="10"/>
  <c r="Q329" i="10"/>
  <c r="O329" i="10"/>
  <c r="N329" i="10"/>
  <c r="M329" i="10"/>
  <c r="L329" i="10"/>
  <c r="AJ329" i="10" s="1"/>
  <c r="K329" i="10"/>
  <c r="AL328" i="10"/>
  <c r="AK328" i="10"/>
  <c r="AI328" i="10"/>
  <c r="AH328" i="10"/>
  <c r="AC328" i="10"/>
  <c r="AE328" i="10" s="1"/>
  <c r="Z328" i="10"/>
  <c r="AA328" i="10" s="1"/>
  <c r="AG328" i="10" s="1"/>
  <c r="W328" i="10"/>
  <c r="AD328" i="10" s="1"/>
  <c r="V328" i="10"/>
  <c r="U328" i="10"/>
  <c r="AF328" i="10" s="1"/>
  <c r="S328" i="10"/>
  <c r="R328" i="10"/>
  <c r="Q328" i="10"/>
  <c r="O328" i="10"/>
  <c r="N328" i="10"/>
  <c r="M328" i="10"/>
  <c r="L328" i="10"/>
  <c r="AJ328" i="10" s="1"/>
  <c r="K328" i="10"/>
  <c r="AL327" i="10"/>
  <c r="AK327" i="10"/>
  <c r="AI327" i="10"/>
  <c r="AH327" i="10"/>
  <c r="AE327" i="10"/>
  <c r="AC327" i="10"/>
  <c r="Z327" i="10"/>
  <c r="AA327" i="10" s="1"/>
  <c r="AG327" i="10" s="1"/>
  <c r="W327" i="10"/>
  <c r="AD327" i="10" s="1"/>
  <c r="V327" i="10"/>
  <c r="U327" i="10"/>
  <c r="AF327" i="10" s="1"/>
  <c r="S327" i="10"/>
  <c r="R327" i="10"/>
  <c r="Q327" i="10"/>
  <c r="O327" i="10"/>
  <c r="N327" i="10"/>
  <c r="M327" i="10"/>
  <c r="L327" i="10"/>
  <c r="AJ327" i="10" s="1"/>
  <c r="K327" i="10"/>
  <c r="AL326" i="10"/>
  <c r="AK326" i="10"/>
  <c r="AI326" i="10"/>
  <c r="AH326" i="10"/>
  <c r="AC326" i="10"/>
  <c r="AE326" i="10" s="1"/>
  <c r="Z326" i="10"/>
  <c r="AA326" i="10" s="1"/>
  <c r="AG326" i="10" s="1"/>
  <c r="W326" i="10"/>
  <c r="AD326" i="10" s="1"/>
  <c r="V326" i="10"/>
  <c r="U326" i="10"/>
  <c r="AF326" i="10" s="1"/>
  <c r="S326" i="10"/>
  <c r="R326" i="10"/>
  <c r="Q326" i="10"/>
  <c r="O326" i="10"/>
  <c r="N326" i="10"/>
  <c r="M326" i="10"/>
  <c r="L326" i="10"/>
  <c r="AJ326" i="10" s="1"/>
  <c r="K326" i="10"/>
  <c r="AL325" i="10"/>
  <c r="AK325" i="10"/>
  <c r="AI325" i="10"/>
  <c r="AH325" i="10"/>
  <c r="AE325" i="10"/>
  <c r="AC325" i="10"/>
  <c r="Z325" i="10"/>
  <c r="AA325" i="10" s="1"/>
  <c r="AG325" i="10" s="1"/>
  <c r="W325" i="10"/>
  <c r="AD325" i="10" s="1"/>
  <c r="V325" i="10"/>
  <c r="U325" i="10"/>
  <c r="AF325" i="10" s="1"/>
  <c r="S325" i="10"/>
  <c r="R325" i="10"/>
  <c r="Q325" i="10"/>
  <c r="O325" i="10"/>
  <c r="N325" i="10"/>
  <c r="M325" i="10"/>
  <c r="L325" i="10"/>
  <c r="AJ325" i="10" s="1"/>
  <c r="K325" i="10"/>
  <c r="AL324" i="10"/>
  <c r="AK324" i="10"/>
  <c r="AI324" i="10"/>
  <c r="AH324" i="10"/>
  <c r="AC324" i="10"/>
  <c r="AE324" i="10" s="1"/>
  <c r="Z324" i="10"/>
  <c r="AA324" i="10" s="1"/>
  <c r="AG324" i="10" s="1"/>
  <c r="W324" i="10"/>
  <c r="AD324" i="10" s="1"/>
  <c r="V324" i="10"/>
  <c r="U324" i="10"/>
  <c r="AF324" i="10" s="1"/>
  <c r="S324" i="10"/>
  <c r="R324" i="10"/>
  <c r="Q324" i="10"/>
  <c r="O324" i="10"/>
  <c r="N324" i="10"/>
  <c r="M324" i="10"/>
  <c r="L324" i="10"/>
  <c r="AJ324" i="10" s="1"/>
  <c r="K324" i="10"/>
  <c r="AL323" i="10"/>
  <c r="AK323" i="10"/>
  <c r="AI323" i="10"/>
  <c r="AH323" i="10"/>
  <c r="AE323" i="10"/>
  <c r="AC323" i="10"/>
  <c r="Z323" i="10"/>
  <c r="AA323" i="10" s="1"/>
  <c r="AG323" i="10" s="1"/>
  <c r="W323" i="10"/>
  <c r="AD323" i="10" s="1"/>
  <c r="V323" i="10"/>
  <c r="U323" i="10"/>
  <c r="AF323" i="10" s="1"/>
  <c r="S323" i="10"/>
  <c r="R323" i="10"/>
  <c r="Q323" i="10"/>
  <c r="O323" i="10"/>
  <c r="N323" i="10"/>
  <c r="M323" i="10"/>
  <c r="L323" i="10"/>
  <c r="AJ323" i="10" s="1"/>
  <c r="K323" i="10"/>
  <c r="AL322" i="10"/>
  <c r="AK322" i="10"/>
  <c r="AI322" i="10"/>
  <c r="AH322" i="10"/>
  <c r="AC322" i="10"/>
  <c r="AE322" i="10" s="1"/>
  <c r="Z322" i="10"/>
  <c r="AA322" i="10" s="1"/>
  <c r="AG322" i="10" s="1"/>
  <c r="W322" i="10"/>
  <c r="AD322" i="10" s="1"/>
  <c r="V322" i="10"/>
  <c r="U322" i="10"/>
  <c r="AF322" i="10" s="1"/>
  <c r="S322" i="10"/>
  <c r="R322" i="10"/>
  <c r="Q322" i="10"/>
  <c r="O322" i="10"/>
  <c r="N322" i="10"/>
  <c r="M322" i="10"/>
  <c r="L322" i="10"/>
  <c r="AJ322" i="10" s="1"/>
  <c r="K322" i="10"/>
  <c r="AL321" i="10"/>
  <c r="AK321" i="10"/>
  <c r="AI321" i="10"/>
  <c r="AH321" i="10"/>
  <c r="AE321" i="10"/>
  <c r="AC321" i="10"/>
  <c r="Z321" i="10"/>
  <c r="AA321" i="10" s="1"/>
  <c r="AG321" i="10" s="1"/>
  <c r="W321" i="10"/>
  <c r="AD321" i="10" s="1"/>
  <c r="V321" i="10"/>
  <c r="U321" i="10"/>
  <c r="AF321" i="10" s="1"/>
  <c r="S321" i="10"/>
  <c r="R321" i="10"/>
  <c r="Q321" i="10"/>
  <c r="O321" i="10"/>
  <c r="N321" i="10"/>
  <c r="M321" i="10"/>
  <c r="L321" i="10"/>
  <c r="AJ321" i="10" s="1"/>
  <c r="K321" i="10"/>
  <c r="AL320" i="10"/>
  <c r="AK320" i="10"/>
  <c r="AI320" i="10"/>
  <c r="AH320" i="10"/>
  <c r="AC320" i="10"/>
  <c r="AE320" i="10" s="1"/>
  <c r="Z320" i="10"/>
  <c r="AA320" i="10" s="1"/>
  <c r="AG320" i="10" s="1"/>
  <c r="W320" i="10"/>
  <c r="AD320" i="10" s="1"/>
  <c r="V320" i="10"/>
  <c r="U320" i="10"/>
  <c r="AF320" i="10" s="1"/>
  <c r="S320" i="10"/>
  <c r="R320" i="10"/>
  <c r="Q320" i="10"/>
  <c r="O320" i="10"/>
  <c r="N320" i="10"/>
  <c r="M320" i="10"/>
  <c r="L320" i="10"/>
  <c r="AJ320" i="10" s="1"/>
  <c r="K320" i="10"/>
  <c r="AL319" i="10"/>
  <c r="AK319" i="10"/>
  <c r="AI319" i="10"/>
  <c r="AH319" i="10"/>
  <c r="AE319" i="10"/>
  <c r="AC319" i="10"/>
  <c r="Z319" i="10"/>
  <c r="AA319" i="10" s="1"/>
  <c r="AG319" i="10" s="1"/>
  <c r="W319" i="10"/>
  <c r="AD319" i="10" s="1"/>
  <c r="V319" i="10"/>
  <c r="U319" i="10"/>
  <c r="AF319" i="10" s="1"/>
  <c r="S319" i="10"/>
  <c r="R319" i="10"/>
  <c r="Q319" i="10"/>
  <c r="O319" i="10"/>
  <c r="N319" i="10"/>
  <c r="M319" i="10"/>
  <c r="L319" i="10"/>
  <c r="AJ319" i="10" s="1"/>
  <c r="K319" i="10"/>
  <c r="AL318" i="10"/>
  <c r="AK318" i="10"/>
  <c r="AI318" i="10"/>
  <c r="AH318" i="10"/>
  <c r="AC318" i="10"/>
  <c r="AE318" i="10" s="1"/>
  <c r="Z318" i="10"/>
  <c r="AA318" i="10" s="1"/>
  <c r="AG318" i="10" s="1"/>
  <c r="W318" i="10"/>
  <c r="AD318" i="10" s="1"/>
  <c r="V318" i="10"/>
  <c r="U318" i="10"/>
  <c r="AF318" i="10" s="1"/>
  <c r="S318" i="10"/>
  <c r="R318" i="10"/>
  <c r="Q318" i="10"/>
  <c r="O318" i="10"/>
  <c r="N318" i="10"/>
  <c r="M318" i="10"/>
  <c r="L318" i="10"/>
  <c r="AJ318" i="10" s="1"/>
  <c r="K318" i="10"/>
  <c r="AL317" i="10"/>
  <c r="AK317" i="10"/>
  <c r="AI317" i="10"/>
  <c r="AH317" i="10"/>
  <c r="AE317" i="10"/>
  <c r="AC317" i="10"/>
  <c r="Z317" i="10"/>
  <c r="AA317" i="10" s="1"/>
  <c r="AG317" i="10" s="1"/>
  <c r="W317" i="10"/>
  <c r="AD317" i="10" s="1"/>
  <c r="V317" i="10"/>
  <c r="U317" i="10"/>
  <c r="AF317" i="10" s="1"/>
  <c r="S317" i="10"/>
  <c r="R317" i="10"/>
  <c r="Q317" i="10"/>
  <c r="O317" i="10"/>
  <c r="N317" i="10"/>
  <c r="M317" i="10"/>
  <c r="L317" i="10"/>
  <c r="AJ317" i="10" s="1"/>
  <c r="K317" i="10"/>
  <c r="AL316" i="10"/>
  <c r="AK316" i="10"/>
  <c r="AI316" i="10"/>
  <c r="AH316" i="10"/>
  <c r="AC316" i="10"/>
  <c r="AE316" i="10" s="1"/>
  <c r="Z316" i="10"/>
  <c r="AA316" i="10" s="1"/>
  <c r="AG316" i="10" s="1"/>
  <c r="W316" i="10"/>
  <c r="AD316" i="10" s="1"/>
  <c r="V316" i="10"/>
  <c r="U316" i="10"/>
  <c r="AF316" i="10" s="1"/>
  <c r="S316" i="10"/>
  <c r="R316" i="10"/>
  <c r="Q316" i="10"/>
  <c r="O316" i="10"/>
  <c r="N316" i="10"/>
  <c r="M316" i="10"/>
  <c r="L316" i="10"/>
  <c r="AJ316" i="10" s="1"/>
  <c r="K316" i="10"/>
  <c r="AL315" i="10"/>
  <c r="AK315" i="10"/>
  <c r="AI315" i="10"/>
  <c r="AH315" i="10"/>
  <c r="AE315" i="10"/>
  <c r="AC315" i="10"/>
  <c r="Z315" i="10"/>
  <c r="AA315" i="10" s="1"/>
  <c r="AG315" i="10" s="1"/>
  <c r="W315" i="10"/>
  <c r="AD315" i="10" s="1"/>
  <c r="V315" i="10"/>
  <c r="U315" i="10"/>
  <c r="AF315" i="10" s="1"/>
  <c r="S315" i="10"/>
  <c r="R315" i="10"/>
  <c r="Q315" i="10"/>
  <c r="O315" i="10"/>
  <c r="N315" i="10"/>
  <c r="M315" i="10"/>
  <c r="L315" i="10"/>
  <c r="AJ315" i="10" s="1"/>
  <c r="K315" i="10"/>
  <c r="AL314" i="10"/>
  <c r="AK314" i="10"/>
  <c r="AI314" i="10"/>
  <c r="AH314" i="10"/>
  <c r="AC314" i="10"/>
  <c r="AE314" i="10" s="1"/>
  <c r="Z314" i="10"/>
  <c r="AA314" i="10" s="1"/>
  <c r="AG314" i="10" s="1"/>
  <c r="W314" i="10"/>
  <c r="AD314" i="10" s="1"/>
  <c r="V314" i="10"/>
  <c r="U314" i="10"/>
  <c r="AF314" i="10" s="1"/>
  <c r="S314" i="10"/>
  <c r="R314" i="10"/>
  <c r="Q314" i="10"/>
  <c r="O314" i="10"/>
  <c r="N314" i="10"/>
  <c r="M314" i="10"/>
  <c r="L314" i="10"/>
  <c r="AJ314" i="10" s="1"/>
  <c r="K314" i="10"/>
  <c r="AL313" i="10"/>
  <c r="AK313" i="10"/>
  <c r="AI313" i="10"/>
  <c r="AH313" i="10"/>
  <c r="AE313" i="10"/>
  <c r="AC313" i="10"/>
  <c r="Z313" i="10"/>
  <c r="AA313" i="10" s="1"/>
  <c r="AG313" i="10" s="1"/>
  <c r="W313" i="10"/>
  <c r="AD313" i="10" s="1"/>
  <c r="V313" i="10"/>
  <c r="U313" i="10"/>
  <c r="AF313" i="10" s="1"/>
  <c r="S313" i="10"/>
  <c r="R313" i="10"/>
  <c r="Q313" i="10"/>
  <c r="O313" i="10"/>
  <c r="N313" i="10"/>
  <c r="M313" i="10"/>
  <c r="L313" i="10"/>
  <c r="AJ313" i="10" s="1"/>
  <c r="K313" i="10"/>
  <c r="AL312" i="10"/>
  <c r="AK312" i="10"/>
  <c r="AI312" i="10"/>
  <c r="AH312" i="10"/>
  <c r="AC312" i="10"/>
  <c r="AE312" i="10" s="1"/>
  <c r="Z312" i="10"/>
  <c r="AA312" i="10" s="1"/>
  <c r="AG312" i="10" s="1"/>
  <c r="W312" i="10"/>
  <c r="AD312" i="10" s="1"/>
  <c r="V312" i="10"/>
  <c r="U312" i="10"/>
  <c r="AF312" i="10" s="1"/>
  <c r="S312" i="10"/>
  <c r="R312" i="10"/>
  <c r="Q312" i="10"/>
  <c r="O312" i="10"/>
  <c r="N312" i="10"/>
  <c r="M312" i="10"/>
  <c r="L312" i="10"/>
  <c r="AJ312" i="10" s="1"/>
  <c r="K312" i="10"/>
  <c r="AL311" i="10"/>
  <c r="AK311" i="10"/>
  <c r="AI311" i="10"/>
  <c r="AH311" i="10"/>
  <c r="AE311" i="10"/>
  <c r="AC311" i="10"/>
  <c r="Z311" i="10"/>
  <c r="AA311" i="10" s="1"/>
  <c r="AG311" i="10" s="1"/>
  <c r="W311" i="10"/>
  <c r="AD311" i="10" s="1"/>
  <c r="V311" i="10"/>
  <c r="U311" i="10"/>
  <c r="AF311" i="10" s="1"/>
  <c r="S311" i="10"/>
  <c r="R311" i="10"/>
  <c r="Q311" i="10"/>
  <c r="O311" i="10"/>
  <c r="N311" i="10"/>
  <c r="M311" i="10"/>
  <c r="L311" i="10"/>
  <c r="AJ311" i="10" s="1"/>
  <c r="K311" i="10"/>
  <c r="AL310" i="10"/>
  <c r="AK310" i="10"/>
  <c r="AI310" i="10"/>
  <c r="AH310" i="10"/>
  <c r="AC310" i="10"/>
  <c r="AE310" i="10" s="1"/>
  <c r="Z310" i="10"/>
  <c r="AA310" i="10" s="1"/>
  <c r="AG310" i="10" s="1"/>
  <c r="W310" i="10"/>
  <c r="AD310" i="10" s="1"/>
  <c r="V310" i="10"/>
  <c r="U310" i="10"/>
  <c r="AF310" i="10" s="1"/>
  <c r="S310" i="10"/>
  <c r="R310" i="10"/>
  <c r="Q310" i="10"/>
  <c r="O310" i="10"/>
  <c r="N310" i="10"/>
  <c r="M310" i="10"/>
  <c r="L310" i="10"/>
  <c r="AJ310" i="10" s="1"/>
  <c r="K310" i="10"/>
  <c r="AL309" i="10"/>
  <c r="AK309" i="10"/>
  <c r="AI309" i="10"/>
  <c r="AH309" i="10"/>
  <c r="AE309" i="10"/>
  <c r="AC309" i="10"/>
  <c r="Z309" i="10"/>
  <c r="AA309" i="10" s="1"/>
  <c r="AG309" i="10" s="1"/>
  <c r="W309" i="10"/>
  <c r="AD309" i="10" s="1"/>
  <c r="V309" i="10"/>
  <c r="U309" i="10"/>
  <c r="AF309" i="10" s="1"/>
  <c r="S309" i="10"/>
  <c r="R309" i="10"/>
  <c r="Q309" i="10"/>
  <c r="O309" i="10"/>
  <c r="N309" i="10"/>
  <c r="M309" i="10"/>
  <c r="L309" i="10"/>
  <c r="AJ309" i="10" s="1"/>
  <c r="K309" i="10"/>
  <c r="AL308" i="10"/>
  <c r="AK308" i="10"/>
  <c r="AI308" i="10"/>
  <c r="AH308" i="10"/>
  <c r="AC308" i="10"/>
  <c r="AE308" i="10" s="1"/>
  <c r="Z308" i="10"/>
  <c r="AA308" i="10" s="1"/>
  <c r="AG308" i="10" s="1"/>
  <c r="W308" i="10"/>
  <c r="AD308" i="10" s="1"/>
  <c r="V308" i="10"/>
  <c r="U308" i="10"/>
  <c r="AF308" i="10" s="1"/>
  <c r="S308" i="10"/>
  <c r="R308" i="10"/>
  <c r="Q308" i="10"/>
  <c r="O308" i="10"/>
  <c r="N308" i="10"/>
  <c r="M308" i="10"/>
  <c r="L308" i="10"/>
  <c r="AJ308" i="10" s="1"/>
  <c r="K308" i="10"/>
  <c r="AL307" i="10"/>
  <c r="AK307" i="10"/>
  <c r="AI307" i="10"/>
  <c r="AH307" i="10"/>
  <c r="AE307" i="10"/>
  <c r="AC307" i="10"/>
  <c r="Z307" i="10"/>
  <c r="AA307" i="10" s="1"/>
  <c r="AG307" i="10" s="1"/>
  <c r="W307" i="10"/>
  <c r="AD307" i="10" s="1"/>
  <c r="V307" i="10"/>
  <c r="U307" i="10"/>
  <c r="AF307" i="10" s="1"/>
  <c r="S307" i="10"/>
  <c r="R307" i="10"/>
  <c r="Q307" i="10"/>
  <c r="O307" i="10"/>
  <c r="N307" i="10"/>
  <c r="M307" i="10"/>
  <c r="L307" i="10"/>
  <c r="AJ307" i="10" s="1"/>
  <c r="K307" i="10"/>
  <c r="AL306" i="10"/>
  <c r="AK306" i="10"/>
  <c r="AI306" i="10"/>
  <c r="AH306" i="10"/>
  <c r="AC306" i="10"/>
  <c r="AE306" i="10" s="1"/>
  <c r="Z306" i="10"/>
  <c r="AA306" i="10" s="1"/>
  <c r="AG306" i="10" s="1"/>
  <c r="W306" i="10"/>
  <c r="AD306" i="10" s="1"/>
  <c r="V306" i="10"/>
  <c r="U306" i="10"/>
  <c r="AF306" i="10" s="1"/>
  <c r="S306" i="10"/>
  <c r="R306" i="10"/>
  <c r="Q306" i="10"/>
  <c r="O306" i="10"/>
  <c r="N306" i="10"/>
  <c r="M306" i="10"/>
  <c r="L306" i="10"/>
  <c r="AJ306" i="10" s="1"/>
  <c r="K306" i="10"/>
  <c r="AL305" i="10"/>
  <c r="AK305" i="10"/>
  <c r="AI305" i="10"/>
  <c r="AH305" i="10"/>
  <c r="AE305" i="10"/>
  <c r="AC305" i="10"/>
  <c r="Z305" i="10"/>
  <c r="AA305" i="10" s="1"/>
  <c r="AG305" i="10" s="1"/>
  <c r="W305" i="10"/>
  <c r="AD305" i="10" s="1"/>
  <c r="V305" i="10"/>
  <c r="U305" i="10"/>
  <c r="AF305" i="10" s="1"/>
  <c r="S305" i="10"/>
  <c r="R305" i="10"/>
  <c r="Q305" i="10"/>
  <c r="O305" i="10"/>
  <c r="N305" i="10"/>
  <c r="M305" i="10"/>
  <c r="L305" i="10"/>
  <c r="AJ305" i="10" s="1"/>
  <c r="K305" i="10"/>
  <c r="AL304" i="10"/>
  <c r="AK304" i="10"/>
  <c r="AI304" i="10"/>
  <c r="AH304" i="10"/>
  <c r="AC304" i="10"/>
  <c r="AE304" i="10" s="1"/>
  <c r="Z304" i="10"/>
  <c r="AA304" i="10" s="1"/>
  <c r="AG304" i="10" s="1"/>
  <c r="W304" i="10"/>
  <c r="AD304" i="10" s="1"/>
  <c r="V304" i="10"/>
  <c r="U304" i="10"/>
  <c r="AF304" i="10" s="1"/>
  <c r="S304" i="10"/>
  <c r="R304" i="10"/>
  <c r="Q304" i="10"/>
  <c r="O304" i="10"/>
  <c r="N304" i="10"/>
  <c r="M304" i="10"/>
  <c r="L304" i="10"/>
  <c r="AJ304" i="10" s="1"/>
  <c r="K304" i="10"/>
  <c r="AL303" i="10"/>
  <c r="AK303" i="10"/>
  <c r="AI303" i="10"/>
  <c r="AH303" i="10"/>
  <c r="AE303" i="10"/>
  <c r="AC303" i="10"/>
  <c r="Z303" i="10"/>
  <c r="AA303" i="10" s="1"/>
  <c r="AG303" i="10" s="1"/>
  <c r="W303" i="10"/>
  <c r="AD303" i="10" s="1"/>
  <c r="V303" i="10"/>
  <c r="U303" i="10"/>
  <c r="AF303" i="10" s="1"/>
  <c r="S303" i="10"/>
  <c r="R303" i="10"/>
  <c r="Q303" i="10"/>
  <c r="O303" i="10"/>
  <c r="N303" i="10"/>
  <c r="M303" i="10"/>
  <c r="L303" i="10"/>
  <c r="AJ303" i="10" s="1"/>
  <c r="K303" i="10"/>
  <c r="AL302" i="10"/>
  <c r="AK302" i="10"/>
  <c r="AI302" i="10"/>
  <c r="AH302" i="10"/>
  <c r="AC302" i="10"/>
  <c r="AE302" i="10" s="1"/>
  <c r="Z302" i="10"/>
  <c r="AA302" i="10" s="1"/>
  <c r="AG302" i="10" s="1"/>
  <c r="W302" i="10"/>
  <c r="AD302" i="10" s="1"/>
  <c r="V302" i="10"/>
  <c r="U302" i="10"/>
  <c r="AF302" i="10" s="1"/>
  <c r="S302" i="10"/>
  <c r="R302" i="10"/>
  <c r="Q302" i="10"/>
  <c r="O302" i="10"/>
  <c r="N302" i="10"/>
  <c r="M302" i="10"/>
  <c r="L302" i="10"/>
  <c r="AJ302" i="10" s="1"/>
  <c r="K302" i="10"/>
  <c r="AL301" i="10"/>
  <c r="AK301" i="10"/>
  <c r="AI301" i="10"/>
  <c r="AH301" i="10"/>
  <c r="AE301" i="10"/>
  <c r="AC301" i="10"/>
  <c r="Z301" i="10"/>
  <c r="AA301" i="10" s="1"/>
  <c r="AG301" i="10" s="1"/>
  <c r="W301" i="10"/>
  <c r="AD301" i="10" s="1"/>
  <c r="V301" i="10"/>
  <c r="U301" i="10"/>
  <c r="AF301" i="10" s="1"/>
  <c r="S301" i="10"/>
  <c r="R301" i="10"/>
  <c r="Q301" i="10"/>
  <c r="O301" i="10"/>
  <c r="N301" i="10"/>
  <c r="M301" i="10"/>
  <c r="L301" i="10"/>
  <c r="AJ301" i="10" s="1"/>
  <c r="K301" i="10"/>
  <c r="AL300" i="10"/>
  <c r="AK300" i="10"/>
  <c r="AI300" i="10"/>
  <c r="AH300" i="10"/>
  <c r="AC300" i="10"/>
  <c r="AE300" i="10" s="1"/>
  <c r="Z300" i="10"/>
  <c r="AA300" i="10" s="1"/>
  <c r="AG300" i="10" s="1"/>
  <c r="W300" i="10"/>
  <c r="AD300" i="10" s="1"/>
  <c r="V300" i="10"/>
  <c r="U300" i="10"/>
  <c r="AF300" i="10" s="1"/>
  <c r="S300" i="10"/>
  <c r="R300" i="10"/>
  <c r="Q300" i="10"/>
  <c r="O300" i="10"/>
  <c r="N300" i="10"/>
  <c r="M300" i="10"/>
  <c r="L300" i="10"/>
  <c r="AJ300" i="10" s="1"/>
  <c r="K300" i="10"/>
  <c r="AL299" i="10"/>
  <c r="AK299" i="10"/>
  <c r="AI299" i="10"/>
  <c r="AH299" i="10"/>
  <c r="AE299" i="10"/>
  <c r="AC299" i="10"/>
  <c r="Z299" i="10"/>
  <c r="AA299" i="10" s="1"/>
  <c r="AG299" i="10" s="1"/>
  <c r="W299" i="10"/>
  <c r="AD299" i="10" s="1"/>
  <c r="V299" i="10"/>
  <c r="U299" i="10"/>
  <c r="AF299" i="10" s="1"/>
  <c r="S299" i="10"/>
  <c r="R299" i="10"/>
  <c r="Q299" i="10"/>
  <c r="O299" i="10"/>
  <c r="N299" i="10"/>
  <c r="M299" i="10"/>
  <c r="L299" i="10"/>
  <c r="AJ299" i="10" s="1"/>
  <c r="K299" i="10"/>
  <c r="AL298" i="10"/>
  <c r="AK298" i="10"/>
  <c r="AI298" i="10"/>
  <c r="AH298" i="10"/>
  <c r="AC298" i="10"/>
  <c r="AE298" i="10" s="1"/>
  <c r="Z298" i="10"/>
  <c r="AA298" i="10" s="1"/>
  <c r="AG298" i="10" s="1"/>
  <c r="W298" i="10"/>
  <c r="AD298" i="10" s="1"/>
  <c r="V298" i="10"/>
  <c r="U298" i="10"/>
  <c r="AF298" i="10" s="1"/>
  <c r="S298" i="10"/>
  <c r="R298" i="10"/>
  <c r="Q298" i="10"/>
  <c r="O298" i="10"/>
  <c r="N298" i="10"/>
  <c r="M298" i="10"/>
  <c r="L298" i="10"/>
  <c r="AJ298" i="10" s="1"/>
  <c r="K298" i="10"/>
  <c r="AL297" i="10"/>
  <c r="AK297" i="10"/>
  <c r="AI297" i="10"/>
  <c r="AH297" i="10"/>
  <c r="AE297" i="10"/>
  <c r="AC297" i="10"/>
  <c r="Z297" i="10"/>
  <c r="AA297" i="10" s="1"/>
  <c r="AG297" i="10" s="1"/>
  <c r="W297" i="10"/>
  <c r="AD297" i="10" s="1"/>
  <c r="V297" i="10"/>
  <c r="U297" i="10"/>
  <c r="AF297" i="10" s="1"/>
  <c r="S297" i="10"/>
  <c r="R297" i="10"/>
  <c r="Q297" i="10"/>
  <c r="O297" i="10"/>
  <c r="N297" i="10"/>
  <c r="M297" i="10"/>
  <c r="L297" i="10"/>
  <c r="AJ297" i="10" s="1"/>
  <c r="K297" i="10"/>
  <c r="AL296" i="10"/>
  <c r="AK296" i="10"/>
  <c r="AI296" i="10"/>
  <c r="AH296" i="10"/>
  <c r="AC296" i="10"/>
  <c r="AE296" i="10" s="1"/>
  <c r="Z296" i="10"/>
  <c r="AA296" i="10" s="1"/>
  <c r="AG296" i="10" s="1"/>
  <c r="W296" i="10"/>
  <c r="AD296" i="10" s="1"/>
  <c r="V296" i="10"/>
  <c r="U296" i="10"/>
  <c r="AF296" i="10" s="1"/>
  <c r="S296" i="10"/>
  <c r="R296" i="10"/>
  <c r="Q296" i="10"/>
  <c r="O296" i="10"/>
  <c r="N296" i="10"/>
  <c r="M296" i="10"/>
  <c r="L296" i="10"/>
  <c r="AJ296" i="10" s="1"/>
  <c r="K296" i="10"/>
  <c r="AL295" i="10"/>
  <c r="AK295" i="10"/>
  <c r="AI295" i="10"/>
  <c r="AH295" i="10"/>
  <c r="AE295" i="10"/>
  <c r="AC295" i="10"/>
  <c r="Z295" i="10"/>
  <c r="AA295" i="10" s="1"/>
  <c r="AG295" i="10" s="1"/>
  <c r="W295" i="10"/>
  <c r="AD295" i="10" s="1"/>
  <c r="V295" i="10"/>
  <c r="U295" i="10"/>
  <c r="AF295" i="10" s="1"/>
  <c r="S295" i="10"/>
  <c r="R295" i="10"/>
  <c r="Q295" i="10"/>
  <c r="O295" i="10"/>
  <c r="N295" i="10"/>
  <c r="M295" i="10"/>
  <c r="L295" i="10"/>
  <c r="AJ295" i="10" s="1"/>
  <c r="K295" i="10"/>
  <c r="AL294" i="10"/>
  <c r="AK294" i="10"/>
  <c r="AI294" i="10"/>
  <c r="AH294" i="10"/>
  <c r="AC294" i="10"/>
  <c r="AE294" i="10" s="1"/>
  <c r="Z294" i="10"/>
  <c r="AA294" i="10" s="1"/>
  <c r="AG294" i="10" s="1"/>
  <c r="W294" i="10"/>
  <c r="AD294" i="10" s="1"/>
  <c r="V294" i="10"/>
  <c r="U294" i="10"/>
  <c r="AF294" i="10" s="1"/>
  <c r="S294" i="10"/>
  <c r="R294" i="10"/>
  <c r="Q294" i="10"/>
  <c r="O294" i="10"/>
  <c r="N294" i="10"/>
  <c r="M294" i="10"/>
  <c r="L294" i="10"/>
  <c r="AJ294" i="10" s="1"/>
  <c r="K294" i="10"/>
  <c r="AL293" i="10"/>
  <c r="AK293" i="10"/>
  <c r="AI293" i="10"/>
  <c r="AH293" i="10"/>
  <c r="AE293" i="10"/>
  <c r="AC293" i="10"/>
  <c r="Z293" i="10"/>
  <c r="AA293" i="10" s="1"/>
  <c r="AG293" i="10" s="1"/>
  <c r="W293" i="10"/>
  <c r="AD293" i="10" s="1"/>
  <c r="V293" i="10"/>
  <c r="U293" i="10"/>
  <c r="AF293" i="10" s="1"/>
  <c r="S293" i="10"/>
  <c r="R293" i="10"/>
  <c r="Q293" i="10"/>
  <c r="O293" i="10"/>
  <c r="N293" i="10"/>
  <c r="M293" i="10"/>
  <c r="L293" i="10"/>
  <c r="AJ293" i="10" s="1"/>
  <c r="K293" i="10"/>
  <c r="AL292" i="10"/>
  <c r="AK292" i="10"/>
  <c r="AI292" i="10"/>
  <c r="AH292" i="10"/>
  <c r="AC292" i="10"/>
  <c r="AE292" i="10" s="1"/>
  <c r="Z292" i="10"/>
  <c r="AA292" i="10" s="1"/>
  <c r="AG292" i="10" s="1"/>
  <c r="W292" i="10"/>
  <c r="AD292" i="10" s="1"/>
  <c r="V292" i="10"/>
  <c r="U292" i="10"/>
  <c r="AF292" i="10" s="1"/>
  <c r="S292" i="10"/>
  <c r="R292" i="10"/>
  <c r="Q292" i="10"/>
  <c r="O292" i="10"/>
  <c r="N292" i="10"/>
  <c r="M292" i="10"/>
  <c r="L292" i="10"/>
  <c r="AJ292" i="10" s="1"/>
  <c r="K292" i="10"/>
  <c r="AL291" i="10"/>
  <c r="AK291" i="10"/>
  <c r="AI291" i="10"/>
  <c r="AH291" i="10"/>
  <c r="AE291" i="10"/>
  <c r="AC291" i="10"/>
  <c r="Z291" i="10"/>
  <c r="AA291" i="10" s="1"/>
  <c r="AG291" i="10" s="1"/>
  <c r="W291" i="10"/>
  <c r="AD291" i="10" s="1"/>
  <c r="V291" i="10"/>
  <c r="U291" i="10"/>
  <c r="AF291" i="10" s="1"/>
  <c r="S291" i="10"/>
  <c r="R291" i="10"/>
  <c r="Q291" i="10"/>
  <c r="O291" i="10"/>
  <c r="N291" i="10"/>
  <c r="M291" i="10"/>
  <c r="L291" i="10"/>
  <c r="AJ291" i="10" s="1"/>
  <c r="K291" i="10"/>
  <c r="AL290" i="10"/>
  <c r="AK290" i="10"/>
  <c r="AI290" i="10"/>
  <c r="AH290" i="10"/>
  <c r="AC290" i="10"/>
  <c r="AE290" i="10" s="1"/>
  <c r="Z290" i="10"/>
  <c r="AA290" i="10" s="1"/>
  <c r="AG290" i="10" s="1"/>
  <c r="W290" i="10"/>
  <c r="AD290" i="10" s="1"/>
  <c r="V290" i="10"/>
  <c r="U290" i="10"/>
  <c r="AF290" i="10" s="1"/>
  <c r="S290" i="10"/>
  <c r="R290" i="10"/>
  <c r="Q290" i="10"/>
  <c r="O290" i="10"/>
  <c r="N290" i="10"/>
  <c r="M290" i="10"/>
  <c r="L290" i="10"/>
  <c r="AJ290" i="10" s="1"/>
  <c r="K290" i="10"/>
  <c r="AL289" i="10"/>
  <c r="AK289" i="10"/>
  <c r="AI289" i="10"/>
  <c r="AH289" i="10"/>
  <c r="AE289" i="10"/>
  <c r="AC289" i="10"/>
  <c r="Z289" i="10"/>
  <c r="AA289" i="10" s="1"/>
  <c r="AG289" i="10" s="1"/>
  <c r="W289" i="10"/>
  <c r="AD289" i="10" s="1"/>
  <c r="V289" i="10"/>
  <c r="U289" i="10"/>
  <c r="AF289" i="10" s="1"/>
  <c r="S289" i="10"/>
  <c r="R289" i="10"/>
  <c r="Q289" i="10"/>
  <c r="O289" i="10"/>
  <c r="N289" i="10"/>
  <c r="M289" i="10"/>
  <c r="L289" i="10"/>
  <c r="AJ289" i="10" s="1"/>
  <c r="K289" i="10"/>
  <c r="AL288" i="10"/>
  <c r="AK288" i="10"/>
  <c r="AI288" i="10"/>
  <c r="AH288" i="10"/>
  <c r="AC288" i="10"/>
  <c r="AE288" i="10" s="1"/>
  <c r="Z288" i="10"/>
  <c r="AA288" i="10" s="1"/>
  <c r="AG288" i="10" s="1"/>
  <c r="W288" i="10"/>
  <c r="AD288" i="10" s="1"/>
  <c r="V288" i="10"/>
  <c r="U288" i="10"/>
  <c r="AF288" i="10" s="1"/>
  <c r="S288" i="10"/>
  <c r="R288" i="10"/>
  <c r="Q288" i="10"/>
  <c r="O288" i="10"/>
  <c r="N288" i="10"/>
  <c r="M288" i="10"/>
  <c r="L288" i="10"/>
  <c r="AJ288" i="10" s="1"/>
  <c r="K288" i="10"/>
  <c r="AL287" i="10"/>
  <c r="AK287" i="10"/>
  <c r="AI287" i="10"/>
  <c r="AH287" i="10"/>
  <c r="AE287" i="10"/>
  <c r="AC287" i="10"/>
  <c r="Z287" i="10"/>
  <c r="AA287" i="10" s="1"/>
  <c r="AG287" i="10" s="1"/>
  <c r="W287" i="10"/>
  <c r="AD287" i="10" s="1"/>
  <c r="V287" i="10"/>
  <c r="U287" i="10"/>
  <c r="AF287" i="10" s="1"/>
  <c r="S287" i="10"/>
  <c r="R287" i="10"/>
  <c r="Q287" i="10"/>
  <c r="O287" i="10"/>
  <c r="N287" i="10"/>
  <c r="M287" i="10"/>
  <c r="L287" i="10"/>
  <c r="AJ287" i="10" s="1"/>
  <c r="K287" i="10"/>
  <c r="AL286" i="10"/>
  <c r="AK286" i="10"/>
  <c r="AI286" i="10"/>
  <c r="AH286" i="10"/>
  <c r="AC286" i="10"/>
  <c r="AE286" i="10" s="1"/>
  <c r="Z286" i="10"/>
  <c r="AA286" i="10" s="1"/>
  <c r="AG286" i="10" s="1"/>
  <c r="W286" i="10"/>
  <c r="AD286" i="10" s="1"/>
  <c r="V286" i="10"/>
  <c r="U286" i="10"/>
  <c r="AF286" i="10" s="1"/>
  <c r="S286" i="10"/>
  <c r="R286" i="10"/>
  <c r="Q286" i="10"/>
  <c r="O286" i="10"/>
  <c r="N286" i="10"/>
  <c r="M286" i="10"/>
  <c r="L286" i="10"/>
  <c r="AJ286" i="10" s="1"/>
  <c r="K286" i="10"/>
  <c r="AL285" i="10"/>
  <c r="AK285" i="10"/>
  <c r="AI285" i="10"/>
  <c r="AH285" i="10"/>
  <c r="AE285" i="10"/>
  <c r="AC285" i="10"/>
  <c r="Z285" i="10"/>
  <c r="AA285" i="10" s="1"/>
  <c r="AG285" i="10" s="1"/>
  <c r="W285" i="10"/>
  <c r="AD285" i="10" s="1"/>
  <c r="V285" i="10"/>
  <c r="U285" i="10"/>
  <c r="AF285" i="10" s="1"/>
  <c r="S285" i="10"/>
  <c r="R285" i="10"/>
  <c r="Q285" i="10"/>
  <c r="O285" i="10"/>
  <c r="N285" i="10"/>
  <c r="M285" i="10"/>
  <c r="L285" i="10"/>
  <c r="AJ285" i="10" s="1"/>
  <c r="K285" i="10"/>
  <c r="AL284" i="10"/>
  <c r="AK284" i="10"/>
  <c r="AI284" i="10"/>
  <c r="AH284" i="10"/>
  <c r="AC284" i="10"/>
  <c r="AE284" i="10" s="1"/>
  <c r="Z284" i="10"/>
  <c r="AA284" i="10" s="1"/>
  <c r="AG284" i="10" s="1"/>
  <c r="W284" i="10"/>
  <c r="AD284" i="10" s="1"/>
  <c r="V284" i="10"/>
  <c r="U284" i="10"/>
  <c r="AF284" i="10" s="1"/>
  <c r="S284" i="10"/>
  <c r="R284" i="10"/>
  <c r="Q284" i="10"/>
  <c r="O284" i="10"/>
  <c r="N284" i="10"/>
  <c r="M284" i="10"/>
  <c r="L284" i="10"/>
  <c r="AJ284" i="10" s="1"/>
  <c r="K284" i="10"/>
  <c r="AL283" i="10"/>
  <c r="AK283" i="10"/>
  <c r="AI283" i="10"/>
  <c r="AH283" i="10"/>
  <c r="AE283" i="10"/>
  <c r="AC283" i="10"/>
  <c r="Z283" i="10"/>
  <c r="AA283" i="10" s="1"/>
  <c r="AG283" i="10" s="1"/>
  <c r="W283" i="10"/>
  <c r="AD283" i="10" s="1"/>
  <c r="V283" i="10"/>
  <c r="U283" i="10"/>
  <c r="AF283" i="10" s="1"/>
  <c r="S283" i="10"/>
  <c r="R283" i="10"/>
  <c r="Q283" i="10"/>
  <c r="O283" i="10"/>
  <c r="N283" i="10"/>
  <c r="M283" i="10"/>
  <c r="L283" i="10"/>
  <c r="AJ283" i="10" s="1"/>
  <c r="K283" i="10"/>
  <c r="AL282" i="10"/>
  <c r="AK282" i="10"/>
  <c r="AI282" i="10"/>
  <c r="AH282" i="10"/>
  <c r="AC282" i="10"/>
  <c r="AE282" i="10" s="1"/>
  <c r="Z282" i="10"/>
  <c r="AA282" i="10" s="1"/>
  <c r="AG282" i="10" s="1"/>
  <c r="W282" i="10"/>
  <c r="AD282" i="10" s="1"/>
  <c r="V282" i="10"/>
  <c r="U282" i="10"/>
  <c r="AF282" i="10" s="1"/>
  <c r="S282" i="10"/>
  <c r="R282" i="10"/>
  <c r="Q282" i="10"/>
  <c r="O282" i="10"/>
  <c r="N282" i="10"/>
  <c r="M282" i="10"/>
  <c r="L282" i="10"/>
  <c r="AJ282" i="10" s="1"/>
  <c r="K282" i="10"/>
  <c r="AL281" i="10"/>
  <c r="AK281" i="10"/>
  <c r="AI281" i="10"/>
  <c r="AH281" i="10"/>
  <c r="AE281" i="10"/>
  <c r="AC281" i="10"/>
  <c r="Z281" i="10"/>
  <c r="AA281" i="10" s="1"/>
  <c r="AG281" i="10" s="1"/>
  <c r="W281" i="10"/>
  <c r="AD281" i="10" s="1"/>
  <c r="V281" i="10"/>
  <c r="U281" i="10"/>
  <c r="AF281" i="10" s="1"/>
  <c r="S281" i="10"/>
  <c r="R281" i="10"/>
  <c r="Q281" i="10"/>
  <c r="O281" i="10"/>
  <c r="N281" i="10"/>
  <c r="M281" i="10"/>
  <c r="L281" i="10"/>
  <c r="AJ281" i="10" s="1"/>
  <c r="K281" i="10"/>
  <c r="AL280" i="10"/>
  <c r="AK280" i="10"/>
  <c r="AI280" i="10"/>
  <c r="AH280" i="10"/>
  <c r="AC280" i="10"/>
  <c r="AE280" i="10" s="1"/>
  <c r="Z280" i="10"/>
  <c r="AA280" i="10" s="1"/>
  <c r="AG280" i="10" s="1"/>
  <c r="W280" i="10"/>
  <c r="AD280" i="10" s="1"/>
  <c r="V280" i="10"/>
  <c r="U280" i="10"/>
  <c r="AF280" i="10" s="1"/>
  <c r="S280" i="10"/>
  <c r="R280" i="10"/>
  <c r="Q280" i="10"/>
  <c r="O280" i="10"/>
  <c r="N280" i="10"/>
  <c r="M280" i="10"/>
  <c r="L280" i="10"/>
  <c r="AJ280" i="10" s="1"/>
  <c r="K280" i="10"/>
  <c r="AL279" i="10"/>
  <c r="AK279" i="10"/>
  <c r="AI279" i="10"/>
  <c r="AH279" i="10"/>
  <c r="AE279" i="10"/>
  <c r="AC279" i="10"/>
  <c r="Z279" i="10"/>
  <c r="AA279" i="10" s="1"/>
  <c r="AG279" i="10" s="1"/>
  <c r="W279" i="10"/>
  <c r="AD279" i="10" s="1"/>
  <c r="V279" i="10"/>
  <c r="U279" i="10"/>
  <c r="AF279" i="10" s="1"/>
  <c r="S279" i="10"/>
  <c r="R279" i="10"/>
  <c r="Q279" i="10"/>
  <c r="O279" i="10"/>
  <c r="N279" i="10"/>
  <c r="M279" i="10"/>
  <c r="L279" i="10"/>
  <c r="AJ279" i="10" s="1"/>
  <c r="K279" i="10"/>
  <c r="AL278" i="10"/>
  <c r="AK278" i="10"/>
  <c r="AI278" i="10"/>
  <c r="AH278" i="10"/>
  <c r="AC278" i="10"/>
  <c r="AE278" i="10" s="1"/>
  <c r="Z278" i="10"/>
  <c r="AA278" i="10" s="1"/>
  <c r="AG278" i="10" s="1"/>
  <c r="W278" i="10"/>
  <c r="AD278" i="10" s="1"/>
  <c r="V278" i="10"/>
  <c r="U278" i="10"/>
  <c r="AF278" i="10" s="1"/>
  <c r="S278" i="10"/>
  <c r="R278" i="10"/>
  <c r="Q278" i="10"/>
  <c r="O278" i="10"/>
  <c r="N278" i="10"/>
  <c r="M278" i="10"/>
  <c r="L278" i="10"/>
  <c r="AJ278" i="10" s="1"/>
  <c r="K278" i="10"/>
  <c r="AL277" i="10"/>
  <c r="AK277" i="10"/>
  <c r="AI277" i="10"/>
  <c r="AH277" i="10"/>
  <c r="AE277" i="10"/>
  <c r="AC277" i="10"/>
  <c r="Z277" i="10"/>
  <c r="AA277" i="10" s="1"/>
  <c r="AG277" i="10" s="1"/>
  <c r="W277" i="10"/>
  <c r="AD277" i="10" s="1"/>
  <c r="V277" i="10"/>
  <c r="U277" i="10"/>
  <c r="AF277" i="10" s="1"/>
  <c r="S277" i="10"/>
  <c r="R277" i="10"/>
  <c r="Q277" i="10"/>
  <c r="O277" i="10"/>
  <c r="N277" i="10"/>
  <c r="M277" i="10"/>
  <c r="L277" i="10"/>
  <c r="AJ277" i="10" s="1"/>
  <c r="K277" i="10"/>
  <c r="AL276" i="10"/>
  <c r="AK276" i="10"/>
  <c r="AI276" i="10"/>
  <c r="AH276" i="10"/>
  <c r="AC276" i="10"/>
  <c r="AE276" i="10" s="1"/>
  <c r="Z276" i="10"/>
  <c r="AA276" i="10" s="1"/>
  <c r="AG276" i="10" s="1"/>
  <c r="W276" i="10"/>
  <c r="AD276" i="10" s="1"/>
  <c r="V276" i="10"/>
  <c r="U276" i="10"/>
  <c r="AF276" i="10" s="1"/>
  <c r="S276" i="10"/>
  <c r="R276" i="10"/>
  <c r="Q276" i="10"/>
  <c r="O276" i="10"/>
  <c r="N276" i="10"/>
  <c r="M276" i="10"/>
  <c r="L276" i="10"/>
  <c r="AJ276" i="10" s="1"/>
  <c r="K276" i="10"/>
  <c r="AL275" i="10"/>
  <c r="AK275" i="10"/>
  <c r="AI275" i="10"/>
  <c r="AH275" i="10"/>
  <c r="AE275" i="10"/>
  <c r="AC275" i="10"/>
  <c r="Z275" i="10"/>
  <c r="AA275" i="10" s="1"/>
  <c r="AG275" i="10" s="1"/>
  <c r="W275" i="10"/>
  <c r="AD275" i="10" s="1"/>
  <c r="V275" i="10"/>
  <c r="U275" i="10"/>
  <c r="AF275" i="10" s="1"/>
  <c r="S275" i="10"/>
  <c r="R275" i="10"/>
  <c r="Q275" i="10"/>
  <c r="O275" i="10"/>
  <c r="N275" i="10"/>
  <c r="M275" i="10"/>
  <c r="L275" i="10"/>
  <c r="AJ275" i="10" s="1"/>
  <c r="K275" i="10"/>
  <c r="AL274" i="10"/>
  <c r="AK274" i="10"/>
  <c r="AI274" i="10"/>
  <c r="AH274" i="10"/>
  <c r="AC274" i="10"/>
  <c r="AE274" i="10" s="1"/>
  <c r="Z274" i="10"/>
  <c r="AA274" i="10" s="1"/>
  <c r="AG274" i="10" s="1"/>
  <c r="W274" i="10"/>
  <c r="AD274" i="10" s="1"/>
  <c r="V274" i="10"/>
  <c r="U274" i="10"/>
  <c r="AF274" i="10" s="1"/>
  <c r="S274" i="10"/>
  <c r="R274" i="10"/>
  <c r="Q274" i="10"/>
  <c r="O274" i="10"/>
  <c r="N274" i="10"/>
  <c r="M274" i="10"/>
  <c r="L274" i="10"/>
  <c r="AJ274" i="10" s="1"/>
  <c r="K274" i="10"/>
  <c r="AL273" i="10"/>
  <c r="AK273" i="10"/>
  <c r="AI273" i="10"/>
  <c r="AH273" i="10"/>
  <c r="AE273" i="10"/>
  <c r="AC273" i="10"/>
  <c r="Z273" i="10"/>
  <c r="AA273" i="10" s="1"/>
  <c r="AG273" i="10" s="1"/>
  <c r="W273" i="10"/>
  <c r="AD273" i="10" s="1"/>
  <c r="V273" i="10"/>
  <c r="U273" i="10"/>
  <c r="AF273" i="10" s="1"/>
  <c r="S273" i="10"/>
  <c r="R273" i="10"/>
  <c r="Q273" i="10"/>
  <c r="O273" i="10"/>
  <c r="N273" i="10"/>
  <c r="M273" i="10"/>
  <c r="L273" i="10"/>
  <c r="AJ273" i="10" s="1"/>
  <c r="K273" i="10"/>
  <c r="AL272" i="10"/>
  <c r="AK272" i="10"/>
  <c r="AI272" i="10"/>
  <c r="AH272" i="10"/>
  <c r="AC272" i="10"/>
  <c r="AE272" i="10" s="1"/>
  <c r="Z272" i="10"/>
  <c r="AA272" i="10" s="1"/>
  <c r="AG272" i="10" s="1"/>
  <c r="W272" i="10"/>
  <c r="AD272" i="10" s="1"/>
  <c r="V272" i="10"/>
  <c r="U272" i="10"/>
  <c r="AF272" i="10" s="1"/>
  <c r="S272" i="10"/>
  <c r="R272" i="10"/>
  <c r="Q272" i="10"/>
  <c r="O272" i="10"/>
  <c r="N272" i="10"/>
  <c r="M272" i="10"/>
  <c r="L272" i="10"/>
  <c r="AJ272" i="10" s="1"/>
  <c r="K272" i="10"/>
  <c r="AL271" i="10"/>
  <c r="AK271" i="10"/>
  <c r="AI271" i="10"/>
  <c r="AH271" i="10"/>
  <c r="AE271" i="10"/>
  <c r="AC271" i="10"/>
  <c r="Z271" i="10"/>
  <c r="AA271" i="10" s="1"/>
  <c r="AG271" i="10" s="1"/>
  <c r="W271" i="10"/>
  <c r="AD271" i="10" s="1"/>
  <c r="V271" i="10"/>
  <c r="U271" i="10"/>
  <c r="AF271" i="10" s="1"/>
  <c r="S271" i="10"/>
  <c r="R271" i="10"/>
  <c r="Q271" i="10"/>
  <c r="O271" i="10"/>
  <c r="N271" i="10"/>
  <c r="M271" i="10"/>
  <c r="L271" i="10"/>
  <c r="AJ271" i="10" s="1"/>
  <c r="K271" i="10"/>
  <c r="AL270" i="10"/>
  <c r="AK270" i="10"/>
  <c r="AI270" i="10"/>
  <c r="AH270" i="10"/>
  <c r="AC270" i="10"/>
  <c r="AE270" i="10" s="1"/>
  <c r="Z270" i="10"/>
  <c r="AA270" i="10" s="1"/>
  <c r="AG270" i="10" s="1"/>
  <c r="W270" i="10"/>
  <c r="AD270" i="10" s="1"/>
  <c r="V270" i="10"/>
  <c r="U270" i="10"/>
  <c r="AF270" i="10" s="1"/>
  <c r="S270" i="10"/>
  <c r="R270" i="10"/>
  <c r="Q270" i="10"/>
  <c r="O270" i="10"/>
  <c r="N270" i="10"/>
  <c r="M270" i="10"/>
  <c r="L270" i="10"/>
  <c r="AJ270" i="10" s="1"/>
  <c r="K270" i="10"/>
  <c r="AL269" i="10"/>
  <c r="AK269" i="10"/>
  <c r="AI269" i="10"/>
  <c r="AH269" i="10"/>
  <c r="AE269" i="10"/>
  <c r="AC269" i="10"/>
  <c r="Z269" i="10"/>
  <c r="AA269" i="10" s="1"/>
  <c r="AG269" i="10" s="1"/>
  <c r="W269" i="10"/>
  <c r="AD269" i="10" s="1"/>
  <c r="V269" i="10"/>
  <c r="U269" i="10"/>
  <c r="AF269" i="10" s="1"/>
  <c r="S269" i="10"/>
  <c r="R269" i="10"/>
  <c r="Q269" i="10"/>
  <c r="O269" i="10"/>
  <c r="N269" i="10"/>
  <c r="M269" i="10"/>
  <c r="L269" i="10"/>
  <c r="AJ269" i="10" s="1"/>
  <c r="K269" i="10"/>
  <c r="AL268" i="10"/>
  <c r="AK268" i="10"/>
  <c r="AI268" i="10"/>
  <c r="AH268" i="10"/>
  <c r="AC268" i="10"/>
  <c r="AE268" i="10" s="1"/>
  <c r="Z268" i="10"/>
  <c r="AA268" i="10" s="1"/>
  <c r="AG268" i="10" s="1"/>
  <c r="W268" i="10"/>
  <c r="AD268" i="10" s="1"/>
  <c r="V268" i="10"/>
  <c r="U268" i="10"/>
  <c r="AF268" i="10" s="1"/>
  <c r="S268" i="10"/>
  <c r="R268" i="10"/>
  <c r="Q268" i="10"/>
  <c r="O268" i="10"/>
  <c r="N268" i="10"/>
  <c r="M268" i="10"/>
  <c r="L268" i="10"/>
  <c r="AJ268" i="10" s="1"/>
  <c r="K268" i="10"/>
  <c r="AL267" i="10"/>
  <c r="AK267" i="10"/>
  <c r="AI267" i="10"/>
  <c r="AH267" i="10"/>
  <c r="AE267" i="10"/>
  <c r="AC267" i="10"/>
  <c r="Z267" i="10"/>
  <c r="AA267" i="10" s="1"/>
  <c r="AG267" i="10" s="1"/>
  <c r="W267" i="10"/>
  <c r="AD267" i="10" s="1"/>
  <c r="V267" i="10"/>
  <c r="U267" i="10"/>
  <c r="AF267" i="10" s="1"/>
  <c r="S267" i="10"/>
  <c r="R267" i="10"/>
  <c r="Q267" i="10"/>
  <c r="O267" i="10"/>
  <c r="N267" i="10"/>
  <c r="M267" i="10"/>
  <c r="L267" i="10"/>
  <c r="AJ267" i="10" s="1"/>
  <c r="K267" i="10"/>
  <c r="AL266" i="10"/>
  <c r="AK266" i="10"/>
  <c r="AI266" i="10"/>
  <c r="AH266" i="10"/>
  <c r="AC266" i="10"/>
  <c r="AE266" i="10" s="1"/>
  <c r="Z266" i="10"/>
  <c r="AA266" i="10" s="1"/>
  <c r="AG266" i="10" s="1"/>
  <c r="W266" i="10"/>
  <c r="AD266" i="10" s="1"/>
  <c r="V266" i="10"/>
  <c r="U266" i="10"/>
  <c r="AF266" i="10" s="1"/>
  <c r="S266" i="10"/>
  <c r="R266" i="10"/>
  <c r="Q266" i="10"/>
  <c r="O266" i="10"/>
  <c r="N266" i="10"/>
  <c r="M266" i="10"/>
  <c r="L266" i="10"/>
  <c r="AJ266" i="10" s="1"/>
  <c r="K266" i="10"/>
  <c r="AL265" i="10"/>
  <c r="AK265" i="10"/>
  <c r="AI265" i="10"/>
  <c r="AH265" i="10"/>
  <c r="AE265" i="10"/>
  <c r="AC265" i="10"/>
  <c r="Z265" i="10"/>
  <c r="AA265" i="10" s="1"/>
  <c r="AG265" i="10" s="1"/>
  <c r="W265" i="10"/>
  <c r="AD265" i="10" s="1"/>
  <c r="V265" i="10"/>
  <c r="U265" i="10"/>
  <c r="AF265" i="10" s="1"/>
  <c r="S265" i="10"/>
  <c r="R265" i="10"/>
  <c r="Q265" i="10"/>
  <c r="O265" i="10"/>
  <c r="N265" i="10"/>
  <c r="M265" i="10"/>
  <c r="L265" i="10"/>
  <c r="AJ265" i="10" s="1"/>
  <c r="K265" i="10"/>
  <c r="AL264" i="10"/>
  <c r="AK264" i="10"/>
  <c r="AI264" i="10"/>
  <c r="AH264" i="10"/>
  <c r="AC264" i="10"/>
  <c r="AE264" i="10" s="1"/>
  <c r="Z264" i="10"/>
  <c r="AA264" i="10" s="1"/>
  <c r="AG264" i="10" s="1"/>
  <c r="W264" i="10"/>
  <c r="AD264" i="10" s="1"/>
  <c r="V264" i="10"/>
  <c r="U264" i="10"/>
  <c r="AF264" i="10" s="1"/>
  <c r="S264" i="10"/>
  <c r="R264" i="10"/>
  <c r="Q264" i="10"/>
  <c r="O264" i="10"/>
  <c r="N264" i="10"/>
  <c r="M264" i="10"/>
  <c r="L264" i="10"/>
  <c r="AJ264" i="10" s="1"/>
  <c r="K264" i="10"/>
  <c r="AL263" i="10"/>
  <c r="AK263" i="10"/>
  <c r="AI263" i="10"/>
  <c r="AH263" i="10"/>
  <c r="AE263" i="10"/>
  <c r="AC263" i="10"/>
  <c r="Z263" i="10"/>
  <c r="AA263" i="10" s="1"/>
  <c r="AG263" i="10" s="1"/>
  <c r="W263" i="10"/>
  <c r="AD263" i="10" s="1"/>
  <c r="V263" i="10"/>
  <c r="U263" i="10"/>
  <c r="AF263" i="10" s="1"/>
  <c r="S263" i="10"/>
  <c r="R263" i="10"/>
  <c r="Q263" i="10"/>
  <c r="O263" i="10"/>
  <c r="N263" i="10"/>
  <c r="M263" i="10"/>
  <c r="L263" i="10"/>
  <c r="AJ263" i="10" s="1"/>
  <c r="K263" i="10"/>
  <c r="AL262" i="10"/>
  <c r="AK262" i="10"/>
  <c r="AI262" i="10"/>
  <c r="AH262" i="10"/>
  <c r="AC262" i="10"/>
  <c r="AE262" i="10" s="1"/>
  <c r="Z262" i="10"/>
  <c r="AA262" i="10" s="1"/>
  <c r="AG262" i="10" s="1"/>
  <c r="W262" i="10"/>
  <c r="AD262" i="10" s="1"/>
  <c r="V262" i="10"/>
  <c r="U262" i="10"/>
  <c r="AF262" i="10" s="1"/>
  <c r="S262" i="10"/>
  <c r="R262" i="10"/>
  <c r="Q262" i="10"/>
  <c r="O262" i="10"/>
  <c r="N262" i="10"/>
  <c r="M262" i="10"/>
  <c r="L262" i="10"/>
  <c r="AJ262" i="10" s="1"/>
  <c r="K262" i="10"/>
  <c r="AL261" i="10"/>
  <c r="AK261" i="10"/>
  <c r="AI261" i="10"/>
  <c r="AH261" i="10"/>
  <c r="AE261" i="10"/>
  <c r="AC261" i="10"/>
  <c r="Z261" i="10"/>
  <c r="AA261" i="10" s="1"/>
  <c r="AG261" i="10" s="1"/>
  <c r="W261" i="10"/>
  <c r="AD261" i="10" s="1"/>
  <c r="V261" i="10"/>
  <c r="U261" i="10"/>
  <c r="AF261" i="10" s="1"/>
  <c r="S261" i="10"/>
  <c r="R261" i="10"/>
  <c r="Q261" i="10"/>
  <c r="O261" i="10"/>
  <c r="N261" i="10"/>
  <c r="M261" i="10"/>
  <c r="L261" i="10"/>
  <c r="AJ261" i="10" s="1"/>
  <c r="K261" i="10"/>
  <c r="AL260" i="10"/>
  <c r="AK260" i="10"/>
  <c r="AI260" i="10"/>
  <c r="AH260" i="10"/>
  <c r="AC260" i="10"/>
  <c r="AE260" i="10" s="1"/>
  <c r="Z260" i="10"/>
  <c r="AA260" i="10" s="1"/>
  <c r="AG260" i="10" s="1"/>
  <c r="W260" i="10"/>
  <c r="AD260" i="10" s="1"/>
  <c r="V260" i="10"/>
  <c r="U260" i="10"/>
  <c r="AF260" i="10" s="1"/>
  <c r="S260" i="10"/>
  <c r="R260" i="10"/>
  <c r="Q260" i="10"/>
  <c r="O260" i="10"/>
  <c r="N260" i="10"/>
  <c r="M260" i="10"/>
  <c r="L260" i="10"/>
  <c r="AJ260" i="10" s="1"/>
  <c r="K260" i="10"/>
  <c r="AL259" i="10"/>
  <c r="AK259" i="10"/>
  <c r="AI259" i="10"/>
  <c r="AH259" i="10"/>
  <c r="AE259" i="10"/>
  <c r="AC259" i="10"/>
  <c r="Z259" i="10"/>
  <c r="AA259" i="10" s="1"/>
  <c r="AG259" i="10" s="1"/>
  <c r="W259" i="10"/>
  <c r="AD259" i="10" s="1"/>
  <c r="V259" i="10"/>
  <c r="U259" i="10"/>
  <c r="AF259" i="10" s="1"/>
  <c r="S259" i="10"/>
  <c r="R259" i="10"/>
  <c r="Q259" i="10"/>
  <c r="O259" i="10"/>
  <c r="N259" i="10"/>
  <c r="M259" i="10"/>
  <c r="L259" i="10"/>
  <c r="AJ259" i="10" s="1"/>
  <c r="K259" i="10"/>
  <c r="AL258" i="10"/>
  <c r="AK258" i="10"/>
  <c r="AI258" i="10"/>
  <c r="AH258" i="10"/>
  <c r="AC258" i="10"/>
  <c r="AE258" i="10" s="1"/>
  <c r="Z258" i="10"/>
  <c r="AA258" i="10" s="1"/>
  <c r="AG258" i="10" s="1"/>
  <c r="W258" i="10"/>
  <c r="AD258" i="10" s="1"/>
  <c r="V258" i="10"/>
  <c r="U258" i="10"/>
  <c r="AF258" i="10" s="1"/>
  <c r="S258" i="10"/>
  <c r="R258" i="10"/>
  <c r="Q258" i="10"/>
  <c r="O258" i="10"/>
  <c r="N258" i="10"/>
  <c r="M258" i="10"/>
  <c r="L258" i="10"/>
  <c r="AJ258" i="10" s="1"/>
  <c r="K258" i="10"/>
  <c r="AL257" i="10"/>
  <c r="AK257" i="10"/>
  <c r="AI257" i="10"/>
  <c r="AH257" i="10"/>
  <c r="AE257" i="10"/>
  <c r="AC257" i="10"/>
  <c r="Z257" i="10"/>
  <c r="AA257" i="10" s="1"/>
  <c r="AG257" i="10" s="1"/>
  <c r="W257" i="10"/>
  <c r="AD257" i="10" s="1"/>
  <c r="V257" i="10"/>
  <c r="U257" i="10"/>
  <c r="AF257" i="10" s="1"/>
  <c r="S257" i="10"/>
  <c r="R257" i="10"/>
  <c r="Q257" i="10"/>
  <c r="O257" i="10"/>
  <c r="N257" i="10"/>
  <c r="M257" i="10"/>
  <c r="L257" i="10"/>
  <c r="AJ257" i="10" s="1"/>
  <c r="K257" i="10"/>
  <c r="AL256" i="10"/>
  <c r="AK256" i="10"/>
  <c r="AI256" i="10"/>
  <c r="AH256" i="10"/>
  <c r="AC256" i="10"/>
  <c r="AE256" i="10" s="1"/>
  <c r="Z256" i="10"/>
  <c r="AA256" i="10" s="1"/>
  <c r="AG256" i="10" s="1"/>
  <c r="W256" i="10"/>
  <c r="AD256" i="10" s="1"/>
  <c r="V256" i="10"/>
  <c r="U256" i="10"/>
  <c r="AF256" i="10" s="1"/>
  <c r="S256" i="10"/>
  <c r="R256" i="10"/>
  <c r="Q256" i="10"/>
  <c r="O256" i="10"/>
  <c r="N256" i="10"/>
  <c r="M256" i="10"/>
  <c r="L256" i="10"/>
  <c r="AJ256" i="10" s="1"/>
  <c r="K256" i="10"/>
  <c r="AL255" i="10"/>
  <c r="AK255" i="10"/>
  <c r="AI255" i="10"/>
  <c r="AH255" i="10"/>
  <c r="AE255" i="10"/>
  <c r="AC255" i="10"/>
  <c r="Z255" i="10"/>
  <c r="AA255" i="10" s="1"/>
  <c r="AG255" i="10" s="1"/>
  <c r="W255" i="10"/>
  <c r="AD255" i="10" s="1"/>
  <c r="V255" i="10"/>
  <c r="U255" i="10"/>
  <c r="AF255" i="10" s="1"/>
  <c r="S255" i="10"/>
  <c r="R255" i="10"/>
  <c r="Q255" i="10"/>
  <c r="O255" i="10"/>
  <c r="N255" i="10"/>
  <c r="M255" i="10"/>
  <c r="L255" i="10"/>
  <c r="AJ255" i="10" s="1"/>
  <c r="K255" i="10"/>
  <c r="AL254" i="10"/>
  <c r="AK254" i="10"/>
  <c r="AI254" i="10"/>
  <c r="AH254" i="10"/>
  <c r="AC254" i="10"/>
  <c r="AE254" i="10" s="1"/>
  <c r="Z254" i="10"/>
  <c r="AA254" i="10" s="1"/>
  <c r="AG254" i="10" s="1"/>
  <c r="W254" i="10"/>
  <c r="AD254" i="10" s="1"/>
  <c r="V254" i="10"/>
  <c r="U254" i="10"/>
  <c r="AF254" i="10" s="1"/>
  <c r="S254" i="10"/>
  <c r="R254" i="10"/>
  <c r="Q254" i="10"/>
  <c r="O254" i="10"/>
  <c r="N254" i="10"/>
  <c r="M254" i="10"/>
  <c r="L254" i="10"/>
  <c r="AJ254" i="10" s="1"/>
  <c r="K254" i="10"/>
  <c r="AL253" i="10"/>
  <c r="AK253" i="10"/>
  <c r="AI253" i="10"/>
  <c r="AH253" i="10"/>
  <c r="AE253" i="10"/>
  <c r="AC253" i="10"/>
  <c r="Z253" i="10"/>
  <c r="AA253" i="10" s="1"/>
  <c r="AG253" i="10" s="1"/>
  <c r="W253" i="10"/>
  <c r="AD253" i="10" s="1"/>
  <c r="V253" i="10"/>
  <c r="U253" i="10"/>
  <c r="AF253" i="10" s="1"/>
  <c r="S253" i="10"/>
  <c r="R253" i="10"/>
  <c r="Q253" i="10"/>
  <c r="O253" i="10"/>
  <c r="N253" i="10"/>
  <c r="M253" i="10"/>
  <c r="L253" i="10"/>
  <c r="AJ253" i="10" s="1"/>
  <c r="K253" i="10"/>
  <c r="AL252" i="10"/>
  <c r="AK252" i="10"/>
  <c r="AI252" i="10"/>
  <c r="AH252" i="10"/>
  <c r="AC252" i="10"/>
  <c r="AE252" i="10" s="1"/>
  <c r="Z252" i="10"/>
  <c r="AA252" i="10" s="1"/>
  <c r="AG252" i="10" s="1"/>
  <c r="W252" i="10"/>
  <c r="AD252" i="10" s="1"/>
  <c r="V252" i="10"/>
  <c r="U252" i="10"/>
  <c r="AF252" i="10" s="1"/>
  <c r="S252" i="10"/>
  <c r="R252" i="10"/>
  <c r="Q252" i="10"/>
  <c r="O252" i="10"/>
  <c r="N252" i="10"/>
  <c r="M252" i="10"/>
  <c r="L252" i="10"/>
  <c r="AJ252" i="10" s="1"/>
  <c r="K252" i="10"/>
  <c r="AL251" i="10"/>
  <c r="AK251" i="10"/>
  <c r="AI251" i="10"/>
  <c r="AH251" i="10"/>
  <c r="AE251" i="10"/>
  <c r="AC251" i="10"/>
  <c r="Z251" i="10"/>
  <c r="AA251" i="10" s="1"/>
  <c r="AG251" i="10" s="1"/>
  <c r="W251" i="10"/>
  <c r="AD251" i="10" s="1"/>
  <c r="V251" i="10"/>
  <c r="U251" i="10"/>
  <c r="AF251" i="10" s="1"/>
  <c r="S251" i="10"/>
  <c r="R251" i="10"/>
  <c r="Q251" i="10"/>
  <c r="O251" i="10"/>
  <c r="N251" i="10"/>
  <c r="M251" i="10"/>
  <c r="L251" i="10"/>
  <c r="AJ251" i="10" s="1"/>
  <c r="K251" i="10"/>
  <c r="AL250" i="10"/>
  <c r="AK250" i="10"/>
  <c r="AI250" i="10"/>
  <c r="AH250" i="10"/>
  <c r="AC250" i="10"/>
  <c r="AE250" i="10" s="1"/>
  <c r="Z250" i="10"/>
  <c r="AA250" i="10" s="1"/>
  <c r="AG250" i="10" s="1"/>
  <c r="W250" i="10"/>
  <c r="AD250" i="10" s="1"/>
  <c r="V250" i="10"/>
  <c r="U250" i="10"/>
  <c r="AF250" i="10" s="1"/>
  <c r="S250" i="10"/>
  <c r="R250" i="10"/>
  <c r="Q250" i="10"/>
  <c r="O250" i="10"/>
  <c r="N250" i="10"/>
  <c r="M250" i="10"/>
  <c r="L250" i="10"/>
  <c r="AJ250" i="10" s="1"/>
  <c r="K250" i="10"/>
  <c r="AL249" i="10"/>
  <c r="AK249" i="10"/>
  <c r="AI249" i="10"/>
  <c r="AH249" i="10"/>
  <c r="AE249" i="10"/>
  <c r="AC249" i="10"/>
  <c r="Z249" i="10"/>
  <c r="AA249" i="10" s="1"/>
  <c r="AG249" i="10" s="1"/>
  <c r="W249" i="10"/>
  <c r="AD249" i="10" s="1"/>
  <c r="V249" i="10"/>
  <c r="U249" i="10"/>
  <c r="AF249" i="10" s="1"/>
  <c r="S249" i="10"/>
  <c r="R249" i="10"/>
  <c r="Q249" i="10"/>
  <c r="O249" i="10"/>
  <c r="N249" i="10"/>
  <c r="M249" i="10"/>
  <c r="L249" i="10"/>
  <c r="AJ249" i="10" s="1"/>
  <c r="K249" i="10"/>
  <c r="AL248" i="10"/>
  <c r="AK248" i="10"/>
  <c r="AI248" i="10"/>
  <c r="AH248" i="10"/>
  <c r="AC248" i="10"/>
  <c r="AE248" i="10" s="1"/>
  <c r="Z248" i="10"/>
  <c r="AA248" i="10" s="1"/>
  <c r="AG248" i="10" s="1"/>
  <c r="W248" i="10"/>
  <c r="AD248" i="10" s="1"/>
  <c r="V248" i="10"/>
  <c r="U248" i="10"/>
  <c r="AF248" i="10" s="1"/>
  <c r="S248" i="10"/>
  <c r="R248" i="10"/>
  <c r="Q248" i="10"/>
  <c r="O248" i="10"/>
  <c r="N248" i="10"/>
  <c r="M248" i="10"/>
  <c r="L248" i="10"/>
  <c r="AJ248" i="10" s="1"/>
  <c r="K248" i="10"/>
  <c r="AL247" i="10"/>
  <c r="AK247" i="10"/>
  <c r="AI247" i="10"/>
  <c r="AH247" i="10"/>
  <c r="AE247" i="10"/>
  <c r="AC247" i="10"/>
  <c r="Z247" i="10"/>
  <c r="AA247" i="10" s="1"/>
  <c r="AG247" i="10" s="1"/>
  <c r="W247" i="10"/>
  <c r="AD247" i="10" s="1"/>
  <c r="V247" i="10"/>
  <c r="U247" i="10"/>
  <c r="AF247" i="10" s="1"/>
  <c r="S247" i="10"/>
  <c r="R247" i="10"/>
  <c r="Q247" i="10"/>
  <c r="O247" i="10"/>
  <c r="N247" i="10"/>
  <c r="M247" i="10"/>
  <c r="L247" i="10"/>
  <c r="AJ247" i="10" s="1"/>
  <c r="K247" i="10"/>
  <c r="AL246" i="10"/>
  <c r="AK246" i="10"/>
  <c r="AI246" i="10"/>
  <c r="AH246" i="10"/>
  <c r="AC246" i="10"/>
  <c r="AE246" i="10" s="1"/>
  <c r="Z246" i="10"/>
  <c r="AA246" i="10" s="1"/>
  <c r="AG246" i="10" s="1"/>
  <c r="W246" i="10"/>
  <c r="AD246" i="10" s="1"/>
  <c r="V246" i="10"/>
  <c r="U246" i="10"/>
  <c r="AF246" i="10" s="1"/>
  <c r="S246" i="10"/>
  <c r="R246" i="10"/>
  <c r="Q246" i="10"/>
  <c r="O246" i="10"/>
  <c r="N246" i="10"/>
  <c r="M246" i="10"/>
  <c r="L246" i="10"/>
  <c r="AJ246" i="10" s="1"/>
  <c r="K246" i="10"/>
  <c r="AL245" i="10"/>
  <c r="AK245" i="10"/>
  <c r="AI245" i="10"/>
  <c r="AH245" i="10"/>
  <c r="AE245" i="10"/>
  <c r="AC245" i="10"/>
  <c r="Z245" i="10"/>
  <c r="AA245" i="10" s="1"/>
  <c r="AG245" i="10" s="1"/>
  <c r="W245" i="10"/>
  <c r="AD245" i="10" s="1"/>
  <c r="V245" i="10"/>
  <c r="U245" i="10"/>
  <c r="AF245" i="10" s="1"/>
  <c r="S245" i="10"/>
  <c r="R245" i="10"/>
  <c r="Q245" i="10"/>
  <c r="O245" i="10"/>
  <c r="N245" i="10"/>
  <c r="M245" i="10"/>
  <c r="L245" i="10"/>
  <c r="AJ245" i="10" s="1"/>
  <c r="K245" i="10"/>
  <c r="AL244" i="10"/>
  <c r="AK244" i="10"/>
  <c r="AI244" i="10"/>
  <c r="AH244" i="10"/>
  <c r="AC244" i="10"/>
  <c r="AE244" i="10" s="1"/>
  <c r="Z244" i="10"/>
  <c r="AA244" i="10" s="1"/>
  <c r="AG244" i="10" s="1"/>
  <c r="W244" i="10"/>
  <c r="AD244" i="10" s="1"/>
  <c r="V244" i="10"/>
  <c r="U244" i="10"/>
  <c r="AF244" i="10" s="1"/>
  <c r="S244" i="10"/>
  <c r="R244" i="10"/>
  <c r="Q244" i="10"/>
  <c r="O244" i="10"/>
  <c r="N244" i="10"/>
  <c r="M244" i="10"/>
  <c r="L244" i="10"/>
  <c r="AJ244" i="10" s="1"/>
  <c r="K244" i="10"/>
  <c r="AL243" i="10"/>
  <c r="AK243" i="10"/>
  <c r="AI243" i="10"/>
  <c r="AH243" i="10"/>
  <c r="AE243" i="10"/>
  <c r="AC243" i="10"/>
  <c r="Z243" i="10"/>
  <c r="AA243" i="10" s="1"/>
  <c r="AG243" i="10" s="1"/>
  <c r="W243" i="10"/>
  <c r="AD243" i="10" s="1"/>
  <c r="V243" i="10"/>
  <c r="U243" i="10"/>
  <c r="AF243" i="10" s="1"/>
  <c r="S243" i="10"/>
  <c r="R243" i="10"/>
  <c r="Q243" i="10"/>
  <c r="O243" i="10"/>
  <c r="N243" i="10"/>
  <c r="M243" i="10"/>
  <c r="L243" i="10"/>
  <c r="AJ243" i="10" s="1"/>
  <c r="K243" i="10"/>
  <c r="AL242" i="10"/>
  <c r="AK242" i="10"/>
  <c r="AI242" i="10"/>
  <c r="AH242" i="10"/>
  <c r="AC242" i="10"/>
  <c r="AE242" i="10" s="1"/>
  <c r="Z242" i="10"/>
  <c r="AA242" i="10" s="1"/>
  <c r="AG242" i="10" s="1"/>
  <c r="W242" i="10"/>
  <c r="AD242" i="10" s="1"/>
  <c r="V242" i="10"/>
  <c r="U242" i="10"/>
  <c r="AF242" i="10" s="1"/>
  <c r="S242" i="10"/>
  <c r="R242" i="10"/>
  <c r="Q242" i="10"/>
  <c r="O242" i="10"/>
  <c r="N242" i="10"/>
  <c r="M242" i="10"/>
  <c r="L242" i="10"/>
  <c r="AJ242" i="10" s="1"/>
  <c r="K242" i="10"/>
  <c r="AL241" i="10"/>
  <c r="AK241" i="10"/>
  <c r="AI241" i="10"/>
  <c r="AH241" i="10"/>
  <c r="AE241" i="10"/>
  <c r="AC241" i="10"/>
  <c r="Z241" i="10"/>
  <c r="AA241" i="10" s="1"/>
  <c r="AG241" i="10" s="1"/>
  <c r="W241" i="10"/>
  <c r="AD241" i="10" s="1"/>
  <c r="V241" i="10"/>
  <c r="U241" i="10"/>
  <c r="AF241" i="10" s="1"/>
  <c r="S241" i="10"/>
  <c r="R241" i="10"/>
  <c r="Q241" i="10"/>
  <c r="O241" i="10"/>
  <c r="N241" i="10"/>
  <c r="M241" i="10"/>
  <c r="L241" i="10"/>
  <c r="AJ241" i="10" s="1"/>
  <c r="K241" i="10"/>
  <c r="AL240" i="10"/>
  <c r="AK240" i="10"/>
  <c r="AI240" i="10"/>
  <c r="AH240" i="10"/>
  <c r="AC240" i="10"/>
  <c r="AE240" i="10" s="1"/>
  <c r="Z240" i="10"/>
  <c r="AA240" i="10" s="1"/>
  <c r="AG240" i="10" s="1"/>
  <c r="W240" i="10"/>
  <c r="AD240" i="10" s="1"/>
  <c r="V240" i="10"/>
  <c r="U240" i="10"/>
  <c r="AF240" i="10" s="1"/>
  <c r="S240" i="10"/>
  <c r="R240" i="10"/>
  <c r="Q240" i="10"/>
  <c r="O240" i="10"/>
  <c r="N240" i="10"/>
  <c r="M240" i="10"/>
  <c r="L240" i="10"/>
  <c r="AJ240" i="10" s="1"/>
  <c r="K240" i="10"/>
  <c r="AL239" i="10"/>
  <c r="AK239" i="10"/>
  <c r="AI239" i="10"/>
  <c r="AH239" i="10"/>
  <c r="AE239" i="10"/>
  <c r="AC239" i="10"/>
  <c r="Z239" i="10"/>
  <c r="AA239" i="10" s="1"/>
  <c r="AG239" i="10" s="1"/>
  <c r="W239" i="10"/>
  <c r="AD239" i="10" s="1"/>
  <c r="V239" i="10"/>
  <c r="U239" i="10"/>
  <c r="AF239" i="10" s="1"/>
  <c r="S239" i="10"/>
  <c r="R239" i="10"/>
  <c r="Q239" i="10"/>
  <c r="O239" i="10"/>
  <c r="N239" i="10"/>
  <c r="M239" i="10"/>
  <c r="L239" i="10"/>
  <c r="AJ239" i="10" s="1"/>
  <c r="K239" i="10"/>
  <c r="AL238" i="10"/>
  <c r="AK238" i="10"/>
  <c r="AI238" i="10"/>
  <c r="AH238" i="10"/>
  <c r="AC238" i="10"/>
  <c r="AE238" i="10" s="1"/>
  <c r="Z238" i="10"/>
  <c r="AA238" i="10" s="1"/>
  <c r="AG238" i="10" s="1"/>
  <c r="W238" i="10"/>
  <c r="AD238" i="10" s="1"/>
  <c r="V238" i="10"/>
  <c r="U238" i="10"/>
  <c r="AF238" i="10" s="1"/>
  <c r="S238" i="10"/>
  <c r="R238" i="10"/>
  <c r="Q238" i="10"/>
  <c r="O238" i="10"/>
  <c r="N238" i="10"/>
  <c r="M238" i="10"/>
  <c r="L238" i="10"/>
  <c r="AJ238" i="10" s="1"/>
  <c r="K238" i="10"/>
  <c r="AL237" i="10"/>
  <c r="AK237" i="10"/>
  <c r="AI237" i="10"/>
  <c r="AH237" i="10"/>
  <c r="AE237" i="10"/>
  <c r="AC237" i="10"/>
  <c r="Z237" i="10"/>
  <c r="AA237" i="10" s="1"/>
  <c r="AG237" i="10" s="1"/>
  <c r="W237" i="10"/>
  <c r="AD237" i="10" s="1"/>
  <c r="V237" i="10"/>
  <c r="U237" i="10"/>
  <c r="AF237" i="10" s="1"/>
  <c r="S237" i="10"/>
  <c r="R237" i="10"/>
  <c r="Q237" i="10"/>
  <c r="O237" i="10"/>
  <c r="N237" i="10"/>
  <c r="M237" i="10"/>
  <c r="L237" i="10"/>
  <c r="AJ237" i="10" s="1"/>
  <c r="K237" i="10"/>
  <c r="AL236" i="10"/>
  <c r="AK236" i="10"/>
  <c r="AI236" i="10"/>
  <c r="AH236" i="10"/>
  <c r="AC236" i="10"/>
  <c r="AE236" i="10" s="1"/>
  <c r="Z236" i="10"/>
  <c r="AA236" i="10" s="1"/>
  <c r="AG236" i="10" s="1"/>
  <c r="W236" i="10"/>
  <c r="AD236" i="10" s="1"/>
  <c r="V236" i="10"/>
  <c r="U236" i="10"/>
  <c r="AF236" i="10" s="1"/>
  <c r="S236" i="10"/>
  <c r="R236" i="10"/>
  <c r="Q236" i="10"/>
  <c r="O236" i="10"/>
  <c r="N236" i="10"/>
  <c r="M236" i="10"/>
  <c r="L236" i="10"/>
  <c r="AJ236" i="10" s="1"/>
  <c r="K236" i="10"/>
  <c r="AL235" i="10"/>
  <c r="AK235" i="10"/>
  <c r="AI235" i="10"/>
  <c r="AH235" i="10"/>
  <c r="AE235" i="10"/>
  <c r="AC235" i="10"/>
  <c r="Z235" i="10"/>
  <c r="AA235" i="10" s="1"/>
  <c r="AG235" i="10" s="1"/>
  <c r="W235" i="10"/>
  <c r="AD235" i="10" s="1"/>
  <c r="V235" i="10"/>
  <c r="U235" i="10"/>
  <c r="AF235" i="10" s="1"/>
  <c r="S235" i="10"/>
  <c r="R235" i="10"/>
  <c r="Q235" i="10"/>
  <c r="O235" i="10"/>
  <c r="N235" i="10"/>
  <c r="M235" i="10"/>
  <c r="L235" i="10"/>
  <c r="AJ235" i="10" s="1"/>
  <c r="K235" i="10"/>
  <c r="AL234" i="10"/>
  <c r="AK234" i="10"/>
  <c r="AI234" i="10"/>
  <c r="AH234" i="10"/>
  <c r="AC234" i="10"/>
  <c r="AE234" i="10" s="1"/>
  <c r="Z234" i="10"/>
  <c r="AA234" i="10" s="1"/>
  <c r="AG234" i="10" s="1"/>
  <c r="W234" i="10"/>
  <c r="AD234" i="10" s="1"/>
  <c r="V234" i="10"/>
  <c r="U234" i="10"/>
  <c r="AF234" i="10" s="1"/>
  <c r="S234" i="10"/>
  <c r="R234" i="10"/>
  <c r="Q234" i="10"/>
  <c r="O234" i="10"/>
  <c r="N234" i="10"/>
  <c r="M234" i="10"/>
  <c r="L234" i="10"/>
  <c r="AJ234" i="10" s="1"/>
  <c r="K234" i="10"/>
  <c r="AL233" i="10"/>
  <c r="AK233" i="10"/>
  <c r="AI233" i="10"/>
  <c r="AH233" i="10"/>
  <c r="AE233" i="10"/>
  <c r="AC233" i="10"/>
  <c r="Z233" i="10"/>
  <c r="AA233" i="10" s="1"/>
  <c r="AG233" i="10" s="1"/>
  <c r="W233" i="10"/>
  <c r="AD233" i="10" s="1"/>
  <c r="V233" i="10"/>
  <c r="U233" i="10"/>
  <c r="AF233" i="10" s="1"/>
  <c r="S233" i="10"/>
  <c r="R233" i="10"/>
  <c r="Q233" i="10"/>
  <c r="O233" i="10"/>
  <c r="N233" i="10"/>
  <c r="M233" i="10"/>
  <c r="L233" i="10"/>
  <c r="AJ233" i="10" s="1"/>
  <c r="K233" i="10"/>
  <c r="AL232" i="10"/>
  <c r="AK232" i="10"/>
  <c r="AI232" i="10"/>
  <c r="AH232" i="10"/>
  <c r="AC232" i="10"/>
  <c r="AE232" i="10" s="1"/>
  <c r="Z232" i="10"/>
  <c r="AA232" i="10" s="1"/>
  <c r="AG232" i="10" s="1"/>
  <c r="W232" i="10"/>
  <c r="AD232" i="10" s="1"/>
  <c r="V232" i="10"/>
  <c r="U232" i="10"/>
  <c r="AF232" i="10" s="1"/>
  <c r="S232" i="10"/>
  <c r="R232" i="10"/>
  <c r="Q232" i="10"/>
  <c r="O232" i="10"/>
  <c r="N232" i="10"/>
  <c r="M232" i="10"/>
  <c r="L232" i="10"/>
  <c r="AJ232" i="10" s="1"/>
  <c r="K232" i="10"/>
  <c r="AL231" i="10"/>
  <c r="AK231" i="10"/>
  <c r="AI231" i="10"/>
  <c r="AH231" i="10"/>
  <c r="AE231" i="10"/>
  <c r="AC231" i="10"/>
  <c r="Z231" i="10"/>
  <c r="AA231" i="10" s="1"/>
  <c r="AG231" i="10" s="1"/>
  <c r="W231" i="10"/>
  <c r="AD231" i="10" s="1"/>
  <c r="V231" i="10"/>
  <c r="U231" i="10"/>
  <c r="AF231" i="10" s="1"/>
  <c r="S231" i="10"/>
  <c r="R231" i="10"/>
  <c r="Q231" i="10"/>
  <c r="O231" i="10"/>
  <c r="N231" i="10"/>
  <c r="M231" i="10"/>
  <c r="L231" i="10"/>
  <c r="AJ231" i="10" s="1"/>
  <c r="K231" i="10"/>
  <c r="AL230" i="10"/>
  <c r="AK230" i="10"/>
  <c r="AI230" i="10"/>
  <c r="AH230" i="10"/>
  <c r="AC230" i="10"/>
  <c r="AE230" i="10" s="1"/>
  <c r="Z230" i="10"/>
  <c r="AA230" i="10" s="1"/>
  <c r="AG230" i="10" s="1"/>
  <c r="W230" i="10"/>
  <c r="AD230" i="10" s="1"/>
  <c r="V230" i="10"/>
  <c r="U230" i="10"/>
  <c r="AF230" i="10" s="1"/>
  <c r="S230" i="10"/>
  <c r="R230" i="10"/>
  <c r="Q230" i="10"/>
  <c r="O230" i="10"/>
  <c r="N230" i="10"/>
  <c r="M230" i="10"/>
  <c r="L230" i="10"/>
  <c r="AJ230" i="10" s="1"/>
  <c r="K230" i="10"/>
  <c r="AL229" i="10"/>
  <c r="AK229" i="10"/>
  <c r="AI229" i="10"/>
  <c r="AH229" i="10"/>
  <c r="AE229" i="10"/>
  <c r="AC229" i="10"/>
  <c r="Z229" i="10"/>
  <c r="AA229" i="10" s="1"/>
  <c r="AG229" i="10" s="1"/>
  <c r="W229" i="10"/>
  <c r="AD229" i="10" s="1"/>
  <c r="V229" i="10"/>
  <c r="U229" i="10"/>
  <c r="AF229" i="10" s="1"/>
  <c r="S229" i="10"/>
  <c r="R229" i="10"/>
  <c r="Q229" i="10"/>
  <c r="O229" i="10"/>
  <c r="N229" i="10"/>
  <c r="M229" i="10"/>
  <c r="L229" i="10"/>
  <c r="AJ229" i="10" s="1"/>
  <c r="K229" i="10"/>
  <c r="AL228" i="10"/>
  <c r="AK228" i="10"/>
  <c r="AI228" i="10"/>
  <c r="AH228" i="10"/>
  <c r="AC228" i="10"/>
  <c r="AE228" i="10" s="1"/>
  <c r="Z228" i="10"/>
  <c r="AA228" i="10" s="1"/>
  <c r="AG228" i="10" s="1"/>
  <c r="W228" i="10"/>
  <c r="AD228" i="10" s="1"/>
  <c r="V228" i="10"/>
  <c r="U228" i="10"/>
  <c r="AF228" i="10" s="1"/>
  <c r="S228" i="10"/>
  <c r="R228" i="10"/>
  <c r="Q228" i="10"/>
  <c r="O228" i="10"/>
  <c r="N228" i="10"/>
  <c r="M228" i="10"/>
  <c r="L228" i="10"/>
  <c r="AJ228" i="10" s="1"/>
  <c r="K228" i="10"/>
  <c r="AL227" i="10"/>
  <c r="AK227" i="10"/>
  <c r="AI227" i="10"/>
  <c r="AH227" i="10"/>
  <c r="AE227" i="10"/>
  <c r="AC227" i="10"/>
  <c r="Z227" i="10"/>
  <c r="AA227" i="10" s="1"/>
  <c r="AG227" i="10" s="1"/>
  <c r="W227" i="10"/>
  <c r="AD227" i="10" s="1"/>
  <c r="V227" i="10"/>
  <c r="U227" i="10"/>
  <c r="AF227" i="10" s="1"/>
  <c r="S227" i="10"/>
  <c r="R227" i="10"/>
  <c r="Q227" i="10"/>
  <c r="O227" i="10"/>
  <c r="N227" i="10"/>
  <c r="M227" i="10"/>
  <c r="L227" i="10"/>
  <c r="AJ227" i="10" s="1"/>
  <c r="K227" i="10"/>
  <c r="AL226" i="10"/>
  <c r="AK226" i="10"/>
  <c r="AI226" i="10"/>
  <c r="AH226" i="10"/>
  <c r="AC226" i="10"/>
  <c r="AE226" i="10" s="1"/>
  <c r="Z226" i="10"/>
  <c r="AA226" i="10" s="1"/>
  <c r="AG226" i="10" s="1"/>
  <c r="W226" i="10"/>
  <c r="AD226" i="10" s="1"/>
  <c r="V226" i="10"/>
  <c r="U226" i="10"/>
  <c r="AF226" i="10" s="1"/>
  <c r="S226" i="10"/>
  <c r="R226" i="10"/>
  <c r="Q226" i="10"/>
  <c r="O226" i="10"/>
  <c r="N226" i="10"/>
  <c r="M226" i="10"/>
  <c r="L226" i="10"/>
  <c r="AJ226" i="10" s="1"/>
  <c r="K226" i="10"/>
  <c r="AL225" i="10"/>
  <c r="AK225" i="10"/>
  <c r="AI225" i="10"/>
  <c r="AH225" i="10"/>
  <c r="AE225" i="10"/>
  <c r="AC225" i="10"/>
  <c r="Z225" i="10"/>
  <c r="AA225" i="10" s="1"/>
  <c r="AG225" i="10" s="1"/>
  <c r="W225" i="10"/>
  <c r="AD225" i="10" s="1"/>
  <c r="V225" i="10"/>
  <c r="U225" i="10"/>
  <c r="AF225" i="10" s="1"/>
  <c r="S225" i="10"/>
  <c r="R225" i="10"/>
  <c r="Q225" i="10"/>
  <c r="O225" i="10"/>
  <c r="N225" i="10"/>
  <c r="M225" i="10"/>
  <c r="L225" i="10"/>
  <c r="AJ225" i="10" s="1"/>
  <c r="K225" i="10"/>
  <c r="AL224" i="10"/>
  <c r="AK224" i="10"/>
  <c r="AI224" i="10"/>
  <c r="AH224" i="10"/>
  <c r="AC224" i="10"/>
  <c r="AE224" i="10" s="1"/>
  <c r="Z224" i="10"/>
  <c r="AA224" i="10" s="1"/>
  <c r="AG224" i="10" s="1"/>
  <c r="W224" i="10"/>
  <c r="AD224" i="10" s="1"/>
  <c r="V224" i="10"/>
  <c r="U224" i="10"/>
  <c r="AF224" i="10" s="1"/>
  <c r="S224" i="10"/>
  <c r="R224" i="10"/>
  <c r="Q224" i="10"/>
  <c r="O224" i="10"/>
  <c r="N224" i="10"/>
  <c r="M224" i="10"/>
  <c r="L224" i="10"/>
  <c r="AJ224" i="10" s="1"/>
  <c r="K224" i="10"/>
  <c r="AL223" i="10"/>
  <c r="AK223" i="10"/>
  <c r="AI223" i="10"/>
  <c r="AH223" i="10"/>
  <c r="AE223" i="10"/>
  <c r="AC223" i="10"/>
  <c r="Z223" i="10"/>
  <c r="AA223" i="10" s="1"/>
  <c r="AG223" i="10" s="1"/>
  <c r="W223" i="10"/>
  <c r="AD223" i="10" s="1"/>
  <c r="V223" i="10"/>
  <c r="U223" i="10"/>
  <c r="AF223" i="10" s="1"/>
  <c r="S223" i="10"/>
  <c r="R223" i="10"/>
  <c r="Q223" i="10"/>
  <c r="O223" i="10"/>
  <c r="N223" i="10"/>
  <c r="M223" i="10"/>
  <c r="L223" i="10"/>
  <c r="AJ223" i="10" s="1"/>
  <c r="K223" i="10"/>
  <c r="AL222" i="10"/>
  <c r="AK222" i="10"/>
  <c r="AI222" i="10"/>
  <c r="AH222" i="10"/>
  <c r="AC222" i="10"/>
  <c r="AE222" i="10" s="1"/>
  <c r="Z222" i="10"/>
  <c r="AA222" i="10" s="1"/>
  <c r="AG222" i="10" s="1"/>
  <c r="W222" i="10"/>
  <c r="AD222" i="10" s="1"/>
  <c r="V222" i="10"/>
  <c r="U222" i="10"/>
  <c r="AF222" i="10" s="1"/>
  <c r="S222" i="10"/>
  <c r="R222" i="10"/>
  <c r="Q222" i="10"/>
  <c r="O222" i="10"/>
  <c r="N222" i="10"/>
  <c r="M222" i="10"/>
  <c r="L222" i="10"/>
  <c r="AJ222" i="10" s="1"/>
  <c r="K222" i="10"/>
  <c r="AL221" i="10"/>
  <c r="AK221" i="10"/>
  <c r="AI221" i="10"/>
  <c r="AH221" i="10"/>
  <c r="AE221" i="10"/>
  <c r="AC221" i="10"/>
  <c r="Z221" i="10"/>
  <c r="AA221" i="10" s="1"/>
  <c r="AG221" i="10" s="1"/>
  <c r="W221" i="10"/>
  <c r="AD221" i="10" s="1"/>
  <c r="V221" i="10"/>
  <c r="U221" i="10"/>
  <c r="AF221" i="10" s="1"/>
  <c r="S221" i="10"/>
  <c r="R221" i="10"/>
  <c r="Q221" i="10"/>
  <c r="O221" i="10"/>
  <c r="N221" i="10"/>
  <c r="M221" i="10"/>
  <c r="L221" i="10"/>
  <c r="AJ221" i="10" s="1"/>
  <c r="K221" i="10"/>
  <c r="AL220" i="10"/>
  <c r="AK220" i="10"/>
  <c r="AI220" i="10"/>
  <c r="AH220" i="10"/>
  <c r="AC220" i="10"/>
  <c r="AE220" i="10" s="1"/>
  <c r="Z220" i="10"/>
  <c r="AA220" i="10" s="1"/>
  <c r="AG220" i="10" s="1"/>
  <c r="W220" i="10"/>
  <c r="AD220" i="10" s="1"/>
  <c r="V220" i="10"/>
  <c r="U220" i="10"/>
  <c r="AF220" i="10" s="1"/>
  <c r="S220" i="10"/>
  <c r="R220" i="10"/>
  <c r="Q220" i="10"/>
  <c r="O220" i="10"/>
  <c r="N220" i="10"/>
  <c r="M220" i="10"/>
  <c r="L220" i="10"/>
  <c r="AJ220" i="10" s="1"/>
  <c r="K220" i="10"/>
  <c r="AL219" i="10"/>
  <c r="AK219" i="10"/>
  <c r="AI219" i="10"/>
  <c r="AH219" i="10"/>
  <c r="AE219" i="10"/>
  <c r="AC219" i="10"/>
  <c r="Z219" i="10"/>
  <c r="AA219" i="10" s="1"/>
  <c r="AG219" i="10" s="1"/>
  <c r="W219" i="10"/>
  <c r="AD219" i="10" s="1"/>
  <c r="V219" i="10"/>
  <c r="U219" i="10"/>
  <c r="AF219" i="10" s="1"/>
  <c r="S219" i="10"/>
  <c r="R219" i="10"/>
  <c r="Q219" i="10"/>
  <c r="O219" i="10"/>
  <c r="N219" i="10"/>
  <c r="M219" i="10"/>
  <c r="L219" i="10"/>
  <c r="AJ219" i="10" s="1"/>
  <c r="K219" i="10"/>
  <c r="AL218" i="10"/>
  <c r="AK218" i="10"/>
  <c r="AI218" i="10"/>
  <c r="AH218" i="10"/>
  <c r="AC218" i="10"/>
  <c r="AE218" i="10" s="1"/>
  <c r="Z218" i="10"/>
  <c r="AA218" i="10" s="1"/>
  <c r="AG218" i="10" s="1"/>
  <c r="W218" i="10"/>
  <c r="AD218" i="10" s="1"/>
  <c r="V218" i="10"/>
  <c r="U218" i="10"/>
  <c r="AF218" i="10" s="1"/>
  <c r="S218" i="10"/>
  <c r="R218" i="10"/>
  <c r="Q218" i="10"/>
  <c r="O218" i="10"/>
  <c r="N218" i="10"/>
  <c r="M218" i="10"/>
  <c r="L218" i="10"/>
  <c r="AJ218" i="10" s="1"/>
  <c r="K218" i="10"/>
  <c r="AL217" i="10"/>
  <c r="AK217" i="10"/>
  <c r="AI217" i="10"/>
  <c r="AH217" i="10"/>
  <c r="AE217" i="10"/>
  <c r="AC217" i="10"/>
  <c r="Z217" i="10"/>
  <c r="AA217" i="10" s="1"/>
  <c r="AG217" i="10" s="1"/>
  <c r="W217" i="10"/>
  <c r="AD217" i="10" s="1"/>
  <c r="V217" i="10"/>
  <c r="U217" i="10"/>
  <c r="AF217" i="10" s="1"/>
  <c r="S217" i="10"/>
  <c r="R217" i="10"/>
  <c r="Q217" i="10"/>
  <c r="O217" i="10"/>
  <c r="N217" i="10"/>
  <c r="M217" i="10"/>
  <c r="L217" i="10"/>
  <c r="AJ217" i="10" s="1"/>
  <c r="K217" i="10"/>
  <c r="AL216" i="10"/>
  <c r="AK216" i="10"/>
  <c r="AI216" i="10"/>
  <c r="AH216" i="10"/>
  <c r="AC216" i="10"/>
  <c r="AE216" i="10" s="1"/>
  <c r="Z216" i="10"/>
  <c r="AA216" i="10" s="1"/>
  <c r="AG216" i="10" s="1"/>
  <c r="W216" i="10"/>
  <c r="AD216" i="10" s="1"/>
  <c r="V216" i="10"/>
  <c r="U216" i="10"/>
  <c r="AF216" i="10" s="1"/>
  <c r="S216" i="10"/>
  <c r="R216" i="10"/>
  <c r="Q216" i="10"/>
  <c r="O216" i="10"/>
  <c r="N216" i="10"/>
  <c r="M216" i="10"/>
  <c r="L216" i="10"/>
  <c r="AJ216" i="10" s="1"/>
  <c r="K216" i="10"/>
  <c r="AL215" i="10"/>
  <c r="AK215" i="10"/>
  <c r="AI215" i="10"/>
  <c r="AH215" i="10"/>
  <c r="AE215" i="10"/>
  <c r="AC215" i="10"/>
  <c r="Z215" i="10"/>
  <c r="AA215" i="10" s="1"/>
  <c r="AG215" i="10" s="1"/>
  <c r="W215" i="10"/>
  <c r="AD215" i="10" s="1"/>
  <c r="V215" i="10"/>
  <c r="U215" i="10"/>
  <c r="AF215" i="10" s="1"/>
  <c r="S215" i="10"/>
  <c r="R215" i="10"/>
  <c r="Q215" i="10"/>
  <c r="O215" i="10"/>
  <c r="N215" i="10"/>
  <c r="M215" i="10"/>
  <c r="L215" i="10"/>
  <c r="AJ215" i="10" s="1"/>
  <c r="K215" i="10"/>
  <c r="AL214" i="10"/>
  <c r="AK214" i="10"/>
  <c r="AI214" i="10"/>
  <c r="AH214" i="10"/>
  <c r="AC214" i="10"/>
  <c r="AE214" i="10" s="1"/>
  <c r="Z214" i="10"/>
  <c r="AA214" i="10" s="1"/>
  <c r="AG214" i="10" s="1"/>
  <c r="W214" i="10"/>
  <c r="AD214" i="10" s="1"/>
  <c r="V214" i="10"/>
  <c r="U214" i="10"/>
  <c r="AF214" i="10" s="1"/>
  <c r="S214" i="10"/>
  <c r="R214" i="10"/>
  <c r="Q214" i="10"/>
  <c r="O214" i="10"/>
  <c r="N214" i="10"/>
  <c r="M214" i="10"/>
  <c r="L214" i="10"/>
  <c r="AJ214" i="10" s="1"/>
  <c r="K214" i="10"/>
  <c r="AL213" i="10"/>
  <c r="AK213" i="10"/>
  <c r="AI213" i="10"/>
  <c r="AH213" i="10"/>
  <c r="AE213" i="10"/>
  <c r="AC213" i="10"/>
  <c r="Z213" i="10"/>
  <c r="AA213" i="10" s="1"/>
  <c r="AG213" i="10" s="1"/>
  <c r="W213" i="10"/>
  <c r="AD213" i="10" s="1"/>
  <c r="V213" i="10"/>
  <c r="U213" i="10"/>
  <c r="AF213" i="10" s="1"/>
  <c r="S213" i="10"/>
  <c r="R213" i="10"/>
  <c r="Q213" i="10"/>
  <c r="O213" i="10"/>
  <c r="N213" i="10"/>
  <c r="M213" i="10"/>
  <c r="L213" i="10"/>
  <c r="AJ213" i="10" s="1"/>
  <c r="K213" i="10"/>
  <c r="AL212" i="10"/>
  <c r="AK212" i="10"/>
  <c r="AI212" i="10"/>
  <c r="AH212" i="10"/>
  <c r="AC212" i="10"/>
  <c r="AE212" i="10" s="1"/>
  <c r="Z212" i="10"/>
  <c r="AA212" i="10" s="1"/>
  <c r="AG212" i="10" s="1"/>
  <c r="W212" i="10"/>
  <c r="AD212" i="10" s="1"/>
  <c r="V212" i="10"/>
  <c r="U212" i="10"/>
  <c r="AF212" i="10" s="1"/>
  <c r="S212" i="10"/>
  <c r="R212" i="10"/>
  <c r="Q212" i="10"/>
  <c r="O212" i="10"/>
  <c r="N212" i="10"/>
  <c r="M212" i="10"/>
  <c r="L212" i="10"/>
  <c r="AJ212" i="10" s="1"/>
  <c r="K212" i="10"/>
  <c r="AL211" i="10"/>
  <c r="AK211" i="10"/>
  <c r="AI211" i="10"/>
  <c r="AH211" i="10"/>
  <c r="AE211" i="10"/>
  <c r="AC211" i="10"/>
  <c r="Z211" i="10"/>
  <c r="AA211" i="10" s="1"/>
  <c r="AG211" i="10" s="1"/>
  <c r="W211" i="10"/>
  <c r="AD211" i="10" s="1"/>
  <c r="V211" i="10"/>
  <c r="U211" i="10"/>
  <c r="AF211" i="10" s="1"/>
  <c r="S211" i="10"/>
  <c r="R211" i="10"/>
  <c r="Q211" i="10"/>
  <c r="O211" i="10"/>
  <c r="N211" i="10"/>
  <c r="M211" i="10"/>
  <c r="L211" i="10"/>
  <c r="AJ211" i="10" s="1"/>
  <c r="K211" i="10"/>
  <c r="AL210" i="10"/>
  <c r="AK210" i="10"/>
  <c r="AI210" i="10"/>
  <c r="AH210" i="10"/>
  <c r="AC210" i="10"/>
  <c r="AE210" i="10" s="1"/>
  <c r="Z210" i="10"/>
  <c r="AA210" i="10" s="1"/>
  <c r="AG210" i="10" s="1"/>
  <c r="W210" i="10"/>
  <c r="AD210" i="10" s="1"/>
  <c r="V210" i="10"/>
  <c r="U210" i="10"/>
  <c r="AF210" i="10" s="1"/>
  <c r="S210" i="10"/>
  <c r="R210" i="10"/>
  <c r="Q210" i="10"/>
  <c r="O210" i="10"/>
  <c r="N210" i="10"/>
  <c r="M210" i="10"/>
  <c r="L210" i="10"/>
  <c r="AJ210" i="10" s="1"/>
  <c r="K210" i="10"/>
  <c r="AL209" i="10"/>
  <c r="AK209" i="10"/>
  <c r="AI209" i="10"/>
  <c r="AH209" i="10"/>
  <c r="AE209" i="10"/>
  <c r="AC209" i="10"/>
  <c r="Z209" i="10"/>
  <c r="AA209" i="10" s="1"/>
  <c r="AG209" i="10" s="1"/>
  <c r="W209" i="10"/>
  <c r="AD209" i="10" s="1"/>
  <c r="V209" i="10"/>
  <c r="U209" i="10"/>
  <c r="AF209" i="10" s="1"/>
  <c r="S209" i="10"/>
  <c r="R209" i="10"/>
  <c r="Q209" i="10"/>
  <c r="O209" i="10"/>
  <c r="N209" i="10"/>
  <c r="M209" i="10"/>
  <c r="L209" i="10"/>
  <c r="AJ209" i="10" s="1"/>
  <c r="K209" i="10"/>
  <c r="AL208" i="10"/>
  <c r="AK208" i="10"/>
  <c r="AI208" i="10"/>
  <c r="AH208" i="10"/>
  <c r="AC208" i="10"/>
  <c r="AE208" i="10" s="1"/>
  <c r="Z208" i="10"/>
  <c r="AA208" i="10" s="1"/>
  <c r="AG208" i="10" s="1"/>
  <c r="W208" i="10"/>
  <c r="AD208" i="10" s="1"/>
  <c r="V208" i="10"/>
  <c r="U208" i="10"/>
  <c r="AF208" i="10" s="1"/>
  <c r="S208" i="10"/>
  <c r="R208" i="10"/>
  <c r="Q208" i="10"/>
  <c r="O208" i="10"/>
  <c r="N208" i="10"/>
  <c r="M208" i="10"/>
  <c r="L208" i="10"/>
  <c r="AJ208" i="10" s="1"/>
  <c r="K208" i="10"/>
  <c r="AL207" i="10"/>
  <c r="AK207" i="10"/>
  <c r="AI207" i="10"/>
  <c r="AH207" i="10"/>
  <c r="AE207" i="10"/>
  <c r="AC207" i="10"/>
  <c r="Z207" i="10"/>
  <c r="AA207" i="10" s="1"/>
  <c r="AG207" i="10" s="1"/>
  <c r="W207" i="10"/>
  <c r="AD207" i="10" s="1"/>
  <c r="V207" i="10"/>
  <c r="U207" i="10"/>
  <c r="AF207" i="10" s="1"/>
  <c r="S207" i="10"/>
  <c r="R207" i="10"/>
  <c r="Q207" i="10"/>
  <c r="O207" i="10"/>
  <c r="N207" i="10"/>
  <c r="M207" i="10"/>
  <c r="L207" i="10"/>
  <c r="AJ207" i="10" s="1"/>
  <c r="K207" i="10"/>
  <c r="AL206" i="10"/>
  <c r="AK206" i="10"/>
  <c r="AI206" i="10"/>
  <c r="AH206" i="10"/>
  <c r="AC206" i="10"/>
  <c r="AE206" i="10" s="1"/>
  <c r="Z206" i="10"/>
  <c r="AA206" i="10" s="1"/>
  <c r="AG206" i="10" s="1"/>
  <c r="W206" i="10"/>
  <c r="AD206" i="10" s="1"/>
  <c r="V206" i="10"/>
  <c r="U206" i="10"/>
  <c r="AF206" i="10" s="1"/>
  <c r="S206" i="10"/>
  <c r="R206" i="10"/>
  <c r="Q206" i="10"/>
  <c r="O206" i="10"/>
  <c r="N206" i="10"/>
  <c r="M206" i="10"/>
  <c r="L206" i="10"/>
  <c r="AJ206" i="10" s="1"/>
  <c r="K206" i="10"/>
  <c r="AL205" i="10"/>
  <c r="AK205" i="10"/>
  <c r="AI205" i="10"/>
  <c r="AH205" i="10"/>
  <c r="AE205" i="10"/>
  <c r="AC205" i="10"/>
  <c r="Z205" i="10"/>
  <c r="AA205" i="10" s="1"/>
  <c r="AG205" i="10" s="1"/>
  <c r="W205" i="10"/>
  <c r="AD205" i="10" s="1"/>
  <c r="V205" i="10"/>
  <c r="U205" i="10"/>
  <c r="AF205" i="10" s="1"/>
  <c r="S205" i="10"/>
  <c r="R205" i="10"/>
  <c r="Q205" i="10"/>
  <c r="O205" i="10"/>
  <c r="N205" i="10"/>
  <c r="M205" i="10"/>
  <c r="L205" i="10"/>
  <c r="AJ205" i="10" s="1"/>
  <c r="K205" i="10"/>
  <c r="AL204" i="10"/>
  <c r="AK204" i="10"/>
  <c r="AI204" i="10"/>
  <c r="AH204" i="10"/>
  <c r="AC204" i="10"/>
  <c r="AE204" i="10" s="1"/>
  <c r="Z204" i="10"/>
  <c r="AA204" i="10" s="1"/>
  <c r="AG204" i="10" s="1"/>
  <c r="W204" i="10"/>
  <c r="AD204" i="10" s="1"/>
  <c r="V204" i="10"/>
  <c r="U204" i="10"/>
  <c r="AF204" i="10" s="1"/>
  <c r="S204" i="10"/>
  <c r="R204" i="10"/>
  <c r="Q204" i="10"/>
  <c r="O204" i="10"/>
  <c r="N204" i="10"/>
  <c r="M204" i="10"/>
  <c r="L204" i="10"/>
  <c r="AJ204" i="10" s="1"/>
  <c r="K204" i="10"/>
  <c r="AL203" i="10"/>
  <c r="AK203" i="10"/>
  <c r="AI203" i="10"/>
  <c r="AH203" i="10"/>
  <c r="AE203" i="10"/>
  <c r="AC203" i="10"/>
  <c r="Z203" i="10"/>
  <c r="AA203" i="10" s="1"/>
  <c r="AG203" i="10" s="1"/>
  <c r="W203" i="10"/>
  <c r="AD203" i="10" s="1"/>
  <c r="V203" i="10"/>
  <c r="U203" i="10"/>
  <c r="AF203" i="10" s="1"/>
  <c r="S203" i="10"/>
  <c r="R203" i="10"/>
  <c r="Q203" i="10"/>
  <c r="O203" i="10"/>
  <c r="N203" i="10"/>
  <c r="M203" i="10"/>
  <c r="L203" i="10"/>
  <c r="AJ203" i="10" s="1"/>
  <c r="K203" i="10"/>
  <c r="AL202" i="10"/>
  <c r="AK202" i="10"/>
  <c r="AI202" i="10"/>
  <c r="AH202" i="10"/>
  <c r="AC202" i="10"/>
  <c r="AE202" i="10" s="1"/>
  <c r="Z202" i="10"/>
  <c r="AA202" i="10" s="1"/>
  <c r="AG202" i="10" s="1"/>
  <c r="W202" i="10"/>
  <c r="AD202" i="10" s="1"/>
  <c r="V202" i="10"/>
  <c r="U202" i="10"/>
  <c r="AF202" i="10" s="1"/>
  <c r="S202" i="10"/>
  <c r="R202" i="10"/>
  <c r="Q202" i="10"/>
  <c r="O202" i="10"/>
  <c r="N202" i="10"/>
  <c r="M202" i="10"/>
  <c r="L202" i="10"/>
  <c r="AJ202" i="10" s="1"/>
  <c r="K202" i="10"/>
  <c r="AL201" i="10"/>
  <c r="AK201" i="10"/>
  <c r="AI201" i="10"/>
  <c r="AH201" i="10"/>
  <c r="AE201" i="10"/>
  <c r="AC201" i="10"/>
  <c r="Z201" i="10"/>
  <c r="AA201" i="10" s="1"/>
  <c r="AG201" i="10" s="1"/>
  <c r="W201" i="10"/>
  <c r="AD201" i="10" s="1"/>
  <c r="V201" i="10"/>
  <c r="U201" i="10"/>
  <c r="AF201" i="10" s="1"/>
  <c r="S201" i="10"/>
  <c r="R201" i="10"/>
  <c r="Q201" i="10"/>
  <c r="O201" i="10"/>
  <c r="N201" i="10"/>
  <c r="M201" i="10"/>
  <c r="L201" i="10"/>
  <c r="AJ201" i="10" s="1"/>
  <c r="K201" i="10"/>
  <c r="AL200" i="10"/>
  <c r="AK200" i="10"/>
  <c r="AI200" i="10"/>
  <c r="AH200" i="10"/>
  <c r="AC200" i="10"/>
  <c r="AE200" i="10" s="1"/>
  <c r="Z200" i="10"/>
  <c r="AA200" i="10" s="1"/>
  <c r="AG200" i="10" s="1"/>
  <c r="W200" i="10"/>
  <c r="AD200" i="10" s="1"/>
  <c r="V200" i="10"/>
  <c r="U200" i="10"/>
  <c r="AF200" i="10" s="1"/>
  <c r="S200" i="10"/>
  <c r="R200" i="10"/>
  <c r="Q200" i="10"/>
  <c r="O200" i="10"/>
  <c r="N200" i="10"/>
  <c r="M200" i="10"/>
  <c r="L200" i="10"/>
  <c r="AJ200" i="10" s="1"/>
  <c r="K200" i="10"/>
  <c r="AL199" i="10"/>
  <c r="AK199" i="10"/>
  <c r="AI199" i="10"/>
  <c r="AH199" i="10"/>
  <c r="AE199" i="10"/>
  <c r="AC199" i="10"/>
  <c r="Z199" i="10"/>
  <c r="AA199" i="10" s="1"/>
  <c r="AG199" i="10" s="1"/>
  <c r="W199" i="10"/>
  <c r="AD199" i="10" s="1"/>
  <c r="V199" i="10"/>
  <c r="U199" i="10"/>
  <c r="AF199" i="10" s="1"/>
  <c r="S199" i="10"/>
  <c r="R199" i="10"/>
  <c r="Q199" i="10"/>
  <c r="O199" i="10"/>
  <c r="N199" i="10"/>
  <c r="M199" i="10"/>
  <c r="L199" i="10"/>
  <c r="AJ199" i="10" s="1"/>
  <c r="K199" i="10"/>
  <c r="AL198" i="10"/>
  <c r="AK198" i="10"/>
  <c r="AI198" i="10"/>
  <c r="AH198" i="10"/>
  <c r="AC198" i="10"/>
  <c r="AE198" i="10" s="1"/>
  <c r="Z198" i="10"/>
  <c r="AA198" i="10" s="1"/>
  <c r="AG198" i="10" s="1"/>
  <c r="W198" i="10"/>
  <c r="AD198" i="10" s="1"/>
  <c r="V198" i="10"/>
  <c r="U198" i="10"/>
  <c r="AF198" i="10" s="1"/>
  <c r="S198" i="10"/>
  <c r="R198" i="10"/>
  <c r="Q198" i="10"/>
  <c r="O198" i="10"/>
  <c r="N198" i="10"/>
  <c r="M198" i="10"/>
  <c r="L198" i="10"/>
  <c r="AJ198" i="10" s="1"/>
  <c r="K198" i="10"/>
  <c r="AL197" i="10"/>
  <c r="AK197" i="10"/>
  <c r="AI197" i="10"/>
  <c r="AH197" i="10"/>
  <c r="AE197" i="10"/>
  <c r="AC197" i="10"/>
  <c r="Z197" i="10"/>
  <c r="AA197" i="10" s="1"/>
  <c r="AG197" i="10" s="1"/>
  <c r="W197" i="10"/>
  <c r="AD197" i="10" s="1"/>
  <c r="V197" i="10"/>
  <c r="U197" i="10"/>
  <c r="AF197" i="10" s="1"/>
  <c r="S197" i="10"/>
  <c r="R197" i="10"/>
  <c r="Q197" i="10"/>
  <c r="O197" i="10"/>
  <c r="N197" i="10"/>
  <c r="M197" i="10"/>
  <c r="L197" i="10"/>
  <c r="AJ197" i="10" s="1"/>
  <c r="K197" i="10"/>
  <c r="AL196" i="10"/>
  <c r="AK196" i="10"/>
  <c r="AI196" i="10"/>
  <c r="AH196" i="10"/>
  <c r="AC196" i="10"/>
  <c r="AE196" i="10" s="1"/>
  <c r="Z196" i="10"/>
  <c r="AA196" i="10" s="1"/>
  <c r="AG196" i="10" s="1"/>
  <c r="W196" i="10"/>
  <c r="AD196" i="10" s="1"/>
  <c r="V196" i="10"/>
  <c r="U196" i="10"/>
  <c r="AF196" i="10" s="1"/>
  <c r="S196" i="10"/>
  <c r="R196" i="10"/>
  <c r="Q196" i="10"/>
  <c r="O196" i="10"/>
  <c r="N196" i="10"/>
  <c r="M196" i="10"/>
  <c r="L196" i="10"/>
  <c r="AJ196" i="10" s="1"/>
  <c r="K196" i="10"/>
  <c r="AL195" i="10"/>
  <c r="AK195" i="10"/>
  <c r="AI195" i="10"/>
  <c r="AH195" i="10"/>
  <c r="AE195" i="10"/>
  <c r="AC195" i="10"/>
  <c r="Z195" i="10"/>
  <c r="AA195" i="10" s="1"/>
  <c r="AG195" i="10" s="1"/>
  <c r="W195" i="10"/>
  <c r="AD195" i="10" s="1"/>
  <c r="V195" i="10"/>
  <c r="U195" i="10"/>
  <c r="AF195" i="10" s="1"/>
  <c r="S195" i="10"/>
  <c r="R195" i="10"/>
  <c r="Q195" i="10"/>
  <c r="O195" i="10"/>
  <c r="N195" i="10"/>
  <c r="M195" i="10"/>
  <c r="L195" i="10"/>
  <c r="AJ195" i="10" s="1"/>
  <c r="K195" i="10"/>
  <c r="AL194" i="10"/>
  <c r="AK194" i="10"/>
  <c r="AI194" i="10"/>
  <c r="AH194" i="10"/>
  <c r="AC194" i="10"/>
  <c r="AE194" i="10" s="1"/>
  <c r="Z194" i="10"/>
  <c r="AA194" i="10" s="1"/>
  <c r="AG194" i="10" s="1"/>
  <c r="W194" i="10"/>
  <c r="AD194" i="10" s="1"/>
  <c r="V194" i="10"/>
  <c r="U194" i="10"/>
  <c r="AF194" i="10" s="1"/>
  <c r="S194" i="10"/>
  <c r="R194" i="10"/>
  <c r="Q194" i="10"/>
  <c r="O194" i="10"/>
  <c r="N194" i="10"/>
  <c r="M194" i="10"/>
  <c r="L194" i="10"/>
  <c r="AJ194" i="10" s="1"/>
  <c r="K194" i="10"/>
  <c r="AL193" i="10"/>
  <c r="AK193" i="10"/>
  <c r="AI193" i="10"/>
  <c r="AH193" i="10"/>
  <c r="AE193" i="10"/>
  <c r="AC193" i="10"/>
  <c r="Z193" i="10"/>
  <c r="AA193" i="10" s="1"/>
  <c r="AG193" i="10" s="1"/>
  <c r="W193" i="10"/>
  <c r="AD193" i="10" s="1"/>
  <c r="V193" i="10"/>
  <c r="U193" i="10"/>
  <c r="AF193" i="10" s="1"/>
  <c r="S193" i="10"/>
  <c r="R193" i="10"/>
  <c r="Q193" i="10"/>
  <c r="O193" i="10"/>
  <c r="N193" i="10"/>
  <c r="M193" i="10"/>
  <c r="L193" i="10"/>
  <c r="AJ193" i="10" s="1"/>
  <c r="K193" i="10"/>
  <c r="AL192" i="10"/>
  <c r="AK192" i="10"/>
  <c r="AI192" i="10"/>
  <c r="AH192" i="10"/>
  <c r="AC192" i="10"/>
  <c r="AE192" i="10" s="1"/>
  <c r="Z192" i="10"/>
  <c r="AA192" i="10" s="1"/>
  <c r="AG192" i="10" s="1"/>
  <c r="W192" i="10"/>
  <c r="AD192" i="10" s="1"/>
  <c r="V192" i="10"/>
  <c r="U192" i="10"/>
  <c r="AF192" i="10" s="1"/>
  <c r="S192" i="10"/>
  <c r="R192" i="10"/>
  <c r="Q192" i="10"/>
  <c r="O192" i="10"/>
  <c r="N192" i="10"/>
  <c r="M192" i="10"/>
  <c r="L192" i="10"/>
  <c r="AJ192" i="10" s="1"/>
  <c r="K192" i="10"/>
  <c r="AL191" i="10"/>
  <c r="AK191" i="10"/>
  <c r="AI191" i="10"/>
  <c r="AH191" i="10"/>
  <c r="AE191" i="10"/>
  <c r="AC191" i="10"/>
  <c r="Z191" i="10"/>
  <c r="AA191" i="10" s="1"/>
  <c r="AG191" i="10" s="1"/>
  <c r="W191" i="10"/>
  <c r="AD191" i="10" s="1"/>
  <c r="V191" i="10"/>
  <c r="U191" i="10"/>
  <c r="AF191" i="10" s="1"/>
  <c r="S191" i="10"/>
  <c r="R191" i="10"/>
  <c r="Q191" i="10"/>
  <c r="O191" i="10"/>
  <c r="N191" i="10"/>
  <c r="M191" i="10"/>
  <c r="L191" i="10"/>
  <c r="AJ191" i="10" s="1"/>
  <c r="K191" i="10"/>
  <c r="AL190" i="10"/>
  <c r="AK190" i="10"/>
  <c r="AI190" i="10"/>
  <c r="AH190" i="10"/>
  <c r="AC190" i="10"/>
  <c r="AE190" i="10" s="1"/>
  <c r="Z190" i="10"/>
  <c r="AA190" i="10" s="1"/>
  <c r="AG190" i="10" s="1"/>
  <c r="W190" i="10"/>
  <c r="AD190" i="10" s="1"/>
  <c r="V190" i="10"/>
  <c r="U190" i="10"/>
  <c r="AF190" i="10" s="1"/>
  <c r="S190" i="10"/>
  <c r="R190" i="10"/>
  <c r="Q190" i="10"/>
  <c r="O190" i="10"/>
  <c r="N190" i="10"/>
  <c r="M190" i="10"/>
  <c r="L190" i="10"/>
  <c r="AJ190" i="10" s="1"/>
  <c r="K190" i="10"/>
  <c r="AL189" i="10"/>
  <c r="AK189" i="10"/>
  <c r="AI189" i="10"/>
  <c r="AH189" i="10"/>
  <c r="AE189" i="10"/>
  <c r="AC189" i="10"/>
  <c r="Z189" i="10"/>
  <c r="AA189" i="10" s="1"/>
  <c r="AG189" i="10" s="1"/>
  <c r="W189" i="10"/>
  <c r="AD189" i="10" s="1"/>
  <c r="V189" i="10"/>
  <c r="U189" i="10"/>
  <c r="AF189" i="10" s="1"/>
  <c r="S189" i="10"/>
  <c r="R189" i="10"/>
  <c r="Q189" i="10"/>
  <c r="O189" i="10"/>
  <c r="N189" i="10"/>
  <c r="M189" i="10"/>
  <c r="L189" i="10"/>
  <c r="AJ189" i="10" s="1"/>
  <c r="K189" i="10"/>
  <c r="AL188" i="10"/>
  <c r="AK188" i="10"/>
  <c r="AI188" i="10"/>
  <c r="AH188" i="10"/>
  <c r="AC188" i="10"/>
  <c r="AE188" i="10" s="1"/>
  <c r="Z188" i="10"/>
  <c r="AA188" i="10" s="1"/>
  <c r="AG188" i="10" s="1"/>
  <c r="W188" i="10"/>
  <c r="AD188" i="10" s="1"/>
  <c r="V188" i="10"/>
  <c r="U188" i="10"/>
  <c r="AF188" i="10" s="1"/>
  <c r="S188" i="10"/>
  <c r="R188" i="10"/>
  <c r="Q188" i="10"/>
  <c r="O188" i="10"/>
  <c r="N188" i="10"/>
  <c r="M188" i="10"/>
  <c r="L188" i="10"/>
  <c r="AJ188" i="10" s="1"/>
  <c r="K188" i="10"/>
  <c r="AL187" i="10"/>
  <c r="AK187" i="10"/>
  <c r="AI187" i="10"/>
  <c r="AH187" i="10"/>
  <c r="AE187" i="10"/>
  <c r="AC187" i="10"/>
  <c r="Z187" i="10"/>
  <c r="AA187" i="10" s="1"/>
  <c r="AG187" i="10" s="1"/>
  <c r="W187" i="10"/>
  <c r="AD187" i="10" s="1"/>
  <c r="V187" i="10"/>
  <c r="U187" i="10"/>
  <c r="AF187" i="10" s="1"/>
  <c r="S187" i="10"/>
  <c r="R187" i="10"/>
  <c r="Q187" i="10"/>
  <c r="O187" i="10"/>
  <c r="N187" i="10"/>
  <c r="M187" i="10"/>
  <c r="L187" i="10"/>
  <c r="AJ187" i="10" s="1"/>
  <c r="K187" i="10"/>
  <c r="AL186" i="10"/>
  <c r="AK186" i="10"/>
  <c r="AI186" i="10"/>
  <c r="AH186" i="10"/>
  <c r="AC186" i="10"/>
  <c r="AE186" i="10" s="1"/>
  <c r="Z186" i="10"/>
  <c r="AA186" i="10" s="1"/>
  <c r="AG186" i="10" s="1"/>
  <c r="W186" i="10"/>
  <c r="AD186" i="10" s="1"/>
  <c r="V186" i="10"/>
  <c r="U186" i="10"/>
  <c r="AF186" i="10" s="1"/>
  <c r="S186" i="10"/>
  <c r="R186" i="10"/>
  <c r="Q186" i="10"/>
  <c r="O186" i="10"/>
  <c r="N186" i="10"/>
  <c r="M186" i="10"/>
  <c r="L186" i="10"/>
  <c r="AJ186" i="10" s="1"/>
  <c r="K186" i="10"/>
  <c r="AL185" i="10"/>
  <c r="AK185" i="10"/>
  <c r="AI185" i="10"/>
  <c r="AH185" i="10"/>
  <c r="AE185" i="10"/>
  <c r="AC185" i="10"/>
  <c r="Z185" i="10"/>
  <c r="AA185" i="10" s="1"/>
  <c r="AG185" i="10" s="1"/>
  <c r="W185" i="10"/>
  <c r="AD185" i="10" s="1"/>
  <c r="V185" i="10"/>
  <c r="U185" i="10"/>
  <c r="AF185" i="10" s="1"/>
  <c r="S185" i="10"/>
  <c r="R185" i="10"/>
  <c r="Q185" i="10"/>
  <c r="O185" i="10"/>
  <c r="N185" i="10"/>
  <c r="M185" i="10"/>
  <c r="L185" i="10"/>
  <c r="AJ185" i="10" s="1"/>
  <c r="K185" i="10"/>
  <c r="AL184" i="10"/>
  <c r="AK184" i="10"/>
  <c r="AI184" i="10"/>
  <c r="AH184" i="10"/>
  <c r="AC184" i="10"/>
  <c r="AE184" i="10" s="1"/>
  <c r="Z184" i="10"/>
  <c r="AA184" i="10" s="1"/>
  <c r="AG184" i="10" s="1"/>
  <c r="W184" i="10"/>
  <c r="AD184" i="10" s="1"/>
  <c r="V184" i="10"/>
  <c r="U184" i="10"/>
  <c r="AF184" i="10" s="1"/>
  <c r="S184" i="10"/>
  <c r="R184" i="10"/>
  <c r="Q184" i="10"/>
  <c r="O184" i="10"/>
  <c r="N184" i="10"/>
  <c r="M184" i="10"/>
  <c r="L184" i="10"/>
  <c r="AJ184" i="10" s="1"/>
  <c r="K184" i="10"/>
  <c r="AL183" i="10"/>
  <c r="AK183" i="10"/>
  <c r="AI183" i="10"/>
  <c r="AH183" i="10"/>
  <c r="AE183" i="10"/>
  <c r="AC183" i="10"/>
  <c r="Z183" i="10"/>
  <c r="AA183" i="10" s="1"/>
  <c r="AG183" i="10" s="1"/>
  <c r="W183" i="10"/>
  <c r="AD183" i="10" s="1"/>
  <c r="V183" i="10"/>
  <c r="U183" i="10"/>
  <c r="AF183" i="10" s="1"/>
  <c r="S183" i="10"/>
  <c r="R183" i="10"/>
  <c r="Q183" i="10"/>
  <c r="O183" i="10"/>
  <c r="N183" i="10"/>
  <c r="M183" i="10"/>
  <c r="L183" i="10"/>
  <c r="AJ183" i="10" s="1"/>
  <c r="K183" i="10"/>
  <c r="AL182" i="10"/>
  <c r="AK182" i="10"/>
  <c r="AI182" i="10"/>
  <c r="AH182" i="10"/>
  <c r="AC182" i="10"/>
  <c r="AE182" i="10" s="1"/>
  <c r="Z182" i="10"/>
  <c r="AA182" i="10" s="1"/>
  <c r="AG182" i="10" s="1"/>
  <c r="W182" i="10"/>
  <c r="AD182" i="10" s="1"/>
  <c r="V182" i="10"/>
  <c r="U182" i="10"/>
  <c r="AF182" i="10" s="1"/>
  <c r="S182" i="10"/>
  <c r="R182" i="10"/>
  <c r="Q182" i="10"/>
  <c r="O182" i="10"/>
  <c r="N182" i="10"/>
  <c r="M182" i="10"/>
  <c r="L182" i="10"/>
  <c r="AJ182" i="10" s="1"/>
  <c r="K182" i="10"/>
  <c r="AL181" i="10"/>
  <c r="AK181" i="10"/>
  <c r="AI181" i="10"/>
  <c r="AH181" i="10"/>
  <c r="AE181" i="10"/>
  <c r="AC181" i="10"/>
  <c r="Z181" i="10"/>
  <c r="AA181" i="10" s="1"/>
  <c r="AG181" i="10" s="1"/>
  <c r="W181" i="10"/>
  <c r="AD181" i="10" s="1"/>
  <c r="V181" i="10"/>
  <c r="U181" i="10"/>
  <c r="AF181" i="10" s="1"/>
  <c r="S181" i="10"/>
  <c r="R181" i="10"/>
  <c r="Q181" i="10"/>
  <c r="O181" i="10"/>
  <c r="N181" i="10"/>
  <c r="M181" i="10"/>
  <c r="L181" i="10"/>
  <c r="AJ181" i="10" s="1"/>
  <c r="K181" i="10"/>
  <c r="AL180" i="10"/>
  <c r="AK180" i="10"/>
  <c r="AI180" i="10"/>
  <c r="AH180" i="10"/>
  <c r="AC180" i="10"/>
  <c r="AE180" i="10" s="1"/>
  <c r="Z180" i="10"/>
  <c r="AA180" i="10" s="1"/>
  <c r="AG180" i="10" s="1"/>
  <c r="W180" i="10"/>
  <c r="AD180" i="10" s="1"/>
  <c r="V180" i="10"/>
  <c r="U180" i="10"/>
  <c r="AF180" i="10" s="1"/>
  <c r="S180" i="10"/>
  <c r="R180" i="10"/>
  <c r="Q180" i="10"/>
  <c r="O180" i="10"/>
  <c r="N180" i="10"/>
  <c r="M180" i="10"/>
  <c r="L180" i="10"/>
  <c r="AJ180" i="10" s="1"/>
  <c r="K180" i="10"/>
  <c r="AL179" i="10"/>
  <c r="AK179" i="10"/>
  <c r="AI179" i="10"/>
  <c r="AH179" i="10"/>
  <c r="AE179" i="10"/>
  <c r="AC179" i="10"/>
  <c r="Z179" i="10"/>
  <c r="AA179" i="10" s="1"/>
  <c r="AG179" i="10" s="1"/>
  <c r="W179" i="10"/>
  <c r="AD179" i="10" s="1"/>
  <c r="V179" i="10"/>
  <c r="U179" i="10"/>
  <c r="AF179" i="10" s="1"/>
  <c r="S179" i="10"/>
  <c r="R179" i="10"/>
  <c r="Q179" i="10"/>
  <c r="O179" i="10"/>
  <c r="N179" i="10"/>
  <c r="M179" i="10"/>
  <c r="L179" i="10"/>
  <c r="AJ179" i="10" s="1"/>
  <c r="K179" i="10"/>
  <c r="AL178" i="10"/>
  <c r="AK178" i="10"/>
  <c r="AI178" i="10"/>
  <c r="AH178" i="10"/>
  <c r="AC178" i="10"/>
  <c r="AE178" i="10" s="1"/>
  <c r="Z178" i="10"/>
  <c r="AA178" i="10" s="1"/>
  <c r="AG178" i="10" s="1"/>
  <c r="W178" i="10"/>
  <c r="AD178" i="10" s="1"/>
  <c r="V178" i="10"/>
  <c r="U178" i="10"/>
  <c r="AF178" i="10" s="1"/>
  <c r="S178" i="10"/>
  <c r="R178" i="10"/>
  <c r="Q178" i="10"/>
  <c r="O178" i="10"/>
  <c r="N178" i="10"/>
  <c r="M178" i="10"/>
  <c r="L178" i="10"/>
  <c r="AJ178" i="10" s="1"/>
  <c r="K178" i="10"/>
  <c r="AL177" i="10"/>
  <c r="AK177" i="10"/>
  <c r="AI177" i="10"/>
  <c r="AH177" i="10"/>
  <c r="AE177" i="10"/>
  <c r="AC177" i="10"/>
  <c r="Z177" i="10"/>
  <c r="AA177" i="10" s="1"/>
  <c r="AG177" i="10" s="1"/>
  <c r="W177" i="10"/>
  <c r="AD177" i="10" s="1"/>
  <c r="V177" i="10"/>
  <c r="U177" i="10"/>
  <c r="AF177" i="10" s="1"/>
  <c r="S177" i="10"/>
  <c r="R177" i="10"/>
  <c r="Q177" i="10"/>
  <c r="O177" i="10"/>
  <c r="N177" i="10"/>
  <c r="M177" i="10"/>
  <c r="L177" i="10"/>
  <c r="AJ177" i="10" s="1"/>
  <c r="K177" i="10"/>
  <c r="AL176" i="10"/>
  <c r="AK176" i="10"/>
  <c r="AI176" i="10"/>
  <c r="AH176" i="10"/>
  <c r="AC176" i="10"/>
  <c r="AE176" i="10" s="1"/>
  <c r="Z176" i="10"/>
  <c r="AA176" i="10" s="1"/>
  <c r="AG176" i="10" s="1"/>
  <c r="W176" i="10"/>
  <c r="AD176" i="10" s="1"/>
  <c r="V176" i="10"/>
  <c r="U176" i="10"/>
  <c r="AF176" i="10" s="1"/>
  <c r="S176" i="10"/>
  <c r="R176" i="10"/>
  <c r="Q176" i="10"/>
  <c r="O176" i="10"/>
  <c r="N176" i="10"/>
  <c r="M176" i="10"/>
  <c r="L176" i="10"/>
  <c r="AJ176" i="10" s="1"/>
  <c r="K176" i="10"/>
  <c r="AL175" i="10"/>
  <c r="AK175" i="10"/>
  <c r="AI175" i="10"/>
  <c r="AH175" i="10"/>
  <c r="AE175" i="10"/>
  <c r="AC175" i="10"/>
  <c r="Z175" i="10"/>
  <c r="AA175" i="10" s="1"/>
  <c r="AG175" i="10" s="1"/>
  <c r="W175" i="10"/>
  <c r="AD175" i="10" s="1"/>
  <c r="V175" i="10"/>
  <c r="U175" i="10"/>
  <c r="AF175" i="10" s="1"/>
  <c r="S175" i="10"/>
  <c r="R175" i="10"/>
  <c r="Q175" i="10"/>
  <c r="O175" i="10"/>
  <c r="N175" i="10"/>
  <c r="M175" i="10"/>
  <c r="L175" i="10"/>
  <c r="AJ175" i="10" s="1"/>
  <c r="K175" i="10"/>
  <c r="AL174" i="10"/>
  <c r="AK174" i="10"/>
  <c r="AI174" i="10"/>
  <c r="AH174" i="10"/>
  <c r="AC174" i="10"/>
  <c r="AE174" i="10" s="1"/>
  <c r="Z174" i="10"/>
  <c r="AA174" i="10" s="1"/>
  <c r="AG174" i="10" s="1"/>
  <c r="W174" i="10"/>
  <c r="AD174" i="10" s="1"/>
  <c r="V174" i="10"/>
  <c r="U174" i="10"/>
  <c r="AF174" i="10" s="1"/>
  <c r="S174" i="10"/>
  <c r="R174" i="10"/>
  <c r="Q174" i="10"/>
  <c r="O174" i="10"/>
  <c r="N174" i="10"/>
  <c r="M174" i="10"/>
  <c r="L174" i="10"/>
  <c r="AJ174" i="10" s="1"/>
  <c r="K174" i="10"/>
  <c r="AL173" i="10"/>
  <c r="AK173" i="10"/>
  <c r="AI173" i="10"/>
  <c r="AH173" i="10"/>
  <c r="AE173" i="10"/>
  <c r="AC173" i="10"/>
  <c r="Z173" i="10"/>
  <c r="AA173" i="10" s="1"/>
  <c r="AG173" i="10" s="1"/>
  <c r="W173" i="10"/>
  <c r="AD173" i="10" s="1"/>
  <c r="V173" i="10"/>
  <c r="U173" i="10"/>
  <c r="AF173" i="10" s="1"/>
  <c r="S173" i="10"/>
  <c r="R173" i="10"/>
  <c r="Q173" i="10"/>
  <c r="O173" i="10"/>
  <c r="N173" i="10"/>
  <c r="M173" i="10"/>
  <c r="L173" i="10"/>
  <c r="AJ173" i="10" s="1"/>
  <c r="K173" i="10"/>
  <c r="AL172" i="10"/>
  <c r="AK172" i="10"/>
  <c r="AI172" i="10"/>
  <c r="AH172" i="10"/>
  <c r="AC172" i="10"/>
  <c r="AE172" i="10" s="1"/>
  <c r="Z172" i="10"/>
  <c r="AA172" i="10" s="1"/>
  <c r="AG172" i="10" s="1"/>
  <c r="W172" i="10"/>
  <c r="AD172" i="10" s="1"/>
  <c r="V172" i="10"/>
  <c r="U172" i="10"/>
  <c r="AF172" i="10" s="1"/>
  <c r="S172" i="10"/>
  <c r="R172" i="10"/>
  <c r="Q172" i="10"/>
  <c r="O172" i="10"/>
  <c r="N172" i="10"/>
  <c r="M172" i="10"/>
  <c r="L172" i="10"/>
  <c r="AJ172" i="10" s="1"/>
  <c r="K172" i="10"/>
  <c r="AL171" i="10"/>
  <c r="AK171" i="10"/>
  <c r="AI171" i="10"/>
  <c r="AH171" i="10"/>
  <c r="AE171" i="10"/>
  <c r="AC171" i="10"/>
  <c r="Z171" i="10"/>
  <c r="AA171" i="10" s="1"/>
  <c r="AG171" i="10" s="1"/>
  <c r="W171" i="10"/>
  <c r="AD171" i="10" s="1"/>
  <c r="V171" i="10"/>
  <c r="U171" i="10"/>
  <c r="AF171" i="10" s="1"/>
  <c r="S171" i="10"/>
  <c r="R171" i="10"/>
  <c r="Q171" i="10"/>
  <c r="O171" i="10"/>
  <c r="N171" i="10"/>
  <c r="M171" i="10"/>
  <c r="L171" i="10"/>
  <c r="AJ171" i="10" s="1"/>
  <c r="K171" i="10"/>
  <c r="AL170" i="10"/>
  <c r="AK170" i="10"/>
  <c r="AI170" i="10"/>
  <c r="AH170" i="10"/>
  <c r="AC170" i="10"/>
  <c r="AE170" i="10" s="1"/>
  <c r="Z170" i="10"/>
  <c r="AA170" i="10" s="1"/>
  <c r="AG170" i="10" s="1"/>
  <c r="W170" i="10"/>
  <c r="AD170" i="10" s="1"/>
  <c r="V170" i="10"/>
  <c r="U170" i="10"/>
  <c r="AF170" i="10" s="1"/>
  <c r="S170" i="10"/>
  <c r="R170" i="10"/>
  <c r="Q170" i="10"/>
  <c r="O170" i="10"/>
  <c r="N170" i="10"/>
  <c r="M170" i="10"/>
  <c r="L170" i="10"/>
  <c r="AJ170" i="10" s="1"/>
  <c r="K170" i="10"/>
  <c r="AL169" i="10"/>
  <c r="AK169" i="10"/>
  <c r="AI169" i="10"/>
  <c r="AH169" i="10"/>
  <c r="AE169" i="10"/>
  <c r="AC169" i="10"/>
  <c r="Z169" i="10"/>
  <c r="AA169" i="10" s="1"/>
  <c r="AG169" i="10" s="1"/>
  <c r="W169" i="10"/>
  <c r="AD169" i="10" s="1"/>
  <c r="V169" i="10"/>
  <c r="U169" i="10"/>
  <c r="AF169" i="10" s="1"/>
  <c r="S169" i="10"/>
  <c r="R169" i="10"/>
  <c r="Q169" i="10"/>
  <c r="O169" i="10"/>
  <c r="N169" i="10"/>
  <c r="M169" i="10"/>
  <c r="L169" i="10"/>
  <c r="AJ169" i="10" s="1"/>
  <c r="K169" i="10"/>
  <c r="AL168" i="10"/>
  <c r="AK168" i="10"/>
  <c r="AI168" i="10"/>
  <c r="AH168" i="10"/>
  <c r="AC168" i="10"/>
  <c r="AE168" i="10" s="1"/>
  <c r="Z168" i="10"/>
  <c r="AA168" i="10" s="1"/>
  <c r="AG168" i="10" s="1"/>
  <c r="W168" i="10"/>
  <c r="AD168" i="10" s="1"/>
  <c r="V168" i="10"/>
  <c r="U168" i="10"/>
  <c r="AF168" i="10" s="1"/>
  <c r="S168" i="10"/>
  <c r="R168" i="10"/>
  <c r="Q168" i="10"/>
  <c r="O168" i="10"/>
  <c r="N168" i="10"/>
  <c r="M168" i="10"/>
  <c r="L168" i="10"/>
  <c r="AJ168" i="10" s="1"/>
  <c r="K168" i="10"/>
  <c r="AL167" i="10"/>
  <c r="AK167" i="10"/>
  <c r="AI167" i="10"/>
  <c r="AH167" i="10"/>
  <c r="AE167" i="10"/>
  <c r="AC167" i="10"/>
  <c r="Z167" i="10"/>
  <c r="AA167" i="10" s="1"/>
  <c r="AG167" i="10" s="1"/>
  <c r="W167" i="10"/>
  <c r="AD167" i="10" s="1"/>
  <c r="V167" i="10"/>
  <c r="U167" i="10"/>
  <c r="AF167" i="10" s="1"/>
  <c r="S167" i="10"/>
  <c r="R167" i="10"/>
  <c r="Q167" i="10"/>
  <c r="O167" i="10"/>
  <c r="N167" i="10"/>
  <c r="M167" i="10"/>
  <c r="L167" i="10"/>
  <c r="AJ167" i="10" s="1"/>
  <c r="K167" i="10"/>
  <c r="AL166" i="10"/>
  <c r="AK166" i="10"/>
  <c r="AI166" i="10"/>
  <c r="AH166" i="10"/>
  <c r="AC166" i="10"/>
  <c r="AE166" i="10" s="1"/>
  <c r="Z166" i="10"/>
  <c r="AA166" i="10" s="1"/>
  <c r="AG166" i="10" s="1"/>
  <c r="W166" i="10"/>
  <c r="AD166" i="10" s="1"/>
  <c r="V166" i="10"/>
  <c r="U166" i="10"/>
  <c r="AF166" i="10" s="1"/>
  <c r="S166" i="10"/>
  <c r="R166" i="10"/>
  <c r="Q166" i="10"/>
  <c r="O166" i="10"/>
  <c r="N166" i="10"/>
  <c r="M166" i="10"/>
  <c r="L166" i="10"/>
  <c r="AJ166" i="10" s="1"/>
  <c r="K166" i="10"/>
  <c r="AL165" i="10"/>
  <c r="AK165" i="10"/>
  <c r="AI165" i="10"/>
  <c r="AH165" i="10"/>
  <c r="AE165" i="10"/>
  <c r="AC165" i="10"/>
  <c r="Z165" i="10"/>
  <c r="AA165" i="10" s="1"/>
  <c r="AG165" i="10" s="1"/>
  <c r="W165" i="10"/>
  <c r="AD165" i="10" s="1"/>
  <c r="V165" i="10"/>
  <c r="U165" i="10"/>
  <c r="AF165" i="10" s="1"/>
  <c r="S165" i="10"/>
  <c r="R165" i="10"/>
  <c r="Q165" i="10"/>
  <c r="O165" i="10"/>
  <c r="N165" i="10"/>
  <c r="M165" i="10"/>
  <c r="L165" i="10"/>
  <c r="AJ165" i="10" s="1"/>
  <c r="K165" i="10"/>
  <c r="AL164" i="10"/>
  <c r="AK164" i="10"/>
  <c r="AI164" i="10"/>
  <c r="AH164" i="10"/>
  <c r="AC164" i="10"/>
  <c r="AE164" i="10" s="1"/>
  <c r="Z164" i="10"/>
  <c r="AA164" i="10" s="1"/>
  <c r="AG164" i="10" s="1"/>
  <c r="W164" i="10"/>
  <c r="AD164" i="10" s="1"/>
  <c r="V164" i="10"/>
  <c r="U164" i="10"/>
  <c r="AF164" i="10" s="1"/>
  <c r="S164" i="10"/>
  <c r="R164" i="10"/>
  <c r="Q164" i="10"/>
  <c r="O164" i="10"/>
  <c r="N164" i="10"/>
  <c r="M164" i="10"/>
  <c r="L164" i="10"/>
  <c r="AJ164" i="10" s="1"/>
  <c r="K164" i="10"/>
  <c r="AL163" i="10"/>
  <c r="AK163" i="10"/>
  <c r="AI163" i="10"/>
  <c r="AH163" i="10"/>
  <c r="AE163" i="10"/>
  <c r="AC163" i="10"/>
  <c r="Z163" i="10"/>
  <c r="AA163" i="10" s="1"/>
  <c r="AG163" i="10" s="1"/>
  <c r="W163" i="10"/>
  <c r="AD163" i="10" s="1"/>
  <c r="V163" i="10"/>
  <c r="U163" i="10"/>
  <c r="AF163" i="10" s="1"/>
  <c r="S163" i="10"/>
  <c r="R163" i="10"/>
  <c r="Q163" i="10"/>
  <c r="O163" i="10"/>
  <c r="N163" i="10"/>
  <c r="M163" i="10"/>
  <c r="L163" i="10"/>
  <c r="AJ163" i="10" s="1"/>
  <c r="K163" i="10"/>
  <c r="AL162" i="10"/>
  <c r="AK162" i="10"/>
  <c r="AI162" i="10"/>
  <c r="AH162" i="10"/>
  <c r="AC162" i="10"/>
  <c r="AE162" i="10" s="1"/>
  <c r="Z162" i="10"/>
  <c r="AA162" i="10" s="1"/>
  <c r="AG162" i="10" s="1"/>
  <c r="W162" i="10"/>
  <c r="AD162" i="10" s="1"/>
  <c r="V162" i="10"/>
  <c r="U162" i="10"/>
  <c r="AF162" i="10" s="1"/>
  <c r="S162" i="10"/>
  <c r="R162" i="10"/>
  <c r="Q162" i="10"/>
  <c r="O162" i="10"/>
  <c r="N162" i="10"/>
  <c r="M162" i="10"/>
  <c r="L162" i="10"/>
  <c r="AJ162" i="10" s="1"/>
  <c r="K162" i="10"/>
  <c r="AL161" i="10"/>
  <c r="AK161" i="10"/>
  <c r="AI161" i="10"/>
  <c r="AH161" i="10"/>
  <c r="AE161" i="10"/>
  <c r="AC161" i="10"/>
  <c r="Z161" i="10"/>
  <c r="AA161" i="10" s="1"/>
  <c r="AG161" i="10" s="1"/>
  <c r="W161" i="10"/>
  <c r="AD161" i="10" s="1"/>
  <c r="V161" i="10"/>
  <c r="U161" i="10"/>
  <c r="AF161" i="10" s="1"/>
  <c r="S161" i="10"/>
  <c r="R161" i="10"/>
  <c r="Q161" i="10"/>
  <c r="O161" i="10"/>
  <c r="N161" i="10"/>
  <c r="M161" i="10"/>
  <c r="L161" i="10"/>
  <c r="AJ161" i="10" s="1"/>
  <c r="K161" i="10"/>
  <c r="AL160" i="10"/>
  <c r="AK160" i="10"/>
  <c r="AI160" i="10"/>
  <c r="AH160" i="10"/>
  <c r="AC160" i="10"/>
  <c r="AE160" i="10" s="1"/>
  <c r="Z160" i="10"/>
  <c r="AA160" i="10" s="1"/>
  <c r="AG160" i="10" s="1"/>
  <c r="W160" i="10"/>
  <c r="AD160" i="10" s="1"/>
  <c r="V160" i="10"/>
  <c r="U160" i="10"/>
  <c r="AF160" i="10" s="1"/>
  <c r="S160" i="10"/>
  <c r="R160" i="10"/>
  <c r="Q160" i="10"/>
  <c r="O160" i="10"/>
  <c r="N160" i="10"/>
  <c r="M160" i="10"/>
  <c r="L160" i="10"/>
  <c r="AJ160" i="10" s="1"/>
  <c r="K160" i="10"/>
  <c r="AL159" i="10"/>
  <c r="AK159" i="10"/>
  <c r="AI159" i="10"/>
  <c r="AH159" i="10"/>
  <c r="AE159" i="10"/>
  <c r="AC159" i="10"/>
  <c r="Z159" i="10"/>
  <c r="AA159" i="10" s="1"/>
  <c r="AG159" i="10" s="1"/>
  <c r="W159" i="10"/>
  <c r="AD159" i="10" s="1"/>
  <c r="V159" i="10"/>
  <c r="U159" i="10"/>
  <c r="AF159" i="10" s="1"/>
  <c r="S159" i="10"/>
  <c r="R159" i="10"/>
  <c r="Q159" i="10"/>
  <c r="O159" i="10"/>
  <c r="N159" i="10"/>
  <c r="M159" i="10"/>
  <c r="L159" i="10"/>
  <c r="AJ159" i="10" s="1"/>
  <c r="K159" i="10"/>
  <c r="AL158" i="10"/>
  <c r="AK158" i="10"/>
  <c r="AI158" i="10"/>
  <c r="AH158" i="10"/>
  <c r="AC158" i="10"/>
  <c r="AE158" i="10" s="1"/>
  <c r="Z158" i="10"/>
  <c r="AA158" i="10" s="1"/>
  <c r="AG158" i="10" s="1"/>
  <c r="W158" i="10"/>
  <c r="AD158" i="10" s="1"/>
  <c r="V158" i="10"/>
  <c r="U158" i="10"/>
  <c r="AF158" i="10" s="1"/>
  <c r="S158" i="10"/>
  <c r="R158" i="10"/>
  <c r="Q158" i="10"/>
  <c r="O158" i="10"/>
  <c r="N158" i="10"/>
  <c r="M158" i="10"/>
  <c r="L158" i="10"/>
  <c r="AJ158" i="10" s="1"/>
  <c r="K158" i="10"/>
  <c r="AL157" i="10"/>
  <c r="AK157" i="10"/>
  <c r="AI157" i="10"/>
  <c r="AH157" i="10"/>
  <c r="AE157" i="10"/>
  <c r="AC157" i="10"/>
  <c r="Z157" i="10"/>
  <c r="AA157" i="10" s="1"/>
  <c r="AG157" i="10" s="1"/>
  <c r="W157" i="10"/>
  <c r="AD157" i="10" s="1"/>
  <c r="V157" i="10"/>
  <c r="U157" i="10"/>
  <c r="AF157" i="10" s="1"/>
  <c r="S157" i="10"/>
  <c r="R157" i="10"/>
  <c r="Q157" i="10"/>
  <c r="O157" i="10"/>
  <c r="N157" i="10"/>
  <c r="M157" i="10"/>
  <c r="L157" i="10"/>
  <c r="AJ157" i="10" s="1"/>
  <c r="K157" i="10"/>
  <c r="AL156" i="10"/>
  <c r="AK156" i="10"/>
  <c r="AI156" i="10"/>
  <c r="AH156" i="10"/>
  <c r="AC156" i="10"/>
  <c r="AE156" i="10" s="1"/>
  <c r="Z156" i="10"/>
  <c r="AA156" i="10" s="1"/>
  <c r="AG156" i="10" s="1"/>
  <c r="W156" i="10"/>
  <c r="AD156" i="10" s="1"/>
  <c r="V156" i="10"/>
  <c r="U156" i="10"/>
  <c r="AF156" i="10" s="1"/>
  <c r="S156" i="10"/>
  <c r="R156" i="10"/>
  <c r="Q156" i="10"/>
  <c r="O156" i="10"/>
  <c r="N156" i="10"/>
  <c r="M156" i="10"/>
  <c r="L156" i="10"/>
  <c r="AJ156" i="10" s="1"/>
  <c r="K156" i="10"/>
  <c r="AL155" i="10"/>
  <c r="AK155" i="10"/>
  <c r="AI155" i="10"/>
  <c r="AH155" i="10"/>
  <c r="AE155" i="10"/>
  <c r="AC155" i="10"/>
  <c r="Z155" i="10"/>
  <c r="AA155" i="10" s="1"/>
  <c r="AG155" i="10" s="1"/>
  <c r="W155" i="10"/>
  <c r="AD155" i="10" s="1"/>
  <c r="V155" i="10"/>
  <c r="U155" i="10"/>
  <c r="AF155" i="10" s="1"/>
  <c r="S155" i="10"/>
  <c r="R155" i="10"/>
  <c r="Q155" i="10"/>
  <c r="O155" i="10"/>
  <c r="N155" i="10"/>
  <c r="M155" i="10"/>
  <c r="L155" i="10"/>
  <c r="AJ155" i="10" s="1"/>
  <c r="K155" i="10"/>
  <c r="AL154" i="10"/>
  <c r="AK154" i="10"/>
  <c r="AI154" i="10"/>
  <c r="AH154" i="10"/>
  <c r="AC154" i="10"/>
  <c r="AE154" i="10" s="1"/>
  <c r="Z154" i="10"/>
  <c r="AA154" i="10" s="1"/>
  <c r="AG154" i="10" s="1"/>
  <c r="W154" i="10"/>
  <c r="AD154" i="10" s="1"/>
  <c r="V154" i="10"/>
  <c r="U154" i="10"/>
  <c r="AF154" i="10" s="1"/>
  <c r="S154" i="10"/>
  <c r="R154" i="10"/>
  <c r="Q154" i="10"/>
  <c r="O154" i="10"/>
  <c r="N154" i="10"/>
  <c r="M154" i="10"/>
  <c r="L154" i="10"/>
  <c r="AJ154" i="10" s="1"/>
  <c r="K154" i="10"/>
  <c r="AL153" i="10"/>
  <c r="AK153" i="10"/>
  <c r="AI153" i="10"/>
  <c r="AH153" i="10"/>
  <c r="AE153" i="10"/>
  <c r="AC153" i="10"/>
  <c r="Z153" i="10"/>
  <c r="AA153" i="10" s="1"/>
  <c r="AG153" i="10" s="1"/>
  <c r="W153" i="10"/>
  <c r="AD153" i="10" s="1"/>
  <c r="V153" i="10"/>
  <c r="U153" i="10"/>
  <c r="AF153" i="10" s="1"/>
  <c r="S153" i="10"/>
  <c r="R153" i="10"/>
  <c r="Q153" i="10"/>
  <c r="O153" i="10"/>
  <c r="N153" i="10"/>
  <c r="M153" i="10"/>
  <c r="L153" i="10"/>
  <c r="AJ153" i="10" s="1"/>
  <c r="K153" i="10"/>
  <c r="AL152" i="10"/>
  <c r="AK152" i="10"/>
  <c r="AI152" i="10"/>
  <c r="AH152" i="10"/>
  <c r="AC152" i="10"/>
  <c r="AE152" i="10" s="1"/>
  <c r="Z152" i="10"/>
  <c r="AA152" i="10" s="1"/>
  <c r="AG152" i="10" s="1"/>
  <c r="W152" i="10"/>
  <c r="AD152" i="10" s="1"/>
  <c r="V152" i="10"/>
  <c r="U152" i="10"/>
  <c r="AF152" i="10" s="1"/>
  <c r="S152" i="10"/>
  <c r="R152" i="10"/>
  <c r="Q152" i="10"/>
  <c r="O152" i="10"/>
  <c r="N152" i="10"/>
  <c r="M152" i="10"/>
  <c r="L152" i="10"/>
  <c r="AJ152" i="10" s="1"/>
  <c r="K152" i="10"/>
  <c r="AL151" i="10"/>
  <c r="AK151" i="10"/>
  <c r="AI151" i="10"/>
  <c r="AH151" i="10"/>
  <c r="AE151" i="10"/>
  <c r="AC151" i="10"/>
  <c r="Z151" i="10"/>
  <c r="AA151" i="10" s="1"/>
  <c r="AG151" i="10" s="1"/>
  <c r="W151" i="10"/>
  <c r="AD151" i="10" s="1"/>
  <c r="V151" i="10"/>
  <c r="U151" i="10"/>
  <c r="AF151" i="10" s="1"/>
  <c r="S151" i="10"/>
  <c r="R151" i="10"/>
  <c r="Q151" i="10"/>
  <c r="O151" i="10"/>
  <c r="N151" i="10"/>
  <c r="M151" i="10"/>
  <c r="L151" i="10"/>
  <c r="AJ151" i="10" s="1"/>
  <c r="K151" i="10"/>
  <c r="AL150" i="10"/>
  <c r="AK150" i="10"/>
  <c r="AI150" i="10"/>
  <c r="AH150" i="10"/>
  <c r="AC150" i="10"/>
  <c r="AE150" i="10" s="1"/>
  <c r="Z150" i="10"/>
  <c r="AA150" i="10" s="1"/>
  <c r="AG150" i="10" s="1"/>
  <c r="W150" i="10"/>
  <c r="AD150" i="10" s="1"/>
  <c r="V150" i="10"/>
  <c r="U150" i="10"/>
  <c r="AF150" i="10" s="1"/>
  <c r="S150" i="10"/>
  <c r="R150" i="10"/>
  <c r="Q150" i="10"/>
  <c r="O150" i="10"/>
  <c r="N150" i="10"/>
  <c r="M150" i="10"/>
  <c r="L150" i="10"/>
  <c r="AJ150" i="10" s="1"/>
  <c r="K150" i="10"/>
  <c r="AL149" i="10"/>
  <c r="AK149" i="10"/>
  <c r="AI149" i="10"/>
  <c r="AH149" i="10"/>
  <c r="AE149" i="10"/>
  <c r="AC149" i="10"/>
  <c r="Z149" i="10"/>
  <c r="AA149" i="10" s="1"/>
  <c r="AG149" i="10" s="1"/>
  <c r="W149" i="10"/>
  <c r="AD149" i="10" s="1"/>
  <c r="V149" i="10"/>
  <c r="U149" i="10"/>
  <c r="AF149" i="10" s="1"/>
  <c r="S149" i="10"/>
  <c r="R149" i="10"/>
  <c r="Q149" i="10"/>
  <c r="O149" i="10"/>
  <c r="N149" i="10"/>
  <c r="M149" i="10"/>
  <c r="L149" i="10"/>
  <c r="AJ149" i="10" s="1"/>
  <c r="K149" i="10"/>
  <c r="AL148" i="10"/>
  <c r="AK148" i="10"/>
  <c r="AI148" i="10"/>
  <c r="AH148" i="10"/>
  <c r="AC148" i="10"/>
  <c r="AE148" i="10" s="1"/>
  <c r="Z148" i="10"/>
  <c r="AA148" i="10" s="1"/>
  <c r="AG148" i="10" s="1"/>
  <c r="W148" i="10"/>
  <c r="AD148" i="10" s="1"/>
  <c r="V148" i="10"/>
  <c r="U148" i="10"/>
  <c r="AF148" i="10" s="1"/>
  <c r="S148" i="10"/>
  <c r="R148" i="10"/>
  <c r="Q148" i="10"/>
  <c r="O148" i="10"/>
  <c r="N148" i="10"/>
  <c r="M148" i="10"/>
  <c r="L148" i="10"/>
  <c r="AJ148" i="10" s="1"/>
  <c r="K148" i="10"/>
  <c r="AL147" i="10"/>
  <c r="AK147" i="10"/>
  <c r="AI147" i="10"/>
  <c r="AH147" i="10"/>
  <c r="AE147" i="10"/>
  <c r="AC147" i="10"/>
  <c r="Z147" i="10"/>
  <c r="AA147" i="10" s="1"/>
  <c r="AG147" i="10" s="1"/>
  <c r="W147" i="10"/>
  <c r="AD147" i="10" s="1"/>
  <c r="V147" i="10"/>
  <c r="U147" i="10"/>
  <c r="AF147" i="10" s="1"/>
  <c r="S147" i="10"/>
  <c r="R147" i="10"/>
  <c r="Q147" i="10"/>
  <c r="O147" i="10"/>
  <c r="N147" i="10"/>
  <c r="M147" i="10"/>
  <c r="L147" i="10"/>
  <c r="AJ147" i="10" s="1"/>
  <c r="K147" i="10"/>
  <c r="AL146" i="10"/>
  <c r="AK146" i="10"/>
  <c r="AI146" i="10"/>
  <c r="AH146" i="10"/>
  <c r="AC146" i="10"/>
  <c r="AE146" i="10" s="1"/>
  <c r="Z146" i="10"/>
  <c r="AA146" i="10" s="1"/>
  <c r="AG146" i="10" s="1"/>
  <c r="W146" i="10"/>
  <c r="AD146" i="10" s="1"/>
  <c r="V146" i="10"/>
  <c r="U146" i="10"/>
  <c r="AF146" i="10" s="1"/>
  <c r="S146" i="10"/>
  <c r="R146" i="10"/>
  <c r="Q146" i="10"/>
  <c r="O146" i="10"/>
  <c r="N146" i="10"/>
  <c r="M146" i="10"/>
  <c r="L146" i="10"/>
  <c r="AJ146" i="10" s="1"/>
  <c r="K146" i="10"/>
  <c r="AL145" i="10"/>
  <c r="AK145" i="10"/>
  <c r="AI145" i="10"/>
  <c r="AH145" i="10"/>
  <c r="AE145" i="10"/>
  <c r="AC145" i="10"/>
  <c r="Z145" i="10"/>
  <c r="AA145" i="10" s="1"/>
  <c r="AG145" i="10" s="1"/>
  <c r="W145" i="10"/>
  <c r="AD145" i="10" s="1"/>
  <c r="V145" i="10"/>
  <c r="U145" i="10"/>
  <c r="AF145" i="10" s="1"/>
  <c r="S145" i="10"/>
  <c r="R145" i="10"/>
  <c r="Q145" i="10"/>
  <c r="O145" i="10"/>
  <c r="N145" i="10"/>
  <c r="M145" i="10"/>
  <c r="L145" i="10"/>
  <c r="AJ145" i="10" s="1"/>
  <c r="K145" i="10"/>
  <c r="AL144" i="10"/>
  <c r="AK144" i="10"/>
  <c r="AI144" i="10"/>
  <c r="AH144" i="10"/>
  <c r="AC144" i="10"/>
  <c r="AE144" i="10" s="1"/>
  <c r="Z144" i="10"/>
  <c r="AA144" i="10" s="1"/>
  <c r="AG144" i="10" s="1"/>
  <c r="W144" i="10"/>
  <c r="AD144" i="10" s="1"/>
  <c r="V144" i="10"/>
  <c r="U144" i="10"/>
  <c r="AF144" i="10" s="1"/>
  <c r="S144" i="10"/>
  <c r="R144" i="10"/>
  <c r="Q144" i="10"/>
  <c r="O144" i="10"/>
  <c r="N144" i="10"/>
  <c r="M144" i="10"/>
  <c r="L144" i="10"/>
  <c r="AJ144" i="10" s="1"/>
  <c r="K144" i="10"/>
  <c r="AL143" i="10"/>
  <c r="AK143" i="10"/>
  <c r="AI143" i="10"/>
  <c r="AH143" i="10"/>
  <c r="AE143" i="10"/>
  <c r="AC143" i="10"/>
  <c r="Z143" i="10"/>
  <c r="AA143" i="10" s="1"/>
  <c r="AG143" i="10" s="1"/>
  <c r="W143" i="10"/>
  <c r="AD143" i="10" s="1"/>
  <c r="V143" i="10"/>
  <c r="U143" i="10"/>
  <c r="AF143" i="10" s="1"/>
  <c r="S143" i="10"/>
  <c r="R143" i="10"/>
  <c r="Q143" i="10"/>
  <c r="O143" i="10"/>
  <c r="N143" i="10"/>
  <c r="M143" i="10"/>
  <c r="L143" i="10"/>
  <c r="AJ143" i="10" s="1"/>
  <c r="K143" i="10"/>
  <c r="AL142" i="10"/>
  <c r="AK142" i="10"/>
  <c r="AI142" i="10"/>
  <c r="AH142" i="10"/>
  <c r="AC142" i="10"/>
  <c r="AE142" i="10" s="1"/>
  <c r="Z142" i="10"/>
  <c r="AA142" i="10" s="1"/>
  <c r="AG142" i="10" s="1"/>
  <c r="W142" i="10"/>
  <c r="AD142" i="10" s="1"/>
  <c r="V142" i="10"/>
  <c r="U142" i="10"/>
  <c r="AF142" i="10" s="1"/>
  <c r="S142" i="10"/>
  <c r="R142" i="10"/>
  <c r="Q142" i="10"/>
  <c r="O142" i="10"/>
  <c r="N142" i="10"/>
  <c r="M142" i="10"/>
  <c r="L142" i="10"/>
  <c r="AJ142" i="10" s="1"/>
  <c r="K142" i="10"/>
  <c r="AL141" i="10"/>
  <c r="AK141" i="10"/>
  <c r="AI141" i="10"/>
  <c r="AH141" i="10"/>
  <c r="AE141" i="10"/>
  <c r="AC141" i="10"/>
  <c r="Z141" i="10"/>
  <c r="AA141" i="10" s="1"/>
  <c r="AG141" i="10" s="1"/>
  <c r="W141" i="10"/>
  <c r="AD141" i="10" s="1"/>
  <c r="V141" i="10"/>
  <c r="U141" i="10"/>
  <c r="AF141" i="10" s="1"/>
  <c r="S141" i="10"/>
  <c r="R141" i="10"/>
  <c r="Q141" i="10"/>
  <c r="O141" i="10"/>
  <c r="N141" i="10"/>
  <c r="M141" i="10"/>
  <c r="L141" i="10"/>
  <c r="AJ141" i="10" s="1"/>
  <c r="K141" i="10"/>
  <c r="AL140" i="10"/>
  <c r="AK140" i="10"/>
  <c r="AI140" i="10"/>
  <c r="AH140" i="10"/>
  <c r="AC140" i="10"/>
  <c r="AE140" i="10" s="1"/>
  <c r="Z140" i="10"/>
  <c r="AA140" i="10" s="1"/>
  <c r="AG140" i="10" s="1"/>
  <c r="W140" i="10"/>
  <c r="AD140" i="10" s="1"/>
  <c r="V140" i="10"/>
  <c r="U140" i="10"/>
  <c r="AF140" i="10" s="1"/>
  <c r="S140" i="10"/>
  <c r="R140" i="10"/>
  <c r="Q140" i="10"/>
  <c r="O140" i="10"/>
  <c r="N140" i="10"/>
  <c r="M140" i="10"/>
  <c r="L140" i="10"/>
  <c r="AJ140" i="10" s="1"/>
  <c r="K140" i="10"/>
  <c r="AL139" i="10"/>
  <c r="AK139" i="10"/>
  <c r="AI139" i="10"/>
  <c r="AH139" i="10"/>
  <c r="AE139" i="10"/>
  <c r="AC139" i="10"/>
  <c r="Z139" i="10"/>
  <c r="AA139" i="10" s="1"/>
  <c r="AG139" i="10" s="1"/>
  <c r="W139" i="10"/>
  <c r="AD139" i="10" s="1"/>
  <c r="V139" i="10"/>
  <c r="U139" i="10"/>
  <c r="AF139" i="10" s="1"/>
  <c r="S139" i="10"/>
  <c r="R139" i="10"/>
  <c r="Q139" i="10"/>
  <c r="O139" i="10"/>
  <c r="N139" i="10"/>
  <c r="M139" i="10"/>
  <c r="L139" i="10"/>
  <c r="AJ139" i="10" s="1"/>
  <c r="K139" i="10"/>
  <c r="AL138" i="10"/>
  <c r="AK138" i="10"/>
  <c r="AI138" i="10"/>
  <c r="AH138" i="10"/>
  <c r="AC138" i="10"/>
  <c r="AE138" i="10" s="1"/>
  <c r="Z138" i="10"/>
  <c r="AA138" i="10" s="1"/>
  <c r="AG138" i="10" s="1"/>
  <c r="W138" i="10"/>
  <c r="AD138" i="10" s="1"/>
  <c r="V138" i="10"/>
  <c r="U138" i="10"/>
  <c r="AF138" i="10" s="1"/>
  <c r="S138" i="10"/>
  <c r="R138" i="10"/>
  <c r="Q138" i="10"/>
  <c r="O138" i="10"/>
  <c r="N138" i="10"/>
  <c r="M138" i="10"/>
  <c r="L138" i="10"/>
  <c r="AJ138" i="10" s="1"/>
  <c r="K138" i="10"/>
  <c r="AL137" i="10"/>
  <c r="AK137" i="10"/>
  <c r="AI137" i="10"/>
  <c r="AH137" i="10"/>
  <c r="AE137" i="10"/>
  <c r="AC137" i="10"/>
  <c r="Z137" i="10"/>
  <c r="AA137" i="10" s="1"/>
  <c r="AG137" i="10" s="1"/>
  <c r="W137" i="10"/>
  <c r="AD137" i="10" s="1"/>
  <c r="V137" i="10"/>
  <c r="U137" i="10"/>
  <c r="AF137" i="10" s="1"/>
  <c r="S137" i="10"/>
  <c r="R137" i="10"/>
  <c r="Q137" i="10"/>
  <c r="O137" i="10"/>
  <c r="N137" i="10"/>
  <c r="M137" i="10"/>
  <c r="L137" i="10"/>
  <c r="AJ137" i="10" s="1"/>
  <c r="K137" i="10"/>
  <c r="AL136" i="10"/>
  <c r="AK136" i="10"/>
  <c r="AI136" i="10"/>
  <c r="AH136" i="10"/>
  <c r="AC136" i="10"/>
  <c r="AE136" i="10" s="1"/>
  <c r="Z136" i="10"/>
  <c r="AA136" i="10" s="1"/>
  <c r="AG136" i="10" s="1"/>
  <c r="W136" i="10"/>
  <c r="AD136" i="10" s="1"/>
  <c r="V136" i="10"/>
  <c r="U136" i="10"/>
  <c r="AF136" i="10" s="1"/>
  <c r="S136" i="10"/>
  <c r="R136" i="10"/>
  <c r="Q136" i="10"/>
  <c r="O136" i="10"/>
  <c r="N136" i="10"/>
  <c r="M136" i="10"/>
  <c r="L136" i="10"/>
  <c r="AJ136" i="10" s="1"/>
  <c r="K136" i="10"/>
  <c r="AL135" i="10"/>
  <c r="AK135" i="10"/>
  <c r="AI135" i="10"/>
  <c r="AH135" i="10"/>
  <c r="AE135" i="10"/>
  <c r="AC135" i="10"/>
  <c r="Z135" i="10"/>
  <c r="AA135" i="10" s="1"/>
  <c r="AG135" i="10" s="1"/>
  <c r="W135" i="10"/>
  <c r="AD135" i="10" s="1"/>
  <c r="V135" i="10"/>
  <c r="U135" i="10"/>
  <c r="AF135" i="10" s="1"/>
  <c r="S135" i="10"/>
  <c r="R135" i="10"/>
  <c r="Q135" i="10"/>
  <c r="O135" i="10"/>
  <c r="N135" i="10"/>
  <c r="M135" i="10"/>
  <c r="L135" i="10"/>
  <c r="AJ135" i="10" s="1"/>
  <c r="K135" i="10"/>
  <c r="AL134" i="10"/>
  <c r="AK134" i="10"/>
  <c r="AI134" i="10"/>
  <c r="AH134" i="10"/>
  <c r="AC134" i="10"/>
  <c r="AE134" i="10" s="1"/>
  <c r="Z134" i="10"/>
  <c r="AA134" i="10" s="1"/>
  <c r="AG134" i="10" s="1"/>
  <c r="W134" i="10"/>
  <c r="AD134" i="10" s="1"/>
  <c r="V134" i="10"/>
  <c r="U134" i="10"/>
  <c r="AF134" i="10" s="1"/>
  <c r="S134" i="10"/>
  <c r="R134" i="10"/>
  <c r="Q134" i="10"/>
  <c r="O134" i="10"/>
  <c r="N134" i="10"/>
  <c r="M134" i="10"/>
  <c r="L134" i="10"/>
  <c r="AJ134" i="10" s="1"/>
  <c r="K134" i="10"/>
  <c r="AL133" i="10"/>
  <c r="AK133" i="10"/>
  <c r="AI133" i="10"/>
  <c r="AH133" i="10"/>
  <c r="AE133" i="10"/>
  <c r="AC133" i="10"/>
  <c r="Z133" i="10"/>
  <c r="AA133" i="10" s="1"/>
  <c r="AG133" i="10" s="1"/>
  <c r="W133" i="10"/>
  <c r="AD133" i="10" s="1"/>
  <c r="V133" i="10"/>
  <c r="U133" i="10"/>
  <c r="AF133" i="10" s="1"/>
  <c r="S133" i="10"/>
  <c r="R133" i="10"/>
  <c r="Q133" i="10"/>
  <c r="O133" i="10"/>
  <c r="N133" i="10"/>
  <c r="M133" i="10"/>
  <c r="L133" i="10"/>
  <c r="AJ133" i="10" s="1"/>
  <c r="K133" i="10"/>
  <c r="AL132" i="10"/>
  <c r="AK132" i="10"/>
  <c r="AI132" i="10"/>
  <c r="AH132" i="10"/>
  <c r="AC132" i="10"/>
  <c r="AE132" i="10" s="1"/>
  <c r="Z132" i="10"/>
  <c r="AA132" i="10" s="1"/>
  <c r="AG132" i="10" s="1"/>
  <c r="W132" i="10"/>
  <c r="AD132" i="10" s="1"/>
  <c r="V132" i="10"/>
  <c r="U132" i="10"/>
  <c r="AF132" i="10" s="1"/>
  <c r="S132" i="10"/>
  <c r="R132" i="10"/>
  <c r="Q132" i="10"/>
  <c r="O132" i="10"/>
  <c r="N132" i="10"/>
  <c r="M132" i="10"/>
  <c r="L132" i="10"/>
  <c r="AJ132" i="10" s="1"/>
  <c r="K132" i="10"/>
  <c r="AL131" i="10"/>
  <c r="AK131" i="10"/>
  <c r="AI131" i="10"/>
  <c r="AH131" i="10"/>
  <c r="AE131" i="10"/>
  <c r="AC131" i="10"/>
  <c r="Z131" i="10"/>
  <c r="AA131" i="10" s="1"/>
  <c r="AG131" i="10" s="1"/>
  <c r="W131" i="10"/>
  <c r="AD131" i="10" s="1"/>
  <c r="V131" i="10"/>
  <c r="U131" i="10"/>
  <c r="AF131" i="10" s="1"/>
  <c r="S131" i="10"/>
  <c r="R131" i="10"/>
  <c r="Q131" i="10"/>
  <c r="O131" i="10"/>
  <c r="N131" i="10"/>
  <c r="M131" i="10"/>
  <c r="L131" i="10"/>
  <c r="AJ131" i="10" s="1"/>
  <c r="K131" i="10"/>
  <c r="AL130" i="10"/>
  <c r="AK130" i="10"/>
  <c r="AI130" i="10"/>
  <c r="AH130" i="10"/>
  <c r="AC130" i="10"/>
  <c r="AE130" i="10" s="1"/>
  <c r="Z130" i="10"/>
  <c r="AA130" i="10" s="1"/>
  <c r="AG130" i="10" s="1"/>
  <c r="W130" i="10"/>
  <c r="AD130" i="10" s="1"/>
  <c r="V130" i="10"/>
  <c r="U130" i="10"/>
  <c r="AF130" i="10" s="1"/>
  <c r="S130" i="10"/>
  <c r="R130" i="10"/>
  <c r="Q130" i="10"/>
  <c r="O130" i="10"/>
  <c r="N130" i="10"/>
  <c r="M130" i="10"/>
  <c r="L130" i="10"/>
  <c r="AJ130" i="10" s="1"/>
  <c r="K130" i="10"/>
  <c r="AL129" i="10"/>
  <c r="AK129" i="10"/>
  <c r="AI129" i="10"/>
  <c r="AH129" i="10"/>
  <c r="AE129" i="10"/>
  <c r="AC129" i="10"/>
  <c r="Z129" i="10"/>
  <c r="AA129" i="10" s="1"/>
  <c r="AG129" i="10" s="1"/>
  <c r="W129" i="10"/>
  <c r="AD129" i="10" s="1"/>
  <c r="V129" i="10"/>
  <c r="U129" i="10"/>
  <c r="AF129" i="10" s="1"/>
  <c r="S129" i="10"/>
  <c r="R129" i="10"/>
  <c r="Q129" i="10"/>
  <c r="O129" i="10"/>
  <c r="N129" i="10"/>
  <c r="M129" i="10"/>
  <c r="L129" i="10"/>
  <c r="AJ129" i="10" s="1"/>
  <c r="K129" i="10"/>
  <c r="AL128" i="10"/>
  <c r="AK128" i="10"/>
  <c r="AI128" i="10"/>
  <c r="AH128" i="10"/>
  <c r="AC128" i="10"/>
  <c r="AE128" i="10" s="1"/>
  <c r="Z128" i="10"/>
  <c r="AA128" i="10" s="1"/>
  <c r="AG128" i="10" s="1"/>
  <c r="W128" i="10"/>
  <c r="AD128" i="10" s="1"/>
  <c r="V128" i="10"/>
  <c r="U128" i="10"/>
  <c r="AF128" i="10" s="1"/>
  <c r="S128" i="10"/>
  <c r="R128" i="10"/>
  <c r="Q128" i="10"/>
  <c r="O128" i="10"/>
  <c r="N128" i="10"/>
  <c r="M128" i="10"/>
  <c r="L128" i="10"/>
  <c r="AJ128" i="10" s="1"/>
  <c r="K128" i="10"/>
  <c r="AL127" i="10"/>
  <c r="AK127" i="10"/>
  <c r="AI127" i="10"/>
  <c r="AH127" i="10"/>
  <c r="AE127" i="10"/>
  <c r="AC127" i="10"/>
  <c r="Z127" i="10"/>
  <c r="AA127" i="10" s="1"/>
  <c r="AG127" i="10" s="1"/>
  <c r="W127" i="10"/>
  <c r="AD127" i="10" s="1"/>
  <c r="V127" i="10"/>
  <c r="U127" i="10"/>
  <c r="AF127" i="10" s="1"/>
  <c r="S127" i="10"/>
  <c r="R127" i="10"/>
  <c r="Q127" i="10"/>
  <c r="O127" i="10"/>
  <c r="N127" i="10"/>
  <c r="M127" i="10"/>
  <c r="L127" i="10"/>
  <c r="AJ127" i="10" s="1"/>
  <c r="K127" i="10"/>
  <c r="AL126" i="10"/>
  <c r="AK126" i="10"/>
  <c r="AI126" i="10"/>
  <c r="AH126" i="10"/>
  <c r="AC126" i="10"/>
  <c r="AE126" i="10" s="1"/>
  <c r="Z126" i="10"/>
  <c r="AA126" i="10" s="1"/>
  <c r="AG126" i="10" s="1"/>
  <c r="W126" i="10"/>
  <c r="AD126" i="10" s="1"/>
  <c r="V126" i="10"/>
  <c r="U126" i="10"/>
  <c r="AF126" i="10" s="1"/>
  <c r="S126" i="10"/>
  <c r="R126" i="10"/>
  <c r="Q126" i="10"/>
  <c r="O126" i="10"/>
  <c r="N126" i="10"/>
  <c r="M126" i="10"/>
  <c r="L126" i="10"/>
  <c r="AJ126" i="10" s="1"/>
  <c r="K126" i="10"/>
  <c r="AL125" i="10"/>
  <c r="AK125" i="10"/>
  <c r="AI125" i="10"/>
  <c r="AH125" i="10"/>
  <c r="AE125" i="10"/>
  <c r="AC125" i="10"/>
  <c r="Z125" i="10"/>
  <c r="AA125" i="10" s="1"/>
  <c r="AG125" i="10" s="1"/>
  <c r="W125" i="10"/>
  <c r="AD125" i="10" s="1"/>
  <c r="V125" i="10"/>
  <c r="U125" i="10"/>
  <c r="AF125" i="10" s="1"/>
  <c r="S125" i="10"/>
  <c r="R125" i="10"/>
  <c r="Q125" i="10"/>
  <c r="O125" i="10"/>
  <c r="N125" i="10"/>
  <c r="M125" i="10"/>
  <c r="L125" i="10"/>
  <c r="AJ125" i="10" s="1"/>
  <c r="K125" i="10"/>
  <c r="AL124" i="10"/>
  <c r="AK124" i="10"/>
  <c r="AI124" i="10"/>
  <c r="AH124" i="10"/>
  <c r="AC124" i="10"/>
  <c r="AE124" i="10" s="1"/>
  <c r="Z124" i="10"/>
  <c r="AA124" i="10" s="1"/>
  <c r="AG124" i="10" s="1"/>
  <c r="W124" i="10"/>
  <c r="AD124" i="10" s="1"/>
  <c r="V124" i="10"/>
  <c r="U124" i="10"/>
  <c r="AF124" i="10" s="1"/>
  <c r="S124" i="10"/>
  <c r="R124" i="10"/>
  <c r="Q124" i="10"/>
  <c r="O124" i="10"/>
  <c r="N124" i="10"/>
  <c r="M124" i="10"/>
  <c r="L124" i="10"/>
  <c r="AJ124" i="10" s="1"/>
  <c r="K124" i="10"/>
  <c r="AL123" i="10"/>
  <c r="AK123" i="10"/>
  <c r="AI123" i="10"/>
  <c r="AH123" i="10"/>
  <c r="AE123" i="10"/>
  <c r="AC123" i="10"/>
  <c r="Z123" i="10"/>
  <c r="AA123" i="10" s="1"/>
  <c r="AG123" i="10" s="1"/>
  <c r="W123" i="10"/>
  <c r="AD123" i="10" s="1"/>
  <c r="V123" i="10"/>
  <c r="U123" i="10"/>
  <c r="AF123" i="10" s="1"/>
  <c r="S123" i="10"/>
  <c r="R123" i="10"/>
  <c r="Q123" i="10"/>
  <c r="O123" i="10"/>
  <c r="N123" i="10"/>
  <c r="M123" i="10"/>
  <c r="L123" i="10"/>
  <c r="AJ123" i="10" s="1"/>
  <c r="K123" i="10"/>
  <c r="AL122" i="10"/>
  <c r="AK122" i="10"/>
  <c r="AI122" i="10"/>
  <c r="AH122" i="10"/>
  <c r="AC122" i="10"/>
  <c r="AE122" i="10" s="1"/>
  <c r="Z122" i="10"/>
  <c r="AA122" i="10" s="1"/>
  <c r="AG122" i="10" s="1"/>
  <c r="W122" i="10"/>
  <c r="AD122" i="10" s="1"/>
  <c r="V122" i="10"/>
  <c r="U122" i="10"/>
  <c r="AF122" i="10" s="1"/>
  <c r="S122" i="10"/>
  <c r="R122" i="10"/>
  <c r="Q122" i="10"/>
  <c r="O122" i="10"/>
  <c r="N122" i="10"/>
  <c r="M122" i="10"/>
  <c r="L122" i="10"/>
  <c r="AJ122" i="10" s="1"/>
  <c r="K122" i="10"/>
  <c r="AL121" i="10"/>
  <c r="AK121" i="10"/>
  <c r="AI121" i="10"/>
  <c r="AH121" i="10"/>
  <c r="AE121" i="10"/>
  <c r="AC121" i="10"/>
  <c r="Z121" i="10"/>
  <c r="AA121" i="10" s="1"/>
  <c r="AG121" i="10" s="1"/>
  <c r="W121" i="10"/>
  <c r="AD121" i="10" s="1"/>
  <c r="V121" i="10"/>
  <c r="U121" i="10"/>
  <c r="AF121" i="10" s="1"/>
  <c r="S121" i="10"/>
  <c r="R121" i="10"/>
  <c r="Q121" i="10"/>
  <c r="O121" i="10"/>
  <c r="N121" i="10"/>
  <c r="M121" i="10"/>
  <c r="L121" i="10"/>
  <c r="AJ121" i="10" s="1"/>
  <c r="K121" i="10"/>
  <c r="AL120" i="10"/>
  <c r="AK120" i="10"/>
  <c r="AI120" i="10"/>
  <c r="AH120" i="10"/>
  <c r="AC120" i="10"/>
  <c r="AE120" i="10" s="1"/>
  <c r="Z120" i="10"/>
  <c r="AA120" i="10" s="1"/>
  <c r="AG120" i="10" s="1"/>
  <c r="W120" i="10"/>
  <c r="AD120" i="10" s="1"/>
  <c r="V120" i="10"/>
  <c r="U120" i="10"/>
  <c r="AF120" i="10" s="1"/>
  <c r="S120" i="10"/>
  <c r="R120" i="10"/>
  <c r="Q120" i="10"/>
  <c r="O120" i="10"/>
  <c r="N120" i="10"/>
  <c r="M120" i="10"/>
  <c r="L120" i="10"/>
  <c r="AJ120" i="10" s="1"/>
  <c r="K120" i="10"/>
  <c r="AL119" i="10"/>
  <c r="AK119" i="10"/>
  <c r="AI119" i="10"/>
  <c r="AH119" i="10"/>
  <c r="AE119" i="10"/>
  <c r="AC119" i="10"/>
  <c r="Z119" i="10"/>
  <c r="AA119" i="10" s="1"/>
  <c r="AG119" i="10" s="1"/>
  <c r="W119" i="10"/>
  <c r="AD119" i="10" s="1"/>
  <c r="V119" i="10"/>
  <c r="U119" i="10"/>
  <c r="AF119" i="10" s="1"/>
  <c r="S119" i="10"/>
  <c r="R119" i="10"/>
  <c r="Q119" i="10"/>
  <c r="O119" i="10"/>
  <c r="N119" i="10"/>
  <c r="M119" i="10"/>
  <c r="L119" i="10"/>
  <c r="AJ119" i="10" s="1"/>
  <c r="K119" i="10"/>
  <c r="AL118" i="10"/>
  <c r="AK118" i="10"/>
  <c r="AI118" i="10"/>
  <c r="AH118" i="10"/>
  <c r="AC118" i="10"/>
  <c r="AE118" i="10" s="1"/>
  <c r="Z118" i="10"/>
  <c r="AA118" i="10" s="1"/>
  <c r="AG118" i="10" s="1"/>
  <c r="W118" i="10"/>
  <c r="AD118" i="10" s="1"/>
  <c r="V118" i="10"/>
  <c r="U118" i="10"/>
  <c r="AF118" i="10" s="1"/>
  <c r="S118" i="10"/>
  <c r="R118" i="10"/>
  <c r="Q118" i="10"/>
  <c r="O118" i="10"/>
  <c r="N118" i="10"/>
  <c r="M118" i="10"/>
  <c r="L118" i="10"/>
  <c r="AJ118" i="10" s="1"/>
  <c r="K118" i="10"/>
  <c r="AL117" i="10"/>
  <c r="AK117" i="10"/>
  <c r="AI117" i="10"/>
  <c r="AH117" i="10"/>
  <c r="AE117" i="10"/>
  <c r="AC117" i="10"/>
  <c r="Z117" i="10"/>
  <c r="AA117" i="10" s="1"/>
  <c r="AG117" i="10" s="1"/>
  <c r="W117" i="10"/>
  <c r="AD117" i="10" s="1"/>
  <c r="V117" i="10"/>
  <c r="U117" i="10"/>
  <c r="AF117" i="10" s="1"/>
  <c r="S117" i="10"/>
  <c r="R117" i="10"/>
  <c r="Q117" i="10"/>
  <c r="O117" i="10"/>
  <c r="N117" i="10"/>
  <c r="M117" i="10"/>
  <c r="L117" i="10"/>
  <c r="AJ117" i="10" s="1"/>
  <c r="K117" i="10"/>
  <c r="AL116" i="10"/>
  <c r="AK116" i="10"/>
  <c r="AI116" i="10"/>
  <c r="AH116" i="10"/>
  <c r="AC116" i="10"/>
  <c r="AE116" i="10" s="1"/>
  <c r="Z116" i="10"/>
  <c r="AA116" i="10" s="1"/>
  <c r="AG116" i="10" s="1"/>
  <c r="W116" i="10"/>
  <c r="AD116" i="10" s="1"/>
  <c r="V116" i="10"/>
  <c r="U116" i="10"/>
  <c r="AF116" i="10" s="1"/>
  <c r="S116" i="10"/>
  <c r="R116" i="10"/>
  <c r="Q116" i="10"/>
  <c r="O116" i="10"/>
  <c r="N116" i="10"/>
  <c r="M116" i="10"/>
  <c r="L116" i="10"/>
  <c r="AJ116" i="10" s="1"/>
  <c r="K116" i="10"/>
  <c r="AL115" i="10"/>
  <c r="AK115" i="10"/>
  <c r="AI115" i="10"/>
  <c r="AH115" i="10"/>
  <c r="AE115" i="10"/>
  <c r="AC115" i="10"/>
  <c r="Z115" i="10"/>
  <c r="AA115" i="10" s="1"/>
  <c r="AG115" i="10" s="1"/>
  <c r="W115" i="10"/>
  <c r="AD115" i="10" s="1"/>
  <c r="V115" i="10"/>
  <c r="U115" i="10"/>
  <c r="AF115" i="10" s="1"/>
  <c r="S115" i="10"/>
  <c r="R115" i="10"/>
  <c r="Q115" i="10"/>
  <c r="O115" i="10"/>
  <c r="N115" i="10"/>
  <c r="M115" i="10"/>
  <c r="L115" i="10"/>
  <c r="AJ115" i="10" s="1"/>
  <c r="K115" i="10"/>
  <c r="AL114" i="10"/>
  <c r="AK114" i="10"/>
  <c r="AI114" i="10"/>
  <c r="AH114" i="10"/>
  <c r="AC114" i="10"/>
  <c r="AE114" i="10" s="1"/>
  <c r="Z114" i="10"/>
  <c r="AA114" i="10" s="1"/>
  <c r="AG114" i="10" s="1"/>
  <c r="W114" i="10"/>
  <c r="AD114" i="10" s="1"/>
  <c r="V114" i="10"/>
  <c r="U114" i="10"/>
  <c r="AF114" i="10" s="1"/>
  <c r="S114" i="10"/>
  <c r="R114" i="10"/>
  <c r="Q114" i="10"/>
  <c r="O114" i="10"/>
  <c r="N114" i="10"/>
  <c r="M114" i="10"/>
  <c r="L114" i="10"/>
  <c r="AJ114" i="10" s="1"/>
  <c r="K114" i="10"/>
  <c r="AL113" i="10"/>
  <c r="AK113" i="10"/>
  <c r="AI113" i="10"/>
  <c r="AH113" i="10"/>
  <c r="AE113" i="10"/>
  <c r="AC113" i="10"/>
  <c r="Z113" i="10"/>
  <c r="AA113" i="10" s="1"/>
  <c r="AG113" i="10" s="1"/>
  <c r="W113" i="10"/>
  <c r="AD113" i="10" s="1"/>
  <c r="V113" i="10"/>
  <c r="U113" i="10"/>
  <c r="AF113" i="10" s="1"/>
  <c r="S113" i="10"/>
  <c r="R113" i="10"/>
  <c r="Q113" i="10"/>
  <c r="O113" i="10"/>
  <c r="N113" i="10"/>
  <c r="M113" i="10"/>
  <c r="L113" i="10"/>
  <c r="AJ113" i="10" s="1"/>
  <c r="K113" i="10"/>
  <c r="AL112" i="10"/>
  <c r="AK112" i="10"/>
  <c r="AI112" i="10"/>
  <c r="AH112" i="10"/>
  <c r="AC112" i="10"/>
  <c r="AE112" i="10" s="1"/>
  <c r="Z112" i="10"/>
  <c r="AA112" i="10" s="1"/>
  <c r="AG112" i="10" s="1"/>
  <c r="W112" i="10"/>
  <c r="AD112" i="10" s="1"/>
  <c r="V112" i="10"/>
  <c r="U112" i="10"/>
  <c r="AF112" i="10" s="1"/>
  <c r="S112" i="10"/>
  <c r="R112" i="10"/>
  <c r="Q112" i="10"/>
  <c r="O112" i="10"/>
  <c r="N112" i="10"/>
  <c r="M112" i="10"/>
  <c r="L112" i="10"/>
  <c r="AJ112" i="10" s="1"/>
  <c r="K112" i="10"/>
  <c r="AL111" i="10"/>
  <c r="AK111" i="10"/>
  <c r="AI111" i="10"/>
  <c r="AH111" i="10"/>
  <c r="AE111" i="10"/>
  <c r="AC111" i="10"/>
  <c r="Z111" i="10"/>
  <c r="AA111" i="10" s="1"/>
  <c r="AG111" i="10" s="1"/>
  <c r="W111" i="10"/>
  <c r="AD111" i="10" s="1"/>
  <c r="V111" i="10"/>
  <c r="U111" i="10"/>
  <c r="AF111" i="10" s="1"/>
  <c r="S111" i="10"/>
  <c r="R111" i="10"/>
  <c r="Q111" i="10"/>
  <c r="O111" i="10"/>
  <c r="N111" i="10"/>
  <c r="M111" i="10"/>
  <c r="L111" i="10"/>
  <c r="AJ111" i="10" s="1"/>
  <c r="K111" i="10"/>
  <c r="AL110" i="10"/>
  <c r="AK110" i="10"/>
  <c r="AI110" i="10"/>
  <c r="AH110" i="10"/>
  <c r="AC110" i="10"/>
  <c r="AE110" i="10" s="1"/>
  <c r="Z110" i="10"/>
  <c r="AA110" i="10" s="1"/>
  <c r="AG110" i="10" s="1"/>
  <c r="W110" i="10"/>
  <c r="AD110" i="10" s="1"/>
  <c r="V110" i="10"/>
  <c r="U110" i="10"/>
  <c r="AF110" i="10" s="1"/>
  <c r="S110" i="10"/>
  <c r="R110" i="10"/>
  <c r="Q110" i="10"/>
  <c r="O110" i="10"/>
  <c r="N110" i="10"/>
  <c r="M110" i="10"/>
  <c r="L110" i="10"/>
  <c r="AJ110" i="10" s="1"/>
  <c r="K110" i="10"/>
  <c r="AL109" i="10"/>
  <c r="AK109" i="10"/>
  <c r="AI109" i="10"/>
  <c r="AH109" i="10"/>
  <c r="AE109" i="10"/>
  <c r="AC109" i="10"/>
  <c r="Z109" i="10"/>
  <c r="AA109" i="10" s="1"/>
  <c r="AG109" i="10" s="1"/>
  <c r="W109" i="10"/>
  <c r="AD109" i="10" s="1"/>
  <c r="V109" i="10"/>
  <c r="U109" i="10"/>
  <c r="AF109" i="10" s="1"/>
  <c r="S109" i="10"/>
  <c r="R109" i="10"/>
  <c r="Q109" i="10"/>
  <c r="O109" i="10"/>
  <c r="N109" i="10"/>
  <c r="M109" i="10"/>
  <c r="L109" i="10"/>
  <c r="AJ109" i="10" s="1"/>
  <c r="K109" i="10"/>
  <c r="AL108" i="10"/>
  <c r="AK108" i="10"/>
  <c r="AI108" i="10"/>
  <c r="AH108" i="10"/>
  <c r="AC108" i="10"/>
  <c r="AE108" i="10" s="1"/>
  <c r="Z108" i="10"/>
  <c r="AA108" i="10" s="1"/>
  <c r="AG108" i="10" s="1"/>
  <c r="W108" i="10"/>
  <c r="AD108" i="10" s="1"/>
  <c r="V108" i="10"/>
  <c r="U108" i="10"/>
  <c r="AF108" i="10" s="1"/>
  <c r="S108" i="10"/>
  <c r="R108" i="10"/>
  <c r="Q108" i="10"/>
  <c r="O108" i="10"/>
  <c r="N108" i="10"/>
  <c r="M108" i="10"/>
  <c r="L108" i="10"/>
  <c r="AJ108" i="10" s="1"/>
  <c r="K108" i="10"/>
  <c r="AL107" i="10"/>
  <c r="AK107" i="10"/>
  <c r="AI107" i="10"/>
  <c r="AH107" i="10"/>
  <c r="AE107" i="10"/>
  <c r="AC107" i="10"/>
  <c r="Z107" i="10"/>
  <c r="AA107" i="10" s="1"/>
  <c r="AG107" i="10" s="1"/>
  <c r="W107" i="10"/>
  <c r="AD107" i="10" s="1"/>
  <c r="V107" i="10"/>
  <c r="U107" i="10"/>
  <c r="AF107" i="10" s="1"/>
  <c r="S107" i="10"/>
  <c r="R107" i="10"/>
  <c r="Q107" i="10"/>
  <c r="O107" i="10"/>
  <c r="N107" i="10"/>
  <c r="M107" i="10"/>
  <c r="L107" i="10"/>
  <c r="AJ107" i="10" s="1"/>
  <c r="K107" i="10"/>
  <c r="AL106" i="10"/>
  <c r="AK106" i="10"/>
  <c r="AI106" i="10"/>
  <c r="AH106" i="10"/>
  <c r="AC106" i="10"/>
  <c r="AE106" i="10" s="1"/>
  <c r="Z106" i="10"/>
  <c r="AA106" i="10" s="1"/>
  <c r="AG106" i="10" s="1"/>
  <c r="W106" i="10"/>
  <c r="AD106" i="10" s="1"/>
  <c r="V106" i="10"/>
  <c r="U106" i="10"/>
  <c r="AF106" i="10" s="1"/>
  <c r="S106" i="10"/>
  <c r="R106" i="10"/>
  <c r="Q106" i="10"/>
  <c r="O106" i="10"/>
  <c r="N106" i="10"/>
  <c r="M106" i="10"/>
  <c r="L106" i="10"/>
  <c r="AJ106" i="10" s="1"/>
  <c r="K106" i="10"/>
  <c r="AL105" i="10"/>
  <c r="AK105" i="10"/>
  <c r="AI105" i="10"/>
  <c r="AH105" i="10"/>
  <c r="AE105" i="10"/>
  <c r="AC105" i="10"/>
  <c r="Z105" i="10"/>
  <c r="AA105" i="10" s="1"/>
  <c r="AG105" i="10" s="1"/>
  <c r="W105" i="10"/>
  <c r="AD105" i="10" s="1"/>
  <c r="V105" i="10"/>
  <c r="U105" i="10"/>
  <c r="AF105" i="10" s="1"/>
  <c r="S105" i="10"/>
  <c r="R105" i="10"/>
  <c r="Q105" i="10"/>
  <c r="O105" i="10"/>
  <c r="N105" i="10"/>
  <c r="M105" i="10"/>
  <c r="L105" i="10"/>
  <c r="AJ105" i="10" s="1"/>
  <c r="K105" i="10"/>
  <c r="AL104" i="10"/>
  <c r="AK104" i="10"/>
  <c r="AI104" i="10"/>
  <c r="AH104" i="10"/>
  <c r="AC104" i="10"/>
  <c r="AE104" i="10" s="1"/>
  <c r="Z104" i="10"/>
  <c r="AA104" i="10" s="1"/>
  <c r="AG104" i="10" s="1"/>
  <c r="W104" i="10"/>
  <c r="AD104" i="10" s="1"/>
  <c r="V104" i="10"/>
  <c r="U104" i="10"/>
  <c r="AF104" i="10" s="1"/>
  <c r="S104" i="10"/>
  <c r="R104" i="10"/>
  <c r="Q104" i="10"/>
  <c r="O104" i="10"/>
  <c r="N104" i="10"/>
  <c r="M104" i="10"/>
  <c r="L104" i="10"/>
  <c r="AJ104" i="10" s="1"/>
  <c r="K104" i="10"/>
  <c r="AL103" i="10"/>
  <c r="AK103" i="10"/>
  <c r="AI103" i="10"/>
  <c r="AH103" i="10"/>
  <c r="AE103" i="10"/>
  <c r="AC103" i="10"/>
  <c r="Z103" i="10"/>
  <c r="AA103" i="10" s="1"/>
  <c r="AG103" i="10" s="1"/>
  <c r="W103" i="10"/>
  <c r="AD103" i="10" s="1"/>
  <c r="V103" i="10"/>
  <c r="U103" i="10"/>
  <c r="AF103" i="10" s="1"/>
  <c r="S103" i="10"/>
  <c r="R103" i="10"/>
  <c r="Q103" i="10"/>
  <c r="O103" i="10"/>
  <c r="N103" i="10"/>
  <c r="M103" i="10"/>
  <c r="L103" i="10"/>
  <c r="AJ103" i="10" s="1"/>
  <c r="K103" i="10"/>
  <c r="AL102" i="10"/>
  <c r="AK102" i="10"/>
  <c r="AI102" i="10"/>
  <c r="AH102" i="10"/>
  <c r="AC102" i="10"/>
  <c r="AE102" i="10" s="1"/>
  <c r="Z102" i="10"/>
  <c r="AA102" i="10" s="1"/>
  <c r="AG102" i="10" s="1"/>
  <c r="W102" i="10"/>
  <c r="AD102" i="10" s="1"/>
  <c r="V102" i="10"/>
  <c r="U102" i="10"/>
  <c r="AF102" i="10" s="1"/>
  <c r="S102" i="10"/>
  <c r="R102" i="10"/>
  <c r="Q102" i="10"/>
  <c r="O102" i="10"/>
  <c r="N102" i="10"/>
  <c r="M102" i="10"/>
  <c r="L102" i="10"/>
  <c r="AJ102" i="10" s="1"/>
  <c r="K102" i="10"/>
  <c r="AL101" i="10"/>
  <c r="AK101" i="10"/>
  <c r="AI101" i="10"/>
  <c r="AH101" i="10"/>
  <c r="AE101" i="10"/>
  <c r="AC101" i="10"/>
  <c r="Z101" i="10"/>
  <c r="AA101" i="10" s="1"/>
  <c r="AG101" i="10" s="1"/>
  <c r="W101" i="10"/>
  <c r="AD101" i="10" s="1"/>
  <c r="V101" i="10"/>
  <c r="U101" i="10"/>
  <c r="AF101" i="10" s="1"/>
  <c r="S101" i="10"/>
  <c r="R101" i="10"/>
  <c r="Q101" i="10"/>
  <c r="O101" i="10"/>
  <c r="N101" i="10"/>
  <c r="M101" i="10"/>
  <c r="L101" i="10"/>
  <c r="AJ101" i="10" s="1"/>
  <c r="K101" i="10"/>
  <c r="AL100" i="10"/>
  <c r="AK100" i="10"/>
  <c r="AI100" i="10"/>
  <c r="AH100" i="10"/>
  <c r="AC100" i="10"/>
  <c r="AE100" i="10" s="1"/>
  <c r="Z100" i="10"/>
  <c r="AA100" i="10" s="1"/>
  <c r="AG100" i="10" s="1"/>
  <c r="W100" i="10"/>
  <c r="AD100" i="10" s="1"/>
  <c r="V100" i="10"/>
  <c r="U100" i="10"/>
  <c r="AF100" i="10" s="1"/>
  <c r="S100" i="10"/>
  <c r="R100" i="10"/>
  <c r="Q100" i="10"/>
  <c r="O100" i="10"/>
  <c r="N100" i="10"/>
  <c r="M100" i="10"/>
  <c r="L100" i="10"/>
  <c r="AJ100" i="10" s="1"/>
  <c r="K100" i="10"/>
  <c r="AL99" i="10"/>
  <c r="AK99" i="10"/>
  <c r="AI99" i="10"/>
  <c r="AH99" i="10"/>
  <c r="AE99" i="10"/>
  <c r="AC99" i="10"/>
  <c r="Z99" i="10"/>
  <c r="AA99" i="10" s="1"/>
  <c r="AG99" i="10" s="1"/>
  <c r="W99" i="10"/>
  <c r="AD99" i="10" s="1"/>
  <c r="V99" i="10"/>
  <c r="U99" i="10"/>
  <c r="AF99" i="10" s="1"/>
  <c r="S99" i="10"/>
  <c r="R99" i="10"/>
  <c r="Q99" i="10"/>
  <c r="O99" i="10"/>
  <c r="N99" i="10"/>
  <c r="M99" i="10"/>
  <c r="L99" i="10"/>
  <c r="AJ99" i="10" s="1"/>
  <c r="K99" i="10"/>
  <c r="AL98" i="10"/>
  <c r="AK98" i="10"/>
  <c r="AI98" i="10"/>
  <c r="AH98" i="10"/>
  <c r="AC98" i="10"/>
  <c r="AE98" i="10" s="1"/>
  <c r="Z98" i="10"/>
  <c r="AA98" i="10" s="1"/>
  <c r="AG98" i="10" s="1"/>
  <c r="W98" i="10"/>
  <c r="AD98" i="10" s="1"/>
  <c r="V98" i="10"/>
  <c r="U98" i="10"/>
  <c r="AF98" i="10" s="1"/>
  <c r="S98" i="10"/>
  <c r="R98" i="10"/>
  <c r="Q98" i="10"/>
  <c r="O98" i="10"/>
  <c r="N98" i="10"/>
  <c r="M98" i="10"/>
  <c r="L98" i="10"/>
  <c r="AJ98" i="10" s="1"/>
  <c r="K98" i="10"/>
  <c r="AL97" i="10"/>
  <c r="AK97" i="10"/>
  <c r="AI97" i="10"/>
  <c r="AH97" i="10"/>
  <c r="AE97" i="10"/>
  <c r="AC97" i="10"/>
  <c r="Z97" i="10"/>
  <c r="AA97" i="10" s="1"/>
  <c r="AG97" i="10" s="1"/>
  <c r="W97" i="10"/>
  <c r="AD97" i="10" s="1"/>
  <c r="V97" i="10"/>
  <c r="U97" i="10"/>
  <c r="AF97" i="10" s="1"/>
  <c r="S97" i="10"/>
  <c r="R97" i="10"/>
  <c r="Q97" i="10"/>
  <c r="O97" i="10"/>
  <c r="N97" i="10"/>
  <c r="M97" i="10"/>
  <c r="L97" i="10"/>
  <c r="AJ97" i="10" s="1"/>
  <c r="K97" i="10"/>
  <c r="AL96" i="10"/>
  <c r="AK96" i="10"/>
  <c r="AI96" i="10"/>
  <c r="AH96" i="10"/>
  <c r="AC96" i="10"/>
  <c r="AE96" i="10" s="1"/>
  <c r="Z96" i="10"/>
  <c r="AA96" i="10" s="1"/>
  <c r="AG96" i="10" s="1"/>
  <c r="W96" i="10"/>
  <c r="AD96" i="10" s="1"/>
  <c r="V96" i="10"/>
  <c r="U96" i="10"/>
  <c r="AF96" i="10" s="1"/>
  <c r="S96" i="10"/>
  <c r="R96" i="10"/>
  <c r="Q96" i="10"/>
  <c r="O96" i="10"/>
  <c r="N96" i="10"/>
  <c r="M96" i="10"/>
  <c r="L96" i="10"/>
  <c r="AJ96" i="10" s="1"/>
  <c r="K96" i="10"/>
  <c r="AL95" i="10"/>
  <c r="AK95" i="10"/>
  <c r="AI95" i="10"/>
  <c r="AH95" i="10"/>
  <c r="AE95" i="10"/>
  <c r="AC95" i="10"/>
  <c r="Z95" i="10"/>
  <c r="AA95" i="10" s="1"/>
  <c r="AG95" i="10" s="1"/>
  <c r="W95" i="10"/>
  <c r="AD95" i="10" s="1"/>
  <c r="V95" i="10"/>
  <c r="U95" i="10"/>
  <c r="AF95" i="10" s="1"/>
  <c r="S95" i="10"/>
  <c r="R95" i="10"/>
  <c r="Q95" i="10"/>
  <c r="O95" i="10"/>
  <c r="N95" i="10"/>
  <c r="M95" i="10"/>
  <c r="L95" i="10"/>
  <c r="AJ95" i="10" s="1"/>
  <c r="K95" i="10"/>
  <c r="AL94" i="10"/>
  <c r="AK94" i="10"/>
  <c r="AI94" i="10"/>
  <c r="AH94" i="10"/>
  <c r="AC94" i="10"/>
  <c r="AE94" i="10" s="1"/>
  <c r="Z94" i="10"/>
  <c r="AA94" i="10" s="1"/>
  <c r="AG94" i="10" s="1"/>
  <c r="W94" i="10"/>
  <c r="AD94" i="10" s="1"/>
  <c r="V94" i="10"/>
  <c r="U94" i="10"/>
  <c r="AF94" i="10" s="1"/>
  <c r="S94" i="10"/>
  <c r="R94" i="10"/>
  <c r="Q94" i="10"/>
  <c r="O94" i="10"/>
  <c r="N94" i="10"/>
  <c r="M94" i="10"/>
  <c r="L94" i="10"/>
  <c r="AJ94" i="10" s="1"/>
  <c r="K94" i="10"/>
  <c r="AL93" i="10"/>
  <c r="AK93" i="10"/>
  <c r="AI93" i="10"/>
  <c r="AH93" i="10"/>
  <c r="AE93" i="10"/>
  <c r="AC93" i="10"/>
  <c r="Z93" i="10"/>
  <c r="AA93" i="10" s="1"/>
  <c r="AG93" i="10" s="1"/>
  <c r="W93" i="10"/>
  <c r="AD93" i="10" s="1"/>
  <c r="V93" i="10"/>
  <c r="U93" i="10"/>
  <c r="AF93" i="10" s="1"/>
  <c r="S93" i="10"/>
  <c r="R93" i="10"/>
  <c r="Q93" i="10"/>
  <c r="O93" i="10"/>
  <c r="N93" i="10"/>
  <c r="M93" i="10"/>
  <c r="L93" i="10"/>
  <c r="AJ93" i="10" s="1"/>
  <c r="K93" i="10"/>
  <c r="AL92" i="10"/>
  <c r="AK92" i="10"/>
  <c r="AI92" i="10"/>
  <c r="AH92" i="10"/>
  <c r="AC92" i="10"/>
  <c r="AE92" i="10" s="1"/>
  <c r="Z92" i="10"/>
  <c r="AA92" i="10" s="1"/>
  <c r="AG92" i="10" s="1"/>
  <c r="W92" i="10"/>
  <c r="AD92" i="10" s="1"/>
  <c r="V92" i="10"/>
  <c r="U92" i="10"/>
  <c r="AF92" i="10" s="1"/>
  <c r="S92" i="10"/>
  <c r="R92" i="10"/>
  <c r="Q92" i="10"/>
  <c r="O92" i="10"/>
  <c r="N92" i="10"/>
  <c r="M92" i="10"/>
  <c r="L92" i="10"/>
  <c r="AJ92" i="10" s="1"/>
  <c r="K92" i="10"/>
  <c r="AL91" i="10"/>
  <c r="AK91" i="10"/>
  <c r="AI91" i="10"/>
  <c r="AH91" i="10"/>
  <c r="AE91" i="10"/>
  <c r="AC91" i="10"/>
  <c r="Z91" i="10"/>
  <c r="AA91" i="10" s="1"/>
  <c r="AG91" i="10" s="1"/>
  <c r="W91" i="10"/>
  <c r="AD91" i="10" s="1"/>
  <c r="V91" i="10"/>
  <c r="U91" i="10"/>
  <c r="AF91" i="10" s="1"/>
  <c r="S91" i="10"/>
  <c r="R91" i="10"/>
  <c r="Q91" i="10"/>
  <c r="O91" i="10"/>
  <c r="N91" i="10"/>
  <c r="M91" i="10"/>
  <c r="L91" i="10"/>
  <c r="AJ91" i="10" s="1"/>
  <c r="K91" i="10"/>
  <c r="AL90" i="10"/>
  <c r="AK90" i="10"/>
  <c r="AI90" i="10"/>
  <c r="AH90" i="10"/>
  <c r="AC90" i="10"/>
  <c r="AE90" i="10" s="1"/>
  <c r="Z90" i="10"/>
  <c r="AA90" i="10" s="1"/>
  <c r="AG90" i="10" s="1"/>
  <c r="W90" i="10"/>
  <c r="AD90" i="10" s="1"/>
  <c r="V90" i="10"/>
  <c r="U90" i="10"/>
  <c r="AF90" i="10" s="1"/>
  <c r="S90" i="10"/>
  <c r="R90" i="10"/>
  <c r="Q90" i="10"/>
  <c r="O90" i="10"/>
  <c r="N90" i="10"/>
  <c r="M90" i="10"/>
  <c r="L90" i="10"/>
  <c r="AJ90" i="10" s="1"/>
  <c r="K90" i="10"/>
  <c r="AL89" i="10"/>
  <c r="AK89" i="10"/>
  <c r="AI89" i="10"/>
  <c r="AH89" i="10"/>
  <c r="AE89" i="10"/>
  <c r="AC89" i="10"/>
  <c r="Z89" i="10"/>
  <c r="AA89" i="10" s="1"/>
  <c r="AG89" i="10" s="1"/>
  <c r="W89" i="10"/>
  <c r="AD89" i="10" s="1"/>
  <c r="V89" i="10"/>
  <c r="U89" i="10"/>
  <c r="AF89" i="10" s="1"/>
  <c r="S89" i="10"/>
  <c r="R89" i="10"/>
  <c r="Q89" i="10"/>
  <c r="O89" i="10"/>
  <c r="N89" i="10"/>
  <c r="M89" i="10"/>
  <c r="L89" i="10"/>
  <c r="AJ89" i="10" s="1"/>
  <c r="K89" i="10"/>
  <c r="AL88" i="10"/>
  <c r="AK88" i="10"/>
  <c r="AI88" i="10"/>
  <c r="AH88" i="10"/>
  <c r="AC88" i="10"/>
  <c r="AE88" i="10" s="1"/>
  <c r="Z88" i="10"/>
  <c r="AA88" i="10" s="1"/>
  <c r="AG88" i="10" s="1"/>
  <c r="W88" i="10"/>
  <c r="AD88" i="10" s="1"/>
  <c r="V88" i="10"/>
  <c r="U88" i="10"/>
  <c r="AF88" i="10" s="1"/>
  <c r="S88" i="10"/>
  <c r="R88" i="10"/>
  <c r="Q88" i="10"/>
  <c r="O88" i="10"/>
  <c r="N88" i="10"/>
  <c r="M88" i="10"/>
  <c r="L88" i="10"/>
  <c r="AJ88" i="10" s="1"/>
  <c r="K88" i="10"/>
  <c r="AL87" i="10"/>
  <c r="AK87" i="10"/>
  <c r="AI87" i="10"/>
  <c r="AH87" i="10"/>
  <c r="AE87" i="10"/>
  <c r="AC87" i="10"/>
  <c r="Z87" i="10"/>
  <c r="AA87" i="10" s="1"/>
  <c r="AG87" i="10" s="1"/>
  <c r="W87" i="10"/>
  <c r="AD87" i="10" s="1"/>
  <c r="V87" i="10"/>
  <c r="U87" i="10"/>
  <c r="AF87" i="10" s="1"/>
  <c r="S87" i="10"/>
  <c r="R87" i="10"/>
  <c r="Q87" i="10"/>
  <c r="O87" i="10"/>
  <c r="N87" i="10"/>
  <c r="M87" i="10"/>
  <c r="L87" i="10"/>
  <c r="AJ87" i="10" s="1"/>
  <c r="K87" i="10"/>
  <c r="AL86" i="10"/>
  <c r="AK86" i="10"/>
  <c r="AI86" i="10"/>
  <c r="AH86" i="10"/>
  <c r="AC86" i="10"/>
  <c r="AE86" i="10" s="1"/>
  <c r="Z86" i="10"/>
  <c r="AA86" i="10" s="1"/>
  <c r="AG86" i="10" s="1"/>
  <c r="W86" i="10"/>
  <c r="AD86" i="10" s="1"/>
  <c r="V86" i="10"/>
  <c r="U86" i="10"/>
  <c r="AF86" i="10" s="1"/>
  <c r="S86" i="10"/>
  <c r="R86" i="10"/>
  <c r="Q86" i="10"/>
  <c r="O86" i="10"/>
  <c r="N86" i="10"/>
  <c r="M86" i="10"/>
  <c r="L86" i="10"/>
  <c r="AJ86" i="10" s="1"/>
  <c r="K86" i="10"/>
  <c r="AL85" i="10"/>
  <c r="AK85" i="10"/>
  <c r="AI85" i="10"/>
  <c r="AH85" i="10"/>
  <c r="AE85" i="10"/>
  <c r="AC85" i="10"/>
  <c r="Z85" i="10"/>
  <c r="AA85" i="10" s="1"/>
  <c r="AG85" i="10" s="1"/>
  <c r="W85" i="10"/>
  <c r="AD85" i="10" s="1"/>
  <c r="V85" i="10"/>
  <c r="U85" i="10"/>
  <c r="AF85" i="10" s="1"/>
  <c r="S85" i="10"/>
  <c r="R85" i="10"/>
  <c r="Q85" i="10"/>
  <c r="O85" i="10"/>
  <c r="N85" i="10"/>
  <c r="M85" i="10"/>
  <c r="L85" i="10"/>
  <c r="AJ85" i="10" s="1"/>
  <c r="K85" i="10"/>
  <c r="AL84" i="10"/>
  <c r="AK84" i="10"/>
  <c r="AI84" i="10"/>
  <c r="AH84" i="10"/>
  <c r="AC84" i="10"/>
  <c r="AE84" i="10" s="1"/>
  <c r="Z84" i="10"/>
  <c r="AA84" i="10" s="1"/>
  <c r="AG84" i="10" s="1"/>
  <c r="W84" i="10"/>
  <c r="AD84" i="10" s="1"/>
  <c r="V84" i="10"/>
  <c r="U84" i="10"/>
  <c r="AF84" i="10" s="1"/>
  <c r="S84" i="10"/>
  <c r="R84" i="10"/>
  <c r="Q84" i="10"/>
  <c r="O84" i="10"/>
  <c r="N84" i="10"/>
  <c r="M84" i="10"/>
  <c r="L84" i="10"/>
  <c r="AJ84" i="10" s="1"/>
  <c r="K84" i="10"/>
  <c r="AL83" i="10"/>
  <c r="AK83" i="10"/>
  <c r="AI83" i="10"/>
  <c r="AH83" i="10"/>
  <c r="AE83" i="10"/>
  <c r="AC83" i="10"/>
  <c r="Z83" i="10"/>
  <c r="AA83" i="10" s="1"/>
  <c r="AG83" i="10" s="1"/>
  <c r="W83" i="10"/>
  <c r="AD83" i="10" s="1"/>
  <c r="V83" i="10"/>
  <c r="U83" i="10"/>
  <c r="AF83" i="10" s="1"/>
  <c r="S83" i="10"/>
  <c r="R83" i="10"/>
  <c r="Q83" i="10"/>
  <c r="O83" i="10"/>
  <c r="N83" i="10"/>
  <c r="M83" i="10"/>
  <c r="L83" i="10"/>
  <c r="AJ83" i="10" s="1"/>
  <c r="K83" i="10"/>
  <c r="AL82" i="10"/>
  <c r="AK82" i="10"/>
  <c r="AI82" i="10"/>
  <c r="AH82" i="10"/>
  <c r="AC82" i="10"/>
  <c r="AE82" i="10" s="1"/>
  <c r="Z82" i="10"/>
  <c r="AA82" i="10" s="1"/>
  <c r="AG82" i="10" s="1"/>
  <c r="W82" i="10"/>
  <c r="AD82" i="10" s="1"/>
  <c r="V82" i="10"/>
  <c r="U82" i="10"/>
  <c r="AF82" i="10" s="1"/>
  <c r="S82" i="10"/>
  <c r="R82" i="10"/>
  <c r="Q82" i="10"/>
  <c r="O82" i="10"/>
  <c r="N82" i="10"/>
  <c r="M82" i="10"/>
  <c r="L82" i="10"/>
  <c r="AJ82" i="10" s="1"/>
  <c r="K82" i="10"/>
  <c r="AL81" i="10"/>
  <c r="AK81" i="10"/>
  <c r="AI81" i="10"/>
  <c r="AH81" i="10"/>
  <c r="AE81" i="10"/>
  <c r="AC81" i="10"/>
  <c r="Z81" i="10"/>
  <c r="AA81" i="10" s="1"/>
  <c r="AG81" i="10" s="1"/>
  <c r="W81" i="10"/>
  <c r="AD81" i="10" s="1"/>
  <c r="V81" i="10"/>
  <c r="U81" i="10"/>
  <c r="AF81" i="10" s="1"/>
  <c r="S81" i="10"/>
  <c r="R81" i="10"/>
  <c r="Q81" i="10"/>
  <c r="O81" i="10"/>
  <c r="N81" i="10"/>
  <c r="M81" i="10"/>
  <c r="L81" i="10"/>
  <c r="AJ81" i="10" s="1"/>
  <c r="K81" i="10"/>
  <c r="AL80" i="10"/>
  <c r="AK80" i="10"/>
  <c r="AI80" i="10"/>
  <c r="AH80" i="10"/>
  <c r="AC80" i="10"/>
  <c r="AE80" i="10" s="1"/>
  <c r="Z80" i="10"/>
  <c r="AA80" i="10" s="1"/>
  <c r="AG80" i="10" s="1"/>
  <c r="W80" i="10"/>
  <c r="AD80" i="10" s="1"/>
  <c r="V80" i="10"/>
  <c r="U80" i="10"/>
  <c r="AF80" i="10" s="1"/>
  <c r="S80" i="10"/>
  <c r="R80" i="10"/>
  <c r="Q80" i="10"/>
  <c r="O80" i="10"/>
  <c r="N80" i="10"/>
  <c r="M80" i="10"/>
  <c r="L80" i="10"/>
  <c r="AJ80" i="10" s="1"/>
  <c r="K80" i="10"/>
  <c r="AL79" i="10"/>
  <c r="AK79" i="10"/>
  <c r="AI79" i="10"/>
  <c r="AH79" i="10"/>
  <c r="AE79" i="10"/>
  <c r="AC79" i="10"/>
  <c r="Z79" i="10"/>
  <c r="AA79" i="10" s="1"/>
  <c r="AG79" i="10" s="1"/>
  <c r="W79" i="10"/>
  <c r="AD79" i="10" s="1"/>
  <c r="V79" i="10"/>
  <c r="U79" i="10"/>
  <c r="AF79" i="10" s="1"/>
  <c r="S79" i="10"/>
  <c r="R79" i="10"/>
  <c r="Q79" i="10"/>
  <c r="O79" i="10"/>
  <c r="N79" i="10"/>
  <c r="M79" i="10"/>
  <c r="L79" i="10"/>
  <c r="AJ79" i="10" s="1"/>
  <c r="K79" i="10"/>
  <c r="AL78" i="10"/>
  <c r="AK78" i="10"/>
  <c r="AI78" i="10"/>
  <c r="AH78" i="10"/>
  <c r="AC78" i="10"/>
  <c r="AE78" i="10" s="1"/>
  <c r="Z78" i="10"/>
  <c r="AA78" i="10" s="1"/>
  <c r="AG78" i="10" s="1"/>
  <c r="W78" i="10"/>
  <c r="AD78" i="10" s="1"/>
  <c r="V78" i="10"/>
  <c r="U78" i="10"/>
  <c r="AF78" i="10" s="1"/>
  <c r="S78" i="10"/>
  <c r="R78" i="10"/>
  <c r="Q78" i="10"/>
  <c r="O78" i="10"/>
  <c r="N78" i="10"/>
  <c r="M78" i="10"/>
  <c r="L78" i="10"/>
  <c r="AJ78" i="10" s="1"/>
  <c r="K78" i="10"/>
  <c r="AL77" i="10"/>
  <c r="AK77" i="10"/>
  <c r="AI77" i="10"/>
  <c r="AH77" i="10"/>
  <c r="AE77" i="10"/>
  <c r="AC77" i="10"/>
  <c r="Z77" i="10"/>
  <c r="AA77" i="10" s="1"/>
  <c r="AG77" i="10" s="1"/>
  <c r="W77" i="10"/>
  <c r="AD77" i="10" s="1"/>
  <c r="V77" i="10"/>
  <c r="U77" i="10"/>
  <c r="AF77" i="10" s="1"/>
  <c r="S77" i="10"/>
  <c r="R77" i="10"/>
  <c r="Q77" i="10"/>
  <c r="O77" i="10"/>
  <c r="N77" i="10"/>
  <c r="M77" i="10"/>
  <c r="L77" i="10"/>
  <c r="AJ77" i="10" s="1"/>
  <c r="K77" i="10"/>
  <c r="AL76" i="10"/>
  <c r="AK76" i="10"/>
  <c r="AI76" i="10"/>
  <c r="AH76" i="10"/>
  <c r="AC76" i="10"/>
  <c r="AE76" i="10" s="1"/>
  <c r="Z76" i="10"/>
  <c r="AA76" i="10" s="1"/>
  <c r="AG76" i="10" s="1"/>
  <c r="W76" i="10"/>
  <c r="AD76" i="10" s="1"/>
  <c r="V76" i="10"/>
  <c r="U76" i="10"/>
  <c r="AF76" i="10" s="1"/>
  <c r="S76" i="10"/>
  <c r="R76" i="10"/>
  <c r="Q76" i="10"/>
  <c r="O76" i="10"/>
  <c r="N76" i="10"/>
  <c r="M76" i="10"/>
  <c r="L76" i="10"/>
  <c r="AJ76" i="10" s="1"/>
  <c r="K76" i="10"/>
  <c r="AL75" i="10"/>
  <c r="AK75" i="10"/>
  <c r="AI75" i="10"/>
  <c r="AH75" i="10"/>
  <c r="AE75" i="10"/>
  <c r="AC75" i="10"/>
  <c r="Z75" i="10"/>
  <c r="AA75" i="10" s="1"/>
  <c r="AG75" i="10" s="1"/>
  <c r="W75" i="10"/>
  <c r="AD75" i="10" s="1"/>
  <c r="V75" i="10"/>
  <c r="U75" i="10"/>
  <c r="AF75" i="10" s="1"/>
  <c r="S75" i="10"/>
  <c r="R75" i="10"/>
  <c r="Q75" i="10"/>
  <c r="O75" i="10"/>
  <c r="N75" i="10"/>
  <c r="M75" i="10"/>
  <c r="L75" i="10"/>
  <c r="AJ75" i="10" s="1"/>
  <c r="K75" i="10"/>
  <c r="AL74" i="10"/>
  <c r="AK74" i="10"/>
  <c r="AI74" i="10"/>
  <c r="AH74" i="10"/>
  <c r="AC74" i="10"/>
  <c r="AE74" i="10" s="1"/>
  <c r="Z74" i="10"/>
  <c r="AA74" i="10" s="1"/>
  <c r="AG74" i="10" s="1"/>
  <c r="W74" i="10"/>
  <c r="AD74" i="10" s="1"/>
  <c r="V74" i="10"/>
  <c r="U74" i="10"/>
  <c r="AF74" i="10" s="1"/>
  <c r="S74" i="10"/>
  <c r="R74" i="10"/>
  <c r="Q74" i="10"/>
  <c r="O74" i="10"/>
  <c r="N74" i="10"/>
  <c r="M74" i="10"/>
  <c r="L74" i="10"/>
  <c r="AJ74" i="10" s="1"/>
  <c r="K74" i="10"/>
  <c r="AL73" i="10"/>
  <c r="AK73" i="10"/>
  <c r="AI73" i="10"/>
  <c r="AH73" i="10"/>
  <c r="AE73" i="10"/>
  <c r="AC73" i="10"/>
  <c r="Z73" i="10"/>
  <c r="AA73" i="10" s="1"/>
  <c r="AG73" i="10" s="1"/>
  <c r="W73" i="10"/>
  <c r="AD73" i="10" s="1"/>
  <c r="V73" i="10"/>
  <c r="U73" i="10"/>
  <c r="AF73" i="10" s="1"/>
  <c r="S73" i="10"/>
  <c r="R73" i="10"/>
  <c r="Q73" i="10"/>
  <c r="O73" i="10"/>
  <c r="N73" i="10"/>
  <c r="M73" i="10"/>
  <c r="L73" i="10"/>
  <c r="AJ73" i="10" s="1"/>
  <c r="K73" i="10"/>
  <c r="AL72" i="10"/>
  <c r="AK72" i="10"/>
  <c r="AI72" i="10"/>
  <c r="AH72" i="10"/>
  <c r="AC72" i="10"/>
  <c r="AE72" i="10" s="1"/>
  <c r="Z72" i="10"/>
  <c r="AA72" i="10" s="1"/>
  <c r="AG72" i="10" s="1"/>
  <c r="W72" i="10"/>
  <c r="AD72" i="10" s="1"/>
  <c r="V72" i="10"/>
  <c r="U72" i="10"/>
  <c r="AF72" i="10" s="1"/>
  <c r="S72" i="10"/>
  <c r="R72" i="10"/>
  <c r="Q72" i="10"/>
  <c r="O72" i="10"/>
  <c r="N72" i="10"/>
  <c r="M72" i="10"/>
  <c r="L72" i="10"/>
  <c r="AJ72" i="10" s="1"/>
  <c r="K72" i="10"/>
  <c r="AL71" i="10"/>
  <c r="AK71" i="10"/>
  <c r="AI71" i="10"/>
  <c r="AH71" i="10"/>
  <c r="AE71" i="10"/>
  <c r="AC71" i="10"/>
  <c r="Z71" i="10"/>
  <c r="AA71" i="10" s="1"/>
  <c r="AG71" i="10" s="1"/>
  <c r="W71" i="10"/>
  <c r="AD71" i="10" s="1"/>
  <c r="V71" i="10"/>
  <c r="U71" i="10"/>
  <c r="AF71" i="10" s="1"/>
  <c r="S71" i="10"/>
  <c r="R71" i="10"/>
  <c r="Q71" i="10"/>
  <c r="O71" i="10"/>
  <c r="N71" i="10"/>
  <c r="M71" i="10"/>
  <c r="L71" i="10"/>
  <c r="AJ71" i="10" s="1"/>
  <c r="K71" i="10"/>
  <c r="AL70" i="10"/>
  <c r="AK70" i="10"/>
  <c r="AI70" i="10"/>
  <c r="AH70" i="10"/>
  <c r="AC70" i="10"/>
  <c r="AE70" i="10" s="1"/>
  <c r="Z70" i="10"/>
  <c r="AA70" i="10" s="1"/>
  <c r="AG70" i="10" s="1"/>
  <c r="W70" i="10"/>
  <c r="AD70" i="10" s="1"/>
  <c r="V70" i="10"/>
  <c r="U70" i="10"/>
  <c r="AF70" i="10" s="1"/>
  <c r="S70" i="10"/>
  <c r="R70" i="10"/>
  <c r="Q70" i="10"/>
  <c r="O70" i="10"/>
  <c r="N70" i="10"/>
  <c r="M70" i="10"/>
  <c r="L70" i="10"/>
  <c r="AJ70" i="10" s="1"/>
  <c r="K70" i="10"/>
  <c r="AL69" i="10"/>
  <c r="AK69" i="10"/>
  <c r="AI69" i="10"/>
  <c r="AH69" i="10"/>
  <c r="AE69" i="10"/>
  <c r="AC69" i="10"/>
  <c r="Z69" i="10"/>
  <c r="AA69" i="10" s="1"/>
  <c r="AG69" i="10" s="1"/>
  <c r="W69" i="10"/>
  <c r="AD69" i="10" s="1"/>
  <c r="V69" i="10"/>
  <c r="U69" i="10"/>
  <c r="AF69" i="10" s="1"/>
  <c r="S69" i="10"/>
  <c r="R69" i="10"/>
  <c r="Q69" i="10"/>
  <c r="O69" i="10"/>
  <c r="N69" i="10"/>
  <c r="M69" i="10"/>
  <c r="L69" i="10"/>
  <c r="AJ69" i="10" s="1"/>
  <c r="K69" i="10"/>
  <c r="AL68" i="10"/>
  <c r="AK68" i="10"/>
  <c r="AI68" i="10"/>
  <c r="AH68" i="10"/>
  <c r="AC68" i="10"/>
  <c r="AE68" i="10" s="1"/>
  <c r="Z68" i="10"/>
  <c r="AA68" i="10" s="1"/>
  <c r="AG68" i="10" s="1"/>
  <c r="W68" i="10"/>
  <c r="AD68" i="10" s="1"/>
  <c r="V68" i="10"/>
  <c r="U68" i="10"/>
  <c r="AF68" i="10" s="1"/>
  <c r="S68" i="10"/>
  <c r="R68" i="10"/>
  <c r="Q68" i="10"/>
  <c r="O68" i="10"/>
  <c r="N68" i="10"/>
  <c r="M68" i="10"/>
  <c r="L68" i="10"/>
  <c r="AJ68" i="10" s="1"/>
  <c r="K68" i="10"/>
  <c r="AL67" i="10"/>
  <c r="AK67" i="10"/>
  <c r="AI67" i="10"/>
  <c r="AH67" i="10"/>
  <c r="AE67" i="10"/>
  <c r="AC67" i="10"/>
  <c r="Z67" i="10"/>
  <c r="AA67" i="10" s="1"/>
  <c r="AG67" i="10" s="1"/>
  <c r="W67" i="10"/>
  <c r="AD67" i="10" s="1"/>
  <c r="V67" i="10"/>
  <c r="U67" i="10"/>
  <c r="AF67" i="10" s="1"/>
  <c r="S67" i="10"/>
  <c r="R67" i="10"/>
  <c r="Q67" i="10"/>
  <c r="O67" i="10"/>
  <c r="N67" i="10"/>
  <c r="M67" i="10"/>
  <c r="L67" i="10"/>
  <c r="AJ67" i="10" s="1"/>
  <c r="K67" i="10"/>
  <c r="AL66" i="10"/>
  <c r="AK66" i="10"/>
  <c r="AI66" i="10"/>
  <c r="AH66" i="10"/>
  <c r="AC66" i="10"/>
  <c r="AE66" i="10" s="1"/>
  <c r="Z66" i="10"/>
  <c r="AA66" i="10" s="1"/>
  <c r="AG66" i="10" s="1"/>
  <c r="W66" i="10"/>
  <c r="AD66" i="10" s="1"/>
  <c r="V66" i="10"/>
  <c r="U66" i="10"/>
  <c r="AF66" i="10" s="1"/>
  <c r="S66" i="10"/>
  <c r="R66" i="10"/>
  <c r="Q66" i="10"/>
  <c r="O66" i="10"/>
  <c r="N66" i="10"/>
  <c r="M66" i="10"/>
  <c r="L66" i="10"/>
  <c r="AJ66" i="10" s="1"/>
  <c r="K66" i="10"/>
  <c r="AL65" i="10"/>
  <c r="AK65" i="10"/>
  <c r="AI65" i="10"/>
  <c r="AH65" i="10"/>
  <c r="AE65" i="10"/>
  <c r="AC65" i="10"/>
  <c r="Z65" i="10"/>
  <c r="AA65" i="10" s="1"/>
  <c r="AG65" i="10" s="1"/>
  <c r="W65" i="10"/>
  <c r="AD65" i="10" s="1"/>
  <c r="V65" i="10"/>
  <c r="U65" i="10"/>
  <c r="AF65" i="10" s="1"/>
  <c r="S65" i="10"/>
  <c r="R65" i="10"/>
  <c r="Q65" i="10"/>
  <c r="O65" i="10"/>
  <c r="N65" i="10"/>
  <c r="M65" i="10"/>
  <c r="L65" i="10"/>
  <c r="AJ65" i="10" s="1"/>
  <c r="K65" i="10"/>
  <c r="AL64" i="10"/>
  <c r="AK64" i="10"/>
  <c r="AI64" i="10"/>
  <c r="AH64" i="10"/>
  <c r="AC64" i="10"/>
  <c r="AE64" i="10" s="1"/>
  <c r="Z64" i="10"/>
  <c r="AA64" i="10" s="1"/>
  <c r="AG64" i="10" s="1"/>
  <c r="W64" i="10"/>
  <c r="AD64" i="10" s="1"/>
  <c r="V64" i="10"/>
  <c r="U64" i="10"/>
  <c r="AF64" i="10" s="1"/>
  <c r="S64" i="10"/>
  <c r="R64" i="10"/>
  <c r="Q64" i="10"/>
  <c r="O64" i="10"/>
  <c r="N64" i="10"/>
  <c r="M64" i="10"/>
  <c r="L64" i="10"/>
  <c r="AJ64" i="10" s="1"/>
  <c r="K64" i="10"/>
  <c r="AL63" i="10"/>
  <c r="AK63" i="10"/>
  <c r="AI63" i="10"/>
  <c r="AH63" i="10"/>
  <c r="AE63" i="10"/>
  <c r="AC63" i="10"/>
  <c r="Z63" i="10"/>
  <c r="AA63" i="10" s="1"/>
  <c r="AG63" i="10" s="1"/>
  <c r="W63" i="10"/>
  <c r="AD63" i="10" s="1"/>
  <c r="V63" i="10"/>
  <c r="U63" i="10"/>
  <c r="AF63" i="10" s="1"/>
  <c r="S63" i="10"/>
  <c r="R63" i="10"/>
  <c r="Q63" i="10"/>
  <c r="O63" i="10"/>
  <c r="N63" i="10"/>
  <c r="M63" i="10"/>
  <c r="L63" i="10"/>
  <c r="AJ63" i="10" s="1"/>
  <c r="K63" i="10"/>
  <c r="AL62" i="10"/>
  <c r="AK62" i="10"/>
  <c r="AI62" i="10"/>
  <c r="AH62" i="10"/>
  <c r="AC62" i="10"/>
  <c r="AE62" i="10" s="1"/>
  <c r="Z62" i="10"/>
  <c r="AA62" i="10" s="1"/>
  <c r="AG62" i="10" s="1"/>
  <c r="W62" i="10"/>
  <c r="AD62" i="10" s="1"/>
  <c r="V62" i="10"/>
  <c r="U62" i="10"/>
  <c r="AF62" i="10" s="1"/>
  <c r="S62" i="10"/>
  <c r="R62" i="10"/>
  <c r="Q62" i="10"/>
  <c r="O62" i="10"/>
  <c r="N62" i="10"/>
  <c r="M62" i="10"/>
  <c r="L62" i="10"/>
  <c r="AJ62" i="10" s="1"/>
  <c r="K62" i="10"/>
  <c r="AL61" i="10"/>
  <c r="AK61" i="10"/>
  <c r="AI61" i="10"/>
  <c r="AH61" i="10"/>
  <c r="AE61" i="10"/>
  <c r="AC61" i="10"/>
  <c r="Z61" i="10"/>
  <c r="AA61" i="10" s="1"/>
  <c r="AG61" i="10" s="1"/>
  <c r="W61" i="10"/>
  <c r="AD61" i="10" s="1"/>
  <c r="V61" i="10"/>
  <c r="U61" i="10"/>
  <c r="AF61" i="10" s="1"/>
  <c r="S61" i="10"/>
  <c r="R61" i="10"/>
  <c r="Q61" i="10"/>
  <c r="O61" i="10"/>
  <c r="N61" i="10"/>
  <c r="M61" i="10"/>
  <c r="L61" i="10"/>
  <c r="AJ61" i="10" s="1"/>
  <c r="K61" i="10"/>
  <c r="AL60" i="10"/>
  <c r="AK60" i="10"/>
  <c r="AI60" i="10"/>
  <c r="AH60" i="10"/>
  <c r="AC60" i="10"/>
  <c r="AE60" i="10" s="1"/>
  <c r="Z60" i="10"/>
  <c r="AA60" i="10" s="1"/>
  <c r="AG60" i="10" s="1"/>
  <c r="W60" i="10"/>
  <c r="AD60" i="10" s="1"/>
  <c r="V60" i="10"/>
  <c r="U60" i="10"/>
  <c r="AF60" i="10" s="1"/>
  <c r="S60" i="10"/>
  <c r="R60" i="10"/>
  <c r="Q60" i="10"/>
  <c r="O60" i="10"/>
  <c r="N60" i="10"/>
  <c r="M60" i="10"/>
  <c r="L60" i="10"/>
  <c r="AJ60" i="10" s="1"/>
  <c r="K60" i="10"/>
  <c r="AL59" i="10"/>
  <c r="AK59" i="10"/>
  <c r="AI59" i="10"/>
  <c r="AH59" i="10"/>
  <c r="AE59" i="10"/>
  <c r="AC59" i="10"/>
  <c r="Z59" i="10"/>
  <c r="AA59" i="10" s="1"/>
  <c r="AG59" i="10" s="1"/>
  <c r="W59" i="10"/>
  <c r="AD59" i="10" s="1"/>
  <c r="V59" i="10"/>
  <c r="U59" i="10"/>
  <c r="AF59" i="10" s="1"/>
  <c r="S59" i="10"/>
  <c r="R59" i="10"/>
  <c r="Q59" i="10"/>
  <c r="O59" i="10"/>
  <c r="N59" i="10"/>
  <c r="M59" i="10"/>
  <c r="L59" i="10"/>
  <c r="AJ59" i="10" s="1"/>
  <c r="K59" i="10"/>
  <c r="AL58" i="10"/>
  <c r="AK58" i="10"/>
  <c r="AI58" i="10"/>
  <c r="AH58" i="10"/>
  <c r="AC58" i="10"/>
  <c r="AE58" i="10" s="1"/>
  <c r="Z58" i="10"/>
  <c r="AA58" i="10" s="1"/>
  <c r="AG58" i="10" s="1"/>
  <c r="W58" i="10"/>
  <c r="AD58" i="10" s="1"/>
  <c r="V58" i="10"/>
  <c r="U58" i="10"/>
  <c r="AF58" i="10" s="1"/>
  <c r="S58" i="10"/>
  <c r="R58" i="10"/>
  <c r="Q58" i="10"/>
  <c r="O58" i="10"/>
  <c r="N58" i="10"/>
  <c r="M58" i="10"/>
  <c r="L58" i="10"/>
  <c r="AJ58" i="10" s="1"/>
  <c r="K58" i="10"/>
  <c r="AL57" i="10"/>
  <c r="AK57" i="10"/>
  <c r="AI57" i="10"/>
  <c r="AH57" i="10"/>
  <c r="AE57" i="10"/>
  <c r="AC57" i="10"/>
  <c r="Z57" i="10"/>
  <c r="AA57" i="10" s="1"/>
  <c r="AG57" i="10" s="1"/>
  <c r="W57" i="10"/>
  <c r="AD57" i="10" s="1"/>
  <c r="V57" i="10"/>
  <c r="U57" i="10"/>
  <c r="AF57" i="10" s="1"/>
  <c r="S57" i="10"/>
  <c r="R57" i="10"/>
  <c r="Q57" i="10"/>
  <c r="O57" i="10"/>
  <c r="N57" i="10"/>
  <c r="M57" i="10"/>
  <c r="L57" i="10"/>
  <c r="AJ57" i="10" s="1"/>
  <c r="K57" i="10"/>
  <c r="AL56" i="10"/>
  <c r="AK56" i="10"/>
  <c r="AI56" i="10"/>
  <c r="AH56" i="10"/>
  <c r="AC56" i="10"/>
  <c r="AE56" i="10" s="1"/>
  <c r="Z56" i="10"/>
  <c r="AA56" i="10" s="1"/>
  <c r="AG56" i="10" s="1"/>
  <c r="W56" i="10"/>
  <c r="AD56" i="10" s="1"/>
  <c r="V56" i="10"/>
  <c r="U56" i="10"/>
  <c r="AF56" i="10" s="1"/>
  <c r="S56" i="10"/>
  <c r="R56" i="10"/>
  <c r="Q56" i="10"/>
  <c r="O56" i="10"/>
  <c r="N56" i="10"/>
  <c r="M56" i="10"/>
  <c r="L56" i="10"/>
  <c r="AJ56" i="10" s="1"/>
  <c r="K56" i="10"/>
  <c r="AL55" i="10"/>
  <c r="AK55" i="10"/>
  <c r="AI55" i="10"/>
  <c r="AH55" i="10"/>
  <c r="AE55" i="10"/>
  <c r="AC55" i="10"/>
  <c r="Z55" i="10"/>
  <c r="AA55" i="10" s="1"/>
  <c r="AG55" i="10" s="1"/>
  <c r="W55" i="10"/>
  <c r="AD55" i="10" s="1"/>
  <c r="V55" i="10"/>
  <c r="U55" i="10"/>
  <c r="AF55" i="10" s="1"/>
  <c r="S55" i="10"/>
  <c r="R55" i="10"/>
  <c r="Q55" i="10"/>
  <c r="O55" i="10"/>
  <c r="N55" i="10"/>
  <c r="M55" i="10"/>
  <c r="L55" i="10"/>
  <c r="AJ55" i="10" s="1"/>
  <c r="K55" i="10"/>
  <c r="AL54" i="10"/>
  <c r="AK54" i="10"/>
  <c r="AI54" i="10"/>
  <c r="AH54" i="10"/>
  <c r="AC54" i="10"/>
  <c r="AE54" i="10" s="1"/>
  <c r="Z54" i="10"/>
  <c r="AA54" i="10" s="1"/>
  <c r="AG54" i="10" s="1"/>
  <c r="W54" i="10"/>
  <c r="AD54" i="10" s="1"/>
  <c r="V54" i="10"/>
  <c r="U54" i="10"/>
  <c r="AF54" i="10" s="1"/>
  <c r="S54" i="10"/>
  <c r="R54" i="10"/>
  <c r="Q54" i="10"/>
  <c r="O54" i="10"/>
  <c r="N54" i="10"/>
  <c r="M54" i="10"/>
  <c r="L54" i="10"/>
  <c r="AJ54" i="10" s="1"/>
  <c r="K54" i="10"/>
  <c r="AL53" i="10"/>
  <c r="AK53" i="10"/>
  <c r="AI53" i="10"/>
  <c r="AH53" i="10"/>
  <c r="AE53" i="10"/>
  <c r="AC53" i="10"/>
  <c r="Z53" i="10"/>
  <c r="AA53" i="10" s="1"/>
  <c r="AG53" i="10" s="1"/>
  <c r="W53" i="10"/>
  <c r="AD53" i="10" s="1"/>
  <c r="V53" i="10"/>
  <c r="U53" i="10"/>
  <c r="AF53" i="10" s="1"/>
  <c r="S53" i="10"/>
  <c r="R53" i="10"/>
  <c r="Q53" i="10"/>
  <c r="O53" i="10"/>
  <c r="N53" i="10"/>
  <c r="M53" i="10"/>
  <c r="L53" i="10"/>
  <c r="AJ53" i="10" s="1"/>
  <c r="K53" i="10"/>
  <c r="AL52" i="10"/>
  <c r="AK52" i="10"/>
  <c r="AI52" i="10"/>
  <c r="AH52" i="10"/>
  <c r="AC52" i="10"/>
  <c r="AE52" i="10" s="1"/>
  <c r="Z52" i="10"/>
  <c r="AA52" i="10" s="1"/>
  <c r="AG52" i="10" s="1"/>
  <c r="W52" i="10"/>
  <c r="AD52" i="10" s="1"/>
  <c r="V52" i="10"/>
  <c r="U52" i="10"/>
  <c r="AF52" i="10" s="1"/>
  <c r="S52" i="10"/>
  <c r="R52" i="10"/>
  <c r="Q52" i="10"/>
  <c r="O52" i="10"/>
  <c r="N52" i="10"/>
  <c r="M52" i="10"/>
  <c r="L52" i="10"/>
  <c r="AJ52" i="10" s="1"/>
  <c r="K52" i="10"/>
  <c r="AL51" i="10"/>
  <c r="AK51" i="10"/>
  <c r="AI51" i="10"/>
  <c r="AH51" i="10"/>
  <c r="AE51" i="10"/>
  <c r="AC51" i="10"/>
  <c r="Z51" i="10"/>
  <c r="AA51" i="10" s="1"/>
  <c r="AG51" i="10" s="1"/>
  <c r="W51" i="10"/>
  <c r="AD51" i="10" s="1"/>
  <c r="V51" i="10"/>
  <c r="U51" i="10"/>
  <c r="AF51" i="10" s="1"/>
  <c r="S51" i="10"/>
  <c r="R51" i="10"/>
  <c r="Q51" i="10"/>
  <c r="O51" i="10"/>
  <c r="N51" i="10"/>
  <c r="M51" i="10"/>
  <c r="L51" i="10"/>
  <c r="AJ51" i="10" s="1"/>
  <c r="K51" i="10"/>
  <c r="AL50" i="10"/>
  <c r="AK50" i="10"/>
  <c r="AI50" i="10"/>
  <c r="AH50" i="10"/>
  <c r="AC50" i="10"/>
  <c r="AE50" i="10" s="1"/>
  <c r="Z50" i="10"/>
  <c r="AA50" i="10" s="1"/>
  <c r="AG50" i="10" s="1"/>
  <c r="W50" i="10"/>
  <c r="AD50" i="10" s="1"/>
  <c r="V50" i="10"/>
  <c r="U50" i="10"/>
  <c r="AF50" i="10" s="1"/>
  <c r="S50" i="10"/>
  <c r="R50" i="10"/>
  <c r="Q50" i="10"/>
  <c r="O50" i="10"/>
  <c r="N50" i="10"/>
  <c r="M50" i="10"/>
  <c r="L50" i="10"/>
  <c r="AJ50" i="10" s="1"/>
  <c r="K50" i="10"/>
  <c r="AL49" i="10"/>
  <c r="AK49" i="10"/>
  <c r="AI49" i="10"/>
  <c r="AH49" i="10"/>
  <c r="AE49" i="10"/>
  <c r="AC49" i="10"/>
  <c r="Z49" i="10"/>
  <c r="AA49" i="10" s="1"/>
  <c r="AG49" i="10" s="1"/>
  <c r="W49" i="10"/>
  <c r="AD49" i="10" s="1"/>
  <c r="V49" i="10"/>
  <c r="U49" i="10"/>
  <c r="AF49" i="10" s="1"/>
  <c r="S49" i="10"/>
  <c r="R49" i="10"/>
  <c r="Q49" i="10"/>
  <c r="O49" i="10"/>
  <c r="N49" i="10"/>
  <c r="M49" i="10"/>
  <c r="L49" i="10"/>
  <c r="AJ49" i="10" s="1"/>
  <c r="K49" i="10"/>
  <c r="AL48" i="10"/>
  <c r="AK48" i="10"/>
  <c r="AI48" i="10"/>
  <c r="AH48" i="10"/>
  <c r="AC48" i="10"/>
  <c r="AE48" i="10" s="1"/>
  <c r="Z48" i="10"/>
  <c r="AA48" i="10" s="1"/>
  <c r="AG48" i="10" s="1"/>
  <c r="W48" i="10"/>
  <c r="AD48" i="10" s="1"/>
  <c r="V48" i="10"/>
  <c r="U48" i="10"/>
  <c r="AF48" i="10" s="1"/>
  <c r="S48" i="10"/>
  <c r="R48" i="10"/>
  <c r="Q48" i="10"/>
  <c r="O48" i="10"/>
  <c r="N48" i="10"/>
  <c r="M48" i="10"/>
  <c r="L48" i="10"/>
  <c r="AJ48" i="10" s="1"/>
  <c r="K48" i="10"/>
  <c r="AL47" i="10"/>
  <c r="AK47" i="10"/>
  <c r="AI47" i="10"/>
  <c r="AH47" i="10"/>
  <c r="AE47" i="10"/>
  <c r="AC47" i="10"/>
  <c r="Z47" i="10"/>
  <c r="AA47" i="10" s="1"/>
  <c r="AG47" i="10" s="1"/>
  <c r="W47" i="10"/>
  <c r="AD47" i="10" s="1"/>
  <c r="V47" i="10"/>
  <c r="U47" i="10"/>
  <c r="AF47" i="10" s="1"/>
  <c r="S47" i="10"/>
  <c r="R47" i="10"/>
  <c r="Q47" i="10"/>
  <c r="O47" i="10"/>
  <c r="N47" i="10"/>
  <c r="M47" i="10"/>
  <c r="L47" i="10"/>
  <c r="AJ47" i="10" s="1"/>
  <c r="K47" i="10"/>
  <c r="AL46" i="10"/>
  <c r="AK46" i="10"/>
  <c r="AI46" i="10"/>
  <c r="AH46" i="10"/>
  <c r="AC46" i="10"/>
  <c r="AE46" i="10" s="1"/>
  <c r="Z46" i="10"/>
  <c r="AA46" i="10" s="1"/>
  <c r="AG46" i="10" s="1"/>
  <c r="W46" i="10"/>
  <c r="AD46" i="10" s="1"/>
  <c r="V46" i="10"/>
  <c r="U46" i="10"/>
  <c r="AF46" i="10" s="1"/>
  <c r="S46" i="10"/>
  <c r="R46" i="10"/>
  <c r="Q46" i="10"/>
  <c r="O46" i="10"/>
  <c r="N46" i="10"/>
  <c r="M46" i="10"/>
  <c r="L46" i="10"/>
  <c r="AJ46" i="10" s="1"/>
  <c r="K46" i="10"/>
  <c r="AL45" i="10"/>
  <c r="AK45" i="10"/>
  <c r="AI45" i="10"/>
  <c r="AH45" i="10"/>
  <c r="AE45" i="10"/>
  <c r="AC45" i="10"/>
  <c r="Z45" i="10"/>
  <c r="AA45" i="10" s="1"/>
  <c r="AG45" i="10" s="1"/>
  <c r="W45" i="10"/>
  <c r="AD45" i="10" s="1"/>
  <c r="V45" i="10"/>
  <c r="U45" i="10"/>
  <c r="AF45" i="10" s="1"/>
  <c r="S45" i="10"/>
  <c r="R45" i="10"/>
  <c r="Q45" i="10"/>
  <c r="O45" i="10"/>
  <c r="N45" i="10"/>
  <c r="M45" i="10"/>
  <c r="L45" i="10"/>
  <c r="AJ45" i="10" s="1"/>
  <c r="K45" i="10"/>
  <c r="AL44" i="10"/>
  <c r="AK44" i="10"/>
  <c r="AI44" i="10"/>
  <c r="AH44" i="10"/>
  <c r="AC44" i="10"/>
  <c r="AE44" i="10" s="1"/>
  <c r="Z44" i="10"/>
  <c r="AA44" i="10" s="1"/>
  <c r="AG44" i="10" s="1"/>
  <c r="W44" i="10"/>
  <c r="AD44" i="10" s="1"/>
  <c r="V44" i="10"/>
  <c r="U44" i="10"/>
  <c r="AF44" i="10" s="1"/>
  <c r="S44" i="10"/>
  <c r="R44" i="10"/>
  <c r="Q44" i="10"/>
  <c r="O44" i="10"/>
  <c r="N44" i="10"/>
  <c r="M44" i="10"/>
  <c r="L44" i="10"/>
  <c r="AJ44" i="10" s="1"/>
  <c r="K44" i="10"/>
  <c r="AL43" i="10"/>
  <c r="AK43" i="10"/>
  <c r="AI43" i="10"/>
  <c r="AH43" i="10"/>
  <c r="AE43" i="10"/>
  <c r="AC43" i="10"/>
  <c r="Z43" i="10"/>
  <c r="AA43" i="10" s="1"/>
  <c r="AG43" i="10" s="1"/>
  <c r="W43" i="10"/>
  <c r="AD43" i="10" s="1"/>
  <c r="V43" i="10"/>
  <c r="U43" i="10"/>
  <c r="AF43" i="10" s="1"/>
  <c r="S43" i="10"/>
  <c r="R43" i="10"/>
  <c r="Q43" i="10"/>
  <c r="O43" i="10"/>
  <c r="N43" i="10"/>
  <c r="M43" i="10"/>
  <c r="L43" i="10"/>
  <c r="AJ43" i="10" s="1"/>
  <c r="K43" i="10"/>
  <c r="AL42" i="10"/>
  <c r="AK42" i="10"/>
  <c r="AI42" i="10"/>
  <c r="AH42" i="10"/>
  <c r="AC42" i="10"/>
  <c r="AE42" i="10" s="1"/>
  <c r="Z42" i="10"/>
  <c r="AA42" i="10" s="1"/>
  <c r="AG42" i="10" s="1"/>
  <c r="W42" i="10"/>
  <c r="AD42" i="10" s="1"/>
  <c r="V42" i="10"/>
  <c r="U42" i="10"/>
  <c r="AF42" i="10" s="1"/>
  <c r="S42" i="10"/>
  <c r="R42" i="10"/>
  <c r="Q42" i="10"/>
  <c r="O42" i="10"/>
  <c r="N42" i="10"/>
  <c r="M42" i="10"/>
  <c r="L42" i="10"/>
  <c r="AJ42" i="10" s="1"/>
  <c r="K42" i="10"/>
  <c r="AL41" i="10"/>
  <c r="AK41" i="10"/>
  <c r="AI41" i="10"/>
  <c r="AH41" i="10"/>
  <c r="AE41" i="10"/>
  <c r="AC41" i="10"/>
  <c r="Z41" i="10"/>
  <c r="AA41" i="10" s="1"/>
  <c r="AG41" i="10" s="1"/>
  <c r="W41" i="10"/>
  <c r="AD41" i="10" s="1"/>
  <c r="V41" i="10"/>
  <c r="U41" i="10"/>
  <c r="AF41" i="10" s="1"/>
  <c r="S41" i="10"/>
  <c r="R41" i="10"/>
  <c r="Q41" i="10"/>
  <c r="O41" i="10"/>
  <c r="N41" i="10"/>
  <c r="M41" i="10"/>
  <c r="L41" i="10"/>
  <c r="AJ41" i="10" s="1"/>
  <c r="K41" i="10"/>
  <c r="AL40" i="10"/>
  <c r="AK40" i="10"/>
  <c r="AI40" i="10"/>
  <c r="AH40" i="10"/>
  <c r="AC40" i="10"/>
  <c r="AE40" i="10" s="1"/>
  <c r="Z40" i="10"/>
  <c r="AA40" i="10" s="1"/>
  <c r="AG40" i="10" s="1"/>
  <c r="W40" i="10"/>
  <c r="AD40" i="10" s="1"/>
  <c r="V40" i="10"/>
  <c r="U40" i="10"/>
  <c r="AF40" i="10" s="1"/>
  <c r="S40" i="10"/>
  <c r="R40" i="10"/>
  <c r="Q40" i="10"/>
  <c r="O40" i="10"/>
  <c r="N40" i="10"/>
  <c r="M40" i="10"/>
  <c r="L40" i="10"/>
  <c r="AJ40" i="10" s="1"/>
  <c r="K40" i="10"/>
  <c r="AL39" i="10"/>
  <c r="AK39" i="10"/>
  <c r="AI39" i="10"/>
  <c r="AH39" i="10"/>
  <c r="AE39" i="10"/>
  <c r="AC39" i="10"/>
  <c r="Z39" i="10"/>
  <c r="AA39" i="10" s="1"/>
  <c r="AG39" i="10" s="1"/>
  <c r="W39" i="10"/>
  <c r="AD39" i="10" s="1"/>
  <c r="V39" i="10"/>
  <c r="U39" i="10"/>
  <c r="AF39" i="10" s="1"/>
  <c r="S39" i="10"/>
  <c r="R39" i="10"/>
  <c r="Q39" i="10"/>
  <c r="O39" i="10"/>
  <c r="N39" i="10"/>
  <c r="M39" i="10"/>
  <c r="L39" i="10"/>
  <c r="AJ39" i="10" s="1"/>
  <c r="K39" i="10"/>
  <c r="AL38" i="10"/>
  <c r="AK38" i="10"/>
  <c r="AI38" i="10"/>
  <c r="AH38" i="10"/>
  <c r="AC38" i="10"/>
  <c r="AE38" i="10" s="1"/>
  <c r="Z38" i="10"/>
  <c r="AA38" i="10" s="1"/>
  <c r="AG38" i="10" s="1"/>
  <c r="W38" i="10"/>
  <c r="AD38" i="10" s="1"/>
  <c r="V38" i="10"/>
  <c r="U38" i="10"/>
  <c r="AF38" i="10" s="1"/>
  <c r="S38" i="10"/>
  <c r="R38" i="10"/>
  <c r="Q38" i="10"/>
  <c r="O38" i="10"/>
  <c r="N38" i="10"/>
  <c r="M38" i="10"/>
  <c r="L38" i="10"/>
  <c r="AJ38" i="10" s="1"/>
  <c r="K38" i="10"/>
  <c r="AL37" i="10"/>
  <c r="AK37" i="10"/>
  <c r="AI37" i="10"/>
  <c r="AH37" i="10"/>
  <c r="AE37" i="10"/>
  <c r="AC37" i="10"/>
  <c r="Z37" i="10"/>
  <c r="AA37" i="10" s="1"/>
  <c r="AG37" i="10" s="1"/>
  <c r="W37" i="10"/>
  <c r="AD37" i="10" s="1"/>
  <c r="V37" i="10"/>
  <c r="U37" i="10"/>
  <c r="AF37" i="10" s="1"/>
  <c r="S37" i="10"/>
  <c r="R37" i="10"/>
  <c r="Q37" i="10"/>
  <c r="O37" i="10"/>
  <c r="N37" i="10"/>
  <c r="M37" i="10"/>
  <c r="L37" i="10"/>
  <c r="AJ37" i="10" s="1"/>
  <c r="K37" i="10"/>
  <c r="AL36" i="10"/>
  <c r="AK36" i="10"/>
  <c r="AI36" i="10"/>
  <c r="AH36" i="10"/>
  <c r="AC36" i="10"/>
  <c r="AE36" i="10" s="1"/>
  <c r="Z36" i="10"/>
  <c r="AA36" i="10" s="1"/>
  <c r="AG36" i="10" s="1"/>
  <c r="W36" i="10"/>
  <c r="AD36" i="10" s="1"/>
  <c r="V36" i="10"/>
  <c r="U36" i="10"/>
  <c r="AF36" i="10" s="1"/>
  <c r="S36" i="10"/>
  <c r="R36" i="10"/>
  <c r="Q36" i="10"/>
  <c r="O36" i="10"/>
  <c r="N36" i="10"/>
  <c r="M36" i="10"/>
  <c r="L36" i="10"/>
  <c r="AJ36" i="10" s="1"/>
  <c r="K36" i="10"/>
  <c r="AL35" i="10"/>
  <c r="AK35" i="10"/>
  <c r="AI35" i="10"/>
  <c r="AH35" i="10"/>
  <c r="AE35" i="10"/>
  <c r="AC35" i="10"/>
  <c r="Z35" i="10"/>
  <c r="AA35" i="10" s="1"/>
  <c r="AG35" i="10" s="1"/>
  <c r="W35" i="10"/>
  <c r="AD35" i="10" s="1"/>
  <c r="V35" i="10"/>
  <c r="U35" i="10"/>
  <c r="AF35" i="10" s="1"/>
  <c r="S35" i="10"/>
  <c r="R35" i="10"/>
  <c r="Q35" i="10"/>
  <c r="O35" i="10"/>
  <c r="N35" i="10"/>
  <c r="M35" i="10"/>
  <c r="L35" i="10"/>
  <c r="AJ35" i="10" s="1"/>
  <c r="K35" i="10"/>
  <c r="AL34" i="10"/>
  <c r="AK34" i="10"/>
  <c r="AI34" i="10"/>
  <c r="AH34" i="10"/>
  <c r="AC34" i="10"/>
  <c r="AE34" i="10" s="1"/>
  <c r="Z34" i="10"/>
  <c r="AA34" i="10" s="1"/>
  <c r="AG34" i="10" s="1"/>
  <c r="W34" i="10"/>
  <c r="AD34" i="10" s="1"/>
  <c r="V34" i="10"/>
  <c r="U34" i="10"/>
  <c r="AF34" i="10" s="1"/>
  <c r="S34" i="10"/>
  <c r="R34" i="10"/>
  <c r="Q34" i="10"/>
  <c r="O34" i="10"/>
  <c r="N34" i="10"/>
  <c r="M34" i="10"/>
  <c r="L34" i="10"/>
  <c r="AJ34" i="10" s="1"/>
  <c r="K34" i="10"/>
  <c r="AL33" i="10"/>
  <c r="AK33" i="10"/>
  <c r="AI33" i="10"/>
  <c r="AH33" i="10"/>
  <c r="AE33" i="10"/>
  <c r="AC33" i="10"/>
  <c r="Z33" i="10"/>
  <c r="AA33" i="10" s="1"/>
  <c r="AG33" i="10" s="1"/>
  <c r="W33" i="10"/>
  <c r="AD33" i="10" s="1"/>
  <c r="V33" i="10"/>
  <c r="U33" i="10"/>
  <c r="AF33" i="10" s="1"/>
  <c r="S33" i="10"/>
  <c r="R33" i="10"/>
  <c r="Q33" i="10"/>
  <c r="O33" i="10"/>
  <c r="N33" i="10"/>
  <c r="M33" i="10"/>
  <c r="L33" i="10"/>
  <c r="AJ33" i="10" s="1"/>
  <c r="K33" i="10"/>
  <c r="AL32" i="10"/>
  <c r="AK32" i="10"/>
  <c r="AI32" i="10"/>
  <c r="AH32" i="10"/>
  <c r="AC32" i="10"/>
  <c r="AE32" i="10" s="1"/>
  <c r="Z32" i="10"/>
  <c r="AA32" i="10" s="1"/>
  <c r="AG32" i="10" s="1"/>
  <c r="W32" i="10"/>
  <c r="AD32" i="10" s="1"/>
  <c r="V32" i="10"/>
  <c r="U32" i="10"/>
  <c r="AF32" i="10" s="1"/>
  <c r="S32" i="10"/>
  <c r="R32" i="10"/>
  <c r="Q32" i="10"/>
  <c r="O32" i="10"/>
  <c r="N32" i="10"/>
  <c r="M32" i="10"/>
  <c r="L32" i="10"/>
  <c r="AJ32" i="10" s="1"/>
  <c r="K32" i="10"/>
  <c r="AL31" i="10"/>
  <c r="AK31" i="10"/>
  <c r="AI31" i="10"/>
  <c r="AH31" i="10"/>
  <c r="AE31" i="10"/>
  <c r="AC31" i="10"/>
  <c r="Z31" i="10"/>
  <c r="AA31" i="10" s="1"/>
  <c r="AG31" i="10" s="1"/>
  <c r="W31" i="10"/>
  <c r="AD31" i="10" s="1"/>
  <c r="V31" i="10"/>
  <c r="U31" i="10"/>
  <c r="AF31" i="10" s="1"/>
  <c r="S31" i="10"/>
  <c r="R31" i="10"/>
  <c r="Q31" i="10"/>
  <c r="O31" i="10"/>
  <c r="N31" i="10"/>
  <c r="M31" i="10"/>
  <c r="L31" i="10"/>
  <c r="AJ31" i="10" s="1"/>
  <c r="K31" i="10"/>
  <c r="AL30" i="10"/>
  <c r="AK30" i="10"/>
  <c r="AI30" i="10"/>
  <c r="AH30" i="10"/>
  <c r="AC30" i="10"/>
  <c r="AE30" i="10" s="1"/>
  <c r="Z30" i="10"/>
  <c r="AA30" i="10" s="1"/>
  <c r="AG30" i="10" s="1"/>
  <c r="W30" i="10"/>
  <c r="AD30" i="10" s="1"/>
  <c r="V30" i="10"/>
  <c r="U30" i="10"/>
  <c r="AF30" i="10" s="1"/>
  <c r="S30" i="10"/>
  <c r="R30" i="10"/>
  <c r="Q30" i="10"/>
  <c r="O30" i="10"/>
  <c r="N30" i="10"/>
  <c r="M30" i="10"/>
  <c r="L30" i="10"/>
  <c r="AJ30" i="10" s="1"/>
  <c r="K30" i="10"/>
  <c r="AL29" i="10"/>
  <c r="AK29" i="10"/>
  <c r="AI29" i="10"/>
  <c r="AH29" i="10"/>
  <c r="AE29" i="10"/>
  <c r="AC29" i="10"/>
  <c r="Z29" i="10"/>
  <c r="AA29" i="10" s="1"/>
  <c r="AG29" i="10" s="1"/>
  <c r="W29" i="10"/>
  <c r="AD29" i="10" s="1"/>
  <c r="V29" i="10"/>
  <c r="U29" i="10"/>
  <c r="AF29" i="10" s="1"/>
  <c r="S29" i="10"/>
  <c r="R29" i="10"/>
  <c r="Q29" i="10"/>
  <c r="O29" i="10"/>
  <c r="N29" i="10"/>
  <c r="M29" i="10"/>
  <c r="L29" i="10"/>
  <c r="AJ29" i="10" s="1"/>
  <c r="K29" i="10"/>
  <c r="AL28" i="10"/>
  <c r="AK28" i="10"/>
  <c r="AI28" i="10"/>
  <c r="AH28" i="10"/>
  <c r="AC28" i="10"/>
  <c r="AE28" i="10" s="1"/>
  <c r="Z28" i="10"/>
  <c r="AA28" i="10" s="1"/>
  <c r="AG28" i="10" s="1"/>
  <c r="W28" i="10"/>
  <c r="AD28" i="10" s="1"/>
  <c r="V28" i="10"/>
  <c r="U28" i="10"/>
  <c r="AF28" i="10" s="1"/>
  <c r="S28" i="10"/>
  <c r="R28" i="10"/>
  <c r="Q28" i="10"/>
  <c r="O28" i="10"/>
  <c r="N28" i="10"/>
  <c r="M28" i="10"/>
  <c r="L28" i="10"/>
  <c r="AJ28" i="10" s="1"/>
  <c r="K28" i="10"/>
  <c r="AL27" i="10"/>
  <c r="AK27" i="10"/>
  <c r="AI27" i="10"/>
  <c r="AH27" i="10"/>
  <c r="AE27" i="10"/>
  <c r="AC27" i="10"/>
  <c r="Z27" i="10"/>
  <c r="AA27" i="10" s="1"/>
  <c r="AG27" i="10" s="1"/>
  <c r="W27" i="10"/>
  <c r="AD27" i="10" s="1"/>
  <c r="V27" i="10"/>
  <c r="U27" i="10"/>
  <c r="AF27" i="10" s="1"/>
  <c r="S27" i="10"/>
  <c r="R27" i="10"/>
  <c r="Q27" i="10"/>
  <c r="O27" i="10"/>
  <c r="N27" i="10"/>
  <c r="M27" i="10"/>
  <c r="L27" i="10"/>
  <c r="AJ27" i="10" s="1"/>
  <c r="K27" i="10"/>
  <c r="AL26" i="10"/>
  <c r="AK26" i="10"/>
  <c r="AI26" i="10"/>
  <c r="AH26" i="10"/>
  <c r="AC26" i="10"/>
  <c r="AE26" i="10" s="1"/>
  <c r="Z26" i="10"/>
  <c r="AA26" i="10" s="1"/>
  <c r="AG26" i="10" s="1"/>
  <c r="W26" i="10"/>
  <c r="AD26" i="10" s="1"/>
  <c r="V26" i="10"/>
  <c r="U26" i="10"/>
  <c r="AF26" i="10" s="1"/>
  <c r="S26" i="10"/>
  <c r="R26" i="10"/>
  <c r="Q26" i="10"/>
  <c r="O26" i="10"/>
  <c r="N26" i="10"/>
  <c r="M26" i="10"/>
  <c r="L26" i="10"/>
  <c r="AJ26" i="10" s="1"/>
  <c r="K26" i="10"/>
  <c r="AL25" i="10"/>
  <c r="AK25" i="10"/>
  <c r="AI25" i="10"/>
  <c r="AH25" i="10"/>
  <c r="AE25" i="10"/>
  <c r="AC25" i="10"/>
  <c r="Z25" i="10"/>
  <c r="AA25" i="10" s="1"/>
  <c r="AG25" i="10" s="1"/>
  <c r="W25" i="10"/>
  <c r="AD25" i="10" s="1"/>
  <c r="V25" i="10"/>
  <c r="U25" i="10"/>
  <c r="AF25" i="10" s="1"/>
  <c r="S25" i="10"/>
  <c r="R25" i="10"/>
  <c r="Q25" i="10"/>
  <c r="O25" i="10"/>
  <c r="N25" i="10"/>
  <c r="M25" i="10"/>
  <c r="L25" i="10"/>
  <c r="AJ25" i="10" s="1"/>
  <c r="K25" i="10"/>
  <c r="AL24" i="10"/>
  <c r="AK24" i="10"/>
  <c r="AI24" i="10"/>
  <c r="AH24" i="10"/>
  <c r="AC24" i="10"/>
  <c r="AE24" i="10" s="1"/>
  <c r="Z24" i="10"/>
  <c r="AA24" i="10" s="1"/>
  <c r="AG24" i="10" s="1"/>
  <c r="W24" i="10"/>
  <c r="AD24" i="10" s="1"/>
  <c r="V24" i="10"/>
  <c r="U24" i="10"/>
  <c r="AF24" i="10" s="1"/>
  <c r="S24" i="10"/>
  <c r="R24" i="10"/>
  <c r="Q24" i="10"/>
  <c r="O24" i="10"/>
  <c r="N24" i="10"/>
  <c r="M24" i="10"/>
  <c r="L24" i="10"/>
  <c r="AJ24" i="10" s="1"/>
  <c r="K24" i="10"/>
  <c r="AL23" i="10"/>
  <c r="AK23" i="10"/>
  <c r="AI23" i="10"/>
  <c r="AH23" i="10"/>
  <c r="AE23" i="10"/>
  <c r="AC23" i="10"/>
  <c r="Z23" i="10"/>
  <c r="AA23" i="10" s="1"/>
  <c r="AG23" i="10" s="1"/>
  <c r="W23" i="10"/>
  <c r="AD23" i="10" s="1"/>
  <c r="V23" i="10"/>
  <c r="U23" i="10"/>
  <c r="AF23" i="10" s="1"/>
  <c r="S23" i="10"/>
  <c r="R23" i="10"/>
  <c r="Q23" i="10"/>
  <c r="O23" i="10"/>
  <c r="N23" i="10"/>
  <c r="M23" i="10"/>
  <c r="L23" i="10"/>
  <c r="AJ23" i="10" s="1"/>
  <c r="K23" i="10"/>
  <c r="AL22" i="10"/>
  <c r="AK22" i="10"/>
  <c r="AI22" i="10"/>
  <c r="AH22" i="10"/>
  <c r="AC22" i="10"/>
  <c r="AE22" i="10" s="1"/>
  <c r="Z22" i="10"/>
  <c r="AA22" i="10" s="1"/>
  <c r="AG22" i="10" s="1"/>
  <c r="W22" i="10"/>
  <c r="AD22" i="10" s="1"/>
  <c r="V22" i="10"/>
  <c r="U22" i="10"/>
  <c r="AF22" i="10" s="1"/>
  <c r="S22" i="10"/>
  <c r="R22" i="10"/>
  <c r="Q22" i="10"/>
  <c r="O22" i="10"/>
  <c r="N22" i="10"/>
  <c r="M22" i="10"/>
  <c r="L22" i="10"/>
  <c r="AJ22" i="10" s="1"/>
  <c r="K22" i="10"/>
  <c r="AL21" i="10"/>
  <c r="AK21" i="10"/>
  <c r="AI21" i="10"/>
  <c r="AH21" i="10"/>
  <c r="AE21" i="10"/>
  <c r="AC21" i="10"/>
  <c r="Z21" i="10"/>
  <c r="AA21" i="10" s="1"/>
  <c r="AG21" i="10" s="1"/>
  <c r="W21" i="10"/>
  <c r="AD21" i="10" s="1"/>
  <c r="V21" i="10"/>
  <c r="U21" i="10"/>
  <c r="AF21" i="10" s="1"/>
  <c r="S21" i="10"/>
  <c r="R21" i="10"/>
  <c r="Q21" i="10"/>
  <c r="O21" i="10"/>
  <c r="N21" i="10"/>
  <c r="M21" i="10"/>
  <c r="L21" i="10"/>
  <c r="AJ21" i="10" s="1"/>
  <c r="K21" i="10"/>
  <c r="AL20" i="10"/>
  <c r="AK20" i="10"/>
  <c r="AI20" i="10"/>
  <c r="AH20" i="10"/>
  <c r="AC20" i="10"/>
  <c r="AE20" i="10" s="1"/>
  <c r="Z20" i="10"/>
  <c r="AA20" i="10" s="1"/>
  <c r="AG20" i="10" s="1"/>
  <c r="W20" i="10"/>
  <c r="AD20" i="10" s="1"/>
  <c r="V20" i="10"/>
  <c r="U20" i="10"/>
  <c r="AF20" i="10" s="1"/>
  <c r="S20" i="10"/>
  <c r="R20" i="10"/>
  <c r="Q20" i="10"/>
  <c r="O20" i="10"/>
  <c r="N20" i="10"/>
  <c r="M20" i="10"/>
  <c r="L20" i="10"/>
  <c r="AJ20" i="10" s="1"/>
  <c r="K20" i="10"/>
  <c r="AL19" i="10"/>
  <c r="AK19" i="10"/>
  <c r="AI19" i="10"/>
  <c r="AH19" i="10"/>
  <c r="AE19" i="10"/>
  <c r="AC19" i="10"/>
  <c r="Z19" i="10"/>
  <c r="AA19" i="10" s="1"/>
  <c r="AG19" i="10" s="1"/>
  <c r="W19" i="10"/>
  <c r="AD19" i="10" s="1"/>
  <c r="V19" i="10"/>
  <c r="U19" i="10"/>
  <c r="AF19" i="10" s="1"/>
  <c r="S19" i="10"/>
  <c r="R19" i="10"/>
  <c r="Q19" i="10"/>
  <c r="O19" i="10"/>
  <c r="N19" i="10"/>
  <c r="M19" i="10"/>
  <c r="L19" i="10"/>
  <c r="AJ19" i="10" s="1"/>
  <c r="K19" i="10"/>
  <c r="AL18" i="10"/>
  <c r="AK18" i="10"/>
  <c r="AI18" i="10"/>
  <c r="AH18" i="10"/>
  <c r="AC18" i="10"/>
  <c r="AE18" i="10" s="1"/>
  <c r="Z18" i="10"/>
  <c r="AA18" i="10" s="1"/>
  <c r="AG18" i="10" s="1"/>
  <c r="W18" i="10"/>
  <c r="AD18" i="10" s="1"/>
  <c r="V18" i="10"/>
  <c r="U18" i="10"/>
  <c r="AF18" i="10" s="1"/>
  <c r="S18" i="10"/>
  <c r="R18" i="10"/>
  <c r="Q18" i="10"/>
  <c r="O18" i="10"/>
  <c r="N18" i="10"/>
  <c r="M18" i="10"/>
  <c r="L18" i="10"/>
  <c r="AJ18" i="10" s="1"/>
  <c r="K18" i="10"/>
  <c r="AL17" i="10"/>
  <c r="AK17" i="10"/>
  <c r="AI17" i="10"/>
  <c r="AH17" i="10"/>
  <c r="AE17" i="10"/>
  <c r="AC17" i="10"/>
  <c r="Z17" i="10"/>
  <c r="AA17" i="10" s="1"/>
  <c r="AG17" i="10" s="1"/>
  <c r="W17" i="10"/>
  <c r="AD17" i="10" s="1"/>
  <c r="V17" i="10"/>
  <c r="U17" i="10"/>
  <c r="AF17" i="10" s="1"/>
  <c r="S17" i="10"/>
  <c r="R17" i="10"/>
  <c r="Q17" i="10"/>
  <c r="O17" i="10"/>
  <c r="N17" i="10"/>
  <c r="M17" i="10"/>
  <c r="L17" i="10"/>
  <c r="AJ17" i="10" s="1"/>
  <c r="K17" i="10"/>
  <c r="AL16" i="10"/>
  <c r="AK16" i="10"/>
  <c r="AI16" i="10"/>
  <c r="AH16" i="10"/>
  <c r="AC16" i="10"/>
  <c r="AE16" i="10" s="1"/>
  <c r="Z16" i="10"/>
  <c r="AA16" i="10" s="1"/>
  <c r="AG16" i="10" s="1"/>
  <c r="W16" i="10"/>
  <c r="AD16" i="10" s="1"/>
  <c r="V16" i="10"/>
  <c r="U16" i="10"/>
  <c r="AF16" i="10" s="1"/>
  <c r="S16" i="10"/>
  <c r="R16" i="10"/>
  <c r="Q16" i="10"/>
  <c r="O16" i="10"/>
  <c r="N16" i="10"/>
  <c r="M16" i="10"/>
  <c r="L16" i="10"/>
  <c r="AJ16" i="10" s="1"/>
  <c r="K16" i="10"/>
  <c r="AL15" i="10"/>
  <c r="AK15" i="10"/>
  <c r="AI15" i="10"/>
  <c r="AH15" i="10"/>
  <c r="AE15" i="10"/>
  <c r="AC15" i="10"/>
  <c r="Z15" i="10"/>
  <c r="AA15" i="10" s="1"/>
  <c r="AG15" i="10" s="1"/>
  <c r="W15" i="10"/>
  <c r="AD15" i="10" s="1"/>
  <c r="V15" i="10"/>
  <c r="U15" i="10"/>
  <c r="AF15" i="10" s="1"/>
  <c r="S15" i="10"/>
  <c r="R15" i="10"/>
  <c r="Q15" i="10"/>
  <c r="O15" i="10"/>
  <c r="N15" i="10"/>
  <c r="M15" i="10"/>
  <c r="L15" i="10"/>
  <c r="AJ15" i="10" s="1"/>
  <c r="K15" i="10"/>
  <c r="AL14" i="10"/>
  <c r="AK14" i="10"/>
  <c r="AI14" i="10"/>
  <c r="AH14" i="10"/>
  <c r="AC14" i="10"/>
  <c r="AE14" i="10" s="1"/>
  <c r="Z14" i="10"/>
  <c r="AA14" i="10" s="1"/>
  <c r="AG14" i="10" s="1"/>
  <c r="W14" i="10"/>
  <c r="AD14" i="10" s="1"/>
  <c r="V14" i="10"/>
  <c r="U14" i="10"/>
  <c r="AF14" i="10" s="1"/>
  <c r="S14" i="10"/>
  <c r="R14" i="10"/>
  <c r="Q14" i="10"/>
  <c r="O14" i="10"/>
  <c r="N14" i="10"/>
  <c r="M14" i="10"/>
  <c r="L14" i="10"/>
  <c r="AJ14" i="10" s="1"/>
  <c r="K14" i="10"/>
  <c r="AL13" i="10"/>
  <c r="AK13" i="10"/>
  <c r="AI13" i="10"/>
  <c r="AH13" i="10"/>
  <c r="AE13" i="10"/>
  <c r="AC13" i="10"/>
  <c r="Z13" i="10"/>
  <c r="AA13" i="10" s="1"/>
  <c r="AG13" i="10" s="1"/>
  <c r="W13" i="10"/>
  <c r="AD13" i="10" s="1"/>
  <c r="V13" i="10"/>
  <c r="U13" i="10"/>
  <c r="AF13" i="10" s="1"/>
  <c r="S13" i="10"/>
  <c r="R13" i="10"/>
  <c r="Q13" i="10"/>
  <c r="O13" i="10"/>
  <c r="N13" i="10"/>
  <c r="M13" i="10"/>
  <c r="L13" i="10"/>
  <c r="AJ13" i="10" s="1"/>
  <c r="K13" i="10"/>
  <c r="AL12" i="10"/>
  <c r="AK12" i="10"/>
  <c r="AI12" i="10"/>
  <c r="AH12" i="10"/>
  <c r="AC12" i="10"/>
  <c r="AE12" i="10" s="1"/>
  <c r="Z12" i="10"/>
  <c r="AA12" i="10" s="1"/>
  <c r="AG12" i="10" s="1"/>
  <c r="W12" i="10"/>
  <c r="AD12" i="10" s="1"/>
  <c r="V12" i="10"/>
  <c r="U12" i="10"/>
  <c r="AF12" i="10" s="1"/>
  <c r="S12" i="10"/>
  <c r="R12" i="10"/>
  <c r="Q12" i="10"/>
  <c r="O12" i="10"/>
  <c r="N12" i="10"/>
  <c r="M12" i="10"/>
  <c r="L12" i="10"/>
  <c r="AJ12" i="10" s="1"/>
  <c r="K12" i="10"/>
  <c r="AL11" i="10"/>
  <c r="AK11" i="10"/>
  <c r="AI11" i="10"/>
  <c r="AH11" i="10"/>
  <c r="AE11" i="10"/>
  <c r="AC11" i="10"/>
  <c r="Z11" i="10"/>
  <c r="AA11" i="10" s="1"/>
  <c r="AG11" i="10" s="1"/>
  <c r="W11" i="10"/>
  <c r="AD11" i="10" s="1"/>
  <c r="V11" i="10"/>
  <c r="U11" i="10"/>
  <c r="AF11" i="10" s="1"/>
  <c r="S11" i="10"/>
  <c r="R11" i="10"/>
  <c r="Q11" i="10"/>
  <c r="O11" i="10"/>
  <c r="N11" i="10"/>
  <c r="M11" i="10"/>
  <c r="L11" i="10"/>
  <c r="AJ11" i="10" s="1"/>
  <c r="K11" i="10"/>
  <c r="AL10" i="10"/>
  <c r="AK10" i="10"/>
  <c r="AI10" i="10"/>
  <c r="AH10" i="10"/>
  <c r="AC10" i="10"/>
  <c r="AE10" i="10" s="1"/>
  <c r="Z10" i="10"/>
  <c r="AA10" i="10" s="1"/>
  <c r="AG10" i="10" s="1"/>
  <c r="W10" i="10"/>
  <c r="AD10" i="10" s="1"/>
  <c r="V10" i="10"/>
  <c r="U10" i="10"/>
  <c r="AF10" i="10" s="1"/>
  <c r="S10" i="10"/>
  <c r="R10" i="10"/>
  <c r="Q10" i="10"/>
  <c r="O10" i="10"/>
  <c r="N10" i="10"/>
  <c r="M10" i="10"/>
  <c r="L10" i="10"/>
  <c r="AJ10" i="10" s="1"/>
  <c r="K10" i="10"/>
  <c r="AL9" i="10"/>
  <c r="AK9" i="10"/>
  <c r="AI9" i="10"/>
  <c r="AH9" i="10"/>
  <c r="AE9" i="10"/>
  <c r="AC9" i="10"/>
  <c r="Z9" i="10"/>
  <c r="AA9" i="10" s="1"/>
  <c r="AG9" i="10" s="1"/>
  <c r="W9" i="10"/>
  <c r="AD9" i="10" s="1"/>
  <c r="V9" i="10"/>
  <c r="U9" i="10"/>
  <c r="AF9" i="10" s="1"/>
  <c r="S9" i="10"/>
  <c r="R9" i="10"/>
  <c r="Q9" i="10"/>
  <c r="O9" i="10"/>
  <c r="N9" i="10"/>
  <c r="M9" i="10"/>
  <c r="L9" i="10"/>
  <c r="AJ9" i="10" s="1"/>
  <c r="K9" i="10"/>
  <c r="AO8" i="10"/>
  <c r="AL8" i="10"/>
  <c r="AJ8" i="10"/>
  <c r="AI8" i="10"/>
  <c r="Z8" i="10"/>
  <c r="AA8" i="10" s="1"/>
  <c r="AG8" i="10" s="1"/>
  <c r="X8" i="10"/>
  <c r="V8" i="10"/>
  <c r="T8" i="10"/>
  <c r="S8" i="10"/>
  <c r="P8" i="10"/>
  <c r="O8" i="10"/>
  <c r="N8" i="10"/>
  <c r="L8" i="10"/>
  <c r="K8" i="10"/>
  <c r="AO7" i="10"/>
  <c r="AK7" i="10"/>
  <c r="AF7" i="10"/>
  <c r="U7" i="10"/>
  <c r="P7" i="10"/>
  <c r="L7" i="10"/>
  <c r="K7" i="10"/>
  <c r="AO6" i="10"/>
  <c r="AK6" i="10"/>
  <c r="AJ6" i="10"/>
  <c r="Z6" i="10"/>
  <c r="U6" i="10"/>
  <c r="AF6" i="10" s="1"/>
  <c r="T6" i="10"/>
  <c r="P6" i="10"/>
  <c r="N6" i="10"/>
  <c r="L6" i="10"/>
  <c r="AO5" i="10"/>
  <c r="AL5" i="10"/>
  <c r="AK5" i="10"/>
  <c r="AI5" i="10"/>
  <c r="AH5" i="10"/>
  <c r="AC5" i="10"/>
  <c r="AE5" i="10" s="1"/>
  <c r="AA5" i="10"/>
  <c r="AG5" i="10" s="1"/>
  <c r="Z5" i="10"/>
  <c r="W5" i="10"/>
  <c r="AD5" i="10" s="1"/>
  <c r="V5" i="10"/>
  <c r="U5" i="10"/>
  <c r="AF5" i="10" s="1"/>
  <c r="S5" i="10"/>
  <c r="R5" i="10"/>
  <c r="Q5" i="10"/>
  <c r="O5" i="10"/>
  <c r="N5" i="10"/>
  <c r="M5" i="10"/>
  <c r="L5" i="10"/>
  <c r="AJ5" i="10" s="1"/>
  <c r="K5" i="10"/>
  <c r="AL4" i="10"/>
  <c r="AJ4" i="10"/>
  <c r="Z4" i="10"/>
  <c r="AA4" i="10" s="1"/>
  <c r="AG4" i="10" s="1"/>
  <c r="V4" i="10"/>
  <c r="T4" i="10"/>
  <c r="P4" i="10"/>
  <c r="O4" i="10"/>
  <c r="L4" i="10"/>
  <c r="K4" i="10"/>
  <c r="AO3" i="10"/>
  <c r="L3" i="10"/>
  <c r="AO2" i="10"/>
  <c r="AK2" i="10"/>
  <c r="AF2" i="10"/>
  <c r="Z2" i="10"/>
  <c r="U2" i="10"/>
  <c r="P2" i="10"/>
  <c r="L2" i="10"/>
  <c r="AO1" i="10"/>
  <c r="K1" i="10"/>
  <c r="AL501" i="9"/>
  <c r="AJ501" i="9"/>
  <c r="AI501" i="9"/>
  <c r="Z501" i="9"/>
  <c r="AA501" i="9" s="1"/>
  <c r="AG501" i="9" s="1"/>
  <c r="X501" i="9"/>
  <c r="V501" i="9"/>
  <c r="T501" i="9"/>
  <c r="S501" i="9"/>
  <c r="P501" i="9"/>
  <c r="O501" i="9"/>
  <c r="N501" i="9"/>
  <c r="L501" i="9"/>
  <c r="K501" i="9"/>
  <c r="AL500" i="9"/>
  <c r="AJ500" i="9"/>
  <c r="Z500" i="9"/>
  <c r="AA500" i="9" s="1"/>
  <c r="AG500" i="9" s="1"/>
  <c r="V500" i="9"/>
  <c r="T500" i="9"/>
  <c r="P500" i="9"/>
  <c r="O500" i="9"/>
  <c r="L500" i="9"/>
  <c r="K500" i="9"/>
  <c r="AL499" i="9"/>
  <c r="V499" i="9"/>
  <c r="P499" i="9"/>
  <c r="L499" i="9"/>
  <c r="K499" i="9"/>
  <c r="W498" i="9"/>
  <c r="AD498" i="9" s="1"/>
  <c r="R498" i="9"/>
  <c r="L498" i="9"/>
  <c r="AL497" i="9"/>
  <c r="AJ497" i="9"/>
  <c r="AI497" i="9"/>
  <c r="Z497" i="9"/>
  <c r="AA497" i="9" s="1"/>
  <c r="AG497" i="9" s="1"/>
  <c r="X497" i="9"/>
  <c r="V497" i="9"/>
  <c r="T497" i="9"/>
  <c r="S497" i="9"/>
  <c r="P497" i="9"/>
  <c r="O497" i="9"/>
  <c r="N497" i="9"/>
  <c r="L497" i="9"/>
  <c r="K497" i="9"/>
  <c r="AL496" i="9"/>
  <c r="AJ496" i="9"/>
  <c r="Z496" i="9"/>
  <c r="AA496" i="9" s="1"/>
  <c r="AG496" i="9" s="1"/>
  <c r="V496" i="9"/>
  <c r="T496" i="9"/>
  <c r="P496" i="9"/>
  <c r="O496" i="9"/>
  <c r="L496" i="9"/>
  <c r="K496" i="9"/>
  <c r="AL495" i="9"/>
  <c r="V495" i="9"/>
  <c r="P495" i="9"/>
  <c r="L495" i="9"/>
  <c r="K495" i="9"/>
  <c r="W494" i="9"/>
  <c r="AD494" i="9" s="1"/>
  <c r="R494" i="9"/>
  <c r="L494" i="9"/>
  <c r="AL493" i="9"/>
  <c r="AJ493" i="9"/>
  <c r="AI493" i="9"/>
  <c r="Z493" i="9"/>
  <c r="AA493" i="9" s="1"/>
  <c r="AG493" i="9" s="1"/>
  <c r="X493" i="9"/>
  <c r="V493" i="9"/>
  <c r="T493" i="9"/>
  <c r="S493" i="9"/>
  <c r="P493" i="9"/>
  <c r="O493" i="9"/>
  <c r="N493" i="9"/>
  <c r="L493" i="9"/>
  <c r="K493" i="9"/>
  <c r="AL492" i="9"/>
  <c r="AJ492" i="9"/>
  <c r="Z492" i="9"/>
  <c r="AA492" i="9" s="1"/>
  <c r="AG492" i="9" s="1"/>
  <c r="V492" i="9"/>
  <c r="T492" i="9"/>
  <c r="P492" i="9"/>
  <c r="O492" i="9"/>
  <c r="L492" i="9"/>
  <c r="K492" i="9"/>
  <c r="AL491" i="9"/>
  <c r="V491" i="9"/>
  <c r="P491" i="9"/>
  <c r="L491" i="9"/>
  <c r="K491" i="9"/>
  <c r="W490" i="9"/>
  <c r="AD490" i="9" s="1"/>
  <c r="R490" i="9"/>
  <c r="L490" i="9"/>
  <c r="AI489" i="9"/>
  <c r="X489" i="9"/>
  <c r="S489" i="9"/>
  <c r="N489" i="9"/>
  <c r="L489" i="9"/>
  <c r="AL489" i="9" s="1"/>
  <c r="AL488" i="9"/>
  <c r="AJ488" i="9"/>
  <c r="AI488" i="9"/>
  <c r="Z488" i="9"/>
  <c r="AA488" i="9" s="1"/>
  <c r="AG488" i="9" s="1"/>
  <c r="X488" i="9"/>
  <c r="V488" i="9"/>
  <c r="T488" i="9"/>
  <c r="S488" i="9"/>
  <c r="P488" i="9"/>
  <c r="O488" i="9"/>
  <c r="N488" i="9"/>
  <c r="L488" i="9"/>
  <c r="K488" i="9"/>
  <c r="AL487" i="9"/>
  <c r="AJ487" i="9"/>
  <c r="AA487" i="9"/>
  <c r="AG487" i="9" s="1"/>
  <c r="Z487" i="9"/>
  <c r="V487" i="9"/>
  <c r="T487" i="9"/>
  <c r="P487" i="9"/>
  <c r="O487" i="9"/>
  <c r="L487" i="9"/>
  <c r="K487" i="9"/>
  <c r="W486" i="9"/>
  <c r="AD486" i="9" s="1"/>
  <c r="R486" i="9"/>
  <c r="L486" i="9"/>
  <c r="AI485" i="9"/>
  <c r="X485" i="9"/>
  <c r="S485" i="9"/>
  <c r="N485" i="9"/>
  <c r="L485" i="9"/>
  <c r="AL485" i="9" s="1"/>
  <c r="AL484" i="9"/>
  <c r="AJ484" i="9"/>
  <c r="AI484" i="9"/>
  <c r="Z484" i="9"/>
  <c r="AA484" i="9" s="1"/>
  <c r="AG484" i="9" s="1"/>
  <c r="X484" i="9"/>
  <c r="V484" i="9"/>
  <c r="T484" i="9"/>
  <c r="S484" i="9"/>
  <c r="P484" i="9"/>
  <c r="O484" i="9"/>
  <c r="N484" i="9"/>
  <c r="L484" i="9"/>
  <c r="K484" i="9"/>
  <c r="AL483" i="9"/>
  <c r="AJ483" i="9"/>
  <c r="AA483" i="9"/>
  <c r="AG483" i="9" s="1"/>
  <c r="Z483" i="9"/>
  <c r="V483" i="9"/>
  <c r="T483" i="9"/>
  <c r="P483" i="9"/>
  <c r="O483" i="9"/>
  <c r="L483" i="9"/>
  <c r="K483" i="9"/>
  <c r="W482" i="9"/>
  <c r="AD482" i="9" s="1"/>
  <c r="R482" i="9"/>
  <c r="L482" i="9"/>
  <c r="AI481" i="9"/>
  <c r="X481" i="9"/>
  <c r="S481" i="9"/>
  <c r="N481" i="9"/>
  <c r="L481" i="9"/>
  <c r="AL481" i="9" s="1"/>
  <c r="AL480" i="9"/>
  <c r="AJ480" i="9"/>
  <c r="AI480" i="9"/>
  <c r="Z480" i="9"/>
  <c r="AA480" i="9" s="1"/>
  <c r="AG480" i="9" s="1"/>
  <c r="X480" i="9"/>
  <c r="V480" i="9"/>
  <c r="T480" i="9"/>
  <c r="S480" i="9"/>
  <c r="P480" i="9"/>
  <c r="O480" i="9"/>
  <c r="N480" i="9"/>
  <c r="L480" i="9"/>
  <c r="K480" i="9"/>
  <c r="AL479" i="9"/>
  <c r="AJ479" i="9"/>
  <c r="AA479" i="9"/>
  <c r="AG479" i="9" s="1"/>
  <c r="Z479" i="9"/>
  <c r="V479" i="9"/>
  <c r="T479" i="9"/>
  <c r="P479" i="9"/>
  <c r="O479" i="9"/>
  <c r="L479" i="9"/>
  <c r="K479" i="9"/>
  <c r="W478" i="9"/>
  <c r="AD478" i="9" s="1"/>
  <c r="R478" i="9"/>
  <c r="L478" i="9"/>
  <c r="AI477" i="9"/>
  <c r="X477" i="9"/>
  <c r="S477" i="9"/>
  <c r="N477" i="9"/>
  <c r="L477" i="9"/>
  <c r="AL477" i="9" s="1"/>
  <c r="AL476" i="9"/>
  <c r="AJ476" i="9"/>
  <c r="AI476" i="9"/>
  <c r="Z476" i="9"/>
  <c r="AA476" i="9" s="1"/>
  <c r="AG476" i="9" s="1"/>
  <c r="X476" i="9"/>
  <c r="V476" i="9"/>
  <c r="T476" i="9"/>
  <c r="S476" i="9"/>
  <c r="P476" i="9"/>
  <c r="O476" i="9"/>
  <c r="N476" i="9"/>
  <c r="L476" i="9"/>
  <c r="K476" i="9"/>
  <c r="AL475" i="9"/>
  <c r="AJ475" i="9"/>
  <c r="AA475" i="9"/>
  <c r="AG475" i="9" s="1"/>
  <c r="Z475" i="9"/>
  <c r="V475" i="9"/>
  <c r="T475" i="9"/>
  <c r="P475" i="9"/>
  <c r="O475" i="9"/>
  <c r="L475" i="9"/>
  <c r="K475" i="9"/>
  <c r="W474" i="9"/>
  <c r="AD474" i="9" s="1"/>
  <c r="R474" i="9"/>
  <c r="L474" i="9"/>
  <c r="AI473" i="9"/>
  <c r="X473" i="9"/>
  <c r="S473" i="9"/>
  <c r="N473" i="9"/>
  <c r="L473" i="9"/>
  <c r="AL473" i="9" s="1"/>
  <c r="AL472" i="9"/>
  <c r="AJ472" i="9"/>
  <c r="AI472" i="9"/>
  <c r="Z472" i="9"/>
  <c r="AA472" i="9" s="1"/>
  <c r="AG472" i="9" s="1"/>
  <c r="X472" i="9"/>
  <c r="V472" i="9"/>
  <c r="T472" i="9"/>
  <c r="S472" i="9"/>
  <c r="P472" i="9"/>
  <c r="O472" i="9"/>
  <c r="N472" i="9"/>
  <c r="L472" i="9"/>
  <c r="K472" i="9"/>
  <c r="AL471" i="9"/>
  <c r="AJ471" i="9"/>
  <c r="AA471" i="9"/>
  <c r="AG471" i="9" s="1"/>
  <c r="Z471" i="9"/>
  <c r="V471" i="9"/>
  <c r="T471" i="9"/>
  <c r="P471" i="9"/>
  <c r="O471" i="9"/>
  <c r="L471" i="9"/>
  <c r="K471" i="9"/>
  <c r="W470" i="9"/>
  <c r="AD470" i="9" s="1"/>
  <c r="R470" i="9"/>
  <c r="L470" i="9"/>
  <c r="AI469" i="9"/>
  <c r="X469" i="9"/>
  <c r="S469" i="9"/>
  <c r="N469" i="9"/>
  <c r="L469" i="9"/>
  <c r="AL469" i="9" s="1"/>
  <c r="AL468" i="9"/>
  <c r="AJ468" i="9"/>
  <c r="AI468" i="9"/>
  <c r="Z468" i="9"/>
  <c r="AA468" i="9" s="1"/>
  <c r="AG468" i="9" s="1"/>
  <c r="X468" i="9"/>
  <c r="V468" i="9"/>
  <c r="T468" i="9"/>
  <c r="S468" i="9"/>
  <c r="P468" i="9"/>
  <c r="O468" i="9"/>
  <c r="N468" i="9"/>
  <c r="L468" i="9"/>
  <c r="K468" i="9"/>
  <c r="AL467" i="9"/>
  <c r="AJ467" i="9"/>
  <c r="AA467" i="9"/>
  <c r="AG467" i="9" s="1"/>
  <c r="Z467" i="9"/>
  <c r="V467" i="9"/>
  <c r="T467" i="9"/>
  <c r="P467" i="9"/>
  <c r="O467" i="9"/>
  <c r="L467" i="9"/>
  <c r="K467" i="9"/>
  <c r="W466" i="9"/>
  <c r="AD466" i="9" s="1"/>
  <c r="R466" i="9"/>
  <c r="L466" i="9"/>
  <c r="AI465" i="9"/>
  <c r="X465" i="9"/>
  <c r="S465" i="9"/>
  <c r="N465" i="9"/>
  <c r="L465" i="9"/>
  <c r="AL465" i="9" s="1"/>
  <c r="AL464" i="9"/>
  <c r="AJ464" i="9"/>
  <c r="AI464" i="9"/>
  <c r="Z464" i="9"/>
  <c r="AA464" i="9" s="1"/>
  <c r="AG464" i="9" s="1"/>
  <c r="X464" i="9"/>
  <c r="V464" i="9"/>
  <c r="T464" i="9"/>
  <c r="S464" i="9"/>
  <c r="P464" i="9"/>
  <c r="O464" i="9"/>
  <c r="N464" i="9"/>
  <c r="L464" i="9"/>
  <c r="K464" i="9"/>
  <c r="AL463" i="9"/>
  <c r="AJ463" i="9"/>
  <c r="AA463" i="9"/>
  <c r="AG463" i="9" s="1"/>
  <c r="Z463" i="9"/>
  <c r="V463" i="9"/>
  <c r="T463" i="9"/>
  <c r="P463" i="9"/>
  <c r="O463" i="9"/>
  <c r="L463" i="9"/>
  <c r="K463" i="9"/>
  <c r="W462" i="9"/>
  <c r="AD462" i="9" s="1"/>
  <c r="R462" i="9"/>
  <c r="L462" i="9"/>
  <c r="AI461" i="9"/>
  <c r="X461" i="9"/>
  <c r="S461" i="9"/>
  <c r="N461" i="9"/>
  <c r="L461" i="9"/>
  <c r="AL461" i="9" s="1"/>
  <c r="AL460" i="9"/>
  <c r="AJ460" i="9"/>
  <c r="AI460" i="9"/>
  <c r="Z460" i="9"/>
  <c r="AA460" i="9" s="1"/>
  <c r="AG460" i="9" s="1"/>
  <c r="X460" i="9"/>
  <c r="V460" i="9"/>
  <c r="T460" i="9"/>
  <c r="S460" i="9"/>
  <c r="P460" i="9"/>
  <c r="O460" i="9"/>
  <c r="N460" i="9"/>
  <c r="L460" i="9"/>
  <c r="K460" i="9"/>
  <c r="AL459" i="9"/>
  <c r="AJ459" i="9"/>
  <c r="Z459" i="9"/>
  <c r="AA459" i="9" s="1"/>
  <c r="AG459" i="9" s="1"/>
  <c r="V459" i="9"/>
  <c r="T459" i="9"/>
  <c r="P459" i="9"/>
  <c r="O459" i="9"/>
  <c r="L459" i="9"/>
  <c r="K459" i="9"/>
  <c r="V458" i="9"/>
  <c r="L458" i="9"/>
  <c r="AB458" i="9" s="1"/>
  <c r="K458" i="9"/>
  <c r="S457" i="9"/>
  <c r="R457" i="9"/>
  <c r="L457" i="9"/>
  <c r="AL456" i="9"/>
  <c r="AJ456" i="9"/>
  <c r="AI456" i="9"/>
  <c r="Z456" i="9"/>
  <c r="AA456" i="9" s="1"/>
  <c r="AG456" i="9" s="1"/>
  <c r="X456" i="9"/>
  <c r="V456" i="9"/>
  <c r="T456" i="9"/>
  <c r="S456" i="9"/>
  <c r="P456" i="9"/>
  <c r="O456" i="9"/>
  <c r="N456" i="9"/>
  <c r="L456" i="9"/>
  <c r="K456" i="9"/>
  <c r="AL455" i="9"/>
  <c r="AJ455" i="9"/>
  <c r="Z455" i="9"/>
  <c r="AA455" i="9" s="1"/>
  <c r="AG455" i="9" s="1"/>
  <c r="V455" i="9"/>
  <c r="T455" i="9"/>
  <c r="P455" i="9"/>
  <c r="O455" i="9"/>
  <c r="L455" i="9"/>
  <c r="K455" i="9"/>
  <c r="V454" i="9"/>
  <c r="L454" i="9"/>
  <c r="AB454" i="9" s="1"/>
  <c r="K454" i="9"/>
  <c r="S453" i="9"/>
  <c r="R453" i="9"/>
  <c r="L453" i="9"/>
  <c r="AL452" i="9"/>
  <c r="AJ452" i="9"/>
  <c r="AI452" i="9"/>
  <c r="Z452" i="9"/>
  <c r="AA452" i="9" s="1"/>
  <c r="AG452" i="9" s="1"/>
  <c r="X452" i="9"/>
  <c r="V452" i="9"/>
  <c r="T452" i="9"/>
  <c r="S452" i="9"/>
  <c r="P452" i="9"/>
  <c r="O452" i="9"/>
  <c r="N452" i="9"/>
  <c r="L452" i="9"/>
  <c r="K452" i="9"/>
  <c r="AL451" i="9"/>
  <c r="AJ451" i="9"/>
  <c r="Z451" i="9"/>
  <c r="AA451" i="9" s="1"/>
  <c r="AG451" i="9" s="1"/>
  <c r="V451" i="9"/>
  <c r="T451" i="9"/>
  <c r="P451" i="9"/>
  <c r="O451" i="9"/>
  <c r="L451" i="9"/>
  <c r="K451" i="9"/>
  <c r="V450" i="9"/>
  <c r="L450" i="9"/>
  <c r="AB450" i="9" s="1"/>
  <c r="K450" i="9"/>
  <c r="S449" i="9"/>
  <c r="R449" i="9"/>
  <c r="L449" i="9"/>
  <c r="AL448" i="9"/>
  <c r="AJ448" i="9"/>
  <c r="AI448" i="9"/>
  <c r="Z448" i="9"/>
  <c r="AA448" i="9" s="1"/>
  <c r="AG448" i="9" s="1"/>
  <c r="X448" i="9"/>
  <c r="V448" i="9"/>
  <c r="T448" i="9"/>
  <c r="S448" i="9"/>
  <c r="P448" i="9"/>
  <c r="O448" i="9"/>
  <c r="N448" i="9"/>
  <c r="L448" i="9"/>
  <c r="K448" i="9"/>
  <c r="AL447" i="9"/>
  <c r="AJ447" i="9"/>
  <c r="Z447" i="9"/>
  <c r="AA447" i="9" s="1"/>
  <c r="AG447" i="9" s="1"/>
  <c r="V447" i="9"/>
  <c r="T447" i="9"/>
  <c r="P447" i="9"/>
  <c r="O447" i="9"/>
  <c r="L447" i="9"/>
  <c r="K447" i="9"/>
  <c r="V446" i="9"/>
  <c r="L446" i="9"/>
  <c r="AB446" i="9" s="1"/>
  <c r="K446" i="9"/>
  <c r="S445" i="9"/>
  <c r="R445" i="9"/>
  <c r="L445" i="9"/>
  <c r="AL444" i="9"/>
  <c r="AJ444" i="9"/>
  <c r="AI444" i="9"/>
  <c r="Z444" i="9"/>
  <c r="AA444" i="9" s="1"/>
  <c r="AG444" i="9" s="1"/>
  <c r="X444" i="9"/>
  <c r="V444" i="9"/>
  <c r="T444" i="9"/>
  <c r="S444" i="9"/>
  <c r="P444" i="9"/>
  <c r="O444" i="9"/>
  <c r="N444" i="9"/>
  <c r="L444" i="9"/>
  <c r="K444" i="9"/>
  <c r="AL443" i="9"/>
  <c r="AJ443" i="9"/>
  <c r="Z443" i="9"/>
  <c r="AA443" i="9" s="1"/>
  <c r="AG443" i="9" s="1"/>
  <c r="V443" i="9"/>
  <c r="T443" i="9"/>
  <c r="P443" i="9"/>
  <c r="O443" i="9"/>
  <c r="L443" i="9"/>
  <c r="K443" i="9"/>
  <c r="V442" i="9"/>
  <c r="L442" i="9"/>
  <c r="AB442" i="9" s="1"/>
  <c r="K442" i="9"/>
  <c r="S441" i="9"/>
  <c r="R441" i="9"/>
  <c r="L441" i="9"/>
  <c r="AL440" i="9"/>
  <c r="AJ440" i="9"/>
  <c r="AI440" i="9"/>
  <c r="Z440" i="9"/>
  <c r="AA440" i="9" s="1"/>
  <c r="AG440" i="9" s="1"/>
  <c r="X440" i="9"/>
  <c r="V440" i="9"/>
  <c r="T440" i="9"/>
  <c r="S440" i="9"/>
  <c r="P440" i="9"/>
  <c r="O440" i="9"/>
  <c r="N440" i="9"/>
  <c r="L440" i="9"/>
  <c r="K440" i="9"/>
  <c r="AL439" i="9"/>
  <c r="AJ439" i="9"/>
  <c r="Z439" i="9"/>
  <c r="AA439" i="9" s="1"/>
  <c r="AG439" i="9" s="1"/>
  <c r="V439" i="9"/>
  <c r="T439" i="9"/>
  <c r="P439" i="9"/>
  <c r="O439" i="9"/>
  <c r="L439" i="9"/>
  <c r="K439" i="9"/>
  <c r="V438" i="9"/>
  <c r="L438" i="9"/>
  <c r="AB438" i="9" s="1"/>
  <c r="K438" i="9"/>
  <c r="S437" i="9"/>
  <c r="R437" i="9"/>
  <c r="L437" i="9"/>
  <c r="AL436" i="9"/>
  <c r="AJ436" i="9"/>
  <c r="AI436" i="9"/>
  <c r="Z436" i="9"/>
  <c r="AA436" i="9" s="1"/>
  <c r="AG436" i="9" s="1"/>
  <c r="X436" i="9"/>
  <c r="V436" i="9"/>
  <c r="T436" i="9"/>
  <c r="S436" i="9"/>
  <c r="P436" i="9"/>
  <c r="O436" i="9"/>
  <c r="N436" i="9"/>
  <c r="L436" i="9"/>
  <c r="K436" i="9"/>
  <c r="AL435" i="9"/>
  <c r="AJ435" i="9"/>
  <c r="Z435" i="9"/>
  <c r="AA435" i="9" s="1"/>
  <c r="AG435" i="9" s="1"/>
  <c r="V435" i="9"/>
  <c r="T435" i="9"/>
  <c r="P435" i="9"/>
  <c r="O435" i="9"/>
  <c r="L435" i="9"/>
  <c r="K435" i="9"/>
  <c r="V434" i="9"/>
  <c r="L434" i="9"/>
  <c r="AB434" i="9" s="1"/>
  <c r="K434" i="9"/>
  <c r="S433" i="9"/>
  <c r="R433" i="9"/>
  <c r="L433" i="9"/>
  <c r="AL432" i="9"/>
  <c r="AJ432" i="9"/>
  <c r="AI432" i="9"/>
  <c r="Z432" i="9"/>
  <c r="AA432" i="9" s="1"/>
  <c r="AG432" i="9" s="1"/>
  <c r="X432" i="9"/>
  <c r="V432" i="9"/>
  <c r="T432" i="9"/>
  <c r="S432" i="9"/>
  <c r="P432" i="9"/>
  <c r="O432" i="9"/>
  <c r="N432" i="9"/>
  <c r="L432" i="9"/>
  <c r="K432" i="9"/>
  <c r="AL431" i="9"/>
  <c r="AJ431" i="9"/>
  <c r="Z431" i="9"/>
  <c r="AA431" i="9" s="1"/>
  <c r="AG431" i="9" s="1"/>
  <c r="V431" i="9"/>
  <c r="T431" i="9"/>
  <c r="P431" i="9"/>
  <c r="O431" i="9"/>
  <c r="L431" i="9"/>
  <c r="K431" i="9"/>
  <c r="V430" i="9"/>
  <c r="L430" i="9"/>
  <c r="AB430" i="9" s="1"/>
  <c r="K430" i="9"/>
  <c r="S429" i="9"/>
  <c r="R429" i="9"/>
  <c r="L429" i="9"/>
  <c r="AL428" i="9"/>
  <c r="AJ428" i="9"/>
  <c r="AI428" i="9"/>
  <c r="Z428" i="9"/>
  <c r="AA428" i="9" s="1"/>
  <c r="AG428" i="9" s="1"/>
  <c r="X428" i="9"/>
  <c r="V428" i="9"/>
  <c r="T428" i="9"/>
  <c r="S428" i="9"/>
  <c r="P428" i="9"/>
  <c r="O428" i="9"/>
  <c r="N428" i="9"/>
  <c r="L428" i="9"/>
  <c r="K428" i="9"/>
  <c r="AL427" i="9"/>
  <c r="AJ427" i="9"/>
  <c r="Z427" i="9"/>
  <c r="AA427" i="9" s="1"/>
  <c r="AG427" i="9" s="1"/>
  <c r="V427" i="9"/>
  <c r="T427" i="9"/>
  <c r="P427" i="9"/>
  <c r="O427" i="9"/>
  <c r="L427" i="9"/>
  <c r="K427" i="9"/>
  <c r="V426" i="9"/>
  <c r="L426" i="9"/>
  <c r="AB426" i="9" s="1"/>
  <c r="K426" i="9"/>
  <c r="S425" i="9"/>
  <c r="R425" i="9"/>
  <c r="L425" i="9"/>
  <c r="AL424" i="9"/>
  <c r="AJ424" i="9"/>
  <c r="AI424" i="9"/>
  <c r="Z424" i="9"/>
  <c r="AA424" i="9" s="1"/>
  <c r="AG424" i="9" s="1"/>
  <c r="X424" i="9"/>
  <c r="V424" i="9"/>
  <c r="T424" i="9"/>
  <c r="S424" i="9"/>
  <c r="P424" i="9"/>
  <c r="O424" i="9"/>
  <c r="N424" i="9"/>
  <c r="L424" i="9"/>
  <c r="K424" i="9"/>
  <c r="AL423" i="9"/>
  <c r="AJ423" i="9"/>
  <c r="Z423" i="9"/>
  <c r="AA423" i="9" s="1"/>
  <c r="AG423" i="9" s="1"/>
  <c r="V423" i="9"/>
  <c r="T423" i="9"/>
  <c r="P423" i="9"/>
  <c r="O423" i="9"/>
  <c r="L423" i="9"/>
  <c r="K423" i="9"/>
  <c r="V422" i="9"/>
  <c r="L422" i="9"/>
  <c r="AB422" i="9" s="1"/>
  <c r="K422" i="9"/>
  <c r="S421" i="9"/>
  <c r="R421" i="9"/>
  <c r="L421" i="9"/>
  <c r="AL420" i="9"/>
  <c r="AJ420" i="9"/>
  <c r="AI420" i="9"/>
  <c r="Z420" i="9"/>
  <c r="AA420" i="9" s="1"/>
  <c r="AG420" i="9" s="1"/>
  <c r="X420" i="9"/>
  <c r="V420" i="9"/>
  <c r="T420" i="9"/>
  <c r="S420" i="9"/>
  <c r="P420" i="9"/>
  <c r="O420" i="9"/>
  <c r="N420" i="9"/>
  <c r="L420" i="9"/>
  <c r="K420" i="9"/>
  <c r="AL419" i="9"/>
  <c r="AJ419" i="9"/>
  <c r="Z419" i="9"/>
  <c r="AA419" i="9" s="1"/>
  <c r="AG419" i="9" s="1"/>
  <c r="V419" i="9"/>
  <c r="T419" i="9"/>
  <c r="P419" i="9"/>
  <c r="O419" i="9"/>
  <c r="L419" i="9"/>
  <c r="K419" i="9"/>
  <c r="V418" i="9"/>
  <c r="L418" i="9"/>
  <c r="AB418" i="9" s="1"/>
  <c r="K418" i="9"/>
  <c r="S417" i="9"/>
  <c r="R417" i="9"/>
  <c r="L417" i="9"/>
  <c r="AL416" i="9"/>
  <c r="AJ416" i="9"/>
  <c r="AI416" i="9"/>
  <c r="Z416" i="9"/>
  <c r="AA416" i="9" s="1"/>
  <c r="AG416" i="9" s="1"/>
  <c r="X416" i="9"/>
  <c r="V416" i="9"/>
  <c r="T416" i="9"/>
  <c r="S416" i="9"/>
  <c r="P416" i="9"/>
  <c r="O416" i="9"/>
  <c r="N416" i="9"/>
  <c r="L416" i="9"/>
  <c r="K416" i="9"/>
  <c r="AL415" i="9"/>
  <c r="AJ415" i="9"/>
  <c r="Z415" i="9"/>
  <c r="AA415" i="9" s="1"/>
  <c r="AG415" i="9" s="1"/>
  <c r="V415" i="9"/>
  <c r="T415" i="9"/>
  <c r="P415" i="9"/>
  <c r="O415" i="9"/>
  <c r="L415" i="9"/>
  <c r="K415" i="9"/>
  <c r="V414" i="9"/>
  <c r="L414" i="9"/>
  <c r="AB414" i="9" s="1"/>
  <c r="K414" i="9"/>
  <c r="S413" i="9"/>
  <c r="R413" i="9"/>
  <c r="L413" i="9"/>
  <c r="AL412" i="9"/>
  <c r="AJ412" i="9"/>
  <c r="AI412" i="9"/>
  <c r="Z412" i="9"/>
  <c r="AA412" i="9" s="1"/>
  <c r="AG412" i="9" s="1"/>
  <c r="X412" i="9"/>
  <c r="V412" i="9"/>
  <c r="T412" i="9"/>
  <c r="S412" i="9"/>
  <c r="P412" i="9"/>
  <c r="O412" i="9"/>
  <c r="N412" i="9"/>
  <c r="L412" i="9"/>
  <c r="K412" i="9"/>
  <c r="AL411" i="9"/>
  <c r="AJ411" i="9"/>
  <c r="Z411" i="9"/>
  <c r="AA411" i="9" s="1"/>
  <c r="AG411" i="9" s="1"/>
  <c r="V411" i="9"/>
  <c r="T411" i="9"/>
  <c r="P411" i="9"/>
  <c r="O411" i="9"/>
  <c r="L411" i="9"/>
  <c r="K411" i="9"/>
  <c r="V410" i="9"/>
  <c r="L410" i="9"/>
  <c r="AB410" i="9" s="1"/>
  <c r="K410" i="9"/>
  <c r="S409" i="9"/>
  <c r="R409" i="9"/>
  <c r="L409" i="9"/>
  <c r="AL408" i="9"/>
  <c r="AJ408" i="9"/>
  <c r="AI408" i="9"/>
  <c r="Z408" i="9"/>
  <c r="AA408" i="9" s="1"/>
  <c r="AG408" i="9" s="1"/>
  <c r="X408" i="9"/>
  <c r="V408" i="9"/>
  <c r="T408" i="9"/>
  <c r="S408" i="9"/>
  <c r="P408" i="9"/>
  <c r="O408" i="9"/>
  <c r="N408" i="9"/>
  <c r="L408" i="9"/>
  <c r="K408" i="9"/>
  <c r="AL407" i="9"/>
  <c r="AJ407" i="9"/>
  <c r="Z407" i="9"/>
  <c r="AA407" i="9" s="1"/>
  <c r="AG407" i="9" s="1"/>
  <c r="V407" i="9"/>
  <c r="T407" i="9"/>
  <c r="P407" i="9"/>
  <c r="O407" i="9"/>
  <c r="L407" i="9"/>
  <c r="K407" i="9"/>
  <c r="V406" i="9"/>
  <c r="L406" i="9"/>
  <c r="AB406" i="9" s="1"/>
  <c r="K406" i="9"/>
  <c r="S405" i="9"/>
  <c r="R405" i="9"/>
  <c r="L405" i="9"/>
  <c r="AL404" i="9"/>
  <c r="AJ404" i="9"/>
  <c r="AI404" i="9"/>
  <c r="Z404" i="9"/>
  <c r="AA404" i="9" s="1"/>
  <c r="AG404" i="9" s="1"/>
  <c r="X404" i="9"/>
  <c r="V404" i="9"/>
  <c r="T404" i="9"/>
  <c r="S404" i="9"/>
  <c r="P404" i="9"/>
  <c r="O404" i="9"/>
  <c r="N404" i="9"/>
  <c r="L404" i="9"/>
  <c r="K404" i="9"/>
  <c r="AL403" i="9"/>
  <c r="AJ403" i="9"/>
  <c r="Z403" i="9"/>
  <c r="AA403" i="9" s="1"/>
  <c r="AG403" i="9" s="1"/>
  <c r="V403" i="9"/>
  <c r="T403" i="9"/>
  <c r="P403" i="9"/>
  <c r="O403" i="9"/>
  <c r="L403" i="9"/>
  <c r="K403" i="9"/>
  <c r="V402" i="9"/>
  <c r="L402" i="9"/>
  <c r="AB402" i="9" s="1"/>
  <c r="K402" i="9"/>
  <c r="S401" i="9"/>
  <c r="R401" i="9"/>
  <c r="L401" i="9"/>
  <c r="AL400" i="9"/>
  <c r="AJ400" i="9"/>
  <c r="AI400" i="9"/>
  <c r="Z400" i="9"/>
  <c r="AA400" i="9" s="1"/>
  <c r="AG400" i="9" s="1"/>
  <c r="X400" i="9"/>
  <c r="V400" i="9"/>
  <c r="T400" i="9"/>
  <c r="S400" i="9"/>
  <c r="P400" i="9"/>
  <c r="O400" i="9"/>
  <c r="N400" i="9"/>
  <c r="L400" i="9"/>
  <c r="K400" i="9"/>
  <c r="AL399" i="9"/>
  <c r="AJ399" i="9"/>
  <c r="Z399" i="9"/>
  <c r="AA399" i="9" s="1"/>
  <c r="AG399" i="9" s="1"/>
  <c r="V399" i="9"/>
  <c r="T399" i="9"/>
  <c r="P399" i="9"/>
  <c r="O399" i="9"/>
  <c r="L399" i="9"/>
  <c r="K399" i="9"/>
  <c r="V398" i="9"/>
  <c r="L398" i="9"/>
  <c r="AB398" i="9" s="1"/>
  <c r="K398" i="9"/>
  <c r="S397" i="9"/>
  <c r="R397" i="9"/>
  <c r="L397" i="9"/>
  <c r="AL396" i="9"/>
  <c r="AJ396" i="9"/>
  <c r="AI396" i="9"/>
  <c r="Z396" i="9"/>
  <c r="AA396" i="9" s="1"/>
  <c r="AG396" i="9" s="1"/>
  <c r="X396" i="9"/>
  <c r="V396" i="9"/>
  <c r="T396" i="9"/>
  <c r="S396" i="9"/>
  <c r="P396" i="9"/>
  <c r="O396" i="9"/>
  <c r="N396" i="9"/>
  <c r="L396" i="9"/>
  <c r="K396" i="9"/>
  <c r="AL395" i="9"/>
  <c r="AJ395" i="9"/>
  <c r="Z395" i="9"/>
  <c r="AA395" i="9" s="1"/>
  <c r="AG395" i="9" s="1"/>
  <c r="V395" i="9"/>
  <c r="T395" i="9"/>
  <c r="P395" i="9"/>
  <c r="O395" i="9"/>
  <c r="L395" i="9"/>
  <c r="K395" i="9"/>
  <c r="V394" i="9"/>
  <c r="L394" i="9"/>
  <c r="AB394" i="9" s="1"/>
  <c r="K394" i="9"/>
  <c r="S393" i="9"/>
  <c r="R393" i="9"/>
  <c r="L393" i="9"/>
  <c r="AL392" i="9"/>
  <c r="AJ392" i="9"/>
  <c r="AI392" i="9"/>
  <c r="Z392" i="9"/>
  <c r="AA392" i="9" s="1"/>
  <c r="AG392" i="9" s="1"/>
  <c r="X392" i="9"/>
  <c r="V392" i="9"/>
  <c r="T392" i="9"/>
  <c r="S392" i="9"/>
  <c r="P392" i="9"/>
  <c r="O392" i="9"/>
  <c r="N392" i="9"/>
  <c r="L392" i="9"/>
  <c r="K392" i="9"/>
  <c r="AL391" i="9"/>
  <c r="AJ391" i="9"/>
  <c r="Z391" i="9"/>
  <c r="AA391" i="9" s="1"/>
  <c r="AG391" i="9" s="1"/>
  <c r="V391" i="9"/>
  <c r="T391" i="9"/>
  <c r="P391" i="9"/>
  <c r="O391" i="9"/>
  <c r="L391" i="9"/>
  <c r="K391" i="9"/>
  <c r="V390" i="9"/>
  <c r="L390" i="9"/>
  <c r="AB390" i="9" s="1"/>
  <c r="K390" i="9"/>
  <c r="S389" i="9"/>
  <c r="R389" i="9"/>
  <c r="L389" i="9"/>
  <c r="AL388" i="9"/>
  <c r="AJ388" i="9"/>
  <c r="AI388" i="9"/>
  <c r="Z388" i="9"/>
  <c r="AA388" i="9" s="1"/>
  <c r="AG388" i="9" s="1"/>
  <c r="X388" i="9"/>
  <c r="V388" i="9"/>
  <c r="T388" i="9"/>
  <c r="S388" i="9"/>
  <c r="P388" i="9"/>
  <c r="O388" i="9"/>
  <c r="N388" i="9"/>
  <c r="L388" i="9"/>
  <c r="K388" i="9"/>
  <c r="AL387" i="9"/>
  <c r="AJ387" i="9"/>
  <c r="Z387" i="9"/>
  <c r="AA387" i="9" s="1"/>
  <c r="AG387" i="9" s="1"/>
  <c r="V387" i="9"/>
  <c r="T387" i="9"/>
  <c r="P387" i="9"/>
  <c r="O387" i="9"/>
  <c r="L387" i="9"/>
  <c r="K387" i="9"/>
  <c r="V386" i="9"/>
  <c r="L386" i="9"/>
  <c r="AB386" i="9" s="1"/>
  <c r="K386" i="9"/>
  <c r="S385" i="9"/>
  <c r="R385" i="9"/>
  <c r="L385" i="9"/>
  <c r="AL384" i="9"/>
  <c r="AJ384" i="9"/>
  <c r="AI384" i="9"/>
  <c r="Z384" i="9"/>
  <c r="AA384" i="9" s="1"/>
  <c r="AG384" i="9" s="1"/>
  <c r="X384" i="9"/>
  <c r="V384" i="9"/>
  <c r="T384" i="9"/>
  <c r="S384" i="9"/>
  <c r="P384" i="9"/>
  <c r="O384" i="9"/>
  <c r="N384" i="9"/>
  <c r="L384" i="9"/>
  <c r="K384" i="9"/>
  <c r="AL383" i="9"/>
  <c r="AJ383" i="9"/>
  <c r="Z383" i="9"/>
  <c r="AA383" i="9" s="1"/>
  <c r="AG383" i="9" s="1"/>
  <c r="V383" i="9"/>
  <c r="T383" i="9"/>
  <c r="P383" i="9"/>
  <c r="O383" i="9"/>
  <c r="L383" i="9"/>
  <c r="K383" i="9"/>
  <c r="V382" i="9"/>
  <c r="L382" i="9"/>
  <c r="AB382" i="9" s="1"/>
  <c r="K382" i="9"/>
  <c r="S381" i="9"/>
  <c r="R381" i="9"/>
  <c r="L381" i="9"/>
  <c r="AL380" i="9"/>
  <c r="AJ380" i="9"/>
  <c r="AI380" i="9"/>
  <c r="Z380" i="9"/>
  <c r="AA380" i="9" s="1"/>
  <c r="AG380" i="9" s="1"/>
  <c r="X380" i="9"/>
  <c r="V380" i="9"/>
  <c r="T380" i="9"/>
  <c r="S380" i="9"/>
  <c r="P380" i="9"/>
  <c r="O380" i="9"/>
  <c r="N380" i="9"/>
  <c r="L380" i="9"/>
  <c r="K380" i="9"/>
  <c r="AL379" i="9"/>
  <c r="AJ379" i="9"/>
  <c r="Z379" i="9"/>
  <c r="AA379" i="9" s="1"/>
  <c r="AG379" i="9" s="1"/>
  <c r="V379" i="9"/>
  <c r="T379" i="9"/>
  <c r="P379" i="9"/>
  <c r="O379" i="9"/>
  <c r="L379" i="9"/>
  <c r="K379" i="9"/>
  <c r="V378" i="9"/>
  <c r="L378" i="9"/>
  <c r="AB378" i="9" s="1"/>
  <c r="K378" i="9"/>
  <c r="S377" i="9"/>
  <c r="R377" i="9"/>
  <c r="L377" i="9"/>
  <c r="AL376" i="9"/>
  <c r="AJ376" i="9"/>
  <c r="AI376" i="9"/>
  <c r="Z376" i="9"/>
  <c r="AA376" i="9" s="1"/>
  <c r="AG376" i="9" s="1"/>
  <c r="X376" i="9"/>
  <c r="V376" i="9"/>
  <c r="T376" i="9"/>
  <c r="S376" i="9"/>
  <c r="P376" i="9"/>
  <c r="O376" i="9"/>
  <c r="N376" i="9"/>
  <c r="L376" i="9"/>
  <c r="K376" i="9"/>
  <c r="AL375" i="9"/>
  <c r="AJ375" i="9"/>
  <c r="Z375" i="9"/>
  <c r="AA375" i="9" s="1"/>
  <c r="AG375" i="9" s="1"/>
  <c r="V375" i="9"/>
  <c r="T375" i="9"/>
  <c r="P375" i="9"/>
  <c r="O375" i="9"/>
  <c r="L375" i="9"/>
  <c r="K375" i="9"/>
  <c r="V374" i="9"/>
  <c r="L374" i="9"/>
  <c r="AB374" i="9" s="1"/>
  <c r="K374" i="9"/>
  <c r="S373" i="9"/>
  <c r="R373" i="9"/>
  <c r="L373" i="9"/>
  <c r="AL372" i="9"/>
  <c r="AJ372" i="9"/>
  <c r="AI372" i="9"/>
  <c r="Z372" i="9"/>
  <c r="AA372" i="9" s="1"/>
  <c r="AG372" i="9" s="1"/>
  <c r="X372" i="9"/>
  <c r="V372" i="9"/>
  <c r="T372" i="9"/>
  <c r="S372" i="9"/>
  <c r="P372" i="9"/>
  <c r="O372" i="9"/>
  <c r="N372" i="9"/>
  <c r="L372" i="9"/>
  <c r="K372" i="9"/>
  <c r="AL371" i="9"/>
  <c r="AJ371" i="9"/>
  <c r="Z371" i="9"/>
  <c r="AA371" i="9" s="1"/>
  <c r="AG371" i="9" s="1"/>
  <c r="V371" i="9"/>
  <c r="T371" i="9"/>
  <c r="P371" i="9"/>
  <c r="O371" i="9"/>
  <c r="L371" i="9"/>
  <c r="K371" i="9"/>
  <c r="V370" i="9"/>
  <c r="L370" i="9"/>
  <c r="AB370" i="9" s="1"/>
  <c r="K370" i="9"/>
  <c r="S369" i="9"/>
  <c r="R369" i="9"/>
  <c r="L369" i="9"/>
  <c r="AL368" i="9"/>
  <c r="AJ368" i="9"/>
  <c r="AI368" i="9"/>
  <c r="Z368" i="9"/>
  <c r="AA368" i="9" s="1"/>
  <c r="AG368" i="9" s="1"/>
  <c r="X368" i="9"/>
  <c r="V368" i="9"/>
  <c r="T368" i="9"/>
  <c r="S368" i="9"/>
  <c r="P368" i="9"/>
  <c r="O368" i="9"/>
  <c r="N368" i="9"/>
  <c r="L368" i="9"/>
  <c r="K368" i="9"/>
  <c r="AL367" i="9"/>
  <c r="AJ367" i="9"/>
  <c r="Z367" i="9"/>
  <c r="AA367" i="9" s="1"/>
  <c r="AG367" i="9" s="1"/>
  <c r="V367" i="9"/>
  <c r="T367" i="9"/>
  <c r="P367" i="9"/>
  <c r="O367" i="9"/>
  <c r="L367" i="9"/>
  <c r="K367" i="9"/>
  <c r="V366" i="9"/>
  <c r="L366" i="9"/>
  <c r="AB366" i="9" s="1"/>
  <c r="K366" i="9"/>
  <c r="S365" i="9"/>
  <c r="R365" i="9"/>
  <c r="L365" i="9"/>
  <c r="AL364" i="9"/>
  <c r="AJ364" i="9"/>
  <c r="AI364" i="9"/>
  <c r="Z364" i="9"/>
  <c r="AA364" i="9" s="1"/>
  <c r="AG364" i="9" s="1"/>
  <c r="X364" i="9"/>
  <c r="V364" i="9"/>
  <c r="T364" i="9"/>
  <c r="S364" i="9"/>
  <c r="P364" i="9"/>
  <c r="O364" i="9"/>
  <c r="N364" i="9"/>
  <c r="L364" i="9"/>
  <c r="K364" i="9"/>
  <c r="AL363" i="9"/>
  <c r="AJ363" i="9"/>
  <c r="Z363" i="9"/>
  <c r="AA363" i="9" s="1"/>
  <c r="AG363" i="9" s="1"/>
  <c r="V363" i="9"/>
  <c r="T363" i="9"/>
  <c r="P363" i="9"/>
  <c r="O363" i="9"/>
  <c r="L363" i="9"/>
  <c r="K363" i="9"/>
  <c r="V362" i="9"/>
  <c r="L362" i="9"/>
  <c r="AB362" i="9" s="1"/>
  <c r="K362" i="9"/>
  <c r="S361" i="9"/>
  <c r="R361" i="9"/>
  <c r="L361" i="9"/>
  <c r="AL360" i="9"/>
  <c r="AJ360" i="9"/>
  <c r="AI360" i="9"/>
  <c r="Z360" i="9"/>
  <c r="AA360" i="9" s="1"/>
  <c r="AG360" i="9" s="1"/>
  <c r="X360" i="9"/>
  <c r="V360" i="9"/>
  <c r="T360" i="9"/>
  <c r="S360" i="9"/>
  <c r="P360" i="9"/>
  <c r="O360" i="9"/>
  <c r="N360" i="9"/>
  <c r="L360" i="9"/>
  <c r="K360" i="9"/>
  <c r="AL359" i="9"/>
  <c r="AJ359" i="9"/>
  <c r="Z359" i="9"/>
  <c r="AA359" i="9" s="1"/>
  <c r="AG359" i="9" s="1"/>
  <c r="V359" i="9"/>
  <c r="T359" i="9"/>
  <c r="P359" i="9"/>
  <c r="O359" i="9"/>
  <c r="L359" i="9"/>
  <c r="K359" i="9"/>
  <c r="V358" i="9"/>
  <c r="L358" i="9"/>
  <c r="AB358" i="9" s="1"/>
  <c r="K358" i="9"/>
  <c r="S357" i="9"/>
  <c r="R357" i="9"/>
  <c r="L357" i="9"/>
  <c r="AI356" i="9"/>
  <c r="S356" i="9"/>
  <c r="L356" i="9"/>
  <c r="X356" i="9" s="1"/>
  <c r="K356" i="9"/>
  <c r="X355" i="9"/>
  <c r="W355" i="9"/>
  <c r="AD355" i="9" s="1"/>
  <c r="P355" i="9"/>
  <c r="O355" i="9"/>
  <c r="L355" i="9"/>
  <c r="AI355" i="9" s="1"/>
  <c r="AI354" i="9"/>
  <c r="S354" i="9"/>
  <c r="L354" i="9"/>
  <c r="X354" i="9" s="1"/>
  <c r="K354" i="9"/>
  <c r="X353" i="9"/>
  <c r="W353" i="9"/>
  <c r="AD353" i="9" s="1"/>
  <c r="P353" i="9"/>
  <c r="O353" i="9"/>
  <c r="L353" i="9"/>
  <c r="AI353" i="9" s="1"/>
  <c r="AI352" i="9"/>
  <c r="S352" i="9"/>
  <c r="L352" i="9"/>
  <c r="X352" i="9" s="1"/>
  <c r="K352" i="9"/>
  <c r="X351" i="9"/>
  <c r="W351" i="9"/>
  <c r="AD351" i="9" s="1"/>
  <c r="P351" i="9"/>
  <c r="O351" i="9"/>
  <c r="L351" i="9"/>
  <c r="AI351" i="9" s="1"/>
  <c r="AI350" i="9"/>
  <c r="S350" i="9"/>
  <c r="L350" i="9"/>
  <c r="X350" i="9" s="1"/>
  <c r="K350" i="9"/>
  <c r="X349" i="9"/>
  <c r="W349" i="9"/>
  <c r="AD349" i="9" s="1"/>
  <c r="P349" i="9"/>
  <c r="O349" i="9"/>
  <c r="L349" i="9"/>
  <c r="AI349" i="9" s="1"/>
  <c r="AI348" i="9"/>
  <c r="S348" i="9"/>
  <c r="L348" i="9"/>
  <c r="X348" i="9" s="1"/>
  <c r="K348" i="9"/>
  <c r="X347" i="9"/>
  <c r="W347" i="9"/>
  <c r="AD347" i="9" s="1"/>
  <c r="P347" i="9"/>
  <c r="O347" i="9"/>
  <c r="L347" i="9"/>
  <c r="AI347" i="9" s="1"/>
  <c r="AI346" i="9"/>
  <c r="S346" i="9"/>
  <c r="L346" i="9"/>
  <c r="X346" i="9" s="1"/>
  <c r="K346" i="9"/>
  <c r="X345" i="9"/>
  <c r="W345" i="9"/>
  <c r="AD345" i="9" s="1"/>
  <c r="P345" i="9"/>
  <c r="O345" i="9"/>
  <c r="L345" i="9"/>
  <c r="AI345" i="9" s="1"/>
  <c r="AI344" i="9"/>
  <c r="S344" i="9"/>
  <c r="L344" i="9"/>
  <c r="X344" i="9" s="1"/>
  <c r="K344" i="9"/>
  <c r="X343" i="9"/>
  <c r="W343" i="9"/>
  <c r="AD343" i="9" s="1"/>
  <c r="P343" i="9"/>
  <c r="O343" i="9"/>
  <c r="L343" i="9"/>
  <c r="AI343" i="9" s="1"/>
  <c r="AI342" i="9"/>
  <c r="S342" i="9"/>
  <c r="L342" i="9"/>
  <c r="X342" i="9" s="1"/>
  <c r="K342" i="9"/>
  <c r="X341" i="9"/>
  <c r="W341" i="9"/>
  <c r="AD341" i="9" s="1"/>
  <c r="P341" i="9"/>
  <c r="O341" i="9"/>
  <c r="L341" i="9"/>
  <c r="AI341" i="9" s="1"/>
  <c r="AI340" i="9"/>
  <c r="S340" i="9"/>
  <c r="L340" i="9"/>
  <c r="X340" i="9" s="1"/>
  <c r="K340" i="9"/>
  <c r="X339" i="9"/>
  <c r="W339" i="9"/>
  <c r="AD339" i="9" s="1"/>
  <c r="P339" i="9"/>
  <c r="O339" i="9"/>
  <c r="L339" i="9"/>
  <c r="AI339" i="9" s="1"/>
  <c r="AI338" i="9"/>
  <c r="S338" i="9"/>
  <c r="L338" i="9"/>
  <c r="X338" i="9" s="1"/>
  <c r="K338" i="9"/>
  <c r="X337" i="9"/>
  <c r="W337" i="9"/>
  <c r="AD337" i="9" s="1"/>
  <c r="P337" i="9"/>
  <c r="O337" i="9"/>
  <c r="L337" i="9"/>
  <c r="AI337" i="9" s="1"/>
  <c r="AI336" i="9"/>
  <c r="S336" i="9"/>
  <c r="L336" i="9"/>
  <c r="X336" i="9" s="1"/>
  <c r="K336" i="9"/>
  <c r="X335" i="9"/>
  <c r="W335" i="9"/>
  <c r="AD335" i="9" s="1"/>
  <c r="P335" i="9"/>
  <c r="O335" i="9"/>
  <c r="L335" i="9"/>
  <c r="AI335" i="9" s="1"/>
  <c r="AI334" i="9"/>
  <c r="S334" i="9"/>
  <c r="L334" i="9"/>
  <c r="X334" i="9" s="1"/>
  <c r="K334" i="9"/>
  <c r="X333" i="9"/>
  <c r="W333" i="9"/>
  <c r="AD333" i="9" s="1"/>
  <c r="P333" i="9"/>
  <c r="O333" i="9"/>
  <c r="L333" i="9"/>
  <c r="AI333" i="9" s="1"/>
  <c r="AI332" i="9"/>
  <c r="S332" i="9"/>
  <c r="L332" i="9"/>
  <c r="X332" i="9" s="1"/>
  <c r="K332" i="9"/>
  <c r="W331" i="9"/>
  <c r="AD331" i="9" s="1"/>
  <c r="P331" i="9"/>
  <c r="L331" i="9"/>
  <c r="AJ331" i="9" s="1"/>
  <c r="K331" i="9"/>
  <c r="L330" i="9"/>
  <c r="AK330" i="9" s="1"/>
  <c r="AJ329" i="9"/>
  <c r="AI329" i="9"/>
  <c r="AC329" i="9"/>
  <c r="AE329" i="9" s="1"/>
  <c r="X329" i="9"/>
  <c r="Y329" i="9" s="1"/>
  <c r="T329" i="9"/>
  <c r="S329" i="9"/>
  <c r="O329" i="9"/>
  <c r="M329" i="9"/>
  <c r="L329" i="9"/>
  <c r="AK329" i="9" s="1"/>
  <c r="AK328" i="9"/>
  <c r="AJ328" i="9"/>
  <c r="U328" i="9"/>
  <c r="AF328" i="9" s="1"/>
  <c r="T328" i="9"/>
  <c r="P328" i="9"/>
  <c r="O328" i="9"/>
  <c r="L328" i="9"/>
  <c r="K328" i="9"/>
  <c r="AK327" i="9"/>
  <c r="U327" i="9"/>
  <c r="AF327" i="9" s="1"/>
  <c r="P327" i="9"/>
  <c r="L327" i="9"/>
  <c r="AJ327" i="9" s="1"/>
  <c r="K327" i="9"/>
  <c r="L326" i="9"/>
  <c r="AK326" i="9" s="1"/>
  <c r="AJ325" i="9"/>
  <c r="AI325" i="9"/>
  <c r="AC325" i="9"/>
  <c r="AE325" i="9" s="1"/>
  <c r="X325" i="9"/>
  <c r="Y325" i="9" s="1"/>
  <c r="T325" i="9"/>
  <c r="S325" i="9"/>
  <c r="O325" i="9"/>
  <c r="M325" i="9"/>
  <c r="L325" i="9"/>
  <c r="AK325" i="9" s="1"/>
  <c r="AK324" i="9"/>
  <c r="AJ324" i="9"/>
  <c r="U324" i="9"/>
  <c r="AF324" i="9" s="1"/>
  <c r="T324" i="9"/>
  <c r="P324" i="9"/>
  <c r="O324" i="9"/>
  <c r="L324" i="9"/>
  <c r="K324" i="9"/>
  <c r="AK323" i="9"/>
  <c r="U323" i="9"/>
  <c r="AF323" i="9" s="1"/>
  <c r="P323" i="9"/>
  <c r="L323" i="9"/>
  <c r="AJ323" i="9" s="1"/>
  <c r="K323" i="9"/>
  <c r="L322" i="9"/>
  <c r="AK322" i="9" s="1"/>
  <c r="AJ321" i="9"/>
  <c r="AI321" i="9"/>
  <c r="AC321" i="9"/>
  <c r="AE321" i="9" s="1"/>
  <c r="X321" i="9"/>
  <c r="Y321" i="9" s="1"/>
  <c r="T321" i="9"/>
  <c r="S321" i="9"/>
  <c r="O321" i="9"/>
  <c r="M321" i="9"/>
  <c r="L321" i="9"/>
  <c r="AK321" i="9" s="1"/>
  <c r="AK320" i="9"/>
  <c r="AJ320" i="9"/>
  <c r="U320" i="9"/>
  <c r="AF320" i="9" s="1"/>
  <c r="T320" i="9"/>
  <c r="P320" i="9"/>
  <c r="O320" i="9"/>
  <c r="L320" i="9"/>
  <c r="K320" i="9"/>
  <c r="AK319" i="9"/>
  <c r="U319" i="9"/>
  <c r="AF319" i="9" s="1"/>
  <c r="P319" i="9"/>
  <c r="L319" i="9"/>
  <c r="AJ319" i="9" s="1"/>
  <c r="K319" i="9"/>
  <c r="L318" i="9"/>
  <c r="AK318" i="9" s="1"/>
  <c r="AJ317" i="9"/>
  <c r="AI317" i="9"/>
  <c r="AC317" i="9"/>
  <c r="AE317" i="9" s="1"/>
  <c r="X317" i="9"/>
  <c r="Y317" i="9" s="1"/>
  <c r="T317" i="9"/>
  <c r="S317" i="9"/>
  <c r="O317" i="9"/>
  <c r="M317" i="9"/>
  <c r="L317" i="9"/>
  <c r="AK317" i="9" s="1"/>
  <c r="AK316" i="9"/>
  <c r="AJ316" i="9"/>
  <c r="U316" i="9"/>
  <c r="AF316" i="9" s="1"/>
  <c r="T316" i="9"/>
  <c r="P316" i="9"/>
  <c r="O316" i="9"/>
  <c r="L316" i="9"/>
  <c r="K316" i="9"/>
  <c r="AK315" i="9"/>
  <c r="U315" i="9"/>
  <c r="AF315" i="9" s="1"/>
  <c r="P315" i="9"/>
  <c r="L315" i="9"/>
  <c r="AJ315" i="9" s="1"/>
  <c r="K315" i="9"/>
  <c r="L314" i="9"/>
  <c r="AK314" i="9" s="1"/>
  <c r="AJ313" i="9"/>
  <c r="AI313" i="9"/>
  <c r="AC313" i="9"/>
  <c r="AE313" i="9" s="1"/>
  <c r="X313" i="9"/>
  <c r="Y313" i="9" s="1"/>
  <c r="T313" i="9"/>
  <c r="S313" i="9"/>
  <c r="O313" i="9"/>
  <c r="M313" i="9"/>
  <c r="L313" i="9"/>
  <c r="AK313" i="9" s="1"/>
  <c r="AK312" i="9"/>
  <c r="AJ312" i="9"/>
  <c r="U312" i="9"/>
  <c r="AF312" i="9" s="1"/>
  <c r="T312" i="9"/>
  <c r="P312" i="9"/>
  <c r="O312" i="9"/>
  <c r="L312" i="9"/>
  <c r="K312" i="9"/>
  <c r="AK311" i="9"/>
  <c r="U311" i="9"/>
  <c r="AF311" i="9" s="1"/>
  <c r="P311" i="9"/>
  <c r="L311" i="9"/>
  <c r="AJ311" i="9" s="1"/>
  <c r="K311" i="9"/>
  <c r="L310" i="9"/>
  <c r="AK310" i="9" s="1"/>
  <c r="AJ309" i="9"/>
  <c r="AI309" i="9"/>
  <c r="AC309" i="9"/>
  <c r="AE309" i="9" s="1"/>
  <c r="X309" i="9"/>
  <c r="Y309" i="9" s="1"/>
  <c r="T309" i="9"/>
  <c r="S309" i="9"/>
  <c r="O309" i="9"/>
  <c r="M309" i="9"/>
  <c r="L309" i="9"/>
  <c r="AK309" i="9" s="1"/>
  <c r="AK308" i="9"/>
  <c r="AJ308" i="9"/>
  <c r="U308" i="9"/>
  <c r="AF308" i="9" s="1"/>
  <c r="T308" i="9"/>
  <c r="P308" i="9"/>
  <c r="O308" i="9"/>
  <c r="L308" i="9"/>
  <c r="K308" i="9"/>
  <c r="AK307" i="9"/>
  <c r="U307" i="9"/>
  <c r="AF307" i="9" s="1"/>
  <c r="P307" i="9"/>
  <c r="L307" i="9"/>
  <c r="AJ307" i="9" s="1"/>
  <c r="K307" i="9"/>
  <c r="L306" i="9"/>
  <c r="AK306" i="9" s="1"/>
  <c r="AJ305" i="9"/>
  <c r="AI305" i="9"/>
  <c r="AC305" i="9"/>
  <c r="AE305" i="9" s="1"/>
  <c r="X305" i="9"/>
  <c r="Y305" i="9" s="1"/>
  <c r="T305" i="9"/>
  <c r="S305" i="9"/>
  <c r="O305" i="9"/>
  <c r="M305" i="9"/>
  <c r="L305" i="9"/>
  <c r="AK305" i="9" s="1"/>
  <c r="AK304" i="9"/>
  <c r="AJ304" i="9"/>
  <c r="U304" i="9"/>
  <c r="AF304" i="9" s="1"/>
  <c r="T304" i="9"/>
  <c r="P304" i="9"/>
  <c r="O304" i="9"/>
  <c r="M304" i="9"/>
  <c r="L304" i="9"/>
  <c r="K304" i="9"/>
  <c r="AK303" i="9"/>
  <c r="U303" i="9"/>
  <c r="AF303" i="9" s="1"/>
  <c r="P303" i="9"/>
  <c r="L303" i="9"/>
  <c r="AJ303" i="9" s="1"/>
  <c r="K303" i="9"/>
  <c r="L302" i="9"/>
  <c r="AK302" i="9" s="1"/>
  <c r="AJ301" i="9"/>
  <c r="AI301" i="9"/>
  <c r="AC301" i="9"/>
  <c r="AE301" i="9" s="1"/>
  <c r="X301" i="9"/>
  <c r="Y301" i="9" s="1"/>
  <c r="T301" i="9"/>
  <c r="S301" i="9"/>
  <c r="O301" i="9"/>
  <c r="M301" i="9"/>
  <c r="L301" i="9"/>
  <c r="AK301" i="9" s="1"/>
  <c r="AK300" i="9"/>
  <c r="AJ300" i="9"/>
  <c r="U300" i="9"/>
  <c r="AF300" i="9" s="1"/>
  <c r="T300" i="9"/>
  <c r="P300" i="9"/>
  <c r="O300" i="9"/>
  <c r="L300" i="9"/>
  <c r="K300" i="9"/>
  <c r="AK299" i="9"/>
  <c r="U299" i="9"/>
  <c r="AF299" i="9" s="1"/>
  <c r="P299" i="9"/>
  <c r="L299" i="9"/>
  <c r="AJ299" i="9" s="1"/>
  <c r="K299" i="9"/>
  <c r="L298" i="9"/>
  <c r="AK298" i="9" s="1"/>
  <c r="AJ297" i="9"/>
  <c r="AI297" i="9"/>
  <c r="AC297" i="9"/>
  <c r="AE297" i="9" s="1"/>
  <c r="X297" i="9"/>
  <c r="Y297" i="9" s="1"/>
  <c r="T297" i="9"/>
  <c r="S297" i="9"/>
  <c r="O297" i="9"/>
  <c r="M297" i="9"/>
  <c r="L297" i="9"/>
  <c r="AK297" i="9" s="1"/>
  <c r="AK296" i="9"/>
  <c r="AJ296" i="9"/>
  <c r="U296" i="9"/>
  <c r="AF296" i="9" s="1"/>
  <c r="T296" i="9"/>
  <c r="P296" i="9"/>
  <c r="O296" i="9"/>
  <c r="L296" i="9"/>
  <c r="K296" i="9"/>
  <c r="AK295" i="9"/>
  <c r="U295" i="9"/>
  <c r="AF295" i="9" s="1"/>
  <c r="P295" i="9"/>
  <c r="L295" i="9"/>
  <c r="AJ295" i="9" s="1"/>
  <c r="K295" i="9"/>
  <c r="L294" i="9"/>
  <c r="AK294" i="9" s="1"/>
  <c r="AJ293" i="9"/>
  <c r="AI293" i="9"/>
  <c r="AC293" i="9"/>
  <c r="AE293" i="9" s="1"/>
  <c r="X293" i="9"/>
  <c r="Y293" i="9" s="1"/>
  <c r="T293" i="9"/>
  <c r="S293" i="9"/>
  <c r="O293" i="9"/>
  <c r="M293" i="9"/>
  <c r="L293" i="9"/>
  <c r="AK293" i="9" s="1"/>
  <c r="AK292" i="9"/>
  <c r="AJ292" i="9"/>
  <c r="U292" i="9"/>
  <c r="AF292" i="9" s="1"/>
  <c r="T292" i="9"/>
  <c r="P292" i="9"/>
  <c r="O292" i="9"/>
  <c r="L292" i="9"/>
  <c r="K292" i="9"/>
  <c r="AK291" i="9"/>
  <c r="U291" i="9"/>
  <c r="AF291" i="9" s="1"/>
  <c r="P291" i="9"/>
  <c r="L291" i="9"/>
  <c r="AJ291" i="9" s="1"/>
  <c r="K291" i="9"/>
  <c r="L290" i="9"/>
  <c r="AK290" i="9" s="1"/>
  <c r="AJ289" i="9"/>
  <c r="AI289" i="9"/>
  <c r="AC289" i="9"/>
  <c r="AE289" i="9" s="1"/>
  <c r="X289" i="9"/>
  <c r="Y289" i="9" s="1"/>
  <c r="T289" i="9"/>
  <c r="S289" i="9"/>
  <c r="O289" i="9"/>
  <c r="M289" i="9"/>
  <c r="L289" i="9"/>
  <c r="AK289" i="9" s="1"/>
  <c r="AK288" i="9"/>
  <c r="AJ288" i="9"/>
  <c r="U288" i="9"/>
  <c r="AF288" i="9" s="1"/>
  <c r="T288" i="9"/>
  <c r="P288" i="9"/>
  <c r="O288" i="9"/>
  <c r="L288" i="9"/>
  <c r="K288" i="9"/>
  <c r="AK287" i="9"/>
  <c r="U287" i="9"/>
  <c r="AF287" i="9" s="1"/>
  <c r="P287" i="9"/>
  <c r="L287" i="9"/>
  <c r="AJ287" i="9" s="1"/>
  <c r="K287" i="9"/>
  <c r="L286" i="9"/>
  <c r="AK286" i="9" s="1"/>
  <c r="AJ285" i="9"/>
  <c r="AI285" i="9"/>
  <c r="AC285" i="9"/>
  <c r="AE285" i="9" s="1"/>
  <c r="X285" i="9"/>
  <c r="Y285" i="9" s="1"/>
  <c r="T285" i="9"/>
  <c r="S285" i="9"/>
  <c r="O285" i="9"/>
  <c r="M285" i="9"/>
  <c r="L285" i="9"/>
  <c r="AK285" i="9" s="1"/>
  <c r="AK284" i="9"/>
  <c r="AJ284" i="9"/>
  <c r="U284" i="9"/>
  <c r="AF284" i="9" s="1"/>
  <c r="T284" i="9"/>
  <c r="P284" i="9"/>
  <c r="O284" i="9"/>
  <c r="L284" i="9"/>
  <c r="K284" i="9"/>
  <c r="AK283" i="9"/>
  <c r="U283" i="9"/>
  <c r="AF283" i="9" s="1"/>
  <c r="P283" i="9"/>
  <c r="L283" i="9"/>
  <c r="AJ283" i="9" s="1"/>
  <c r="K283" i="9"/>
  <c r="L282" i="9"/>
  <c r="AK282" i="9" s="1"/>
  <c r="AJ281" i="9"/>
  <c r="AI281" i="9"/>
  <c r="AC281" i="9"/>
  <c r="AE281" i="9" s="1"/>
  <c r="X281" i="9"/>
  <c r="Y281" i="9" s="1"/>
  <c r="T281" i="9"/>
  <c r="S281" i="9"/>
  <c r="O281" i="9"/>
  <c r="M281" i="9"/>
  <c r="L281" i="9"/>
  <c r="AK281" i="9" s="1"/>
  <c r="AK280" i="9"/>
  <c r="AJ280" i="9"/>
  <c r="U280" i="9"/>
  <c r="AF280" i="9" s="1"/>
  <c r="T280" i="9"/>
  <c r="P280" i="9"/>
  <c r="O280" i="9"/>
  <c r="L280" i="9"/>
  <c r="K280" i="9"/>
  <c r="AK279" i="9"/>
  <c r="U279" i="9"/>
  <c r="AF279" i="9" s="1"/>
  <c r="P279" i="9"/>
  <c r="L279" i="9"/>
  <c r="AJ279" i="9" s="1"/>
  <c r="K279" i="9"/>
  <c r="L278" i="9"/>
  <c r="AK278" i="9" s="1"/>
  <c r="AJ277" i="9"/>
  <c r="AI277" i="9"/>
  <c r="AC277" i="9"/>
  <c r="AE277" i="9" s="1"/>
  <c r="X277" i="9"/>
  <c r="Y277" i="9" s="1"/>
  <c r="T277" i="9"/>
  <c r="S277" i="9"/>
  <c r="O277" i="9"/>
  <c r="M277" i="9"/>
  <c r="L277" i="9"/>
  <c r="AK277" i="9" s="1"/>
  <c r="AK276" i="9"/>
  <c r="AJ276" i="9"/>
  <c r="U276" i="9"/>
  <c r="AF276" i="9" s="1"/>
  <c r="T276" i="9"/>
  <c r="P276" i="9"/>
  <c r="O276" i="9"/>
  <c r="L276" i="9"/>
  <c r="K276" i="9"/>
  <c r="AK275" i="9"/>
  <c r="U275" i="9"/>
  <c r="AF275" i="9" s="1"/>
  <c r="P275" i="9"/>
  <c r="L275" i="9"/>
  <c r="AJ275" i="9" s="1"/>
  <c r="K275" i="9"/>
  <c r="L274" i="9"/>
  <c r="AK274" i="9" s="1"/>
  <c r="AJ273" i="9"/>
  <c r="AI273" i="9"/>
  <c r="AC273" i="9"/>
  <c r="AE273" i="9" s="1"/>
  <c r="X273" i="9"/>
  <c r="Y273" i="9" s="1"/>
  <c r="T273" i="9"/>
  <c r="S273" i="9"/>
  <c r="O273" i="9"/>
  <c r="M273" i="9"/>
  <c r="L273" i="9"/>
  <c r="AK273" i="9" s="1"/>
  <c r="AK272" i="9"/>
  <c r="AJ272" i="9"/>
  <c r="U272" i="9"/>
  <c r="AF272" i="9" s="1"/>
  <c r="T272" i="9"/>
  <c r="P272" i="9"/>
  <c r="O272" i="9"/>
  <c r="L272" i="9"/>
  <c r="K272" i="9"/>
  <c r="AK271" i="9"/>
  <c r="U271" i="9"/>
  <c r="AF271" i="9" s="1"/>
  <c r="P271" i="9"/>
  <c r="L271" i="9"/>
  <c r="AJ271" i="9" s="1"/>
  <c r="K271" i="9"/>
  <c r="L270" i="9"/>
  <c r="AK270" i="9" s="1"/>
  <c r="AJ269" i="9"/>
  <c r="AI269" i="9"/>
  <c r="AC269" i="9"/>
  <c r="AE269" i="9" s="1"/>
  <c r="X269" i="9"/>
  <c r="Y269" i="9" s="1"/>
  <c r="T269" i="9"/>
  <c r="S269" i="9"/>
  <c r="O269" i="9"/>
  <c r="M269" i="9"/>
  <c r="L269" i="9"/>
  <c r="AK269" i="9" s="1"/>
  <c r="AK268" i="9"/>
  <c r="AJ268" i="9"/>
  <c r="U268" i="9"/>
  <c r="AF268" i="9" s="1"/>
  <c r="T268" i="9"/>
  <c r="P268" i="9"/>
  <c r="O268" i="9"/>
  <c r="L268" i="9"/>
  <c r="K268" i="9"/>
  <c r="AK267" i="9"/>
  <c r="U267" i="9"/>
  <c r="AF267" i="9" s="1"/>
  <c r="P267" i="9"/>
  <c r="L267" i="9"/>
  <c r="AJ267" i="9" s="1"/>
  <c r="K267" i="9"/>
  <c r="L266" i="9"/>
  <c r="AK266" i="9" s="1"/>
  <c r="AJ265" i="9"/>
  <c r="AI265" i="9"/>
  <c r="AC265" i="9"/>
  <c r="AE265" i="9" s="1"/>
  <c r="X265" i="9"/>
  <c r="Y265" i="9" s="1"/>
  <c r="T265" i="9"/>
  <c r="S265" i="9"/>
  <c r="O265" i="9"/>
  <c r="M265" i="9"/>
  <c r="L265" i="9"/>
  <c r="AK265" i="9" s="1"/>
  <c r="AK264" i="9"/>
  <c r="AJ264" i="9"/>
  <c r="U264" i="9"/>
  <c r="AF264" i="9" s="1"/>
  <c r="T264" i="9"/>
  <c r="P264" i="9"/>
  <c r="O264" i="9"/>
  <c r="L264" i="9"/>
  <c r="K264" i="9"/>
  <c r="AK263" i="9"/>
  <c r="U263" i="9"/>
  <c r="AF263" i="9" s="1"/>
  <c r="P263" i="9"/>
  <c r="L263" i="9"/>
  <c r="AJ263" i="9" s="1"/>
  <c r="K263" i="9"/>
  <c r="L262" i="9"/>
  <c r="AK262" i="9" s="1"/>
  <c r="AJ261" i="9"/>
  <c r="AI261" i="9"/>
  <c r="AC261" i="9"/>
  <c r="AE261" i="9" s="1"/>
  <c r="X261" i="9"/>
  <c r="Y261" i="9" s="1"/>
  <c r="T261" i="9"/>
  <c r="S261" i="9"/>
  <c r="O261" i="9"/>
  <c r="M261" i="9"/>
  <c r="L261" i="9"/>
  <c r="AK261" i="9" s="1"/>
  <c r="AK260" i="9"/>
  <c r="AJ260" i="9"/>
  <c r="U260" i="9"/>
  <c r="AF260" i="9" s="1"/>
  <c r="T260" i="9"/>
  <c r="P260" i="9"/>
  <c r="O260" i="9"/>
  <c r="L260" i="9"/>
  <c r="K260" i="9"/>
  <c r="AK259" i="9"/>
  <c r="U259" i="9"/>
  <c r="AF259" i="9" s="1"/>
  <c r="P259" i="9"/>
  <c r="L259" i="9"/>
  <c r="AJ259" i="9" s="1"/>
  <c r="K259" i="9"/>
  <c r="L258" i="9"/>
  <c r="AK258" i="9" s="1"/>
  <c r="AJ257" i="9"/>
  <c r="AI257" i="9"/>
  <c r="AC257" i="9"/>
  <c r="AE257" i="9" s="1"/>
  <c r="X257" i="9"/>
  <c r="Y257" i="9" s="1"/>
  <c r="T257" i="9"/>
  <c r="S257" i="9"/>
  <c r="O257" i="9"/>
  <c r="M257" i="9"/>
  <c r="L257" i="9"/>
  <c r="AK257" i="9" s="1"/>
  <c r="AK256" i="9"/>
  <c r="AJ256" i="9"/>
  <c r="U256" i="9"/>
  <c r="AF256" i="9" s="1"/>
  <c r="T256" i="9"/>
  <c r="P256" i="9"/>
  <c r="O256" i="9"/>
  <c r="L256" i="9"/>
  <c r="K256" i="9"/>
  <c r="AK255" i="9"/>
  <c r="U255" i="9"/>
  <c r="AF255" i="9" s="1"/>
  <c r="P255" i="9"/>
  <c r="L255" i="9"/>
  <c r="AJ255" i="9" s="1"/>
  <c r="K255" i="9"/>
  <c r="L254" i="9"/>
  <c r="AK254" i="9" s="1"/>
  <c r="AJ253" i="9"/>
  <c r="AI253" i="9"/>
  <c r="AC253" i="9"/>
  <c r="AE253" i="9" s="1"/>
  <c r="X253" i="9"/>
  <c r="Y253" i="9" s="1"/>
  <c r="T253" i="9"/>
  <c r="S253" i="9"/>
  <c r="O253" i="9"/>
  <c r="M253" i="9"/>
  <c r="L253" i="9"/>
  <c r="AK253" i="9" s="1"/>
  <c r="AK252" i="9"/>
  <c r="AJ252" i="9"/>
  <c r="U252" i="9"/>
  <c r="AF252" i="9" s="1"/>
  <c r="T252" i="9"/>
  <c r="P252" i="9"/>
  <c r="O252" i="9"/>
  <c r="L252" i="9"/>
  <c r="K252" i="9"/>
  <c r="AK251" i="9"/>
  <c r="U251" i="9"/>
  <c r="AF251" i="9" s="1"/>
  <c r="P251" i="9"/>
  <c r="L251" i="9"/>
  <c r="AJ251" i="9" s="1"/>
  <c r="K251" i="9"/>
  <c r="L250" i="9"/>
  <c r="AK250" i="9" s="1"/>
  <c r="AJ249" i="9"/>
  <c r="AI249" i="9"/>
  <c r="AC249" i="9"/>
  <c r="AE249" i="9" s="1"/>
  <c r="X249" i="9"/>
  <c r="Y249" i="9" s="1"/>
  <c r="T249" i="9"/>
  <c r="S249" i="9"/>
  <c r="O249" i="9"/>
  <c r="M249" i="9"/>
  <c r="L249" i="9"/>
  <c r="AK249" i="9" s="1"/>
  <c r="AK248" i="9"/>
  <c r="AJ248" i="9"/>
  <c r="U248" i="9"/>
  <c r="AF248" i="9" s="1"/>
  <c r="T248" i="9"/>
  <c r="P248" i="9"/>
  <c r="O248" i="9"/>
  <c r="L248" i="9"/>
  <c r="K248" i="9"/>
  <c r="AK247" i="9"/>
  <c r="U247" i="9"/>
  <c r="AF247" i="9" s="1"/>
  <c r="P247" i="9"/>
  <c r="L247" i="9"/>
  <c r="AJ247" i="9" s="1"/>
  <c r="K247" i="9"/>
  <c r="L246" i="9"/>
  <c r="AK246" i="9" s="1"/>
  <c r="AJ245" i="9"/>
  <c r="AI245" i="9"/>
  <c r="AC245" i="9"/>
  <c r="AE245" i="9" s="1"/>
  <c r="X245" i="9"/>
  <c r="Y245" i="9" s="1"/>
  <c r="T245" i="9"/>
  <c r="S245" i="9"/>
  <c r="O245" i="9"/>
  <c r="M245" i="9"/>
  <c r="L245" i="9"/>
  <c r="AK245" i="9" s="1"/>
  <c r="AK244" i="9"/>
  <c r="AJ244" i="9"/>
  <c r="U244" i="9"/>
  <c r="AF244" i="9" s="1"/>
  <c r="T244" i="9"/>
  <c r="P244" i="9"/>
  <c r="O244" i="9"/>
  <c r="L244" i="9"/>
  <c r="K244" i="9"/>
  <c r="AK243" i="9"/>
  <c r="U243" i="9"/>
  <c r="AF243" i="9" s="1"/>
  <c r="P243" i="9"/>
  <c r="L243" i="9"/>
  <c r="AJ243" i="9" s="1"/>
  <c r="K243" i="9"/>
  <c r="L242" i="9"/>
  <c r="AK242" i="9" s="1"/>
  <c r="AJ241" i="9"/>
  <c r="AI241" i="9"/>
  <c r="AC241" i="9"/>
  <c r="AE241" i="9" s="1"/>
  <c r="X241" i="9"/>
  <c r="Y241" i="9" s="1"/>
  <c r="T241" i="9"/>
  <c r="S241" i="9"/>
  <c r="O241" i="9"/>
  <c r="M241" i="9"/>
  <c r="L241" i="9"/>
  <c r="AK241" i="9" s="1"/>
  <c r="AK240" i="9"/>
  <c r="AJ240" i="9"/>
  <c r="U240" i="9"/>
  <c r="AF240" i="9" s="1"/>
  <c r="T240" i="9"/>
  <c r="P240" i="9"/>
  <c r="O240" i="9"/>
  <c r="L240" i="9"/>
  <c r="K240" i="9"/>
  <c r="AK239" i="9"/>
  <c r="U239" i="9"/>
  <c r="AF239" i="9" s="1"/>
  <c r="P239" i="9"/>
  <c r="L239" i="9"/>
  <c r="AJ239" i="9" s="1"/>
  <c r="K239" i="9"/>
  <c r="L238" i="9"/>
  <c r="AK238" i="9" s="1"/>
  <c r="AJ237" i="9"/>
  <c r="AI237" i="9"/>
  <c r="AC237" i="9"/>
  <c r="AE237" i="9" s="1"/>
  <c r="X237" i="9"/>
  <c r="Y237" i="9" s="1"/>
  <c r="T237" i="9"/>
  <c r="S237" i="9"/>
  <c r="O237" i="9"/>
  <c r="M237" i="9"/>
  <c r="L237" i="9"/>
  <c r="AK237" i="9" s="1"/>
  <c r="AK236" i="9"/>
  <c r="AJ236" i="9"/>
  <c r="U236" i="9"/>
  <c r="AF236" i="9" s="1"/>
  <c r="T236" i="9"/>
  <c r="P236" i="9"/>
  <c r="O236" i="9"/>
  <c r="L236" i="9"/>
  <c r="K236" i="9"/>
  <c r="AK235" i="9"/>
  <c r="U235" i="9"/>
  <c r="AF235" i="9" s="1"/>
  <c r="P235" i="9"/>
  <c r="L235" i="9"/>
  <c r="AJ235" i="9" s="1"/>
  <c r="K235" i="9"/>
  <c r="L234" i="9"/>
  <c r="AK234" i="9" s="1"/>
  <c r="AJ233" i="9"/>
  <c r="AI233" i="9"/>
  <c r="AC233" i="9"/>
  <c r="AE233" i="9" s="1"/>
  <c r="X233" i="9"/>
  <c r="Y233" i="9" s="1"/>
  <c r="T233" i="9"/>
  <c r="S233" i="9"/>
  <c r="O233" i="9"/>
  <c r="M233" i="9"/>
  <c r="L233" i="9"/>
  <c r="AK233" i="9" s="1"/>
  <c r="AK232" i="9"/>
  <c r="AJ232" i="9"/>
  <c r="U232" i="9"/>
  <c r="AF232" i="9" s="1"/>
  <c r="T232" i="9"/>
  <c r="P232" i="9"/>
  <c r="O232" i="9"/>
  <c r="L232" i="9"/>
  <c r="K232" i="9"/>
  <c r="AK231" i="9"/>
  <c r="U231" i="9"/>
  <c r="AF231" i="9" s="1"/>
  <c r="P231" i="9"/>
  <c r="L231" i="9"/>
  <c r="AJ231" i="9" s="1"/>
  <c r="K231" i="9"/>
  <c r="L230" i="9"/>
  <c r="AK230" i="9" s="1"/>
  <c r="AJ229" i="9"/>
  <c r="AI229" i="9"/>
  <c r="AC229" i="9"/>
  <c r="AE229" i="9" s="1"/>
  <c r="X229" i="9"/>
  <c r="Y229" i="9" s="1"/>
  <c r="T229" i="9"/>
  <c r="S229" i="9"/>
  <c r="O229" i="9"/>
  <c r="M229" i="9"/>
  <c r="L229" i="9"/>
  <c r="AK229" i="9" s="1"/>
  <c r="AK228" i="9"/>
  <c r="AJ228" i="9"/>
  <c r="U228" i="9"/>
  <c r="AF228" i="9" s="1"/>
  <c r="T228" i="9"/>
  <c r="P228" i="9"/>
  <c r="O228" i="9"/>
  <c r="L228" i="9"/>
  <c r="K228" i="9"/>
  <c r="AK227" i="9"/>
  <c r="U227" i="9"/>
  <c r="AF227" i="9" s="1"/>
  <c r="P227" i="9"/>
  <c r="L227" i="9"/>
  <c r="AJ227" i="9" s="1"/>
  <c r="K227" i="9"/>
  <c r="L226" i="9"/>
  <c r="AK226" i="9" s="1"/>
  <c r="AJ225" i="9"/>
  <c r="AI225" i="9"/>
  <c r="AC225" i="9"/>
  <c r="AE225" i="9" s="1"/>
  <c r="X225" i="9"/>
  <c r="Y225" i="9" s="1"/>
  <c r="T225" i="9"/>
  <c r="S225" i="9"/>
  <c r="O225" i="9"/>
  <c r="M225" i="9"/>
  <c r="L225" i="9"/>
  <c r="AK225" i="9" s="1"/>
  <c r="AK224" i="9"/>
  <c r="AJ224" i="9"/>
  <c r="U224" i="9"/>
  <c r="AF224" i="9" s="1"/>
  <c r="T224" i="9"/>
  <c r="P224" i="9"/>
  <c r="O224" i="9"/>
  <c r="L224" i="9"/>
  <c r="K224" i="9"/>
  <c r="AK223" i="9"/>
  <c r="AF223" i="9"/>
  <c r="U223" i="9"/>
  <c r="P223" i="9"/>
  <c r="L223" i="9"/>
  <c r="AJ223" i="9" s="1"/>
  <c r="K223" i="9"/>
  <c r="W222" i="9"/>
  <c r="AD222" i="9" s="1"/>
  <c r="L222" i="9"/>
  <c r="AJ221" i="9"/>
  <c r="AI221" i="9"/>
  <c r="AC221" i="9"/>
  <c r="AE221" i="9" s="1"/>
  <c r="X221" i="9"/>
  <c r="Y221" i="9" s="1"/>
  <c r="T221" i="9"/>
  <c r="S221" i="9"/>
  <c r="O221" i="9"/>
  <c r="M221" i="9"/>
  <c r="L221" i="9"/>
  <c r="AK221" i="9" s="1"/>
  <c r="AK220" i="9"/>
  <c r="AJ220" i="9"/>
  <c r="U220" i="9"/>
  <c r="AF220" i="9" s="1"/>
  <c r="T220" i="9"/>
  <c r="P220" i="9"/>
  <c r="O220" i="9"/>
  <c r="L220" i="9"/>
  <c r="K220" i="9"/>
  <c r="AK219" i="9"/>
  <c r="AF219" i="9"/>
  <c r="U219" i="9"/>
  <c r="P219" i="9"/>
  <c r="L219" i="9"/>
  <c r="AJ219" i="9" s="1"/>
  <c r="K219" i="9"/>
  <c r="W218" i="9"/>
  <c r="AD218" i="9" s="1"/>
  <c r="Q218" i="9"/>
  <c r="L218" i="9"/>
  <c r="AJ217" i="9"/>
  <c r="AI217" i="9"/>
  <c r="AC217" i="9"/>
  <c r="AE217" i="9" s="1"/>
  <c r="X217" i="9"/>
  <c r="Y217" i="9" s="1"/>
  <c r="T217" i="9"/>
  <c r="S217" i="9"/>
  <c r="O217" i="9"/>
  <c r="M217" i="9"/>
  <c r="L217" i="9"/>
  <c r="AK217" i="9" s="1"/>
  <c r="AK216" i="9"/>
  <c r="AJ216" i="9"/>
  <c r="U216" i="9"/>
  <c r="AF216" i="9" s="1"/>
  <c r="T216" i="9"/>
  <c r="P216" i="9"/>
  <c r="O216" i="9"/>
  <c r="L216" i="9"/>
  <c r="K216" i="9"/>
  <c r="AK215" i="9"/>
  <c r="U215" i="9"/>
  <c r="AF215" i="9" s="1"/>
  <c r="P215" i="9"/>
  <c r="L215" i="9"/>
  <c r="AJ215" i="9" s="1"/>
  <c r="K215" i="9"/>
  <c r="Q214" i="9"/>
  <c r="L214" i="9"/>
  <c r="AJ213" i="9"/>
  <c r="AI213" i="9"/>
  <c r="AC213" i="9"/>
  <c r="AE213" i="9" s="1"/>
  <c r="X213" i="9"/>
  <c r="Y213" i="9" s="1"/>
  <c r="T213" i="9"/>
  <c r="S213" i="9"/>
  <c r="O213" i="9"/>
  <c r="M213" i="9"/>
  <c r="L213" i="9"/>
  <c r="AK213" i="9" s="1"/>
  <c r="AK212" i="9"/>
  <c r="AJ212" i="9"/>
  <c r="U212" i="9"/>
  <c r="AF212" i="9" s="1"/>
  <c r="T212" i="9"/>
  <c r="P212" i="9"/>
  <c r="O212" i="9"/>
  <c r="L212" i="9"/>
  <c r="K212" i="9"/>
  <c r="AK211" i="9"/>
  <c r="U211" i="9"/>
  <c r="AF211" i="9" s="1"/>
  <c r="P211" i="9"/>
  <c r="L211" i="9"/>
  <c r="AJ211" i="9" s="1"/>
  <c r="K211" i="9"/>
  <c r="L210" i="9"/>
  <c r="AJ209" i="9"/>
  <c r="AI209" i="9"/>
  <c r="AC209" i="9"/>
  <c r="AE209" i="9" s="1"/>
  <c r="X209" i="9"/>
  <c r="Y209" i="9" s="1"/>
  <c r="T209" i="9"/>
  <c r="S209" i="9"/>
  <c r="O209" i="9"/>
  <c r="M209" i="9"/>
  <c r="L209" i="9"/>
  <c r="AK209" i="9" s="1"/>
  <c r="AK208" i="9"/>
  <c r="AJ208" i="9"/>
  <c r="U208" i="9"/>
  <c r="AF208" i="9" s="1"/>
  <c r="T208" i="9"/>
  <c r="P208" i="9"/>
  <c r="O208" i="9"/>
  <c r="L208" i="9"/>
  <c r="K208" i="9"/>
  <c r="AK207" i="9"/>
  <c r="AF207" i="9"/>
  <c r="U207" i="9"/>
  <c r="P207" i="9"/>
  <c r="L207" i="9"/>
  <c r="AJ207" i="9" s="1"/>
  <c r="K207" i="9"/>
  <c r="W206" i="9"/>
  <c r="AD206" i="9" s="1"/>
  <c r="L206" i="9"/>
  <c r="AJ205" i="9"/>
  <c r="AI205" i="9"/>
  <c r="AC205" i="9"/>
  <c r="AE205" i="9" s="1"/>
  <c r="X205" i="9"/>
  <c r="Y205" i="9" s="1"/>
  <c r="T205" i="9"/>
  <c r="S205" i="9"/>
  <c r="O205" i="9"/>
  <c r="M205" i="9"/>
  <c r="L205" i="9"/>
  <c r="AK205" i="9" s="1"/>
  <c r="AK204" i="9"/>
  <c r="AJ204" i="9"/>
  <c r="U204" i="9"/>
  <c r="AF204" i="9" s="1"/>
  <c r="T204" i="9"/>
  <c r="P204" i="9"/>
  <c r="O204" i="9"/>
  <c r="L204" i="9"/>
  <c r="K204" i="9"/>
  <c r="AK203" i="9"/>
  <c r="AF203" i="9"/>
  <c r="U203" i="9"/>
  <c r="P203" i="9"/>
  <c r="L203" i="9"/>
  <c r="AJ203" i="9" s="1"/>
  <c r="K203" i="9"/>
  <c r="W202" i="9"/>
  <c r="AD202" i="9" s="1"/>
  <c r="Q202" i="9"/>
  <c r="L202" i="9"/>
  <c r="AJ201" i="9"/>
  <c r="AI201" i="9"/>
  <c r="AC201" i="9"/>
  <c r="AE201" i="9" s="1"/>
  <c r="X201" i="9"/>
  <c r="Y201" i="9" s="1"/>
  <c r="T201" i="9"/>
  <c r="S201" i="9"/>
  <c r="O201" i="9"/>
  <c r="M201" i="9"/>
  <c r="L201" i="9"/>
  <c r="AK201" i="9" s="1"/>
  <c r="AK200" i="9"/>
  <c r="AJ200" i="9"/>
  <c r="U200" i="9"/>
  <c r="AF200" i="9" s="1"/>
  <c r="T200" i="9"/>
  <c r="P200" i="9"/>
  <c r="O200" i="9"/>
  <c r="L200" i="9"/>
  <c r="K200" i="9"/>
  <c r="AK199" i="9"/>
  <c r="U199" i="9"/>
  <c r="AF199" i="9" s="1"/>
  <c r="P199" i="9"/>
  <c r="L199" i="9"/>
  <c r="AJ199" i="9" s="1"/>
  <c r="K199" i="9"/>
  <c r="Q198" i="9"/>
  <c r="L198" i="9"/>
  <c r="AJ197" i="9"/>
  <c r="AI197" i="9"/>
  <c r="AC197" i="9"/>
  <c r="AE197" i="9" s="1"/>
  <c r="X197" i="9"/>
  <c r="Y197" i="9" s="1"/>
  <c r="T197" i="9"/>
  <c r="S197" i="9"/>
  <c r="O197" i="9"/>
  <c r="M197" i="9"/>
  <c r="L197" i="9"/>
  <c r="AK197" i="9" s="1"/>
  <c r="AK196" i="9"/>
  <c r="AJ196" i="9"/>
  <c r="U196" i="9"/>
  <c r="AF196" i="9" s="1"/>
  <c r="T196" i="9"/>
  <c r="P196" i="9"/>
  <c r="O196" i="9"/>
  <c r="L196" i="9"/>
  <c r="K196" i="9"/>
  <c r="AK195" i="9"/>
  <c r="U195" i="9"/>
  <c r="AF195" i="9" s="1"/>
  <c r="P195" i="9"/>
  <c r="L195" i="9"/>
  <c r="AJ195" i="9" s="1"/>
  <c r="K195" i="9"/>
  <c r="L194" i="9"/>
  <c r="AJ193" i="9"/>
  <c r="AI193" i="9"/>
  <c r="AC193" i="9"/>
  <c r="AE193" i="9" s="1"/>
  <c r="X193" i="9"/>
  <c r="Y193" i="9" s="1"/>
  <c r="T193" i="9"/>
  <c r="S193" i="9"/>
  <c r="O193" i="9"/>
  <c r="M193" i="9"/>
  <c r="L193" i="9"/>
  <c r="AK193" i="9" s="1"/>
  <c r="AK192" i="9"/>
  <c r="AJ192" i="9"/>
  <c r="U192" i="9"/>
  <c r="AF192" i="9" s="1"/>
  <c r="T192" i="9"/>
  <c r="P192" i="9"/>
  <c r="O192" i="9"/>
  <c r="L192" i="9"/>
  <c r="K192" i="9"/>
  <c r="AK191" i="9"/>
  <c r="AF191" i="9"/>
  <c r="U191" i="9"/>
  <c r="P191" i="9"/>
  <c r="L191" i="9"/>
  <c r="AJ191" i="9" s="1"/>
  <c r="K191" i="9"/>
  <c r="W190" i="9"/>
  <c r="AD190" i="9" s="1"/>
  <c r="L190" i="9"/>
  <c r="AJ189" i="9"/>
  <c r="AI189" i="9"/>
  <c r="AC189" i="9"/>
  <c r="AE189" i="9" s="1"/>
  <c r="X189" i="9"/>
  <c r="Y189" i="9" s="1"/>
  <c r="T189" i="9"/>
  <c r="S189" i="9"/>
  <c r="O189" i="9"/>
  <c r="M189" i="9"/>
  <c r="L189" i="9"/>
  <c r="AK189" i="9" s="1"/>
  <c r="AK188" i="9"/>
  <c r="AJ188" i="9"/>
  <c r="U188" i="9"/>
  <c r="AF188" i="9" s="1"/>
  <c r="T188" i="9"/>
  <c r="P188" i="9"/>
  <c r="O188" i="9"/>
  <c r="L188" i="9"/>
  <c r="K188" i="9"/>
  <c r="AK187" i="9"/>
  <c r="AF187" i="9"/>
  <c r="U187" i="9"/>
  <c r="P187" i="9"/>
  <c r="L187" i="9"/>
  <c r="AJ187" i="9" s="1"/>
  <c r="K187" i="9"/>
  <c r="W186" i="9"/>
  <c r="AD186" i="9" s="1"/>
  <c r="Q186" i="9"/>
  <c r="L186" i="9"/>
  <c r="AJ185" i="9"/>
  <c r="AI185" i="9"/>
  <c r="AC185" i="9"/>
  <c r="AE185" i="9" s="1"/>
  <c r="X185" i="9"/>
  <c r="Y185" i="9" s="1"/>
  <c r="T185" i="9"/>
  <c r="S185" i="9"/>
  <c r="O185" i="9"/>
  <c r="M185" i="9"/>
  <c r="L185" i="9"/>
  <c r="AK185" i="9" s="1"/>
  <c r="AK184" i="9"/>
  <c r="AJ184" i="9"/>
  <c r="U184" i="9"/>
  <c r="AF184" i="9" s="1"/>
  <c r="T184" i="9"/>
  <c r="P184" i="9"/>
  <c r="O184" i="9"/>
  <c r="L184" i="9"/>
  <c r="K184" i="9"/>
  <c r="U183" i="9"/>
  <c r="AF183" i="9" s="1"/>
  <c r="Q183" i="9"/>
  <c r="L183" i="9"/>
  <c r="K183" i="9"/>
  <c r="AI182" i="9"/>
  <c r="X182" i="9"/>
  <c r="Q182" i="9"/>
  <c r="M182" i="9"/>
  <c r="L182" i="9"/>
  <c r="AC182" i="9" s="1"/>
  <c r="AE182" i="9" s="1"/>
  <c r="AJ181" i="9"/>
  <c r="AI181" i="9"/>
  <c r="AE181" i="9"/>
  <c r="AC181" i="9"/>
  <c r="X181" i="9"/>
  <c r="Y181" i="9" s="1"/>
  <c r="T181" i="9"/>
  <c r="S181" i="9"/>
  <c r="O181" i="9"/>
  <c r="M181" i="9"/>
  <c r="L181" i="9"/>
  <c r="AK181" i="9" s="1"/>
  <c r="AK180" i="9"/>
  <c r="AJ180" i="9"/>
  <c r="U180" i="9"/>
  <c r="AF180" i="9" s="1"/>
  <c r="T180" i="9"/>
  <c r="P180" i="9"/>
  <c r="O180" i="9"/>
  <c r="L180" i="9"/>
  <c r="K180" i="9"/>
  <c r="U179" i="9"/>
  <c r="AF179" i="9" s="1"/>
  <c r="Q179" i="9"/>
  <c r="L179" i="9"/>
  <c r="K179" i="9"/>
  <c r="AI178" i="9"/>
  <c r="X178" i="9"/>
  <c r="Q178" i="9"/>
  <c r="M178" i="9"/>
  <c r="L178" i="9"/>
  <c r="AC178" i="9" s="1"/>
  <c r="AE178" i="9" s="1"/>
  <c r="AJ177" i="9"/>
  <c r="AI177" i="9"/>
  <c r="AE177" i="9"/>
  <c r="AC177" i="9"/>
  <c r="X177" i="9"/>
  <c r="Y177" i="9" s="1"/>
  <c r="T177" i="9"/>
  <c r="S177" i="9"/>
  <c r="O177" i="9"/>
  <c r="M177" i="9"/>
  <c r="L177" i="9"/>
  <c r="AK177" i="9" s="1"/>
  <c r="AK176" i="9"/>
  <c r="AJ176" i="9"/>
  <c r="U176" i="9"/>
  <c r="AF176" i="9" s="1"/>
  <c r="T176" i="9"/>
  <c r="P176" i="9"/>
  <c r="O176" i="9"/>
  <c r="L176" i="9"/>
  <c r="K176" i="9"/>
  <c r="U175" i="9"/>
  <c r="AF175" i="9" s="1"/>
  <c r="Q175" i="9"/>
  <c r="L175" i="9"/>
  <c r="K175" i="9"/>
  <c r="AI174" i="9"/>
  <c r="X174" i="9"/>
  <c r="Q174" i="9"/>
  <c r="M174" i="9"/>
  <c r="L174" i="9"/>
  <c r="AC174" i="9" s="1"/>
  <c r="AE174" i="9" s="1"/>
  <c r="AJ173" i="9"/>
  <c r="AI173" i="9"/>
  <c r="AE173" i="9"/>
  <c r="AC173" i="9"/>
  <c r="X173" i="9"/>
  <c r="Y173" i="9" s="1"/>
  <c r="T173" i="9"/>
  <c r="S173" i="9"/>
  <c r="O173" i="9"/>
  <c r="M173" i="9"/>
  <c r="L173" i="9"/>
  <c r="AK173" i="9" s="1"/>
  <c r="AK172" i="9"/>
  <c r="AJ172" i="9"/>
  <c r="U172" i="9"/>
  <c r="AF172" i="9" s="1"/>
  <c r="T172" i="9"/>
  <c r="P172" i="9"/>
  <c r="O172" i="9"/>
  <c r="L172" i="9"/>
  <c r="K172" i="9"/>
  <c r="U171" i="9"/>
  <c r="AF171" i="9" s="1"/>
  <c r="Q171" i="9"/>
  <c r="L171" i="9"/>
  <c r="K171" i="9"/>
  <c r="AI170" i="9"/>
  <c r="X170" i="9"/>
  <c r="Q170" i="9"/>
  <c r="M170" i="9"/>
  <c r="L170" i="9"/>
  <c r="AC170" i="9" s="1"/>
  <c r="AE170" i="9" s="1"/>
  <c r="AJ169" i="9"/>
  <c r="AI169" i="9"/>
  <c r="AE169" i="9"/>
  <c r="AC169" i="9"/>
  <c r="X169" i="9"/>
  <c r="Y169" i="9" s="1"/>
  <c r="T169" i="9"/>
  <c r="S169" i="9"/>
  <c r="O169" i="9"/>
  <c r="M169" i="9"/>
  <c r="L169" i="9"/>
  <c r="AK169" i="9" s="1"/>
  <c r="AK168" i="9"/>
  <c r="AJ168" i="9"/>
  <c r="U168" i="9"/>
  <c r="AF168" i="9" s="1"/>
  <c r="T168" i="9"/>
  <c r="P168" i="9"/>
  <c r="O168" i="9"/>
  <c r="L168" i="9"/>
  <c r="K168" i="9"/>
  <c r="U167" i="9"/>
  <c r="AF167" i="9" s="1"/>
  <c r="Q167" i="9"/>
  <c r="L167" i="9"/>
  <c r="K167" i="9"/>
  <c r="AI166" i="9"/>
  <c r="X166" i="9"/>
  <c r="Q166" i="9"/>
  <c r="M166" i="9"/>
  <c r="L166" i="9"/>
  <c r="AC166" i="9" s="1"/>
  <c r="AE166" i="9" s="1"/>
  <c r="AJ165" i="9"/>
  <c r="AI165" i="9"/>
  <c r="AE165" i="9"/>
  <c r="AC165" i="9"/>
  <c r="X165" i="9"/>
  <c r="Y165" i="9" s="1"/>
  <c r="T165" i="9"/>
  <c r="S165" i="9"/>
  <c r="O165" i="9"/>
  <c r="M165" i="9"/>
  <c r="L165" i="9"/>
  <c r="AK165" i="9" s="1"/>
  <c r="AK164" i="9"/>
  <c r="AJ164" i="9"/>
  <c r="U164" i="9"/>
  <c r="AF164" i="9" s="1"/>
  <c r="T164" i="9"/>
  <c r="P164" i="9"/>
  <c r="O164" i="9"/>
  <c r="L164" i="9"/>
  <c r="K164" i="9"/>
  <c r="U163" i="9"/>
  <c r="AF163" i="9" s="1"/>
  <c r="Q163" i="9"/>
  <c r="L163" i="9"/>
  <c r="K163" i="9"/>
  <c r="AI162" i="9"/>
  <c r="X162" i="9"/>
  <c r="Q162" i="9"/>
  <c r="M162" i="9"/>
  <c r="L162" i="9"/>
  <c r="AC162" i="9" s="1"/>
  <c r="AE162" i="9" s="1"/>
  <c r="AJ161" i="9"/>
  <c r="AI161" i="9"/>
  <c r="AE161" i="9"/>
  <c r="AC161" i="9"/>
  <c r="X161" i="9"/>
  <c r="Y161" i="9" s="1"/>
  <c r="T161" i="9"/>
  <c r="S161" i="9"/>
  <c r="O161" i="9"/>
  <c r="M161" i="9"/>
  <c r="L161" i="9"/>
  <c r="AK161" i="9" s="1"/>
  <c r="AK160" i="9"/>
  <c r="AJ160" i="9"/>
  <c r="U160" i="9"/>
  <c r="AF160" i="9" s="1"/>
  <c r="T160" i="9"/>
  <c r="P160" i="9"/>
  <c r="O160" i="9"/>
  <c r="L160" i="9"/>
  <c r="K160" i="9"/>
  <c r="U159" i="9"/>
  <c r="AF159" i="9" s="1"/>
  <c r="Q159" i="9"/>
  <c r="L159" i="9"/>
  <c r="K159" i="9"/>
  <c r="AI158" i="9"/>
  <c r="X158" i="9"/>
  <c r="Q158" i="9"/>
  <c r="M158" i="9"/>
  <c r="L158" i="9"/>
  <c r="AC158" i="9" s="1"/>
  <c r="AE158" i="9" s="1"/>
  <c r="AJ157" i="9"/>
  <c r="AI157" i="9"/>
  <c r="AE157" i="9"/>
  <c r="AC157" i="9"/>
  <c r="X157" i="9"/>
  <c r="Y157" i="9" s="1"/>
  <c r="T157" i="9"/>
  <c r="S157" i="9"/>
  <c r="O157" i="9"/>
  <c r="M157" i="9"/>
  <c r="L157" i="9"/>
  <c r="AK157" i="9" s="1"/>
  <c r="AK156" i="9"/>
  <c r="AJ156" i="9"/>
  <c r="U156" i="9"/>
  <c r="AF156" i="9" s="1"/>
  <c r="T156" i="9"/>
  <c r="P156" i="9"/>
  <c r="O156" i="9"/>
  <c r="L156" i="9"/>
  <c r="K156" i="9"/>
  <c r="U155" i="9"/>
  <c r="AF155" i="9" s="1"/>
  <c r="Q155" i="9"/>
  <c r="L155" i="9"/>
  <c r="K155" i="9"/>
  <c r="AI154" i="9"/>
  <c r="X154" i="9"/>
  <c r="Q154" i="9"/>
  <c r="M154" i="9"/>
  <c r="L154" i="9"/>
  <c r="AC154" i="9" s="1"/>
  <c r="AE154" i="9" s="1"/>
  <c r="AJ153" i="9"/>
  <c r="AI153" i="9"/>
  <c r="AE153" i="9"/>
  <c r="AC153" i="9"/>
  <c r="X153" i="9"/>
  <c r="Y153" i="9" s="1"/>
  <c r="T153" i="9"/>
  <c r="S153" i="9"/>
  <c r="O153" i="9"/>
  <c r="M153" i="9"/>
  <c r="L153" i="9"/>
  <c r="AK153" i="9" s="1"/>
  <c r="AK152" i="9"/>
  <c r="AJ152" i="9"/>
  <c r="U152" i="9"/>
  <c r="AF152" i="9" s="1"/>
  <c r="T152" i="9"/>
  <c r="P152" i="9"/>
  <c r="O152" i="9"/>
  <c r="L152" i="9"/>
  <c r="K152" i="9"/>
  <c r="U151" i="9"/>
  <c r="AF151" i="9" s="1"/>
  <c r="Q151" i="9"/>
  <c r="L151" i="9"/>
  <c r="K151" i="9"/>
  <c r="AI150" i="9"/>
  <c r="X150" i="9"/>
  <c r="Q150" i="9"/>
  <c r="M150" i="9"/>
  <c r="L150" i="9"/>
  <c r="AC150" i="9" s="1"/>
  <c r="AE150" i="9" s="1"/>
  <c r="AJ149" i="9"/>
  <c r="AI149" i="9"/>
  <c r="AE149" i="9"/>
  <c r="AC149" i="9"/>
  <c r="X149" i="9"/>
  <c r="Y149" i="9" s="1"/>
  <c r="T149" i="9"/>
  <c r="S149" i="9"/>
  <c r="O149" i="9"/>
  <c r="M149" i="9"/>
  <c r="L149" i="9"/>
  <c r="AK149" i="9" s="1"/>
  <c r="AK148" i="9"/>
  <c r="AJ148" i="9"/>
  <c r="U148" i="9"/>
  <c r="AF148" i="9" s="1"/>
  <c r="T148" i="9"/>
  <c r="P148" i="9"/>
  <c r="O148" i="9"/>
  <c r="L148" i="9"/>
  <c r="K148" i="9"/>
  <c r="U147" i="9"/>
  <c r="AF147" i="9" s="1"/>
  <c r="Q147" i="9"/>
  <c r="L147" i="9"/>
  <c r="K147" i="9"/>
  <c r="AI146" i="9"/>
  <c r="X146" i="9"/>
  <c r="Q146" i="9"/>
  <c r="M146" i="9"/>
  <c r="L146" i="9"/>
  <c r="AC146" i="9" s="1"/>
  <c r="AE146" i="9" s="1"/>
  <c r="AJ145" i="9"/>
  <c r="AI145" i="9"/>
  <c r="AE145" i="9"/>
  <c r="AC145" i="9"/>
  <c r="X145" i="9"/>
  <c r="Y145" i="9" s="1"/>
  <c r="T145" i="9"/>
  <c r="S145" i="9"/>
  <c r="O145" i="9"/>
  <c r="M145" i="9"/>
  <c r="L145" i="9"/>
  <c r="AK145" i="9" s="1"/>
  <c r="AK144" i="9"/>
  <c r="AJ144" i="9"/>
  <c r="U144" i="9"/>
  <c r="AF144" i="9" s="1"/>
  <c r="T144" i="9"/>
  <c r="P144" i="9"/>
  <c r="O144" i="9"/>
  <c r="L144" i="9"/>
  <c r="K144" i="9"/>
  <c r="U143" i="9"/>
  <c r="AF143" i="9" s="1"/>
  <c r="Q143" i="9"/>
  <c r="L143" i="9"/>
  <c r="K143" i="9"/>
  <c r="AI142" i="9"/>
  <c r="X142" i="9"/>
  <c r="Q142" i="9"/>
  <c r="M142" i="9"/>
  <c r="L142" i="9"/>
  <c r="AC142" i="9" s="1"/>
  <c r="AE142" i="9" s="1"/>
  <c r="AJ141" i="9"/>
  <c r="AI141" i="9"/>
  <c r="AE141" i="9"/>
  <c r="AC141" i="9"/>
  <c r="X141" i="9"/>
  <c r="Y141" i="9" s="1"/>
  <c r="T141" i="9"/>
  <c r="S141" i="9"/>
  <c r="O141" i="9"/>
  <c r="M141" i="9"/>
  <c r="L141" i="9"/>
  <c r="AK141" i="9" s="1"/>
  <c r="AK140" i="9"/>
  <c r="AJ140" i="9"/>
  <c r="U140" i="9"/>
  <c r="AF140" i="9" s="1"/>
  <c r="T140" i="9"/>
  <c r="P140" i="9"/>
  <c r="O140" i="9"/>
  <c r="L140" i="9"/>
  <c r="K140" i="9"/>
  <c r="U139" i="9"/>
  <c r="AF139" i="9" s="1"/>
  <c r="Q139" i="9"/>
  <c r="L139" i="9"/>
  <c r="K139" i="9"/>
  <c r="AI138" i="9"/>
  <c r="X138" i="9"/>
  <c r="Q138" i="9"/>
  <c r="M138" i="9"/>
  <c r="L138" i="9"/>
  <c r="AC138" i="9" s="1"/>
  <c r="AE138" i="9" s="1"/>
  <c r="AJ137" i="9"/>
  <c r="AI137" i="9"/>
  <c r="AE137" i="9"/>
  <c r="AC137" i="9"/>
  <c r="X137" i="9"/>
  <c r="Y137" i="9" s="1"/>
  <c r="T137" i="9"/>
  <c r="S137" i="9"/>
  <c r="O137" i="9"/>
  <c r="M137" i="9"/>
  <c r="L137" i="9"/>
  <c r="AK137" i="9" s="1"/>
  <c r="AK136" i="9"/>
  <c r="AJ136" i="9"/>
  <c r="U136" i="9"/>
  <c r="AF136" i="9" s="1"/>
  <c r="T136" i="9"/>
  <c r="P136" i="9"/>
  <c r="O136" i="9"/>
  <c r="L136" i="9"/>
  <c r="K136" i="9"/>
  <c r="U135" i="9"/>
  <c r="AF135" i="9" s="1"/>
  <c r="Q135" i="9"/>
  <c r="L135" i="9"/>
  <c r="K135" i="9"/>
  <c r="AI134" i="9"/>
  <c r="X134" i="9"/>
  <c r="Q134" i="9"/>
  <c r="M134" i="9"/>
  <c r="L134" i="9"/>
  <c r="AC134" i="9" s="1"/>
  <c r="AE134" i="9" s="1"/>
  <c r="AJ133" i="9"/>
  <c r="AI133" i="9"/>
  <c r="AE133" i="9"/>
  <c r="AC133" i="9"/>
  <c r="X133" i="9"/>
  <c r="Y133" i="9" s="1"/>
  <c r="T133" i="9"/>
  <c r="S133" i="9"/>
  <c r="O133" i="9"/>
  <c r="M133" i="9"/>
  <c r="L133" i="9"/>
  <c r="AK133" i="9" s="1"/>
  <c r="AK132" i="9"/>
  <c r="AJ132" i="9"/>
  <c r="U132" i="9"/>
  <c r="AF132" i="9" s="1"/>
  <c r="T132" i="9"/>
  <c r="P132" i="9"/>
  <c r="O132" i="9"/>
  <c r="L132" i="9"/>
  <c r="K132" i="9"/>
  <c r="U131" i="9"/>
  <c r="AF131" i="9" s="1"/>
  <c r="Q131" i="9"/>
  <c r="L131" i="9"/>
  <c r="K131" i="9"/>
  <c r="AI130" i="9"/>
  <c r="X130" i="9"/>
  <c r="Q130" i="9"/>
  <c r="M130" i="9"/>
  <c r="L130" i="9"/>
  <c r="AC130" i="9" s="1"/>
  <c r="AE130" i="9" s="1"/>
  <c r="AJ129" i="9"/>
  <c r="AI129" i="9"/>
  <c r="AE129" i="9"/>
  <c r="AC129" i="9"/>
  <c r="X129" i="9"/>
  <c r="Y129" i="9" s="1"/>
  <c r="T129" i="9"/>
  <c r="S129" i="9"/>
  <c r="O129" i="9"/>
  <c r="M129" i="9"/>
  <c r="L129" i="9"/>
  <c r="AK129" i="9" s="1"/>
  <c r="AK128" i="9"/>
  <c r="AJ128" i="9"/>
  <c r="U128" i="9"/>
  <c r="AF128" i="9" s="1"/>
  <c r="T128" i="9"/>
  <c r="P128" i="9"/>
  <c r="O128" i="9"/>
  <c r="L128" i="9"/>
  <c r="K128" i="9"/>
  <c r="U127" i="9"/>
  <c r="AF127" i="9" s="1"/>
  <c r="Q127" i="9"/>
  <c r="L127" i="9"/>
  <c r="K127" i="9"/>
  <c r="AI126" i="9"/>
  <c r="X126" i="9"/>
  <c r="Q126" i="9"/>
  <c r="M126" i="9"/>
  <c r="L126" i="9"/>
  <c r="AC126" i="9" s="1"/>
  <c r="AE126" i="9" s="1"/>
  <c r="AJ125" i="9"/>
  <c r="AI125" i="9"/>
  <c r="AE125" i="9"/>
  <c r="AC125" i="9"/>
  <c r="X125" i="9"/>
  <c r="Y125" i="9" s="1"/>
  <c r="T125" i="9"/>
  <c r="S125" i="9"/>
  <c r="O125" i="9"/>
  <c r="M125" i="9"/>
  <c r="L125" i="9"/>
  <c r="AK125" i="9" s="1"/>
  <c r="AK124" i="9"/>
  <c r="AJ124" i="9"/>
  <c r="U124" i="9"/>
  <c r="AF124" i="9" s="1"/>
  <c r="T124" i="9"/>
  <c r="P124" i="9"/>
  <c r="O124" i="9"/>
  <c r="L124" i="9"/>
  <c r="K124" i="9"/>
  <c r="U123" i="9"/>
  <c r="AF123" i="9" s="1"/>
  <c r="Q123" i="9"/>
  <c r="L123" i="9"/>
  <c r="K123" i="9"/>
  <c r="AI122" i="9"/>
  <c r="X122" i="9"/>
  <c r="Q122" i="9"/>
  <c r="M122" i="9"/>
  <c r="L122" i="9"/>
  <c r="AC122" i="9" s="1"/>
  <c r="AE122" i="9" s="1"/>
  <c r="AJ121" i="9"/>
  <c r="AI121" i="9"/>
  <c r="AE121" i="9"/>
  <c r="AC121" i="9"/>
  <c r="X121" i="9"/>
  <c r="Y121" i="9" s="1"/>
  <c r="T121" i="9"/>
  <c r="S121" i="9"/>
  <c r="O121" i="9"/>
  <c r="M121" i="9"/>
  <c r="L121" i="9"/>
  <c r="AK121" i="9" s="1"/>
  <c r="AK120" i="9"/>
  <c r="AJ120" i="9"/>
  <c r="U120" i="9"/>
  <c r="AF120" i="9" s="1"/>
  <c r="T120" i="9"/>
  <c r="P120" i="9"/>
  <c r="O120" i="9"/>
  <c r="L120" i="9"/>
  <c r="K120" i="9"/>
  <c r="U119" i="9"/>
  <c r="AF119" i="9" s="1"/>
  <c r="Q119" i="9"/>
  <c r="L119" i="9"/>
  <c r="K119" i="9"/>
  <c r="AI118" i="9"/>
  <c r="X118" i="9"/>
  <c r="Q118" i="9"/>
  <c r="M118" i="9"/>
  <c r="L118" i="9"/>
  <c r="AC118" i="9" s="1"/>
  <c r="AE118" i="9" s="1"/>
  <c r="AJ117" i="9"/>
  <c r="AI117" i="9"/>
  <c r="AE117" i="9"/>
  <c r="AC117" i="9"/>
  <c r="X117" i="9"/>
  <c r="Y117" i="9" s="1"/>
  <c r="T117" i="9"/>
  <c r="S117" i="9"/>
  <c r="O117" i="9"/>
  <c r="M117" i="9"/>
  <c r="L117" i="9"/>
  <c r="AK117" i="9" s="1"/>
  <c r="AK116" i="9"/>
  <c r="AJ116" i="9"/>
  <c r="U116" i="9"/>
  <c r="AF116" i="9" s="1"/>
  <c r="T116" i="9"/>
  <c r="P116" i="9"/>
  <c r="O116" i="9"/>
  <c r="L116" i="9"/>
  <c r="K116" i="9"/>
  <c r="U115" i="9"/>
  <c r="AF115" i="9" s="1"/>
  <c r="Q115" i="9"/>
  <c r="L115" i="9"/>
  <c r="K115" i="9"/>
  <c r="AI114" i="9"/>
  <c r="X114" i="9"/>
  <c r="Q114" i="9"/>
  <c r="M114" i="9"/>
  <c r="L114" i="9"/>
  <c r="AC114" i="9" s="1"/>
  <c r="AE114" i="9" s="1"/>
  <c r="AJ113" i="9"/>
  <c r="AI113" i="9"/>
  <c r="AE113" i="9"/>
  <c r="AC113" i="9"/>
  <c r="X113" i="9"/>
  <c r="Y113" i="9" s="1"/>
  <c r="T113" i="9"/>
  <c r="S113" i="9"/>
  <c r="O113" i="9"/>
  <c r="M113" i="9"/>
  <c r="L113" i="9"/>
  <c r="AK113" i="9" s="1"/>
  <c r="AK112" i="9"/>
  <c r="AJ112" i="9"/>
  <c r="U112" i="9"/>
  <c r="AF112" i="9" s="1"/>
  <c r="T112" i="9"/>
  <c r="P112" i="9"/>
  <c r="O112" i="9"/>
  <c r="L112" i="9"/>
  <c r="K112" i="9"/>
  <c r="U111" i="9"/>
  <c r="AF111" i="9" s="1"/>
  <c r="Q111" i="9"/>
  <c r="L111" i="9"/>
  <c r="K111" i="9"/>
  <c r="AI110" i="9"/>
  <c r="X110" i="9"/>
  <c r="Q110" i="9"/>
  <c r="M110" i="9"/>
  <c r="L110" i="9"/>
  <c r="AC110" i="9" s="1"/>
  <c r="AE110" i="9" s="1"/>
  <c r="AJ109" i="9"/>
  <c r="AI109" i="9"/>
  <c r="AE109" i="9"/>
  <c r="AC109" i="9"/>
  <c r="X109" i="9"/>
  <c r="Y109" i="9" s="1"/>
  <c r="T109" i="9"/>
  <c r="S109" i="9"/>
  <c r="O109" i="9"/>
  <c r="M109" i="9"/>
  <c r="L109" i="9"/>
  <c r="AK109" i="9" s="1"/>
  <c r="AK108" i="9"/>
  <c r="AJ108" i="9"/>
  <c r="U108" i="9"/>
  <c r="AF108" i="9" s="1"/>
  <c r="T108" i="9"/>
  <c r="P108" i="9"/>
  <c r="O108" i="9"/>
  <c r="L108" i="9"/>
  <c r="K108" i="9"/>
  <c r="U107" i="9"/>
  <c r="AF107" i="9" s="1"/>
  <c r="Q107" i="9"/>
  <c r="L107" i="9"/>
  <c r="K107" i="9"/>
  <c r="AI106" i="9"/>
  <c r="X106" i="9"/>
  <c r="Q106" i="9"/>
  <c r="M106" i="9"/>
  <c r="L106" i="9"/>
  <c r="AC106" i="9" s="1"/>
  <c r="AE106" i="9" s="1"/>
  <c r="AJ105" i="9"/>
  <c r="AI105" i="9"/>
  <c r="AE105" i="9"/>
  <c r="AC105" i="9"/>
  <c r="X105" i="9"/>
  <c r="Y105" i="9" s="1"/>
  <c r="T105" i="9"/>
  <c r="S105" i="9"/>
  <c r="O105" i="9"/>
  <c r="M105" i="9"/>
  <c r="L105" i="9"/>
  <c r="AK105" i="9" s="1"/>
  <c r="AK104" i="9"/>
  <c r="AJ104" i="9"/>
  <c r="U104" i="9"/>
  <c r="AF104" i="9" s="1"/>
  <c r="T104" i="9"/>
  <c r="P104" i="9"/>
  <c r="O104" i="9"/>
  <c r="L104" i="9"/>
  <c r="K104" i="9"/>
  <c r="U103" i="9"/>
  <c r="AF103" i="9" s="1"/>
  <c r="Q103" i="9"/>
  <c r="L103" i="9"/>
  <c r="K103" i="9"/>
  <c r="AI102" i="9"/>
  <c r="X102" i="9"/>
  <c r="Q102" i="9"/>
  <c r="M102" i="9"/>
  <c r="L102" i="9"/>
  <c r="AC102" i="9" s="1"/>
  <c r="AE102" i="9" s="1"/>
  <c r="AJ101" i="9"/>
  <c r="AI101" i="9"/>
  <c r="AE101" i="9"/>
  <c r="AC101" i="9"/>
  <c r="X101" i="9"/>
  <c r="Y101" i="9" s="1"/>
  <c r="T101" i="9"/>
  <c r="S101" i="9"/>
  <c r="O101" i="9"/>
  <c r="M101" i="9"/>
  <c r="L101" i="9"/>
  <c r="AK101" i="9" s="1"/>
  <c r="AK100" i="9"/>
  <c r="AJ100" i="9"/>
  <c r="U100" i="9"/>
  <c r="AF100" i="9" s="1"/>
  <c r="T100" i="9"/>
  <c r="P100" i="9"/>
  <c r="O100" i="9"/>
  <c r="L100" i="9"/>
  <c r="K100" i="9"/>
  <c r="U99" i="9"/>
  <c r="AF99" i="9" s="1"/>
  <c r="Q99" i="9"/>
  <c r="L99" i="9"/>
  <c r="K99" i="9"/>
  <c r="AI98" i="9"/>
  <c r="X98" i="9"/>
  <c r="Q98" i="9"/>
  <c r="M98" i="9"/>
  <c r="L98" i="9"/>
  <c r="AC98" i="9" s="1"/>
  <c r="AE98" i="9" s="1"/>
  <c r="AJ97" i="9"/>
  <c r="AI97" i="9"/>
  <c r="AE97" i="9"/>
  <c r="AC97" i="9"/>
  <c r="X97" i="9"/>
  <c r="Y97" i="9" s="1"/>
  <c r="T97" i="9"/>
  <c r="S97" i="9"/>
  <c r="O97" i="9"/>
  <c r="M97" i="9"/>
  <c r="L97" i="9"/>
  <c r="AK97" i="9" s="1"/>
  <c r="AK96" i="9"/>
  <c r="AJ96" i="9"/>
  <c r="U96" i="9"/>
  <c r="AF96" i="9" s="1"/>
  <c r="T96" i="9"/>
  <c r="P96" i="9"/>
  <c r="O96" i="9"/>
  <c r="L96" i="9"/>
  <c r="K96" i="9"/>
  <c r="U95" i="9"/>
  <c r="AF95" i="9" s="1"/>
  <c r="Q95" i="9"/>
  <c r="L95" i="9"/>
  <c r="K95" i="9"/>
  <c r="AI94" i="9"/>
  <c r="X94" i="9"/>
  <c r="Q94" i="9"/>
  <c r="M94" i="9"/>
  <c r="L94" i="9"/>
  <c r="AC94" i="9" s="1"/>
  <c r="AE94" i="9" s="1"/>
  <c r="AJ93" i="9"/>
  <c r="AI93" i="9"/>
  <c r="AE93" i="9"/>
  <c r="AC93" i="9"/>
  <c r="X93" i="9"/>
  <c r="Y93" i="9" s="1"/>
  <c r="T93" i="9"/>
  <c r="S93" i="9"/>
  <c r="O93" i="9"/>
  <c r="M93" i="9"/>
  <c r="L93" i="9"/>
  <c r="AK93" i="9" s="1"/>
  <c r="AK92" i="9"/>
  <c r="AJ92" i="9"/>
  <c r="U92" i="9"/>
  <c r="AF92" i="9" s="1"/>
  <c r="T92" i="9"/>
  <c r="P92" i="9"/>
  <c r="O92" i="9"/>
  <c r="L92" i="9"/>
  <c r="K92" i="9"/>
  <c r="U91" i="9"/>
  <c r="AF91" i="9" s="1"/>
  <c r="Q91" i="9"/>
  <c r="L91" i="9"/>
  <c r="K91" i="9"/>
  <c r="AI90" i="9"/>
  <c r="X90" i="9"/>
  <c r="Q90" i="9"/>
  <c r="M90" i="9"/>
  <c r="L90" i="9"/>
  <c r="AC90" i="9" s="1"/>
  <c r="AE90" i="9" s="1"/>
  <c r="AJ89" i="9"/>
  <c r="AI89" i="9"/>
  <c r="AE89" i="9"/>
  <c r="AC89" i="9"/>
  <c r="X89" i="9"/>
  <c r="Y89" i="9" s="1"/>
  <c r="T89" i="9"/>
  <c r="S89" i="9"/>
  <c r="O89" i="9"/>
  <c r="M89" i="9"/>
  <c r="L89" i="9"/>
  <c r="AK89" i="9" s="1"/>
  <c r="AK88" i="9"/>
  <c r="AJ88" i="9"/>
  <c r="U88" i="9"/>
  <c r="AF88" i="9" s="1"/>
  <c r="T88" i="9"/>
  <c r="P88" i="9"/>
  <c r="O88" i="9"/>
  <c r="L88" i="9"/>
  <c r="K88" i="9"/>
  <c r="U87" i="9"/>
  <c r="AF87" i="9" s="1"/>
  <c r="Q87" i="9"/>
  <c r="L87" i="9"/>
  <c r="K87" i="9"/>
  <c r="AI86" i="9"/>
  <c r="X86" i="9"/>
  <c r="Q86" i="9"/>
  <c r="M86" i="9"/>
  <c r="L86" i="9"/>
  <c r="AC86" i="9" s="1"/>
  <c r="AE86" i="9" s="1"/>
  <c r="AJ85" i="9"/>
  <c r="AI85" i="9"/>
  <c r="AE85" i="9"/>
  <c r="AC85" i="9"/>
  <c r="X85" i="9"/>
  <c r="Y85" i="9" s="1"/>
  <c r="T85" i="9"/>
  <c r="S85" i="9"/>
  <c r="O85" i="9"/>
  <c r="M85" i="9"/>
  <c r="L85" i="9"/>
  <c r="AK85" i="9" s="1"/>
  <c r="AK84" i="9"/>
  <c r="AJ84" i="9"/>
  <c r="U84" i="9"/>
  <c r="AF84" i="9" s="1"/>
  <c r="T84" i="9"/>
  <c r="P84" i="9"/>
  <c r="O84" i="9"/>
  <c r="L84" i="9"/>
  <c r="K84" i="9"/>
  <c r="U83" i="9"/>
  <c r="AF83" i="9" s="1"/>
  <c r="Q83" i="9"/>
  <c r="L83" i="9"/>
  <c r="K83" i="9"/>
  <c r="AI82" i="9"/>
  <c r="X82" i="9"/>
  <c r="Q82" i="9"/>
  <c r="M82" i="9"/>
  <c r="L82" i="9"/>
  <c r="AC82" i="9" s="1"/>
  <c r="AE82" i="9" s="1"/>
  <c r="AJ81" i="9"/>
  <c r="AI81" i="9"/>
  <c r="AE81" i="9"/>
  <c r="AC81" i="9"/>
  <c r="X81" i="9"/>
  <c r="Y81" i="9" s="1"/>
  <c r="T81" i="9"/>
  <c r="S81" i="9"/>
  <c r="O81" i="9"/>
  <c r="M81" i="9"/>
  <c r="L81" i="9"/>
  <c r="AK81" i="9" s="1"/>
  <c r="AK80" i="9"/>
  <c r="AJ80" i="9"/>
  <c r="U80" i="9"/>
  <c r="AF80" i="9" s="1"/>
  <c r="T80" i="9"/>
  <c r="P80" i="9"/>
  <c r="O80" i="9"/>
  <c r="L80" i="9"/>
  <c r="K80" i="9"/>
  <c r="U79" i="9"/>
  <c r="AF79" i="9" s="1"/>
  <c r="Q79" i="9"/>
  <c r="L79" i="9"/>
  <c r="K79" i="9"/>
  <c r="AI78" i="9"/>
  <c r="X78" i="9"/>
  <c r="Q78" i="9"/>
  <c r="M78" i="9"/>
  <c r="L78" i="9"/>
  <c r="AC78" i="9" s="1"/>
  <c r="AE78" i="9" s="1"/>
  <c r="AJ77" i="9"/>
  <c r="AI77" i="9"/>
  <c r="AE77" i="9"/>
  <c r="AC77" i="9"/>
  <c r="X77" i="9"/>
  <c r="Y77" i="9" s="1"/>
  <c r="T77" i="9"/>
  <c r="S77" i="9"/>
  <c r="O77" i="9"/>
  <c r="M77" i="9"/>
  <c r="L77" i="9"/>
  <c r="AK77" i="9" s="1"/>
  <c r="AK76" i="9"/>
  <c r="AJ76" i="9"/>
  <c r="U76" i="9"/>
  <c r="AF76" i="9" s="1"/>
  <c r="T76" i="9"/>
  <c r="P76" i="9"/>
  <c r="O76" i="9"/>
  <c r="L76" i="9"/>
  <c r="K76" i="9"/>
  <c r="U75" i="9"/>
  <c r="AF75" i="9" s="1"/>
  <c r="Q75" i="9"/>
  <c r="L75" i="9"/>
  <c r="K75" i="9"/>
  <c r="AI74" i="9"/>
  <c r="X74" i="9"/>
  <c r="Q74" i="9"/>
  <c r="M74" i="9"/>
  <c r="L74" i="9"/>
  <c r="AC74" i="9" s="1"/>
  <c r="AE74" i="9" s="1"/>
  <c r="AJ73" i="9"/>
  <c r="AI73" i="9"/>
  <c r="AE73" i="9"/>
  <c r="AC73" i="9"/>
  <c r="X73" i="9"/>
  <c r="Y73" i="9" s="1"/>
  <c r="T73" i="9"/>
  <c r="S73" i="9"/>
  <c r="O73" i="9"/>
  <c r="M73" i="9"/>
  <c r="L73" i="9"/>
  <c r="AK73" i="9" s="1"/>
  <c r="AK72" i="9"/>
  <c r="AJ72" i="9"/>
  <c r="U72" i="9"/>
  <c r="AF72" i="9" s="1"/>
  <c r="T72" i="9"/>
  <c r="P72" i="9"/>
  <c r="O72" i="9"/>
  <c r="L72" i="9"/>
  <c r="K72" i="9"/>
  <c r="U71" i="9"/>
  <c r="AF71" i="9" s="1"/>
  <c r="Q71" i="9"/>
  <c r="L71" i="9"/>
  <c r="K71" i="9"/>
  <c r="AI70" i="9"/>
  <c r="X70" i="9"/>
  <c r="Q70" i="9"/>
  <c r="M70" i="9"/>
  <c r="L70" i="9"/>
  <c r="AC70" i="9" s="1"/>
  <c r="AE70" i="9" s="1"/>
  <c r="AJ69" i="9"/>
  <c r="AI69" i="9"/>
  <c r="AE69" i="9"/>
  <c r="AC69" i="9"/>
  <c r="X69" i="9"/>
  <c r="Y69" i="9" s="1"/>
  <c r="T69" i="9"/>
  <c r="S69" i="9"/>
  <c r="O69" i="9"/>
  <c r="M69" i="9"/>
  <c r="L69" i="9"/>
  <c r="AK69" i="9" s="1"/>
  <c r="AK68" i="9"/>
  <c r="AJ68" i="9"/>
  <c r="U68" i="9"/>
  <c r="AF68" i="9" s="1"/>
  <c r="T68" i="9"/>
  <c r="P68" i="9"/>
  <c r="O68" i="9"/>
  <c r="L68" i="9"/>
  <c r="K68" i="9"/>
  <c r="U67" i="9"/>
  <c r="AF67" i="9" s="1"/>
  <c r="Q67" i="9"/>
  <c r="L67" i="9"/>
  <c r="K67" i="9"/>
  <c r="AI66" i="9"/>
  <c r="X66" i="9"/>
  <c r="Q66" i="9"/>
  <c r="M66" i="9"/>
  <c r="L66" i="9"/>
  <c r="AC66" i="9" s="1"/>
  <c r="AE66" i="9" s="1"/>
  <c r="AJ65" i="9"/>
  <c r="AI65" i="9"/>
  <c r="AE65" i="9"/>
  <c r="AC65" i="9"/>
  <c r="X65" i="9"/>
  <c r="Y65" i="9" s="1"/>
  <c r="T65" i="9"/>
  <c r="S65" i="9"/>
  <c r="O65" i="9"/>
  <c r="M65" i="9"/>
  <c r="L65" i="9"/>
  <c r="AK65" i="9" s="1"/>
  <c r="AK64" i="9"/>
  <c r="AJ64" i="9"/>
  <c r="U64" i="9"/>
  <c r="AF64" i="9" s="1"/>
  <c r="T64" i="9"/>
  <c r="P64" i="9"/>
  <c r="O64" i="9"/>
  <c r="L64" i="9"/>
  <c r="K64" i="9"/>
  <c r="U63" i="9"/>
  <c r="AF63" i="9" s="1"/>
  <c r="Q63" i="9"/>
  <c r="L63" i="9"/>
  <c r="K63" i="9"/>
  <c r="AI62" i="9"/>
  <c r="X62" i="9"/>
  <c r="Q62" i="9"/>
  <c r="M62" i="9"/>
  <c r="L62" i="9"/>
  <c r="AC62" i="9" s="1"/>
  <c r="AE62" i="9" s="1"/>
  <c r="AJ61" i="9"/>
  <c r="AI61" i="9"/>
  <c r="AE61" i="9"/>
  <c r="AC61" i="9"/>
  <c r="X61" i="9"/>
  <c r="Y61" i="9" s="1"/>
  <c r="T61" i="9"/>
  <c r="S61" i="9"/>
  <c r="O61" i="9"/>
  <c r="M61" i="9"/>
  <c r="L61" i="9"/>
  <c r="AK61" i="9" s="1"/>
  <c r="AK60" i="9"/>
  <c r="AJ60" i="9"/>
  <c r="U60" i="9"/>
  <c r="AF60" i="9" s="1"/>
  <c r="T60" i="9"/>
  <c r="P60" i="9"/>
  <c r="O60" i="9"/>
  <c r="L60" i="9"/>
  <c r="K60" i="9"/>
  <c r="U59" i="9"/>
  <c r="AF59" i="9" s="1"/>
  <c r="Q59" i="9"/>
  <c r="L59" i="9"/>
  <c r="K59" i="9"/>
  <c r="AI58" i="9"/>
  <c r="X58" i="9"/>
  <c r="Q58" i="9"/>
  <c r="M58" i="9"/>
  <c r="L58" i="9"/>
  <c r="AC58" i="9" s="1"/>
  <c r="AE58" i="9" s="1"/>
  <c r="AJ57" i="9"/>
  <c r="AI57" i="9"/>
  <c r="AE57" i="9"/>
  <c r="AC57" i="9"/>
  <c r="X57" i="9"/>
  <c r="Y57" i="9" s="1"/>
  <c r="T57" i="9"/>
  <c r="S57" i="9"/>
  <c r="O57" i="9"/>
  <c r="M57" i="9"/>
  <c r="L57" i="9"/>
  <c r="AK57" i="9" s="1"/>
  <c r="AK56" i="9"/>
  <c r="AJ56" i="9"/>
  <c r="U56" i="9"/>
  <c r="AF56" i="9" s="1"/>
  <c r="T56" i="9"/>
  <c r="P56" i="9"/>
  <c r="O56" i="9"/>
  <c r="L56" i="9"/>
  <c r="K56" i="9"/>
  <c r="U55" i="9"/>
  <c r="AF55" i="9" s="1"/>
  <c r="Q55" i="9"/>
  <c r="L55" i="9"/>
  <c r="K55" i="9"/>
  <c r="AI54" i="9"/>
  <c r="X54" i="9"/>
  <c r="Q54" i="9"/>
  <c r="M54" i="9"/>
  <c r="L54" i="9"/>
  <c r="AC54" i="9" s="1"/>
  <c r="AE54" i="9" s="1"/>
  <c r="AJ53" i="9"/>
  <c r="AI53" i="9"/>
  <c r="AE53" i="9"/>
  <c r="AC53" i="9"/>
  <c r="X53" i="9"/>
  <c r="Y53" i="9" s="1"/>
  <c r="T53" i="9"/>
  <c r="S53" i="9"/>
  <c r="O53" i="9"/>
  <c r="M53" i="9"/>
  <c r="L53" i="9"/>
  <c r="AK53" i="9" s="1"/>
  <c r="AK52" i="9"/>
  <c r="AJ52" i="9"/>
  <c r="U52" i="9"/>
  <c r="AF52" i="9" s="1"/>
  <c r="T52" i="9"/>
  <c r="P52" i="9"/>
  <c r="O52" i="9"/>
  <c r="L52" i="9"/>
  <c r="K52" i="9"/>
  <c r="U51" i="9"/>
  <c r="AF51" i="9" s="1"/>
  <c r="Q51" i="9"/>
  <c r="L51" i="9"/>
  <c r="K51" i="9"/>
  <c r="AI50" i="9"/>
  <c r="X50" i="9"/>
  <c r="Q50" i="9"/>
  <c r="M50" i="9"/>
  <c r="L50" i="9"/>
  <c r="AC50" i="9" s="1"/>
  <c r="AE50" i="9" s="1"/>
  <c r="AJ49" i="9"/>
  <c r="AI49" i="9"/>
  <c r="AE49" i="9"/>
  <c r="AC49" i="9"/>
  <c r="X49" i="9"/>
  <c r="Y49" i="9" s="1"/>
  <c r="T49" i="9"/>
  <c r="S49" i="9"/>
  <c r="O49" i="9"/>
  <c r="M49" i="9"/>
  <c r="L49" i="9"/>
  <c r="AK49" i="9" s="1"/>
  <c r="AK48" i="9"/>
  <c r="AJ48" i="9"/>
  <c r="U48" i="9"/>
  <c r="AF48" i="9" s="1"/>
  <c r="T48" i="9"/>
  <c r="P48" i="9"/>
  <c r="O48" i="9"/>
  <c r="L48" i="9"/>
  <c r="K48" i="9"/>
  <c r="U47" i="9"/>
  <c r="AF47" i="9" s="1"/>
  <c r="Q47" i="9"/>
  <c r="L47" i="9"/>
  <c r="K47" i="9"/>
  <c r="AI46" i="9"/>
  <c r="X46" i="9"/>
  <c r="Q46" i="9"/>
  <c r="M46" i="9"/>
  <c r="L46" i="9"/>
  <c r="AC46" i="9" s="1"/>
  <c r="AE46" i="9" s="1"/>
  <c r="AJ45" i="9"/>
  <c r="AI45" i="9"/>
  <c r="AE45" i="9"/>
  <c r="AC45" i="9"/>
  <c r="X45" i="9"/>
  <c r="Y45" i="9" s="1"/>
  <c r="T45" i="9"/>
  <c r="S45" i="9"/>
  <c r="O45" i="9"/>
  <c r="M45" i="9"/>
  <c r="L45" i="9"/>
  <c r="AK45" i="9" s="1"/>
  <c r="AK44" i="9"/>
  <c r="AJ44" i="9"/>
  <c r="U44" i="9"/>
  <c r="AF44" i="9" s="1"/>
  <c r="T44" i="9"/>
  <c r="P44" i="9"/>
  <c r="O44" i="9"/>
  <c r="L44" i="9"/>
  <c r="K44" i="9"/>
  <c r="U43" i="9"/>
  <c r="AF43" i="9" s="1"/>
  <c r="Q43" i="9"/>
  <c r="L43" i="9"/>
  <c r="K43" i="9"/>
  <c r="AI42" i="9"/>
  <c r="X42" i="9"/>
  <c r="Q42" i="9"/>
  <c r="M42" i="9"/>
  <c r="L42" i="9"/>
  <c r="AC42" i="9" s="1"/>
  <c r="AE42" i="9" s="1"/>
  <c r="AJ41" i="9"/>
  <c r="AI41" i="9"/>
  <c r="AE41" i="9"/>
  <c r="AC41" i="9"/>
  <c r="X41" i="9"/>
  <c r="Y41" i="9" s="1"/>
  <c r="T41" i="9"/>
  <c r="S41" i="9"/>
  <c r="O41" i="9"/>
  <c r="M41" i="9"/>
  <c r="L41" i="9"/>
  <c r="AK41" i="9" s="1"/>
  <c r="AK40" i="9"/>
  <c r="AJ40" i="9"/>
  <c r="U40" i="9"/>
  <c r="AF40" i="9" s="1"/>
  <c r="T40" i="9"/>
  <c r="P40" i="9"/>
  <c r="O40" i="9"/>
  <c r="L40" i="9"/>
  <c r="K40" i="9"/>
  <c r="U39" i="9"/>
  <c r="AF39" i="9" s="1"/>
  <c r="Q39" i="9"/>
  <c r="L39" i="9"/>
  <c r="K39" i="9"/>
  <c r="AI38" i="9"/>
  <c r="X38" i="9"/>
  <c r="Q38" i="9"/>
  <c r="M38" i="9"/>
  <c r="L38" i="9"/>
  <c r="AC38" i="9" s="1"/>
  <c r="AE38" i="9" s="1"/>
  <c r="AJ37" i="9"/>
  <c r="AI37" i="9"/>
  <c r="AE37" i="9"/>
  <c r="AC37" i="9"/>
  <c r="X37" i="9"/>
  <c r="Y37" i="9" s="1"/>
  <c r="T37" i="9"/>
  <c r="S37" i="9"/>
  <c r="O37" i="9"/>
  <c r="M37" i="9"/>
  <c r="L37" i="9"/>
  <c r="AK37" i="9" s="1"/>
  <c r="AK36" i="9"/>
  <c r="AJ36" i="9"/>
  <c r="U36" i="9"/>
  <c r="AF36" i="9" s="1"/>
  <c r="T36" i="9"/>
  <c r="P36" i="9"/>
  <c r="O36" i="9"/>
  <c r="L36" i="9"/>
  <c r="K36" i="9"/>
  <c r="U35" i="9"/>
  <c r="AF35" i="9" s="1"/>
  <c r="Q35" i="9"/>
  <c r="L35" i="9"/>
  <c r="K35" i="9"/>
  <c r="AI34" i="9"/>
  <c r="X34" i="9"/>
  <c r="Q34" i="9"/>
  <c r="M34" i="9"/>
  <c r="L34" i="9"/>
  <c r="AC34" i="9" s="1"/>
  <c r="AE34" i="9" s="1"/>
  <c r="AJ33" i="9"/>
  <c r="AI33" i="9"/>
  <c r="AE33" i="9"/>
  <c r="AC33" i="9"/>
  <c r="X33" i="9"/>
  <c r="Y33" i="9" s="1"/>
  <c r="T33" i="9"/>
  <c r="S33" i="9"/>
  <c r="O33" i="9"/>
  <c r="M33" i="9"/>
  <c r="L33" i="9"/>
  <c r="AK33" i="9" s="1"/>
  <c r="AK32" i="9"/>
  <c r="AJ32" i="9"/>
  <c r="U32" i="9"/>
  <c r="AF32" i="9" s="1"/>
  <c r="T32" i="9"/>
  <c r="P32" i="9"/>
  <c r="O32" i="9"/>
  <c r="L32" i="9"/>
  <c r="K32" i="9"/>
  <c r="U31" i="9"/>
  <c r="AF31" i="9" s="1"/>
  <c r="Q31" i="9"/>
  <c r="L31" i="9"/>
  <c r="K31" i="9"/>
  <c r="AI30" i="9"/>
  <c r="X30" i="9"/>
  <c r="Q30" i="9"/>
  <c r="M30" i="9"/>
  <c r="L30" i="9"/>
  <c r="AC30" i="9" s="1"/>
  <c r="AE30" i="9" s="1"/>
  <c r="AJ29" i="9"/>
  <c r="AI29" i="9"/>
  <c r="AE29" i="9"/>
  <c r="AC29" i="9"/>
  <c r="X29" i="9"/>
  <c r="Y29" i="9" s="1"/>
  <c r="T29" i="9"/>
  <c r="S29" i="9"/>
  <c r="O29" i="9"/>
  <c r="M29" i="9"/>
  <c r="L29" i="9"/>
  <c r="AK29" i="9" s="1"/>
  <c r="AK28" i="9"/>
  <c r="AJ28" i="9"/>
  <c r="U28" i="9"/>
  <c r="AF28" i="9" s="1"/>
  <c r="T28" i="9"/>
  <c r="P28" i="9"/>
  <c r="O28" i="9"/>
  <c r="L28" i="9"/>
  <c r="K28" i="9"/>
  <c r="U27" i="9"/>
  <c r="AF27" i="9" s="1"/>
  <c r="Q27" i="9"/>
  <c r="L27" i="9"/>
  <c r="K27" i="9"/>
  <c r="AI26" i="9"/>
  <c r="X26" i="9"/>
  <c r="Q26" i="9"/>
  <c r="M26" i="9"/>
  <c r="L26" i="9"/>
  <c r="AC26" i="9" s="1"/>
  <c r="AE26" i="9" s="1"/>
  <c r="AJ25" i="9"/>
  <c r="AI25" i="9"/>
  <c r="AE25" i="9"/>
  <c r="AC25" i="9"/>
  <c r="X25" i="9"/>
  <c r="Y25" i="9" s="1"/>
  <c r="T25" i="9"/>
  <c r="S25" i="9"/>
  <c r="O25" i="9"/>
  <c r="M25" i="9"/>
  <c r="L25" i="9"/>
  <c r="AK25" i="9" s="1"/>
  <c r="AK24" i="9"/>
  <c r="AJ24" i="9"/>
  <c r="U24" i="9"/>
  <c r="AF24" i="9" s="1"/>
  <c r="T24" i="9"/>
  <c r="P24" i="9"/>
  <c r="O24" i="9"/>
  <c r="L24" i="9"/>
  <c r="K24" i="9"/>
  <c r="U23" i="9"/>
  <c r="AF23" i="9" s="1"/>
  <c r="Q23" i="9"/>
  <c r="L23" i="9"/>
  <c r="K23" i="9"/>
  <c r="AI22" i="9"/>
  <c r="X22" i="9"/>
  <c r="Q22" i="9"/>
  <c r="M22" i="9"/>
  <c r="L22" i="9"/>
  <c r="AC22" i="9" s="1"/>
  <c r="AE22" i="9" s="1"/>
  <c r="AJ21" i="9"/>
  <c r="AI21" i="9"/>
  <c r="AE21" i="9"/>
  <c r="AC21" i="9"/>
  <c r="X21" i="9"/>
  <c r="Y21" i="9" s="1"/>
  <c r="T21" i="9"/>
  <c r="S21" i="9"/>
  <c r="O21" i="9"/>
  <c r="M21" i="9"/>
  <c r="L21" i="9"/>
  <c r="AK21" i="9" s="1"/>
  <c r="AK20" i="9"/>
  <c r="AJ20" i="9"/>
  <c r="U20" i="9"/>
  <c r="AF20" i="9" s="1"/>
  <c r="T20" i="9"/>
  <c r="P20" i="9"/>
  <c r="O20" i="9"/>
  <c r="L20" i="9"/>
  <c r="K20" i="9"/>
  <c r="U19" i="9"/>
  <c r="AF19" i="9" s="1"/>
  <c r="Q19" i="9"/>
  <c r="L19" i="9"/>
  <c r="K19" i="9"/>
  <c r="AI18" i="9"/>
  <c r="X18" i="9"/>
  <c r="Q18" i="9"/>
  <c r="M18" i="9"/>
  <c r="L18" i="9"/>
  <c r="AC18" i="9" s="1"/>
  <c r="AE18" i="9" s="1"/>
  <c r="AJ17" i="9"/>
  <c r="AI17" i="9"/>
  <c r="AE17" i="9"/>
  <c r="AC17" i="9"/>
  <c r="X17" i="9"/>
  <c r="Y17" i="9" s="1"/>
  <c r="T17" i="9"/>
  <c r="S17" i="9"/>
  <c r="O17" i="9"/>
  <c r="M17" i="9"/>
  <c r="L17" i="9"/>
  <c r="AK17" i="9" s="1"/>
  <c r="AK16" i="9"/>
  <c r="AJ16" i="9"/>
  <c r="Z16" i="9"/>
  <c r="AA16" i="9" s="1"/>
  <c r="AG16" i="9" s="1"/>
  <c r="W16" i="9"/>
  <c r="AD16" i="9" s="1"/>
  <c r="V16" i="9"/>
  <c r="S16" i="9"/>
  <c r="R16" i="9"/>
  <c r="O16" i="9"/>
  <c r="N16" i="9"/>
  <c r="L16" i="9"/>
  <c r="K16" i="9"/>
  <c r="AL15" i="9"/>
  <c r="AI15" i="9"/>
  <c r="AH15" i="9"/>
  <c r="AD15" i="9"/>
  <c r="AA15" i="9"/>
  <c r="AG15" i="9" s="1"/>
  <c r="Z15" i="9"/>
  <c r="W15" i="9"/>
  <c r="V15" i="9"/>
  <c r="S15" i="9"/>
  <c r="R15" i="9"/>
  <c r="O15" i="9"/>
  <c r="N15" i="9"/>
  <c r="L15" i="9"/>
  <c r="AK15" i="9" s="1"/>
  <c r="K15" i="9"/>
  <c r="AL14" i="9"/>
  <c r="AI14" i="9"/>
  <c r="AH14" i="9"/>
  <c r="Z14" i="9"/>
  <c r="AA14" i="9" s="1"/>
  <c r="AG14" i="9" s="1"/>
  <c r="W14" i="9"/>
  <c r="AD14" i="9" s="1"/>
  <c r="V14" i="9"/>
  <c r="S14" i="9"/>
  <c r="R14" i="9"/>
  <c r="O14" i="9"/>
  <c r="N14" i="9"/>
  <c r="L14" i="9"/>
  <c r="AK14" i="9" s="1"/>
  <c r="K14" i="9"/>
  <c r="AL13" i="9"/>
  <c r="AI13" i="9"/>
  <c r="AH13" i="9"/>
  <c r="Z13" i="9"/>
  <c r="AA13" i="9" s="1"/>
  <c r="AG13" i="9" s="1"/>
  <c r="W13" i="9"/>
  <c r="AD13" i="9" s="1"/>
  <c r="V13" i="9"/>
  <c r="S13" i="9"/>
  <c r="R13" i="9"/>
  <c r="O13" i="9"/>
  <c r="N13" i="9"/>
  <c r="L13" i="9"/>
  <c r="AK13" i="9" s="1"/>
  <c r="K13" i="9"/>
  <c r="AL12" i="9"/>
  <c r="AI12" i="9"/>
  <c r="AH12" i="9"/>
  <c r="AD12" i="9"/>
  <c r="Z12" i="9"/>
  <c r="AA12" i="9" s="1"/>
  <c r="AG12" i="9" s="1"/>
  <c r="W12" i="9"/>
  <c r="V12" i="9"/>
  <c r="S12" i="9"/>
  <c r="R12" i="9"/>
  <c r="O12" i="9"/>
  <c r="N12" i="9"/>
  <c r="L12" i="9"/>
  <c r="AK12" i="9" s="1"/>
  <c r="K12" i="9"/>
  <c r="AL11" i="9"/>
  <c r="AI11" i="9"/>
  <c r="AH11" i="9"/>
  <c r="AD11" i="9"/>
  <c r="AA11" i="9"/>
  <c r="AG11" i="9" s="1"/>
  <c r="Z11" i="9"/>
  <c r="W11" i="9"/>
  <c r="V11" i="9"/>
  <c r="S11" i="9"/>
  <c r="R11" i="9"/>
  <c r="O11" i="9"/>
  <c r="N11" i="9"/>
  <c r="L11" i="9"/>
  <c r="AK11" i="9" s="1"/>
  <c r="K11" i="9"/>
  <c r="AL10" i="9"/>
  <c r="AI10" i="9"/>
  <c r="AH10" i="9"/>
  <c r="Z10" i="9"/>
  <c r="AA10" i="9" s="1"/>
  <c r="AG10" i="9" s="1"/>
  <c r="W10" i="9"/>
  <c r="AD10" i="9" s="1"/>
  <c r="V10" i="9"/>
  <c r="S10" i="9"/>
  <c r="R10" i="9"/>
  <c r="O10" i="9"/>
  <c r="N10" i="9"/>
  <c r="L10" i="9"/>
  <c r="AK10" i="9" s="1"/>
  <c r="K10" i="9"/>
  <c r="AL9" i="9"/>
  <c r="AI9" i="9"/>
  <c r="AH9" i="9"/>
  <c r="Z9" i="9"/>
  <c r="AA9" i="9" s="1"/>
  <c r="AG9" i="9" s="1"/>
  <c r="W9" i="9"/>
  <c r="AD9" i="9" s="1"/>
  <c r="V9" i="9"/>
  <c r="S9" i="9"/>
  <c r="R9" i="9"/>
  <c r="O9" i="9"/>
  <c r="N9" i="9"/>
  <c r="L9" i="9"/>
  <c r="AK9" i="9" s="1"/>
  <c r="K9" i="9"/>
  <c r="AO8" i="9"/>
  <c r="X8" i="9"/>
  <c r="W8" i="9"/>
  <c r="AD8" i="9" s="1"/>
  <c r="P8" i="9"/>
  <c r="O8" i="9"/>
  <c r="L8" i="9"/>
  <c r="AI8" i="9" s="1"/>
  <c r="AO7" i="9"/>
  <c r="AK7" i="9"/>
  <c r="AC7" i="9"/>
  <c r="AE7" i="9" s="1"/>
  <c r="X7" i="9"/>
  <c r="U7" i="9"/>
  <c r="AF7" i="9" s="1"/>
  <c r="P7" i="9"/>
  <c r="M7" i="9"/>
  <c r="L7" i="9"/>
  <c r="Y7" i="9" s="1"/>
  <c r="AO6" i="9"/>
  <c r="AL6" i="9"/>
  <c r="AK6" i="9"/>
  <c r="AH6" i="9"/>
  <c r="AC6" i="9"/>
  <c r="AE6" i="9" s="1"/>
  <c r="Z6" i="9"/>
  <c r="V6" i="9"/>
  <c r="U6" i="9"/>
  <c r="AF6" i="9" s="1"/>
  <c r="R6" i="9"/>
  <c r="Q6" i="9"/>
  <c r="N6" i="9"/>
  <c r="M6" i="9"/>
  <c r="L6" i="9"/>
  <c r="AJ6" i="9" s="1"/>
  <c r="AO5" i="9"/>
  <c r="AL5" i="9"/>
  <c r="AI5" i="9"/>
  <c r="AH5" i="9"/>
  <c r="AD5" i="9"/>
  <c r="AA5" i="9"/>
  <c r="AG5" i="9" s="1"/>
  <c r="Z5" i="9"/>
  <c r="W5" i="9"/>
  <c r="V5" i="9"/>
  <c r="S5" i="9"/>
  <c r="R5" i="9"/>
  <c r="O5" i="9"/>
  <c r="N5" i="9"/>
  <c r="L5" i="9"/>
  <c r="AK5" i="9" s="1"/>
  <c r="K5" i="9"/>
  <c r="AI4" i="9"/>
  <c r="S4" i="9"/>
  <c r="L4" i="9"/>
  <c r="X4" i="9" s="1"/>
  <c r="K4" i="9"/>
  <c r="AO3" i="9"/>
  <c r="Q3" i="9"/>
  <c r="L3" i="9"/>
  <c r="X3" i="9" s="1"/>
  <c r="Y3" i="9" s="1"/>
  <c r="AO2" i="9"/>
  <c r="AL2" i="9"/>
  <c r="AK2" i="9"/>
  <c r="AI2" i="9"/>
  <c r="AH2" i="9"/>
  <c r="AD2" i="9"/>
  <c r="AC2" i="9"/>
  <c r="AE2" i="9" s="1"/>
  <c r="Z2" i="9"/>
  <c r="AA2" i="9" s="1"/>
  <c r="AG2" i="9" s="1"/>
  <c r="W2" i="9"/>
  <c r="V2" i="9"/>
  <c r="U2" i="9"/>
  <c r="AF2" i="9" s="1"/>
  <c r="S2" i="9"/>
  <c r="R2" i="9"/>
  <c r="Q2" i="9"/>
  <c r="O2" i="9"/>
  <c r="N2" i="9"/>
  <c r="M2" i="9"/>
  <c r="L2" i="9"/>
  <c r="AJ2" i="9" s="1"/>
  <c r="K2" i="9"/>
  <c r="AO1" i="9"/>
  <c r="K1" i="9"/>
  <c r="AI501" i="8"/>
  <c r="S501" i="8"/>
  <c r="L501" i="8"/>
  <c r="X501" i="8" s="1"/>
  <c r="K501" i="8"/>
  <c r="X500" i="8"/>
  <c r="W500" i="8"/>
  <c r="AD500" i="8" s="1"/>
  <c r="P500" i="8"/>
  <c r="O500" i="8"/>
  <c r="L500" i="8"/>
  <c r="AI500" i="8" s="1"/>
  <c r="AI499" i="8"/>
  <c r="S499" i="8"/>
  <c r="L499" i="8"/>
  <c r="X499" i="8" s="1"/>
  <c r="K499" i="8"/>
  <c r="X498" i="8"/>
  <c r="W498" i="8"/>
  <c r="AD498" i="8" s="1"/>
  <c r="P498" i="8"/>
  <c r="O498" i="8"/>
  <c r="L498" i="8"/>
  <c r="AI498" i="8" s="1"/>
  <c r="AI497" i="8"/>
  <c r="S497" i="8"/>
  <c r="L497" i="8"/>
  <c r="X497" i="8" s="1"/>
  <c r="K497" i="8"/>
  <c r="X496" i="8"/>
  <c r="W496" i="8"/>
  <c r="AD496" i="8" s="1"/>
  <c r="P496" i="8"/>
  <c r="O496" i="8"/>
  <c r="L496" i="8"/>
  <c r="AI496" i="8" s="1"/>
  <c r="AI495" i="8"/>
  <c r="S495" i="8"/>
  <c r="L495" i="8"/>
  <c r="X495" i="8" s="1"/>
  <c r="K495" i="8"/>
  <c r="X494" i="8"/>
  <c r="W494" i="8"/>
  <c r="AD494" i="8" s="1"/>
  <c r="P494" i="8"/>
  <c r="O494" i="8"/>
  <c r="L494" i="8"/>
  <c r="AI494" i="8" s="1"/>
  <c r="AI493" i="8"/>
  <c r="S493" i="8"/>
  <c r="L493" i="8"/>
  <c r="X493" i="8" s="1"/>
  <c r="K493" i="8"/>
  <c r="X492" i="8"/>
  <c r="W492" i="8"/>
  <c r="AD492" i="8" s="1"/>
  <c r="P492" i="8"/>
  <c r="O492" i="8"/>
  <c r="L492" i="8"/>
  <c r="AI492" i="8" s="1"/>
  <c r="AI491" i="8"/>
  <c r="S491" i="8"/>
  <c r="L491" i="8"/>
  <c r="X491" i="8" s="1"/>
  <c r="K491" i="8"/>
  <c r="X490" i="8"/>
  <c r="W490" i="8"/>
  <c r="AD490" i="8" s="1"/>
  <c r="P490" i="8"/>
  <c r="O490" i="8"/>
  <c r="L490" i="8"/>
  <c r="AI490" i="8" s="1"/>
  <c r="AI489" i="8"/>
  <c r="S489" i="8"/>
  <c r="L489" i="8"/>
  <c r="X489" i="8" s="1"/>
  <c r="K489" i="8"/>
  <c r="X488" i="8"/>
  <c r="W488" i="8"/>
  <c r="AD488" i="8" s="1"/>
  <c r="P488" i="8"/>
  <c r="O488" i="8"/>
  <c r="L488" i="8"/>
  <c r="AI488" i="8" s="1"/>
  <c r="AI487" i="8"/>
  <c r="S487" i="8"/>
  <c r="L487" i="8"/>
  <c r="X487" i="8" s="1"/>
  <c r="K487" i="8"/>
  <c r="X486" i="8"/>
  <c r="W486" i="8"/>
  <c r="AD486" i="8" s="1"/>
  <c r="P486" i="8"/>
  <c r="O486" i="8"/>
  <c r="L486" i="8"/>
  <c r="AI486" i="8" s="1"/>
  <c r="AI485" i="8"/>
  <c r="S485" i="8"/>
  <c r="L485" i="8"/>
  <c r="X485" i="8" s="1"/>
  <c r="K485" i="8"/>
  <c r="X484" i="8"/>
  <c r="W484" i="8"/>
  <c r="AD484" i="8" s="1"/>
  <c r="P484" i="8"/>
  <c r="O484" i="8"/>
  <c r="L484" i="8"/>
  <c r="AI484" i="8" s="1"/>
  <c r="AI483" i="8"/>
  <c r="S483" i="8"/>
  <c r="L483" i="8"/>
  <c r="X483" i="8" s="1"/>
  <c r="K483" i="8"/>
  <c r="X482" i="8"/>
  <c r="W482" i="8"/>
  <c r="AD482" i="8" s="1"/>
  <c r="P482" i="8"/>
  <c r="O482" i="8"/>
  <c r="L482" i="8"/>
  <c r="AI482" i="8" s="1"/>
  <c r="AI481" i="8"/>
  <c r="S481" i="8"/>
  <c r="L481" i="8"/>
  <c r="X481" i="8" s="1"/>
  <c r="K481" i="8"/>
  <c r="X480" i="8"/>
  <c r="W480" i="8"/>
  <c r="AD480" i="8" s="1"/>
  <c r="P480" i="8"/>
  <c r="O480" i="8"/>
  <c r="L480" i="8"/>
  <c r="AI480" i="8" s="1"/>
  <c r="AI479" i="8"/>
  <c r="S479" i="8"/>
  <c r="L479" i="8"/>
  <c r="X479" i="8" s="1"/>
  <c r="K479" i="8"/>
  <c r="X478" i="8"/>
  <c r="W478" i="8"/>
  <c r="AD478" i="8" s="1"/>
  <c r="P478" i="8"/>
  <c r="O478" i="8"/>
  <c r="L478" i="8"/>
  <c r="AI478" i="8" s="1"/>
  <c r="AI477" i="8"/>
  <c r="S477" i="8"/>
  <c r="L477" i="8"/>
  <c r="X477" i="8" s="1"/>
  <c r="K477" i="8"/>
  <c r="X476" i="8"/>
  <c r="W476" i="8"/>
  <c r="AD476" i="8" s="1"/>
  <c r="P476" i="8"/>
  <c r="O476" i="8"/>
  <c r="L476" i="8"/>
  <c r="AI476" i="8" s="1"/>
  <c r="AI475" i="8"/>
  <c r="S475" i="8"/>
  <c r="L475" i="8"/>
  <c r="X475" i="8" s="1"/>
  <c r="K475" i="8"/>
  <c r="X474" i="8"/>
  <c r="W474" i="8"/>
  <c r="AD474" i="8" s="1"/>
  <c r="P474" i="8"/>
  <c r="O474" i="8"/>
  <c r="L474" i="8"/>
  <c r="AI474" i="8" s="1"/>
  <c r="AI473" i="8"/>
  <c r="S473" i="8"/>
  <c r="L473" i="8"/>
  <c r="X473" i="8" s="1"/>
  <c r="K473" i="8"/>
  <c r="X472" i="8"/>
  <c r="W472" i="8"/>
  <c r="AD472" i="8" s="1"/>
  <c r="P472" i="8"/>
  <c r="O472" i="8"/>
  <c r="L472" i="8"/>
  <c r="AI472" i="8" s="1"/>
  <c r="AI471" i="8"/>
  <c r="S471" i="8"/>
  <c r="L471" i="8"/>
  <c r="X471" i="8" s="1"/>
  <c r="K471" i="8"/>
  <c r="X470" i="8"/>
  <c r="W470" i="8"/>
  <c r="AD470" i="8" s="1"/>
  <c r="P470" i="8"/>
  <c r="O470" i="8"/>
  <c r="L470" i="8"/>
  <c r="AI470" i="8" s="1"/>
  <c r="AI469" i="8"/>
  <c r="S469" i="8"/>
  <c r="L469" i="8"/>
  <c r="X469" i="8" s="1"/>
  <c r="K469" i="8"/>
  <c r="X468" i="8"/>
  <c r="W468" i="8"/>
  <c r="AD468" i="8" s="1"/>
  <c r="P468" i="8"/>
  <c r="O468" i="8"/>
  <c r="L468" i="8"/>
  <c r="AI468" i="8" s="1"/>
  <c r="AI467" i="8"/>
  <c r="S467" i="8"/>
  <c r="L467" i="8"/>
  <c r="X467" i="8" s="1"/>
  <c r="K467" i="8"/>
  <c r="X466" i="8"/>
  <c r="W466" i="8"/>
  <c r="AD466" i="8" s="1"/>
  <c r="P466" i="8"/>
  <c r="O466" i="8"/>
  <c r="L466" i="8"/>
  <c r="AI466" i="8" s="1"/>
  <c r="AI465" i="8"/>
  <c r="S465" i="8"/>
  <c r="L465" i="8"/>
  <c r="X465" i="8" s="1"/>
  <c r="K465" i="8"/>
  <c r="X464" i="8"/>
  <c r="W464" i="8"/>
  <c r="AD464" i="8" s="1"/>
  <c r="P464" i="8"/>
  <c r="O464" i="8"/>
  <c r="L464" i="8"/>
  <c r="AI464" i="8" s="1"/>
  <c r="AI463" i="8"/>
  <c r="S463" i="8"/>
  <c r="L463" i="8"/>
  <c r="X463" i="8" s="1"/>
  <c r="K463" i="8"/>
  <c r="X462" i="8"/>
  <c r="W462" i="8"/>
  <c r="AD462" i="8" s="1"/>
  <c r="P462" i="8"/>
  <c r="O462" i="8"/>
  <c r="L462" i="8"/>
  <c r="AI462" i="8" s="1"/>
  <c r="AI461" i="8"/>
  <c r="S461" i="8"/>
  <c r="L461" i="8"/>
  <c r="X461" i="8" s="1"/>
  <c r="K461" i="8"/>
  <c r="X460" i="8"/>
  <c r="W460" i="8"/>
  <c r="AD460" i="8" s="1"/>
  <c r="P460" i="8"/>
  <c r="O460" i="8"/>
  <c r="L460" i="8"/>
  <c r="AI460" i="8" s="1"/>
  <c r="AI459" i="8"/>
  <c r="S459" i="8"/>
  <c r="L459" i="8"/>
  <c r="X459" i="8" s="1"/>
  <c r="K459" i="8"/>
  <c r="X458" i="8"/>
  <c r="W458" i="8"/>
  <c r="AD458" i="8" s="1"/>
  <c r="P458" i="8"/>
  <c r="O458" i="8"/>
  <c r="L458" i="8"/>
  <c r="AI458" i="8" s="1"/>
  <c r="AI457" i="8"/>
  <c r="S457" i="8"/>
  <c r="L457" i="8"/>
  <c r="X457" i="8" s="1"/>
  <c r="K457" i="8"/>
  <c r="X456" i="8"/>
  <c r="W456" i="8"/>
  <c r="AD456" i="8" s="1"/>
  <c r="P456" i="8"/>
  <c r="O456" i="8"/>
  <c r="L456" i="8"/>
  <c r="AI456" i="8" s="1"/>
  <c r="AI455" i="8"/>
  <c r="S455" i="8"/>
  <c r="L455" i="8"/>
  <c r="X455" i="8" s="1"/>
  <c r="K455" i="8"/>
  <c r="X454" i="8"/>
  <c r="W454" i="8"/>
  <c r="AD454" i="8" s="1"/>
  <c r="P454" i="8"/>
  <c r="O454" i="8"/>
  <c r="L454" i="8"/>
  <c r="AI454" i="8" s="1"/>
  <c r="AI453" i="8"/>
  <c r="S453" i="8"/>
  <c r="L453" i="8"/>
  <c r="X453" i="8" s="1"/>
  <c r="K453" i="8"/>
  <c r="X452" i="8"/>
  <c r="W452" i="8"/>
  <c r="AD452" i="8" s="1"/>
  <c r="P452" i="8"/>
  <c r="O452" i="8"/>
  <c r="L452" i="8"/>
  <c r="AI452" i="8" s="1"/>
  <c r="AI451" i="8"/>
  <c r="S451" i="8"/>
  <c r="L451" i="8"/>
  <c r="X451" i="8" s="1"/>
  <c r="K451" i="8"/>
  <c r="X450" i="8"/>
  <c r="W450" i="8"/>
  <c r="AD450" i="8" s="1"/>
  <c r="P450" i="8"/>
  <c r="O450" i="8"/>
  <c r="L450" i="8"/>
  <c r="AI450" i="8" s="1"/>
  <c r="AI449" i="8"/>
  <c r="S449" i="8"/>
  <c r="L449" i="8"/>
  <c r="X449" i="8" s="1"/>
  <c r="K449" i="8"/>
  <c r="X448" i="8"/>
  <c r="W448" i="8"/>
  <c r="AD448" i="8" s="1"/>
  <c r="P448" i="8"/>
  <c r="O448" i="8"/>
  <c r="L448" i="8"/>
  <c r="AI448" i="8" s="1"/>
  <c r="AI447" i="8"/>
  <c r="S447" i="8"/>
  <c r="L447" i="8"/>
  <c r="X447" i="8" s="1"/>
  <c r="K447" i="8"/>
  <c r="X446" i="8"/>
  <c r="W446" i="8"/>
  <c r="AD446" i="8" s="1"/>
  <c r="P446" i="8"/>
  <c r="O446" i="8"/>
  <c r="L446" i="8"/>
  <c r="AI446" i="8" s="1"/>
  <c r="AI445" i="8"/>
  <c r="S445" i="8"/>
  <c r="L445" i="8"/>
  <c r="X445" i="8" s="1"/>
  <c r="K445" i="8"/>
  <c r="X444" i="8"/>
  <c r="W444" i="8"/>
  <c r="AD444" i="8" s="1"/>
  <c r="P444" i="8"/>
  <c r="O444" i="8"/>
  <c r="L444" i="8"/>
  <c r="AI444" i="8" s="1"/>
  <c r="AI443" i="8"/>
  <c r="S443" i="8"/>
  <c r="L443" i="8"/>
  <c r="X443" i="8" s="1"/>
  <c r="K443" i="8"/>
  <c r="X442" i="8"/>
  <c r="W442" i="8"/>
  <c r="AD442" i="8" s="1"/>
  <c r="P442" i="8"/>
  <c r="O442" i="8"/>
  <c r="L442" i="8"/>
  <c r="AI442" i="8" s="1"/>
  <c r="AI441" i="8"/>
  <c r="S441" i="8"/>
  <c r="L441" i="8"/>
  <c r="X441" i="8" s="1"/>
  <c r="K441" i="8"/>
  <c r="X440" i="8"/>
  <c r="W440" i="8"/>
  <c r="AD440" i="8" s="1"/>
  <c r="P440" i="8"/>
  <c r="O440" i="8"/>
  <c r="L440" i="8"/>
  <c r="AI440" i="8" s="1"/>
  <c r="AI439" i="8"/>
  <c r="S439" i="8"/>
  <c r="L439" i="8"/>
  <c r="X439" i="8" s="1"/>
  <c r="K439" i="8"/>
  <c r="X438" i="8"/>
  <c r="W438" i="8"/>
  <c r="AD438" i="8" s="1"/>
  <c r="P438" i="8"/>
  <c r="O438" i="8"/>
  <c r="L438" i="8"/>
  <c r="AI438" i="8" s="1"/>
  <c r="AI437" i="8"/>
  <c r="S437" i="8"/>
  <c r="L437" i="8"/>
  <c r="X437" i="8" s="1"/>
  <c r="K437" i="8"/>
  <c r="X436" i="8"/>
  <c r="W436" i="8"/>
  <c r="AD436" i="8" s="1"/>
  <c r="P436" i="8"/>
  <c r="O436" i="8"/>
  <c r="L436" i="8"/>
  <c r="AI436" i="8" s="1"/>
  <c r="AI435" i="8"/>
  <c r="S435" i="8"/>
  <c r="L435" i="8"/>
  <c r="X435" i="8" s="1"/>
  <c r="K435" i="8"/>
  <c r="X434" i="8"/>
  <c r="W434" i="8"/>
  <c r="AD434" i="8" s="1"/>
  <c r="P434" i="8"/>
  <c r="O434" i="8"/>
  <c r="L434" i="8"/>
  <c r="AI434" i="8" s="1"/>
  <c r="AI433" i="8"/>
  <c r="S433" i="8"/>
  <c r="L433" i="8"/>
  <c r="X433" i="8" s="1"/>
  <c r="K433" i="8"/>
  <c r="X432" i="8"/>
  <c r="W432" i="8"/>
  <c r="AD432" i="8" s="1"/>
  <c r="P432" i="8"/>
  <c r="O432" i="8"/>
  <c r="L432" i="8"/>
  <c r="AI432" i="8" s="1"/>
  <c r="AI431" i="8"/>
  <c r="S431" i="8"/>
  <c r="L431" i="8"/>
  <c r="X431" i="8" s="1"/>
  <c r="K431" i="8"/>
  <c r="X430" i="8"/>
  <c r="W430" i="8"/>
  <c r="AD430" i="8" s="1"/>
  <c r="P430" i="8"/>
  <c r="O430" i="8"/>
  <c r="L430" i="8"/>
  <c r="AI430" i="8" s="1"/>
  <c r="AI429" i="8"/>
  <c r="S429" i="8"/>
  <c r="L429" i="8"/>
  <c r="X429" i="8" s="1"/>
  <c r="K429" i="8"/>
  <c r="X428" i="8"/>
  <c r="W428" i="8"/>
  <c r="AD428" i="8" s="1"/>
  <c r="P428" i="8"/>
  <c r="O428" i="8"/>
  <c r="L428" i="8"/>
  <c r="AI428" i="8" s="1"/>
  <c r="AI427" i="8"/>
  <c r="S427" i="8"/>
  <c r="L427" i="8"/>
  <c r="X427" i="8" s="1"/>
  <c r="K427" i="8"/>
  <c r="X426" i="8"/>
  <c r="W426" i="8"/>
  <c r="AD426" i="8" s="1"/>
  <c r="P426" i="8"/>
  <c r="O426" i="8"/>
  <c r="L426" i="8"/>
  <c r="AI426" i="8" s="1"/>
  <c r="AI425" i="8"/>
  <c r="S425" i="8"/>
  <c r="L425" i="8"/>
  <c r="X425" i="8" s="1"/>
  <c r="K425" i="8"/>
  <c r="X424" i="8"/>
  <c r="W424" i="8"/>
  <c r="AD424" i="8" s="1"/>
  <c r="P424" i="8"/>
  <c r="O424" i="8"/>
  <c r="L424" i="8"/>
  <c r="AI424" i="8" s="1"/>
  <c r="AI423" i="8"/>
  <c r="S423" i="8"/>
  <c r="L423" i="8"/>
  <c r="X423" i="8" s="1"/>
  <c r="K423" i="8"/>
  <c r="X422" i="8"/>
  <c r="W422" i="8"/>
  <c r="AD422" i="8" s="1"/>
  <c r="P422" i="8"/>
  <c r="O422" i="8"/>
  <c r="L422" i="8"/>
  <c r="AI422" i="8" s="1"/>
  <c r="AI421" i="8"/>
  <c r="S421" i="8"/>
  <c r="L421" i="8"/>
  <c r="X421" i="8" s="1"/>
  <c r="K421" i="8"/>
  <c r="X420" i="8"/>
  <c r="W420" i="8"/>
  <c r="AD420" i="8" s="1"/>
  <c r="P420" i="8"/>
  <c r="O420" i="8"/>
  <c r="L420" i="8"/>
  <c r="AI420" i="8" s="1"/>
  <c r="AI419" i="8"/>
  <c r="S419" i="8"/>
  <c r="L419" i="8"/>
  <c r="X419" i="8" s="1"/>
  <c r="K419" i="8"/>
  <c r="X418" i="8"/>
  <c r="W418" i="8"/>
  <c r="AD418" i="8" s="1"/>
  <c r="P418" i="8"/>
  <c r="O418" i="8"/>
  <c r="L418" i="8"/>
  <c r="AI418" i="8" s="1"/>
  <c r="AI417" i="8"/>
  <c r="S417" i="8"/>
  <c r="L417" i="8"/>
  <c r="X417" i="8" s="1"/>
  <c r="K417" i="8"/>
  <c r="X416" i="8"/>
  <c r="W416" i="8"/>
  <c r="AD416" i="8" s="1"/>
  <c r="P416" i="8"/>
  <c r="O416" i="8"/>
  <c r="L416" i="8"/>
  <c r="AI416" i="8" s="1"/>
  <c r="AI415" i="8"/>
  <c r="S415" i="8"/>
  <c r="L415" i="8"/>
  <c r="X415" i="8" s="1"/>
  <c r="K415" i="8"/>
  <c r="X414" i="8"/>
  <c r="W414" i="8"/>
  <c r="AD414" i="8" s="1"/>
  <c r="P414" i="8"/>
  <c r="O414" i="8"/>
  <c r="L414" i="8"/>
  <c r="AI414" i="8" s="1"/>
  <c r="AI413" i="8"/>
  <c r="S413" i="8"/>
  <c r="L413" i="8"/>
  <c r="X413" i="8" s="1"/>
  <c r="K413" i="8"/>
  <c r="X412" i="8"/>
  <c r="W412" i="8"/>
  <c r="AD412" i="8" s="1"/>
  <c r="P412" i="8"/>
  <c r="O412" i="8"/>
  <c r="L412" i="8"/>
  <c r="AI412" i="8" s="1"/>
  <c r="AI411" i="8"/>
  <c r="S411" i="8"/>
  <c r="L411" i="8"/>
  <c r="X411" i="8" s="1"/>
  <c r="K411" i="8"/>
  <c r="X410" i="8"/>
  <c r="W410" i="8"/>
  <c r="AD410" i="8" s="1"/>
  <c r="P410" i="8"/>
  <c r="O410" i="8"/>
  <c r="L410" i="8"/>
  <c r="AI410" i="8" s="1"/>
  <c r="AI409" i="8"/>
  <c r="S409" i="8"/>
  <c r="L409" i="8"/>
  <c r="X409" i="8" s="1"/>
  <c r="K409" i="8"/>
  <c r="X408" i="8"/>
  <c r="W408" i="8"/>
  <c r="AD408" i="8" s="1"/>
  <c r="P408" i="8"/>
  <c r="O408" i="8"/>
  <c r="L408" i="8"/>
  <c r="AI408" i="8" s="1"/>
  <c r="AI407" i="8"/>
  <c r="S407" i="8"/>
  <c r="L407" i="8"/>
  <c r="X407" i="8" s="1"/>
  <c r="K407" i="8"/>
  <c r="X406" i="8"/>
  <c r="W406" i="8"/>
  <c r="AD406" i="8" s="1"/>
  <c r="P406" i="8"/>
  <c r="O406" i="8"/>
  <c r="L406" i="8"/>
  <c r="AI406" i="8" s="1"/>
  <c r="AI405" i="8"/>
  <c r="S405" i="8"/>
  <c r="L405" i="8"/>
  <c r="X405" i="8" s="1"/>
  <c r="K405" i="8"/>
  <c r="X404" i="8"/>
  <c r="W404" i="8"/>
  <c r="AD404" i="8" s="1"/>
  <c r="P404" i="8"/>
  <c r="O404" i="8"/>
  <c r="L404" i="8"/>
  <c r="AI404" i="8" s="1"/>
  <c r="AI403" i="8"/>
  <c r="S403" i="8"/>
  <c r="L403" i="8"/>
  <c r="X403" i="8" s="1"/>
  <c r="K403" i="8"/>
  <c r="X402" i="8"/>
  <c r="W402" i="8"/>
  <c r="AD402" i="8" s="1"/>
  <c r="P402" i="8"/>
  <c r="O402" i="8"/>
  <c r="L402" i="8"/>
  <c r="AI402" i="8" s="1"/>
  <c r="AI401" i="8"/>
  <c r="S401" i="8"/>
  <c r="L401" i="8"/>
  <c r="X401" i="8" s="1"/>
  <c r="K401" i="8"/>
  <c r="X400" i="8"/>
  <c r="W400" i="8"/>
  <c r="AD400" i="8" s="1"/>
  <c r="P400" i="8"/>
  <c r="O400" i="8"/>
  <c r="L400" i="8"/>
  <c r="AI400" i="8" s="1"/>
  <c r="AI399" i="8"/>
  <c r="S399" i="8"/>
  <c r="L399" i="8"/>
  <c r="X399" i="8" s="1"/>
  <c r="K399" i="8"/>
  <c r="X398" i="8"/>
  <c r="W398" i="8"/>
  <c r="AD398" i="8" s="1"/>
  <c r="P398" i="8"/>
  <c r="O398" i="8"/>
  <c r="L398" i="8"/>
  <c r="AI398" i="8" s="1"/>
  <c r="AI397" i="8"/>
  <c r="S397" i="8"/>
  <c r="L397" i="8"/>
  <c r="X397" i="8" s="1"/>
  <c r="K397" i="8"/>
  <c r="V396" i="8"/>
  <c r="U396" i="8"/>
  <c r="AF396" i="8" s="1"/>
  <c r="R396" i="8"/>
  <c r="Q396" i="8"/>
  <c r="N396" i="8"/>
  <c r="M396" i="8"/>
  <c r="L396" i="8"/>
  <c r="AI396" i="8" s="1"/>
  <c r="AL395" i="8"/>
  <c r="AK395" i="8"/>
  <c r="AH395" i="8"/>
  <c r="AC395" i="8"/>
  <c r="AE395" i="8" s="1"/>
  <c r="Z395" i="8"/>
  <c r="V395" i="8"/>
  <c r="U395" i="8"/>
  <c r="AF395" i="8" s="1"/>
  <c r="R395" i="8"/>
  <c r="Q395" i="8"/>
  <c r="N395" i="8"/>
  <c r="M395" i="8"/>
  <c r="L395" i="8"/>
  <c r="AJ395" i="8" s="1"/>
  <c r="AL394" i="8"/>
  <c r="AK394" i="8"/>
  <c r="AH394" i="8"/>
  <c r="AC394" i="8"/>
  <c r="AE394" i="8" s="1"/>
  <c r="Z394" i="8"/>
  <c r="V394" i="8"/>
  <c r="U394" i="8"/>
  <c r="AF394" i="8" s="1"/>
  <c r="R394" i="8"/>
  <c r="Q394" i="8"/>
  <c r="N394" i="8"/>
  <c r="M394" i="8"/>
  <c r="L394" i="8"/>
  <c r="AJ394" i="8" s="1"/>
  <c r="AL393" i="8"/>
  <c r="AK393" i="8"/>
  <c r="AH393" i="8"/>
  <c r="AC393" i="8"/>
  <c r="AE393" i="8" s="1"/>
  <c r="Z393" i="8"/>
  <c r="V393" i="8"/>
  <c r="U393" i="8"/>
  <c r="AF393" i="8" s="1"/>
  <c r="R393" i="8"/>
  <c r="Q393" i="8"/>
  <c r="N393" i="8"/>
  <c r="M393" i="8"/>
  <c r="L393" i="8"/>
  <c r="AJ393" i="8" s="1"/>
  <c r="AL392" i="8"/>
  <c r="AK392" i="8"/>
  <c r="AH392" i="8"/>
  <c r="AC392" i="8"/>
  <c r="AE392" i="8" s="1"/>
  <c r="Z392" i="8"/>
  <c r="V392" i="8"/>
  <c r="U392" i="8"/>
  <c r="AF392" i="8" s="1"/>
  <c r="R392" i="8"/>
  <c r="Q392" i="8"/>
  <c r="N392" i="8"/>
  <c r="M392" i="8"/>
  <c r="L392" i="8"/>
  <c r="AJ392" i="8" s="1"/>
  <c r="AL391" i="8"/>
  <c r="AK391" i="8"/>
  <c r="AH391" i="8"/>
  <c r="AC391" i="8"/>
  <c r="AE391" i="8" s="1"/>
  <c r="Z391" i="8"/>
  <c r="V391" i="8"/>
  <c r="U391" i="8"/>
  <c r="AF391" i="8" s="1"/>
  <c r="R391" i="8"/>
  <c r="Q391" i="8"/>
  <c r="N391" i="8"/>
  <c r="M391" i="8"/>
  <c r="L391" i="8"/>
  <c r="AJ391" i="8" s="1"/>
  <c r="AL390" i="8"/>
  <c r="AK390" i="8"/>
  <c r="AH390" i="8"/>
  <c r="AC390" i="8"/>
  <c r="AE390" i="8" s="1"/>
  <c r="Z390" i="8"/>
  <c r="V390" i="8"/>
  <c r="U390" i="8"/>
  <c r="AF390" i="8" s="1"/>
  <c r="R390" i="8"/>
  <c r="Q390" i="8"/>
  <c r="N390" i="8"/>
  <c r="M390" i="8"/>
  <c r="L390" i="8"/>
  <c r="AJ390" i="8" s="1"/>
  <c r="AL389" i="8"/>
  <c r="AK389" i="8"/>
  <c r="AH389" i="8"/>
  <c r="AC389" i="8"/>
  <c r="AE389" i="8" s="1"/>
  <c r="Z389" i="8"/>
  <c r="V389" i="8"/>
  <c r="U389" i="8"/>
  <c r="AF389" i="8" s="1"/>
  <c r="R389" i="8"/>
  <c r="Q389" i="8"/>
  <c r="N389" i="8"/>
  <c r="M389" i="8"/>
  <c r="L389" i="8"/>
  <c r="AJ389" i="8" s="1"/>
  <c r="AL388" i="8"/>
  <c r="AK388" i="8"/>
  <c r="AH388" i="8"/>
  <c r="AC388" i="8"/>
  <c r="AE388" i="8" s="1"/>
  <c r="Z388" i="8"/>
  <c r="V388" i="8"/>
  <c r="U388" i="8"/>
  <c r="AF388" i="8" s="1"/>
  <c r="R388" i="8"/>
  <c r="Q388" i="8"/>
  <c r="N388" i="8"/>
  <c r="M388" i="8"/>
  <c r="L388" i="8"/>
  <c r="AJ388" i="8" s="1"/>
  <c r="AL387" i="8"/>
  <c r="AK387" i="8"/>
  <c r="AH387" i="8"/>
  <c r="AC387" i="8"/>
  <c r="AE387" i="8" s="1"/>
  <c r="Z387" i="8"/>
  <c r="V387" i="8"/>
  <c r="U387" i="8"/>
  <c r="AF387" i="8" s="1"/>
  <c r="R387" i="8"/>
  <c r="Q387" i="8"/>
  <c r="N387" i="8"/>
  <c r="M387" i="8"/>
  <c r="L387" i="8"/>
  <c r="AJ387" i="8" s="1"/>
  <c r="AL386" i="8"/>
  <c r="AK386" i="8"/>
  <c r="AH386" i="8"/>
  <c r="AC386" i="8"/>
  <c r="AE386" i="8" s="1"/>
  <c r="Z386" i="8"/>
  <c r="V386" i="8"/>
  <c r="U386" i="8"/>
  <c r="AF386" i="8" s="1"/>
  <c r="R386" i="8"/>
  <c r="Q386" i="8"/>
  <c r="N386" i="8"/>
  <c r="M386" i="8"/>
  <c r="L386" i="8"/>
  <c r="AJ386" i="8" s="1"/>
  <c r="AL385" i="8"/>
  <c r="AK385" i="8"/>
  <c r="AH385" i="8"/>
  <c r="AC385" i="8"/>
  <c r="AE385" i="8" s="1"/>
  <c r="Z385" i="8"/>
  <c r="V385" i="8"/>
  <c r="U385" i="8"/>
  <c r="AF385" i="8" s="1"/>
  <c r="R385" i="8"/>
  <c r="Q385" i="8"/>
  <c r="N385" i="8"/>
  <c r="M385" i="8"/>
  <c r="L385" i="8"/>
  <c r="AJ385" i="8" s="1"/>
  <c r="AL384" i="8"/>
  <c r="AK384" i="8"/>
  <c r="AH384" i="8"/>
  <c r="AC384" i="8"/>
  <c r="AE384" i="8" s="1"/>
  <c r="Z384" i="8"/>
  <c r="V384" i="8"/>
  <c r="U384" i="8"/>
  <c r="AF384" i="8" s="1"/>
  <c r="R384" i="8"/>
  <c r="Q384" i="8"/>
  <c r="N384" i="8"/>
  <c r="M384" i="8"/>
  <c r="L384" i="8"/>
  <c r="AJ384" i="8" s="1"/>
  <c r="AL383" i="8"/>
  <c r="AK383" i="8"/>
  <c r="AH383" i="8"/>
  <c r="AC383" i="8"/>
  <c r="AE383" i="8" s="1"/>
  <c r="Z383" i="8"/>
  <c r="V383" i="8"/>
  <c r="U383" i="8"/>
  <c r="AF383" i="8" s="1"/>
  <c r="R383" i="8"/>
  <c r="Q383" i="8"/>
  <c r="N383" i="8"/>
  <c r="M383" i="8"/>
  <c r="L383" i="8"/>
  <c r="AJ383" i="8" s="1"/>
  <c r="AL382" i="8"/>
  <c r="AK382" i="8"/>
  <c r="AH382" i="8"/>
  <c r="AC382" i="8"/>
  <c r="AE382" i="8" s="1"/>
  <c r="Z382" i="8"/>
  <c r="V382" i="8"/>
  <c r="U382" i="8"/>
  <c r="AF382" i="8" s="1"/>
  <c r="R382" i="8"/>
  <c r="Q382" i="8"/>
  <c r="N382" i="8"/>
  <c r="M382" i="8"/>
  <c r="L382" i="8"/>
  <c r="AJ382" i="8" s="1"/>
  <c r="AL381" i="8"/>
  <c r="AK381" i="8"/>
  <c r="AH381" i="8"/>
  <c r="AC381" i="8"/>
  <c r="AE381" i="8" s="1"/>
  <c r="Z381" i="8"/>
  <c r="V381" i="8"/>
  <c r="U381" i="8"/>
  <c r="AF381" i="8" s="1"/>
  <c r="R381" i="8"/>
  <c r="Q381" i="8"/>
  <c r="N381" i="8"/>
  <c r="M381" i="8"/>
  <c r="L381" i="8"/>
  <c r="AJ381" i="8" s="1"/>
  <c r="AL380" i="8"/>
  <c r="AK380" i="8"/>
  <c r="AH380" i="8"/>
  <c r="AC380" i="8"/>
  <c r="AE380" i="8" s="1"/>
  <c r="Z380" i="8"/>
  <c r="V380" i="8"/>
  <c r="U380" i="8"/>
  <c r="AF380" i="8" s="1"/>
  <c r="R380" i="8"/>
  <c r="Q380" i="8"/>
  <c r="N380" i="8"/>
  <c r="M380" i="8"/>
  <c r="L380" i="8"/>
  <c r="AJ380" i="8" s="1"/>
  <c r="AL379" i="8"/>
  <c r="AK379" i="8"/>
  <c r="AH379" i="8"/>
  <c r="AC379" i="8"/>
  <c r="AE379" i="8" s="1"/>
  <c r="Z379" i="8"/>
  <c r="V379" i="8"/>
  <c r="U379" i="8"/>
  <c r="AF379" i="8" s="1"/>
  <c r="R379" i="8"/>
  <c r="Q379" i="8"/>
  <c r="N379" i="8"/>
  <c r="M379" i="8"/>
  <c r="L379" i="8"/>
  <c r="AJ379" i="8" s="1"/>
  <c r="AL378" i="8"/>
  <c r="AK378" i="8"/>
  <c r="AH378" i="8"/>
  <c r="AC378" i="8"/>
  <c r="AE378" i="8" s="1"/>
  <c r="Z378" i="8"/>
  <c r="V378" i="8"/>
  <c r="U378" i="8"/>
  <c r="AF378" i="8" s="1"/>
  <c r="R378" i="8"/>
  <c r="Q378" i="8"/>
  <c r="N378" i="8"/>
  <c r="M378" i="8"/>
  <c r="L378" i="8"/>
  <c r="AJ378" i="8" s="1"/>
  <c r="AL377" i="8"/>
  <c r="AK377" i="8"/>
  <c r="AH377" i="8"/>
  <c r="AC377" i="8"/>
  <c r="AE377" i="8" s="1"/>
  <c r="Z377" i="8"/>
  <c r="V377" i="8"/>
  <c r="U377" i="8"/>
  <c r="AF377" i="8" s="1"/>
  <c r="R377" i="8"/>
  <c r="Q377" i="8"/>
  <c r="N377" i="8"/>
  <c r="M377" i="8"/>
  <c r="L377" i="8"/>
  <c r="AJ377" i="8" s="1"/>
  <c r="AL376" i="8"/>
  <c r="AK376" i="8"/>
  <c r="AH376" i="8"/>
  <c r="AC376" i="8"/>
  <c r="AE376" i="8" s="1"/>
  <c r="Z376" i="8"/>
  <c r="V376" i="8"/>
  <c r="U376" i="8"/>
  <c r="AF376" i="8" s="1"/>
  <c r="R376" i="8"/>
  <c r="Q376" i="8"/>
  <c r="N376" i="8"/>
  <c r="M376" i="8"/>
  <c r="L376" i="8"/>
  <c r="AJ376" i="8" s="1"/>
  <c r="AL375" i="8"/>
  <c r="AK375" i="8"/>
  <c r="AH375" i="8"/>
  <c r="AC375" i="8"/>
  <c r="AE375" i="8" s="1"/>
  <c r="Z375" i="8"/>
  <c r="V375" i="8"/>
  <c r="U375" i="8"/>
  <c r="AF375" i="8" s="1"/>
  <c r="R375" i="8"/>
  <c r="Q375" i="8"/>
  <c r="N375" i="8"/>
  <c r="M375" i="8"/>
  <c r="L375" i="8"/>
  <c r="AJ375" i="8" s="1"/>
  <c r="AL374" i="8"/>
  <c r="AK374" i="8"/>
  <c r="AH374" i="8"/>
  <c r="AC374" i="8"/>
  <c r="AE374" i="8" s="1"/>
  <c r="Z374" i="8"/>
  <c r="V374" i="8"/>
  <c r="U374" i="8"/>
  <c r="AF374" i="8" s="1"/>
  <c r="R374" i="8"/>
  <c r="Q374" i="8"/>
  <c r="N374" i="8"/>
  <c r="M374" i="8"/>
  <c r="L374" i="8"/>
  <c r="AJ374" i="8" s="1"/>
  <c r="AL373" i="8"/>
  <c r="AK373" i="8"/>
  <c r="AH373" i="8"/>
  <c r="AC373" i="8"/>
  <c r="AE373" i="8" s="1"/>
  <c r="Z373" i="8"/>
  <c r="V373" i="8"/>
  <c r="U373" i="8"/>
  <c r="AF373" i="8" s="1"/>
  <c r="R373" i="8"/>
  <c r="Q373" i="8"/>
  <c r="N373" i="8"/>
  <c r="M373" i="8"/>
  <c r="L373" i="8"/>
  <c r="AJ373" i="8" s="1"/>
  <c r="AL372" i="8"/>
  <c r="AK372" i="8"/>
  <c r="AH372" i="8"/>
  <c r="AC372" i="8"/>
  <c r="AE372" i="8" s="1"/>
  <c r="Z372" i="8"/>
  <c r="V372" i="8"/>
  <c r="U372" i="8"/>
  <c r="AF372" i="8" s="1"/>
  <c r="R372" i="8"/>
  <c r="Q372" i="8"/>
  <c r="N372" i="8"/>
  <c r="M372" i="8"/>
  <c r="L372" i="8"/>
  <c r="AJ372" i="8" s="1"/>
  <c r="AL371" i="8"/>
  <c r="AK371" i="8"/>
  <c r="AH371" i="8"/>
  <c r="AC371" i="8"/>
  <c r="AE371" i="8" s="1"/>
  <c r="Z371" i="8"/>
  <c r="V371" i="8"/>
  <c r="U371" i="8"/>
  <c r="AF371" i="8" s="1"/>
  <c r="R371" i="8"/>
  <c r="Q371" i="8"/>
  <c r="N371" i="8"/>
  <c r="M371" i="8"/>
  <c r="L371" i="8"/>
  <c r="AJ371" i="8" s="1"/>
  <c r="AL370" i="8"/>
  <c r="AK370" i="8"/>
  <c r="AH370" i="8"/>
  <c r="AC370" i="8"/>
  <c r="AE370" i="8" s="1"/>
  <c r="Z370" i="8"/>
  <c r="V370" i="8"/>
  <c r="U370" i="8"/>
  <c r="AF370" i="8" s="1"/>
  <c r="R370" i="8"/>
  <c r="Q370" i="8"/>
  <c r="N370" i="8"/>
  <c r="M370" i="8"/>
  <c r="L370" i="8"/>
  <c r="AJ370" i="8" s="1"/>
  <c r="AL369" i="8"/>
  <c r="AK369" i="8"/>
  <c r="AH369" i="8"/>
  <c r="AC369" i="8"/>
  <c r="AE369" i="8" s="1"/>
  <c r="Z369" i="8"/>
  <c r="V369" i="8"/>
  <c r="U369" i="8"/>
  <c r="AF369" i="8" s="1"/>
  <c r="R369" i="8"/>
  <c r="Q369" i="8"/>
  <c r="N369" i="8"/>
  <c r="M369" i="8"/>
  <c r="L369" i="8"/>
  <c r="AJ369" i="8" s="1"/>
  <c r="AL368" i="8"/>
  <c r="AK368" i="8"/>
  <c r="AH368" i="8"/>
  <c r="AC368" i="8"/>
  <c r="AE368" i="8" s="1"/>
  <c r="Z368" i="8"/>
  <c r="V368" i="8"/>
  <c r="U368" i="8"/>
  <c r="AF368" i="8" s="1"/>
  <c r="R368" i="8"/>
  <c r="Q368" i="8"/>
  <c r="N368" i="8"/>
  <c r="M368" i="8"/>
  <c r="L368" i="8"/>
  <c r="AJ368" i="8" s="1"/>
  <c r="AL367" i="8"/>
  <c r="AK367" i="8"/>
  <c r="AH367" i="8"/>
  <c r="AC367" i="8"/>
  <c r="AE367" i="8" s="1"/>
  <c r="Z367" i="8"/>
  <c r="V367" i="8"/>
  <c r="U367" i="8"/>
  <c r="AF367" i="8" s="1"/>
  <c r="R367" i="8"/>
  <c r="Q367" i="8"/>
  <c r="N367" i="8"/>
  <c r="M367" i="8"/>
  <c r="L367" i="8"/>
  <c r="AJ367" i="8" s="1"/>
  <c r="AL366" i="8"/>
  <c r="AK366" i="8"/>
  <c r="AH366" i="8"/>
  <c r="AC366" i="8"/>
  <c r="AE366" i="8" s="1"/>
  <c r="Z366" i="8"/>
  <c r="V366" i="8"/>
  <c r="U366" i="8"/>
  <c r="AF366" i="8" s="1"/>
  <c r="R366" i="8"/>
  <c r="Q366" i="8"/>
  <c r="N366" i="8"/>
  <c r="M366" i="8"/>
  <c r="L366" i="8"/>
  <c r="AJ366" i="8" s="1"/>
  <c r="AL365" i="8"/>
  <c r="AK365" i="8"/>
  <c r="AH365" i="8"/>
  <c r="AC365" i="8"/>
  <c r="AE365" i="8" s="1"/>
  <c r="Z365" i="8"/>
  <c r="V365" i="8"/>
  <c r="U365" i="8"/>
  <c r="AF365" i="8" s="1"/>
  <c r="R365" i="8"/>
  <c r="Q365" i="8"/>
  <c r="N365" i="8"/>
  <c r="M365" i="8"/>
  <c r="L365" i="8"/>
  <c r="AJ365" i="8" s="1"/>
  <c r="AL364" i="8"/>
  <c r="AK364" i="8"/>
  <c r="AH364" i="8"/>
  <c r="AC364" i="8"/>
  <c r="AE364" i="8" s="1"/>
  <c r="Z364" i="8"/>
  <c r="V364" i="8"/>
  <c r="U364" i="8"/>
  <c r="AF364" i="8" s="1"/>
  <c r="R364" i="8"/>
  <c r="Q364" i="8"/>
  <c r="N364" i="8"/>
  <c r="M364" i="8"/>
  <c r="L364" i="8"/>
  <c r="AJ364" i="8" s="1"/>
  <c r="AL363" i="8"/>
  <c r="AK363" i="8"/>
  <c r="AH363" i="8"/>
  <c r="AC363" i="8"/>
  <c r="AE363" i="8" s="1"/>
  <c r="Z363" i="8"/>
  <c r="V363" i="8"/>
  <c r="U363" i="8"/>
  <c r="AF363" i="8" s="1"/>
  <c r="R363" i="8"/>
  <c r="Q363" i="8"/>
  <c r="N363" i="8"/>
  <c r="M363" i="8"/>
  <c r="L363" i="8"/>
  <c r="AJ363" i="8" s="1"/>
  <c r="AL362" i="8"/>
  <c r="AK362" i="8"/>
  <c r="AH362" i="8"/>
  <c r="AC362" i="8"/>
  <c r="AE362" i="8" s="1"/>
  <c r="Z362" i="8"/>
  <c r="V362" i="8"/>
  <c r="U362" i="8"/>
  <c r="AF362" i="8" s="1"/>
  <c r="R362" i="8"/>
  <c r="Q362" i="8"/>
  <c r="N362" i="8"/>
  <c r="M362" i="8"/>
  <c r="L362" i="8"/>
  <c r="AJ362" i="8" s="1"/>
  <c r="AL361" i="8"/>
  <c r="AK361" i="8"/>
  <c r="AH361" i="8"/>
  <c r="AC361" i="8"/>
  <c r="AE361" i="8" s="1"/>
  <c r="Z361" i="8"/>
  <c r="V361" i="8"/>
  <c r="U361" i="8"/>
  <c r="AF361" i="8" s="1"/>
  <c r="R361" i="8"/>
  <c r="Q361" i="8"/>
  <c r="N361" i="8"/>
  <c r="M361" i="8"/>
  <c r="L361" i="8"/>
  <c r="AJ361" i="8" s="1"/>
  <c r="AL360" i="8"/>
  <c r="AK360" i="8"/>
  <c r="AH360" i="8"/>
  <c r="AC360" i="8"/>
  <c r="AE360" i="8" s="1"/>
  <c r="Z360" i="8"/>
  <c r="V360" i="8"/>
  <c r="U360" i="8"/>
  <c r="AF360" i="8" s="1"/>
  <c r="R360" i="8"/>
  <c r="Q360" i="8"/>
  <c r="N360" i="8"/>
  <c r="M360" i="8"/>
  <c r="L360" i="8"/>
  <c r="AJ360" i="8" s="1"/>
  <c r="AL359" i="8"/>
  <c r="AK359" i="8"/>
  <c r="AH359" i="8"/>
  <c r="AC359" i="8"/>
  <c r="AE359" i="8" s="1"/>
  <c r="Z359" i="8"/>
  <c r="V359" i="8"/>
  <c r="U359" i="8"/>
  <c r="AF359" i="8" s="1"/>
  <c r="R359" i="8"/>
  <c r="Q359" i="8"/>
  <c r="N359" i="8"/>
  <c r="M359" i="8"/>
  <c r="L359" i="8"/>
  <c r="AJ359" i="8" s="1"/>
  <c r="AL358" i="8"/>
  <c r="AK358" i="8"/>
  <c r="AH358" i="8"/>
  <c r="AC358" i="8"/>
  <c r="AE358" i="8" s="1"/>
  <c r="Z358" i="8"/>
  <c r="V358" i="8"/>
  <c r="U358" i="8"/>
  <c r="AF358" i="8" s="1"/>
  <c r="R358" i="8"/>
  <c r="Q358" i="8"/>
  <c r="N358" i="8"/>
  <c r="M358" i="8"/>
  <c r="L358" i="8"/>
  <c r="AJ358" i="8" s="1"/>
  <c r="AL357" i="8"/>
  <c r="AK357" i="8"/>
  <c r="AH357" i="8"/>
  <c r="AC357" i="8"/>
  <c r="AE357" i="8" s="1"/>
  <c r="Z357" i="8"/>
  <c r="V357" i="8"/>
  <c r="U357" i="8"/>
  <c r="AF357" i="8" s="1"/>
  <c r="R357" i="8"/>
  <c r="Q357" i="8"/>
  <c r="N357" i="8"/>
  <c r="M357" i="8"/>
  <c r="L357" i="8"/>
  <c r="AJ357" i="8" s="1"/>
  <c r="AL356" i="8"/>
  <c r="AK356" i="8"/>
  <c r="AH356" i="8"/>
  <c r="AC356" i="8"/>
  <c r="AE356" i="8" s="1"/>
  <c r="Z356" i="8"/>
  <c r="V356" i="8"/>
  <c r="U356" i="8"/>
  <c r="AF356" i="8" s="1"/>
  <c r="R356" i="8"/>
  <c r="Q356" i="8"/>
  <c r="N356" i="8"/>
  <c r="M356" i="8"/>
  <c r="L356" i="8"/>
  <c r="AJ356" i="8" s="1"/>
  <c r="AL355" i="8"/>
  <c r="AK355" i="8"/>
  <c r="AH355" i="8"/>
  <c r="AC355" i="8"/>
  <c r="AE355" i="8" s="1"/>
  <c r="Z355" i="8"/>
  <c r="V355" i="8"/>
  <c r="U355" i="8"/>
  <c r="AF355" i="8" s="1"/>
  <c r="R355" i="8"/>
  <c r="Q355" i="8"/>
  <c r="N355" i="8"/>
  <c r="M355" i="8"/>
  <c r="L355" i="8"/>
  <c r="AJ355" i="8" s="1"/>
  <c r="AL354" i="8"/>
  <c r="AK354" i="8"/>
  <c r="AH354" i="8"/>
  <c r="AC354" i="8"/>
  <c r="AE354" i="8" s="1"/>
  <c r="Z354" i="8"/>
  <c r="V354" i="8"/>
  <c r="U354" i="8"/>
  <c r="AF354" i="8" s="1"/>
  <c r="R354" i="8"/>
  <c r="Q354" i="8"/>
  <c r="N354" i="8"/>
  <c r="M354" i="8"/>
  <c r="L354" i="8"/>
  <c r="AJ354" i="8" s="1"/>
  <c r="AL353" i="8"/>
  <c r="AK353" i="8"/>
  <c r="AH353" i="8"/>
  <c r="AC353" i="8"/>
  <c r="AE353" i="8" s="1"/>
  <c r="Z353" i="8"/>
  <c r="V353" i="8"/>
  <c r="U353" i="8"/>
  <c r="AF353" i="8" s="1"/>
  <c r="R353" i="8"/>
  <c r="Q353" i="8"/>
  <c r="N353" i="8"/>
  <c r="M353" i="8"/>
  <c r="L353" i="8"/>
  <c r="AJ353" i="8" s="1"/>
  <c r="AL352" i="8"/>
  <c r="AK352" i="8"/>
  <c r="AH352" i="8"/>
  <c r="AC352" i="8"/>
  <c r="AE352" i="8" s="1"/>
  <c r="Z352" i="8"/>
  <c r="V352" i="8"/>
  <c r="U352" i="8"/>
  <c r="AF352" i="8" s="1"/>
  <c r="R352" i="8"/>
  <c r="Q352" i="8"/>
  <c r="N352" i="8"/>
  <c r="M352" i="8"/>
  <c r="L352" i="8"/>
  <c r="AJ352" i="8" s="1"/>
  <c r="AL351" i="8"/>
  <c r="AK351" i="8"/>
  <c r="AH351" i="8"/>
  <c r="AC351" i="8"/>
  <c r="AE351" i="8" s="1"/>
  <c r="Z351" i="8"/>
  <c r="V351" i="8"/>
  <c r="U351" i="8"/>
  <c r="AF351" i="8" s="1"/>
  <c r="R351" i="8"/>
  <c r="Q351" i="8"/>
  <c r="N351" i="8"/>
  <c r="M351" i="8"/>
  <c r="L351" i="8"/>
  <c r="AJ351" i="8" s="1"/>
  <c r="AL350" i="8"/>
  <c r="AK350" i="8"/>
  <c r="AH350" i="8"/>
  <c r="AC350" i="8"/>
  <c r="AE350" i="8" s="1"/>
  <c r="Z350" i="8"/>
  <c r="V350" i="8"/>
  <c r="U350" i="8"/>
  <c r="AF350" i="8" s="1"/>
  <c r="R350" i="8"/>
  <c r="Q350" i="8"/>
  <c r="N350" i="8"/>
  <c r="M350" i="8"/>
  <c r="L350" i="8"/>
  <c r="AJ350" i="8" s="1"/>
  <c r="AL349" i="8"/>
  <c r="AK349" i="8"/>
  <c r="AH349" i="8"/>
  <c r="AC349" i="8"/>
  <c r="AE349" i="8" s="1"/>
  <c r="Z349" i="8"/>
  <c r="V349" i="8"/>
  <c r="U349" i="8"/>
  <c r="AF349" i="8" s="1"/>
  <c r="R349" i="8"/>
  <c r="Q349" i="8"/>
  <c r="N349" i="8"/>
  <c r="M349" i="8"/>
  <c r="L349" i="8"/>
  <c r="AJ349" i="8" s="1"/>
  <c r="AL348" i="8"/>
  <c r="AK348" i="8"/>
  <c r="AH348" i="8"/>
  <c r="AC348" i="8"/>
  <c r="AE348" i="8" s="1"/>
  <c r="Z348" i="8"/>
  <c r="V348" i="8"/>
  <c r="U348" i="8"/>
  <c r="AF348" i="8" s="1"/>
  <c r="R348" i="8"/>
  <c r="Q348" i="8"/>
  <c r="N348" i="8"/>
  <c r="M348" i="8"/>
  <c r="L348" i="8"/>
  <c r="AJ348" i="8" s="1"/>
  <c r="AL347" i="8"/>
  <c r="AK347" i="8"/>
  <c r="AH347" i="8"/>
  <c r="AC347" i="8"/>
  <c r="AE347" i="8" s="1"/>
  <c r="Z347" i="8"/>
  <c r="V347" i="8"/>
  <c r="U347" i="8"/>
  <c r="AF347" i="8" s="1"/>
  <c r="R347" i="8"/>
  <c r="Q347" i="8"/>
  <c r="N347" i="8"/>
  <c r="M347" i="8"/>
  <c r="L347" i="8"/>
  <c r="AJ347" i="8" s="1"/>
  <c r="AL346" i="8"/>
  <c r="AK346" i="8"/>
  <c r="AH346" i="8"/>
  <c r="AC346" i="8"/>
  <c r="AE346" i="8" s="1"/>
  <c r="Z346" i="8"/>
  <c r="V346" i="8"/>
  <c r="U346" i="8"/>
  <c r="AF346" i="8" s="1"/>
  <c r="R346" i="8"/>
  <c r="Q346" i="8"/>
  <c r="N346" i="8"/>
  <c r="M346" i="8"/>
  <c r="L346" i="8"/>
  <c r="AJ346" i="8" s="1"/>
  <c r="AL345" i="8"/>
  <c r="AK345" i="8"/>
  <c r="AH345" i="8"/>
  <c r="AC345" i="8"/>
  <c r="AE345" i="8" s="1"/>
  <c r="Z345" i="8"/>
  <c r="V345" i="8"/>
  <c r="U345" i="8"/>
  <c r="AF345" i="8" s="1"/>
  <c r="R345" i="8"/>
  <c r="Q345" i="8"/>
  <c r="N345" i="8"/>
  <c r="M345" i="8"/>
  <c r="L345" i="8"/>
  <c r="AJ345" i="8" s="1"/>
  <c r="AL344" i="8"/>
  <c r="AK344" i="8"/>
  <c r="AH344" i="8"/>
  <c r="AC344" i="8"/>
  <c r="AE344" i="8" s="1"/>
  <c r="Z344" i="8"/>
  <c r="V344" i="8"/>
  <c r="U344" i="8"/>
  <c r="AF344" i="8" s="1"/>
  <c r="R344" i="8"/>
  <c r="Q344" i="8"/>
  <c r="N344" i="8"/>
  <c r="M344" i="8"/>
  <c r="L344" i="8"/>
  <c r="AJ344" i="8" s="1"/>
  <c r="AL343" i="8"/>
  <c r="AK343" i="8"/>
  <c r="AH343" i="8"/>
  <c r="AC343" i="8"/>
  <c r="AE343" i="8" s="1"/>
  <c r="Z343" i="8"/>
  <c r="V343" i="8"/>
  <c r="U343" i="8"/>
  <c r="AF343" i="8" s="1"/>
  <c r="R343" i="8"/>
  <c r="Q343" i="8"/>
  <c r="N343" i="8"/>
  <c r="M343" i="8"/>
  <c r="L343" i="8"/>
  <c r="AJ343" i="8" s="1"/>
  <c r="AL342" i="8"/>
  <c r="AK342" i="8"/>
  <c r="AH342" i="8"/>
  <c r="AC342" i="8"/>
  <c r="AE342" i="8" s="1"/>
  <c r="Z342" i="8"/>
  <c r="V342" i="8"/>
  <c r="U342" i="8"/>
  <c r="AF342" i="8" s="1"/>
  <c r="R342" i="8"/>
  <c r="Q342" i="8"/>
  <c r="N342" i="8"/>
  <c r="M342" i="8"/>
  <c r="L342" i="8"/>
  <c r="AJ342" i="8" s="1"/>
  <c r="AL341" i="8"/>
  <c r="AK341" i="8"/>
  <c r="AH341" i="8"/>
  <c r="AC341" i="8"/>
  <c r="AE341" i="8" s="1"/>
  <c r="Z341" i="8"/>
  <c r="V341" i="8"/>
  <c r="U341" i="8"/>
  <c r="AF341" i="8" s="1"/>
  <c r="R341" i="8"/>
  <c r="Q341" i="8"/>
  <c r="N341" i="8"/>
  <c r="M341" i="8"/>
  <c r="L341" i="8"/>
  <c r="AJ341" i="8" s="1"/>
  <c r="AL340" i="8"/>
  <c r="AK340" i="8"/>
  <c r="AH340" i="8"/>
  <c r="AC340" i="8"/>
  <c r="AE340" i="8" s="1"/>
  <c r="Z340" i="8"/>
  <c r="V340" i="8"/>
  <c r="U340" i="8"/>
  <c r="AF340" i="8" s="1"/>
  <c r="R340" i="8"/>
  <c r="Q340" i="8"/>
  <c r="N340" i="8"/>
  <c r="M340" i="8"/>
  <c r="L340" i="8"/>
  <c r="AJ340" i="8" s="1"/>
  <c r="AL339" i="8"/>
  <c r="AK339" i="8"/>
  <c r="AH339" i="8"/>
  <c r="AC339" i="8"/>
  <c r="AE339" i="8" s="1"/>
  <c r="Z339" i="8"/>
  <c r="V339" i="8"/>
  <c r="U339" i="8"/>
  <c r="AF339" i="8" s="1"/>
  <c r="R339" i="8"/>
  <c r="Q339" i="8"/>
  <c r="N339" i="8"/>
  <c r="M339" i="8"/>
  <c r="L339" i="8"/>
  <c r="AJ339" i="8" s="1"/>
  <c r="AL338" i="8"/>
  <c r="AK338" i="8"/>
  <c r="AH338" i="8"/>
  <c r="AC338" i="8"/>
  <c r="AE338" i="8" s="1"/>
  <c r="Z338" i="8"/>
  <c r="V338" i="8"/>
  <c r="U338" i="8"/>
  <c r="AF338" i="8" s="1"/>
  <c r="R338" i="8"/>
  <c r="Q338" i="8"/>
  <c r="N338" i="8"/>
  <c r="M338" i="8"/>
  <c r="L338" i="8"/>
  <c r="AJ338" i="8" s="1"/>
  <c r="AL337" i="8"/>
  <c r="AK337" i="8"/>
  <c r="AH337" i="8"/>
  <c r="AC337" i="8"/>
  <c r="AE337" i="8" s="1"/>
  <c r="Z337" i="8"/>
  <c r="V337" i="8"/>
  <c r="U337" i="8"/>
  <c r="AF337" i="8" s="1"/>
  <c r="R337" i="8"/>
  <c r="Q337" i="8"/>
  <c r="N337" i="8"/>
  <c r="M337" i="8"/>
  <c r="L337" i="8"/>
  <c r="AJ337" i="8" s="1"/>
  <c r="AL336" i="8"/>
  <c r="AK336" i="8"/>
  <c r="AH336" i="8"/>
  <c r="AC336" i="8"/>
  <c r="AE336" i="8" s="1"/>
  <c r="Z336" i="8"/>
  <c r="V336" i="8"/>
  <c r="U336" i="8"/>
  <c r="AF336" i="8" s="1"/>
  <c r="R336" i="8"/>
  <c r="Q336" i="8"/>
  <c r="N336" i="8"/>
  <c r="M336" i="8"/>
  <c r="L336" i="8"/>
  <c r="AJ336" i="8" s="1"/>
  <c r="AL335" i="8"/>
  <c r="AK335" i="8"/>
  <c r="AH335" i="8"/>
  <c r="AC335" i="8"/>
  <c r="AE335" i="8" s="1"/>
  <c r="Z335" i="8"/>
  <c r="V335" i="8"/>
  <c r="U335" i="8"/>
  <c r="AF335" i="8" s="1"/>
  <c r="R335" i="8"/>
  <c r="Q335" i="8"/>
  <c r="N335" i="8"/>
  <c r="M335" i="8"/>
  <c r="L335" i="8"/>
  <c r="AJ335" i="8" s="1"/>
  <c r="AL334" i="8"/>
  <c r="AK334" i="8"/>
  <c r="AH334" i="8"/>
  <c r="AC334" i="8"/>
  <c r="AE334" i="8" s="1"/>
  <c r="Z334" i="8"/>
  <c r="V334" i="8"/>
  <c r="U334" i="8"/>
  <c r="AF334" i="8" s="1"/>
  <c r="R334" i="8"/>
  <c r="Q334" i="8"/>
  <c r="N334" i="8"/>
  <c r="M334" i="8"/>
  <c r="L334" i="8"/>
  <c r="AJ334" i="8" s="1"/>
  <c r="AL333" i="8"/>
  <c r="AK333" i="8"/>
  <c r="AH333" i="8"/>
  <c r="AC333" i="8"/>
  <c r="AE333" i="8" s="1"/>
  <c r="Z333" i="8"/>
  <c r="V333" i="8"/>
  <c r="U333" i="8"/>
  <c r="AF333" i="8" s="1"/>
  <c r="R333" i="8"/>
  <c r="Q333" i="8"/>
  <c r="N333" i="8"/>
  <c r="M333" i="8"/>
  <c r="L333" i="8"/>
  <c r="AJ333" i="8" s="1"/>
  <c r="AL332" i="8"/>
  <c r="AK332" i="8"/>
  <c r="AH332" i="8"/>
  <c r="AC332" i="8"/>
  <c r="AE332" i="8" s="1"/>
  <c r="Z332" i="8"/>
  <c r="V332" i="8"/>
  <c r="U332" i="8"/>
  <c r="AF332" i="8" s="1"/>
  <c r="R332" i="8"/>
  <c r="Q332" i="8"/>
  <c r="N332" i="8"/>
  <c r="M332" i="8"/>
  <c r="L332" i="8"/>
  <c r="AJ332" i="8" s="1"/>
  <c r="AL331" i="8"/>
  <c r="AK331" i="8"/>
  <c r="AH331" i="8"/>
  <c r="AC331" i="8"/>
  <c r="AE331" i="8" s="1"/>
  <c r="Z331" i="8"/>
  <c r="V331" i="8"/>
  <c r="U331" i="8"/>
  <c r="AF331" i="8" s="1"/>
  <c r="R331" i="8"/>
  <c r="Q331" i="8"/>
  <c r="N331" i="8"/>
  <c r="M331" i="8"/>
  <c r="L331" i="8"/>
  <c r="AJ331" i="8" s="1"/>
  <c r="AL330" i="8"/>
  <c r="AK330" i="8"/>
  <c r="AH330" i="8"/>
  <c r="AC330" i="8"/>
  <c r="AE330" i="8" s="1"/>
  <c r="Z330" i="8"/>
  <c r="V330" i="8"/>
  <c r="U330" i="8"/>
  <c r="AF330" i="8" s="1"/>
  <c r="R330" i="8"/>
  <c r="Q330" i="8"/>
  <c r="N330" i="8"/>
  <c r="M330" i="8"/>
  <c r="L330" i="8"/>
  <c r="AJ330" i="8" s="1"/>
  <c r="AL329" i="8"/>
  <c r="AK329" i="8"/>
  <c r="AH329" i="8"/>
  <c r="AC329" i="8"/>
  <c r="AE329" i="8" s="1"/>
  <c r="Z329" i="8"/>
  <c r="V329" i="8"/>
  <c r="U329" i="8"/>
  <c r="AF329" i="8" s="1"/>
  <c r="R329" i="8"/>
  <c r="Q329" i="8"/>
  <c r="N329" i="8"/>
  <c r="M329" i="8"/>
  <c r="L329" i="8"/>
  <c r="AJ329" i="8" s="1"/>
  <c r="AL328" i="8"/>
  <c r="AK328" i="8"/>
  <c r="AH328" i="8"/>
  <c r="AC328" i="8"/>
  <c r="AE328" i="8" s="1"/>
  <c r="Z328" i="8"/>
  <c r="V328" i="8"/>
  <c r="U328" i="8"/>
  <c r="AF328" i="8" s="1"/>
  <c r="R328" i="8"/>
  <c r="Q328" i="8"/>
  <c r="N328" i="8"/>
  <c r="M328" i="8"/>
  <c r="L328" i="8"/>
  <c r="AJ328" i="8" s="1"/>
  <c r="AL327" i="8"/>
  <c r="AK327" i="8"/>
  <c r="AH327" i="8"/>
  <c r="AC327" i="8"/>
  <c r="AE327" i="8" s="1"/>
  <c r="Z327" i="8"/>
  <c r="V327" i="8"/>
  <c r="U327" i="8"/>
  <c r="AF327" i="8" s="1"/>
  <c r="R327" i="8"/>
  <c r="Q327" i="8"/>
  <c r="N327" i="8"/>
  <c r="M327" i="8"/>
  <c r="L327" i="8"/>
  <c r="AJ327" i="8" s="1"/>
  <c r="AL326" i="8"/>
  <c r="AK326" i="8"/>
  <c r="AH326" i="8"/>
  <c r="AC326" i="8"/>
  <c r="AE326" i="8" s="1"/>
  <c r="Z326" i="8"/>
  <c r="V326" i="8"/>
  <c r="U326" i="8"/>
  <c r="AF326" i="8" s="1"/>
  <c r="R326" i="8"/>
  <c r="Q326" i="8"/>
  <c r="N326" i="8"/>
  <c r="M326" i="8"/>
  <c r="L326" i="8"/>
  <c r="AJ326" i="8" s="1"/>
  <c r="AL325" i="8"/>
  <c r="AK325" i="8"/>
  <c r="AH325" i="8"/>
  <c r="AC325" i="8"/>
  <c r="AE325" i="8" s="1"/>
  <c r="Z325" i="8"/>
  <c r="V325" i="8"/>
  <c r="U325" i="8"/>
  <c r="AF325" i="8" s="1"/>
  <c r="R325" i="8"/>
  <c r="Q325" i="8"/>
  <c r="N325" i="8"/>
  <c r="M325" i="8"/>
  <c r="L325" i="8"/>
  <c r="AJ325" i="8" s="1"/>
  <c r="AL324" i="8"/>
  <c r="AK324" i="8"/>
  <c r="AH324" i="8"/>
  <c r="AC324" i="8"/>
  <c r="AE324" i="8" s="1"/>
  <c r="Z324" i="8"/>
  <c r="V324" i="8"/>
  <c r="U324" i="8"/>
  <c r="AF324" i="8" s="1"/>
  <c r="R324" i="8"/>
  <c r="Q324" i="8"/>
  <c r="N324" i="8"/>
  <c r="M324" i="8"/>
  <c r="L324" i="8"/>
  <c r="AJ324" i="8" s="1"/>
  <c r="AL323" i="8"/>
  <c r="AK323" i="8"/>
  <c r="AH323" i="8"/>
  <c r="AC323" i="8"/>
  <c r="AE323" i="8" s="1"/>
  <c r="Z323" i="8"/>
  <c r="V323" i="8"/>
  <c r="U323" i="8"/>
  <c r="AF323" i="8" s="1"/>
  <c r="R323" i="8"/>
  <c r="Q323" i="8"/>
  <c r="N323" i="8"/>
  <c r="M323" i="8"/>
  <c r="L323" i="8"/>
  <c r="AJ323" i="8" s="1"/>
  <c r="AL322" i="8"/>
  <c r="AK322" i="8"/>
  <c r="AH322" i="8"/>
  <c r="AC322" i="8"/>
  <c r="AE322" i="8" s="1"/>
  <c r="Z322" i="8"/>
  <c r="V322" i="8"/>
  <c r="U322" i="8"/>
  <c r="AF322" i="8" s="1"/>
  <c r="R322" i="8"/>
  <c r="Q322" i="8"/>
  <c r="N322" i="8"/>
  <c r="M322" i="8"/>
  <c r="L322" i="8"/>
  <c r="AJ322" i="8" s="1"/>
  <c r="AL321" i="8"/>
  <c r="AK321" i="8"/>
  <c r="AH321" i="8"/>
  <c r="AC321" i="8"/>
  <c r="AE321" i="8" s="1"/>
  <c r="Z321" i="8"/>
  <c r="V321" i="8"/>
  <c r="U321" i="8"/>
  <c r="AF321" i="8" s="1"/>
  <c r="R321" i="8"/>
  <c r="Q321" i="8"/>
  <c r="N321" i="8"/>
  <c r="M321" i="8"/>
  <c r="L321" i="8"/>
  <c r="AJ321" i="8" s="1"/>
  <c r="AL320" i="8"/>
  <c r="AK320" i="8"/>
  <c r="AH320" i="8"/>
  <c r="AC320" i="8"/>
  <c r="AE320" i="8" s="1"/>
  <c r="Z320" i="8"/>
  <c r="V320" i="8"/>
  <c r="U320" i="8"/>
  <c r="AF320" i="8" s="1"/>
  <c r="R320" i="8"/>
  <c r="Q320" i="8"/>
  <c r="N320" i="8"/>
  <c r="M320" i="8"/>
  <c r="L320" i="8"/>
  <c r="AJ320" i="8" s="1"/>
  <c r="AL319" i="8"/>
  <c r="AK319" i="8"/>
  <c r="AH319" i="8"/>
  <c r="AC319" i="8"/>
  <c r="AE319" i="8" s="1"/>
  <c r="Z319" i="8"/>
  <c r="V319" i="8"/>
  <c r="U319" i="8"/>
  <c r="AF319" i="8" s="1"/>
  <c r="R319" i="8"/>
  <c r="Q319" i="8"/>
  <c r="N319" i="8"/>
  <c r="M319" i="8"/>
  <c r="L319" i="8"/>
  <c r="AJ319" i="8" s="1"/>
  <c r="AL318" i="8"/>
  <c r="AK318" i="8"/>
  <c r="AH318" i="8"/>
  <c r="AC318" i="8"/>
  <c r="AE318" i="8" s="1"/>
  <c r="Z318" i="8"/>
  <c r="V318" i="8"/>
  <c r="U318" i="8"/>
  <c r="AF318" i="8" s="1"/>
  <c r="R318" i="8"/>
  <c r="Q318" i="8"/>
  <c r="N318" i="8"/>
  <c r="M318" i="8"/>
  <c r="L318" i="8"/>
  <c r="AJ318" i="8" s="1"/>
  <c r="AL317" i="8"/>
  <c r="AK317" i="8"/>
  <c r="AH317" i="8"/>
  <c r="AC317" i="8"/>
  <c r="AE317" i="8" s="1"/>
  <c r="Z317" i="8"/>
  <c r="V317" i="8"/>
  <c r="U317" i="8"/>
  <c r="AF317" i="8" s="1"/>
  <c r="R317" i="8"/>
  <c r="Q317" i="8"/>
  <c r="N317" i="8"/>
  <c r="M317" i="8"/>
  <c r="L317" i="8"/>
  <c r="AJ317" i="8" s="1"/>
  <c r="AL316" i="8"/>
  <c r="AK316" i="8"/>
  <c r="AH316" i="8"/>
  <c r="AC316" i="8"/>
  <c r="AE316" i="8" s="1"/>
  <c r="Z316" i="8"/>
  <c r="V316" i="8"/>
  <c r="U316" i="8"/>
  <c r="AF316" i="8" s="1"/>
  <c r="R316" i="8"/>
  <c r="Q316" i="8"/>
  <c r="N316" i="8"/>
  <c r="M316" i="8"/>
  <c r="L316" i="8"/>
  <c r="AJ316" i="8" s="1"/>
  <c r="AL315" i="8"/>
  <c r="AK315" i="8"/>
  <c r="AH315" i="8"/>
  <c r="AC315" i="8"/>
  <c r="AE315" i="8" s="1"/>
  <c r="Z315" i="8"/>
  <c r="V315" i="8"/>
  <c r="U315" i="8"/>
  <c r="AF315" i="8" s="1"/>
  <c r="R315" i="8"/>
  <c r="Q315" i="8"/>
  <c r="N315" i="8"/>
  <c r="M315" i="8"/>
  <c r="L315" i="8"/>
  <c r="AJ315" i="8" s="1"/>
  <c r="AL314" i="8"/>
  <c r="AK314" i="8"/>
  <c r="AH314" i="8"/>
  <c r="AC314" i="8"/>
  <c r="AE314" i="8" s="1"/>
  <c r="Z314" i="8"/>
  <c r="V314" i="8"/>
  <c r="U314" i="8"/>
  <c r="AF314" i="8" s="1"/>
  <c r="R314" i="8"/>
  <c r="Q314" i="8"/>
  <c r="N314" i="8"/>
  <c r="M314" i="8"/>
  <c r="L314" i="8"/>
  <c r="AJ314" i="8" s="1"/>
  <c r="AL313" i="8"/>
  <c r="AK313" i="8"/>
  <c r="AH313" i="8"/>
  <c r="AC313" i="8"/>
  <c r="AE313" i="8" s="1"/>
  <c r="Z313" i="8"/>
  <c r="V313" i="8"/>
  <c r="U313" i="8"/>
  <c r="AF313" i="8" s="1"/>
  <c r="R313" i="8"/>
  <c r="Q313" i="8"/>
  <c r="N313" i="8"/>
  <c r="M313" i="8"/>
  <c r="L313" i="8"/>
  <c r="AJ313" i="8" s="1"/>
  <c r="AL312" i="8"/>
  <c r="AK312" i="8"/>
  <c r="AH312" i="8"/>
  <c r="AC312" i="8"/>
  <c r="AE312" i="8" s="1"/>
  <c r="Z312" i="8"/>
  <c r="V312" i="8"/>
  <c r="U312" i="8"/>
  <c r="AF312" i="8" s="1"/>
  <c r="R312" i="8"/>
  <c r="Q312" i="8"/>
  <c r="N312" i="8"/>
  <c r="M312" i="8"/>
  <c r="L312" i="8"/>
  <c r="AJ312" i="8" s="1"/>
  <c r="AL311" i="8"/>
  <c r="AK311" i="8"/>
  <c r="AH311" i="8"/>
  <c r="AC311" i="8"/>
  <c r="AE311" i="8" s="1"/>
  <c r="Z311" i="8"/>
  <c r="V311" i="8"/>
  <c r="U311" i="8"/>
  <c r="AF311" i="8" s="1"/>
  <c r="R311" i="8"/>
  <c r="Q311" i="8"/>
  <c r="N311" i="8"/>
  <c r="M311" i="8"/>
  <c r="L311" i="8"/>
  <c r="AJ311" i="8" s="1"/>
  <c r="AL310" i="8"/>
  <c r="AK310" i="8"/>
  <c r="AH310" i="8"/>
  <c r="AC310" i="8"/>
  <c r="AE310" i="8" s="1"/>
  <c r="Z310" i="8"/>
  <c r="V310" i="8"/>
  <c r="U310" i="8"/>
  <c r="AF310" i="8" s="1"/>
  <c r="R310" i="8"/>
  <c r="Q310" i="8"/>
  <c r="N310" i="8"/>
  <c r="M310" i="8"/>
  <c r="L310" i="8"/>
  <c r="AJ310" i="8" s="1"/>
  <c r="AL309" i="8"/>
  <c r="AK309" i="8"/>
  <c r="AH309" i="8"/>
  <c r="AC309" i="8"/>
  <c r="AE309" i="8" s="1"/>
  <c r="Z309" i="8"/>
  <c r="V309" i="8"/>
  <c r="U309" i="8"/>
  <c r="AF309" i="8" s="1"/>
  <c r="R309" i="8"/>
  <c r="Q309" i="8"/>
  <c r="N309" i="8"/>
  <c r="M309" i="8"/>
  <c r="L309" i="8"/>
  <c r="AJ309" i="8" s="1"/>
  <c r="AL308" i="8"/>
  <c r="AK308" i="8"/>
  <c r="AH308" i="8"/>
  <c r="AC308" i="8"/>
  <c r="AE308" i="8" s="1"/>
  <c r="Z308" i="8"/>
  <c r="V308" i="8"/>
  <c r="U308" i="8"/>
  <c r="AF308" i="8" s="1"/>
  <c r="R308" i="8"/>
  <c r="Q308" i="8"/>
  <c r="N308" i="8"/>
  <c r="M308" i="8"/>
  <c r="L308" i="8"/>
  <c r="AJ308" i="8" s="1"/>
  <c r="AL307" i="8"/>
  <c r="AK307" i="8"/>
  <c r="AH307" i="8"/>
  <c r="AC307" i="8"/>
  <c r="AE307" i="8" s="1"/>
  <c r="Z307" i="8"/>
  <c r="V307" i="8"/>
  <c r="U307" i="8"/>
  <c r="AF307" i="8" s="1"/>
  <c r="R307" i="8"/>
  <c r="Q307" i="8"/>
  <c r="N307" i="8"/>
  <c r="M307" i="8"/>
  <c r="L307" i="8"/>
  <c r="AJ307" i="8" s="1"/>
  <c r="AL306" i="8"/>
  <c r="AK306" i="8"/>
  <c r="AH306" i="8"/>
  <c r="AC306" i="8"/>
  <c r="AE306" i="8" s="1"/>
  <c r="Z306" i="8"/>
  <c r="V306" i="8"/>
  <c r="U306" i="8"/>
  <c r="AF306" i="8" s="1"/>
  <c r="R306" i="8"/>
  <c r="Q306" i="8"/>
  <c r="N306" i="8"/>
  <c r="M306" i="8"/>
  <c r="L306" i="8"/>
  <c r="AJ306" i="8" s="1"/>
  <c r="AL305" i="8"/>
  <c r="AK305" i="8"/>
  <c r="AH305" i="8"/>
  <c r="AC305" i="8"/>
  <c r="AE305" i="8" s="1"/>
  <c r="Z305" i="8"/>
  <c r="V305" i="8"/>
  <c r="U305" i="8"/>
  <c r="AF305" i="8" s="1"/>
  <c r="R305" i="8"/>
  <c r="Q305" i="8"/>
  <c r="N305" i="8"/>
  <c r="M305" i="8"/>
  <c r="L305" i="8"/>
  <c r="AJ305" i="8" s="1"/>
  <c r="AL304" i="8"/>
  <c r="AK304" i="8"/>
  <c r="AH304" i="8"/>
  <c r="AC304" i="8"/>
  <c r="AE304" i="8" s="1"/>
  <c r="Z304" i="8"/>
  <c r="V304" i="8"/>
  <c r="U304" i="8"/>
  <c r="AF304" i="8" s="1"/>
  <c r="R304" i="8"/>
  <c r="Q304" i="8"/>
  <c r="N304" i="8"/>
  <c r="M304" i="8"/>
  <c r="L304" i="8"/>
  <c r="AJ304" i="8" s="1"/>
  <c r="AL303" i="8"/>
  <c r="AK303" i="8"/>
  <c r="AH303" i="8"/>
  <c r="AC303" i="8"/>
  <c r="AE303" i="8" s="1"/>
  <c r="Z303" i="8"/>
  <c r="V303" i="8"/>
  <c r="U303" i="8"/>
  <c r="AF303" i="8" s="1"/>
  <c r="R303" i="8"/>
  <c r="Q303" i="8"/>
  <c r="N303" i="8"/>
  <c r="M303" i="8"/>
  <c r="L303" i="8"/>
  <c r="AJ303" i="8" s="1"/>
  <c r="AL302" i="8"/>
  <c r="AK302" i="8"/>
  <c r="AH302" i="8"/>
  <c r="AC302" i="8"/>
  <c r="AE302" i="8" s="1"/>
  <c r="Z302" i="8"/>
  <c r="V302" i="8"/>
  <c r="U302" i="8"/>
  <c r="AF302" i="8" s="1"/>
  <c r="R302" i="8"/>
  <c r="Q302" i="8"/>
  <c r="N302" i="8"/>
  <c r="M302" i="8"/>
  <c r="L302" i="8"/>
  <c r="AJ302" i="8" s="1"/>
  <c r="AL301" i="8"/>
  <c r="AK301" i="8"/>
  <c r="AH301" i="8"/>
  <c r="AC301" i="8"/>
  <c r="AE301" i="8" s="1"/>
  <c r="Z301" i="8"/>
  <c r="V301" i="8"/>
  <c r="U301" i="8"/>
  <c r="AF301" i="8" s="1"/>
  <c r="R301" i="8"/>
  <c r="Q301" i="8"/>
  <c r="N301" i="8"/>
  <c r="M301" i="8"/>
  <c r="L301" i="8"/>
  <c r="AJ301" i="8" s="1"/>
  <c r="AL300" i="8"/>
  <c r="AK300" i="8"/>
  <c r="AH300" i="8"/>
  <c r="AC300" i="8"/>
  <c r="AE300" i="8" s="1"/>
  <c r="Z300" i="8"/>
  <c r="V300" i="8"/>
  <c r="U300" i="8"/>
  <c r="AF300" i="8" s="1"/>
  <c r="R300" i="8"/>
  <c r="Q300" i="8"/>
  <c r="N300" i="8"/>
  <c r="M300" i="8"/>
  <c r="L300" i="8"/>
  <c r="AJ300" i="8" s="1"/>
  <c r="AL299" i="8"/>
  <c r="AK299" i="8"/>
  <c r="AH299" i="8"/>
  <c r="AC299" i="8"/>
  <c r="AE299" i="8" s="1"/>
  <c r="Z299" i="8"/>
  <c r="V299" i="8"/>
  <c r="U299" i="8"/>
  <c r="AF299" i="8" s="1"/>
  <c r="R299" i="8"/>
  <c r="Q299" i="8"/>
  <c r="N299" i="8"/>
  <c r="M299" i="8"/>
  <c r="L299" i="8"/>
  <c r="AJ299" i="8" s="1"/>
  <c r="AL298" i="8"/>
  <c r="AK298" i="8"/>
  <c r="AH298" i="8"/>
  <c r="AC298" i="8"/>
  <c r="AE298" i="8" s="1"/>
  <c r="Z298" i="8"/>
  <c r="V298" i="8"/>
  <c r="U298" i="8"/>
  <c r="AF298" i="8" s="1"/>
  <c r="R298" i="8"/>
  <c r="Q298" i="8"/>
  <c r="N298" i="8"/>
  <c r="M298" i="8"/>
  <c r="L298" i="8"/>
  <c r="AJ298" i="8" s="1"/>
  <c r="AL297" i="8"/>
  <c r="AK297" i="8"/>
  <c r="AH297" i="8"/>
  <c r="AC297" i="8"/>
  <c r="AE297" i="8" s="1"/>
  <c r="Z297" i="8"/>
  <c r="V297" i="8"/>
  <c r="U297" i="8"/>
  <c r="AF297" i="8" s="1"/>
  <c r="R297" i="8"/>
  <c r="Q297" i="8"/>
  <c r="N297" i="8"/>
  <c r="M297" i="8"/>
  <c r="L297" i="8"/>
  <c r="AJ297" i="8" s="1"/>
  <c r="AL296" i="8"/>
  <c r="AK296" i="8"/>
  <c r="AH296" i="8"/>
  <c r="AC296" i="8"/>
  <c r="AE296" i="8" s="1"/>
  <c r="Z296" i="8"/>
  <c r="V296" i="8"/>
  <c r="U296" i="8"/>
  <c r="AF296" i="8" s="1"/>
  <c r="R296" i="8"/>
  <c r="Q296" i="8"/>
  <c r="N296" i="8"/>
  <c r="M296" i="8"/>
  <c r="L296" i="8"/>
  <c r="AJ296" i="8" s="1"/>
  <c r="AL295" i="8"/>
  <c r="AK295" i="8"/>
  <c r="AH295" i="8"/>
  <c r="AC295" i="8"/>
  <c r="AE295" i="8" s="1"/>
  <c r="Z295" i="8"/>
  <c r="V295" i="8"/>
  <c r="U295" i="8"/>
  <c r="AF295" i="8" s="1"/>
  <c r="R295" i="8"/>
  <c r="Q295" i="8"/>
  <c r="N295" i="8"/>
  <c r="M295" i="8"/>
  <c r="L295" i="8"/>
  <c r="AJ295" i="8" s="1"/>
  <c r="AL294" i="8"/>
  <c r="AK294" i="8"/>
  <c r="AH294" i="8"/>
  <c r="AC294" i="8"/>
  <c r="AE294" i="8" s="1"/>
  <c r="Z294" i="8"/>
  <c r="V294" i="8"/>
  <c r="U294" i="8"/>
  <c r="AF294" i="8" s="1"/>
  <c r="R294" i="8"/>
  <c r="Q294" i="8"/>
  <c r="N294" i="8"/>
  <c r="M294" i="8"/>
  <c r="L294" i="8"/>
  <c r="AJ294" i="8" s="1"/>
  <c r="AL293" i="8"/>
  <c r="AK293" i="8"/>
  <c r="AH293" i="8"/>
  <c r="AC293" i="8"/>
  <c r="AE293" i="8" s="1"/>
  <c r="Z293" i="8"/>
  <c r="V293" i="8"/>
  <c r="U293" i="8"/>
  <c r="AF293" i="8" s="1"/>
  <c r="R293" i="8"/>
  <c r="Q293" i="8"/>
  <c r="N293" i="8"/>
  <c r="M293" i="8"/>
  <c r="L293" i="8"/>
  <c r="AJ293" i="8" s="1"/>
  <c r="AL292" i="8"/>
  <c r="AK292" i="8"/>
  <c r="AH292" i="8"/>
  <c r="AC292" i="8"/>
  <c r="AE292" i="8" s="1"/>
  <c r="Z292" i="8"/>
  <c r="V292" i="8"/>
  <c r="U292" i="8"/>
  <c r="AF292" i="8" s="1"/>
  <c r="R292" i="8"/>
  <c r="Q292" i="8"/>
  <c r="N292" i="8"/>
  <c r="M292" i="8"/>
  <c r="L292" i="8"/>
  <c r="AJ292" i="8" s="1"/>
  <c r="AL291" i="8"/>
  <c r="AK291" i="8"/>
  <c r="AH291" i="8"/>
  <c r="AC291" i="8"/>
  <c r="AE291" i="8" s="1"/>
  <c r="Z291" i="8"/>
  <c r="V291" i="8"/>
  <c r="U291" i="8"/>
  <c r="AF291" i="8" s="1"/>
  <c r="R291" i="8"/>
  <c r="Q291" i="8"/>
  <c r="N291" i="8"/>
  <c r="M291" i="8"/>
  <c r="L291" i="8"/>
  <c r="AJ291" i="8" s="1"/>
  <c r="AL290" i="8"/>
  <c r="AK290" i="8"/>
  <c r="AH290" i="8"/>
  <c r="AC290" i="8"/>
  <c r="AE290" i="8" s="1"/>
  <c r="Z290" i="8"/>
  <c r="V290" i="8"/>
  <c r="U290" i="8"/>
  <c r="AF290" i="8" s="1"/>
  <c r="R290" i="8"/>
  <c r="Q290" i="8"/>
  <c r="N290" i="8"/>
  <c r="M290" i="8"/>
  <c r="L290" i="8"/>
  <c r="AJ290" i="8" s="1"/>
  <c r="AL289" i="8"/>
  <c r="AK289" i="8"/>
  <c r="AH289" i="8"/>
  <c r="AC289" i="8"/>
  <c r="AE289" i="8" s="1"/>
  <c r="Z289" i="8"/>
  <c r="V289" i="8"/>
  <c r="U289" i="8"/>
  <c r="AF289" i="8" s="1"/>
  <c r="R289" i="8"/>
  <c r="Q289" i="8"/>
  <c r="N289" i="8"/>
  <c r="M289" i="8"/>
  <c r="L289" i="8"/>
  <c r="AJ289" i="8" s="1"/>
  <c r="AL288" i="8"/>
  <c r="AK288" i="8"/>
  <c r="AH288" i="8"/>
  <c r="AC288" i="8"/>
  <c r="AE288" i="8" s="1"/>
  <c r="Z288" i="8"/>
  <c r="V288" i="8"/>
  <c r="U288" i="8"/>
  <c r="AF288" i="8" s="1"/>
  <c r="R288" i="8"/>
  <c r="Q288" i="8"/>
  <c r="N288" i="8"/>
  <c r="M288" i="8"/>
  <c r="L288" i="8"/>
  <c r="AJ288" i="8" s="1"/>
  <c r="AL287" i="8"/>
  <c r="AK287" i="8"/>
  <c r="AH287" i="8"/>
  <c r="AC287" i="8"/>
  <c r="AE287" i="8" s="1"/>
  <c r="Z287" i="8"/>
  <c r="V287" i="8"/>
  <c r="U287" i="8"/>
  <c r="AF287" i="8" s="1"/>
  <c r="R287" i="8"/>
  <c r="Q287" i="8"/>
  <c r="N287" i="8"/>
  <c r="M287" i="8"/>
  <c r="L287" i="8"/>
  <c r="AJ287" i="8" s="1"/>
  <c r="AL286" i="8"/>
  <c r="AK286" i="8"/>
  <c r="AH286" i="8"/>
  <c r="AC286" i="8"/>
  <c r="AE286" i="8" s="1"/>
  <c r="Z286" i="8"/>
  <c r="V286" i="8"/>
  <c r="U286" i="8"/>
  <c r="AF286" i="8" s="1"/>
  <c r="R286" i="8"/>
  <c r="Q286" i="8"/>
  <c r="N286" i="8"/>
  <c r="M286" i="8"/>
  <c r="L286" i="8"/>
  <c r="AJ286" i="8" s="1"/>
  <c r="AL285" i="8"/>
  <c r="AK285" i="8"/>
  <c r="AH285" i="8"/>
  <c r="AC285" i="8"/>
  <c r="AE285" i="8" s="1"/>
  <c r="Z285" i="8"/>
  <c r="V285" i="8"/>
  <c r="U285" i="8"/>
  <c r="AF285" i="8" s="1"/>
  <c r="R285" i="8"/>
  <c r="Q285" i="8"/>
  <c r="N285" i="8"/>
  <c r="M285" i="8"/>
  <c r="L285" i="8"/>
  <c r="AJ285" i="8" s="1"/>
  <c r="AL284" i="8"/>
  <c r="AK284" i="8"/>
  <c r="AH284" i="8"/>
  <c r="AC284" i="8"/>
  <c r="AE284" i="8" s="1"/>
  <c r="Z284" i="8"/>
  <c r="V284" i="8"/>
  <c r="U284" i="8"/>
  <c r="AF284" i="8" s="1"/>
  <c r="R284" i="8"/>
  <c r="Q284" i="8"/>
  <c r="N284" i="8"/>
  <c r="M284" i="8"/>
  <c r="L284" i="8"/>
  <c r="AJ284" i="8" s="1"/>
  <c r="AL283" i="8"/>
  <c r="AK283" i="8"/>
  <c r="AH283" i="8"/>
  <c r="AC283" i="8"/>
  <c r="AE283" i="8" s="1"/>
  <c r="Z283" i="8"/>
  <c r="V283" i="8"/>
  <c r="U283" i="8"/>
  <c r="AF283" i="8" s="1"/>
  <c r="R283" i="8"/>
  <c r="Q283" i="8"/>
  <c r="N283" i="8"/>
  <c r="M283" i="8"/>
  <c r="L283" i="8"/>
  <c r="AJ283" i="8" s="1"/>
  <c r="AL282" i="8"/>
  <c r="AK282" i="8"/>
  <c r="AH282" i="8"/>
  <c r="AC282" i="8"/>
  <c r="AE282" i="8" s="1"/>
  <c r="Z282" i="8"/>
  <c r="V282" i="8"/>
  <c r="U282" i="8"/>
  <c r="AF282" i="8" s="1"/>
  <c r="R282" i="8"/>
  <c r="Q282" i="8"/>
  <c r="N282" i="8"/>
  <c r="M282" i="8"/>
  <c r="L282" i="8"/>
  <c r="AJ282" i="8" s="1"/>
  <c r="AL281" i="8"/>
  <c r="AK281" i="8"/>
  <c r="AH281" i="8"/>
  <c r="AC281" i="8"/>
  <c r="AE281" i="8" s="1"/>
  <c r="Z281" i="8"/>
  <c r="V281" i="8"/>
  <c r="U281" i="8"/>
  <c r="AF281" i="8" s="1"/>
  <c r="R281" i="8"/>
  <c r="Q281" i="8"/>
  <c r="N281" i="8"/>
  <c r="M281" i="8"/>
  <c r="L281" i="8"/>
  <c r="AJ281" i="8" s="1"/>
  <c r="AL280" i="8"/>
  <c r="AK280" i="8"/>
  <c r="AH280" i="8"/>
  <c r="AC280" i="8"/>
  <c r="AE280" i="8" s="1"/>
  <c r="Z280" i="8"/>
  <c r="V280" i="8"/>
  <c r="U280" i="8"/>
  <c r="AF280" i="8" s="1"/>
  <c r="R280" i="8"/>
  <c r="Q280" i="8"/>
  <c r="N280" i="8"/>
  <c r="M280" i="8"/>
  <c r="L280" i="8"/>
  <c r="AJ280" i="8" s="1"/>
  <c r="AL279" i="8"/>
  <c r="AK279" i="8"/>
  <c r="AH279" i="8"/>
  <c r="AC279" i="8"/>
  <c r="AE279" i="8" s="1"/>
  <c r="Z279" i="8"/>
  <c r="V279" i="8"/>
  <c r="U279" i="8"/>
  <c r="AF279" i="8" s="1"/>
  <c r="R279" i="8"/>
  <c r="Q279" i="8"/>
  <c r="N279" i="8"/>
  <c r="M279" i="8"/>
  <c r="L279" i="8"/>
  <c r="AJ279" i="8" s="1"/>
  <c r="AL278" i="8"/>
  <c r="AK278" i="8"/>
  <c r="AH278" i="8"/>
  <c r="AC278" i="8"/>
  <c r="AE278" i="8" s="1"/>
  <c r="Z278" i="8"/>
  <c r="V278" i="8"/>
  <c r="U278" i="8"/>
  <c r="AF278" i="8" s="1"/>
  <c r="R278" i="8"/>
  <c r="Q278" i="8"/>
  <c r="N278" i="8"/>
  <c r="M278" i="8"/>
  <c r="L278" i="8"/>
  <c r="AJ278" i="8" s="1"/>
  <c r="AL277" i="8"/>
  <c r="AK277" i="8"/>
  <c r="AH277" i="8"/>
  <c r="AC277" i="8"/>
  <c r="AE277" i="8" s="1"/>
  <c r="Z277" i="8"/>
  <c r="V277" i="8"/>
  <c r="U277" i="8"/>
  <c r="AF277" i="8" s="1"/>
  <c r="R277" i="8"/>
  <c r="Q277" i="8"/>
  <c r="N277" i="8"/>
  <c r="M277" i="8"/>
  <c r="L277" i="8"/>
  <c r="AJ277" i="8" s="1"/>
  <c r="AL276" i="8"/>
  <c r="AK276" i="8"/>
  <c r="AH276" i="8"/>
  <c r="AC276" i="8"/>
  <c r="AE276" i="8" s="1"/>
  <c r="Z276" i="8"/>
  <c r="V276" i="8"/>
  <c r="U276" i="8"/>
  <c r="AF276" i="8" s="1"/>
  <c r="R276" i="8"/>
  <c r="Q276" i="8"/>
  <c r="N276" i="8"/>
  <c r="M276" i="8"/>
  <c r="L276" i="8"/>
  <c r="AJ276" i="8" s="1"/>
  <c r="AL275" i="8"/>
  <c r="AK275" i="8"/>
  <c r="AH275" i="8"/>
  <c r="AC275" i="8"/>
  <c r="AE275" i="8" s="1"/>
  <c r="Z275" i="8"/>
  <c r="V275" i="8"/>
  <c r="U275" i="8"/>
  <c r="AF275" i="8" s="1"/>
  <c r="R275" i="8"/>
  <c r="Q275" i="8"/>
  <c r="N275" i="8"/>
  <c r="M275" i="8"/>
  <c r="L275" i="8"/>
  <c r="AJ275" i="8" s="1"/>
  <c r="AL274" i="8"/>
  <c r="AK274" i="8"/>
  <c r="AH274" i="8"/>
  <c r="AC274" i="8"/>
  <c r="AE274" i="8" s="1"/>
  <c r="Z274" i="8"/>
  <c r="V274" i="8"/>
  <c r="U274" i="8"/>
  <c r="AF274" i="8" s="1"/>
  <c r="R274" i="8"/>
  <c r="Q274" i="8"/>
  <c r="N274" i="8"/>
  <c r="M274" i="8"/>
  <c r="L274" i="8"/>
  <c r="AJ274" i="8" s="1"/>
  <c r="AL273" i="8"/>
  <c r="AK273" i="8"/>
  <c r="AH273" i="8"/>
  <c r="AC273" i="8"/>
  <c r="AE273" i="8" s="1"/>
  <c r="Z273" i="8"/>
  <c r="V273" i="8"/>
  <c r="U273" i="8"/>
  <c r="AF273" i="8" s="1"/>
  <c r="R273" i="8"/>
  <c r="Q273" i="8"/>
  <c r="N273" i="8"/>
  <c r="M273" i="8"/>
  <c r="L273" i="8"/>
  <c r="AJ273" i="8" s="1"/>
  <c r="AL272" i="8"/>
  <c r="AK272" i="8"/>
  <c r="AH272" i="8"/>
  <c r="AC272" i="8"/>
  <c r="AE272" i="8" s="1"/>
  <c r="Z272" i="8"/>
  <c r="V272" i="8"/>
  <c r="U272" i="8"/>
  <c r="AF272" i="8" s="1"/>
  <c r="R272" i="8"/>
  <c r="Q272" i="8"/>
  <c r="N272" i="8"/>
  <c r="M272" i="8"/>
  <c r="L272" i="8"/>
  <c r="AJ272" i="8" s="1"/>
  <c r="AL271" i="8"/>
  <c r="AK271" i="8"/>
  <c r="AH271" i="8"/>
  <c r="AC271" i="8"/>
  <c r="AE271" i="8" s="1"/>
  <c r="Z271" i="8"/>
  <c r="V271" i="8"/>
  <c r="U271" i="8"/>
  <c r="AF271" i="8" s="1"/>
  <c r="R271" i="8"/>
  <c r="Q271" i="8"/>
  <c r="N271" i="8"/>
  <c r="M271" i="8"/>
  <c r="L271" i="8"/>
  <c r="AJ271" i="8" s="1"/>
  <c r="AL270" i="8"/>
  <c r="AK270" i="8"/>
  <c r="AH270" i="8"/>
  <c r="AC270" i="8"/>
  <c r="AE270" i="8" s="1"/>
  <c r="Z270" i="8"/>
  <c r="V270" i="8"/>
  <c r="U270" i="8"/>
  <c r="AF270" i="8" s="1"/>
  <c r="R270" i="8"/>
  <c r="Q270" i="8"/>
  <c r="N270" i="8"/>
  <c r="M270" i="8"/>
  <c r="L270" i="8"/>
  <c r="AJ270" i="8" s="1"/>
  <c r="AL269" i="8"/>
  <c r="AK269" i="8"/>
  <c r="AH269" i="8"/>
  <c r="AC269" i="8"/>
  <c r="AE269" i="8" s="1"/>
  <c r="Z269" i="8"/>
  <c r="V269" i="8"/>
  <c r="U269" i="8"/>
  <c r="AF269" i="8" s="1"/>
  <c r="R269" i="8"/>
  <c r="Q269" i="8"/>
  <c r="N269" i="8"/>
  <c r="M269" i="8"/>
  <c r="L269" i="8"/>
  <c r="AJ269" i="8" s="1"/>
  <c r="AL268" i="8"/>
  <c r="AK268" i="8"/>
  <c r="AH268" i="8"/>
  <c r="AC268" i="8"/>
  <c r="AE268" i="8" s="1"/>
  <c r="Z268" i="8"/>
  <c r="V268" i="8"/>
  <c r="U268" i="8"/>
  <c r="AF268" i="8" s="1"/>
  <c r="R268" i="8"/>
  <c r="Q268" i="8"/>
  <c r="N268" i="8"/>
  <c r="M268" i="8"/>
  <c r="L268" i="8"/>
  <c r="AJ268" i="8" s="1"/>
  <c r="AL267" i="8"/>
  <c r="AK267" i="8"/>
  <c r="AH267" i="8"/>
  <c r="AC267" i="8"/>
  <c r="AE267" i="8" s="1"/>
  <c r="Z267" i="8"/>
  <c r="V267" i="8"/>
  <c r="U267" i="8"/>
  <c r="AF267" i="8" s="1"/>
  <c r="R267" i="8"/>
  <c r="Q267" i="8"/>
  <c r="N267" i="8"/>
  <c r="M267" i="8"/>
  <c r="L267" i="8"/>
  <c r="AJ267" i="8" s="1"/>
  <c r="AL266" i="8"/>
  <c r="AK266" i="8"/>
  <c r="AH266" i="8"/>
  <c r="AC266" i="8"/>
  <c r="AE266" i="8" s="1"/>
  <c r="Z266" i="8"/>
  <c r="V266" i="8"/>
  <c r="U266" i="8"/>
  <c r="AF266" i="8" s="1"/>
  <c r="R266" i="8"/>
  <c r="Q266" i="8"/>
  <c r="N266" i="8"/>
  <c r="M266" i="8"/>
  <c r="L266" i="8"/>
  <c r="AJ266" i="8" s="1"/>
  <c r="AL265" i="8"/>
  <c r="AK265" i="8"/>
  <c r="AH265" i="8"/>
  <c r="AC265" i="8"/>
  <c r="AE265" i="8" s="1"/>
  <c r="Z265" i="8"/>
  <c r="V265" i="8"/>
  <c r="U265" i="8"/>
  <c r="AF265" i="8" s="1"/>
  <c r="R265" i="8"/>
  <c r="Q265" i="8"/>
  <c r="N265" i="8"/>
  <c r="M265" i="8"/>
  <c r="L265" i="8"/>
  <c r="AJ265" i="8" s="1"/>
  <c r="AL264" i="8"/>
  <c r="AK264" i="8"/>
  <c r="AH264" i="8"/>
  <c r="AC264" i="8"/>
  <c r="AE264" i="8" s="1"/>
  <c r="Z264" i="8"/>
  <c r="V264" i="8"/>
  <c r="U264" i="8"/>
  <c r="AF264" i="8" s="1"/>
  <c r="R264" i="8"/>
  <c r="Q264" i="8"/>
  <c r="N264" i="8"/>
  <c r="M264" i="8"/>
  <c r="L264" i="8"/>
  <c r="AJ264" i="8" s="1"/>
  <c r="AL263" i="8"/>
  <c r="AK263" i="8"/>
  <c r="AH263" i="8"/>
  <c r="AC263" i="8"/>
  <c r="AE263" i="8" s="1"/>
  <c r="Z263" i="8"/>
  <c r="V263" i="8"/>
  <c r="U263" i="8"/>
  <c r="AF263" i="8" s="1"/>
  <c r="R263" i="8"/>
  <c r="Q263" i="8"/>
  <c r="N263" i="8"/>
  <c r="M263" i="8"/>
  <c r="L263" i="8"/>
  <c r="AJ263" i="8" s="1"/>
  <c r="AL262" i="8"/>
  <c r="AK262" i="8"/>
  <c r="AH262" i="8"/>
  <c r="AC262" i="8"/>
  <c r="AE262" i="8" s="1"/>
  <c r="Z262" i="8"/>
  <c r="V262" i="8"/>
  <c r="U262" i="8"/>
  <c r="AF262" i="8" s="1"/>
  <c r="R262" i="8"/>
  <c r="Q262" i="8"/>
  <c r="N262" i="8"/>
  <c r="M262" i="8"/>
  <c r="L262" i="8"/>
  <c r="AJ262" i="8" s="1"/>
  <c r="AL261" i="8"/>
  <c r="AK261" i="8"/>
  <c r="AH261" i="8"/>
  <c r="AC261" i="8"/>
  <c r="AE261" i="8" s="1"/>
  <c r="Z261" i="8"/>
  <c r="V261" i="8"/>
  <c r="U261" i="8"/>
  <c r="AF261" i="8" s="1"/>
  <c r="R261" i="8"/>
  <c r="Q261" i="8"/>
  <c r="N261" i="8"/>
  <c r="M261" i="8"/>
  <c r="L261" i="8"/>
  <c r="AJ261" i="8" s="1"/>
  <c r="AL260" i="8"/>
  <c r="AK260" i="8"/>
  <c r="AH260" i="8"/>
  <c r="AC260" i="8"/>
  <c r="AE260" i="8" s="1"/>
  <c r="Z260" i="8"/>
  <c r="V260" i="8"/>
  <c r="U260" i="8"/>
  <c r="AF260" i="8" s="1"/>
  <c r="R260" i="8"/>
  <c r="Q260" i="8"/>
  <c r="N260" i="8"/>
  <c r="M260" i="8"/>
  <c r="L260" i="8"/>
  <c r="AJ260" i="8" s="1"/>
  <c r="AL259" i="8"/>
  <c r="AK259" i="8"/>
  <c r="AH259" i="8"/>
  <c r="AC259" i="8"/>
  <c r="AE259" i="8" s="1"/>
  <c r="Z259" i="8"/>
  <c r="V259" i="8"/>
  <c r="U259" i="8"/>
  <c r="AF259" i="8" s="1"/>
  <c r="R259" i="8"/>
  <c r="Q259" i="8"/>
  <c r="N259" i="8"/>
  <c r="M259" i="8"/>
  <c r="L259" i="8"/>
  <c r="AJ259" i="8" s="1"/>
  <c r="AL258" i="8"/>
  <c r="AK258" i="8"/>
  <c r="AH258" i="8"/>
  <c r="AC258" i="8"/>
  <c r="AE258" i="8" s="1"/>
  <c r="Z258" i="8"/>
  <c r="V258" i="8"/>
  <c r="U258" i="8"/>
  <c r="AF258" i="8" s="1"/>
  <c r="R258" i="8"/>
  <c r="Q258" i="8"/>
  <c r="N258" i="8"/>
  <c r="M258" i="8"/>
  <c r="L258" i="8"/>
  <c r="AJ258" i="8" s="1"/>
  <c r="AL257" i="8"/>
  <c r="AK257" i="8"/>
  <c r="AH257" i="8"/>
  <c r="AC257" i="8"/>
  <c r="AE257" i="8" s="1"/>
  <c r="Z257" i="8"/>
  <c r="V257" i="8"/>
  <c r="U257" i="8"/>
  <c r="AF257" i="8" s="1"/>
  <c r="R257" i="8"/>
  <c r="Q257" i="8"/>
  <c r="N257" i="8"/>
  <c r="M257" i="8"/>
  <c r="L257" i="8"/>
  <c r="AJ257" i="8" s="1"/>
  <c r="AL256" i="8"/>
  <c r="AK256" i="8"/>
  <c r="AH256" i="8"/>
  <c r="AC256" i="8"/>
  <c r="AE256" i="8" s="1"/>
  <c r="Z256" i="8"/>
  <c r="V256" i="8"/>
  <c r="U256" i="8"/>
  <c r="AF256" i="8" s="1"/>
  <c r="R256" i="8"/>
  <c r="Q256" i="8"/>
  <c r="N256" i="8"/>
  <c r="M256" i="8"/>
  <c r="L256" i="8"/>
  <c r="AJ256" i="8" s="1"/>
  <c r="AL255" i="8"/>
  <c r="AK255" i="8"/>
  <c r="AH255" i="8"/>
  <c r="AC255" i="8"/>
  <c r="AE255" i="8" s="1"/>
  <c r="Z255" i="8"/>
  <c r="V255" i="8"/>
  <c r="U255" i="8"/>
  <c r="AF255" i="8" s="1"/>
  <c r="R255" i="8"/>
  <c r="Q255" i="8"/>
  <c r="N255" i="8"/>
  <c r="M255" i="8"/>
  <c r="L255" i="8"/>
  <c r="AJ255" i="8" s="1"/>
  <c r="AL254" i="8"/>
  <c r="AK254" i="8"/>
  <c r="AH254" i="8"/>
  <c r="AC254" i="8"/>
  <c r="AE254" i="8" s="1"/>
  <c r="Z254" i="8"/>
  <c r="V254" i="8"/>
  <c r="U254" i="8"/>
  <c r="AF254" i="8" s="1"/>
  <c r="R254" i="8"/>
  <c r="Q254" i="8"/>
  <c r="N254" i="8"/>
  <c r="M254" i="8"/>
  <c r="L254" i="8"/>
  <c r="AJ254" i="8" s="1"/>
  <c r="AL253" i="8"/>
  <c r="AK253" i="8"/>
  <c r="AH253" i="8"/>
  <c r="AC253" i="8"/>
  <c r="AE253" i="8" s="1"/>
  <c r="Z253" i="8"/>
  <c r="V253" i="8"/>
  <c r="U253" i="8"/>
  <c r="AF253" i="8" s="1"/>
  <c r="R253" i="8"/>
  <c r="Q253" i="8"/>
  <c r="N253" i="8"/>
  <c r="M253" i="8"/>
  <c r="L253" i="8"/>
  <c r="AJ253" i="8" s="1"/>
  <c r="AL252" i="8"/>
  <c r="AK252" i="8"/>
  <c r="AH252" i="8"/>
  <c r="AC252" i="8"/>
  <c r="AE252" i="8" s="1"/>
  <c r="Z252" i="8"/>
  <c r="V252" i="8"/>
  <c r="U252" i="8"/>
  <c r="AF252" i="8" s="1"/>
  <c r="R252" i="8"/>
  <c r="Q252" i="8"/>
  <c r="N252" i="8"/>
  <c r="M252" i="8"/>
  <c r="L252" i="8"/>
  <c r="AJ252" i="8" s="1"/>
  <c r="AL251" i="8"/>
  <c r="AK251" i="8"/>
  <c r="AH251" i="8"/>
  <c r="AC251" i="8"/>
  <c r="AE251" i="8" s="1"/>
  <c r="Z251" i="8"/>
  <c r="V251" i="8"/>
  <c r="U251" i="8"/>
  <c r="AF251" i="8" s="1"/>
  <c r="R251" i="8"/>
  <c r="Q251" i="8"/>
  <c r="N251" i="8"/>
  <c r="M251" i="8"/>
  <c r="L251" i="8"/>
  <c r="AJ251" i="8" s="1"/>
  <c r="AL250" i="8"/>
  <c r="AK250" i="8"/>
  <c r="AH250" i="8"/>
  <c r="AC250" i="8"/>
  <c r="AE250" i="8" s="1"/>
  <c r="Z250" i="8"/>
  <c r="V250" i="8"/>
  <c r="U250" i="8"/>
  <c r="AF250" i="8" s="1"/>
  <c r="R250" i="8"/>
  <c r="Q250" i="8"/>
  <c r="N250" i="8"/>
  <c r="M250" i="8"/>
  <c r="L250" i="8"/>
  <c r="AJ250" i="8" s="1"/>
  <c r="AL249" i="8"/>
  <c r="AK249" i="8"/>
  <c r="AH249" i="8"/>
  <c r="AC249" i="8"/>
  <c r="AE249" i="8" s="1"/>
  <c r="Z249" i="8"/>
  <c r="V249" i="8"/>
  <c r="U249" i="8"/>
  <c r="AF249" i="8" s="1"/>
  <c r="R249" i="8"/>
  <c r="Q249" i="8"/>
  <c r="N249" i="8"/>
  <c r="M249" i="8"/>
  <c r="L249" i="8"/>
  <c r="AJ249" i="8" s="1"/>
  <c r="AL248" i="8"/>
  <c r="AK248" i="8"/>
  <c r="AH248" i="8"/>
  <c r="AC248" i="8"/>
  <c r="AE248" i="8" s="1"/>
  <c r="Z248" i="8"/>
  <c r="V248" i="8"/>
  <c r="U248" i="8"/>
  <c r="AF248" i="8" s="1"/>
  <c r="R248" i="8"/>
  <c r="Q248" i="8"/>
  <c r="N248" i="8"/>
  <c r="M248" i="8"/>
  <c r="L248" i="8"/>
  <c r="AJ248" i="8" s="1"/>
  <c r="AL247" i="8"/>
  <c r="AK247" i="8"/>
  <c r="AH247" i="8"/>
  <c r="AC247" i="8"/>
  <c r="AE247" i="8" s="1"/>
  <c r="Z247" i="8"/>
  <c r="V247" i="8"/>
  <c r="U247" i="8"/>
  <c r="AF247" i="8" s="1"/>
  <c r="R247" i="8"/>
  <c r="Q247" i="8"/>
  <c r="N247" i="8"/>
  <c r="M247" i="8"/>
  <c r="L247" i="8"/>
  <c r="AJ247" i="8" s="1"/>
  <c r="AL246" i="8"/>
  <c r="AK246" i="8"/>
  <c r="AH246" i="8"/>
  <c r="AC246" i="8"/>
  <c r="AE246" i="8" s="1"/>
  <c r="Z246" i="8"/>
  <c r="V246" i="8"/>
  <c r="U246" i="8"/>
  <c r="AF246" i="8" s="1"/>
  <c r="R246" i="8"/>
  <c r="Q246" i="8"/>
  <c r="N246" i="8"/>
  <c r="M246" i="8"/>
  <c r="L246" i="8"/>
  <c r="AJ246" i="8" s="1"/>
  <c r="AL245" i="8"/>
  <c r="AK245" i="8"/>
  <c r="AH245" i="8"/>
  <c r="AC245" i="8"/>
  <c r="AE245" i="8" s="1"/>
  <c r="Z245" i="8"/>
  <c r="V245" i="8"/>
  <c r="U245" i="8"/>
  <c r="AF245" i="8" s="1"/>
  <c r="R245" i="8"/>
  <c r="Q245" i="8"/>
  <c r="N245" i="8"/>
  <c r="M245" i="8"/>
  <c r="L245" i="8"/>
  <c r="AJ245" i="8" s="1"/>
  <c r="AL244" i="8"/>
  <c r="AK244" i="8"/>
  <c r="AH244" i="8"/>
  <c r="AC244" i="8"/>
  <c r="AE244" i="8" s="1"/>
  <c r="Z244" i="8"/>
  <c r="V244" i="8"/>
  <c r="U244" i="8"/>
  <c r="AF244" i="8" s="1"/>
  <c r="R244" i="8"/>
  <c r="Q244" i="8"/>
  <c r="N244" i="8"/>
  <c r="M244" i="8"/>
  <c r="L244" i="8"/>
  <c r="AJ244" i="8" s="1"/>
  <c r="AL243" i="8"/>
  <c r="AK243" i="8"/>
  <c r="AH243" i="8"/>
  <c r="AC243" i="8"/>
  <c r="AE243" i="8" s="1"/>
  <c r="Z243" i="8"/>
  <c r="V243" i="8"/>
  <c r="U243" i="8"/>
  <c r="AF243" i="8" s="1"/>
  <c r="R243" i="8"/>
  <c r="Q243" i="8"/>
  <c r="N243" i="8"/>
  <c r="M243" i="8"/>
  <c r="L243" i="8"/>
  <c r="AJ243" i="8" s="1"/>
  <c r="AL242" i="8"/>
  <c r="AK242" i="8"/>
  <c r="AH242" i="8"/>
  <c r="AC242" i="8"/>
  <c r="AE242" i="8" s="1"/>
  <c r="Z242" i="8"/>
  <c r="V242" i="8"/>
  <c r="U242" i="8"/>
  <c r="AF242" i="8" s="1"/>
  <c r="R242" i="8"/>
  <c r="Q242" i="8"/>
  <c r="N242" i="8"/>
  <c r="M242" i="8"/>
  <c r="L242" i="8"/>
  <c r="AJ242" i="8" s="1"/>
  <c r="AL241" i="8"/>
  <c r="AK241" i="8"/>
  <c r="AH241" i="8"/>
  <c r="AC241" i="8"/>
  <c r="AE241" i="8" s="1"/>
  <c r="Z241" i="8"/>
  <c r="V241" i="8"/>
  <c r="U241" i="8"/>
  <c r="AF241" i="8" s="1"/>
  <c r="R241" i="8"/>
  <c r="Q241" i="8"/>
  <c r="N241" i="8"/>
  <c r="M241" i="8"/>
  <c r="L241" i="8"/>
  <c r="AJ241" i="8" s="1"/>
  <c r="AL240" i="8"/>
  <c r="AK240" i="8"/>
  <c r="AH240" i="8"/>
  <c r="AC240" i="8"/>
  <c r="AE240" i="8" s="1"/>
  <c r="Z240" i="8"/>
  <c r="V240" i="8"/>
  <c r="U240" i="8"/>
  <c r="AF240" i="8" s="1"/>
  <c r="R240" i="8"/>
  <c r="Q240" i="8"/>
  <c r="N240" i="8"/>
  <c r="M240" i="8"/>
  <c r="L240" i="8"/>
  <c r="AJ240" i="8" s="1"/>
  <c r="AL239" i="8"/>
  <c r="AK239" i="8"/>
  <c r="AH239" i="8"/>
  <c r="AC239" i="8"/>
  <c r="AE239" i="8" s="1"/>
  <c r="Z239" i="8"/>
  <c r="V239" i="8"/>
  <c r="U239" i="8"/>
  <c r="AF239" i="8" s="1"/>
  <c r="R239" i="8"/>
  <c r="Q239" i="8"/>
  <c r="N239" i="8"/>
  <c r="M239" i="8"/>
  <c r="L239" i="8"/>
  <c r="AJ239" i="8" s="1"/>
  <c r="AL238" i="8"/>
  <c r="AK238" i="8"/>
  <c r="AH238" i="8"/>
  <c r="AC238" i="8"/>
  <c r="AE238" i="8" s="1"/>
  <c r="Z238" i="8"/>
  <c r="V238" i="8"/>
  <c r="U238" i="8"/>
  <c r="AF238" i="8" s="1"/>
  <c r="R238" i="8"/>
  <c r="Q238" i="8"/>
  <c r="N238" i="8"/>
  <c r="M238" i="8"/>
  <c r="L238" i="8"/>
  <c r="AJ238" i="8" s="1"/>
  <c r="AL237" i="8"/>
  <c r="AK237" i="8"/>
  <c r="AH237" i="8"/>
  <c r="AC237" i="8"/>
  <c r="AE237" i="8" s="1"/>
  <c r="Z237" i="8"/>
  <c r="V237" i="8"/>
  <c r="U237" i="8"/>
  <c r="AF237" i="8" s="1"/>
  <c r="R237" i="8"/>
  <c r="Q237" i="8"/>
  <c r="N237" i="8"/>
  <c r="M237" i="8"/>
  <c r="L237" i="8"/>
  <c r="AJ237" i="8" s="1"/>
  <c r="AL236" i="8"/>
  <c r="AK236" i="8"/>
  <c r="AH236" i="8"/>
  <c r="AC236" i="8"/>
  <c r="AE236" i="8" s="1"/>
  <c r="Z236" i="8"/>
  <c r="V236" i="8"/>
  <c r="U236" i="8"/>
  <c r="AF236" i="8" s="1"/>
  <c r="R236" i="8"/>
  <c r="Q236" i="8"/>
  <c r="N236" i="8"/>
  <c r="M236" i="8"/>
  <c r="L236" i="8"/>
  <c r="AJ236" i="8" s="1"/>
  <c r="AL235" i="8"/>
  <c r="AK235" i="8"/>
  <c r="AH235" i="8"/>
  <c r="AC235" i="8"/>
  <c r="AE235" i="8" s="1"/>
  <c r="Z235" i="8"/>
  <c r="V235" i="8"/>
  <c r="U235" i="8"/>
  <c r="AF235" i="8" s="1"/>
  <c r="R235" i="8"/>
  <c r="Q235" i="8"/>
  <c r="N235" i="8"/>
  <c r="M235" i="8"/>
  <c r="L235" i="8"/>
  <c r="AJ235" i="8" s="1"/>
  <c r="AL234" i="8"/>
  <c r="AK234" i="8"/>
  <c r="AH234" i="8"/>
  <c r="AC234" i="8"/>
  <c r="AE234" i="8" s="1"/>
  <c r="Z234" i="8"/>
  <c r="V234" i="8"/>
  <c r="U234" i="8"/>
  <c r="AF234" i="8" s="1"/>
  <c r="R234" i="8"/>
  <c r="Q234" i="8"/>
  <c r="N234" i="8"/>
  <c r="M234" i="8"/>
  <c r="L234" i="8"/>
  <c r="AJ234" i="8" s="1"/>
  <c r="AL233" i="8"/>
  <c r="AK233" i="8"/>
  <c r="AH233" i="8"/>
  <c r="AC233" i="8"/>
  <c r="AE233" i="8" s="1"/>
  <c r="Z233" i="8"/>
  <c r="V233" i="8"/>
  <c r="U233" i="8"/>
  <c r="AF233" i="8" s="1"/>
  <c r="R233" i="8"/>
  <c r="Q233" i="8"/>
  <c r="N233" i="8"/>
  <c r="M233" i="8"/>
  <c r="L233" i="8"/>
  <c r="AJ233" i="8" s="1"/>
  <c r="AL232" i="8"/>
  <c r="AK232" i="8"/>
  <c r="AH232" i="8"/>
  <c r="AC232" i="8"/>
  <c r="AE232" i="8" s="1"/>
  <c r="Z232" i="8"/>
  <c r="V232" i="8"/>
  <c r="U232" i="8"/>
  <c r="AF232" i="8" s="1"/>
  <c r="R232" i="8"/>
  <c r="Q232" i="8"/>
  <c r="N232" i="8"/>
  <c r="M232" i="8"/>
  <c r="L232" i="8"/>
  <c r="AJ232" i="8" s="1"/>
  <c r="AL231" i="8"/>
  <c r="AK231" i="8"/>
  <c r="AH231" i="8"/>
  <c r="AC231" i="8"/>
  <c r="AE231" i="8" s="1"/>
  <c r="Z231" i="8"/>
  <c r="V231" i="8"/>
  <c r="U231" i="8"/>
  <c r="AF231" i="8" s="1"/>
  <c r="R231" i="8"/>
  <c r="Q231" i="8"/>
  <c r="N231" i="8"/>
  <c r="M231" i="8"/>
  <c r="L231" i="8"/>
  <c r="AJ231" i="8" s="1"/>
  <c r="AL230" i="8"/>
  <c r="AK230" i="8"/>
  <c r="AH230" i="8"/>
  <c r="AC230" i="8"/>
  <c r="AE230" i="8" s="1"/>
  <c r="Z230" i="8"/>
  <c r="V230" i="8"/>
  <c r="U230" i="8"/>
  <c r="AF230" i="8" s="1"/>
  <c r="R230" i="8"/>
  <c r="Q230" i="8"/>
  <c r="N230" i="8"/>
  <c r="M230" i="8"/>
  <c r="L230" i="8"/>
  <c r="AJ230" i="8" s="1"/>
  <c r="AL229" i="8"/>
  <c r="AK229" i="8"/>
  <c r="AH229" i="8"/>
  <c r="AC229" i="8"/>
  <c r="AE229" i="8" s="1"/>
  <c r="Z229" i="8"/>
  <c r="V229" i="8"/>
  <c r="U229" i="8"/>
  <c r="AF229" i="8" s="1"/>
  <c r="R229" i="8"/>
  <c r="Q229" i="8"/>
  <c r="N229" i="8"/>
  <c r="M229" i="8"/>
  <c r="L229" i="8"/>
  <c r="AJ229" i="8" s="1"/>
  <c r="AL228" i="8"/>
  <c r="AK228" i="8"/>
  <c r="AH228" i="8"/>
  <c r="AC228" i="8"/>
  <c r="AE228" i="8" s="1"/>
  <c r="Z228" i="8"/>
  <c r="V228" i="8"/>
  <c r="U228" i="8"/>
  <c r="AF228" i="8" s="1"/>
  <c r="R228" i="8"/>
  <c r="Q228" i="8"/>
  <c r="N228" i="8"/>
  <c r="M228" i="8"/>
  <c r="L228" i="8"/>
  <c r="AJ228" i="8" s="1"/>
  <c r="AL227" i="8"/>
  <c r="AK227" i="8"/>
  <c r="AH227" i="8"/>
  <c r="AC227" i="8"/>
  <c r="AE227" i="8" s="1"/>
  <c r="Z227" i="8"/>
  <c r="V227" i="8"/>
  <c r="U227" i="8"/>
  <c r="AF227" i="8" s="1"/>
  <c r="R227" i="8"/>
  <c r="Q227" i="8"/>
  <c r="N227" i="8"/>
  <c r="M227" i="8"/>
  <c r="L227" i="8"/>
  <c r="AJ227" i="8" s="1"/>
  <c r="AL226" i="8"/>
  <c r="AK226" i="8"/>
  <c r="AH226" i="8"/>
  <c r="AC226" i="8"/>
  <c r="AE226" i="8" s="1"/>
  <c r="Z226" i="8"/>
  <c r="V226" i="8"/>
  <c r="U226" i="8"/>
  <c r="AF226" i="8" s="1"/>
  <c r="R226" i="8"/>
  <c r="Q226" i="8"/>
  <c r="N226" i="8"/>
  <c r="M226" i="8"/>
  <c r="L226" i="8"/>
  <c r="AJ226" i="8" s="1"/>
  <c r="AL225" i="8"/>
  <c r="AK225" i="8"/>
  <c r="AH225" i="8"/>
  <c r="AC225" i="8"/>
  <c r="AE225" i="8" s="1"/>
  <c r="Z225" i="8"/>
  <c r="V225" i="8"/>
  <c r="U225" i="8"/>
  <c r="AF225" i="8" s="1"/>
  <c r="R225" i="8"/>
  <c r="Q225" i="8"/>
  <c r="N225" i="8"/>
  <c r="M225" i="8"/>
  <c r="L225" i="8"/>
  <c r="AJ225" i="8" s="1"/>
  <c r="AL224" i="8"/>
  <c r="AK224" i="8"/>
  <c r="AH224" i="8"/>
  <c r="AC224" i="8"/>
  <c r="AE224" i="8" s="1"/>
  <c r="Z224" i="8"/>
  <c r="V224" i="8"/>
  <c r="U224" i="8"/>
  <c r="AF224" i="8" s="1"/>
  <c r="R224" i="8"/>
  <c r="Q224" i="8"/>
  <c r="N224" i="8"/>
  <c r="M224" i="8"/>
  <c r="L224" i="8"/>
  <c r="AJ224" i="8" s="1"/>
  <c r="AL223" i="8"/>
  <c r="AK223" i="8"/>
  <c r="AH223" i="8"/>
  <c r="AC223" i="8"/>
  <c r="AE223" i="8" s="1"/>
  <c r="Z223" i="8"/>
  <c r="V223" i="8"/>
  <c r="U223" i="8"/>
  <c r="AF223" i="8" s="1"/>
  <c r="R223" i="8"/>
  <c r="Q223" i="8"/>
  <c r="N223" i="8"/>
  <c r="M223" i="8"/>
  <c r="L223" i="8"/>
  <c r="AJ223" i="8" s="1"/>
  <c r="AL222" i="8"/>
  <c r="AK222" i="8"/>
  <c r="AH222" i="8"/>
  <c r="AC222" i="8"/>
  <c r="AE222" i="8" s="1"/>
  <c r="Z222" i="8"/>
  <c r="V222" i="8"/>
  <c r="U222" i="8"/>
  <c r="AF222" i="8" s="1"/>
  <c r="R222" i="8"/>
  <c r="Q222" i="8"/>
  <c r="N222" i="8"/>
  <c r="M222" i="8"/>
  <c r="L222" i="8"/>
  <c r="AJ222" i="8" s="1"/>
  <c r="AL221" i="8"/>
  <c r="AK221" i="8"/>
  <c r="AH221" i="8"/>
  <c r="AC221" i="8"/>
  <c r="AE221" i="8" s="1"/>
  <c r="Z221" i="8"/>
  <c r="V221" i="8"/>
  <c r="U221" i="8"/>
  <c r="AF221" i="8" s="1"/>
  <c r="R221" i="8"/>
  <c r="Q221" i="8"/>
  <c r="N221" i="8"/>
  <c r="M221" i="8"/>
  <c r="L221" i="8"/>
  <c r="AJ221" i="8" s="1"/>
  <c r="AL220" i="8"/>
  <c r="AK220" i="8"/>
  <c r="AH220" i="8"/>
  <c r="AC220" i="8"/>
  <c r="AE220" i="8" s="1"/>
  <c r="Z220" i="8"/>
  <c r="V220" i="8"/>
  <c r="U220" i="8"/>
  <c r="AF220" i="8" s="1"/>
  <c r="R220" i="8"/>
  <c r="Q220" i="8"/>
  <c r="N220" i="8"/>
  <c r="M220" i="8"/>
  <c r="L220" i="8"/>
  <c r="AJ220" i="8" s="1"/>
  <c r="AL219" i="8"/>
  <c r="AK219" i="8"/>
  <c r="AH219" i="8"/>
  <c r="AC219" i="8"/>
  <c r="AE219" i="8" s="1"/>
  <c r="Z219" i="8"/>
  <c r="V219" i="8"/>
  <c r="U219" i="8"/>
  <c r="AF219" i="8" s="1"/>
  <c r="R219" i="8"/>
  <c r="Q219" i="8"/>
  <c r="N219" i="8"/>
  <c r="M219" i="8"/>
  <c r="L219" i="8"/>
  <c r="AJ219" i="8" s="1"/>
  <c r="AL218" i="8"/>
  <c r="AK218" i="8"/>
  <c r="AH218" i="8"/>
  <c r="AC218" i="8"/>
  <c r="AE218" i="8" s="1"/>
  <c r="Z218" i="8"/>
  <c r="V218" i="8"/>
  <c r="U218" i="8"/>
  <c r="AF218" i="8" s="1"/>
  <c r="R218" i="8"/>
  <c r="Q218" i="8"/>
  <c r="N218" i="8"/>
  <c r="M218" i="8"/>
  <c r="L218" i="8"/>
  <c r="AJ218" i="8" s="1"/>
  <c r="AL217" i="8"/>
  <c r="AK217" i="8"/>
  <c r="AH217" i="8"/>
  <c r="AC217" i="8"/>
  <c r="AE217" i="8" s="1"/>
  <c r="Z217" i="8"/>
  <c r="V217" i="8"/>
  <c r="U217" i="8"/>
  <c r="AF217" i="8" s="1"/>
  <c r="R217" i="8"/>
  <c r="Q217" i="8"/>
  <c r="N217" i="8"/>
  <c r="M217" i="8"/>
  <c r="L217" i="8"/>
  <c r="AJ217" i="8" s="1"/>
  <c r="AL216" i="8"/>
  <c r="AK216" i="8"/>
  <c r="AH216" i="8"/>
  <c r="AC216" i="8"/>
  <c r="AE216" i="8" s="1"/>
  <c r="Z216" i="8"/>
  <c r="V216" i="8"/>
  <c r="U216" i="8"/>
  <c r="AF216" i="8" s="1"/>
  <c r="R216" i="8"/>
  <c r="Q216" i="8"/>
  <c r="N216" i="8"/>
  <c r="M216" i="8"/>
  <c r="L216" i="8"/>
  <c r="AJ216" i="8" s="1"/>
  <c r="AL215" i="8"/>
  <c r="AK215" i="8"/>
  <c r="AH215" i="8"/>
  <c r="AC215" i="8"/>
  <c r="AE215" i="8" s="1"/>
  <c r="Z215" i="8"/>
  <c r="V215" i="8"/>
  <c r="U215" i="8"/>
  <c r="AF215" i="8" s="1"/>
  <c r="R215" i="8"/>
  <c r="Q215" i="8"/>
  <c r="N215" i="8"/>
  <c r="M215" i="8"/>
  <c r="L215" i="8"/>
  <c r="AJ215" i="8" s="1"/>
  <c r="AL214" i="8"/>
  <c r="AK214" i="8"/>
  <c r="AH214" i="8"/>
  <c r="AC214" i="8"/>
  <c r="AE214" i="8" s="1"/>
  <c r="Z214" i="8"/>
  <c r="V214" i="8"/>
  <c r="U214" i="8"/>
  <c r="AF214" i="8" s="1"/>
  <c r="R214" i="8"/>
  <c r="Q214" i="8"/>
  <c r="N214" i="8"/>
  <c r="M214" i="8"/>
  <c r="L214" i="8"/>
  <c r="AJ214" i="8" s="1"/>
  <c r="AL213" i="8"/>
  <c r="AK213" i="8"/>
  <c r="AH213" i="8"/>
  <c r="AC213" i="8"/>
  <c r="AE213" i="8" s="1"/>
  <c r="Z213" i="8"/>
  <c r="V213" i="8"/>
  <c r="U213" i="8"/>
  <c r="AF213" i="8" s="1"/>
  <c r="R213" i="8"/>
  <c r="Q213" i="8"/>
  <c r="N213" i="8"/>
  <c r="M213" i="8"/>
  <c r="L213" i="8"/>
  <c r="AJ213" i="8" s="1"/>
  <c r="AL212" i="8"/>
  <c r="AK212" i="8"/>
  <c r="AH212" i="8"/>
  <c r="AC212" i="8"/>
  <c r="AE212" i="8" s="1"/>
  <c r="Z212" i="8"/>
  <c r="V212" i="8"/>
  <c r="U212" i="8"/>
  <c r="AF212" i="8" s="1"/>
  <c r="R212" i="8"/>
  <c r="Q212" i="8"/>
  <c r="N212" i="8"/>
  <c r="M212" i="8"/>
  <c r="L212" i="8"/>
  <c r="AJ212" i="8" s="1"/>
  <c r="AL211" i="8"/>
  <c r="AK211" i="8"/>
  <c r="AH211" i="8"/>
  <c r="AC211" i="8"/>
  <c r="AE211" i="8" s="1"/>
  <c r="Z211" i="8"/>
  <c r="V211" i="8"/>
  <c r="U211" i="8"/>
  <c r="AF211" i="8" s="1"/>
  <c r="R211" i="8"/>
  <c r="Q211" i="8"/>
  <c r="N211" i="8"/>
  <c r="M211" i="8"/>
  <c r="L211" i="8"/>
  <c r="AJ211" i="8" s="1"/>
  <c r="AL210" i="8"/>
  <c r="AK210" i="8"/>
  <c r="AH210" i="8"/>
  <c r="AC210" i="8"/>
  <c r="AE210" i="8" s="1"/>
  <c r="Z210" i="8"/>
  <c r="V210" i="8"/>
  <c r="U210" i="8"/>
  <c r="AF210" i="8" s="1"/>
  <c r="R210" i="8"/>
  <c r="Q210" i="8"/>
  <c r="N210" i="8"/>
  <c r="M210" i="8"/>
  <c r="L210" i="8"/>
  <c r="AJ210" i="8" s="1"/>
  <c r="AL209" i="8"/>
  <c r="AK209" i="8"/>
  <c r="AH209" i="8"/>
  <c r="AC209" i="8"/>
  <c r="AE209" i="8" s="1"/>
  <c r="Z209" i="8"/>
  <c r="V209" i="8"/>
  <c r="U209" i="8"/>
  <c r="AF209" i="8" s="1"/>
  <c r="R209" i="8"/>
  <c r="Q209" i="8"/>
  <c r="N209" i="8"/>
  <c r="M209" i="8"/>
  <c r="L209" i="8"/>
  <c r="AJ209" i="8" s="1"/>
  <c r="AL208" i="8"/>
  <c r="AK208" i="8"/>
  <c r="AH208" i="8"/>
  <c r="AC208" i="8"/>
  <c r="AE208" i="8" s="1"/>
  <c r="Z208" i="8"/>
  <c r="V208" i="8"/>
  <c r="U208" i="8"/>
  <c r="AF208" i="8" s="1"/>
  <c r="R208" i="8"/>
  <c r="Q208" i="8"/>
  <c r="N208" i="8"/>
  <c r="M208" i="8"/>
  <c r="L208" i="8"/>
  <c r="AJ208" i="8" s="1"/>
  <c r="AL207" i="8"/>
  <c r="AK207" i="8"/>
  <c r="AH207" i="8"/>
  <c r="AC207" i="8"/>
  <c r="AE207" i="8" s="1"/>
  <c r="Z207" i="8"/>
  <c r="V207" i="8"/>
  <c r="U207" i="8"/>
  <c r="AF207" i="8" s="1"/>
  <c r="R207" i="8"/>
  <c r="Q207" i="8"/>
  <c r="N207" i="8"/>
  <c r="M207" i="8"/>
  <c r="L207" i="8"/>
  <c r="AJ207" i="8" s="1"/>
  <c r="AL206" i="8"/>
  <c r="AK206" i="8"/>
  <c r="AH206" i="8"/>
  <c r="AC206" i="8"/>
  <c r="AE206" i="8" s="1"/>
  <c r="Z206" i="8"/>
  <c r="V206" i="8"/>
  <c r="U206" i="8"/>
  <c r="AF206" i="8" s="1"/>
  <c r="R206" i="8"/>
  <c r="Q206" i="8"/>
  <c r="N206" i="8"/>
  <c r="M206" i="8"/>
  <c r="L206" i="8"/>
  <c r="AJ206" i="8" s="1"/>
  <c r="AL205" i="8"/>
  <c r="AK205" i="8"/>
  <c r="AH205" i="8"/>
  <c r="AC205" i="8"/>
  <c r="AE205" i="8" s="1"/>
  <c r="Z205" i="8"/>
  <c r="V205" i="8"/>
  <c r="U205" i="8"/>
  <c r="AF205" i="8" s="1"/>
  <c r="R205" i="8"/>
  <c r="Q205" i="8"/>
  <c r="N205" i="8"/>
  <c r="M205" i="8"/>
  <c r="L205" i="8"/>
  <c r="AJ205" i="8" s="1"/>
  <c r="AL204" i="8"/>
  <c r="AK204" i="8"/>
  <c r="AH204" i="8"/>
  <c r="AC204" i="8"/>
  <c r="AE204" i="8" s="1"/>
  <c r="Z204" i="8"/>
  <c r="V204" i="8"/>
  <c r="U204" i="8"/>
  <c r="AF204" i="8" s="1"/>
  <c r="R204" i="8"/>
  <c r="Q204" i="8"/>
  <c r="N204" i="8"/>
  <c r="M204" i="8"/>
  <c r="L204" i="8"/>
  <c r="AJ204" i="8" s="1"/>
  <c r="AL203" i="8"/>
  <c r="AK203" i="8"/>
  <c r="AH203" i="8"/>
  <c r="AC203" i="8"/>
  <c r="AE203" i="8" s="1"/>
  <c r="Z203" i="8"/>
  <c r="V203" i="8"/>
  <c r="U203" i="8"/>
  <c r="AF203" i="8" s="1"/>
  <c r="R203" i="8"/>
  <c r="Q203" i="8"/>
  <c r="N203" i="8"/>
  <c r="M203" i="8"/>
  <c r="L203" i="8"/>
  <c r="AJ203" i="8" s="1"/>
  <c r="AL202" i="8"/>
  <c r="AK202" i="8"/>
  <c r="AH202" i="8"/>
  <c r="AC202" i="8"/>
  <c r="AE202" i="8" s="1"/>
  <c r="Z202" i="8"/>
  <c r="V202" i="8"/>
  <c r="U202" i="8"/>
  <c r="AF202" i="8" s="1"/>
  <c r="R202" i="8"/>
  <c r="Q202" i="8"/>
  <c r="N202" i="8"/>
  <c r="M202" i="8"/>
  <c r="L202" i="8"/>
  <c r="AJ202" i="8" s="1"/>
  <c r="AL201" i="8"/>
  <c r="AK201" i="8"/>
  <c r="AH201" i="8"/>
  <c r="AC201" i="8"/>
  <c r="AE201" i="8" s="1"/>
  <c r="Z201" i="8"/>
  <c r="V201" i="8"/>
  <c r="U201" i="8"/>
  <c r="AF201" i="8" s="1"/>
  <c r="R201" i="8"/>
  <c r="Q201" i="8"/>
  <c r="N201" i="8"/>
  <c r="M201" i="8"/>
  <c r="L201" i="8"/>
  <c r="AJ201" i="8" s="1"/>
  <c r="AL200" i="8"/>
  <c r="AK200" i="8"/>
  <c r="AH200" i="8"/>
  <c r="AC200" i="8"/>
  <c r="AE200" i="8" s="1"/>
  <c r="Z200" i="8"/>
  <c r="V200" i="8"/>
  <c r="U200" i="8"/>
  <c r="AF200" i="8" s="1"/>
  <c r="R200" i="8"/>
  <c r="Q200" i="8"/>
  <c r="N200" i="8"/>
  <c r="M200" i="8"/>
  <c r="L200" i="8"/>
  <c r="AJ200" i="8" s="1"/>
  <c r="AL199" i="8"/>
  <c r="AK199" i="8"/>
  <c r="AH199" i="8"/>
  <c r="AC199" i="8"/>
  <c r="AE199" i="8" s="1"/>
  <c r="Z199" i="8"/>
  <c r="V199" i="8"/>
  <c r="U199" i="8"/>
  <c r="AF199" i="8" s="1"/>
  <c r="R199" i="8"/>
  <c r="Q199" i="8"/>
  <c r="N199" i="8"/>
  <c r="M199" i="8"/>
  <c r="L199" i="8"/>
  <c r="AJ199" i="8" s="1"/>
  <c r="AL198" i="8"/>
  <c r="AK198" i="8"/>
  <c r="AH198" i="8"/>
  <c r="AC198" i="8"/>
  <c r="AE198" i="8" s="1"/>
  <c r="Z198" i="8"/>
  <c r="V198" i="8"/>
  <c r="U198" i="8"/>
  <c r="AF198" i="8" s="1"/>
  <c r="R198" i="8"/>
  <c r="Q198" i="8"/>
  <c r="N198" i="8"/>
  <c r="M198" i="8"/>
  <c r="L198" i="8"/>
  <c r="AJ198" i="8" s="1"/>
  <c r="AL197" i="8"/>
  <c r="AK197" i="8"/>
  <c r="AH197" i="8"/>
  <c r="AC197" i="8"/>
  <c r="AE197" i="8" s="1"/>
  <c r="Z197" i="8"/>
  <c r="V197" i="8"/>
  <c r="U197" i="8"/>
  <c r="AF197" i="8" s="1"/>
  <c r="R197" i="8"/>
  <c r="Q197" i="8"/>
  <c r="N197" i="8"/>
  <c r="M197" i="8"/>
  <c r="L197" i="8"/>
  <c r="AJ197" i="8" s="1"/>
  <c r="AL196" i="8"/>
  <c r="AK196" i="8"/>
  <c r="AH196" i="8"/>
  <c r="AC196" i="8"/>
  <c r="AE196" i="8" s="1"/>
  <c r="Z196" i="8"/>
  <c r="V196" i="8"/>
  <c r="U196" i="8"/>
  <c r="AF196" i="8" s="1"/>
  <c r="R196" i="8"/>
  <c r="Q196" i="8"/>
  <c r="N196" i="8"/>
  <c r="M196" i="8"/>
  <c r="L196" i="8"/>
  <c r="AJ196" i="8" s="1"/>
  <c r="AL195" i="8"/>
  <c r="AK195" i="8"/>
  <c r="AH195" i="8"/>
  <c r="AC195" i="8"/>
  <c r="AE195" i="8" s="1"/>
  <c r="Z195" i="8"/>
  <c r="V195" i="8"/>
  <c r="U195" i="8"/>
  <c r="AF195" i="8" s="1"/>
  <c r="R195" i="8"/>
  <c r="Q195" i="8"/>
  <c r="N195" i="8"/>
  <c r="M195" i="8"/>
  <c r="L195" i="8"/>
  <c r="AJ195" i="8" s="1"/>
  <c r="AL194" i="8"/>
  <c r="AK194" i="8"/>
  <c r="AH194" i="8"/>
  <c r="AC194" i="8"/>
  <c r="AE194" i="8" s="1"/>
  <c r="Z194" i="8"/>
  <c r="V194" i="8"/>
  <c r="U194" i="8"/>
  <c r="AF194" i="8" s="1"/>
  <c r="R194" i="8"/>
  <c r="Q194" i="8"/>
  <c r="N194" i="8"/>
  <c r="M194" i="8"/>
  <c r="L194" i="8"/>
  <c r="AJ194" i="8" s="1"/>
  <c r="AL193" i="8"/>
  <c r="AK193" i="8"/>
  <c r="AH193" i="8"/>
  <c r="AC193" i="8"/>
  <c r="AE193" i="8" s="1"/>
  <c r="Z193" i="8"/>
  <c r="V193" i="8"/>
  <c r="U193" i="8"/>
  <c r="AF193" i="8" s="1"/>
  <c r="R193" i="8"/>
  <c r="Q193" i="8"/>
  <c r="N193" i="8"/>
  <c r="M193" i="8"/>
  <c r="L193" i="8"/>
  <c r="AJ193" i="8" s="1"/>
  <c r="AL192" i="8"/>
  <c r="AK192" i="8"/>
  <c r="AH192" i="8"/>
  <c r="AC192" i="8"/>
  <c r="AE192" i="8" s="1"/>
  <c r="Z192" i="8"/>
  <c r="V192" i="8"/>
  <c r="U192" i="8"/>
  <c r="AF192" i="8" s="1"/>
  <c r="R192" i="8"/>
  <c r="Q192" i="8"/>
  <c r="N192" i="8"/>
  <c r="M192" i="8"/>
  <c r="L192" i="8"/>
  <c r="AJ192" i="8" s="1"/>
  <c r="AL191" i="8"/>
  <c r="AK191" i="8"/>
  <c r="AH191" i="8"/>
  <c r="AC191" i="8"/>
  <c r="AE191" i="8" s="1"/>
  <c r="Z191" i="8"/>
  <c r="V191" i="8"/>
  <c r="U191" i="8"/>
  <c r="AF191" i="8" s="1"/>
  <c r="R191" i="8"/>
  <c r="Q191" i="8"/>
  <c r="N191" i="8"/>
  <c r="M191" i="8"/>
  <c r="L191" i="8"/>
  <c r="AJ191" i="8" s="1"/>
  <c r="AL190" i="8"/>
  <c r="AK190" i="8"/>
  <c r="AH190" i="8"/>
  <c r="AC190" i="8"/>
  <c r="AE190" i="8" s="1"/>
  <c r="Z190" i="8"/>
  <c r="V190" i="8"/>
  <c r="U190" i="8"/>
  <c r="AF190" i="8" s="1"/>
  <c r="R190" i="8"/>
  <c r="Q190" i="8"/>
  <c r="N190" i="8"/>
  <c r="M190" i="8"/>
  <c r="L190" i="8"/>
  <c r="AJ190" i="8" s="1"/>
  <c r="AL189" i="8"/>
  <c r="AK189" i="8"/>
  <c r="AH189" i="8"/>
  <c r="AC189" i="8"/>
  <c r="AE189" i="8" s="1"/>
  <c r="Z189" i="8"/>
  <c r="V189" i="8"/>
  <c r="U189" i="8"/>
  <c r="AF189" i="8" s="1"/>
  <c r="R189" i="8"/>
  <c r="Q189" i="8"/>
  <c r="N189" i="8"/>
  <c r="M189" i="8"/>
  <c r="L189" i="8"/>
  <c r="AJ189" i="8" s="1"/>
  <c r="AL188" i="8"/>
  <c r="AK188" i="8"/>
  <c r="AH188" i="8"/>
  <c r="AC188" i="8"/>
  <c r="AE188" i="8" s="1"/>
  <c r="Z188" i="8"/>
  <c r="V188" i="8"/>
  <c r="U188" i="8"/>
  <c r="AF188" i="8" s="1"/>
  <c r="R188" i="8"/>
  <c r="Q188" i="8"/>
  <c r="N188" i="8"/>
  <c r="M188" i="8"/>
  <c r="L188" i="8"/>
  <c r="AJ188" i="8" s="1"/>
  <c r="AL187" i="8"/>
  <c r="AK187" i="8"/>
  <c r="AH187" i="8"/>
  <c r="AC187" i="8"/>
  <c r="AE187" i="8" s="1"/>
  <c r="Z187" i="8"/>
  <c r="V187" i="8"/>
  <c r="U187" i="8"/>
  <c r="AF187" i="8" s="1"/>
  <c r="R187" i="8"/>
  <c r="Q187" i="8"/>
  <c r="N187" i="8"/>
  <c r="M187" i="8"/>
  <c r="L187" i="8"/>
  <c r="AJ187" i="8" s="1"/>
  <c r="AL186" i="8"/>
  <c r="AK186" i="8"/>
  <c r="AH186" i="8"/>
  <c r="AC186" i="8"/>
  <c r="AE186" i="8" s="1"/>
  <c r="Z186" i="8"/>
  <c r="V186" i="8"/>
  <c r="U186" i="8"/>
  <c r="AF186" i="8" s="1"/>
  <c r="R186" i="8"/>
  <c r="Q186" i="8"/>
  <c r="N186" i="8"/>
  <c r="M186" i="8"/>
  <c r="L186" i="8"/>
  <c r="AJ186" i="8" s="1"/>
  <c r="AL185" i="8"/>
  <c r="AK185" i="8"/>
  <c r="AH185" i="8"/>
  <c r="AC185" i="8"/>
  <c r="AE185" i="8" s="1"/>
  <c r="Z185" i="8"/>
  <c r="V185" i="8"/>
  <c r="U185" i="8"/>
  <c r="AF185" i="8" s="1"/>
  <c r="R185" i="8"/>
  <c r="Q185" i="8"/>
  <c r="N185" i="8"/>
  <c r="M185" i="8"/>
  <c r="L185" i="8"/>
  <c r="AJ185" i="8" s="1"/>
  <c r="AL184" i="8"/>
  <c r="AK184" i="8"/>
  <c r="AH184" i="8"/>
  <c r="AC184" i="8"/>
  <c r="AE184" i="8" s="1"/>
  <c r="Z184" i="8"/>
  <c r="V184" i="8"/>
  <c r="U184" i="8"/>
  <c r="AF184" i="8" s="1"/>
  <c r="R184" i="8"/>
  <c r="Q184" i="8"/>
  <c r="N184" i="8"/>
  <c r="M184" i="8"/>
  <c r="L184" i="8"/>
  <c r="AJ184" i="8" s="1"/>
  <c r="AL183" i="8"/>
  <c r="AK183" i="8"/>
  <c r="AH183" i="8"/>
  <c r="AC183" i="8"/>
  <c r="AE183" i="8" s="1"/>
  <c r="Z183" i="8"/>
  <c r="V183" i="8"/>
  <c r="U183" i="8"/>
  <c r="AF183" i="8" s="1"/>
  <c r="R183" i="8"/>
  <c r="Q183" i="8"/>
  <c r="N183" i="8"/>
  <c r="M183" i="8"/>
  <c r="L183" i="8"/>
  <c r="AJ183" i="8" s="1"/>
  <c r="AL182" i="8"/>
  <c r="AK182" i="8"/>
  <c r="AH182" i="8"/>
  <c r="AC182" i="8"/>
  <c r="AE182" i="8" s="1"/>
  <c r="Z182" i="8"/>
  <c r="V182" i="8"/>
  <c r="U182" i="8"/>
  <c r="AF182" i="8" s="1"/>
  <c r="R182" i="8"/>
  <c r="Q182" i="8"/>
  <c r="N182" i="8"/>
  <c r="M182" i="8"/>
  <c r="L182" i="8"/>
  <c r="AJ182" i="8" s="1"/>
  <c r="AL181" i="8"/>
  <c r="AK181" i="8"/>
  <c r="AH181" i="8"/>
  <c r="AC181" i="8"/>
  <c r="AE181" i="8" s="1"/>
  <c r="Z181" i="8"/>
  <c r="V181" i="8"/>
  <c r="U181" i="8"/>
  <c r="AF181" i="8" s="1"/>
  <c r="R181" i="8"/>
  <c r="Q181" i="8"/>
  <c r="N181" i="8"/>
  <c r="M181" i="8"/>
  <c r="L181" i="8"/>
  <c r="AJ181" i="8" s="1"/>
  <c r="AL180" i="8"/>
  <c r="AK180" i="8"/>
  <c r="AH180" i="8"/>
  <c r="AC180" i="8"/>
  <c r="AE180" i="8" s="1"/>
  <c r="Z180" i="8"/>
  <c r="V180" i="8"/>
  <c r="U180" i="8"/>
  <c r="AF180" i="8" s="1"/>
  <c r="R180" i="8"/>
  <c r="Q180" i="8"/>
  <c r="N180" i="8"/>
  <c r="M180" i="8"/>
  <c r="L180" i="8"/>
  <c r="AJ180" i="8" s="1"/>
  <c r="AL179" i="8"/>
  <c r="AK179" i="8"/>
  <c r="AH179" i="8"/>
  <c r="AC179" i="8"/>
  <c r="AE179" i="8" s="1"/>
  <c r="Z179" i="8"/>
  <c r="V179" i="8"/>
  <c r="U179" i="8"/>
  <c r="AF179" i="8" s="1"/>
  <c r="R179" i="8"/>
  <c r="Q179" i="8"/>
  <c r="N179" i="8"/>
  <c r="M179" i="8"/>
  <c r="L179" i="8"/>
  <c r="AJ179" i="8" s="1"/>
  <c r="AL178" i="8"/>
  <c r="AK178" i="8"/>
  <c r="AH178" i="8"/>
  <c r="AC178" i="8"/>
  <c r="AE178" i="8" s="1"/>
  <c r="Z178" i="8"/>
  <c r="V178" i="8"/>
  <c r="U178" i="8"/>
  <c r="AF178" i="8" s="1"/>
  <c r="R178" i="8"/>
  <c r="Q178" i="8"/>
  <c r="N178" i="8"/>
  <c r="M178" i="8"/>
  <c r="L178" i="8"/>
  <c r="AJ178" i="8" s="1"/>
  <c r="AL177" i="8"/>
  <c r="AK177" i="8"/>
  <c r="AH177" i="8"/>
  <c r="AC177" i="8"/>
  <c r="AE177" i="8" s="1"/>
  <c r="Z177" i="8"/>
  <c r="V177" i="8"/>
  <c r="U177" i="8"/>
  <c r="AF177" i="8" s="1"/>
  <c r="R177" i="8"/>
  <c r="Q177" i="8"/>
  <c r="N177" i="8"/>
  <c r="M177" i="8"/>
  <c r="L177" i="8"/>
  <c r="AJ177" i="8" s="1"/>
  <c r="AL176" i="8"/>
  <c r="AK176" i="8"/>
  <c r="AH176" i="8"/>
  <c r="AC176" i="8"/>
  <c r="AE176" i="8" s="1"/>
  <c r="Z176" i="8"/>
  <c r="V176" i="8"/>
  <c r="U176" i="8"/>
  <c r="AF176" i="8" s="1"/>
  <c r="R176" i="8"/>
  <c r="Q176" i="8"/>
  <c r="N176" i="8"/>
  <c r="M176" i="8"/>
  <c r="L176" i="8"/>
  <c r="AJ176" i="8" s="1"/>
  <c r="AL175" i="8"/>
  <c r="AK175" i="8"/>
  <c r="AH175" i="8"/>
  <c r="AC175" i="8"/>
  <c r="AE175" i="8" s="1"/>
  <c r="Z175" i="8"/>
  <c r="V175" i="8"/>
  <c r="U175" i="8"/>
  <c r="AF175" i="8" s="1"/>
  <c r="R175" i="8"/>
  <c r="Q175" i="8"/>
  <c r="N175" i="8"/>
  <c r="M175" i="8"/>
  <c r="L175" i="8"/>
  <c r="AJ175" i="8" s="1"/>
  <c r="AL174" i="8"/>
  <c r="AK174" i="8"/>
  <c r="AH174" i="8"/>
  <c r="AC174" i="8"/>
  <c r="AE174" i="8" s="1"/>
  <c r="Z174" i="8"/>
  <c r="V174" i="8"/>
  <c r="U174" i="8"/>
  <c r="AF174" i="8" s="1"/>
  <c r="R174" i="8"/>
  <c r="Q174" i="8"/>
  <c r="N174" i="8"/>
  <c r="M174" i="8"/>
  <c r="L174" i="8"/>
  <c r="AJ174" i="8" s="1"/>
  <c r="AL173" i="8"/>
  <c r="AK173" i="8"/>
  <c r="AH173" i="8"/>
  <c r="AC173" i="8"/>
  <c r="AE173" i="8" s="1"/>
  <c r="Z173" i="8"/>
  <c r="V173" i="8"/>
  <c r="U173" i="8"/>
  <c r="AF173" i="8" s="1"/>
  <c r="R173" i="8"/>
  <c r="Q173" i="8"/>
  <c r="N173" i="8"/>
  <c r="M173" i="8"/>
  <c r="L173" i="8"/>
  <c r="AJ173" i="8" s="1"/>
  <c r="AL172" i="8"/>
  <c r="AK172" i="8"/>
  <c r="AH172" i="8"/>
  <c r="AC172" i="8"/>
  <c r="AE172" i="8" s="1"/>
  <c r="Z172" i="8"/>
  <c r="V172" i="8"/>
  <c r="U172" i="8"/>
  <c r="AF172" i="8" s="1"/>
  <c r="R172" i="8"/>
  <c r="Q172" i="8"/>
  <c r="N172" i="8"/>
  <c r="M172" i="8"/>
  <c r="L172" i="8"/>
  <c r="AJ172" i="8" s="1"/>
  <c r="AL171" i="8"/>
  <c r="AK171" i="8"/>
  <c r="AH171" i="8"/>
  <c r="AC171" i="8"/>
  <c r="AE171" i="8" s="1"/>
  <c r="Z171" i="8"/>
  <c r="V171" i="8"/>
  <c r="U171" i="8"/>
  <c r="AF171" i="8" s="1"/>
  <c r="R171" i="8"/>
  <c r="Q171" i="8"/>
  <c r="N171" i="8"/>
  <c r="M171" i="8"/>
  <c r="L171" i="8"/>
  <c r="AJ171" i="8" s="1"/>
  <c r="AL170" i="8"/>
  <c r="AK170" i="8"/>
  <c r="AH170" i="8"/>
  <c r="AC170" i="8"/>
  <c r="AE170" i="8" s="1"/>
  <c r="Z170" i="8"/>
  <c r="V170" i="8"/>
  <c r="U170" i="8"/>
  <c r="AF170" i="8" s="1"/>
  <c r="R170" i="8"/>
  <c r="Q170" i="8"/>
  <c r="N170" i="8"/>
  <c r="M170" i="8"/>
  <c r="L170" i="8"/>
  <c r="AJ170" i="8" s="1"/>
  <c r="AL169" i="8"/>
  <c r="AK169" i="8"/>
  <c r="AH169" i="8"/>
  <c r="AC169" i="8"/>
  <c r="AE169" i="8" s="1"/>
  <c r="Z169" i="8"/>
  <c r="V169" i="8"/>
  <c r="U169" i="8"/>
  <c r="AF169" i="8" s="1"/>
  <c r="R169" i="8"/>
  <c r="Q169" i="8"/>
  <c r="N169" i="8"/>
  <c r="M169" i="8"/>
  <c r="L169" i="8"/>
  <c r="AJ169" i="8" s="1"/>
  <c r="AL168" i="8"/>
  <c r="AK168" i="8"/>
  <c r="AH168" i="8"/>
  <c r="AC168" i="8"/>
  <c r="AE168" i="8" s="1"/>
  <c r="Z168" i="8"/>
  <c r="V168" i="8"/>
  <c r="U168" i="8"/>
  <c r="AF168" i="8" s="1"/>
  <c r="R168" i="8"/>
  <c r="Q168" i="8"/>
  <c r="N168" i="8"/>
  <c r="M168" i="8"/>
  <c r="L168" i="8"/>
  <c r="AJ168" i="8" s="1"/>
  <c r="AL167" i="8"/>
  <c r="AK167" i="8"/>
  <c r="AH167" i="8"/>
  <c r="AC167" i="8"/>
  <c r="AE167" i="8" s="1"/>
  <c r="Z167" i="8"/>
  <c r="V167" i="8"/>
  <c r="U167" i="8"/>
  <c r="AF167" i="8" s="1"/>
  <c r="R167" i="8"/>
  <c r="Q167" i="8"/>
  <c r="N167" i="8"/>
  <c r="M167" i="8"/>
  <c r="L167" i="8"/>
  <c r="AJ167" i="8" s="1"/>
  <c r="AL166" i="8"/>
  <c r="AK166" i="8"/>
  <c r="AH166" i="8"/>
  <c r="AC166" i="8"/>
  <c r="AE166" i="8" s="1"/>
  <c r="Z166" i="8"/>
  <c r="V166" i="8"/>
  <c r="U166" i="8"/>
  <c r="AF166" i="8" s="1"/>
  <c r="R166" i="8"/>
  <c r="Q166" i="8"/>
  <c r="N166" i="8"/>
  <c r="M166" i="8"/>
  <c r="L166" i="8"/>
  <c r="AJ166" i="8" s="1"/>
  <c r="AL165" i="8"/>
  <c r="AK165" i="8"/>
  <c r="AH165" i="8"/>
  <c r="AC165" i="8"/>
  <c r="AE165" i="8" s="1"/>
  <c r="Z165" i="8"/>
  <c r="V165" i="8"/>
  <c r="U165" i="8"/>
  <c r="AF165" i="8" s="1"/>
  <c r="R165" i="8"/>
  <c r="Q165" i="8"/>
  <c r="N165" i="8"/>
  <c r="M165" i="8"/>
  <c r="L165" i="8"/>
  <c r="AJ165" i="8" s="1"/>
  <c r="AL164" i="8"/>
  <c r="AK164" i="8"/>
  <c r="AH164" i="8"/>
  <c r="AC164" i="8"/>
  <c r="AE164" i="8" s="1"/>
  <c r="Z164" i="8"/>
  <c r="V164" i="8"/>
  <c r="U164" i="8"/>
  <c r="AF164" i="8" s="1"/>
  <c r="R164" i="8"/>
  <c r="Q164" i="8"/>
  <c r="N164" i="8"/>
  <c r="M164" i="8"/>
  <c r="L164" i="8"/>
  <c r="AJ164" i="8" s="1"/>
  <c r="AL163" i="8"/>
  <c r="AK163" i="8"/>
  <c r="AH163" i="8"/>
  <c r="AC163" i="8"/>
  <c r="AE163" i="8" s="1"/>
  <c r="Z163" i="8"/>
  <c r="V163" i="8"/>
  <c r="U163" i="8"/>
  <c r="AF163" i="8" s="1"/>
  <c r="R163" i="8"/>
  <c r="Q163" i="8"/>
  <c r="N163" i="8"/>
  <c r="M163" i="8"/>
  <c r="L163" i="8"/>
  <c r="AJ163" i="8" s="1"/>
  <c r="AL162" i="8"/>
  <c r="AK162" i="8"/>
  <c r="AH162" i="8"/>
  <c r="AC162" i="8"/>
  <c r="AE162" i="8" s="1"/>
  <c r="Z162" i="8"/>
  <c r="V162" i="8"/>
  <c r="U162" i="8"/>
  <c r="AF162" i="8" s="1"/>
  <c r="R162" i="8"/>
  <c r="Q162" i="8"/>
  <c r="N162" i="8"/>
  <c r="M162" i="8"/>
  <c r="L162" i="8"/>
  <c r="AJ162" i="8" s="1"/>
  <c r="AL161" i="8"/>
  <c r="AK161" i="8"/>
  <c r="AH161" i="8"/>
  <c r="AC161" i="8"/>
  <c r="AE161" i="8" s="1"/>
  <c r="Z161" i="8"/>
  <c r="V161" i="8"/>
  <c r="U161" i="8"/>
  <c r="AF161" i="8" s="1"/>
  <c r="R161" i="8"/>
  <c r="Q161" i="8"/>
  <c r="N161" i="8"/>
  <c r="M161" i="8"/>
  <c r="L161" i="8"/>
  <c r="AJ161" i="8" s="1"/>
  <c r="AL160" i="8"/>
  <c r="AK160" i="8"/>
  <c r="AH160" i="8"/>
  <c r="AC160" i="8"/>
  <c r="AE160" i="8" s="1"/>
  <c r="Z160" i="8"/>
  <c r="V160" i="8"/>
  <c r="U160" i="8"/>
  <c r="AF160" i="8" s="1"/>
  <c r="R160" i="8"/>
  <c r="Q160" i="8"/>
  <c r="N160" i="8"/>
  <c r="M160" i="8"/>
  <c r="L160" i="8"/>
  <c r="AJ160" i="8" s="1"/>
  <c r="AL159" i="8"/>
  <c r="AK159" i="8"/>
  <c r="AH159" i="8"/>
  <c r="AC159" i="8"/>
  <c r="AE159" i="8" s="1"/>
  <c r="Z159" i="8"/>
  <c r="V159" i="8"/>
  <c r="U159" i="8"/>
  <c r="AF159" i="8" s="1"/>
  <c r="R159" i="8"/>
  <c r="Q159" i="8"/>
  <c r="N159" i="8"/>
  <c r="M159" i="8"/>
  <c r="L159" i="8"/>
  <c r="AJ159" i="8" s="1"/>
  <c r="AL158" i="8"/>
  <c r="AK158" i="8"/>
  <c r="AH158" i="8"/>
  <c r="AC158" i="8"/>
  <c r="AE158" i="8" s="1"/>
  <c r="Z158" i="8"/>
  <c r="V158" i="8"/>
  <c r="U158" i="8"/>
  <c r="AF158" i="8" s="1"/>
  <c r="R158" i="8"/>
  <c r="Q158" i="8"/>
  <c r="N158" i="8"/>
  <c r="M158" i="8"/>
  <c r="L158" i="8"/>
  <c r="AJ158" i="8" s="1"/>
  <c r="AL157" i="8"/>
  <c r="AK157" i="8"/>
  <c r="AH157" i="8"/>
  <c r="AC157" i="8"/>
  <c r="AE157" i="8" s="1"/>
  <c r="Z157" i="8"/>
  <c r="V157" i="8"/>
  <c r="U157" i="8"/>
  <c r="AF157" i="8" s="1"/>
  <c r="R157" i="8"/>
  <c r="Q157" i="8"/>
  <c r="N157" i="8"/>
  <c r="M157" i="8"/>
  <c r="L157" i="8"/>
  <c r="AJ157" i="8" s="1"/>
  <c r="AL156" i="8"/>
  <c r="AK156" i="8"/>
  <c r="AH156" i="8"/>
  <c r="AC156" i="8"/>
  <c r="AE156" i="8" s="1"/>
  <c r="Z156" i="8"/>
  <c r="V156" i="8"/>
  <c r="U156" i="8"/>
  <c r="AF156" i="8" s="1"/>
  <c r="R156" i="8"/>
  <c r="Q156" i="8"/>
  <c r="N156" i="8"/>
  <c r="M156" i="8"/>
  <c r="L156" i="8"/>
  <c r="AJ156" i="8" s="1"/>
  <c r="AL155" i="8"/>
  <c r="AK155" i="8"/>
  <c r="AH155" i="8"/>
  <c r="AC155" i="8"/>
  <c r="AE155" i="8" s="1"/>
  <c r="Z155" i="8"/>
  <c r="V155" i="8"/>
  <c r="U155" i="8"/>
  <c r="AF155" i="8" s="1"/>
  <c r="R155" i="8"/>
  <c r="Q155" i="8"/>
  <c r="N155" i="8"/>
  <c r="M155" i="8"/>
  <c r="L155" i="8"/>
  <c r="AJ155" i="8" s="1"/>
  <c r="AL154" i="8"/>
  <c r="AK154" i="8"/>
  <c r="AH154" i="8"/>
  <c r="AC154" i="8"/>
  <c r="AE154" i="8" s="1"/>
  <c r="Z154" i="8"/>
  <c r="V154" i="8"/>
  <c r="U154" i="8"/>
  <c r="AF154" i="8" s="1"/>
  <c r="R154" i="8"/>
  <c r="Q154" i="8"/>
  <c r="N154" i="8"/>
  <c r="M154" i="8"/>
  <c r="L154" i="8"/>
  <c r="AJ154" i="8" s="1"/>
  <c r="AL153" i="8"/>
  <c r="AK153" i="8"/>
  <c r="AH153" i="8"/>
  <c r="AC153" i="8"/>
  <c r="AE153" i="8" s="1"/>
  <c r="Z153" i="8"/>
  <c r="V153" i="8"/>
  <c r="U153" i="8"/>
  <c r="AF153" i="8" s="1"/>
  <c r="R153" i="8"/>
  <c r="Q153" i="8"/>
  <c r="N153" i="8"/>
  <c r="M153" i="8"/>
  <c r="L153" i="8"/>
  <c r="AJ153" i="8" s="1"/>
  <c r="AL152" i="8"/>
  <c r="AK152" i="8"/>
  <c r="AH152" i="8"/>
  <c r="AC152" i="8"/>
  <c r="AE152" i="8" s="1"/>
  <c r="Z152" i="8"/>
  <c r="V152" i="8"/>
  <c r="U152" i="8"/>
  <c r="AF152" i="8" s="1"/>
  <c r="R152" i="8"/>
  <c r="Q152" i="8"/>
  <c r="N152" i="8"/>
  <c r="M152" i="8"/>
  <c r="L152" i="8"/>
  <c r="AJ152" i="8" s="1"/>
  <c r="AL151" i="8"/>
  <c r="AK151" i="8"/>
  <c r="AH151" i="8"/>
  <c r="AC151" i="8"/>
  <c r="AE151" i="8" s="1"/>
  <c r="Z151" i="8"/>
  <c r="V151" i="8"/>
  <c r="U151" i="8"/>
  <c r="AF151" i="8" s="1"/>
  <c r="R151" i="8"/>
  <c r="Q151" i="8"/>
  <c r="N151" i="8"/>
  <c r="M151" i="8"/>
  <c r="L151" i="8"/>
  <c r="AJ151" i="8" s="1"/>
  <c r="AL150" i="8"/>
  <c r="AK150" i="8"/>
  <c r="AH150" i="8"/>
  <c r="AC150" i="8"/>
  <c r="AE150" i="8" s="1"/>
  <c r="Z150" i="8"/>
  <c r="V150" i="8"/>
  <c r="U150" i="8"/>
  <c r="AF150" i="8" s="1"/>
  <c r="R150" i="8"/>
  <c r="Q150" i="8"/>
  <c r="N150" i="8"/>
  <c r="M150" i="8"/>
  <c r="L150" i="8"/>
  <c r="AJ150" i="8" s="1"/>
  <c r="AL149" i="8"/>
  <c r="AK149" i="8"/>
  <c r="AH149" i="8"/>
  <c r="AC149" i="8"/>
  <c r="AE149" i="8" s="1"/>
  <c r="Z149" i="8"/>
  <c r="V149" i="8"/>
  <c r="U149" i="8"/>
  <c r="AF149" i="8" s="1"/>
  <c r="R149" i="8"/>
  <c r="Q149" i="8"/>
  <c r="N149" i="8"/>
  <c r="M149" i="8"/>
  <c r="L149" i="8"/>
  <c r="AJ149" i="8" s="1"/>
  <c r="AL148" i="8"/>
  <c r="AK148" i="8"/>
  <c r="AH148" i="8"/>
  <c r="AC148" i="8"/>
  <c r="AE148" i="8" s="1"/>
  <c r="Z148" i="8"/>
  <c r="V148" i="8"/>
  <c r="U148" i="8"/>
  <c r="AF148" i="8" s="1"/>
  <c r="R148" i="8"/>
  <c r="Q148" i="8"/>
  <c r="N148" i="8"/>
  <c r="M148" i="8"/>
  <c r="L148" i="8"/>
  <c r="AJ148" i="8" s="1"/>
  <c r="AL147" i="8"/>
  <c r="AK147" i="8"/>
  <c r="AH147" i="8"/>
  <c r="AC147" i="8"/>
  <c r="AE147" i="8" s="1"/>
  <c r="Z147" i="8"/>
  <c r="V147" i="8"/>
  <c r="U147" i="8"/>
  <c r="AF147" i="8" s="1"/>
  <c r="R147" i="8"/>
  <c r="Q147" i="8"/>
  <c r="N147" i="8"/>
  <c r="M147" i="8"/>
  <c r="L147" i="8"/>
  <c r="AJ147" i="8" s="1"/>
  <c r="AL146" i="8"/>
  <c r="AK146" i="8"/>
  <c r="AH146" i="8"/>
  <c r="AC146" i="8"/>
  <c r="AE146" i="8" s="1"/>
  <c r="Z146" i="8"/>
  <c r="V146" i="8"/>
  <c r="U146" i="8"/>
  <c r="AF146" i="8" s="1"/>
  <c r="R146" i="8"/>
  <c r="Q146" i="8"/>
  <c r="N146" i="8"/>
  <c r="M146" i="8"/>
  <c r="L146" i="8"/>
  <c r="AJ146" i="8" s="1"/>
  <c r="AL145" i="8"/>
  <c r="AK145" i="8"/>
  <c r="AH145" i="8"/>
  <c r="AC145" i="8"/>
  <c r="AE145" i="8" s="1"/>
  <c r="Z145" i="8"/>
  <c r="V145" i="8"/>
  <c r="U145" i="8"/>
  <c r="AF145" i="8" s="1"/>
  <c r="R145" i="8"/>
  <c r="Q145" i="8"/>
  <c r="N145" i="8"/>
  <c r="M145" i="8"/>
  <c r="L145" i="8"/>
  <c r="AJ145" i="8" s="1"/>
  <c r="AL144" i="8"/>
  <c r="AK144" i="8"/>
  <c r="AH144" i="8"/>
  <c r="AC144" i="8"/>
  <c r="AE144" i="8" s="1"/>
  <c r="Z144" i="8"/>
  <c r="V144" i="8"/>
  <c r="U144" i="8"/>
  <c r="AF144" i="8" s="1"/>
  <c r="R144" i="8"/>
  <c r="Q144" i="8"/>
  <c r="N144" i="8"/>
  <c r="M144" i="8"/>
  <c r="L144" i="8"/>
  <c r="AJ144" i="8" s="1"/>
  <c r="AL143" i="8"/>
  <c r="AK143" i="8"/>
  <c r="AH143" i="8"/>
  <c r="AC143" i="8"/>
  <c r="AE143" i="8" s="1"/>
  <c r="Z143" i="8"/>
  <c r="V143" i="8"/>
  <c r="U143" i="8"/>
  <c r="AF143" i="8" s="1"/>
  <c r="R143" i="8"/>
  <c r="Q143" i="8"/>
  <c r="N143" i="8"/>
  <c r="M143" i="8"/>
  <c r="L143" i="8"/>
  <c r="AJ143" i="8" s="1"/>
  <c r="AL142" i="8"/>
  <c r="AK142" i="8"/>
  <c r="AH142" i="8"/>
  <c r="AC142" i="8"/>
  <c r="AE142" i="8" s="1"/>
  <c r="Z142" i="8"/>
  <c r="V142" i="8"/>
  <c r="U142" i="8"/>
  <c r="AF142" i="8" s="1"/>
  <c r="R142" i="8"/>
  <c r="Q142" i="8"/>
  <c r="N142" i="8"/>
  <c r="M142" i="8"/>
  <c r="L142" i="8"/>
  <c r="AJ142" i="8" s="1"/>
  <c r="AL141" i="8"/>
  <c r="AK141" i="8"/>
  <c r="AH141" i="8"/>
  <c r="AC141" i="8"/>
  <c r="AE141" i="8" s="1"/>
  <c r="Z141" i="8"/>
  <c r="V141" i="8"/>
  <c r="U141" i="8"/>
  <c r="AF141" i="8" s="1"/>
  <c r="R141" i="8"/>
  <c r="Q141" i="8"/>
  <c r="N141" i="8"/>
  <c r="M141" i="8"/>
  <c r="L141" i="8"/>
  <c r="AJ141" i="8" s="1"/>
  <c r="AL140" i="8"/>
  <c r="AK140" i="8"/>
  <c r="AH140" i="8"/>
  <c r="AC140" i="8"/>
  <c r="AE140" i="8" s="1"/>
  <c r="Z140" i="8"/>
  <c r="V140" i="8"/>
  <c r="U140" i="8"/>
  <c r="AF140" i="8" s="1"/>
  <c r="R140" i="8"/>
  <c r="Q140" i="8"/>
  <c r="N140" i="8"/>
  <c r="M140" i="8"/>
  <c r="L140" i="8"/>
  <c r="AJ140" i="8" s="1"/>
  <c r="AL139" i="8"/>
  <c r="AK139" i="8"/>
  <c r="AH139" i="8"/>
  <c r="AC139" i="8"/>
  <c r="AE139" i="8" s="1"/>
  <c r="Z139" i="8"/>
  <c r="V139" i="8"/>
  <c r="U139" i="8"/>
  <c r="AF139" i="8" s="1"/>
  <c r="R139" i="8"/>
  <c r="Q139" i="8"/>
  <c r="N139" i="8"/>
  <c r="M139" i="8"/>
  <c r="L139" i="8"/>
  <c r="AJ139" i="8" s="1"/>
  <c r="AL138" i="8"/>
  <c r="AK138" i="8"/>
  <c r="AH138" i="8"/>
  <c r="AC138" i="8"/>
  <c r="AE138" i="8" s="1"/>
  <c r="Z138" i="8"/>
  <c r="V138" i="8"/>
  <c r="U138" i="8"/>
  <c r="AF138" i="8" s="1"/>
  <c r="R138" i="8"/>
  <c r="Q138" i="8"/>
  <c r="N138" i="8"/>
  <c r="M138" i="8"/>
  <c r="L138" i="8"/>
  <c r="AJ138" i="8" s="1"/>
  <c r="AL137" i="8"/>
  <c r="AK137" i="8"/>
  <c r="AH137" i="8"/>
  <c r="AC137" i="8"/>
  <c r="AE137" i="8" s="1"/>
  <c r="Z137" i="8"/>
  <c r="V137" i="8"/>
  <c r="U137" i="8"/>
  <c r="AF137" i="8" s="1"/>
  <c r="R137" i="8"/>
  <c r="Q137" i="8"/>
  <c r="N137" i="8"/>
  <c r="M137" i="8"/>
  <c r="L137" i="8"/>
  <c r="AJ137" i="8" s="1"/>
  <c r="AL136" i="8"/>
  <c r="AK136" i="8"/>
  <c r="AH136" i="8"/>
  <c r="AC136" i="8"/>
  <c r="AE136" i="8" s="1"/>
  <c r="Z136" i="8"/>
  <c r="V136" i="8"/>
  <c r="U136" i="8"/>
  <c r="AF136" i="8" s="1"/>
  <c r="R136" i="8"/>
  <c r="Q136" i="8"/>
  <c r="N136" i="8"/>
  <c r="M136" i="8"/>
  <c r="L136" i="8"/>
  <c r="AJ136" i="8" s="1"/>
  <c r="AL135" i="8"/>
  <c r="AK135" i="8"/>
  <c r="AH135" i="8"/>
  <c r="AC135" i="8"/>
  <c r="AE135" i="8" s="1"/>
  <c r="Z135" i="8"/>
  <c r="V135" i="8"/>
  <c r="U135" i="8"/>
  <c r="AF135" i="8" s="1"/>
  <c r="R135" i="8"/>
  <c r="Q135" i="8"/>
  <c r="N135" i="8"/>
  <c r="M135" i="8"/>
  <c r="L135" i="8"/>
  <c r="AJ135" i="8" s="1"/>
  <c r="AL134" i="8"/>
  <c r="AK134" i="8"/>
  <c r="AH134" i="8"/>
  <c r="AC134" i="8"/>
  <c r="AE134" i="8" s="1"/>
  <c r="Z134" i="8"/>
  <c r="V134" i="8"/>
  <c r="U134" i="8"/>
  <c r="AF134" i="8" s="1"/>
  <c r="R134" i="8"/>
  <c r="Q134" i="8"/>
  <c r="N134" i="8"/>
  <c r="M134" i="8"/>
  <c r="L134" i="8"/>
  <c r="AJ134" i="8" s="1"/>
  <c r="AL133" i="8"/>
  <c r="AK133" i="8"/>
  <c r="AH133" i="8"/>
  <c r="AC133" i="8"/>
  <c r="AE133" i="8" s="1"/>
  <c r="Z133" i="8"/>
  <c r="V133" i="8"/>
  <c r="U133" i="8"/>
  <c r="AF133" i="8" s="1"/>
  <c r="R133" i="8"/>
  <c r="Q133" i="8"/>
  <c r="N133" i="8"/>
  <c r="M133" i="8"/>
  <c r="L133" i="8"/>
  <c r="AJ133" i="8" s="1"/>
  <c r="AL132" i="8"/>
  <c r="AK132" i="8"/>
  <c r="AH132" i="8"/>
  <c r="AC132" i="8"/>
  <c r="AE132" i="8" s="1"/>
  <c r="Z132" i="8"/>
  <c r="V132" i="8"/>
  <c r="U132" i="8"/>
  <c r="AF132" i="8" s="1"/>
  <c r="R132" i="8"/>
  <c r="Q132" i="8"/>
  <c r="N132" i="8"/>
  <c r="M132" i="8"/>
  <c r="L132" i="8"/>
  <c r="AJ132" i="8" s="1"/>
  <c r="AL131" i="8"/>
  <c r="AK131" i="8"/>
  <c r="AH131" i="8"/>
  <c r="AC131" i="8"/>
  <c r="AE131" i="8" s="1"/>
  <c r="Z131" i="8"/>
  <c r="V131" i="8"/>
  <c r="U131" i="8"/>
  <c r="AF131" i="8" s="1"/>
  <c r="R131" i="8"/>
  <c r="Q131" i="8"/>
  <c r="N131" i="8"/>
  <c r="M131" i="8"/>
  <c r="L131" i="8"/>
  <c r="AJ131" i="8" s="1"/>
  <c r="AL130" i="8"/>
  <c r="AK130" i="8"/>
  <c r="AH130" i="8"/>
  <c r="AC130" i="8"/>
  <c r="AE130" i="8" s="1"/>
  <c r="Z130" i="8"/>
  <c r="V130" i="8"/>
  <c r="U130" i="8"/>
  <c r="AF130" i="8" s="1"/>
  <c r="R130" i="8"/>
  <c r="Q130" i="8"/>
  <c r="N130" i="8"/>
  <c r="M130" i="8"/>
  <c r="L130" i="8"/>
  <c r="AJ130" i="8" s="1"/>
  <c r="AL129" i="8"/>
  <c r="AK129" i="8"/>
  <c r="AH129" i="8"/>
  <c r="AC129" i="8"/>
  <c r="AE129" i="8" s="1"/>
  <c r="Z129" i="8"/>
  <c r="V129" i="8"/>
  <c r="U129" i="8"/>
  <c r="AF129" i="8" s="1"/>
  <c r="R129" i="8"/>
  <c r="Q129" i="8"/>
  <c r="N129" i="8"/>
  <c r="M129" i="8"/>
  <c r="L129" i="8"/>
  <c r="AJ129" i="8" s="1"/>
  <c r="AL128" i="8"/>
  <c r="AK128" i="8"/>
  <c r="AH128" i="8"/>
  <c r="AC128" i="8"/>
  <c r="AE128" i="8" s="1"/>
  <c r="Z128" i="8"/>
  <c r="V128" i="8"/>
  <c r="U128" i="8"/>
  <c r="AF128" i="8" s="1"/>
  <c r="R128" i="8"/>
  <c r="Q128" i="8"/>
  <c r="N128" i="8"/>
  <c r="M128" i="8"/>
  <c r="L128" i="8"/>
  <c r="AJ128" i="8" s="1"/>
  <c r="AL127" i="8"/>
  <c r="AK127" i="8"/>
  <c r="AH127" i="8"/>
  <c r="AC127" i="8"/>
  <c r="AE127" i="8" s="1"/>
  <c r="Z127" i="8"/>
  <c r="V127" i="8"/>
  <c r="U127" i="8"/>
  <c r="AF127" i="8" s="1"/>
  <c r="R127" i="8"/>
  <c r="Q127" i="8"/>
  <c r="N127" i="8"/>
  <c r="M127" i="8"/>
  <c r="L127" i="8"/>
  <c r="AJ127" i="8" s="1"/>
  <c r="AL126" i="8"/>
  <c r="AK126" i="8"/>
  <c r="AH126" i="8"/>
  <c r="AC126" i="8"/>
  <c r="AE126" i="8" s="1"/>
  <c r="Z126" i="8"/>
  <c r="V126" i="8"/>
  <c r="U126" i="8"/>
  <c r="AF126" i="8" s="1"/>
  <c r="R126" i="8"/>
  <c r="Q126" i="8"/>
  <c r="N126" i="8"/>
  <c r="M126" i="8"/>
  <c r="L126" i="8"/>
  <c r="AJ126" i="8" s="1"/>
  <c r="AL125" i="8"/>
  <c r="AK125" i="8"/>
  <c r="AH125" i="8"/>
  <c r="AC125" i="8"/>
  <c r="AE125" i="8" s="1"/>
  <c r="Z125" i="8"/>
  <c r="V125" i="8"/>
  <c r="U125" i="8"/>
  <c r="AF125" i="8" s="1"/>
  <c r="R125" i="8"/>
  <c r="Q125" i="8"/>
  <c r="N125" i="8"/>
  <c r="M125" i="8"/>
  <c r="L125" i="8"/>
  <c r="AJ125" i="8" s="1"/>
  <c r="AL124" i="8"/>
  <c r="AK124" i="8"/>
  <c r="AH124" i="8"/>
  <c r="AC124" i="8"/>
  <c r="AE124" i="8" s="1"/>
  <c r="Z124" i="8"/>
  <c r="V124" i="8"/>
  <c r="U124" i="8"/>
  <c r="AF124" i="8" s="1"/>
  <c r="R124" i="8"/>
  <c r="Q124" i="8"/>
  <c r="N124" i="8"/>
  <c r="M124" i="8"/>
  <c r="L124" i="8"/>
  <c r="AJ124" i="8" s="1"/>
  <c r="AL123" i="8"/>
  <c r="AK123" i="8"/>
  <c r="AH123" i="8"/>
  <c r="AC123" i="8"/>
  <c r="AE123" i="8" s="1"/>
  <c r="Z123" i="8"/>
  <c r="V123" i="8"/>
  <c r="U123" i="8"/>
  <c r="AF123" i="8" s="1"/>
  <c r="R123" i="8"/>
  <c r="Q123" i="8"/>
  <c r="N123" i="8"/>
  <c r="M123" i="8"/>
  <c r="L123" i="8"/>
  <c r="AJ123" i="8" s="1"/>
  <c r="AL122" i="8"/>
  <c r="AK122" i="8"/>
  <c r="AH122" i="8"/>
  <c r="AC122" i="8"/>
  <c r="AE122" i="8" s="1"/>
  <c r="Z122" i="8"/>
  <c r="V122" i="8"/>
  <c r="U122" i="8"/>
  <c r="AF122" i="8" s="1"/>
  <c r="R122" i="8"/>
  <c r="Q122" i="8"/>
  <c r="N122" i="8"/>
  <c r="M122" i="8"/>
  <c r="L122" i="8"/>
  <c r="AJ122" i="8" s="1"/>
  <c r="AL121" i="8"/>
  <c r="AK121" i="8"/>
  <c r="AH121" i="8"/>
  <c r="AC121" i="8"/>
  <c r="AE121" i="8" s="1"/>
  <c r="Z121" i="8"/>
  <c r="V121" i="8"/>
  <c r="U121" i="8"/>
  <c r="AF121" i="8" s="1"/>
  <c r="R121" i="8"/>
  <c r="Q121" i="8"/>
  <c r="N121" i="8"/>
  <c r="M121" i="8"/>
  <c r="L121" i="8"/>
  <c r="AJ121" i="8" s="1"/>
  <c r="AL120" i="8"/>
  <c r="AK120" i="8"/>
  <c r="AH120" i="8"/>
  <c r="AC120" i="8"/>
  <c r="AE120" i="8" s="1"/>
  <c r="Z120" i="8"/>
  <c r="V120" i="8"/>
  <c r="U120" i="8"/>
  <c r="AF120" i="8" s="1"/>
  <c r="R120" i="8"/>
  <c r="Q120" i="8"/>
  <c r="N120" i="8"/>
  <c r="M120" i="8"/>
  <c r="L120" i="8"/>
  <c r="AJ120" i="8" s="1"/>
  <c r="AL119" i="8"/>
  <c r="AK119" i="8"/>
  <c r="AH119" i="8"/>
  <c r="AC119" i="8"/>
  <c r="AE119" i="8" s="1"/>
  <c r="Z119" i="8"/>
  <c r="V119" i="8"/>
  <c r="U119" i="8"/>
  <c r="AF119" i="8" s="1"/>
  <c r="R119" i="8"/>
  <c r="Q119" i="8"/>
  <c r="N119" i="8"/>
  <c r="M119" i="8"/>
  <c r="L119" i="8"/>
  <c r="AJ119" i="8" s="1"/>
  <c r="AL118" i="8"/>
  <c r="AK118" i="8"/>
  <c r="AH118" i="8"/>
  <c r="AC118" i="8"/>
  <c r="AE118" i="8" s="1"/>
  <c r="Z118" i="8"/>
  <c r="V118" i="8"/>
  <c r="U118" i="8"/>
  <c r="AF118" i="8" s="1"/>
  <c r="R118" i="8"/>
  <c r="Q118" i="8"/>
  <c r="N118" i="8"/>
  <c r="M118" i="8"/>
  <c r="L118" i="8"/>
  <c r="AJ118" i="8" s="1"/>
  <c r="AL117" i="8"/>
  <c r="AK117" i="8"/>
  <c r="AH117" i="8"/>
  <c r="AC117" i="8"/>
  <c r="AE117" i="8" s="1"/>
  <c r="Z117" i="8"/>
  <c r="V117" i="8"/>
  <c r="U117" i="8"/>
  <c r="AF117" i="8" s="1"/>
  <c r="R117" i="8"/>
  <c r="Q117" i="8"/>
  <c r="N117" i="8"/>
  <c r="M117" i="8"/>
  <c r="L117" i="8"/>
  <c r="AJ117" i="8" s="1"/>
  <c r="AL116" i="8"/>
  <c r="AK116" i="8"/>
  <c r="AH116" i="8"/>
  <c r="AC116" i="8"/>
  <c r="AE116" i="8" s="1"/>
  <c r="Z116" i="8"/>
  <c r="V116" i="8"/>
  <c r="U116" i="8"/>
  <c r="AF116" i="8" s="1"/>
  <c r="R116" i="8"/>
  <c r="Q116" i="8"/>
  <c r="N116" i="8"/>
  <c r="M116" i="8"/>
  <c r="L116" i="8"/>
  <c r="AJ116" i="8" s="1"/>
  <c r="AL115" i="8"/>
  <c r="AK115" i="8"/>
  <c r="AH115" i="8"/>
  <c r="AC115" i="8"/>
  <c r="AE115" i="8" s="1"/>
  <c r="Z115" i="8"/>
  <c r="V115" i="8"/>
  <c r="U115" i="8"/>
  <c r="AF115" i="8" s="1"/>
  <c r="R115" i="8"/>
  <c r="Q115" i="8"/>
  <c r="N115" i="8"/>
  <c r="M115" i="8"/>
  <c r="L115" i="8"/>
  <c r="AJ115" i="8" s="1"/>
  <c r="AL114" i="8"/>
  <c r="AK114" i="8"/>
  <c r="AH114" i="8"/>
  <c r="AC114" i="8"/>
  <c r="AE114" i="8" s="1"/>
  <c r="Z114" i="8"/>
  <c r="V114" i="8"/>
  <c r="U114" i="8"/>
  <c r="AF114" i="8" s="1"/>
  <c r="R114" i="8"/>
  <c r="Q114" i="8"/>
  <c r="N114" i="8"/>
  <c r="M114" i="8"/>
  <c r="L114" i="8"/>
  <c r="AJ114" i="8" s="1"/>
  <c r="AL113" i="8"/>
  <c r="AK113" i="8"/>
  <c r="AH113" i="8"/>
  <c r="AC113" i="8"/>
  <c r="AE113" i="8" s="1"/>
  <c r="Z113" i="8"/>
  <c r="V113" i="8"/>
  <c r="U113" i="8"/>
  <c r="AF113" i="8" s="1"/>
  <c r="R113" i="8"/>
  <c r="Q113" i="8"/>
  <c r="N113" i="8"/>
  <c r="M113" i="8"/>
  <c r="L113" i="8"/>
  <c r="AJ113" i="8" s="1"/>
  <c r="AL112" i="8"/>
  <c r="AK112" i="8"/>
  <c r="AH112" i="8"/>
  <c r="AC112" i="8"/>
  <c r="AE112" i="8" s="1"/>
  <c r="Z112" i="8"/>
  <c r="V112" i="8"/>
  <c r="U112" i="8"/>
  <c r="AF112" i="8" s="1"/>
  <c r="R112" i="8"/>
  <c r="Q112" i="8"/>
  <c r="N112" i="8"/>
  <c r="M112" i="8"/>
  <c r="L112" i="8"/>
  <c r="AJ112" i="8" s="1"/>
  <c r="AL111" i="8"/>
  <c r="AK111" i="8"/>
  <c r="AH111" i="8"/>
  <c r="AC111" i="8"/>
  <c r="AE111" i="8" s="1"/>
  <c r="Z111" i="8"/>
  <c r="V111" i="8"/>
  <c r="U111" i="8"/>
  <c r="AF111" i="8" s="1"/>
  <c r="R111" i="8"/>
  <c r="Q111" i="8"/>
  <c r="N111" i="8"/>
  <c r="M111" i="8"/>
  <c r="L111" i="8"/>
  <c r="AJ111" i="8" s="1"/>
  <c r="AL110" i="8"/>
  <c r="AK110" i="8"/>
  <c r="AH110" i="8"/>
  <c r="AC110" i="8"/>
  <c r="AE110" i="8" s="1"/>
  <c r="Z110" i="8"/>
  <c r="V110" i="8"/>
  <c r="U110" i="8"/>
  <c r="AF110" i="8" s="1"/>
  <c r="R110" i="8"/>
  <c r="Q110" i="8"/>
  <c r="N110" i="8"/>
  <c r="M110" i="8"/>
  <c r="L110" i="8"/>
  <c r="AJ110" i="8" s="1"/>
  <c r="AL109" i="8"/>
  <c r="AK109" i="8"/>
  <c r="AH109" i="8"/>
  <c r="AC109" i="8"/>
  <c r="AE109" i="8" s="1"/>
  <c r="Z109" i="8"/>
  <c r="V109" i="8"/>
  <c r="U109" i="8"/>
  <c r="AF109" i="8" s="1"/>
  <c r="R109" i="8"/>
  <c r="Q109" i="8"/>
  <c r="N109" i="8"/>
  <c r="M109" i="8"/>
  <c r="L109" i="8"/>
  <c r="AJ109" i="8" s="1"/>
  <c r="AL108" i="8"/>
  <c r="AK108" i="8"/>
  <c r="AH108" i="8"/>
  <c r="AC108" i="8"/>
  <c r="AE108" i="8" s="1"/>
  <c r="Z108" i="8"/>
  <c r="V108" i="8"/>
  <c r="U108" i="8"/>
  <c r="AF108" i="8" s="1"/>
  <c r="R108" i="8"/>
  <c r="Q108" i="8"/>
  <c r="N108" i="8"/>
  <c r="M108" i="8"/>
  <c r="L108" i="8"/>
  <c r="AJ108" i="8" s="1"/>
  <c r="AL107" i="8"/>
  <c r="AK107" i="8"/>
  <c r="AH107" i="8"/>
  <c r="AC107" i="8"/>
  <c r="AE107" i="8" s="1"/>
  <c r="Z107" i="8"/>
  <c r="V107" i="8"/>
  <c r="U107" i="8"/>
  <c r="AF107" i="8" s="1"/>
  <c r="R107" i="8"/>
  <c r="Q107" i="8"/>
  <c r="N107" i="8"/>
  <c r="M107" i="8"/>
  <c r="L107" i="8"/>
  <c r="AJ107" i="8" s="1"/>
  <c r="AL106" i="8"/>
  <c r="AK106" i="8"/>
  <c r="AH106" i="8"/>
  <c r="AC106" i="8"/>
  <c r="AE106" i="8" s="1"/>
  <c r="Z106" i="8"/>
  <c r="V106" i="8"/>
  <c r="U106" i="8"/>
  <c r="AF106" i="8" s="1"/>
  <c r="R106" i="8"/>
  <c r="Q106" i="8"/>
  <c r="N106" i="8"/>
  <c r="M106" i="8"/>
  <c r="L106" i="8"/>
  <c r="AJ106" i="8" s="1"/>
  <c r="AL105" i="8"/>
  <c r="AK105" i="8"/>
  <c r="AH105" i="8"/>
  <c r="AC105" i="8"/>
  <c r="AE105" i="8" s="1"/>
  <c r="Z105" i="8"/>
  <c r="V105" i="8"/>
  <c r="U105" i="8"/>
  <c r="AF105" i="8" s="1"/>
  <c r="R105" i="8"/>
  <c r="Q105" i="8"/>
  <c r="N105" i="8"/>
  <c r="M105" i="8"/>
  <c r="L105" i="8"/>
  <c r="AJ105" i="8" s="1"/>
  <c r="AL104" i="8"/>
  <c r="AK104" i="8"/>
  <c r="AH104" i="8"/>
  <c r="AC104" i="8"/>
  <c r="AE104" i="8" s="1"/>
  <c r="Z104" i="8"/>
  <c r="V104" i="8"/>
  <c r="U104" i="8"/>
  <c r="AF104" i="8" s="1"/>
  <c r="R104" i="8"/>
  <c r="Q104" i="8"/>
  <c r="N104" i="8"/>
  <c r="M104" i="8"/>
  <c r="L104" i="8"/>
  <c r="AJ104" i="8" s="1"/>
  <c r="AL103" i="8"/>
  <c r="AK103" i="8"/>
  <c r="AH103" i="8"/>
  <c r="AC103" i="8"/>
  <c r="AE103" i="8" s="1"/>
  <c r="Z103" i="8"/>
  <c r="V103" i="8"/>
  <c r="U103" i="8"/>
  <c r="AF103" i="8" s="1"/>
  <c r="R103" i="8"/>
  <c r="Q103" i="8"/>
  <c r="N103" i="8"/>
  <c r="M103" i="8"/>
  <c r="L103" i="8"/>
  <c r="AJ103" i="8" s="1"/>
  <c r="AL102" i="8"/>
  <c r="AK102" i="8"/>
  <c r="AH102" i="8"/>
  <c r="AC102" i="8"/>
  <c r="AE102" i="8" s="1"/>
  <c r="Z102" i="8"/>
  <c r="V102" i="8"/>
  <c r="U102" i="8"/>
  <c r="AF102" i="8" s="1"/>
  <c r="R102" i="8"/>
  <c r="Q102" i="8"/>
  <c r="N102" i="8"/>
  <c r="M102" i="8"/>
  <c r="L102" i="8"/>
  <c r="AJ102" i="8" s="1"/>
  <c r="AL101" i="8"/>
  <c r="AK101" i="8"/>
  <c r="AH101" i="8"/>
  <c r="AC101" i="8"/>
  <c r="AE101" i="8" s="1"/>
  <c r="Z101" i="8"/>
  <c r="V101" i="8"/>
  <c r="U101" i="8"/>
  <c r="AF101" i="8" s="1"/>
  <c r="R101" i="8"/>
  <c r="Q101" i="8"/>
  <c r="N101" i="8"/>
  <c r="M101" i="8"/>
  <c r="L101" i="8"/>
  <c r="AJ101" i="8" s="1"/>
  <c r="AL100" i="8"/>
  <c r="AK100" i="8"/>
  <c r="AH100" i="8"/>
  <c r="AC100" i="8"/>
  <c r="AE100" i="8" s="1"/>
  <c r="Z100" i="8"/>
  <c r="V100" i="8"/>
  <c r="U100" i="8"/>
  <c r="AF100" i="8" s="1"/>
  <c r="R100" i="8"/>
  <c r="Q100" i="8"/>
  <c r="N100" i="8"/>
  <c r="M100" i="8"/>
  <c r="L100" i="8"/>
  <c r="AJ100" i="8" s="1"/>
  <c r="AL99" i="8"/>
  <c r="AK99" i="8"/>
  <c r="AH99" i="8"/>
  <c r="AC99" i="8"/>
  <c r="AE99" i="8" s="1"/>
  <c r="Z99" i="8"/>
  <c r="V99" i="8"/>
  <c r="U99" i="8"/>
  <c r="AF99" i="8" s="1"/>
  <c r="R99" i="8"/>
  <c r="Q99" i="8"/>
  <c r="N99" i="8"/>
  <c r="M99" i="8"/>
  <c r="L99" i="8"/>
  <c r="AJ99" i="8" s="1"/>
  <c r="AL98" i="8"/>
  <c r="AK98" i="8"/>
  <c r="AH98" i="8"/>
  <c r="AC98" i="8"/>
  <c r="AE98" i="8" s="1"/>
  <c r="Z98" i="8"/>
  <c r="V98" i="8"/>
  <c r="U98" i="8"/>
  <c r="AF98" i="8" s="1"/>
  <c r="R98" i="8"/>
  <c r="Q98" i="8"/>
  <c r="N98" i="8"/>
  <c r="M98" i="8"/>
  <c r="L98" i="8"/>
  <c r="AJ98" i="8" s="1"/>
  <c r="AL97" i="8"/>
  <c r="AK97" i="8"/>
  <c r="AH97" i="8"/>
  <c r="AC97" i="8"/>
  <c r="AE97" i="8" s="1"/>
  <c r="Z97" i="8"/>
  <c r="V97" i="8"/>
  <c r="U97" i="8"/>
  <c r="AF97" i="8" s="1"/>
  <c r="R97" i="8"/>
  <c r="Q97" i="8"/>
  <c r="N97" i="8"/>
  <c r="M97" i="8"/>
  <c r="L97" i="8"/>
  <c r="AJ97" i="8" s="1"/>
  <c r="AL96" i="8"/>
  <c r="AK96" i="8"/>
  <c r="AH96" i="8"/>
  <c r="AC96" i="8"/>
  <c r="AE96" i="8" s="1"/>
  <c r="Z96" i="8"/>
  <c r="V96" i="8"/>
  <c r="U96" i="8"/>
  <c r="AF96" i="8" s="1"/>
  <c r="R96" i="8"/>
  <c r="Q96" i="8"/>
  <c r="N96" i="8"/>
  <c r="M96" i="8"/>
  <c r="L96" i="8"/>
  <c r="AJ96" i="8" s="1"/>
  <c r="AL95" i="8"/>
  <c r="AK95" i="8"/>
  <c r="AH95" i="8"/>
  <c r="AC95" i="8"/>
  <c r="AE95" i="8" s="1"/>
  <c r="Z95" i="8"/>
  <c r="V95" i="8"/>
  <c r="U95" i="8"/>
  <c r="AF95" i="8" s="1"/>
  <c r="R95" i="8"/>
  <c r="Q95" i="8"/>
  <c r="N95" i="8"/>
  <c r="M95" i="8"/>
  <c r="L95" i="8"/>
  <c r="AJ95" i="8" s="1"/>
  <c r="AL94" i="8"/>
  <c r="AK94" i="8"/>
  <c r="AH94" i="8"/>
  <c r="AC94" i="8"/>
  <c r="AE94" i="8" s="1"/>
  <c r="Z94" i="8"/>
  <c r="V94" i="8"/>
  <c r="U94" i="8"/>
  <c r="AF94" i="8" s="1"/>
  <c r="R94" i="8"/>
  <c r="Q94" i="8"/>
  <c r="N94" i="8"/>
  <c r="M94" i="8"/>
  <c r="L94" i="8"/>
  <c r="AJ94" i="8" s="1"/>
  <c r="AL93" i="8"/>
  <c r="AK93" i="8"/>
  <c r="AH93" i="8"/>
  <c r="AC93" i="8"/>
  <c r="AE93" i="8" s="1"/>
  <c r="Z93" i="8"/>
  <c r="V93" i="8"/>
  <c r="U93" i="8"/>
  <c r="AF93" i="8" s="1"/>
  <c r="R93" i="8"/>
  <c r="Q93" i="8"/>
  <c r="N93" i="8"/>
  <c r="M93" i="8"/>
  <c r="L93" i="8"/>
  <c r="AJ93" i="8" s="1"/>
  <c r="AL92" i="8"/>
  <c r="AK92" i="8"/>
  <c r="AH92" i="8"/>
  <c r="AC92" i="8"/>
  <c r="AE92" i="8" s="1"/>
  <c r="Z92" i="8"/>
  <c r="V92" i="8"/>
  <c r="U92" i="8"/>
  <c r="AF92" i="8" s="1"/>
  <c r="R92" i="8"/>
  <c r="Q92" i="8"/>
  <c r="N92" i="8"/>
  <c r="M92" i="8"/>
  <c r="L92" i="8"/>
  <c r="AJ92" i="8" s="1"/>
  <c r="AL91" i="8"/>
  <c r="AK91" i="8"/>
  <c r="AH91" i="8"/>
  <c r="AC91" i="8"/>
  <c r="AE91" i="8" s="1"/>
  <c r="Z91" i="8"/>
  <c r="V91" i="8"/>
  <c r="U91" i="8"/>
  <c r="AF91" i="8" s="1"/>
  <c r="R91" i="8"/>
  <c r="Q91" i="8"/>
  <c r="N91" i="8"/>
  <c r="M91" i="8"/>
  <c r="L91" i="8"/>
  <c r="AJ91" i="8" s="1"/>
  <c r="AL90" i="8"/>
  <c r="AK90" i="8"/>
  <c r="AH90" i="8"/>
  <c r="AC90" i="8"/>
  <c r="AE90" i="8" s="1"/>
  <c r="Z90" i="8"/>
  <c r="V90" i="8"/>
  <c r="U90" i="8"/>
  <c r="AF90" i="8" s="1"/>
  <c r="R90" i="8"/>
  <c r="Q90" i="8"/>
  <c r="N90" i="8"/>
  <c r="M90" i="8"/>
  <c r="L90" i="8"/>
  <c r="AJ90" i="8" s="1"/>
  <c r="AL89" i="8"/>
  <c r="AK89" i="8"/>
  <c r="AH89" i="8"/>
  <c r="AC89" i="8"/>
  <c r="AE89" i="8" s="1"/>
  <c r="Z89" i="8"/>
  <c r="V89" i="8"/>
  <c r="U89" i="8"/>
  <c r="AF89" i="8" s="1"/>
  <c r="R89" i="8"/>
  <c r="Q89" i="8"/>
  <c r="N89" i="8"/>
  <c r="M89" i="8"/>
  <c r="L89" i="8"/>
  <c r="AJ89" i="8" s="1"/>
  <c r="AL88" i="8"/>
  <c r="AK88" i="8"/>
  <c r="AH88" i="8"/>
  <c r="AC88" i="8"/>
  <c r="AE88" i="8" s="1"/>
  <c r="Z88" i="8"/>
  <c r="V88" i="8"/>
  <c r="U88" i="8"/>
  <c r="AF88" i="8" s="1"/>
  <c r="R88" i="8"/>
  <c r="Q88" i="8"/>
  <c r="N88" i="8"/>
  <c r="M88" i="8"/>
  <c r="L88" i="8"/>
  <c r="AJ88" i="8" s="1"/>
  <c r="AL87" i="8"/>
  <c r="AK87" i="8"/>
  <c r="AH87" i="8"/>
  <c r="AC87" i="8"/>
  <c r="AE87" i="8" s="1"/>
  <c r="Z87" i="8"/>
  <c r="V87" i="8"/>
  <c r="U87" i="8"/>
  <c r="AF87" i="8" s="1"/>
  <c r="R87" i="8"/>
  <c r="Q87" i="8"/>
  <c r="N87" i="8"/>
  <c r="M87" i="8"/>
  <c r="L87" i="8"/>
  <c r="AJ87" i="8" s="1"/>
  <c r="AL86" i="8"/>
  <c r="AK86" i="8"/>
  <c r="AH86" i="8"/>
  <c r="AC86" i="8"/>
  <c r="AE86" i="8" s="1"/>
  <c r="Z86" i="8"/>
  <c r="V86" i="8"/>
  <c r="U86" i="8"/>
  <c r="AF86" i="8" s="1"/>
  <c r="R86" i="8"/>
  <c r="Q86" i="8"/>
  <c r="N86" i="8"/>
  <c r="M86" i="8"/>
  <c r="L86" i="8"/>
  <c r="AJ86" i="8" s="1"/>
  <c r="AL85" i="8"/>
  <c r="AK85" i="8"/>
  <c r="AH85" i="8"/>
  <c r="AC85" i="8"/>
  <c r="AE85" i="8" s="1"/>
  <c r="Z85" i="8"/>
  <c r="V85" i="8"/>
  <c r="U85" i="8"/>
  <c r="AF85" i="8" s="1"/>
  <c r="R85" i="8"/>
  <c r="Q85" i="8"/>
  <c r="N85" i="8"/>
  <c r="M85" i="8"/>
  <c r="L85" i="8"/>
  <c r="AJ85" i="8" s="1"/>
  <c r="AL84" i="8"/>
  <c r="AK84" i="8"/>
  <c r="AH84" i="8"/>
  <c r="AC84" i="8"/>
  <c r="AE84" i="8" s="1"/>
  <c r="Z84" i="8"/>
  <c r="V84" i="8"/>
  <c r="U84" i="8"/>
  <c r="AF84" i="8" s="1"/>
  <c r="R84" i="8"/>
  <c r="Q84" i="8"/>
  <c r="N84" i="8"/>
  <c r="M84" i="8"/>
  <c r="L84" i="8"/>
  <c r="AJ84" i="8" s="1"/>
  <c r="AL83" i="8"/>
  <c r="AK83" i="8"/>
  <c r="AH83" i="8"/>
  <c r="AC83" i="8"/>
  <c r="AE83" i="8" s="1"/>
  <c r="Z83" i="8"/>
  <c r="V83" i="8"/>
  <c r="U83" i="8"/>
  <c r="AF83" i="8" s="1"/>
  <c r="R83" i="8"/>
  <c r="Q83" i="8"/>
  <c r="N83" i="8"/>
  <c r="M83" i="8"/>
  <c r="L83" i="8"/>
  <c r="AJ83" i="8" s="1"/>
  <c r="AL82" i="8"/>
  <c r="AK82" i="8"/>
  <c r="AH82" i="8"/>
  <c r="AC82" i="8"/>
  <c r="AE82" i="8" s="1"/>
  <c r="Z82" i="8"/>
  <c r="V82" i="8"/>
  <c r="U82" i="8"/>
  <c r="AF82" i="8" s="1"/>
  <c r="R82" i="8"/>
  <c r="Q82" i="8"/>
  <c r="N82" i="8"/>
  <c r="M82" i="8"/>
  <c r="L82" i="8"/>
  <c r="AJ82" i="8" s="1"/>
  <c r="AL81" i="8"/>
  <c r="AK81" i="8"/>
  <c r="AH81" i="8"/>
  <c r="AC81" i="8"/>
  <c r="AE81" i="8" s="1"/>
  <c r="Z81" i="8"/>
  <c r="V81" i="8"/>
  <c r="U81" i="8"/>
  <c r="AF81" i="8" s="1"/>
  <c r="R81" i="8"/>
  <c r="Q81" i="8"/>
  <c r="N81" i="8"/>
  <c r="M81" i="8"/>
  <c r="L81" i="8"/>
  <c r="AJ81" i="8" s="1"/>
  <c r="AL80" i="8"/>
  <c r="AK80" i="8"/>
  <c r="AH80" i="8"/>
  <c r="AC80" i="8"/>
  <c r="AE80" i="8" s="1"/>
  <c r="Z80" i="8"/>
  <c r="V80" i="8"/>
  <c r="U80" i="8"/>
  <c r="AF80" i="8" s="1"/>
  <c r="R80" i="8"/>
  <c r="Q80" i="8"/>
  <c r="N80" i="8"/>
  <c r="M80" i="8"/>
  <c r="L80" i="8"/>
  <c r="AJ80" i="8" s="1"/>
  <c r="AL79" i="8"/>
  <c r="AK79" i="8"/>
  <c r="AH79" i="8"/>
  <c r="AC79" i="8"/>
  <c r="AE79" i="8" s="1"/>
  <c r="Z79" i="8"/>
  <c r="V79" i="8"/>
  <c r="U79" i="8"/>
  <c r="AF79" i="8" s="1"/>
  <c r="R79" i="8"/>
  <c r="Q79" i="8"/>
  <c r="N79" i="8"/>
  <c r="M79" i="8"/>
  <c r="L79" i="8"/>
  <c r="AJ79" i="8" s="1"/>
  <c r="AL78" i="8"/>
  <c r="AK78" i="8"/>
  <c r="AH78" i="8"/>
  <c r="AC78" i="8"/>
  <c r="AE78" i="8" s="1"/>
  <c r="Z78" i="8"/>
  <c r="V78" i="8"/>
  <c r="U78" i="8"/>
  <c r="AF78" i="8" s="1"/>
  <c r="R78" i="8"/>
  <c r="Q78" i="8"/>
  <c r="N78" i="8"/>
  <c r="M78" i="8"/>
  <c r="L78" i="8"/>
  <c r="AJ78" i="8" s="1"/>
  <c r="AL77" i="8"/>
  <c r="AK77" i="8"/>
  <c r="AH77" i="8"/>
  <c r="AC77" i="8"/>
  <c r="AE77" i="8" s="1"/>
  <c r="Z77" i="8"/>
  <c r="V77" i="8"/>
  <c r="U77" i="8"/>
  <c r="AF77" i="8" s="1"/>
  <c r="R77" i="8"/>
  <c r="Q77" i="8"/>
  <c r="N77" i="8"/>
  <c r="M77" i="8"/>
  <c r="L77" i="8"/>
  <c r="AJ77" i="8" s="1"/>
  <c r="AL76" i="8"/>
  <c r="AK76" i="8"/>
  <c r="AH76" i="8"/>
  <c r="AC76" i="8"/>
  <c r="AE76" i="8" s="1"/>
  <c r="Z76" i="8"/>
  <c r="V76" i="8"/>
  <c r="U76" i="8"/>
  <c r="AF76" i="8" s="1"/>
  <c r="R76" i="8"/>
  <c r="Q76" i="8"/>
  <c r="N76" i="8"/>
  <c r="M76" i="8"/>
  <c r="L76" i="8"/>
  <c r="AJ76" i="8" s="1"/>
  <c r="AL75" i="8"/>
  <c r="AK75" i="8"/>
  <c r="AH75" i="8"/>
  <c r="AC75" i="8"/>
  <c r="AE75" i="8" s="1"/>
  <c r="Z75" i="8"/>
  <c r="V75" i="8"/>
  <c r="U75" i="8"/>
  <c r="AF75" i="8" s="1"/>
  <c r="R75" i="8"/>
  <c r="Q75" i="8"/>
  <c r="N75" i="8"/>
  <c r="M75" i="8"/>
  <c r="L75" i="8"/>
  <c r="AJ75" i="8" s="1"/>
  <c r="AL74" i="8"/>
  <c r="AK74" i="8"/>
  <c r="AH74" i="8"/>
  <c r="AC74" i="8"/>
  <c r="AE74" i="8" s="1"/>
  <c r="Z74" i="8"/>
  <c r="V74" i="8"/>
  <c r="U74" i="8"/>
  <c r="AF74" i="8" s="1"/>
  <c r="R74" i="8"/>
  <c r="Q74" i="8"/>
  <c r="N74" i="8"/>
  <c r="M74" i="8"/>
  <c r="L74" i="8"/>
  <c r="AJ74" i="8" s="1"/>
  <c r="AL73" i="8"/>
  <c r="AK73" i="8"/>
  <c r="AH73" i="8"/>
  <c r="AC73" i="8"/>
  <c r="AE73" i="8" s="1"/>
  <c r="Z73" i="8"/>
  <c r="V73" i="8"/>
  <c r="U73" i="8"/>
  <c r="AF73" i="8" s="1"/>
  <c r="R73" i="8"/>
  <c r="Q73" i="8"/>
  <c r="N73" i="8"/>
  <c r="M73" i="8"/>
  <c r="L73" i="8"/>
  <c r="AJ73" i="8" s="1"/>
  <c r="AL72" i="8"/>
  <c r="AK72" i="8"/>
  <c r="AH72" i="8"/>
  <c r="AC72" i="8"/>
  <c r="AE72" i="8" s="1"/>
  <c r="Z72" i="8"/>
  <c r="V72" i="8"/>
  <c r="U72" i="8"/>
  <c r="AF72" i="8" s="1"/>
  <c r="R72" i="8"/>
  <c r="Q72" i="8"/>
  <c r="N72" i="8"/>
  <c r="M72" i="8"/>
  <c r="L72" i="8"/>
  <c r="AJ72" i="8" s="1"/>
  <c r="AL71" i="8"/>
  <c r="AK71" i="8"/>
  <c r="AH71" i="8"/>
  <c r="AC71" i="8"/>
  <c r="AE71" i="8" s="1"/>
  <c r="Z71" i="8"/>
  <c r="V71" i="8"/>
  <c r="U71" i="8"/>
  <c r="AF71" i="8" s="1"/>
  <c r="R71" i="8"/>
  <c r="Q71" i="8"/>
  <c r="N71" i="8"/>
  <c r="M71" i="8"/>
  <c r="L71" i="8"/>
  <c r="AJ71" i="8" s="1"/>
  <c r="AL70" i="8"/>
  <c r="AK70" i="8"/>
  <c r="AH70" i="8"/>
  <c r="AC70" i="8"/>
  <c r="AE70" i="8" s="1"/>
  <c r="Z70" i="8"/>
  <c r="V70" i="8"/>
  <c r="U70" i="8"/>
  <c r="AF70" i="8" s="1"/>
  <c r="R70" i="8"/>
  <c r="Q70" i="8"/>
  <c r="N70" i="8"/>
  <c r="M70" i="8"/>
  <c r="L70" i="8"/>
  <c r="AJ70" i="8" s="1"/>
  <c r="AL69" i="8"/>
  <c r="AK69" i="8"/>
  <c r="AH69" i="8"/>
  <c r="AC69" i="8"/>
  <c r="AE69" i="8" s="1"/>
  <c r="Z69" i="8"/>
  <c r="V69" i="8"/>
  <c r="U69" i="8"/>
  <c r="AF69" i="8" s="1"/>
  <c r="R69" i="8"/>
  <c r="Q69" i="8"/>
  <c r="N69" i="8"/>
  <c r="M69" i="8"/>
  <c r="L69" i="8"/>
  <c r="AJ69" i="8" s="1"/>
  <c r="AL68" i="8"/>
  <c r="AK68" i="8"/>
  <c r="AH68" i="8"/>
  <c r="AC68" i="8"/>
  <c r="AE68" i="8" s="1"/>
  <c r="Z68" i="8"/>
  <c r="V68" i="8"/>
  <c r="U68" i="8"/>
  <c r="AF68" i="8" s="1"/>
  <c r="R68" i="8"/>
  <c r="Q68" i="8"/>
  <c r="N68" i="8"/>
  <c r="M68" i="8"/>
  <c r="L68" i="8"/>
  <c r="AJ68" i="8" s="1"/>
  <c r="AL67" i="8"/>
  <c r="AK67" i="8"/>
  <c r="AH67" i="8"/>
  <c r="AC67" i="8"/>
  <c r="AE67" i="8" s="1"/>
  <c r="Z67" i="8"/>
  <c r="V67" i="8"/>
  <c r="U67" i="8"/>
  <c r="AF67" i="8" s="1"/>
  <c r="R67" i="8"/>
  <c r="Q67" i="8"/>
  <c r="N67" i="8"/>
  <c r="M67" i="8"/>
  <c r="L67" i="8"/>
  <c r="AJ67" i="8" s="1"/>
  <c r="AL66" i="8"/>
  <c r="AK66" i="8"/>
  <c r="AH66" i="8"/>
  <c r="AC66" i="8"/>
  <c r="AE66" i="8" s="1"/>
  <c r="Z66" i="8"/>
  <c r="V66" i="8"/>
  <c r="U66" i="8"/>
  <c r="AF66" i="8" s="1"/>
  <c r="R66" i="8"/>
  <c r="Q66" i="8"/>
  <c r="N66" i="8"/>
  <c r="M66" i="8"/>
  <c r="L66" i="8"/>
  <c r="AJ66" i="8" s="1"/>
  <c r="AL65" i="8"/>
  <c r="AK65" i="8"/>
  <c r="AH65" i="8"/>
  <c r="AC65" i="8"/>
  <c r="AE65" i="8" s="1"/>
  <c r="Z65" i="8"/>
  <c r="V65" i="8"/>
  <c r="U65" i="8"/>
  <c r="AF65" i="8" s="1"/>
  <c r="R65" i="8"/>
  <c r="Q65" i="8"/>
  <c r="N65" i="8"/>
  <c r="M65" i="8"/>
  <c r="L65" i="8"/>
  <c r="AJ65" i="8" s="1"/>
  <c r="AL64" i="8"/>
  <c r="AK64" i="8"/>
  <c r="AH64" i="8"/>
  <c r="AC64" i="8"/>
  <c r="AE64" i="8" s="1"/>
  <c r="Z64" i="8"/>
  <c r="V64" i="8"/>
  <c r="U64" i="8"/>
  <c r="AF64" i="8" s="1"/>
  <c r="R64" i="8"/>
  <c r="Q64" i="8"/>
  <c r="N64" i="8"/>
  <c r="M64" i="8"/>
  <c r="L64" i="8"/>
  <c r="AJ64" i="8" s="1"/>
  <c r="AL63" i="8"/>
  <c r="AK63" i="8"/>
  <c r="AH63" i="8"/>
  <c r="AC63" i="8"/>
  <c r="AE63" i="8" s="1"/>
  <c r="Z63" i="8"/>
  <c r="V63" i="8"/>
  <c r="U63" i="8"/>
  <c r="AF63" i="8" s="1"/>
  <c r="R63" i="8"/>
  <c r="Q63" i="8"/>
  <c r="N63" i="8"/>
  <c r="M63" i="8"/>
  <c r="L63" i="8"/>
  <c r="AJ63" i="8" s="1"/>
  <c r="AL62" i="8"/>
  <c r="AK62" i="8"/>
  <c r="AH62" i="8"/>
  <c r="AC62" i="8"/>
  <c r="AE62" i="8" s="1"/>
  <c r="Z62" i="8"/>
  <c r="V62" i="8"/>
  <c r="U62" i="8"/>
  <c r="AF62" i="8" s="1"/>
  <c r="R62" i="8"/>
  <c r="Q62" i="8"/>
  <c r="N62" i="8"/>
  <c r="M62" i="8"/>
  <c r="L62" i="8"/>
  <c r="AJ62" i="8" s="1"/>
  <c r="AL61" i="8"/>
  <c r="AK61" i="8"/>
  <c r="AH61" i="8"/>
  <c r="AC61" i="8"/>
  <c r="AE61" i="8" s="1"/>
  <c r="Z61" i="8"/>
  <c r="V61" i="8"/>
  <c r="U61" i="8"/>
  <c r="AF61" i="8" s="1"/>
  <c r="R61" i="8"/>
  <c r="Q61" i="8"/>
  <c r="N61" i="8"/>
  <c r="M61" i="8"/>
  <c r="L61" i="8"/>
  <c r="AJ61" i="8" s="1"/>
  <c r="AL60" i="8"/>
  <c r="AK60" i="8"/>
  <c r="AH60" i="8"/>
  <c r="AC60" i="8"/>
  <c r="AE60" i="8" s="1"/>
  <c r="Z60" i="8"/>
  <c r="V60" i="8"/>
  <c r="U60" i="8"/>
  <c r="AF60" i="8" s="1"/>
  <c r="R60" i="8"/>
  <c r="Q60" i="8"/>
  <c r="N60" i="8"/>
  <c r="M60" i="8"/>
  <c r="L60" i="8"/>
  <c r="AJ60" i="8" s="1"/>
  <c r="AL59" i="8"/>
  <c r="AK59" i="8"/>
  <c r="AH59" i="8"/>
  <c r="AC59" i="8"/>
  <c r="AE59" i="8" s="1"/>
  <c r="Z59" i="8"/>
  <c r="V59" i="8"/>
  <c r="U59" i="8"/>
  <c r="AF59" i="8" s="1"/>
  <c r="R59" i="8"/>
  <c r="Q59" i="8"/>
  <c r="N59" i="8"/>
  <c r="M59" i="8"/>
  <c r="L59" i="8"/>
  <c r="AJ59" i="8" s="1"/>
  <c r="AL58" i="8"/>
  <c r="AK58" i="8"/>
  <c r="AH58" i="8"/>
  <c r="AC58" i="8"/>
  <c r="AE58" i="8" s="1"/>
  <c r="Z58" i="8"/>
  <c r="V58" i="8"/>
  <c r="U58" i="8"/>
  <c r="AF58" i="8" s="1"/>
  <c r="R58" i="8"/>
  <c r="Q58" i="8"/>
  <c r="N58" i="8"/>
  <c r="M58" i="8"/>
  <c r="L58" i="8"/>
  <c r="AJ58" i="8" s="1"/>
  <c r="AL57" i="8"/>
  <c r="AK57" i="8"/>
  <c r="AH57" i="8"/>
  <c r="AC57" i="8"/>
  <c r="AE57" i="8" s="1"/>
  <c r="Z57" i="8"/>
  <c r="V57" i="8"/>
  <c r="U57" i="8"/>
  <c r="AF57" i="8" s="1"/>
  <c r="R57" i="8"/>
  <c r="Q57" i="8"/>
  <c r="N57" i="8"/>
  <c r="M57" i="8"/>
  <c r="L57" i="8"/>
  <c r="AJ57" i="8" s="1"/>
  <c r="AL56" i="8"/>
  <c r="AK56" i="8"/>
  <c r="AH56" i="8"/>
  <c r="AC56" i="8"/>
  <c r="AE56" i="8" s="1"/>
  <c r="Z56" i="8"/>
  <c r="V56" i="8"/>
  <c r="U56" i="8"/>
  <c r="AF56" i="8" s="1"/>
  <c r="R56" i="8"/>
  <c r="Q56" i="8"/>
  <c r="N56" i="8"/>
  <c r="M56" i="8"/>
  <c r="L56" i="8"/>
  <c r="AJ56" i="8" s="1"/>
  <c r="AL55" i="8"/>
  <c r="AK55" i="8"/>
  <c r="AH55" i="8"/>
  <c r="AC55" i="8"/>
  <c r="AE55" i="8" s="1"/>
  <c r="Z55" i="8"/>
  <c r="V55" i="8"/>
  <c r="U55" i="8"/>
  <c r="AF55" i="8" s="1"/>
  <c r="R55" i="8"/>
  <c r="Q55" i="8"/>
  <c r="N55" i="8"/>
  <c r="M55" i="8"/>
  <c r="L55" i="8"/>
  <c r="AJ55" i="8" s="1"/>
  <c r="AL54" i="8"/>
  <c r="AK54" i="8"/>
  <c r="AH54" i="8"/>
  <c r="AC54" i="8"/>
  <c r="AE54" i="8" s="1"/>
  <c r="Z54" i="8"/>
  <c r="V54" i="8"/>
  <c r="U54" i="8"/>
  <c r="AF54" i="8" s="1"/>
  <c r="R54" i="8"/>
  <c r="Q54" i="8"/>
  <c r="N54" i="8"/>
  <c r="M54" i="8"/>
  <c r="L54" i="8"/>
  <c r="AJ54" i="8" s="1"/>
  <c r="AL53" i="8"/>
  <c r="AK53" i="8"/>
  <c r="AH53" i="8"/>
  <c r="AC53" i="8"/>
  <c r="AE53" i="8" s="1"/>
  <c r="Z53" i="8"/>
  <c r="V53" i="8"/>
  <c r="U53" i="8"/>
  <c r="AF53" i="8" s="1"/>
  <c r="R53" i="8"/>
  <c r="Q53" i="8"/>
  <c r="N53" i="8"/>
  <c r="M53" i="8"/>
  <c r="L53" i="8"/>
  <c r="AJ53" i="8" s="1"/>
  <c r="AL52" i="8"/>
  <c r="AK52" i="8"/>
  <c r="AH52" i="8"/>
  <c r="AC52" i="8"/>
  <c r="AE52" i="8" s="1"/>
  <c r="Z52" i="8"/>
  <c r="V52" i="8"/>
  <c r="U52" i="8"/>
  <c r="AF52" i="8" s="1"/>
  <c r="R52" i="8"/>
  <c r="Q52" i="8"/>
  <c r="N52" i="8"/>
  <c r="M52" i="8"/>
  <c r="L52" i="8"/>
  <c r="AJ52" i="8" s="1"/>
  <c r="AL51" i="8"/>
  <c r="AK51" i="8"/>
  <c r="AH51" i="8"/>
  <c r="AC51" i="8"/>
  <c r="AE51" i="8" s="1"/>
  <c r="Z51" i="8"/>
  <c r="V51" i="8"/>
  <c r="U51" i="8"/>
  <c r="AF51" i="8" s="1"/>
  <c r="R51" i="8"/>
  <c r="Q51" i="8"/>
  <c r="N51" i="8"/>
  <c r="M51" i="8"/>
  <c r="L51" i="8"/>
  <c r="AJ51" i="8" s="1"/>
  <c r="AL50" i="8"/>
  <c r="AK50" i="8"/>
  <c r="AH50" i="8"/>
  <c r="AC50" i="8"/>
  <c r="AE50" i="8" s="1"/>
  <c r="Z50" i="8"/>
  <c r="V50" i="8"/>
  <c r="U50" i="8"/>
  <c r="AF50" i="8" s="1"/>
  <c r="R50" i="8"/>
  <c r="Q50" i="8"/>
  <c r="N50" i="8"/>
  <c r="M50" i="8"/>
  <c r="L50" i="8"/>
  <c r="AJ50" i="8" s="1"/>
  <c r="AL49" i="8"/>
  <c r="AK49" i="8"/>
  <c r="AH49" i="8"/>
  <c r="AC49" i="8"/>
  <c r="AE49" i="8" s="1"/>
  <c r="Z49" i="8"/>
  <c r="V49" i="8"/>
  <c r="U49" i="8"/>
  <c r="AF49" i="8" s="1"/>
  <c r="R49" i="8"/>
  <c r="Q49" i="8"/>
  <c r="N49" i="8"/>
  <c r="M49" i="8"/>
  <c r="L49" i="8"/>
  <c r="AJ49" i="8" s="1"/>
  <c r="AL48" i="8"/>
  <c r="AK48" i="8"/>
  <c r="AH48" i="8"/>
  <c r="AC48" i="8"/>
  <c r="AE48" i="8" s="1"/>
  <c r="Z48" i="8"/>
  <c r="V48" i="8"/>
  <c r="U48" i="8"/>
  <c r="AF48" i="8" s="1"/>
  <c r="R48" i="8"/>
  <c r="Q48" i="8"/>
  <c r="N48" i="8"/>
  <c r="M48" i="8"/>
  <c r="L48" i="8"/>
  <c r="AJ48" i="8" s="1"/>
  <c r="AL47" i="8"/>
  <c r="AK47" i="8"/>
  <c r="AH47" i="8"/>
  <c r="AC47" i="8"/>
  <c r="AE47" i="8" s="1"/>
  <c r="Z47" i="8"/>
  <c r="V47" i="8"/>
  <c r="U47" i="8"/>
  <c r="AF47" i="8" s="1"/>
  <c r="R47" i="8"/>
  <c r="Q47" i="8"/>
  <c r="N47" i="8"/>
  <c r="M47" i="8"/>
  <c r="L47" i="8"/>
  <c r="AJ47" i="8" s="1"/>
  <c r="AL46" i="8"/>
  <c r="AK46" i="8"/>
  <c r="AH46" i="8"/>
  <c r="AC46" i="8"/>
  <c r="AE46" i="8" s="1"/>
  <c r="Z46" i="8"/>
  <c r="V46" i="8"/>
  <c r="U46" i="8"/>
  <c r="AF46" i="8" s="1"/>
  <c r="R46" i="8"/>
  <c r="Q46" i="8"/>
  <c r="N46" i="8"/>
  <c r="M46" i="8"/>
  <c r="L46" i="8"/>
  <c r="AJ46" i="8" s="1"/>
  <c r="AL45" i="8"/>
  <c r="AK45" i="8"/>
  <c r="AH45" i="8"/>
  <c r="AC45" i="8"/>
  <c r="AE45" i="8" s="1"/>
  <c r="Z45" i="8"/>
  <c r="V45" i="8"/>
  <c r="U45" i="8"/>
  <c r="AF45" i="8" s="1"/>
  <c r="R45" i="8"/>
  <c r="Q45" i="8"/>
  <c r="N45" i="8"/>
  <c r="M45" i="8"/>
  <c r="L45" i="8"/>
  <c r="AJ45" i="8" s="1"/>
  <c r="AL44" i="8"/>
  <c r="AK44" i="8"/>
  <c r="AH44" i="8"/>
  <c r="AC44" i="8"/>
  <c r="AE44" i="8" s="1"/>
  <c r="Z44" i="8"/>
  <c r="V44" i="8"/>
  <c r="U44" i="8"/>
  <c r="AF44" i="8" s="1"/>
  <c r="R44" i="8"/>
  <c r="Q44" i="8"/>
  <c r="N44" i="8"/>
  <c r="M44" i="8"/>
  <c r="L44" i="8"/>
  <c r="AJ44" i="8" s="1"/>
  <c r="AL43" i="8"/>
  <c r="AK43" i="8"/>
  <c r="AH43" i="8"/>
  <c r="AC43" i="8"/>
  <c r="AE43" i="8" s="1"/>
  <c r="Z43" i="8"/>
  <c r="V43" i="8"/>
  <c r="U43" i="8"/>
  <c r="AF43" i="8" s="1"/>
  <c r="R43" i="8"/>
  <c r="Q43" i="8"/>
  <c r="N43" i="8"/>
  <c r="M43" i="8"/>
  <c r="L43" i="8"/>
  <c r="AJ43" i="8" s="1"/>
  <c r="AL42" i="8"/>
  <c r="AK42" i="8"/>
  <c r="AH42" i="8"/>
  <c r="AC42" i="8"/>
  <c r="AE42" i="8" s="1"/>
  <c r="Z42" i="8"/>
  <c r="V42" i="8"/>
  <c r="U42" i="8"/>
  <c r="AF42" i="8" s="1"/>
  <c r="R42" i="8"/>
  <c r="Q42" i="8"/>
  <c r="N42" i="8"/>
  <c r="M42" i="8"/>
  <c r="L42" i="8"/>
  <c r="AJ42" i="8" s="1"/>
  <c r="AL41" i="8"/>
  <c r="AK41" i="8"/>
  <c r="AH41" i="8"/>
  <c r="AC41" i="8"/>
  <c r="AE41" i="8" s="1"/>
  <c r="Z41" i="8"/>
  <c r="V41" i="8"/>
  <c r="U41" i="8"/>
  <c r="AF41" i="8" s="1"/>
  <c r="R41" i="8"/>
  <c r="Q41" i="8"/>
  <c r="N41" i="8"/>
  <c r="M41" i="8"/>
  <c r="L41" i="8"/>
  <c r="AJ41" i="8" s="1"/>
  <c r="AL40" i="8"/>
  <c r="AK40" i="8"/>
  <c r="AH40" i="8"/>
  <c r="AC40" i="8"/>
  <c r="AE40" i="8" s="1"/>
  <c r="Z40" i="8"/>
  <c r="V40" i="8"/>
  <c r="U40" i="8"/>
  <c r="AF40" i="8" s="1"/>
  <c r="R40" i="8"/>
  <c r="Q40" i="8"/>
  <c r="N40" i="8"/>
  <c r="M40" i="8"/>
  <c r="L40" i="8"/>
  <c r="AJ40" i="8" s="1"/>
  <c r="AL39" i="8"/>
  <c r="AK39" i="8"/>
  <c r="AH39" i="8"/>
  <c r="AC39" i="8"/>
  <c r="AE39" i="8" s="1"/>
  <c r="Z39" i="8"/>
  <c r="V39" i="8"/>
  <c r="U39" i="8"/>
  <c r="AF39" i="8" s="1"/>
  <c r="R39" i="8"/>
  <c r="Q39" i="8"/>
  <c r="N39" i="8"/>
  <c r="M39" i="8"/>
  <c r="L39" i="8"/>
  <c r="AJ39" i="8" s="1"/>
  <c r="AL38" i="8"/>
  <c r="AK38" i="8"/>
  <c r="AH38" i="8"/>
  <c r="AC38" i="8"/>
  <c r="AE38" i="8" s="1"/>
  <c r="Z38" i="8"/>
  <c r="V38" i="8"/>
  <c r="U38" i="8"/>
  <c r="AF38" i="8" s="1"/>
  <c r="R38" i="8"/>
  <c r="Q38" i="8"/>
  <c r="N38" i="8"/>
  <c r="M38" i="8"/>
  <c r="L38" i="8"/>
  <c r="AJ38" i="8" s="1"/>
  <c r="AL37" i="8"/>
  <c r="AK37" i="8"/>
  <c r="AH37" i="8"/>
  <c r="AC37" i="8"/>
  <c r="AE37" i="8" s="1"/>
  <c r="Z37" i="8"/>
  <c r="V37" i="8"/>
  <c r="U37" i="8"/>
  <c r="AF37" i="8" s="1"/>
  <c r="R37" i="8"/>
  <c r="Q37" i="8"/>
  <c r="N37" i="8"/>
  <c r="M37" i="8"/>
  <c r="L37" i="8"/>
  <c r="AJ37" i="8" s="1"/>
  <c r="AL36" i="8"/>
  <c r="AK36" i="8"/>
  <c r="AH36" i="8"/>
  <c r="AC36" i="8"/>
  <c r="AE36" i="8" s="1"/>
  <c r="Z36" i="8"/>
  <c r="V36" i="8"/>
  <c r="U36" i="8"/>
  <c r="AF36" i="8" s="1"/>
  <c r="R36" i="8"/>
  <c r="Q36" i="8"/>
  <c r="N36" i="8"/>
  <c r="M36" i="8"/>
  <c r="L36" i="8"/>
  <c r="AJ36" i="8" s="1"/>
  <c r="AL35" i="8"/>
  <c r="AK35" i="8"/>
  <c r="AH35" i="8"/>
  <c r="AC35" i="8"/>
  <c r="AE35" i="8" s="1"/>
  <c r="Z35" i="8"/>
  <c r="V35" i="8"/>
  <c r="U35" i="8"/>
  <c r="AF35" i="8" s="1"/>
  <c r="R35" i="8"/>
  <c r="Q35" i="8"/>
  <c r="N35" i="8"/>
  <c r="M35" i="8"/>
  <c r="L35" i="8"/>
  <c r="AJ35" i="8" s="1"/>
  <c r="AL34" i="8"/>
  <c r="AK34" i="8"/>
  <c r="AH34" i="8"/>
  <c r="AC34" i="8"/>
  <c r="AE34" i="8" s="1"/>
  <c r="Z34" i="8"/>
  <c r="V34" i="8"/>
  <c r="U34" i="8"/>
  <c r="AF34" i="8" s="1"/>
  <c r="R34" i="8"/>
  <c r="Q34" i="8"/>
  <c r="N34" i="8"/>
  <c r="M34" i="8"/>
  <c r="L34" i="8"/>
  <c r="AJ34" i="8" s="1"/>
  <c r="AL33" i="8"/>
  <c r="AK33" i="8"/>
  <c r="AH33" i="8"/>
  <c r="AC33" i="8"/>
  <c r="AE33" i="8" s="1"/>
  <c r="Z33" i="8"/>
  <c r="V33" i="8"/>
  <c r="U33" i="8"/>
  <c r="AF33" i="8" s="1"/>
  <c r="R33" i="8"/>
  <c r="Q33" i="8"/>
  <c r="N33" i="8"/>
  <c r="M33" i="8"/>
  <c r="L33" i="8"/>
  <c r="AJ33" i="8" s="1"/>
  <c r="AL32" i="8"/>
  <c r="AK32" i="8"/>
  <c r="AH32" i="8"/>
  <c r="AC32" i="8"/>
  <c r="AE32" i="8" s="1"/>
  <c r="Z32" i="8"/>
  <c r="V32" i="8"/>
  <c r="U32" i="8"/>
  <c r="AF32" i="8" s="1"/>
  <c r="R32" i="8"/>
  <c r="Q32" i="8"/>
  <c r="N32" i="8"/>
  <c r="M32" i="8"/>
  <c r="L32" i="8"/>
  <c r="AJ32" i="8" s="1"/>
  <c r="AL31" i="8"/>
  <c r="AK31" i="8"/>
  <c r="AH31" i="8"/>
  <c r="AC31" i="8"/>
  <c r="AE31" i="8" s="1"/>
  <c r="Z31" i="8"/>
  <c r="V31" i="8"/>
  <c r="U31" i="8"/>
  <c r="AF31" i="8" s="1"/>
  <c r="R31" i="8"/>
  <c r="Q31" i="8"/>
  <c r="N31" i="8"/>
  <c r="M31" i="8"/>
  <c r="L31" i="8"/>
  <c r="AJ31" i="8" s="1"/>
  <c r="AL30" i="8"/>
  <c r="AK30" i="8"/>
  <c r="AH30" i="8"/>
  <c r="AC30" i="8"/>
  <c r="AE30" i="8" s="1"/>
  <c r="Z30" i="8"/>
  <c r="V30" i="8"/>
  <c r="U30" i="8"/>
  <c r="AF30" i="8" s="1"/>
  <c r="R30" i="8"/>
  <c r="Q30" i="8"/>
  <c r="N30" i="8"/>
  <c r="M30" i="8"/>
  <c r="L30" i="8"/>
  <c r="AJ30" i="8" s="1"/>
  <c r="AL29" i="8"/>
  <c r="AK29" i="8"/>
  <c r="AH29" i="8"/>
  <c r="AC29" i="8"/>
  <c r="AE29" i="8" s="1"/>
  <c r="Z29" i="8"/>
  <c r="V29" i="8"/>
  <c r="U29" i="8"/>
  <c r="AF29" i="8" s="1"/>
  <c r="R29" i="8"/>
  <c r="Q29" i="8"/>
  <c r="N29" i="8"/>
  <c r="M29" i="8"/>
  <c r="L29" i="8"/>
  <c r="AJ29" i="8" s="1"/>
  <c r="AL28" i="8"/>
  <c r="AK28" i="8"/>
  <c r="AH28" i="8"/>
  <c r="AC28" i="8"/>
  <c r="AE28" i="8" s="1"/>
  <c r="Z28" i="8"/>
  <c r="V28" i="8"/>
  <c r="U28" i="8"/>
  <c r="AF28" i="8" s="1"/>
  <c r="R28" i="8"/>
  <c r="Q28" i="8"/>
  <c r="N28" i="8"/>
  <c r="M28" i="8"/>
  <c r="L28" i="8"/>
  <c r="AJ28" i="8" s="1"/>
  <c r="AL27" i="8"/>
  <c r="AK27" i="8"/>
  <c r="AH27" i="8"/>
  <c r="AC27" i="8"/>
  <c r="AE27" i="8" s="1"/>
  <c r="Z27" i="8"/>
  <c r="V27" i="8"/>
  <c r="U27" i="8"/>
  <c r="AF27" i="8" s="1"/>
  <c r="R27" i="8"/>
  <c r="Q27" i="8"/>
  <c r="N27" i="8"/>
  <c r="M27" i="8"/>
  <c r="L27" i="8"/>
  <c r="AJ27" i="8" s="1"/>
  <c r="AL26" i="8"/>
  <c r="AK26" i="8"/>
  <c r="AH26" i="8"/>
  <c r="AC26" i="8"/>
  <c r="AE26" i="8" s="1"/>
  <c r="Z26" i="8"/>
  <c r="V26" i="8"/>
  <c r="U26" i="8"/>
  <c r="AF26" i="8" s="1"/>
  <c r="R26" i="8"/>
  <c r="Q26" i="8"/>
  <c r="N26" i="8"/>
  <c r="M26" i="8"/>
  <c r="L26" i="8"/>
  <c r="AJ26" i="8" s="1"/>
  <c r="AL25" i="8"/>
  <c r="AK25" i="8"/>
  <c r="AH25" i="8"/>
  <c r="AC25" i="8"/>
  <c r="AE25" i="8" s="1"/>
  <c r="Z25" i="8"/>
  <c r="V25" i="8"/>
  <c r="U25" i="8"/>
  <c r="AF25" i="8" s="1"/>
  <c r="R25" i="8"/>
  <c r="Q25" i="8"/>
  <c r="N25" i="8"/>
  <c r="M25" i="8"/>
  <c r="L25" i="8"/>
  <c r="AJ25" i="8" s="1"/>
  <c r="AL24" i="8"/>
  <c r="AK24" i="8"/>
  <c r="AH24" i="8"/>
  <c r="AC24" i="8"/>
  <c r="AE24" i="8" s="1"/>
  <c r="Z24" i="8"/>
  <c r="V24" i="8"/>
  <c r="U24" i="8"/>
  <c r="AF24" i="8" s="1"/>
  <c r="R24" i="8"/>
  <c r="Q24" i="8"/>
  <c r="N24" i="8"/>
  <c r="M24" i="8"/>
  <c r="L24" i="8"/>
  <c r="AJ24" i="8" s="1"/>
  <c r="AL23" i="8"/>
  <c r="AK23" i="8"/>
  <c r="AH23" i="8"/>
  <c r="AC23" i="8"/>
  <c r="AE23" i="8" s="1"/>
  <c r="Z23" i="8"/>
  <c r="V23" i="8"/>
  <c r="U23" i="8"/>
  <c r="AF23" i="8" s="1"/>
  <c r="R23" i="8"/>
  <c r="Q23" i="8"/>
  <c r="N23" i="8"/>
  <c r="M23" i="8"/>
  <c r="L23" i="8"/>
  <c r="AJ23" i="8" s="1"/>
  <c r="AL22" i="8"/>
  <c r="AK22" i="8"/>
  <c r="AH22" i="8"/>
  <c r="AC22" i="8"/>
  <c r="AE22" i="8" s="1"/>
  <c r="Z22" i="8"/>
  <c r="V22" i="8"/>
  <c r="U22" i="8"/>
  <c r="AF22" i="8" s="1"/>
  <c r="R22" i="8"/>
  <c r="Q22" i="8"/>
  <c r="N22" i="8"/>
  <c r="M22" i="8"/>
  <c r="L22" i="8"/>
  <c r="AJ22" i="8" s="1"/>
  <c r="AL21" i="8"/>
  <c r="AK21" i="8"/>
  <c r="AH21" i="8"/>
  <c r="AC21" i="8"/>
  <c r="AE21" i="8" s="1"/>
  <c r="Z21" i="8"/>
  <c r="V21" i="8"/>
  <c r="U21" i="8"/>
  <c r="AF21" i="8" s="1"/>
  <c r="R21" i="8"/>
  <c r="Q21" i="8"/>
  <c r="N21" i="8"/>
  <c r="M21" i="8"/>
  <c r="L21" i="8"/>
  <c r="AJ21" i="8" s="1"/>
  <c r="AL20" i="8"/>
  <c r="AK20" i="8"/>
  <c r="AH20" i="8"/>
  <c r="AC20" i="8"/>
  <c r="AE20" i="8" s="1"/>
  <c r="Z20" i="8"/>
  <c r="V20" i="8"/>
  <c r="U20" i="8"/>
  <c r="AF20" i="8" s="1"/>
  <c r="R20" i="8"/>
  <c r="Q20" i="8"/>
  <c r="N20" i="8"/>
  <c r="M20" i="8"/>
  <c r="L20" i="8"/>
  <c r="AJ20" i="8" s="1"/>
  <c r="AL19" i="8"/>
  <c r="AK19" i="8"/>
  <c r="AH19" i="8"/>
  <c r="AC19" i="8"/>
  <c r="AE19" i="8" s="1"/>
  <c r="Z19" i="8"/>
  <c r="V19" i="8"/>
  <c r="U19" i="8"/>
  <c r="AF19" i="8" s="1"/>
  <c r="R19" i="8"/>
  <c r="Q19" i="8"/>
  <c r="N19" i="8"/>
  <c r="M19" i="8"/>
  <c r="L19" i="8"/>
  <c r="AJ19" i="8" s="1"/>
  <c r="AL18" i="8"/>
  <c r="AK18" i="8"/>
  <c r="AH18" i="8"/>
  <c r="AC18" i="8"/>
  <c r="AE18" i="8" s="1"/>
  <c r="Z18" i="8"/>
  <c r="V18" i="8"/>
  <c r="U18" i="8"/>
  <c r="AF18" i="8" s="1"/>
  <c r="R18" i="8"/>
  <c r="Q18" i="8"/>
  <c r="N18" i="8"/>
  <c r="M18" i="8"/>
  <c r="L18" i="8"/>
  <c r="AJ18" i="8" s="1"/>
  <c r="AL17" i="8"/>
  <c r="AK17" i="8"/>
  <c r="AH17" i="8"/>
  <c r="AC17" i="8"/>
  <c r="AE17" i="8" s="1"/>
  <c r="Z17" i="8"/>
  <c r="V17" i="8"/>
  <c r="U17" i="8"/>
  <c r="AF17" i="8" s="1"/>
  <c r="R17" i="8"/>
  <c r="Q17" i="8"/>
  <c r="N17" i="8"/>
  <c r="M17" i="8"/>
  <c r="L17" i="8"/>
  <c r="AJ17" i="8" s="1"/>
  <c r="AL16" i="8"/>
  <c r="AK16" i="8"/>
  <c r="AH16" i="8"/>
  <c r="AC16" i="8"/>
  <c r="AE16" i="8" s="1"/>
  <c r="Z16" i="8"/>
  <c r="V16" i="8"/>
  <c r="U16" i="8"/>
  <c r="AF16" i="8" s="1"/>
  <c r="R16" i="8"/>
  <c r="Q16" i="8"/>
  <c r="N16" i="8"/>
  <c r="M16" i="8"/>
  <c r="L16" i="8"/>
  <c r="AJ16" i="8" s="1"/>
  <c r="AL15" i="8"/>
  <c r="AK15" i="8"/>
  <c r="AH15" i="8"/>
  <c r="AC15" i="8"/>
  <c r="AE15" i="8" s="1"/>
  <c r="Z15" i="8"/>
  <c r="V15" i="8"/>
  <c r="U15" i="8"/>
  <c r="AF15" i="8" s="1"/>
  <c r="R15" i="8"/>
  <c r="Q15" i="8"/>
  <c r="N15" i="8"/>
  <c r="M15" i="8"/>
  <c r="L15" i="8"/>
  <c r="AJ15" i="8" s="1"/>
  <c r="AL14" i="8"/>
  <c r="AK14" i="8"/>
  <c r="AH14" i="8"/>
  <c r="AC14" i="8"/>
  <c r="AE14" i="8" s="1"/>
  <c r="Z14" i="8"/>
  <c r="V14" i="8"/>
  <c r="U14" i="8"/>
  <c r="AF14" i="8" s="1"/>
  <c r="R14" i="8"/>
  <c r="Q14" i="8"/>
  <c r="N14" i="8"/>
  <c r="M14" i="8"/>
  <c r="L14" i="8"/>
  <c r="AJ14" i="8" s="1"/>
  <c r="AL13" i="8"/>
  <c r="AK13" i="8"/>
  <c r="AH13" i="8"/>
  <c r="AC13" i="8"/>
  <c r="AE13" i="8" s="1"/>
  <c r="Z13" i="8"/>
  <c r="V13" i="8"/>
  <c r="U13" i="8"/>
  <c r="AF13" i="8" s="1"/>
  <c r="R13" i="8"/>
  <c r="Q13" i="8"/>
  <c r="N13" i="8"/>
  <c r="M13" i="8"/>
  <c r="L13" i="8"/>
  <c r="AJ13" i="8" s="1"/>
  <c r="AL12" i="8"/>
  <c r="AK12" i="8"/>
  <c r="AH12" i="8"/>
  <c r="AC12" i="8"/>
  <c r="AE12" i="8" s="1"/>
  <c r="Z12" i="8"/>
  <c r="V12" i="8"/>
  <c r="U12" i="8"/>
  <c r="AF12" i="8" s="1"/>
  <c r="R12" i="8"/>
  <c r="Q12" i="8"/>
  <c r="N12" i="8"/>
  <c r="M12" i="8"/>
  <c r="L12" i="8"/>
  <c r="AJ12" i="8" s="1"/>
  <c r="AL11" i="8"/>
  <c r="AK11" i="8"/>
  <c r="AH11" i="8"/>
  <c r="AC11" i="8"/>
  <c r="AE11" i="8" s="1"/>
  <c r="Z11" i="8"/>
  <c r="V11" i="8"/>
  <c r="U11" i="8"/>
  <c r="AF11" i="8" s="1"/>
  <c r="R11" i="8"/>
  <c r="Q11" i="8"/>
  <c r="N11" i="8"/>
  <c r="M11" i="8"/>
  <c r="L11" i="8"/>
  <c r="AJ11" i="8" s="1"/>
  <c r="AL10" i="8"/>
  <c r="AK10" i="8"/>
  <c r="AH10" i="8"/>
  <c r="AC10" i="8"/>
  <c r="AE10" i="8" s="1"/>
  <c r="Z10" i="8"/>
  <c r="V10" i="8"/>
  <c r="U10" i="8"/>
  <c r="AF10" i="8" s="1"/>
  <c r="R10" i="8"/>
  <c r="Q10" i="8"/>
  <c r="N10" i="8"/>
  <c r="M10" i="8"/>
  <c r="L10" i="8"/>
  <c r="AJ10" i="8" s="1"/>
  <c r="AL9" i="8"/>
  <c r="AK9" i="8"/>
  <c r="AH9" i="8"/>
  <c r="AC9" i="8"/>
  <c r="AE9" i="8" s="1"/>
  <c r="Z9" i="8"/>
  <c r="V9" i="8"/>
  <c r="U9" i="8"/>
  <c r="AF9" i="8" s="1"/>
  <c r="R9" i="8"/>
  <c r="Q9" i="8"/>
  <c r="N9" i="8"/>
  <c r="M9" i="8"/>
  <c r="L9" i="8"/>
  <c r="AJ9" i="8" s="1"/>
  <c r="AO8" i="8"/>
  <c r="AL8" i="8"/>
  <c r="AK8" i="8"/>
  <c r="AI8" i="8"/>
  <c r="AH8" i="8"/>
  <c r="AE8" i="8"/>
  <c r="AC8" i="8"/>
  <c r="AA8" i="8"/>
  <c r="AG8" i="8" s="1"/>
  <c r="Z8" i="8"/>
  <c r="W8" i="8"/>
  <c r="AD8" i="8" s="1"/>
  <c r="V8" i="8"/>
  <c r="U8" i="8"/>
  <c r="AF8" i="8" s="1"/>
  <c r="S8" i="8"/>
  <c r="R8" i="8"/>
  <c r="Q8" i="8"/>
  <c r="O8" i="8"/>
  <c r="N8" i="8"/>
  <c r="M8" i="8"/>
  <c r="L8" i="8"/>
  <c r="AJ8" i="8" s="1"/>
  <c r="K8" i="8"/>
  <c r="AO7" i="8"/>
  <c r="X7" i="8"/>
  <c r="P7" i="8"/>
  <c r="L7" i="8"/>
  <c r="AO6" i="8"/>
  <c r="X6" i="8"/>
  <c r="P6" i="8"/>
  <c r="L6" i="8"/>
  <c r="AO5" i="8"/>
  <c r="AL5" i="8"/>
  <c r="AK5" i="8"/>
  <c r="AH5" i="8"/>
  <c r="AC5" i="8"/>
  <c r="AE5" i="8" s="1"/>
  <c r="Z5" i="8"/>
  <c r="V5" i="8"/>
  <c r="U5" i="8"/>
  <c r="AF5" i="8" s="1"/>
  <c r="R5" i="8"/>
  <c r="Q5" i="8"/>
  <c r="N5" i="8"/>
  <c r="M5" i="8"/>
  <c r="L5" i="8"/>
  <c r="AJ5" i="8" s="1"/>
  <c r="AL4" i="8"/>
  <c r="AK4" i="8"/>
  <c r="AI4" i="8"/>
  <c r="AH4" i="8"/>
  <c r="AE4" i="8"/>
  <c r="AC4" i="8"/>
  <c r="Z4" i="8"/>
  <c r="AA4" i="8" s="1"/>
  <c r="AG4" i="8" s="1"/>
  <c r="W4" i="8"/>
  <c r="AD4" i="8" s="1"/>
  <c r="V4" i="8"/>
  <c r="U4" i="8"/>
  <c r="AF4" i="8" s="1"/>
  <c r="S4" i="8"/>
  <c r="R4" i="8"/>
  <c r="Q4" i="8"/>
  <c r="O4" i="8"/>
  <c r="N4" i="8"/>
  <c r="M4" i="8"/>
  <c r="L4" i="8"/>
  <c r="AJ4" i="8" s="1"/>
  <c r="K4" i="8"/>
  <c r="AO3" i="8"/>
  <c r="AI3" i="8"/>
  <c r="W3" i="8"/>
  <c r="AD3" i="8" s="1"/>
  <c r="S3" i="8"/>
  <c r="O3" i="8"/>
  <c r="L3" i="8"/>
  <c r="K3" i="8"/>
  <c r="AO2" i="8"/>
  <c r="AK2" i="8"/>
  <c r="AC2" i="8"/>
  <c r="AE2" i="8" s="1"/>
  <c r="U2" i="8"/>
  <c r="AF2" i="8" s="1"/>
  <c r="Q2" i="8"/>
  <c r="M2" i="8"/>
  <c r="L2" i="8"/>
  <c r="AO1" i="8"/>
  <c r="K1" i="8"/>
  <c r="AL501" i="7"/>
  <c r="AK501" i="7"/>
  <c r="AI501" i="7"/>
  <c r="AH501" i="7"/>
  <c r="AE501" i="7"/>
  <c r="AC501" i="7"/>
  <c r="Z501" i="7"/>
  <c r="AA501" i="7" s="1"/>
  <c r="AG501" i="7" s="1"/>
  <c r="W501" i="7"/>
  <c r="AD501" i="7" s="1"/>
  <c r="V501" i="7"/>
  <c r="U501" i="7"/>
  <c r="AF501" i="7" s="1"/>
  <c r="S501" i="7"/>
  <c r="R501" i="7"/>
  <c r="Q501" i="7"/>
  <c r="O501" i="7"/>
  <c r="N501" i="7"/>
  <c r="M501" i="7"/>
  <c r="L501" i="7"/>
  <c r="AJ501" i="7" s="1"/>
  <c r="K501" i="7"/>
  <c r="AL500" i="7"/>
  <c r="AK500" i="7"/>
  <c r="AI500" i="7"/>
  <c r="AH500" i="7"/>
  <c r="AE500" i="7"/>
  <c r="AC500" i="7"/>
  <c r="Z500" i="7"/>
  <c r="AA500" i="7" s="1"/>
  <c r="AG500" i="7" s="1"/>
  <c r="W500" i="7"/>
  <c r="AD500" i="7" s="1"/>
  <c r="V500" i="7"/>
  <c r="U500" i="7"/>
  <c r="AF500" i="7" s="1"/>
  <c r="S500" i="7"/>
  <c r="R500" i="7"/>
  <c r="Q500" i="7"/>
  <c r="O500" i="7"/>
  <c r="N500" i="7"/>
  <c r="M500" i="7"/>
  <c r="L500" i="7"/>
  <c r="AJ500" i="7" s="1"/>
  <c r="K500" i="7"/>
  <c r="AL499" i="7"/>
  <c r="AK499" i="7"/>
  <c r="AI499" i="7"/>
  <c r="AH499" i="7"/>
  <c r="AE499" i="7"/>
  <c r="AC499" i="7"/>
  <c r="Z499" i="7"/>
  <c r="AA499" i="7" s="1"/>
  <c r="AG499" i="7" s="1"/>
  <c r="W499" i="7"/>
  <c r="AD499" i="7" s="1"/>
  <c r="V499" i="7"/>
  <c r="U499" i="7"/>
  <c r="AF499" i="7" s="1"/>
  <c r="S499" i="7"/>
  <c r="R499" i="7"/>
  <c r="Q499" i="7"/>
  <c r="O499" i="7"/>
  <c r="N499" i="7"/>
  <c r="M499" i="7"/>
  <c r="L499" i="7"/>
  <c r="AJ499" i="7" s="1"/>
  <c r="K499" i="7"/>
  <c r="AL498" i="7"/>
  <c r="AK498" i="7"/>
  <c r="AI498" i="7"/>
  <c r="AH498" i="7"/>
  <c r="AE498" i="7"/>
  <c r="AC498" i="7"/>
  <c r="Z498" i="7"/>
  <c r="AA498" i="7" s="1"/>
  <c r="AG498" i="7" s="1"/>
  <c r="W498" i="7"/>
  <c r="AD498" i="7" s="1"/>
  <c r="V498" i="7"/>
  <c r="U498" i="7"/>
  <c r="AF498" i="7" s="1"/>
  <c r="S498" i="7"/>
  <c r="R498" i="7"/>
  <c r="Q498" i="7"/>
  <c r="O498" i="7"/>
  <c r="N498" i="7"/>
  <c r="M498" i="7"/>
  <c r="L498" i="7"/>
  <c r="AJ498" i="7" s="1"/>
  <c r="K498" i="7"/>
  <c r="AL497" i="7"/>
  <c r="AK497" i="7"/>
  <c r="AI497" i="7"/>
  <c r="AH497" i="7"/>
  <c r="AE497" i="7"/>
  <c r="AC497" i="7"/>
  <c r="Z497" i="7"/>
  <c r="AA497" i="7" s="1"/>
  <c r="AG497" i="7" s="1"/>
  <c r="W497" i="7"/>
  <c r="AD497" i="7" s="1"/>
  <c r="V497" i="7"/>
  <c r="U497" i="7"/>
  <c r="AF497" i="7" s="1"/>
  <c r="S497" i="7"/>
  <c r="R497" i="7"/>
  <c r="Q497" i="7"/>
  <c r="O497" i="7"/>
  <c r="N497" i="7"/>
  <c r="M497" i="7"/>
  <c r="L497" i="7"/>
  <c r="AJ497" i="7" s="1"/>
  <c r="K497" i="7"/>
  <c r="AL496" i="7"/>
  <c r="AK496" i="7"/>
  <c r="AI496" i="7"/>
  <c r="AH496" i="7"/>
  <c r="AE496" i="7"/>
  <c r="AC496" i="7"/>
  <c r="Z496" i="7"/>
  <c r="AA496" i="7" s="1"/>
  <c r="AG496" i="7" s="1"/>
  <c r="W496" i="7"/>
  <c r="AD496" i="7" s="1"/>
  <c r="V496" i="7"/>
  <c r="U496" i="7"/>
  <c r="AF496" i="7" s="1"/>
  <c r="S496" i="7"/>
  <c r="R496" i="7"/>
  <c r="Q496" i="7"/>
  <c r="O496" i="7"/>
  <c r="N496" i="7"/>
  <c r="M496" i="7"/>
  <c r="L496" i="7"/>
  <c r="AJ496" i="7" s="1"/>
  <c r="K496" i="7"/>
  <c r="AL495" i="7"/>
  <c r="AK495" i="7"/>
  <c r="AI495" i="7"/>
  <c r="AH495" i="7"/>
  <c r="AE495" i="7"/>
  <c r="AC495" i="7"/>
  <c r="Z495" i="7"/>
  <c r="AA495" i="7" s="1"/>
  <c r="AG495" i="7" s="1"/>
  <c r="W495" i="7"/>
  <c r="AD495" i="7" s="1"/>
  <c r="V495" i="7"/>
  <c r="U495" i="7"/>
  <c r="AF495" i="7" s="1"/>
  <c r="S495" i="7"/>
  <c r="R495" i="7"/>
  <c r="Q495" i="7"/>
  <c r="O495" i="7"/>
  <c r="N495" i="7"/>
  <c r="M495" i="7"/>
  <c r="L495" i="7"/>
  <c r="AJ495" i="7" s="1"/>
  <c r="K495" i="7"/>
  <c r="AL494" i="7"/>
  <c r="AK494" i="7"/>
  <c r="AI494" i="7"/>
  <c r="AH494" i="7"/>
  <c r="AE494" i="7"/>
  <c r="AC494" i="7"/>
  <c r="Z494" i="7"/>
  <c r="AA494" i="7" s="1"/>
  <c r="AG494" i="7" s="1"/>
  <c r="W494" i="7"/>
  <c r="AD494" i="7" s="1"/>
  <c r="V494" i="7"/>
  <c r="U494" i="7"/>
  <c r="AF494" i="7" s="1"/>
  <c r="S494" i="7"/>
  <c r="R494" i="7"/>
  <c r="Q494" i="7"/>
  <c r="O494" i="7"/>
  <c r="N494" i="7"/>
  <c r="M494" i="7"/>
  <c r="L494" i="7"/>
  <c r="AJ494" i="7" s="1"/>
  <c r="K494" i="7"/>
  <c r="AL493" i="7"/>
  <c r="AK493" i="7"/>
  <c r="AI493" i="7"/>
  <c r="AH493" i="7"/>
  <c r="AE493" i="7"/>
  <c r="AC493" i="7"/>
  <c r="Z493" i="7"/>
  <c r="AA493" i="7" s="1"/>
  <c r="AG493" i="7" s="1"/>
  <c r="W493" i="7"/>
  <c r="AD493" i="7" s="1"/>
  <c r="V493" i="7"/>
  <c r="U493" i="7"/>
  <c r="AF493" i="7" s="1"/>
  <c r="S493" i="7"/>
  <c r="R493" i="7"/>
  <c r="Q493" i="7"/>
  <c r="O493" i="7"/>
  <c r="N493" i="7"/>
  <c r="M493" i="7"/>
  <c r="L493" i="7"/>
  <c r="AJ493" i="7" s="1"/>
  <c r="K493" i="7"/>
  <c r="AL492" i="7"/>
  <c r="AK492" i="7"/>
  <c r="AI492" i="7"/>
  <c r="AH492" i="7"/>
  <c r="AE492" i="7"/>
  <c r="AC492" i="7"/>
  <c r="Z492" i="7"/>
  <c r="AA492" i="7" s="1"/>
  <c r="AG492" i="7" s="1"/>
  <c r="W492" i="7"/>
  <c r="AD492" i="7" s="1"/>
  <c r="V492" i="7"/>
  <c r="U492" i="7"/>
  <c r="AF492" i="7" s="1"/>
  <c r="S492" i="7"/>
  <c r="R492" i="7"/>
  <c r="Q492" i="7"/>
  <c r="O492" i="7"/>
  <c r="N492" i="7"/>
  <c r="M492" i="7"/>
  <c r="L492" i="7"/>
  <c r="AJ492" i="7" s="1"/>
  <c r="K492" i="7"/>
  <c r="AL491" i="7"/>
  <c r="AK491" i="7"/>
  <c r="AI491" i="7"/>
  <c r="AH491" i="7"/>
  <c r="AE491" i="7"/>
  <c r="AC491" i="7"/>
  <c r="Z491" i="7"/>
  <c r="AA491" i="7" s="1"/>
  <c r="AG491" i="7" s="1"/>
  <c r="W491" i="7"/>
  <c r="AD491" i="7" s="1"/>
  <c r="V491" i="7"/>
  <c r="U491" i="7"/>
  <c r="AF491" i="7" s="1"/>
  <c r="S491" i="7"/>
  <c r="R491" i="7"/>
  <c r="Q491" i="7"/>
  <c r="O491" i="7"/>
  <c r="N491" i="7"/>
  <c r="M491" i="7"/>
  <c r="L491" i="7"/>
  <c r="AJ491" i="7" s="1"/>
  <c r="K491" i="7"/>
  <c r="AL490" i="7"/>
  <c r="AK490" i="7"/>
  <c r="AI490" i="7"/>
  <c r="AH490" i="7"/>
  <c r="AE490" i="7"/>
  <c r="AC490" i="7"/>
  <c r="Z490" i="7"/>
  <c r="AA490" i="7" s="1"/>
  <c r="AG490" i="7" s="1"/>
  <c r="W490" i="7"/>
  <c r="AD490" i="7" s="1"/>
  <c r="V490" i="7"/>
  <c r="U490" i="7"/>
  <c r="AF490" i="7" s="1"/>
  <c r="S490" i="7"/>
  <c r="R490" i="7"/>
  <c r="Q490" i="7"/>
  <c r="O490" i="7"/>
  <c r="N490" i="7"/>
  <c r="M490" i="7"/>
  <c r="L490" i="7"/>
  <c r="AJ490" i="7" s="1"/>
  <c r="K490" i="7"/>
  <c r="AL489" i="7"/>
  <c r="AK489" i="7"/>
  <c r="AI489" i="7"/>
  <c r="AH489" i="7"/>
  <c r="AE489" i="7"/>
  <c r="AC489" i="7"/>
  <c r="Z489" i="7"/>
  <c r="AA489" i="7" s="1"/>
  <c r="AG489" i="7" s="1"/>
  <c r="W489" i="7"/>
  <c r="AD489" i="7" s="1"/>
  <c r="V489" i="7"/>
  <c r="U489" i="7"/>
  <c r="AF489" i="7" s="1"/>
  <c r="S489" i="7"/>
  <c r="R489" i="7"/>
  <c r="Q489" i="7"/>
  <c r="O489" i="7"/>
  <c r="N489" i="7"/>
  <c r="M489" i="7"/>
  <c r="L489" i="7"/>
  <c r="AJ489" i="7" s="1"/>
  <c r="K489" i="7"/>
  <c r="AL488" i="7"/>
  <c r="AK488" i="7"/>
  <c r="AI488" i="7"/>
  <c r="AH488" i="7"/>
  <c r="AE488" i="7"/>
  <c r="AC488" i="7"/>
  <c r="Z488" i="7"/>
  <c r="AA488" i="7" s="1"/>
  <c r="AG488" i="7" s="1"/>
  <c r="W488" i="7"/>
  <c r="AD488" i="7" s="1"/>
  <c r="V488" i="7"/>
  <c r="U488" i="7"/>
  <c r="AF488" i="7" s="1"/>
  <c r="S488" i="7"/>
  <c r="R488" i="7"/>
  <c r="Q488" i="7"/>
  <c r="O488" i="7"/>
  <c r="N488" i="7"/>
  <c r="M488" i="7"/>
  <c r="L488" i="7"/>
  <c r="AJ488" i="7" s="1"/>
  <c r="K488" i="7"/>
  <c r="AL487" i="7"/>
  <c r="AK487" i="7"/>
  <c r="AI487" i="7"/>
  <c r="AH487" i="7"/>
  <c r="AE487" i="7"/>
  <c r="AC487" i="7"/>
  <c r="Z487" i="7"/>
  <c r="AA487" i="7" s="1"/>
  <c r="AG487" i="7" s="1"/>
  <c r="W487" i="7"/>
  <c r="AD487" i="7" s="1"/>
  <c r="V487" i="7"/>
  <c r="U487" i="7"/>
  <c r="AF487" i="7" s="1"/>
  <c r="S487" i="7"/>
  <c r="R487" i="7"/>
  <c r="Q487" i="7"/>
  <c r="O487" i="7"/>
  <c r="N487" i="7"/>
  <c r="M487" i="7"/>
  <c r="L487" i="7"/>
  <c r="AJ487" i="7" s="1"/>
  <c r="K487" i="7"/>
  <c r="AL486" i="7"/>
  <c r="AK486" i="7"/>
  <c r="AI486" i="7"/>
  <c r="AH486" i="7"/>
  <c r="AE486" i="7"/>
  <c r="AC486" i="7"/>
  <c r="Z486" i="7"/>
  <c r="AA486" i="7" s="1"/>
  <c r="AG486" i="7" s="1"/>
  <c r="W486" i="7"/>
  <c r="AD486" i="7" s="1"/>
  <c r="V486" i="7"/>
  <c r="U486" i="7"/>
  <c r="AF486" i="7" s="1"/>
  <c r="S486" i="7"/>
  <c r="R486" i="7"/>
  <c r="Q486" i="7"/>
  <c r="O486" i="7"/>
  <c r="N486" i="7"/>
  <c r="M486" i="7"/>
  <c r="L486" i="7"/>
  <c r="AJ486" i="7" s="1"/>
  <c r="K486" i="7"/>
  <c r="AL485" i="7"/>
  <c r="AK485" i="7"/>
  <c r="AI485" i="7"/>
  <c r="AH485" i="7"/>
  <c r="AE485" i="7"/>
  <c r="AC485" i="7"/>
  <c r="Z485" i="7"/>
  <c r="AA485" i="7" s="1"/>
  <c r="AG485" i="7" s="1"/>
  <c r="W485" i="7"/>
  <c r="AD485" i="7" s="1"/>
  <c r="V485" i="7"/>
  <c r="U485" i="7"/>
  <c r="AF485" i="7" s="1"/>
  <c r="S485" i="7"/>
  <c r="R485" i="7"/>
  <c r="Q485" i="7"/>
  <c r="O485" i="7"/>
  <c r="N485" i="7"/>
  <c r="M485" i="7"/>
  <c r="L485" i="7"/>
  <c r="AJ485" i="7" s="1"/>
  <c r="K485" i="7"/>
  <c r="AL484" i="7"/>
  <c r="AK484" i="7"/>
  <c r="AI484" i="7"/>
  <c r="AH484" i="7"/>
  <c r="AE484" i="7"/>
  <c r="AC484" i="7"/>
  <c r="Z484" i="7"/>
  <c r="AA484" i="7" s="1"/>
  <c r="AG484" i="7" s="1"/>
  <c r="W484" i="7"/>
  <c r="AD484" i="7" s="1"/>
  <c r="V484" i="7"/>
  <c r="U484" i="7"/>
  <c r="AF484" i="7" s="1"/>
  <c r="S484" i="7"/>
  <c r="R484" i="7"/>
  <c r="Q484" i="7"/>
  <c r="O484" i="7"/>
  <c r="N484" i="7"/>
  <c r="M484" i="7"/>
  <c r="L484" i="7"/>
  <c r="AJ484" i="7" s="1"/>
  <c r="K484" i="7"/>
  <c r="AL483" i="7"/>
  <c r="AK483" i="7"/>
  <c r="AI483" i="7"/>
  <c r="AH483" i="7"/>
  <c r="AE483" i="7"/>
  <c r="AC483" i="7"/>
  <c r="Z483" i="7"/>
  <c r="AA483" i="7" s="1"/>
  <c r="AG483" i="7" s="1"/>
  <c r="W483" i="7"/>
  <c r="AD483" i="7" s="1"/>
  <c r="V483" i="7"/>
  <c r="U483" i="7"/>
  <c r="AF483" i="7" s="1"/>
  <c r="S483" i="7"/>
  <c r="R483" i="7"/>
  <c r="Q483" i="7"/>
  <c r="O483" i="7"/>
  <c r="N483" i="7"/>
  <c r="M483" i="7"/>
  <c r="L483" i="7"/>
  <c r="AJ483" i="7" s="1"/>
  <c r="K483" i="7"/>
  <c r="AL482" i="7"/>
  <c r="AK482" i="7"/>
  <c r="AI482" i="7"/>
  <c r="AH482" i="7"/>
  <c r="AE482" i="7"/>
  <c r="AC482" i="7"/>
  <c r="Z482" i="7"/>
  <c r="AA482" i="7" s="1"/>
  <c r="AG482" i="7" s="1"/>
  <c r="W482" i="7"/>
  <c r="AD482" i="7" s="1"/>
  <c r="V482" i="7"/>
  <c r="U482" i="7"/>
  <c r="AF482" i="7" s="1"/>
  <c r="S482" i="7"/>
  <c r="R482" i="7"/>
  <c r="Q482" i="7"/>
  <c r="O482" i="7"/>
  <c r="N482" i="7"/>
  <c r="M482" i="7"/>
  <c r="L482" i="7"/>
  <c r="AJ482" i="7" s="1"/>
  <c r="K482" i="7"/>
  <c r="AL481" i="7"/>
  <c r="AK481" i="7"/>
  <c r="AI481" i="7"/>
  <c r="AH481" i="7"/>
  <c r="AE481" i="7"/>
  <c r="AC481" i="7"/>
  <c r="Z481" i="7"/>
  <c r="AA481" i="7" s="1"/>
  <c r="AG481" i="7" s="1"/>
  <c r="W481" i="7"/>
  <c r="AD481" i="7" s="1"/>
  <c r="V481" i="7"/>
  <c r="U481" i="7"/>
  <c r="AF481" i="7" s="1"/>
  <c r="S481" i="7"/>
  <c r="R481" i="7"/>
  <c r="Q481" i="7"/>
  <c r="O481" i="7"/>
  <c r="N481" i="7"/>
  <c r="M481" i="7"/>
  <c r="L481" i="7"/>
  <c r="AJ481" i="7" s="1"/>
  <c r="K481" i="7"/>
  <c r="AL480" i="7"/>
  <c r="AK480" i="7"/>
  <c r="AI480" i="7"/>
  <c r="AH480" i="7"/>
  <c r="AE480" i="7"/>
  <c r="AC480" i="7"/>
  <c r="Z480" i="7"/>
  <c r="AA480" i="7" s="1"/>
  <c r="AG480" i="7" s="1"/>
  <c r="W480" i="7"/>
  <c r="AD480" i="7" s="1"/>
  <c r="V480" i="7"/>
  <c r="U480" i="7"/>
  <c r="AF480" i="7" s="1"/>
  <c r="S480" i="7"/>
  <c r="R480" i="7"/>
  <c r="Q480" i="7"/>
  <c r="O480" i="7"/>
  <c r="N480" i="7"/>
  <c r="M480" i="7"/>
  <c r="L480" i="7"/>
  <c r="AJ480" i="7" s="1"/>
  <c r="K480" i="7"/>
  <c r="AL479" i="7"/>
  <c r="AK479" i="7"/>
  <c r="AI479" i="7"/>
  <c r="AH479" i="7"/>
  <c r="AE479" i="7"/>
  <c r="AC479" i="7"/>
  <c r="Z479" i="7"/>
  <c r="AA479" i="7" s="1"/>
  <c r="AG479" i="7" s="1"/>
  <c r="W479" i="7"/>
  <c r="AD479" i="7" s="1"/>
  <c r="V479" i="7"/>
  <c r="U479" i="7"/>
  <c r="AF479" i="7" s="1"/>
  <c r="S479" i="7"/>
  <c r="R479" i="7"/>
  <c r="Q479" i="7"/>
  <c r="O479" i="7"/>
  <c r="N479" i="7"/>
  <c r="M479" i="7"/>
  <c r="L479" i="7"/>
  <c r="AJ479" i="7" s="1"/>
  <c r="K479" i="7"/>
  <c r="AL478" i="7"/>
  <c r="AK478" i="7"/>
  <c r="AI478" i="7"/>
  <c r="AH478" i="7"/>
  <c r="AE478" i="7"/>
  <c r="AC478" i="7"/>
  <c r="Z478" i="7"/>
  <c r="AA478" i="7" s="1"/>
  <c r="AG478" i="7" s="1"/>
  <c r="W478" i="7"/>
  <c r="AD478" i="7" s="1"/>
  <c r="V478" i="7"/>
  <c r="U478" i="7"/>
  <c r="AF478" i="7" s="1"/>
  <c r="S478" i="7"/>
  <c r="R478" i="7"/>
  <c r="Q478" i="7"/>
  <c r="O478" i="7"/>
  <c r="N478" i="7"/>
  <c r="M478" i="7"/>
  <c r="L478" i="7"/>
  <c r="AJ478" i="7" s="1"/>
  <c r="K478" i="7"/>
  <c r="AL477" i="7"/>
  <c r="AK477" i="7"/>
  <c r="AI477" i="7"/>
  <c r="AH477" i="7"/>
  <c r="AE477" i="7"/>
  <c r="AC477" i="7"/>
  <c r="Z477" i="7"/>
  <c r="AA477" i="7" s="1"/>
  <c r="AG477" i="7" s="1"/>
  <c r="W477" i="7"/>
  <c r="AD477" i="7" s="1"/>
  <c r="V477" i="7"/>
  <c r="U477" i="7"/>
  <c r="AF477" i="7" s="1"/>
  <c r="S477" i="7"/>
  <c r="R477" i="7"/>
  <c r="Q477" i="7"/>
  <c r="O477" i="7"/>
  <c r="N477" i="7"/>
  <c r="M477" i="7"/>
  <c r="L477" i="7"/>
  <c r="AJ477" i="7" s="1"/>
  <c r="K477" i="7"/>
  <c r="AL476" i="7"/>
  <c r="AK476" i="7"/>
  <c r="AI476" i="7"/>
  <c r="AH476" i="7"/>
  <c r="AE476" i="7"/>
  <c r="AC476" i="7"/>
  <c r="Z476" i="7"/>
  <c r="AA476" i="7" s="1"/>
  <c r="AG476" i="7" s="1"/>
  <c r="W476" i="7"/>
  <c r="AD476" i="7" s="1"/>
  <c r="V476" i="7"/>
  <c r="U476" i="7"/>
  <c r="AF476" i="7" s="1"/>
  <c r="S476" i="7"/>
  <c r="R476" i="7"/>
  <c r="Q476" i="7"/>
  <c r="O476" i="7"/>
  <c r="N476" i="7"/>
  <c r="M476" i="7"/>
  <c r="L476" i="7"/>
  <c r="AJ476" i="7" s="1"/>
  <c r="K476" i="7"/>
  <c r="AL475" i="7"/>
  <c r="AK475" i="7"/>
  <c r="AI475" i="7"/>
  <c r="AH475" i="7"/>
  <c r="AE475" i="7"/>
  <c r="AC475" i="7"/>
  <c r="Z475" i="7"/>
  <c r="AA475" i="7" s="1"/>
  <c r="AG475" i="7" s="1"/>
  <c r="W475" i="7"/>
  <c r="AD475" i="7" s="1"/>
  <c r="V475" i="7"/>
  <c r="U475" i="7"/>
  <c r="AF475" i="7" s="1"/>
  <c r="S475" i="7"/>
  <c r="R475" i="7"/>
  <c r="Q475" i="7"/>
  <c r="O475" i="7"/>
  <c r="N475" i="7"/>
  <c r="M475" i="7"/>
  <c r="L475" i="7"/>
  <c r="AJ475" i="7" s="1"/>
  <c r="K475" i="7"/>
  <c r="AL474" i="7"/>
  <c r="AK474" i="7"/>
  <c r="AI474" i="7"/>
  <c r="AH474" i="7"/>
  <c r="AE474" i="7"/>
  <c r="AC474" i="7"/>
  <c r="Z474" i="7"/>
  <c r="AA474" i="7" s="1"/>
  <c r="AG474" i="7" s="1"/>
  <c r="W474" i="7"/>
  <c r="AD474" i="7" s="1"/>
  <c r="V474" i="7"/>
  <c r="U474" i="7"/>
  <c r="AF474" i="7" s="1"/>
  <c r="S474" i="7"/>
  <c r="R474" i="7"/>
  <c r="Q474" i="7"/>
  <c r="O474" i="7"/>
  <c r="N474" i="7"/>
  <c r="M474" i="7"/>
  <c r="L474" i="7"/>
  <c r="AJ474" i="7" s="1"/>
  <c r="K474" i="7"/>
  <c r="AL473" i="7"/>
  <c r="AK473" i="7"/>
  <c r="AI473" i="7"/>
  <c r="AH473" i="7"/>
  <c r="AE473" i="7"/>
  <c r="AC473" i="7"/>
  <c r="Z473" i="7"/>
  <c r="AA473" i="7" s="1"/>
  <c r="AG473" i="7" s="1"/>
  <c r="W473" i="7"/>
  <c r="AD473" i="7" s="1"/>
  <c r="V473" i="7"/>
  <c r="U473" i="7"/>
  <c r="AF473" i="7" s="1"/>
  <c r="S473" i="7"/>
  <c r="R473" i="7"/>
  <c r="Q473" i="7"/>
  <c r="O473" i="7"/>
  <c r="N473" i="7"/>
  <c r="M473" i="7"/>
  <c r="L473" i="7"/>
  <c r="AJ473" i="7" s="1"/>
  <c r="K473" i="7"/>
  <c r="AL472" i="7"/>
  <c r="AK472" i="7"/>
  <c r="AI472" i="7"/>
  <c r="AH472" i="7"/>
  <c r="AE472" i="7"/>
  <c r="AC472" i="7"/>
  <c r="Z472" i="7"/>
  <c r="AA472" i="7" s="1"/>
  <c r="AG472" i="7" s="1"/>
  <c r="W472" i="7"/>
  <c r="AD472" i="7" s="1"/>
  <c r="V472" i="7"/>
  <c r="U472" i="7"/>
  <c r="AF472" i="7" s="1"/>
  <c r="S472" i="7"/>
  <c r="R472" i="7"/>
  <c r="Q472" i="7"/>
  <c r="O472" i="7"/>
  <c r="N472" i="7"/>
  <c r="M472" i="7"/>
  <c r="L472" i="7"/>
  <c r="AJ472" i="7" s="1"/>
  <c r="K472" i="7"/>
  <c r="AL471" i="7"/>
  <c r="AK471" i="7"/>
  <c r="AI471" i="7"/>
  <c r="AH471" i="7"/>
  <c r="AE471" i="7"/>
  <c r="AC471" i="7"/>
  <c r="Z471" i="7"/>
  <c r="AA471" i="7" s="1"/>
  <c r="AG471" i="7" s="1"/>
  <c r="W471" i="7"/>
  <c r="AD471" i="7" s="1"/>
  <c r="V471" i="7"/>
  <c r="U471" i="7"/>
  <c r="AF471" i="7" s="1"/>
  <c r="S471" i="7"/>
  <c r="R471" i="7"/>
  <c r="Q471" i="7"/>
  <c r="O471" i="7"/>
  <c r="N471" i="7"/>
  <c r="M471" i="7"/>
  <c r="L471" i="7"/>
  <c r="AJ471" i="7" s="1"/>
  <c r="K471" i="7"/>
  <c r="AL470" i="7"/>
  <c r="AK470" i="7"/>
  <c r="AI470" i="7"/>
  <c r="AH470" i="7"/>
  <c r="AE470" i="7"/>
  <c r="AC470" i="7"/>
  <c r="Z470" i="7"/>
  <c r="AA470" i="7" s="1"/>
  <c r="AG470" i="7" s="1"/>
  <c r="W470" i="7"/>
  <c r="AD470" i="7" s="1"/>
  <c r="V470" i="7"/>
  <c r="U470" i="7"/>
  <c r="AF470" i="7" s="1"/>
  <c r="S470" i="7"/>
  <c r="R470" i="7"/>
  <c r="Q470" i="7"/>
  <c r="O470" i="7"/>
  <c r="N470" i="7"/>
  <c r="M470" i="7"/>
  <c r="L470" i="7"/>
  <c r="AJ470" i="7" s="1"/>
  <c r="K470" i="7"/>
  <c r="AL469" i="7"/>
  <c r="AK469" i="7"/>
  <c r="AI469" i="7"/>
  <c r="AH469" i="7"/>
  <c r="AE469" i="7"/>
  <c r="AC469" i="7"/>
  <c r="Z469" i="7"/>
  <c r="AA469" i="7" s="1"/>
  <c r="AG469" i="7" s="1"/>
  <c r="W469" i="7"/>
  <c r="AD469" i="7" s="1"/>
  <c r="V469" i="7"/>
  <c r="U469" i="7"/>
  <c r="AF469" i="7" s="1"/>
  <c r="S469" i="7"/>
  <c r="R469" i="7"/>
  <c r="Q469" i="7"/>
  <c r="O469" i="7"/>
  <c r="N469" i="7"/>
  <c r="M469" i="7"/>
  <c r="L469" i="7"/>
  <c r="AJ469" i="7" s="1"/>
  <c r="K469" i="7"/>
  <c r="AL468" i="7"/>
  <c r="AK468" i="7"/>
  <c r="AI468" i="7"/>
  <c r="AH468" i="7"/>
  <c r="AE468" i="7"/>
  <c r="AC468" i="7"/>
  <c r="Z468" i="7"/>
  <c r="AA468" i="7" s="1"/>
  <c r="AG468" i="7" s="1"/>
  <c r="W468" i="7"/>
  <c r="AD468" i="7" s="1"/>
  <c r="V468" i="7"/>
  <c r="U468" i="7"/>
  <c r="AF468" i="7" s="1"/>
  <c r="S468" i="7"/>
  <c r="R468" i="7"/>
  <c r="Q468" i="7"/>
  <c r="O468" i="7"/>
  <c r="N468" i="7"/>
  <c r="M468" i="7"/>
  <c r="L468" i="7"/>
  <c r="AJ468" i="7" s="1"/>
  <c r="K468" i="7"/>
  <c r="AL467" i="7"/>
  <c r="AK467" i="7"/>
  <c r="AI467" i="7"/>
  <c r="AH467" i="7"/>
  <c r="AE467" i="7"/>
  <c r="AC467" i="7"/>
  <c r="Z467" i="7"/>
  <c r="AA467" i="7" s="1"/>
  <c r="AG467" i="7" s="1"/>
  <c r="W467" i="7"/>
  <c r="AD467" i="7" s="1"/>
  <c r="V467" i="7"/>
  <c r="U467" i="7"/>
  <c r="AF467" i="7" s="1"/>
  <c r="S467" i="7"/>
  <c r="R467" i="7"/>
  <c r="Q467" i="7"/>
  <c r="O467" i="7"/>
  <c r="N467" i="7"/>
  <c r="M467" i="7"/>
  <c r="L467" i="7"/>
  <c r="AJ467" i="7" s="1"/>
  <c r="K467" i="7"/>
  <c r="AL466" i="7"/>
  <c r="AK466" i="7"/>
  <c r="AI466" i="7"/>
  <c r="AH466" i="7"/>
  <c r="AE466" i="7"/>
  <c r="AC466" i="7"/>
  <c r="Z466" i="7"/>
  <c r="AA466" i="7" s="1"/>
  <c r="AG466" i="7" s="1"/>
  <c r="W466" i="7"/>
  <c r="AD466" i="7" s="1"/>
  <c r="V466" i="7"/>
  <c r="U466" i="7"/>
  <c r="AF466" i="7" s="1"/>
  <c r="S466" i="7"/>
  <c r="R466" i="7"/>
  <c r="Q466" i="7"/>
  <c r="O466" i="7"/>
  <c r="N466" i="7"/>
  <c r="M466" i="7"/>
  <c r="L466" i="7"/>
  <c r="AJ466" i="7" s="1"/>
  <c r="K466" i="7"/>
  <c r="AL465" i="7"/>
  <c r="AK465" i="7"/>
  <c r="AI465" i="7"/>
  <c r="AH465" i="7"/>
  <c r="AE465" i="7"/>
  <c r="AC465" i="7"/>
  <c r="Z465" i="7"/>
  <c r="AA465" i="7" s="1"/>
  <c r="AG465" i="7" s="1"/>
  <c r="W465" i="7"/>
  <c r="AD465" i="7" s="1"/>
  <c r="V465" i="7"/>
  <c r="U465" i="7"/>
  <c r="AF465" i="7" s="1"/>
  <c r="S465" i="7"/>
  <c r="R465" i="7"/>
  <c r="Q465" i="7"/>
  <c r="O465" i="7"/>
  <c r="N465" i="7"/>
  <c r="M465" i="7"/>
  <c r="L465" i="7"/>
  <c r="AJ465" i="7" s="1"/>
  <c r="K465" i="7"/>
  <c r="AL464" i="7"/>
  <c r="AK464" i="7"/>
  <c r="AI464" i="7"/>
  <c r="AH464" i="7"/>
  <c r="AE464" i="7"/>
  <c r="AC464" i="7"/>
  <c r="Z464" i="7"/>
  <c r="AA464" i="7" s="1"/>
  <c r="AG464" i="7" s="1"/>
  <c r="W464" i="7"/>
  <c r="AD464" i="7" s="1"/>
  <c r="V464" i="7"/>
  <c r="U464" i="7"/>
  <c r="AF464" i="7" s="1"/>
  <c r="S464" i="7"/>
  <c r="R464" i="7"/>
  <c r="Q464" i="7"/>
  <c r="O464" i="7"/>
  <c r="N464" i="7"/>
  <c r="M464" i="7"/>
  <c r="L464" i="7"/>
  <c r="AJ464" i="7" s="1"/>
  <c r="K464" i="7"/>
  <c r="AL463" i="7"/>
  <c r="AK463" i="7"/>
  <c r="AI463" i="7"/>
  <c r="AH463" i="7"/>
  <c r="AE463" i="7"/>
  <c r="AC463" i="7"/>
  <c r="Z463" i="7"/>
  <c r="AA463" i="7" s="1"/>
  <c r="AG463" i="7" s="1"/>
  <c r="W463" i="7"/>
  <c r="AD463" i="7" s="1"/>
  <c r="V463" i="7"/>
  <c r="U463" i="7"/>
  <c r="AF463" i="7" s="1"/>
  <c r="S463" i="7"/>
  <c r="R463" i="7"/>
  <c r="Q463" i="7"/>
  <c r="O463" i="7"/>
  <c r="N463" i="7"/>
  <c r="M463" i="7"/>
  <c r="L463" i="7"/>
  <c r="AJ463" i="7" s="1"/>
  <c r="K463" i="7"/>
  <c r="AL462" i="7"/>
  <c r="AK462" i="7"/>
  <c r="AI462" i="7"/>
  <c r="AH462" i="7"/>
  <c r="AE462" i="7"/>
  <c r="AC462" i="7"/>
  <c r="Z462" i="7"/>
  <c r="AA462" i="7" s="1"/>
  <c r="AG462" i="7" s="1"/>
  <c r="W462" i="7"/>
  <c r="AD462" i="7" s="1"/>
  <c r="V462" i="7"/>
  <c r="U462" i="7"/>
  <c r="AF462" i="7" s="1"/>
  <c r="S462" i="7"/>
  <c r="R462" i="7"/>
  <c r="Q462" i="7"/>
  <c r="O462" i="7"/>
  <c r="N462" i="7"/>
  <c r="M462" i="7"/>
  <c r="L462" i="7"/>
  <c r="AJ462" i="7" s="1"/>
  <c r="K462" i="7"/>
  <c r="AL461" i="7"/>
  <c r="AK461" i="7"/>
  <c r="AI461" i="7"/>
  <c r="AH461" i="7"/>
  <c r="AE461" i="7"/>
  <c r="AC461" i="7"/>
  <c r="Z461" i="7"/>
  <c r="AA461" i="7" s="1"/>
  <c r="AG461" i="7" s="1"/>
  <c r="W461" i="7"/>
  <c r="AD461" i="7" s="1"/>
  <c r="V461" i="7"/>
  <c r="U461" i="7"/>
  <c r="AF461" i="7" s="1"/>
  <c r="S461" i="7"/>
  <c r="R461" i="7"/>
  <c r="Q461" i="7"/>
  <c r="O461" i="7"/>
  <c r="N461" i="7"/>
  <c r="M461" i="7"/>
  <c r="L461" i="7"/>
  <c r="AJ461" i="7" s="1"/>
  <c r="K461" i="7"/>
  <c r="AL460" i="7"/>
  <c r="AK460" i="7"/>
  <c r="AI460" i="7"/>
  <c r="AH460" i="7"/>
  <c r="AE460" i="7"/>
  <c r="AC460" i="7"/>
  <c r="Z460" i="7"/>
  <c r="AA460" i="7" s="1"/>
  <c r="AG460" i="7" s="1"/>
  <c r="W460" i="7"/>
  <c r="AD460" i="7" s="1"/>
  <c r="V460" i="7"/>
  <c r="U460" i="7"/>
  <c r="AF460" i="7" s="1"/>
  <c r="S460" i="7"/>
  <c r="R460" i="7"/>
  <c r="Q460" i="7"/>
  <c r="O460" i="7"/>
  <c r="N460" i="7"/>
  <c r="M460" i="7"/>
  <c r="L460" i="7"/>
  <c r="AJ460" i="7" s="1"/>
  <c r="K460" i="7"/>
  <c r="AL459" i="7"/>
  <c r="AK459" i="7"/>
  <c r="AI459" i="7"/>
  <c r="AH459" i="7"/>
  <c r="AE459" i="7"/>
  <c r="AC459" i="7"/>
  <c r="Z459" i="7"/>
  <c r="AA459" i="7" s="1"/>
  <c r="AG459" i="7" s="1"/>
  <c r="W459" i="7"/>
  <c r="AD459" i="7" s="1"/>
  <c r="V459" i="7"/>
  <c r="U459" i="7"/>
  <c r="AF459" i="7" s="1"/>
  <c r="S459" i="7"/>
  <c r="R459" i="7"/>
  <c r="Q459" i="7"/>
  <c r="O459" i="7"/>
  <c r="N459" i="7"/>
  <c r="M459" i="7"/>
  <c r="L459" i="7"/>
  <c r="AJ459" i="7" s="1"/>
  <c r="K459" i="7"/>
  <c r="AL458" i="7"/>
  <c r="AK458" i="7"/>
  <c r="AI458" i="7"/>
  <c r="AH458" i="7"/>
  <c r="AE458" i="7"/>
  <c r="AC458" i="7"/>
  <c r="Z458" i="7"/>
  <c r="AA458" i="7" s="1"/>
  <c r="AG458" i="7" s="1"/>
  <c r="W458" i="7"/>
  <c r="AD458" i="7" s="1"/>
  <c r="V458" i="7"/>
  <c r="U458" i="7"/>
  <c r="AF458" i="7" s="1"/>
  <c r="S458" i="7"/>
  <c r="R458" i="7"/>
  <c r="Q458" i="7"/>
  <c r="O458" i="7"/>
  <c r="N458" i="7"/>
  <c r="M458" i="7"/>
  <c r="L458" i="7"/>
  <c r="AJ458" i="7" s="1"/>
  <c r="K458" i="7"/>
  <c r="AL457" i="7"/>
  <c r="AK457" i="7"/>
  <c r="AI457" i="7"/>
  <c r="AH457" i="7"/>
  <c r="AE457" i="7"/>
  <c r="AC457" i="7"/>
  <c r="Z457" i="7"/>
  <c r="AA457" i="7" s="1"/>
  <c r="AG457" i="7" s="1"/>
  <c r="W457" i="7"/>
  <c r="AD457" i="7" s="1"/>
  <c r="V457" i="7"/>
  <c r="U457" i="7"/>
  <c r="AF457" i="7" s="1"/>
  <c r="S457" i="7"/>
  <c r="R457" i="7"/>
  <c r="Q457" i="7"/>
  <c r="O457" i="7"/>
  <c r="N457" i="7"/>
  <c r="M457" i="7"/>
  <c r="L457" i="7"/>
  <c r="AJ457" i="7" s="1"/>
  <c r="K457" i="7"/>
  <c r="AL456" i="7"/>
  <c r="AK456" i="7"/>
  <c r="AI456" i="7"/>
  <c r="AH456" i="7"/>
  <c r="AE456" i="7"/>
  <c r="AC456" i="7"/>
  <c r="Z456" i="7"/>
  <c r="AA456" i="7" s="1"/>
  <c r="AG456" i="7" s="1"/>
  <c r="W456" i="7"/>
  <c r="AD456" i="7" s="1"/>
  <c r="V456" i="7"/>
  <c r="U456" i="7"/>
  <c r="AF456" i="7" s="1"/>
  <c r="S456" i="7"/>
  <c r="R456" i="7"/>
  <c r="Q456" i="7"/>
  <c r="O456" i="7"/>
  <c r="N456" i="7"/>
  <c r="M456" i="7"/>
  <c r="L456" i="7"/>
  <c r="AJ456" i="7" s="1"/>
  <c r="K456" i="7"/>
  <c r="AL455" i="7"/>
  <c r="AK455" i="7"/>
  <c r="AI455" i="7"/>
  <c r="AH455" i="7"/>
  <c r="AE455" i="7"/>
  <c r="AC455" i="7"/>
  <c r="Z455" i="7"/>
  <c r="AA455" i="7" s="1"/>
  <c r="AG455" i="7" s="1"/>
  <c r="W455" i="7"/>
  <c r="AD455" i="7" s="1"/>
  <c r="V455" i="7"/>
  <c r="U455" i="7"/>
  <c r="AF455" i="7" s="1"/>
  <c r="S455" i="7"/>
  <c r="R455" i="7"/>
  <c r="Q455" i="7"/>
  <c r="O455" i="7"/>
  <c r="N455" i="7"/>
  <c r="M455" i="7"/>
  <c r="L455" i="7"/>
  <c r="AJ455" i="7" s="1"/>
  <c r="K455" i="7"/>
  <c r="AL454" i="7"/>
  <c r="AK454" i="7"/>
  <c r="AI454" i="7"/>
  <c r="AH454" i="7"/>
  <c r="AE454" i="7"/>
  <c r="AC454" i="7"/>
  <c r="Z454" i="7"/>
  <c r="AA454" i="7" s="1"/>
  <c r="AG454" i="7" s="1"/>
  <c r="W454" i="7"/>
  <c r="AD454" i="7" s="1"/>
  <c r="V454" i="7"/>
  <c r="U454" i="7"/>
  <c r="AF454" i="7" s="1"/>
  <c r="S454" i="7"/>
  <c r="R454" i="7"/>
  <c r="Q454" i="7"/>
  <c r="O454" i="7"/>
  <c r="N454" i="7"/>
  <c r="M454" i="7"/>
  <c r="L454" i="7"/>
  <c r="AJ454" i="7" s="1"/>
  <c r="K454" i="7"/>
  <c r="AL453" i="7"/>
  <c r="AK453" i="7"/>
  <c r="AI453" i="7"/>
  <c r="AH453" i="7"/>
  <c r="AE453" i="7"/>
  <c r="AC453" i="7"/>
  <c r="Z453" i="7"/>
  <c r="AA453" i="7" s="1"/>
  <c r="AG453" i="7" s="1"/>
  <c r="W453" i="7"/>
  <c r="AD453" i="7" s="1"/>
  <c r="V453" i="7"/>
  <c r="U453" i="7"/>
  <c r="AF453" i="7" s="1"/>
  <c r="S453" i="7"/>
  <c r="R453" i="7"/>
  <c r="Q453" i="7"/>
  <c r="O453" i="7"/>
  <c r="N453" i="7"/>
  <c r="M453" i="7"/>
  <c r="L453" i="7"/>
  <c r="AJ453" i="7" s="1"/>
  <c r="K453" i="7"/>
  <c r="AL452" i="7"/>
  <c r="AK452" i="7"/>
  <c r="AI452" i="7"/>
  <c r="AH452" i="7"/>
  <c r="AE452" i="7"/>
  <c r="AC452" i="7"/>
  <c r="Z452" i="7"/>
  <c r="AA452" i="7" s="1"/>
  <c r="AG452" i="7" s="1"/>
  <c r="W452" i="7"/>
  <c r="AD452" i="7" s="1"/>
  <c r="V452" i="7"/>
  <c r="U452" i="7"/>
  <c r="AF452" i="7" s="1"/>
  <c r="S452" i="7"/>
  <c r="R452" i="7"/>
  <c r="Q452" i="7"/>
  <c r="O452" i="7"/>
  <c r="N452" i="7"/>
  <c r="M452" i="7"/>
  <c r="L452" i="7"/>
  <c r="AJ452" i="7" s="1"/>
  <c r="K452" i="7"/>
  <c r="AL451" i="7"/>
  <c r="AK451" i="7"/>
  <c r="AI451" i="7"/>
  <c r="AH451" i="7"/>
  <c r="AE451" i="7"/>
  <c r="AC451" i="7"/>
  <c r="Z451" i="7"/>
  <c r="AA451" i="7" s="1"/>
  <c r="AG451" i="7" s="1"/>
  <c r="W451" i="7"/>
  <c r="AD451" i="7" s="1"/>
  <c r="V451" i="7"/>
  <c r="U451" i="7"/>
  <c r="AF451" i="7" s="1"/>
  <c r="S451" i="7"/>
  <c r="R451" i="7"/>
  <c r="Q451" i="7"/>
  <c r="O451" i="7"/>
  <c r="N451" i="7"/>
  <c r="M451" i="7"/>
  <c r="L451" i="7"/>
  <c r="AJ451" i="7" s="1"/>
  <c r="K451" i="7"/>
  <c r="AL450" i="7"/>
  <c r="AK450" i="7"/>
  <c r="AI450" i="7"/>
  <c r="AH450" i="7"/>
  <c r="AE450" i="7"/>
  <c r="AC450" i="7"/>
  <c r="Z450" i="7"/>
  <c r="AA450" i="7" s="1"/>
  <c r="AG450" i="7" s="1"/>
  <c r="W450" i="7"/>
  <c r="AD450" i="7" s="1"/>
  <c r="V450" i="7"/>
  <c r="U450" i="7"/>
  <c r="AF450" i="7" s="1"/>
  <c r="S450" i="7"/>
  <c r="R450" i="7"/>
  <c r="Q450" i="7"/>
  <c r="O450" i="7"/>
  <c r="N450" i="7"/>
  <c r="M450" i="7"/>
  <c r="L450" i="7"/>
  <c r="AJ450" i="7" s="1"/>
  <c r="K450" i="7"/>
  <c r="AL449" i="7"/>
  <c r="AK449" i="7"/>
  <c r="AI449" i="7"/>
  <c r="AH449" i="7"/>
  <c r="AE449" i="7"/>
  <c r="AC449" i="7"/>
  <c r="Z449" i="7"/>
  <c r="AA449" i="7" s="1"/>
  <c r="AG449" i="7" s="1"/>
  <c r="W449" i="7"/>
  <c r="AD449" i="7" s="1"/>
  <c r="V449" i="7"/>
  <c r="U449" i="7"/>
  <c r="AF449" i="7" s="1"/>
  <c r="S449" i="7"/>
  <c r="R449" i="7"/>
  <c r="Q449" i="7"/>
  <c r="O449" i="7"/>
  <c r="N449" i="7"/>
  <c r="M449" i="7"/>
  <c r="L449" i="7"/>
  <c r="AJ449" i="7" s="1"/>
  <c r="K449" i="7"/>
  <c r="AL448" i="7"/>
  <c r="AK448" i="7"/>
  <c r="AI448" i="7"/>
  <c r="AH448" i="7"/>
  <c r="AE448" i="7"/>
  <c r="AC448" i="7"/>
  <c r="Z448" i="7"/>
  <c r="AA448" i="7" s="1"/>
  <c r="AG448" i="7" s="1"/>
  <c r="W448" i="7"/>
  <c r="AD448" i="7" s="1"/>
  <c r="V448" i="7"/>
  <c r="U448" i="7"/>
  <c r="AF448" i="7" s="1"/>
  <c r="S448" i="7"/>
  <c r="R448" i="7"/>
  <c r="Q448" i="7"/>
  <c r="O448" i="7"/>
  <c r="N448" i="7"/>
  <c r="M448" i="7"/>
  <c r="L448" i="7"/>
  <c r="AJ448" i="7" s="1"/>
  <c r="K448" i="7"/>
  <c r="AL447" i="7"/>
  <c r="AK447" i="7"/>
  <c r="AI447" i="7"/>
  <c r="AH447" i="7"/>
  <c r="AE447" i="7"/>
  <c r="AC447" i="7"/>
  <c r="Z447" i="7"/>
  <c r="AA447" i="7" s="1"/>
  <c r="AG447" i="7" s="1"/>
  <c r="W447" i="7"/>
  <c r="AD447" i="7" s="1"/>
  <c r="V447" i="7"/>
  <c r="U447" i="7"/>
  <c r="AF447" i="7" s="1"/>
  <c r="S447" i="7"/>
  <c r="R447" i="7"/>
  <c r="Q447" i="7"/>
  <c r="O447" i="7"/>
  <c r="N447" i="7"/>
  <c r="M447" i="7"/>
  <c r="L447" i="7"/>
  <c r="AJ447" i="7" s="1"/>
  <c r="K447" i="7"/>
  <c r="AL446" i="7"/>
  <c r="AK446" i="7"/>
  <c r="AI446" i="7"/>
  <c r="AH446" i="7"/>
  <c r="AE446" i="7"/>
  <c r="AC446" i="7"/>
  <c r="Z446" i="7"/>
  <c r="AA446" i="7" s="1"/>
  <c r="AG446" i="7" s="1"/>
  <c r="W446" i="7"/>
  <c r="AD446" i="7" s="1"/>
  <c r="V446" i="7"/>
  <c r="U446" i="7"/>
  <c r="AF446" i="7" s="1"/>
  <c r="S446" i="7"/>
  <c r="R446" i="7"/>
  <c r="Q446" i="7"/>
  <c r="O446" i="7"/>
  <c r="N446" i="7"/>
  <c r="M446" i="7"/>
  <c r="L446" i="7"/>
  <c r="AJ446" i="7" s="1"/>
  <c r="K446" i="7"/>
  <c r="AL445" i="7"/>
  <c r="AK445" i="7"/>
  <c r="AI445" i="7"/>
  <c r="AH445" i="7"/>
  <c r="AE445" i="7"/>
  <c r="AC445" i="7"/>
  <c r="Z445" i="7"/>
  <c r="AA445" i="7" s="1"/>
  <c r="AG445" i="7" s="1"/>
  <c r="W445" i="7"/>
  <c r="AD445" i="7" s="1"/>
  <c r="V445" i="7"/>
  <c r="U445" i="7"/>
  <c r="AF445" i="7" s="1"/>
  <c r="S445" i="7"/>
  <c r="R445" i="7"/>
  <c r="Q445" i="7"/>
  <c r="O445" i="7"/>
  <c r="N445" i="7"/>
  <c r="M445" i="7"/>
  <c r="L445" i="7"/>
  <c r="AJ445" i="7" s="1"/>
  <c r="K445" i="7"/>
  <c r="AL444" i="7"/>
  <c r="AK444" i="7"/>
  <c r="AI444" i="7"/>
  <c r="AH444" i="7"/>
  <c r="AE444" i="7"/>
  <c r="AC444" i="7"/>
  <c r="Z444" i="7"/>
  <c r="AA444" i="7" s="1"/>
  <c r="AG444" i="7" s="1"/>
  <c r="W444" i="7"/>
  <c r="AD444" i="7" s="1"/>
  <c r="V444" i="7"/>
  <c r="U444" i="7"/>
  <c r="AF444" i="7" s="1"/>
  <c r="S444" i="7"/>
  <c r="R444" i="7"/>
  <c r="Q444" i="7"/>
  <c r="O444" i="7"/>
  <c r="N444" i="7"/>
  <c r="M444" i="7"/>
  <c r="L444" i="7"/>
  <c r="AJ444" i="7" s="1"/>
  <c r="K444" i="7"/>
  <c r="AL443" i="7"/>
  <c r="AK443" i="7"/>
  <c r="AI443" i="7"/>
  <c r="AH443" i="7"/>
  <c r="AE443" i="7"/>
  <c r="AC443" i="7"/>
  <c r="Z443" i="7"/>
  <c r="AA443" i="7" s="1"/>
  <c r="AG443" i="7" s="1"/>
  <c r="W443" i="7"/>
  <c r="AD443" i="7" s="1"/>
  <c r="V443" i="7"/>
  <c r="U443" i="7"/>
  <c r="AF443" i="7" s="1"/>
  <c r="S443" i="7"/>
  <c r="R443" i="7"/>
  <c r="Q443" i="7"/>
  <c r="O443" i="7"/>
  <c r="N443" i="7"/>
  <c r="M443" i="7"/>
  <c r="L443" i="7"/>
  <c r="AJ443" i="7" s="1"/>
  <c r="K443" i="7"/>
  <c r="AL442" i="7"/>
  <c r="AK442" i="7"/>
  <c r="AI442" i="7"/>
  <c r="AH442" i="7"/>
  <c r="AE442" i="7"/>
  <c r="AC442" i="7"/>
  <c r="Z442" i="7"/>
  <c r="AA442" i="7" s="1"/>
  <c r="AG442" i="7" s="1"/>
  <c r="W442" i="7"/>
  <c r="AD442" i="7" s="1"/>
  <c r="V442" i="7"/>
  <c r="U442" i="7"/>
  <c r="AF442" i="7" s="1"/>
  <c r="S442" i="7"/>
  <c r="R442" i="7"/>
  <c r="Q442" i="7"/>
  <c r="O442" i="7"/>
  <c r="N442" i="7"/>
  <c r="M442" i="7"/>
  <c r="L442" i="7"/>
  <c r="AJ442" i="7" s="1"/>
  <c r="K442" i="7"/>
  <c r="AL441" i="7"/>
  <c r="AK441" i="7"/>
  <c r="AI441" i="7"/>
  <c r="AH441" i="7"/>
  <c r="AE441" i="7"/>
  <c r="AC441" i="7"/>
  <c r="Z441" i="7"/>
  <c r="AA441" i="7" s="1"/>
  <c r="AG441" i="7" s="1"/>
  <c r="W441" i="7"/>
  <c r="AD441" i="7" s="1"/>
  <c r="V441" i="7"/>
  <c r="U441" i="7"/>
  <c r="AF441" i="7" s="1"/>
  <c r="S441" i="7"/>
  <c r="R441" i="7"/>
  <c r="Q441" i="7"/>
  <c r="O441" i="7"/>
  <c r="N441" i="7"/>
  <c r="M441" i="7"/>
  <c r="L441" i="7"/>
  <c r="AJ441" i="7" s="1"/>
  <c r="K441" i="7"/>
  <c r="AL440" i="7"/>
  <c r="AK440" i="7"/>
  <c r="AI440" i="7"/>
  <c r="AH440" i="7"/>
  <c r="AE440" i="7"/>
  <c r="AC440" i="7"/>
  <c r="Z440" i="7"/>
  <c r="AA440" i="7" s="1"/>
  <c r="AG440" i="7" s="1"/>
  <c r="W440" i="7"/>
  <c r="AD440" i="7" s="1"/>
  <c r="V440" i="7"/>
  <c r="U440" i="7"/>
  <c r="AF440" i="7" s="1"/>
  <c r="S440" i="7"/>
  <c r="R440" i="7"/>
  <c r="Q440" i="7"/>
  <c r="O440" i="7"/>
  <c r="N440" i="7"/>
  <c r="M440" i="7"/>
  <c r="L440" i="7"/>
  <c r="AJ440" i="7" s="1"/>
  <c r="K440" i="7"/>
  <c r="AL439" i="7"/>
  <c r="AK439" i="7"/>
  <c r="AI439" i="7"/>
  <c r="AH439" i="7"/>
  <c r="AE439" i="7"/>
  <c r="AC439" i="7"/>
  <c r="Z439" i="7"/>
  <c r="AA439" i="7" s="1"/>
  <c r="AG439" i="7" s="1"/>
  <c r="W439" i="7"/>
  <c r="AD439" i="7" s="1"/>
  <c r="V439" i="7"/>
  <c r="U439" i="7"/>
  <c r="AF439" i="7" s="1"/>
  <c r="S439" i="7"/>
  <c r="R439" i="7"/>
  <c r="Q439" i="7"/>
  <c r="O439" i="7"/>
  <c r="N439" i="7"/>
  <c r="M439" i="7"/>
  <c r="L439" i="7"/>
  <c r="AJ439" i="7" s="1"/>
  <c r="K439" i="7"/>
  <c r="AL438" i="7"/>
  <c r="AK438" i="7"/>
  <c r="AI438" i="7"/>
  <c r="AH438" i="7"/>
  <c r="AE438" i="7"/>
  <c r="AC438" i="7"/>
  <c r="Z438" i="7"/>
  <c r="AA438" i="7" s="1"/>
  <c r="AG438" i="7" s="1"/>
  <c r="W438" i="7"/>
  <c r="AD438" i="7" s="1"/>
  <c r="V438" i="7"/>
  <c r="U438" i="7"/>
  <c r="AF438" i="7" s="1"/>
  <c r="S438" i="7"/>
  <c r="R438" i="7"/>
  <c r="Q438" i="7"/>
  <c r="O438" i="7"/>
  <c r="N438" i="7"/>
  <c r="M438" i="7"/>
  <c r="L438" i="7"/>
  <c r="AJ438" i="7" s="1"/>
  <c r="K438" i="7"/>
  <c r="AL437" i="7"/>
  <c r="AK437" i="7"/>
  <c r="AI437" i="7"/>
  <c r="AH437" i="7"/>
  <c r="AE437" i="7"/>
  <c r="AC437" i="7"/>
  <c r="Z437" i="7"/>
  <c r="AA437" i="7" s="1"/>
  <c r="AG437" i="7" s="1"/>
  <c r="W437" i="7"/>
  <c r="AD437" i="7" s="1"/>
  <c r="V437" i="7"/>
  <c r="U437" i="7"/>
  <c r="AF437" i="7" s="1"/>
  <c r="S437" i="7"/>
  <c r="R437" i="7"/>
  <c r="Q437" i="7"/>
  <c r="O437" i="7"/>
  <c r="N437" i="7"/>
  <c r="M437" i="7"/>
  <c r="L437" i="7"/>
  <c r="AJ437" i="7" s="1"/>
  <c r="K437" i="7"/>
  <c r="AL436" i="7"/>
  <c r="AK436" i="7"/>
  <c r="AI436" i="7"/>
  <c r="AH436" i="7"/>
  <c r="AE436" i="7"/>
  <c r="AC436" i="7"/>
  <c r="Z436" i="7"/>
  <c r="AA436" i="7" s="1"/>
  <c r="AG436" i="7" s="1"/>
  <c r="W436" i="7"/>
  <c r="AD436" i="7" s="1"/>
  <c r="V436" i="7"/>
  <c r="U436" i="7"/>
  <c r="AF436" i="7" s="1"/>
  <c r="S436" i="7"/>
  <c r="R436" i="7"/>
  <c r="Q436" i="7"/>
  <c r="O436" i="7"/>
  <c r="N436" i="7"/>
  <c r="M436" i="7"/>
  <c r="L436" i="7"/>
  <c r="AJ436" i="7" s="1"/>
  <c r="K436" i="7"/>
  <c r="AL435" i="7"/>
  <c r="AK435" i="7"/>
  <c r="AI435" i="7"/>
  <c r="AH435" i="7"/>
  <c r="AE435" i="7"/>
  <c r="AC435" i="7"/>
  <c r="Z435" i="7"/>
  <c r="AA435" i="7" s="1"/>
  <c r="AG435" i="7" s="1"/>
  <c r="W435" i="7"/>
  <c r="AD435" i="7" s="1"/>
  <c r="V435" i="7"/>
  <c r="U435" i="7"/>
  <c r="AF435" i="7" s="1"/>
  <c r="S435" i="7"/>
  <c r="R435" i="7"/>
  <c r="Q435" i="7"/>
  <c r="O435" i="7"/>
  <c r="N435" i="7"/>
  <c r="M435" i="7"/>
  <c r="L435" i="7"/>
  <c r="AJ435" i="7" s="1"/>
  <c r="K435" i="7"/>
  <c r="AL434" i="7"/>
  <c r="AK434" i="7"/>
  <c r="AI434" i="7"/>
  <c r="AH434" i="7"/>
  <c r="AE434" i="7"/>
  <c r="AC434" i="7"/>
  <c r="Z434" i="7"/>
  <c r="AA434" i="7" s="1"/>
  <c r="AG434" i="7" s="1"/>
  <c r="W434" i="7"/>
  <c r="AD434" i="7" s="1"/>
  <c r="V434" i="7"/>
  <c r="U434" i="7"/>
  <c r="AF434" i="7" s="1"/>
  <c r="S434" i="7"/>
  <c r="R434" i="7"/>
  <c r="Q434" i="7"/>
  <c r="O434" i="7"/>
  <c r="N434" i="7"/>
  <c r="M434" i="7"/>
  <c r="L434" i="7"/>
  <c r="AJ434" i="7" s="1"/>
  <c r="K434" i="7"/>
  <c r="AL433" i="7"/>
  <c r="AK433" i="7"/>
  <c r="AI433" i="7"/>
  <c r="AH433" i="7"/>
  <c r="AE433" i="7"/>
  <c r="AC433" i="7"/>
  <c r="Z433" i="7"/>
  <c r="AA433" i="7" s="1"/>
  <c r="AG433" i="7" s="1"/>
  <c r="W433" i="7"/>
  <c r="AD433" i="7" s="1"/>
  <c r="V433" i="7"/>
  <c r="U433" i="7"/>
  <c r="AF433" i="7" s="1"/>
  <c r="S433" i="7"/>
  <c r="R433" i="7"/>
  <c r="Q433" i="7"/>
  <c r="O433" i="7"/>
  <c r="N433" i="7"/>
  <c r="M433" i="7"/>
  <c r="L433" i="7"/>
  <c r="AJ433" i="7" s="1"/>
  <c r="K433" i="7"/>
  <c r="AL432" i="7"/>
  <c r="AK432" i="7"/>
  <c r="AI432" i="7"/>
  <c r="AH432" i="7"/>
  <c r="AE432" i="7"/>
  <c r="AC432" i="7"/>
  <c r="Z432" i="7"/>
  <c r="AA432" i="7" s="1"/>
  <c r="AG432" i="7" s="1"/>
  <c r="W432" i="7"/>
  <c r="AD432" i="7" s="1"/>
  <c r="V432" i="7"/>
  <c r="U432" i="7"/>
  <c r="AF432" i="7" s="1"/>
  <c r="S432" i="7"/>
  <c r="R432" i="7"/>
  <c r="Q432" i="7"/>
  <c r="O432" i="7"/>
  <c r="N432" i="7"/>
  <c r="M432" i="7"/>
  <c r="L432" i="7"/>
  <c r="AJ432" i="7" s="1"/>
  <c r="K432" i="7"/>
  <c r="AL431" i="7"/>
  <c r="AK431" i="7"/>
  <c r="AI431" i="7"/>
  <c r="AH431" i="7"/>
  <c r="AE431" i="7"/>
  <c r="AC431" i="7"/>
  <c r="Z431" i="7"/>
  <c r="AA431" i="7" s="1"/>
  <c r="AG431" i="7" s="1"/>
  <c r="W431" i="7"/>
  <c r="AD431" i="7" s="1"/>
  <c r="V431" i="7"/>
  <c r="U431" i="7"/>
  <c r="AF431" i="7" s="1"/>
  <c r="S431" i="7"/>
  <c r="R431" i="7"/>
  <c r="Q431" i="7"/>
  <c r="O431" i="7"/>
  <c r="N431" i="7"/>
  <c r="M431" i="7"/>
  <c r="L431" i="7"/>
  <c r="AJ431" i="7" s="1"/>
  <c r="K431" i="7"/>
  <c r="AL430" i="7"/>
  <c r="AK430" i="7"/>
  <c r="AI430" i="7"/>
  <c r="AH430" i="7"/>
  <c r="AE430" i="7"/>
  <c r="AC430" i="7"/>
  <c r="Z430" i="7"/>
  <c r="AA430" i="7" s="1"/>
  <c r="AG430" i="7" s="1"/>
  <c r="W430" i="7"/>
  <c r="AD430" i="7" s="1"/>
  <c r="V430" i="7"/>
  <c r="U430" i="7"/>
  <c r="AF430" i="7" s="1"/>
  <c r="S430" i="7"/>
  <c r="R430" i="7"/>
  <c r="Q430" i="7"/>
  <c r="O430" i="7"/>
  <c r="N430" i="7"/>
  <c r="M430" i="7"/>
  <c r="L430" i="7"/>
  <c r="AJ430" i="7" s="1"/>
  <c r="K430" i="7"/>
  <c r="AL429" i="7"/>
  <c r="AK429" i="7"/>
  <c r="AI429" i="7"/>
  <c r="AH429" i="7"/>
  <c r="AE429" i="7"/>
  <c r="AC429" i="7"/>
  <c r="Z429" i="7"/>
  <c r="AA429" i="7" s="1"/>
  <c r="AG429" i="7" s="1"/>
  <c r="W429" i="7"/>
  <c r="AD429" i="7" s="1"/>
  <c r="V429" i="7"/>
  <c r="U429" i="7"/>
  <c r="AF429" i="7" s="1"/>
  <c r="S429" i="7"/>
  <c r="R429" i="7"/>
  <c r="Q429" i="7"/>
  <c r="O429" i="7"/>
  <c r="N429" i="7"/>
  <c r="M429" i="7"/>
  <c r="L429" i="7"/>
  <c r="AJ429" i="7" s="1"/>
  <c r="K429" i="7"/>
  <c r="AL428" i="7"/>
  <c r="AK428" i="7"/>
  <c r="AI428" i="7"/>
  <c r="AH428" i="7"/>
  <c r="AE428" i="7"/>
  <c r="AC428" i="7"/>
  <c r="Z428" i="7"/>
  <c r="AA428" i="7" s="1"/>
  <c r="AG428" i="7" s="1"/>
  <c r="W428" i="7"/>
  <c r="AD428" i="7" s="1"/>
  <c r="V428" i="7"/>
  <c r="U428" i="7"/>
  <c r="AF428" i="7" s="1"/>
  <c r="S428" i="7"/>
  <c r="R428" i="7"/>
  <c r="Q428" i="7"/>
  <c r="O428" i="7"/>
  <c r="N428" i="7"/>
  <c r="M428" i="7"/>
  <c r="L428" i="7"/>
  <c r="AJ428" i="7" s="1"/>
  <c r="K428" i="7"/>
  <c r="AL427" i="7"/>
  <c r="AK427" i="7"/>
  <c r="AI427" i="7"/>
  <c r="AH427" i="7"/>
  <c r="AE427" i="7"/>
  <c r="AC427" i="7"/>
  <c r="Z427" i="7"/>
  <c r="AA427" i="7" s="1"/>
  <c r="AG427" i="7" s="1"/>
  <c r="W427" i="7"/>
  <c r="AD427" i="7" s="1"/>
  <c r="V427" i="7"/>
  <c r="U427" i="7"/>
  <c r="AF427" i="7" s="1"/>
  <c r="S427" i="7"/>
  <c r="R427" i="7"/>
  <c r="Q427" i="7"/>
  <c r="O427" i="7"/>
  <c r="N427" i="7"/>
  <c r="M427" i="7"/>
  <c r="L427" i="7"/>
  <c r="AJ427" i="7" s="1"/>
  <c r="K427" i="7"/>
  <c r="AL426" i="7"/>
  <c r="AK426" i="7"/>
  <c r="AI426" i="7"/>
  <c r="AH426" i="7"/>
  <c r="AE426" i="7"/>
  <c r="AC426" i="7"/>
  <c r="Z426" i="7"/>
  <c r="AA426" i="7" s="1"/>
  <c r="AG426" i="7" s="1"/>
  <c r="W426" i="7"/>
  <c r="AD426" i="7" s="1"/>
  <c r="V426" i="7"/>
  <c r="U426" i="7"/>
  <c r="AF426" i="7" s="1"/>
  <c r="S426" i="7"/>
  <c r="R426" i="7"/>
  <c r="Q426" i="7"/>
  <c r="O426" i="7"/>
  <c r="N426" i="7"/>
  <c r="M426" i="7"/>
  <c r="L426" i="7"/>
  <c r="AJ426" i="7" s="1"/>
  <c r="K426" i="7"/>
  <c r="AL425" i="7"/>
  <c r="AK425" i="7"/>
  <c r="AI425" i="7"/>
  <c r="AH425" i="7"/>
  <c r="AE425" i="7"/>
  <c r="AC425" i="7"/>
  <c r="Z425" i="7"/>
  <c r="AA425" i="7" s="1"/>
  <c r="AG425" i="7" s="1"/>
  <c r="W425" i="7"/>
  <c r="AD425" i="7" s="1"/>
  <c r="V425" i="7"/>
  <c r="U425" i="7"/>
  <c r="AF425" i="7" s="1"/>
  <c r="S425" i="7"/>
  <c r="R425" i="7"/>
  <c r="Q425" i="7"/>
  <c r="O425" i="7"/>
  <c r="N425" i="7"/>
  <c r="M425" i="7"/>
  <c r="L425" i="7"/>
  <c r="AJ425" i="7" s="1"/>
  <c r="K425" i="7"/>
  <c r="AL424" i="7"/>
  <c r="AK424" i="7"/>
  <c r="AI424" i="7"/>
  <c r="AH424" i="7"/>
  <c r="AE424" i="7"/>
  <c r="AC424" i="7"/>
  <c r="Z424" i="7"/>
  <c r="AA424" i="7" s="1"/>
  <c r="AG424" i="7" s="1"/>
  <c r="W424" i="7"/>
  <c r="AD424" i="7" s="1"/>
  <c r="V424" i="7"/>
  <c r="U424" i="7"/>
  <c r="AF424" i="7" s="1"/>
  <c r="S424" i="7"/>
  <c r="R424" i="7"/>
  <c r="Q424" i="7"/>
  <c r="O424" i="7"/>
  <c r="N424" i="7"/>
  <c r="M424" i="7"/>
  <c r="L424" i="7"/>
  <c r="AJ424" i="7" s="1"/>
  <c r="K424" i="7"/>
  <c r="AL423" i="7"/>
  <c r="AK423" i="7"/>
  <c r="AI423" i="7"/>
  <c r="AH423" i="7"/>
  <c r="AE423" i="7"/>
  <c r="AC423" i="7"/>
  <c r="Z423" i="7"/>
  <c r="AA423" i="7" s="1"/>
  <c r="AG423" i="7" s="1"/>
  <c r="W423" i="7"/>
  <c r="AD423" i="7" s="1"/>
  <c r="V423" i="7"/>
  <c r="U423" i="7"/>
  <c r="AF423" i="7" s="1"/>
  <c r="S423" i="7"/>
  <c r="R423" i="7"/>
  <c r="Q423" i="7"/>
  <c r="O423" i="7"/>
  <c r="N423" i="7"/>
  <c r="M423" i="7"/>
  <c r="L423" i="7"/>
  <c r="AJ423" i="7" s="1"/>
  <c r="K423" i="7"/>
  <c r="AL422" i="7"/>
  <c r="AK422" i="7"/>
  <c r="AI422" i="7"/>
  <c r="AH422" i="7"/>
  <c r="AE422" i="7"/>
  <c r="AC422" i="7"/>
  <c r="Z422" i="7"/>
  <c r="AA422" i="7" s="1"/>
  <c r="AG422" i="7" s="1"/>
  <c r="W422" i="7"/>
  <c r="AD422" i="7" s="1"/>
  <c r="V422" i="7"/>
  <c r="U422" i="7"/>
  <c r="AF422" i="7" s="1"/>
  <c r="S422" i="7"/>
  <c r="R422" i="7"/>
  <c r="Q422" i="7"/>
  <c r="O422" i="7"/>
  <c r="N422" i="7"/>
  <c r="M422" i="7"/>
  <c r="L422" i="7"/>
  <c r="AJ422" i="7" s="1"/>
  <c r="K422" i="7"/>
  <c r="AL421" i="7"/>
  <c r="AK421" i="7"/>
  <c r="AI421" i="7"/>
  <c r="AH421" i="7"/>
  <c r="AE421" i="7"/>
  <c r="AC421" i="7"/>
  <c r="Z421" i="7"/>
  <c r="AA421" i="7" s="1"/>
  <c r="AG421" i="7" s="1"/>
  <c r="W421" i="7"/>
  <c r="AD421" i="7" s="1"/>
  <c r="V421" i="7"/>
  <c r="U421" i="7"/>
  <c r="AF421" i="7" s="1"/>
  <c r="S421" i="7"/>
  <c r="R421" i="7"/>
  <c r="Q421" i="7"/>
  <c r="O421" i="7"/>
  <c r="N421" i="7"/>
  <c r="M421" i="7"/>
  <c r="L421" i="7"/>
  <c r="AJ421" i="7" s="1"/>
  <c r="K421" i="7"/>
  <c r="AL420" i="7"/>
  <c r="AK420" i="7"/>
  <c r="AI420" i="7"/>
  <c r="AH420" i="7"/>
  <c r="AE420" i="7"/>
  <c r="AC420" i="7"/>
  <c r="Z420" i="7"/>
  <c r="AA420" i="7" s="1"/>
  <c r="AG420" i="7" s="1"/>
  <c r="W420" i="7"/>
  <c r="AD420" i="7" s="1"/>
  <c r="V420" i="7"/>
  <c r="U420" i="7"/>
  <c r="AF420" i="7" s="1"/>
  <c r="S420" i="7"/>
  <c r="R420" i="7"/>
  <c r="Q420" i="7"/>
  <c r="O420" i="7"/>
  <c r="N420" i="7"/>
  <c r="M420" i="7"/>
  <c r="L420" i="7"/>
  <c r="AJ420" i="7" s="1"/>
  <c r="K420" i="7"/>
  <c r="AL419" i="7"/>
  <c r="AK419" i="7"/>
  <c r="AI419" i="7"/>
  <c r="AH419" i="7"/>
  <c r="AE419" i="7"/>
  <c r="AC419" i="7"/>
  <c r="Z419" i="7"/>
  <c r="AA419" i="7" s="1"/>
  <c r="AG419" i="7" s="1"/>
  <c r="W419" i="7"/>
  <c r="AD419" i="7" s="1"/>
  <c r="V419" i="7"/>
  <c r="U419" i="7"/>
  <c r="AF419" i="7" s="1"/>
  <c r="S419" i="7"/>
  <c r="R419" i="7"/>
  <c r="Q419" i="7"/>
  <c r="O419" i="7"/>
  <c r="N419" i="7"/>
  <c r="M419" i="7"/>
  <c r="L419" i="7"/>
  <c r="AJ419" i="7" s="1"/>
  <c r="K419" i="7"/>
  <c r="AL418" i="7"/>
  <c r="AK418" i="7"/>
  <c r="AI418" i="7"/>
  <c r="AH418" i="7"/>
  <c r="AE418" i="7"/>
  <c r="AC418" i="7"/>
  <c r="Z418" i="7"/>
  <c r="AA418" i="7" s="1"/>
  <c r="AG418" i="7" s="1"/>
  <c r="W418" i="7"/>
  <c r="AD418" i="7" s="1"/>
  <c r="V418" i="7"/>
  <c r="U418" i="7"/>
  <c r="AF418" i="7" s="1"/>
  <c r="S418" i="7"/>
  <c r="R418" i="7"/>
  <c r="Q418" i="7"/>
  <c r="O418" i="7"/>
  <c r="N418" i="7"/>
  <c r="M418" i="7"/>
  <c r="L418" i="7"/>
  <c r="AJ418" i="7" s="1"/>
  <c r="K418" i="7"/>
  <c r="AL417" i="7"/>
  <c r="AK417" i="7"/>
  <c r="AI417" i="7"/>
  <c r="AH417" i="7"/>
  <c r="AE417" i="7"/>
  <c r="AC417" i="7"/>
  <c r="Z417" i="7"/>
  <c r="AA417" i="7" s="1"/>
  <c r="AG417" i="7" s="1"/>
  <c r="W417" i="7"/>
  <c r="AD417" i="7" s="1"/>
  <c r="V417" i="7"/>
  <c r="U417" i="7"/>
  <c r="AF417" i="7" s="1"/>
  <c r="S417" i="7"/>
  <c r="R417" i="7"/>
  <c r="Q417" i="7"/>
  <c r="O417" i="7"/>
  <c r="N417" i="7"/>
  <c r="M417" i="7"/>
  <c r="L417" i="7"/>
  <c r="AJ417" i="7" s="1"/>
  <c r="K417" i="7"/>
  <c r="AL416" i="7"/>
  <c r="AK416" i="7"/>
  <c r="AI416" i="7"/>
  <c r="AH416" i="7"/>
  <c r="AE416" i="7"/>
  <c r="AC416" i="7"/>
  <c r="Z416" i="7"/>
  <c r="AA416" i="7" s="1"/>
  <c r="AG416" i="7" s="1"/>
  <c r="W416" i="7"/>
  <c r="AD416" i="7" s="1"/>
  <c r="V416" i="7"/>
  <c r="U416" i="7"/>
  <c r="AF416" i="7" s="1"/>
  <c r="S416" i="7"/>
  <c r="R416" i="7"/>
  <c r="Q416" i="7"/>
  <c r="O416" i="7"/>
  <c r="N416" i="7"/>
  <c r="M416" i="7"/>
  <c r="L416" i="7"/>
  <c r="AJ416" i="7" s="1"/>
  <c r="K416" i="7"/>
  <c r="AL415" i="7"/>
  <c r="AK415" i="7"/>
  <c r="AI415" i="7"/>
  <c r="AH415" i="7"/>
  <c r="AE415" i="7"/>
  <c r="AC415" i="7"/>
  <c r="Z415" i="7"/>
  <c r="AA415" i="7" s="1"/>
  <c r="AG415" i="7" s="1"/>
  <c r="W415" i="7"/>
  <c r="AD415" i="7" s="1"/>
  <c r="V415" i="7"/>
  <c r="U415" i="7"/>
  <c r="AF415" i="7" s="1"/>
  <c r="S415" i="7"/>
  <c r="R415" i="7"/>
  <c r="Q415" i="7"/>
  <c r="O415" i="7"/>
  <c r="N415" i="7"/>
  <c r="M415" i="7"/>
  <c r="L415" i="7"/>
  <c r="AJ415" i="7" s="1"/>
  <c r="K415" i="7"/>
  <c r="AL414" i="7"/>
  <c r="AK414" i="7"/>
  <c r="AI414" i="7"/>
  <c r="AH414" i="7"/>
  <c r="AE414" i="7"/>
  <c r="AC414" i="7"/>
  <c r="Z414" i="7"/>
  <c r="AA414" i="7" s="1"/>
  <c r="AG414" i="7" s="1"/>
  <c r="W414" i="7"/>
  <c r="AD414" i="7" s="1"/>
  <c r="V414" i="7"/>
  <c r="U414" i="7"/>
  <c r="AF414" i="7" s="1"/>
  <c r="S414" i="7"/>
  <c r="R414" i="7"/>
  <c r="Q414" i="7"/>
  <c r="O414" i="7"/>
  <c r="N414" i="7"/>
  <c r="M414" i="7"/>
  <c r="L414" i="7"/>
  <c r="AJ414" i="7" s="1"/>
  <c r="K414" i="7"/>
  <c r="AL413" i="7"/>
  <c r="AK413" i="7"/>
  <c r="AI413" i="7"/>
  <c r="AH413" i="7"/>
  <c r="AE413" i="7"/>
  <c r="AC413" i="7"/>
  <c r="Z413" i="7"/>
  <c r="AA413" i="7" s="1"/>
  <c r="AG413" i="7" s="1"/>
  <c r="W413" i="7"/>
  <c r="AD413" i="7" s="1"/>
  <c r="V413" i="7"/>
  <c r="U413" i="7"/>
  <c r="AF413" i="7" s="1"/>
  <c r="S413" i="7"/>
  <c r="R413" i="7"/>
  <c r="Q413" i="7"/>
  <c r="O413" i="7"/>
  <c r="N413" i="7"/>
  <c r="M413" i="7"/>
  <c r="L413" i="7"/>
  <c r="AJ413" i="7" s="1"/>
  <c r="K413" i="7"/>
  <c r="AL412" i="7"/>
  <c r="AK412" i="7"/>
  <c r="AI412" i="7"/>
  <c r="AH412" i="7"/>
  <c r="AE412" i="7"/>
  <c r="AC412" i="7"/>
  <c r="Z412" i="7"/>
  <c r="AA412" i="7" s="1"/>
  <c r="AG412" i="7" s="1"/>
  <c r="W412" i="7"/>
  <c r="AD412" i="7" s="1"/>
  <c r="V412" i="7"/>
  <c r="U412" i="7"/>
  <c r="AF412" i="7" s="1"/>
  <c r="S412" i="7"/>
  <c r="R412" i="7"/>
  <c r="Q412" i="7"/>
  <c r="O412" i="7"/>
  <c r="N412" i="7"/>
  <c r="M412" i="7"/>
  <c r="L412" i="7"/>
  <c r="AJ412" i="7" s="1"/>
  <c r="K412" i="7"/>
  <c r="AL411" i="7"/>
  <c r="AK411" i="7"/>
  <c r="AI411" i="7"/>
  <c r="AH411" i="7"/>
  <c r="AE411" i="7"/>
  <c r="AC411" i="7"/>
  <c r="Z411" i="7"/>
  <c r="AA411" i="7" s="1"/>
  <c r="AG411" i="7" s="1"/>
  <c r="W411" i="7"/>
  <c r="AD411" i="7" s="1"/>
  <c r="V411" i="7"/>
  <c r="U411" i="7"/>
  <c r="AF411" i="7" s="1"/>
  <c r="S411" i="7"/>
  <c r="R411" i="7"/>
  <c r="Q411" i="7"/>
  <c r="O411" i="7"/>
  <c r="N411" i="7"/>
  <c r="M411" i="7"/>
  <c r="L411" i="7"/>
  <c r="AJ411" i="7" s="1"/>
  <c r="K411" i="7"/>
  <c r="AL410" i="7"/>
  <c r="AK410" i="7"/>
  <c r="AI410" i="7"/>
  <c r="AH410" i="7"/>
  <c r="AE410" i="7"/>
  <c r="AC410" i="7"/>
  <c r="Z410" i="7"/>
  <c r="AA410" i="7" s="1"/>
  <c r="AG410" i="7" s="1"/>
  <c r="W410" i="7"/>
  <c r="AD410" i="7" s="1"/>
  <c r="V410" i="7"/>
  <c r="U410" i="7"/>
  <c r="AF410" i="7" s="1"/>
  <c r="S410" i="7"/>
  <c r="R410" i="7"/>
  <c r="Q410" i="7"/>
  <c r="O410" i="7"/>
  <c r="N410" i="7"/>
  <c r="M410" i="7"/>
  <c r="L410" i="7"/>
  <c r="AJ410" i="7" s="1"/>
  <c r="K410" i="7"/>
  <c r="AL409" i="7"/>
  <c r="AK409" i="7"/>
  <c r="AI409" i="7"/>
  <c r="AH409" i="7"/>
  <c r="AE409" i="7"/>
  <c r="AC409" i="7"/>
  <c r="Z409" i="7"/>
  <c r="AA409" i="7" s="1"/>
  <c r="AG409" i="7" s="1"/>
  <c r="W409" i="7"/>
  <c r="AD409" i="7" s="1"/>
  <c r="V409" i="7"/>
  <c r="U409" i="7"/>
  <c r="AF409" i="7" s="1"/>
  <c r="S409" i="7"/>
  <c r="R409" i="7"/>
  <c r="Q409" i="7"/>
  <c r="O409" i="7"/>
  <c r="N409" i="7"/>
  <c r="M409" i="7"/>
  <c r="L409" i="7"/>
  <c r="AJ409" i="7" s="1"/>
  <c r="K409" i="7"/>
  <c r="AL408" i="7"/>
  <c r="AK408" i="7"/>
  <c r="AI408" i="7"/>
  <c r="AH408" i="7"/>
  <c r="AE408" i="7"/>
  <c r="AC408" i="7"/>
  <c r="Z408" i="7"/>
  <c r="AA408" i="7" s="1"/>
  <c r="AG408" i="7" s="1"/>
  <c r="W408" i="7"/>
  <c r="AD408" i="7" s="1"/>
  <c r="V408" i="7"/>
  <c r="U408" i="7"/>
  <c r="AF408" i="7" s="1"/>
  <c r="S408" i="7"/>
  <c r="R408" i="7"/>
  <c r="Q408" i="7"/>
  <c r="O408" i="7"/>
  <c r="N408" i="7"/>
  <c r="M408" i="7"/>
  <c r="L408" i="7"/>
  <c r="AJ408" i="7" s="1"/>
  <c r="K408" i="7"/>
  <c r="AL407" i="7"/>
  <c r="AK407" i="7"/>
  <c r="AI407" i="7"/>
  <c r="AH407" i="7"/>
  <c r="AE407" i="7"/>
  <c r="AC407" i="7"/>
  <c r="Z407" i="7"/>
  <c r="AA407" i="7" s="1"/>
  <c r="AG407" i="7" s="1"/>
  <c r="W407" i="7"/>
  <c r="AD407" i="7" s="1"/>
  <c r="V407" i="7"/>
  <c r="U407" i="7"/>
  <c r="AF407" i="7" s="1"/>
  <c r="S407" i="7"/>
  <c r="R407" i="7"/>
  <c r="Q407" i="7"/>
  <c r="O407" i="7"/>
  <c r="N407" i="7"/>
  <c r="M407" i="7"/>
  <c r="L407" i="7"/>
  <c r="AJ407" i="7" s="1"/>
  <c r="K407" i="7"/>
  <c r="AL406" i="7"/>
  <c r="AK406" i="7"/>
  <c r="AI406" i="7"/>
  <c r="AH406" i="7"/>
  <c r="AE406" i="7"/>
  <c r="AC406" i="7"/>
  <c r="Z406" i="7"/>
  <c r="AA406" i="7" s="1"/>
  <c r="AG406" i="7" s="1"/>
  <c r="W406" i="7"/>
  <c r="AD406" i="7" s="1"/>
  <c r="V406" i="7"/>
  <c r="U406" i="7"/>
  <c r="AF406" i="7" s="1"/>
  <c r="S406" i="7"/>
  <c r="R406" i="7"/>
  <c r="Q406" i="7"/>
  <c r="O406" i="7"/>
  <c r="N406" i="7"/>
  <c r="M406" i="7"/>
  <c r="L406" i="7"/>
  <c r="AJ406" i="7" s="1"/>
  <c r="K406" i="7"/>
  <c r="AL405" i="7"/>
  <c r="AK405" i="7"/>
  <c r="AI405" i="7"/>
  <c r="AH405" i="7"/>
  <c r="AE405" i="7"/>
  <c r="AC405" i="7"/>
  <c r="Z405" i="7"/>
  <c r="AA405" i="7" s="1"/>
  <c r="AG405" i="7" s="1"/>
  <c r="W405" i="7"/>
  <c r="AD405" i="7" s="1"/>
  <c r="V405" i="7"/>
  <c r="U405" i="7"/>
  <c r="AF405" i="7" s="1"/>
  <c r="S405" i="7"/>
  <c r="R405" i="7"/>
  <c r="Q405" i="7"/>
  <c r="O405" i="7"/>
  <c r="N405" i="7"/>
  <c r="M405" i="7"/>
  <c r="L405" i="7"/>
  <c r="AJ405" i="7" s="1"/>
  <c r="K405" i="7"/>
  <c r="AL404" i="7"/>
  <c r="AK404" i="7"/>
  <c r="AI404" i="7"/>
  <c r="AH404" i="7"/>
  <c r="AE404" i="7"/>
  <c r="AC404" i="7"/>
  <c r="Z404" i="7"/>
  <c r="AA404" i="7" s="1"/>
  <c r="AG404" i="7" s="1"/>
  <c r="W404" i="7"/>
  <c r="AD404" i="7" s="1"/>
  <c r="V404" i="7"/>
  <c r="U404" i="7"/>
  <c r="AF404" i="7" s="1"/>
  <c r="S404" i="7"/>
  <c r="R404" i="7"/>
  <c r="Q404" i="7"/>
  <c r="O404" i="7"/>
  <c r="N404" i="7"/>
  <c r="M404" i="7"/>
  <c r="L404" i="7"/>
  <c r="AJ404" i="7" s="1"/>
  <c r="K404" i="7"/>
  <c r="AL403" i="7"/>
  <c r="AK403" i="7"/>
  <c r="AI403" i="7"/>
  <c r="AH403" i="7"/>
  <c r="AE403" i="7"/>
  <c r="AC403" i="7"/>
  <c r="Z403" i="7"/>
  <c r="AA403" i="7" s="1"/>
  <c r="AG403" i="7" s="1"/>
  <c r="W403" i="7"/>
  <c r="AD403" i="7" s="1"/>
  <c r="V403" i="7"/>
  <c r="U403" i="7"/>
  <c r="AF403" i="7" s="1"/>
  <c r="S403" i="7"/>
  <c r="R403" i="7"/>
  <c r="Q403" i="7"/>
  <c r="O403" i="7"/>
  <c r="N403" i="7"/>
  <c r="M403" i="7"/>
  <c r="L403" i="7"/>
  <c r="AJ403" i="7" s="1"/>
  <c r="K403" i="7"/>
  <c r="AL402" i="7"/>
  <c r="AK402" i="7"/>
  <c r="AI402" i="7"/>
  <c r="AH402" i="7"/>
  <c r="AE402" i="7"/>
  <c r="AC402" i="7"/>
  <c r="Z402" i="7"/>
  <c r="AA402" i="7" s="1"/>
  <c r="AG402" i="7" s="1"/>
  <c r="W402" i="7"/>
  <c r="AD402" i="7" s="1"/>
  <c r="V402" i="7"/>
  <c r="U402" i="7"/>
  <c r="AF402" i="7" s="1"/>
  <c r="S402" i="7"/>
  <c r="R402" i="7"/>
  <c r="Q402" i="7"/>
  <c r="O402" i="7"/>
  <c r="N402" i="7"/>
  <c r="M402" i="7"/>
  <c r="L402" i="7"/>
  <c r="AJ402" i="7" s="1"/>
  <c r="K402" i="7"/>
  <c r="AL401" i="7"/>
  <c r="AK401" i="7"/>
  <c r="AI401" i="7"/>
  <c r="AH401" i="7"/>
  <c r="AE401" i="7"/>
  <c r="AC401" i="7"/>
  <c r="Z401" i="7"/>
  <c r="AA401" i="7" s="1"/>
  <c r="AG401" i="7" s="1"/>
  <c r="W401" i="7"/>
  <c r="AD401" i="7" s="1"/>
  <c r="V401" i="7"/>
  <c r="U401" i="7"/>
  <c r="AF401" i="7" s="1"/>
  <c r="S401" i="7"/>
  <c r="R401" i="7"/>
  <c r="Q401" i="7"/>
  <c r="O401" i="7"/>
  <c r="N401" i="7"/>
  <c r="M401" i="7"/>
  <c r="L401" i="7"/>
  <c r="AJ401" i="7" s="1"/>
  <c r="K401" i="7"/>
  <c r="AL400" i="7"/>
  <c r="AK400" i="7"/>
  <c r="AI400" i="7"/>
  <c r="AH400" i="7"/>
  <c r="AE400" i="7"/>
  <c r="AC400" i="7"/>
  <c r="Z400" i="7"/>
  <c r="AA400" i="7" s="1"/>
  <c r="AG400" i="7" s="1"/>
  <c r="W400" i="7"/>
  <c r="AD400" i="7" s="1"/>
  <c r="V400" i="7"/>
  <c r="U400" i="7"/>
  <c r="AF400" i="7" s="1"/>
  <c r="S400" i="7"/>
  <c r="R400" i="7"/>
  <c r="Q400" i="7"/>
  <c r="O400" i="7"/>
  <c r="N400" i="7"/>
  <c r="M400" i="7"/>
  <c r="L400" i="7"/>
  <c r="AJ400" i="7" s="1"/>
  <c r="K400" i="7"/>
  <c r="AL399" i="7"/>
  <c r="AK399" i="7"/>
  <c r="AI399" i="7"/>
  <c r="AH399" i="7"/>
  <c r="AE399" i="7"/>
  <c r="AC399" i="7"/>
  <c r="Z399" i="7"/>
  <c r="AA399" i="7" s="1"/>
  <c r="AG399" i="7" s="1"/>
  <c r="W399" i="7"/>
  <c r="AD399" i="7" s="1"/>
  <c r="V399" i="7"/>
  <c r="U399" i="7"/>
  <c r="AF399" i="7" s="1"/>
  <c r="S399" i="7"/>
  <c r="R399" i="7"/>
  <c r="Q399" i="7"/>
  <c r="O399" i="7"/>
  <c r="N399" i="7"/>
  <c r="M399" i="7"/>
  <c r="L399" i="7"/>
  <c r="AJ399" i="7" s="1"/>
  <c r="K399" i="7"/>
  <c r="AL398" i="7"/>
  <c r="AK398" i="7"/>
  <c r="AI398" i="7"/>
  <c r="AH398" i="7"/>
  <c r="AE398" i="7"/>
  <c r="AC398" i="7"/>
  <c r="Z398" i="7"/>
  <c r="AA398" i="7" s="1"/>
  <c r="AG398" i="7" s="1"/>
  <c r="W398" i="7"/>
  <c r="AD398" i="7" s="1"/>
  <c r="V398" i="7"/>
  <c r="U398" i="7"/>
  <c r="AF398" i="7" s="1"/>
  <c r="S398" i="7"/>
  <c r="R398" i="7"/>
  <c r="Q398" i="7"/>
  <c r="O398" i="7"/>
  <c r="N398" i="7"/>
  <c r="M398" i="7"/>
  <c r="L398" i="7"/>
  <c r="AJ398" i="7" s="1"/>
  <c r="K398" i="7"/>
  <c r="AL397" i="7"/>
  <c r="AK397" i="7"/>
  <c r="AI397" i="7"/>
  <c r="AH397" i="7"/>
  <c r="AE397" i="7"/>
  <c r="AC397" i="7"/>
  <c r="Z397" i="7"/>
  <c r="AA397" i="7" s="1"/>
  <c r="AG397" i="7" s="1"/>
  <c r="W397" i="7"/>
  <c r="AD397" i="7" s="1"/>
  <c r="V397" i="7"/>
  <c r="U397" i="7"/>
  <c r="AF397" i="7" s="1"/>
  <c r="S397" i="7"/>
  <c r="R397" i="7"/>
  <c r="Q397" i="7"/>
  <c r="O397" i="7"/>
  <c r="N397" i="7"/>
  <c r="M397" i="7"/>
  <c r="L397" i="7"/>
  <c r="AJ397" i="7" s="1"/>
  <c r="K397" i="7"/>
  <c r="AL396" i="7"/>
  <c r="AK396" i="7"/>
  <c r="AI396" i="7"/>
  <c r="AH396" i="7"/>
  <c r="AE396" i="7"/>
  <c r="AC396" i="7"/>
  <c r="Z396" i="7"/>
  <c r="AA396" i="7" s="1"/>
  <c r="AG396" i="7" s="1"/>
  <c r="W396" i="7"/>
  <c r="AD396" i="7" s="1"/>
  <c r="V396" i="7"/>
  <c r="U396" i="7"/>
  <c r="AF396" i="7" s="1"/>
  <c r="S396" i="7"/>
  <c r="R396" i="7"/>
  <c r="Q396" i="7"/>
  <c r="O396" i="7"/>
  <c r="N396" i="7"/>
  <c r="M396" i="7"/>
  <c r="L396" i="7"/>
  <c r="AJ396" i="7" s="1"/>
  <c r="K396" i="7"/>
  <c r="AL395" i="7"/>
  <c r="AK395" i="7"/>
  <c r="AI395" i="7"/>
  <c r="AH395" i="7"/>
  <c r="AE395" i="7"/>
  <c r="AC395" i="7"/>
  <c r="Z395" i="7"/>
  <c r="AA395" i="7" s="1"/>
  <c r="AG395" i="7" s="1"/>
  <c r="W395" i="7"/>
  <c r="AD395" i="7" s="1"/>
  <c r="V395" i="7"/>
  <c r="U395" i="7"/>
  <c r="AF395" i="7" s="1"/>
  <c r="S395" i="7"/>
  <c r="R395" i="7"/>
  <c r="Q395" i="7"/>
  <c r="O395" i="7"/>
  <c r="N395" i="7"/>
  <c r="M395" i="7"/>
  <c r="L395" i="7"/>
  <c r="AJ395" i="7" s="1"/>
  <c r="K395" i="7"/>
  <c r="AL394" i="7"/>
  <c r="AK394" i="7"/>
  <c r="AI394" i="7"/>
  <c r="AH394" i="7"/>
  <c r="AE394" i="7"/>
  <c r="AC394" i="7"/>
  <c r="Z394" i="7"/>
  <c r="AA394" i="7" s="1"/>
  <c r="AG394" i="7" s="1"/>
  <c r="W394" i="7"/>
  <c r="AD394" i="7" s="1"/>
  <c r="V394" i="7"/>
  <c r="U394" i="7"/>
  <c r="AF394" i="7" s="1"/>
  <c r="S394" i="7"/>
  <c r="R394" i="7"/>
  <c r="Q394" i="7"/>
  <c r="O394" i="7"/>
  <c r="N394" i="7"/>
  <c r="M394" i="7"/>
  <c r="L394" i="7"/>
  <c r="AJ394" i="7" s="1"/>
  <c r="K394" i="7"/>
  <c r="AL393" i="7"/>
  <c r="AK393" i="7"/>
  <c r="AI393" i="7"/>
  <c r="AH393" i="7"/>
  <c r="AE393" i="7"/>
  <c r="AC393" i="7"/>
  <c r="Z393" i="7"/>
  <c r="AA393" i="7" s="1"/>
  <c r="AG393" i="7" s="1"/>
  <c r="W393" i="7"/>
  <c r="AD393" i="7" s="1"/>
  <c r="V393" i="7"/>
  <c r="U393" i="7"/>
  <c r="AF393" i="7" s="1"/>
  <c r="S393" i="7"/>
  <c r="R393" i="7"/>
  <c r="Q393" i="7"/>
  <c r="O393" i="7"/>
  <c r="N393" i="7"/>
  <c r="M393" i="7"/>
  <c r="L393" i="7"/>
  <c r="AJ393" i="7" s="1"/>
  <c r="K393" i="7"/>
  <c r="AL392" i="7"/>
  <c r="AK392" i="7"/>
  <c r="AI392" i="7"/>
  <c r="AH392" i="7"/>
  <c r="AE392" i="7"/>
  <c r="AC392" i="7"/>
  <c r="Z392" i="7"/>
  <c r="AA392" i="7" s="1"/>
  <c r="AG392" i="7" s="1"/>
  <c r="W392" i="7"/>
  <c r="AD392" i="7" s="1"/>
  <c r="V392" i="7"/>
  <c r="U392" i="7"/>
  <c r="AF392" i="7" s="1"/>
  <c r="S392" i="7"/>
  <c r="R392" i="7"/>
  <c r="Q392" i="7"/>
  <c r="O392" i="7"/>
  <c r="N392" i="7"/>
  <c r="M392" i="7"/>
  <c r="L392" i="7"/>
  <c r="AJ392" i="7" s="1"/>
  <c r="K392" i="7"/>
  <c r="AL391" i="7"/>
  <c r="AK391" i="7"/>
  <c r="AI391" i="7"/>
  <c r="AH391" i="7"/>
  <c r="AE391" i="7"/>
  <c r="AC391" i="7"/>
  <c r="Z391" i="7"/>
  <c r="AA391" i="7" s="1"/>
  <c r="AG391" i="7" s="1"/>
  <c r="W391" i="7"/>
  <c r="AD391" i="7" s="1"/>
  <c r="V391" i="7"/>
  <c r="U391" i="7"/>
  <c r="AF391" i="7" s="1"/>
  <c r="S391" i="7"/>
  <c r="R391" i="7"/>
  <c r="Q391" i="7"/>
  <c r="O391" i="7"/>
  <c r="N391" i="7"/>
  <c r="M391" i="7"/>
  <c r="L391" i="7"/>
  <c r="AJ391" i="7" s="1"/>
  <c r="K391" i="7"/>
  <c r="AL390" i="7"/>
  <c r="AK390" i="7"/>
  <c r="AI390" i="7"/>
  <c r="AH390" i="7"/>
  <c r="AE390" i="7"/>
  <c r="AC390" i="7"/>
  <c r="Z390" i="7"/>
  <c r="AA390" i="7" s="1"/>
  <c r="AG390" i="7" s="1"/>
  <c r="W390" i="7"/>
  <c r="AD390" i="7" s="1"/>
  <c r="V390" i="7"/>
  <c r="U390" i="7"/>
  <c r="AF390" i="7" s="1"/>
  <c r="S390" i="7"/>
  <c r="R390" i="7"/>
  <c r="Q390" i="7"/>
  <c r="O390" i="7"/>
  <c r="N390" i="7"/>
  <c r="M390" i="7"/>
  <c r="L390" i="7"/>
  <c r="AJ390" i="7" s="1"/>
  <c r="K390" i="7"/>
  <c r="AL389" i="7"/>
  <c r="AK389" i="7"/>
  <c r="AI389" i="7"/>
  <c r="AH389" i="7"/>
  <c r="AE389" i="7"/>
  <c r="AC389" i="7"/>
  <c r="Z389" i="7"/>
  <c r="AA389" i="7" s="1"/>
  <c r="AG389" i="7" s="1"/>
  <c r="W389" i="7"/>
  <c r="AD389" i="7" s="1"/>
  <c r="V389" i="7"/>
  <c r="U389" i="7"/>
  <c r="AF389" i="7" s="1"/>
  <c r="S389" i="7"/>
  <c r="R389" i="7"/>
  <c r="Q389" i="7"/>
  <c r="O389" i="7"/>
  <c r="N389" i="7"/>
  <c r="M389" i="7"/>
  <c r="L389" i="7"/>
  <c r="AJ389" i="7" s="1"/>
  <c r="K389" i="7"/>
  <c r="AL388" i="7"/>
  <c r="AK388" i="7"/>
  <c r="AI388" i="7"/>
  <c r="AH388" i="7"/>
  <c r="AE388" i="7"/>
  <c r="AC388" i="7"/>
  <c r="Z388" i="7"/>
  <c r="AA388" i="7" s="1"/>
  <c r="AG388" i="7" s="1"/>
  <c r="W388" i="7"/>
  <c r="AD388" i="7" s="1"/>
  <c r="V388" i="7"/>
  <c r="U388" i="7"/>
  <c r="AF388" i="7" s="1"/>
  <c r="S388" i="7"/>
  <c r="R388" i="7"/>
  <c r="Q388" i="7"/>
  <c r="O388" i="7"/>
  <c r="N388" i="7"/>
  <c r="M388" i="7"/>
  <c r="L388" i="7"/>
  <c r="AJ388" i="7" s="1"/>
  <c r="K388" i="7"/>
  <c r="AL387" i="7"/>
  <c r="AK387" i="7"/>
  <c r="AI387" i="7"/>
  <c r="AH387" i="7"/>
  <c r="AE387" i="7"/>
  <c r="AC387" i="7"/>
  <c r="Z387" i="7"/>
  <c r="AA387" i="7" s="1"/>
  <c r="AG387" i="7" s="1"/>
  <c r="W387" i="7"/>
  <c r="AD387" i="7" s="1"/>
  <c r="V387" i="7"/>
  <c r="U387" i="7"/>
  <c r="AF387" i="7" s="1"/>
  <c r="S387" i="7"/>
  <c r="R387" i="7"/>
  <c r="Q387" i="7"/>
  <c r="O387" i="7"/>
  <c r="N387" i="7"/>
  <c r="M387" i="7"/>
  <c r="L387" i="7"/>
  <c r="AJ387" i="7" s="1"/>
  <c r="K387" i="7"/>
  <c r="AL386" i="7"/>
  <c r="AK386" i="7"/>
  <c r="AI386" i="7"/>
  <c r="AH386" i="7"/>
  <c r="AE386" i="7"/>
  <c r="AC386" i="7"/>
  <c r="Z386" i="7"/>
  <c r="AA386" i="7" s="1"/>
  <c r="AG386" i="7" s="1"/>
  <c r="W386" i="7"/>
  <c r="AD386" i="7" s="1"/>
  <c r="V386" i="7"/>
  <c r="U386" i="7"/>
  <c r="AF386" i="7" s="1"/>
  <c r="S386" i="7"/>
  <c r="R386" i="7"/>
  <c r="Q386" i="7"/>
  <c r="O386" i="7"/>
  <c r="N386" i="7"/>
  <c r="M386" i="7"/>
  <c r="L386" i="7"/>
  <c r="AJ386" i="7" s="1"/>
  <c r="K386" i="7"/>
  <c r="AL385" i="7"/>
  <c r="AK385" i="7"/>
  <c r="AI385" i="7"/>
  <c r="AH385" i="7"/>
  <c r="AE385" i="7"/>
  <c r="AC385" i="7"/>
  <c r="Z385" i="7"/>
  <c r="AA385" i="7" s="1"/>
  <c r="AG385" i="7" s="1"/>
  <c r="W385" i="7"/>
  <c r="AD385" i="7" s="1"/>
  <c r="V385" i="7"/>
  <c r="U385" i="7"/>
  <c r="AF385" i="7" s="1"/>
  <c r="S385" i="7"/>
  <c r="R385" i="7"/>
  <c r="Q385" i="7"/>
  <c r="O385" i="7"/>
  <c r="N385" i="7"/>
  <c r="M385" i="7"/>
  <c r="L385" i="7"/>
  <c r="AJ385" i="7" s="1"/>
  <c r="K385" i="7"/>
  <c r="AL384" i="7"/>
  <c r="AK384" i="7"/>
  <c r="AI384" i="7"/>
  <c r="AH384" i="7"/>
  <c r="AE384" i="7"/>
  <c r="AC384" i="7"/>
  <c r="Z384" i="7"/>
  <c r="AA384" i="7" s="1"/>
  <c r="AG384" i="7" s="1"/>
  <c r="W384" i="7"/>
  <c r="AD384" i="7" s="1"/>
  <c r="V384" i="7"/>
  <c r="U384" i="7"/>
  <c r="AF384" i="7" s="1"/>
  <c r="S384" i="7"/>
  <c r="R384" i="7"/>
  <c r="Q384" i="7"/>
  <c r="O384" i="7"/>
  <c r="N384" i="7"/>
  <c r="M384" i="7"/>
  <c r="L384" i="7"/>
  <c r="AJ384" i="7" s="1"/>
  <c r="K384" i="7"/>
  <c r="AL383" i="7"/>
  <c r="AK383" i="7"/>
  <c r="AI383" i="7"/>
  <c r="AH383" i="7"/>
  <c r="AE383" i="7"/>
  <c r="AC383" i="7"/>
  <c r="Z383" i="7"/>
  <c r="AA383" i="7" s="1"/>
  <c r="AG383" i="7" s="1"/>
  <c r="W383" i="7"/>
  <c r="AD383" i="7" s="1"/>
  <c r="V383" i="7"/>
  <c r="U383" i="7"/>
  <c r="AF383" i="7" s="1"/>
  <c r="S383" i="7"/>
  <c r="R383" i="7"/>
  <c r="Q383" i="7"/>
  <c r="O383" i="7"/>
  <c r="N383" i="7"/>
  <c r="M383" i="7"/>
  <c r="L383" i="7"/>
  <c r="AJ383" i="7" s="1"/>
  <c r="K383" i="7"/>
  <c r="AL382" i="7"/>
  <c r="AK382" i="7"/>
  <c r="AI382" i="7"/>
  <c r="AH382" i="7"/>
  <c r="AE382" i="7"/>
  <c r="AC382" i="7"/>
  <c r="Z382" i="7"/>
  <c r="AA382" i="7" s="1"/>
  <c r="AG382" i="7" s="1"/>
  <c r="W382" i="7"/>
  <c r="AD382" i="7" s="1"/>
  <c r="V382" i="7"/>
  <c r="U382" i="7"/>
  <c r="AF382" i="7" s="1"/>
  <c r="S382" i="7"/>
  <c r="R382" i="7"/>
  <c r="Q382" i="7"/>
  <c r="O382" i="7"/>
  <c r="N382" i="7"/>
  <c r="M382" i="7"/>
  <c r="L382" i="7"/>
  <c r="AJ382" i="7" s="1"/>
  <c r="K382" i="7"/>
  <c r="AL381" i="7"/>
  <c r="AK381" i="7"/>
  <c r="AI381" i="7"/>
  <c r="AH381" i="7"/>
  <c r="AE381" i="7"/>
  <c r="AC381" i="7"/>
  <c r="Z381" i="7"/>
  <c r="AA381" i="7" s="1"/>
  <c r="AG381" i="7" s="1"/>
  <c r="W381" i="7"/>
  <c r="AD381" i="7" s="1"/>
  <c r="V381" i="7"/>
  <c r="U381" i="7"/>
  <c r="AF381" i="7" s="1"/>
  <c r="S381" i="7"/>
  <c r="R381" i="7"/>
  <c r="Q381" i="7"/>
  <c r="O381" i="7"/>
  <c r="N381" i="7"/>
  <c r="M381" i="7"/>
  <c r="L381" i="7"/>
  <c r="AJ381" i="7" s="1"/>
  <c r="K381" i="7"/>
  <c r="AL380" i="7"/>
  <c r="AK380" i="7"/>
  <c r="AI380" i="7"/>
  <c r="AH380" i="7"/>
  <c r="AE380" i="7"/>
  <c r="AC380" i="7"/>
  <c r="Z380" i="7"/>
  <c r="AA380" i="7" s="1"/>
  <c r="AG380" i="7" s="1"/>
  <c r="W380" i="7"/>
  <c r="AD380" i="7" s="1"/>
  <c r="V380" i="7"/>
  <c r="U380" i="7"/>
  <c r="AF380" i="7" s="1"/>
  <c r="S380" i="7"/>
  <c r="R380" i="7"/>
  <c r="Q380" i="7"/>
  <c r="O380" i="7"/>
  <c r="N380" i="7"/>
  <c r="M380" i="7"/>
  <c r="L380" i="7"/>
  <c r="AJ380" i="7" s="1"/>
  <c r="K380" i="7"/>
  <c r="AL379" i="7"/>
  <c r="AK379" i="7"/>
  <c r="AI379" i="7"/>
  <c r="AH379" i="7"/>
  <c r="AE379" i="7"/>
  <c r="AC379" i="7"/>
  <c r="Z379" i="7"/>
  <c r="AA379" i="7" s="1"/>
  <c r="AG379" i="7" s="1"/>
  <c r="W379" i="7"/>
  <c r="AD379" i="7" s="1"/>
  <c r="V379" i="7"/>
  <c r="U379" i="7"/>
  <c r="AF379" i="7" s="1"/>
  <c r="S379" i="7"/>
  <c r="R379" i="7"/>
  <c r="Q379" i="7"/>
  <c r="O379" i="7"/>
  <c r="N379" i="7"/>
  <c r="M379" i="7"/>
  <c r="L379" i="7"/>
  <c r="AJ379" i="7" s="1"/>
  <c r="K379" i="7"/>
  <c r="AL378" i="7"/>
  <c r="AK378" i="7"/>
  <c r="AI378" i="7"/>
  <c r="AH378" i="7"/>
  <c r="AE378" i="7"/>
  <c r="AC378" i="7"/>
  <c r="Z378" i="7"/>
  <c r="AA378" i="7" s="1"/>
  <c r="AG378" i="7" s="1"/>
  <c r="W378" i="7"/>
  <c r="AD378" i="7" s="1"/>
  <c r="V378" i="7"/>
  <c r="U378" i="7"/>
  <c r="AF378" i="7" s="1"/>
  <c r="S378" i="7"/>
  <c r="R378" i="7"/>
  <c r="Q378" i="7"/>
  <c r="O378" i="7"/>
  <c r="N378" i="7"/>
  <c r="M378" i="7"/>
  <c r="L378" i="7"/>
  <c r="AJ378" i="7" s="1"/>
  <c r="K378" i="7"/>
  <c r="AL377" i="7"/>
  <c r="AK377" i="7"/>
  <c r="AI377" i="7"/>
  <c r="AH377" i="7"/>
  <c r="AE377" i="7"/>
  <c r="AC377" i="7"/>
  <c r="Z377" i="7"/>
  <c r="AA377" i="7" s="1"/>
  <c r="AG377" i="7" s="1"/>
  <c r="W377" i="7"/>
  <c r="AD377" i="7" s="1"/>
  <c r="V377" i="7"/>
  <c r="U377" i="7"/>
  <c r="AF377" i="7" s="1"/>
  <c r="S377" i="7"/>
  <c r="R377" i="7"/>
  <c r="Q377" i="7"/>
  <c r="O377" i="7"/>
  <c r="N377" i="7"/>
  <c r="M377" i="7"/>
  <c r="L377" i="7"/>
  <c r="AJ377" i="7" s="1"/>
  <c r="K377" i="7"/>
  <c r="AL376" i="7"/>
  <c r="AK376" i="7"/>
  <c r="AI376" i="7"/>
  <c r="AH376" i="7"/>
  <c r="AE376" i="7"/>
  <c r="AC376" i="7"/>
  <c r="Z376" i="7"/>
  <c r="AA376" i="7" s="1"/>
  <c r="AG376" i="7" s="1"/>
  <c r="W376" i="7"/>
  <c r="AD376" i="7" s="1"/>
  <c r="V376" i="7"/>
  <c r="U376" i="7"/>
  <c r="AF376" i="7" s="1"/>
  <c r="S376" i="7"/>
  <c r="R376" i="7"/>
  <c r="Q376" i="7"/>
  <c r="O376" i="7"/>
  <c r="N376" i="7"/>
  <c r="M376" i="7"/>
  <c r="L376" i="7"/>
  <c r="AJ376" i="7" s="1"/>
  <c r="K376" i="7"/>
  <c r="AL375" i="7"/>
  <c r="AK375" i="7"/>
  <c r="AI375" i="7"/>
  <c r="AH375" i="7"/>
  <c r="AE375" i="7"/>
  <c r="AC375" i="7"/>
  <c r="Z375" i="7"/>
  <c r="AA375" i="7" s="1"/>
  <c r="AG375" i="7" s="1"/>
  <c r="W375" i="7"/>
  <c r="AD375" i="7" s="1"/>
  <c r="V375" i="7"/>
  <c r="U375" i="7"/>
  <c r="AF375" i="7" s="1"/>
  <c r="S375" i="7"/>
  <c r="R375" i="7"/>
  <c r="Q375" i="7"/>
  <c r="O375" i="7"/>
  <c r="N375" i="7"/>
  <c r="M375" i="7"/>
  <c r="L375" i="7"/>
  <c r="AJ375" i="7" s="1"/>
  <c r="K375" i="7"/>
  <c r="AL374" i="7"/>
  <c r="AK374" i="7"/>
  <c r="AI374" i="7"/>
  <c r="AH374" i="7"/>
  <c r="AE374" i="7"/>
  <c r="AC374" i="7"/>
  <c r="Z374" i="7"/>
  <c r="AA374" i="7" s="1"/>
  <c r="AG374" i="7" s="1"/>
  <c r="W374" i="7"/>
  <c r="AD374" i="7" s="1"/>
  <c r="V374" i="7"/>
  <c r="U374" i="7"/>
  <c r="AF374" i="7" s="1"/>
  <c r="S374" i="7"/>
  <c r="R374" i="7"/>
  <c r="Q374" i="7"/>
  <c r="O374" i="7"/>
  <c r="N374" i="7"/>
  <c r="M374" i="7"/>
  <c r="L374" i="7"/>
  <c r="AJ374" i="7" s="1"/>
  <c r="K374" i="7"/>
  <c r="AL373" i="7"/>
  <c r="AK373" i="7"/>
  <c r="AI373" i="7"/>
  <c r="AH373" i="7"/>
  <c r="AE373" i="7"/>
  <c r="AC373" i="7"/>
  <c r="Z373" i="7"/>
  <c r="AA373" i="7" s="1"/>
  <c r="AG373" i="7" s="1"/>
  <c r="W373" i="7"/>
  <c r="AD373" i="7" s="1"/>
  <c r="V373" i="7"/>
  <c r="U373" i="7"/>
  <c r="AF373" i="7" s="1"/>
  <c r="S373" i="7"/>
  <c r="R373" i="7"/>
  <c r="Q373" i="7"/>
  <c r="O373" i="7"/>
  <c r="N373" i="7"/>
  <c r="M373" i="7"/>
  <c r="L373" i="7"/>
  <c r="AJ373" i="7" s="1"/>
  <c r="K373" i="7"/>
  <c r="AL372" i="7"/>
  <c r="AK372" i="7"/>
  <c r="AI372" i="7"/>
  <c r="AH372" i="7"/>
  <c r="AE372" i="7"/>
  <c r="AC372" i="7"/>
  <c r="Z372" i="7"/>
  <c r="AA372" i="7" s="1"/>
  <c r="AG372" i="7" s="1"/>
  <c r="W372" i="7"/>
  <c r="AD372" i="7" s="1"/>
  <c r="V372" i="7"/>
  <c r="U372" i="7"/>
  <c r="AF372" i="7" s="1"/>
  <c r="S372" i="7"/>
  <c r="R372" i="7"/>
  <c r="Q372" i="7"/>
  <c r="O372" i="7"/>
  <c r="N372" i="7"/>
  <c r="M372" i="7"/>
  <c r="L372" i="7"/>
  <c r="AJ372" i="7" s="1"/>
  <c r="K372" i="7"/>
  <c r="AL371" i="7"/>
  <c r="AK371" i="7"/>
  <c r="AI371" i="7"/>
  <c r="AH371" i="7"/>
  <c r="AE371" i="7"/>
  <c r="AC371" i="7"/>
  <c r="Z371" i="7"/>
  <c r="AA371" i="7" s="1"/>
  <c r="AG371" i="7" s="1"/>
  <c r="W371" i="7"/>
  <c r="AD371" i="7" s="1"/>
  <c r="V371" i="7"/>
  <c r="U371" i="7"/>
  <c r="AF371" i="7" s="1"/>
  <c r="S371" i="7"/>
  <c r="R371" i="7"/>
  <c r="Q371" i="7"/>
  <c r="O371" i="7"/>
  <c r="N371" i="7"/>
  <c r="M371" i="7"/>
  <c r="L371" i="7"/>
  <c r="AJ371" i="7" s="1"/>
  <c r="K371" i="7"/>
  <c r="AL370" i="7"/>
  <c r="AK370" i="7"/>
  <c r="AI370" i="7"/>
  <c r="AH370" i="7"/>
  <c r="AE370" i="7"/>
  <c r="AC370" i="7"/>
  <c r="Z370" i="7"/>
  <c r="AA370" i="7" s="1"/>
  <c r="AG370" i="7" s="1"/>
  <c r="W370" i="7"/>
  <c r="AD370" i="7" s="1"/>
  <c r="V370" i="7"/>
  <c r="U370" i="7"/>
  <c r="AF370" i="7" s="1"/>
  <c r="S370" i="7"/>
  <c r="R370" i="7"/>
  <c r="Q370" i="7"/>
  <c r="O370" i="7"/>
  <c r="N370" i="7"/>
  <c r="M370" i="7"/>
  <c r="L370" i="7"/>
  <c r="AJ370" i="7" s="1"/>
  <c r="K370" i="7"/>
  <c r="AL369" i="7"/>
  <c r="AK369" i="7"/>
  <c r="AI369" i="7"/>
  <c r="AH369" i="7"/>
  <c r="AE369" i="7"/>
  <c r="AC369" i="7"/>
  <c r="Z369" i="7"/>
  <c r="AA369" i="7" s="1"/>
  <c r="AG369" i="7" s="1"/>
  <c r="W369" i="7"/>
  <c r="AD369" i="7" s="1"/>
  <c r="V369" i="7"/>
  <c r="U369" i="7"/>
  <c r="AF369" i="7" s="1"/>
  <c r="S369" i="7"/>
  <c r="R369" i="7"/>
  <c r="Q369" i="7"/>
  <c r="O369" i="7"/>
  <c r="N369" i="7"/>
  <c r="M369" i="7"/>
  <c r="L369" i="7"/>
  <c r="AJ369" i="7" s="1"/>
  <c r="K369" i="7"/>
  <c r="AL368" i="7"/>
  <c r="AK368" i="7"/>
  <c r="AI368" i="7"/>
  <c r="AH368" i="7"/>
  <c r="AE368" i="7"/>
  <c r="AC368" i="7"/>
  <c r="Z368" i="7"/>
  <c r="AA368" i="7" s="1"/>
  <c r="AG368" i="7" s="1"/>
  <c r="W368" i="7"/>
  <c r="AD368" i="7" s="1"/>
  <c r="V368" i="7"/>
  <c r="U368" i="7"/>
  <c r="AF368" i="7" s="1"/>
  <c r="S368" i="7"/>
  <c r="R368" i="7"/>
  <c r="Q368" i="7"/>
  <c r="O368" i="7"/>
  <c r="N368" i="7"/>
  <c r="M368" i="7"/>
  <c r="L368" i="7"/>
  <c r="AJ368" i="7" s="1"/>
  <c r="K368" i="7"/>
  <c r="AL367" i="7"/>
  <c r="AK367" i="7"/>
  <c r="AI367" i="7"/>
  <c r="AH367" i="7"/>
  <c r="AE367" i="7"/>
  <c r="AC367" i="7"/>
  <c r="Z367" i="7"/>
  <c r="AA367" i="7" s="1"/>
  <c r="AG367" i="7" s="1"/>
  <c r="W367" i="7"/>
  <c r="AD367" i="7" s="1"/>
  <c r="V367" i="7"/>
  <c r="U367" i="7"/>
  <c r="AF367" i="7" s="1"/>
  <c r="S367" i="7"/>
  <c r="R367" i="7"/>
  <c r="Q367" i="7"/>
  <c r="O367" i="7"/>
  <c r="N367" i="7"/>
  <c r="M367" i="7"/>
  <c r="L367" i="7"/>
  <c r="AJ367" i="7" s="1"/>
  <c r="K367" i="7"/>
  <c r="AL366" i="7"/>
  <c r="AK366" i="7"/>
  <c r="AI366" i="7"/>
  <c r="AH366" i="7"/>
  <c r="AE366" i="7"/>
  <c r="AC366" i="7"/>
  <c r="Z366" i="7"/>
  <c r="AA366" i="7" s="1"/>
  <c r="AG366" i="7" s="1"/>
  <c r="W366" i="7"/>
  <c r="AD366" i="7" s="1"/>
  <c r="V366" i="7"/>
  <c r="U366" i="7"/>
  <c r="AF366" i="7" s="1"/>
  <c r="S366" i="7"/>
  <c r="R366" i="7"/>
  <c r="Q366" i="7"/>
  <c r="O366" i="7"/>
  <c r="N366" i="7"/>
  <c r="M366" i="7"/>
  <c r="L366" i="7"/>
  <c r="AJ366" i="7" s="1"/>
  <c r="K366" i="7"/>
  <c r="AL365" i="7"/>
  <c r="AK365" i="7"/>
  <c r="AI365" i="7"/>
  <c r="AH365" i="7"/>
  <c r="AE365" i="7"/>
  <c r="AC365" i="7"/>
  <c r="Z365" i="7"/>
  <c r="AA365" i="7" s="1"/>
  <c r="AG365" i="7" s="1"/>
  <c r="W365" i="7"/>
  <c r="AD365" i="7" s="1"/>
  <c r="V365" i="7"/>
  <c r="U365" i="7"/>
  <c r="AF365" i="7" s="1"/>
  <c r="S365" i="7"/>
  <c r="R365" i="7"/>
  <c r="Q365" i="7"/>
  <c r="O365" i="7"/>
  <c r="N365" i="7"/>
  <c r="M365" i="7"/>
  <c r="L365" i="7"/>
  <c r="AJ365" i="7" s="1"/>
  <c r="K365" i="7"/>
  <c r="AL364" i="7"/>
  <c r="AK364" i="7"/>
  <c r="AI364" i="7"/>
  <c r="AH364" i="7"/>
  <c r="AE364" i="7"/>
  <c r="AC364" i="7"/>
  <c r="Z364" i="7"/>
  <c r="AA364" i="7" s="1"/>
  <c r="AG364" i="7" s="1"/>
  <c r="W364" i="7"/>
  <c r="AD364" i="7" s="1"/>
  <c r="V364" i="7"/>
  <c r="U364" i="7"/>
  <c r="AF364" i="7" s="1"/>
  <c r="S364" i="7"/>
  <c r="R364" i="7"/>
  <c r="Q364" i="7"/>
  <c r="O364" i="7"/>
  <c r="N364" i="7"/>
  <c r="M364" i="7"/>
  <c r="L364" i="7"/>
  <c r="AJ364" i="7" s="1"/>
  <c r="K364" i="7"/>
  <c r="AL363" i="7"/>
  <c r="AK363" i="7"/>
  <c r="AI363" i="7"/>
  <c r="AH363" i="7"/>
  <c r="AE363" i="7"/>
  <c r="AC363" i="7"/>
  <c r="Z363" i="7"/>
  <c r="AA363" i="7" s="1"/>
  <c r="AG363" i="7" s="1"/>
  <c r="W363" i="7"/>
  <c r="AD363" i="7" s="1"/>
  <c r="V363" i="7"/>
  <c r="U363" i="7"/>
  <c r="AF363" i="7" s="1"/>
  <c r="S363" i="7"/>
  <c r="R363" i="7"/>
  <c r="Q363" i="7"/>
  <c r="O363" i="7"/>
  <c r="N363" i="7"/>
  <c r="M363" i="7"/>
  <c r="L363" i="7"/>
  <c r="AJ363" i="7" s="1"/>
  <c r="K363" i="7"/>
  <c r="AL362" i="7"/>
  <c r="AK362" i="7"/>
  <c r="AI362" i="7"/>
  <c r="AH362" i="7"/>
  <c r="AE362" i="7"/>
  <c r="AC362" i="7"/>
  <c r="Z362" i="7"/>
  <c r="AA362" i="7" s="1"/>
  <c r="AG362" i="7" s="1"/>
  <c r="W362" i="7"/>
  <c r="AD362" i="7" s="1"/>
  <c r="V362" i="7"/>
  <c r="U362" i="7"/>
  <c r="AF362" i="7" s="1"/>
  <c r="S362" i="7"/>
  <c r="R362" i="7"/>
  <c r="Q362" i="7"/>
  <c r="O362" i="7"/>
  <c r="N362" i="7"/>
  <c r="M362" i="7"/>
  <c r="L362" i="7"/>
  <c r="AJ362" i="7" s="1"/>
  <c r="K362" i="7"/>
  <c r="AL361" i="7"/>
  <c r="AK361" i="7"/>
  <c r="AI361" i="7"/>
  <c r="AH361" i="7"/>
  <c r="AE361" i="7"/>
  <c r="AC361" i="7"/>
  <c r="Z361" i="7"/>
  <c r="AA361" i="7" s="1"/>
  <c r="AG361" i="7" s="1"/>
  <c r="W361" i="7"/>
  <c r="AD361" i="7" s="1"/>
  <c r="V361" i="7"/>
  <c r="U361" i="7"/>
  <c r="AF361" i="7" s="1"/>
  <c r="S361" i="7"/>
  <c r="R361" i="7"/>
  <c r="Q361" i="7"/>
  <c r="O361" i="7"/>
  <c r="N361" i="7"/>
  <c r="M361" i="7"/>
  <c r="L361" i="7"/>
  <c r="AJ361" i="7" s="1"/>
  <c r="K361" i="7"/>
  <c r="AL360" i="7"/>
  <c r="AK360" i="7"/>
  <c r="AI360" i="7"/>
  <c r="AH360" i="7"/>
  <c r="AE360" i="7"/>
  <c r="AC360" i="7"/>
  <c r="Z360" i="7"/>
  <c r="AA360" i="7" s="1"/>
  <c r="AG360" i="7" s="1"/>
  <c r="W360" i="7"/>
  <c r="AD360" i="7" s="1"/>
  <c r="V360" i="7"/>
  <c r="U360" i="7"/>
  <c r="AF360" i="7" s="1"/>
  <c r="S360" i="7"/>
  <c r="R360" i="7"/>
  <c r="Q360" i="7"/>
  <c r="O360" i="7"/>
  <c r="N360" i="7"/>
  <c r="M360" i="7"/>
  <c r="L360" i="7"/>
  <c r="AJ360" i="7" s="1"/>
  <c r="K360" i="7"/>
  <c r="AL359" i="7"/>
  <c r="AK359" i="7"/>
  <c r="AI359" i="7"/>
  <c r="AH359" i="7"/>
  <c r="AE359" i="7"/>
  <c r="AC359" i="7"/>
  <c r="Z359" i="7"/>
  <c r="AA359" i="7" s="1"/>
  <c r="AG359" i="7" s="1"/>
  <c r="W359" i="7"/>
  <c r="AD359" i="7" s="1"/>
  <c r="V359" i="7"/>
  <c r="U359" i="7"/>
  <c r="AF359" i="7" s="1"/>
  <c r="S359" i="7"/>
  <c r="R359" i="7"/>
  <c r="Q359" i="7"/>
  <c r="O359" i="7"/>
  <c r="N359" i="7"/>
  <c r="M359" i="7"/>
  <c r="L359" i="7"/>
  <c r="AJ359" i="7" s="1"/>
  <c r="K359" i="7"/>
  <c r="AL358" i="7"/>
  <c r="AK358" i="7"/>
  <c r="AI358" i="7"/>
  <c r="AH358" i="7"/>
  <c r="AE358" i="7"/>
  <c r="AC358" i="7"/>
  <c r="Z358" i="7"/>
  <c r="AA358" i="7" s="1"/>
  <c r="AG358" i="7" s="1"/>
  <c r="W358" i="7"/>
  <c r="AD358" i="7" s="1"/>
  <c r="V358" i="7"/>
  <c r="U358" i="7"/>
  <c r="AF358" i="7" s="1"/>
  <c r="S358" i="7"/>
  <c r="R358" i="7"/>
  <c r="Q358" i="7"/>
  <c r="O358" i="7"/>
  <c r="N358" i="7"/>
  <c r="M358" i="7"/>
  <c r="L358" i="7"/>
  <c r="AJ358" i="7" s="1"/>
  <c r="K358" i="7"/>
  <c r="AL357" i="7"/>
  <c r="AK357" i="7"/>
  <c r="AI357" i="7"/>
  <c r="AH357" i="7"/>
  <c r="AE357" i="7"/>
  <c r="AC357" i="7"/>
  <c r="Z357" i="7"/>
  <c r="AA357" i="7" s="1"/>
  <c r="AG357" i="7" s="1"/>
  <c r="W357" i="7"/>
  <c r="AD357" i="7" s="1"/>
  <c r="V357" i="7"/>
  <c r="U357" i="7"/>
  <c r="AF357" i="7" s="1"/>
  <c r="S357" i="7"/>
  <c r="R357" i="7"/>
  <c r="Q357" i="7"/>
  <c r="O357" i="7"/>
  <c r="N357" i="7"/>
  <c r="M357" i="7"/>
  <c r="L357" i="7"/>
  <c r="AJ357" i="7" s="1"/>
  <c r="K357" i="7"/>
  <c r="AL356" i="7"/>
  <c r="AK356" i="7"/>
  <c r="AI356" i="7"/>
  <c r="AH356" i="7"/>
  <c r="AE356" i="7"/>
  <c r="AC356" i="7"/>
  <c r="Z356" i="7"/>
  <c r="AA356" i="7" s="1"/>
  <c r="AG356" i="7" s="1"/>
  <c r="W356" i="7"/>
  <c r="AD356" i="7" s="1"/>
  <c r="V356" i="7"/>
  <c r="U356" i="7"/>
  <c r="AF356" i="7" s="1"/>
  <c r="S356" i="7"/>
  <c r="R356" i="7"/>
  <c r="Q356" i="7"/>
  <c r="O356" i="7"/>
  <c r="N356" i="7"/>
  <c r="M356" i="7"/>
  <c r="L356" i="7"/>
  <c r="AJ356" i="7" s="1"/>
  <c r="K356" i="7"/>
  <c r="AL355" i="7"/>
  <c r="AK355" i="7"/>
  <c r="AI355" i="7"/>
  <c r="AH355" i="7"/>
  <c r="AE355" i="7"/>
  <c r="AC355" i="7"/>
  <c r="Z355" i="7"/>
  <c r="AA355" i="7" s="1"/>
  <c r="AG355" i="7" s="1"/>
  <c r="W355" i="7"/>
  <c r="AD355" i="7" s="1"/>
  <c r="V355" i="7"/>
  <c r="U355" i="7"/>
  <c r="AF355" i="7" s="1"/>
  <c r="S355" i="7"/>
  <c r="R355" i="7"/>
  <c r="Q355" i="7"/>
  <c r="O355" i="7"/>
  <c r="N355" i="7"/>
  <c r="M355" i="7"/>
  <c r="L355" i="7"/>
  <c r="AJ355" i="7" s="1"/>
  <c r="K355" i="7"/>
  <c r="AL354" i="7"/>
  <c r="AK354" i="7"/>
  <c r="AI354" i="7"/>
  <c r="AH354" i="7"/>
  <c r="AE354" i="7"/>
  <c r="AC354" i="7"/>
  <c r="Z354" i="7"/>
  <c r="AA354" i="7" s="1"/>
  <c r="AG354" i="7" s="1"/>
  <c r="W354" i="7"/>
  <c r="AD354" i="7" s="1"/>
  <c r="V354" i="7"/>
  <c r="U354" i="7"/>
  <c r="AF354" i="7" s="1"/>
  <c r="S354" i="7"/>
  <c r="R354" i="7"/>
  <c r="Q354" i="7"/>
  <c r="O354" i="7"/>
  <c r="N354" i="7"/>
  <c r="M354" i="7"/>
  <c r="L354" i="7"/>
  <c r="AJ354" i="7" s="1"/>
  <c r="K354" i="7"/>
  <c r="AL353" i="7"/>
  <c r="AK353" i="7"/>
  <c r="AI353" i="7"/>
  <c r="AH353" i="7"/>
  <c r="AE353" i="7"/>
  <c r="AC353" i="7"/>
  <c r="Z353" i="7"/>
  <c r="AA353" i="7" s="1"/>
  <c r="AG353" i="7" s="1"/>
  <c r="W353" i="7"/>
  <c r="AD353" i="7" s="1"/>
  <c r="V353" i="7"/>
  <c r="U353" i="7"/>
  <c r="AF353" i="7" s="1"/>
  <c r="S353" i="7"/>
  <c r="R353" i="7"/>
  <c r="Q353" i="7"/>
  <c r="O353" i="7"/>
  <c r="N353" i="7"/>
  <c r="M353" i="7"/>
  <c r="L353" i="7"/>
  <c r="AJ353" i="7" s="1"/>
  <c r="K353" i="7"/>
  <c r="AL352" i="7"/>
  <c r="AK352" i="7"/>
  <c r="AI352" i="7"/>
  <c r="AH352" i="7"/>
  <c r="AE352" i="7"/>
  <c r="AC352" i="7"/>
  <c r="Z352" i="7"/>
  <c r="AA352" i="7" s="1"/>
  <c r="AG352" i="7" s="1"/>
  <c r="W352" i="7"/>
  <c r="AD352" i="7" s="1"/>
  <c r="V352" i="7"/>
  <c r="U352" i="7"/>
  <c r="AF352" i="7" s="1"/>
  <c r="S352" i="7"/>
  <c r="R352" i="7"/>
  <c r="Q352" i="7"/>
  <c r="O352" i="7"/>
  <c r="N352" i="7"/>
  <c r="M352" i="7"/>
  <c r="L352" i="7"/>
  <c r="AJ352" i="7" s="1"/>
  <c r="K352" i="7"/>
  <c r="AL351" i="7"/>
  <c r="AK351" i="7"/>
  <c r="AI351" i="7"/>
  <c r="AH351" i="7"/>
  <c r="AE351" i="7"/>
  <c r="AC351" i="7"/>
  <c r="Z351" i="7"/>
  <c r="AA351" i="7" s="1"/>
  <c r="AG351" i="7" s="1"/>
  <c r="W351" i="7"/>
  <c r="AD351" i="7" s="1"/>
  <c r="V351" i="7"/>
  <c r="U351" i="7"/>
  <c r="AF351" i="7" s="1"/>
  <c r="S351" i="7"/>
  <c r="R351" i="7"/>
  <c r="Q351" i="7"/>
  <c r="O351" i="7"/>
  <c r="N351" i="7"/>
  <c r="M351" i="7"/>
  <c r="L351" i="7"/>
  <c r="AJ351" i="7" s="1"/>
  <c r="K351" i="7"/>
  <c r="AL350" i="7"/>
  <c r="AK350" i="7"/>
  <c r="AI350" i="7"/>
  <c r="AH350" i="7"/>
  <c r="AE350" i="7"/>
  <c r="AC350" i="7"/>
  <c r="Z350" i="7"/>
  <c r="AA350" i="7" s="1"/>
  <c r="AG350" i="7" s="1"/>
  <c r="W350" i="7"/>
  <c r="AD350" i="7" s="1"/>
  <c r="V350" i="7"/>
  <c r="U350" i="7"/>
  <c r="AF350" i="7" s="1"/>
  <c r="S350" i="7"/>
  <c r="R350" i="7"/>
  <c r="Q350" i="7"/>
  <c r="O350" i="7"/>
  <c r="N350" i="7"/>
  <c r="M350" i="7"/>
  <c r="L350" i="7"/>
  <c r="AJ350" i="7" s="1"/>
  <c r="K350" i="7"/>
  <c r="AL349" i="7"/>
  <c r="AK349" i="7"/>
  <c r="AI349" i="7"/>
  <c r="AH349" i="7"/>
  <c r="AE349" i="7"/>
  <c r="AC349" i="7"/>
  <c r="Z349" i="7"/>
  <c r="AA349" i="7" s="1"/>
  <c r="AG349" i="7" s="1"/>
  <c r="W349" i="7"/>
  <c r="AD349" i="7" s="1"/>
  <c r="V349" i="7"/>
  <c r="U349" i="7"/>
  <c r="AF349" i="7" s="1"/>
  <c r="S349" i="7"/>
  <c r="R349" i="7"/>
  <c r="Q349" i="7"/>
  <c r="O349" i="7"/>
  <c r="N349" i="7"/>
  <c r="M349" i="7"/>
  <c r="L349" i="7"/>
  <c r="AJ349" i="7" s="1"/>
  <c r="K349" i="7"/>
  <c r="AL348" i="7"/>
  <c r="AK348" i="7"/>
  <c r="AI348" i="7"/>
  <c r="AH348" i="7"/>
  <c r="AE348" i="7"/>
  <c r="AC348" i="7"/>
  <c r="Z348" i="7"/>
  <c r="AA348" i="7" s="1"/>
  <c r="AG348" i="7" s="1"/>
  <c r="W348" i="7"/>
  <c r="AD348" i="7" s="1"/>
  <c r="V348" i="7"/>
  <c r="U348" i="7"/>
  <c r="AF348" i="7" s="1"/>
  <c r="S348" i="7"/>
  <c r="R348" i="7"/>
  <c r="Q348" i="7"/>
  <c r="O348" i="7"/>
  <c r="N348" i="7"/>
  <c r="M348" i="7"/>
  <c r="L348" i="7"/>
  <c r="AJ348" i="7" s="1"/>
  <c r="K348" i="7"/>
  <c r="AL347" i="7"/>
  <c r="AK347" i="7"/>
  <c r="AI347" i="7"/>
  <c r="AH347" i="7"/>
  <c r="AE347" i="7"/>
  <c r="AC347" i="7"/>
  <c r="Z347" i="7"/>
  <c r="AA347" i="7" s="1"/>
  <c r="AG347" i="7" s="1"/>
  <c r="W347" i="7"/>
  <c r="AD347" i="7" s="1"/>
  <c r="V347" i="7"/>
  <c r="U347" i="7"/>
  <c r="AF347" i="7" s="1"/>
  <c r="S347" i="7"/>
  <c r="R347" i="7"/>
  <c r="Q347" i="7"/>
  <c r="O347" i="7"/>
  <c r="N347" i="7"/>
  <c r="M347" i="7"/>
  <c r="L347" i="7"/>
  <c r="AJ347" i="7" s="1"/>
  <c r="K347" i="7"/>
  <c r="AL346" i="7"/>
  <c r="AK346" i="7"/>
  <c r="AI346" i="7"/>
  <c r="AH346" i="7"/>
  <c r="AE346" i="7"/>
  <c r="AC346" i="7"/>
  <c r="Z346" i="7"/>
  <c r="AA346" i="7" s="1"/>
  <c r="AG346" i="7" s="1"/>
  <c r="W346" i="7"/>
  <c r="AD346" i="7" s="1"/>
  <c r="V346" i="7"/>
  <c r="U346" i="7"/>
  <c r="AF346" i="7" s="1"/>
  <c r="S346" i="7"/>
  <c r="R346" i="7"/>
  <c r="Q346" i="7"/>
  <c r="O346" i="7"/>
  <c r="N346" i="7"/>
  <c r="M346" i="7"/>
  <c r="L346" i="7"/>
  <c r="AJ346" i="7" s="1"/>
  <c r="K346" i="7"/>
  <c r="AL345" i="7"/>
  <c r="AK345" i="7"/>
  <c r="AI345" i="7"/>
  <c r="AH345" i="7"/>
  <c r="AE345" i="7"/>
  <c r="AC345" i="7"/>
  <c r="Z345" i="7"/>
  <c r="AA345" i="7" s="1"/>
  <c r="AG345" i="7" s="1"/>
  <c r="W345" i="7"/>
  <c r="AD345" i="7" s="1"/>
  <c r="V345" i="7"/>
  <c r="U345" i="7"/>
  <c r="AF345" i="7" s="1"/>
  <c r="S345" i="7"/>
  <c r="R345" i="7"/>
  <c r="Q345" i="7"/>
  <c r="O345" i="7"/>
  <c r="N345" i="7"/>
  <c r="M345" i="7"/>
  <c r="L345" i="7"/>
  <c r="AJ345" i="7" s="1"/>
  <c r="K345" i="7"/>
  <c r="AL344" i="7"/>
  <c r="AK344" i="7"/>
  <c r="AI344" i="7"/>
  <c r="AH344" i="7"/>
  <c r="AE344" i="7"/>
  <c r="AC344" i="7"/>
  <c r="Z344" i="7"/>
  <c r="AA344" i="7" s="1"/>
  <c r="AG344" i="7" s="1"/>
  <c r="W344" i="7"/>
  <c r="AD344" i="7" s="1"/>
  <c r="V344" i="7"/>
  <c r="U344" i="7"/>
  <c r="AF344" i="7" s="1"/>
  <c r="S344" i="7"/>
  <c r="R344" i="7"/>
  <c r="Q344" i="7"/>
  <c r="O344" i="7"/>
  <c r="N344" i="7"/>
  <c r="M344" i="7"/>
  <c r="L344" i="7"/>
  <c r="AJ344" i="7" s="1"/>
  <c r="K344" i="7"/>
  <c r="AL343" i="7"/>
  <c r="AK343" i="7"/>
  <c r="AI343" i="7"/>
  <c r="AH343" i="7"/>
  <c r="AE343" i="7"/>
  <c r="AC343" i="7"/>
  <c r="Z343" i="7"/>
  <c r="AA343" i="7" s="1"/>
  <c r="AG343" i="7" s="1"/>
  <c r="W343" i="7"/>
  <c r="AD343" i="7" s="1"/>
  <c r="V343" i="7"/>
  <c r="U343" i="7"/>
  <c r="AF343" i="7" s="1"/>
  <c r="S343" i="7"/>
  <c r="R343" i="7"/>
  <c r="Q343" i="7"/>
  <c r="O343" i="7"/>
  <c r="N343" i="7"/>
  <c r="M343" i="7"/>
  <c r="L343" i="7"/>
  <c r="AJ343" i="7" s="1"/>
  <c r="K343" i="7"/>
  <c r="AL342" i="7"/>
  <c r="AK342" i="7"/>
  <c r="AI342" i="7"/>
  <c r="AH342" i="7"/>
  <c r="AE342" i="7"/>
  <c r="AC342" i="7"/>
  <c r="Z342" i="7"/>
  <c r="AA342" i="7" s="1"/>
  <c r="AG342" i="7" s="1"/>
  <c r="W342" i="7"/>
  <c r="AD342" i="7" s="1"/>
  <c r="V342" i="7"/>
  <c r="U342" i="7"/>
  <c r="AF342" i="7" s="1"/>
  <c r="S342" i="7"/>
  <c r="R342" i="7"/>
  <c r="Q342" i="7"/>
  <c r="O342" i="7"/>
  <c r="N342" i="7"/>
  <c r="M342" i="7"/>
  <c r="L342" i="7"/>
  <c r="AJ342" i="7" s="1"/>
  <c r="K342" i="7"/>
  <c r="AL341" i="7"/>
  <c r="AK341" i="7"/>
  <c r="AI341" i="7"/>
  <c r="AH341" i="7"/>
  <c r="AE341" i="7"/>
  <c r="AC341" i="7"/>
  <c r="Z341" i="7"/>
  <c r="AA341" i="7" s="1"/>
  <c r="AG341" i="7" s="1"/>
  <c r="W341" i="7"/>
  <c r="AD341" i="7" s="1"/>
  <c r="V341" i="7"/>
  <c r="U341" i="7"/>
  <c r="AF341" i="7" s="1"/>
  <c r="S341" i="7"/>
  <c r="R341" i="7"/>
  <c r="Q341" i="7"/>
  <c r="O341" i="7"/>
  <c r="N341" i="7"/>
  <c r="M341" i="7"/>
  <c r="L341" i="7"/>
  <c r="AJ341" i="7" s="1"/>
  <c r="K341" i="7"/>
  <c r="AL340" i="7"/>
  <c r="AK340" i="7"/>
  <c r="AI340" i="7"/>
  <c r="AH340" i="7"/>
  <c r="AE340" i="7"/>
  <c r="AC340" i="7"/>
  <c r="Z340" i="7"/>
  <c r="AA340" i="7" s="1"/>
  <c r="AG340" i="7" s="1"/>
  <c r="W340" i="7"/>
  <c r="AD340" i="7" s="1"/>
  <c r="V340" i="7"/>
  <c r="U340" i="7"/>
  <c r="AF340" i="7" s="1"/>
  <c r="S340" i="7"/>
  <c r="R340" i="7"/>
  <c r="Q340" i="7"/>
  <c r="O340" i="7"/>
  <c r="N340" i="7"/>
  <c r="M340" i="7"/>
  <c r="L340" i="7"/>
  <c r="AJ340" i="7" s="1"/>
  <c r="K340" i="7"/>
  <c r="AL339" i="7"/>
  <c r="AK339" i="7"/>
  <c r="AI339" i="7"/>
  <c r="AH339" i="7"/>
  <c r="AE339" i="7"/>
  <c r="AC339" i="7"/>
  <c r="Z339" i="7"/>
  <c r="AA339" i="7" s="1"/>
  <c r="AG339" i="7" s="1"/>
  <c r="W339" i="7"/>
  <c r="AD339" i="7" s="1"/>
  <c r="V339" i="7"/>
  <c r="U339" i="7"/>
  <c r="AF339" i="7" s="1"/>
  <c r="S339" i="7"/>
  <c r="R339" i="7"/>
  <c r="Q339" i="7"/>
  <c r="O339" i="7"/>
  <c r="N339" i="7"/>
  <c r="M339" i="7"/>
  <c r="L339" i="7"/>
  <c r="AJ339" i="7" s="1"/>
  <c r="K339" i="7"/>
  <c r="AL338" i="7"/>
  <c r="AK338" i="7"/>
  <c r="AI338" i="7"/>
  <c r="AH338" i="7"/>
  <c r="AE338" i="7"/>
  <c r="AC338" i="7"/>
  <c r="Z338" i="7"/>
  <c r="AA338" i="7" s="1"/>
  <c r="AG338" i="7" s="1"/>
  <c r="W338" i="7"/>
  <c r="AD338" i="7" s="1"/>
  <c r="V338" i="7"/>
  <c r="U338" i="7"/>
  <c r="AF338" i="7" s="1"/>
  <c r="S338" i="7"/>
  <c r="R338" i="7"/>
  <c r="Q338" i="7"/>
  <c r="O338" i="7"/>
  <c r="N338" i="7"/>
  <c r="M338" i="7"/>
  <c r="L338" i="7"/>
  <c r="AJ338" i="7" s="1"/>
  <c r="K338" i="7"/>
  <c r="AL337" i="7"/>
  <c r="AK337" i="7"/>
  <c r="AI337" i="7"/>
  <c r="AH337" i="7"/>
  <c r="AE337" i="7"/>
  <c r="AC337" i="7"/>
  <c r="Z337" i="7"/>
  <c r="AA337" i="7" s="1"/>
  <c r="AG337" i="7" s="1"/>
  <c r="W337" i="7"/>
  <c r="AD337" i="7" s="1"/>
  <c r="V337" i="7"/>
  <c r="U337" i="7"/>
  <c r="AF337" i="7" s="1"/>
  <c r="S337" i="7"/>
  <c r="R337" i="7"/>
  <c r="Q337" i="7"/>
  <c r="O337" i="7"/>
  <c r="N337" i="7"/>
  <c r="M337" i="7"/>
  <c r="L337" i="7"/>
  <c r="AJ337" i="7" s="1"/>
  <c r="K337" i="7"/>
  <c r="AL336" i="7"/>
  <c r="AK336" i="7"/>
  <c r="AI336" i="7"/>
  <c r="AH336" i="7"/>
  <c r="AE336" i="7"/>
  <c r="AC336" i="7"/>
  <c r="Z336" i="7"/>
  <c r="AA336" i="7" s="1"/>
  <c r="AG336" i="7" s="1"/>
  <c r="W336" i="7"/>
  <c r="AD336" i="7" s="1"/>
  <c r="V336" i="7"/>
  <c r="U336" i="7"/>
  <c r="AF336" i="7" s="1"/>
  <c r="S336" i="7"/>
  <c r="R336" i="7"/>
  <c r="Q336" i="7"/>
  <c r="O336" i="7"/>
  <c r="N336" i="7"/>
  <c r="M336" i="7"/>
  <c r="L336" i="7"/>
  <c r="AJ336" i="7" s="1"/>
  <c r="K336" i="7"/>
  <c r="AL335" i="7"/>
  <c r="AK335" i="7"/>
  <c r="AI335" i="7"/>
  <c r="AH335" i="7"/>
  <c r="AE335" i="7"/>
  <c r="AC335" i="7"/>
  <c r="Z335" i="7"/>
  <c r="AA335" i="7" s="1"/>
  <c r="AG335" i="7" s="1"/>
  <c r="W335" i="7"/>
  <c r="AD335" i="7" s="1"/>
  <c r="V335" i="7"/>
  <c r="U335" i="7"/>
  <c r="AF335" i="7" s="1"/>
  <c r="S335" i="7"/>
  <c r="R335" i="7"/>
  <c r="Q335" i="7"/>
  <c r="O335" i="7"/>
  <c r="N335" i="7"/>
  <c r="M335" i="7"/>
  <c r="L335" i="7"/>
  <c r="AJ335" i="7" s="1"/>
  <c r="K335" i="7"/>
  <c r="AL334" i="7"/>
  <c r="AK334" i="7"/>
  <c r="AI334" i="7"/>
  <c r="AH334" i="7"/>
  <c r="AE334" i="7"/>
  <c r="AC334" i="7"/>
  <c r="Z334" i="7"/>
  <c r="AA334" i="7" s="1"/>
  <c r="AG334" i="7" s="1"/>
  <c r="W334" i="7"/>
  <c r="AD334" i="7" s="1"/>
  <c r="V334" i="7"/>
  <c r="U334" i="7"/>
  <c r="AF334" i="7" s="1"/>
  <c r="S334" i="7"/>
  <c r="R334" i="7"/>
  <c r="Q334" i="7"/>
  <c r="O334" i="7"/>
  <c r="N334" i="7"/>
  <c r="M334" i="7"/>
  <c r="L334" i="7"/>
  <c r="AJ334" i="7" s="1"/>
  <c r="K334" i="7"/>
  <c r="AL333" i="7"/>
  <c r="AK333" i="7"/>
  <c r="AI333" i="7"/>
  <c r="AH333" i="7"/>
  <c r="AD333" i="7"/>
  <c r="AC333" i="7"/>
  <c r="AE333" i="7" s="1"/>
  <c r="AA333" i="7"/>
  <c r="AG333" i="7" s="1"/>
  <c r="Z333" i="7"/>
  <c r="W333" i="7"/>
  <c r="V333" i="7"/>
  <c r="U333" i="7"/>
  <c r="AF333" i="7" s="1"/>
  <c r="S333" i="7"/>
  <c r="R333" i="7"/>
  <c r="Q333" i="7"/>
  <c r="O333" i="7"/>
  <c r="N333" i="7"/>
  <c r="M333" i="7"/>
  <c r="L333" i="7"/>
  <c r="AJ333" i="7" s="1"/>
  <c r="K333" i="7"/>
  <c r="AL332" i="7"/>
  <c r="AK332" i="7"/>
  <c r="AI332" i="7"/>
  <c r="AH332" i="7"/>
  <c r="AE332" i="7"/>
  <c r="AD332" i="7"/>
  <c r="AC332" i="7"/>
  <c r="AA332" i="7"/>
  <c r="AG332" i="7" s="1"/>
  <c r="Z332" i="7"/>
  <c r="W332" i="7"/>
  <c r="V332" i="7"/>
  <c r="U332" i="7"/>
  <c r="AF332" i="7" s="1"/>
  <c r="S332" i="7"/>
  <c r="R332" i="7"/>
  <c r="Q332" i="7"/>
  <c r="O332" i="7"/>
  <c r="N332" i="7"/>
  <c r="M332" i="7"/>
  <c r="L332" i="7"/>
  <c r="AJ332" i="7" s="1"/>
  <c r="K332" i="7"/>
  <c r="AL331" i="7"/>
  <c r="AK331" i="7"/>
  <c r="AI331" i="7"/>
  <c r="AH331" i="7"/>
  <c r="AD331" i="7"/>
  <c r="AC331" i="7"/>
  <c r="AE331" i="7" s="1"/>
  <c r="AA331" i="7"/>
  <c r="AG331" i="7" s="1"/>
  <c r="Z331" i="7"/>
  <c r="W331" i="7"/>
  <c r="V331" i="7"/>
  <c r="U331" i="7"/>
  <c r="AF331" i="7" s="1"/>
  <c r="S331" i="7"/>
  <c r="R331" i="7"/>
  <c r="Q331" i="7"/>
  <c r="O331" i="7"/>
  <c r="N331" i="7"/>
  <c r="M331" i="7"/>
  <c r="L331" i="7"/>
  <c r="AJ331" i="7" s="1"/>
  <c r="K331" i="7"/>
  <c r="AL330" i="7"/>
  <c r="AK330" i="7"/>
  <c r="AI330" i="7"/>
  <c r="AH330" i="7"/>
  <c r="AE330" i="7"/>
  <c r="AD330" i="7"/>
  <c r="AC330" i="7"/>
  <c r="AA330" i="7"/>
  <c r="AG330" i="7" s="1"/>
  <c r="Z330" i="7"/>
  <c r="W330" i="7"/>
  <c r="V330" i="7"/>
  <c r="U330" i="7"/>
  <c r="AF330" i="7" s="1"/>
  <c r="S330" i="7"/>
  <c r="R330" i="7"/>
  <c r="Q330" i="7"/>
  <c r="O330" i="7"/>
  <c r="N330" i="7"/>
  <c r="M330" i="7"/>
  <c r="L330" i="7"/>
  <c r="AJ330" i="7" s="1"/>
  <c r="K330" i="7"/>
  <c r="AL329" i="7"/>
  <c r="AK329" i="7"/>
  <c r="AI329" i="7"/>
  <c r="AH329" i="7"/>
  <c r="AD329" i="7"/>
  <c r="AC329" i="7"/>
  <c r="AE329" i="7" s="1"/>
  <c r="AA329" i="7"/>
  <c r="AG329" i="7" s="1"/>
  <c r="Z329" i="7"/>
  <c r="W329" i="7"/>
  <c r="V329" i="7"/>
  <c r="U329" i="7"/>
  <c r="AF329" i="7" s="1"/>
  <c r="S329" i="7"/>
  <c r="R329" i="7"/>
  <c r="Q329" i="7"/>
  <c r="O329" i="7"/>
  <c r="N329" i="7"/>
  <c r="M329" i="7"/>
  <c r="L329" i="7"/>
  <c r="AJ329" i="7" s="1"/>
  <c r="K329" i="7"/>
  <c r="AL328" i="7"/>
  <c r="AK328" i="7"/>
  <c r="AI328" i="7"/>
  <c r="AH328" i="7"/>
  <c r="AE328" i="7"/>
  <c r="AD328" i="7"/>
  <c r="AC328" i="7"/>
  <c r="AA328" i="7"/>
  <c r="AG328" i="7" s="1"/>
  <c r="Z328" i="7"/>
  <c r="W328" i="7"/>
  <c r="V328" i="7"/>
  <c r="U328" i="7"/>
  <c r="AF328" i="7" s="1"/>
  <c r="S328" i="7"/>
  <c r="R328" i="7"/>
  <c r="Q328" i="7"/>
  <c r="O328" i="7"/>
  <c r="N328" i="7"/>
  <c r="M328" i="7"/>
  <c r="L328" i="7"/>
  <c r="AJ328" i="7" s="1"/>
  <c r="K328" i="7"/>
  <c r="AL327" i="7"/>
  <c r="AK327" i="7"/>
  <c r="AI327" i="7"/>
  <c r="AH327" i="7"/>
  <c r="AD327" i="7"/>
  <c r="AC327" i="7"/>
  <c r="AE327" i="7" s="1"/>
  <c r="AA327" i="7"/>
  <c r="AG327" i="7" s="1"/>
  <c r="Z327" i="7"/>
  <c r="W327" i="7"/>
  <c r="V327" i="7"/>
  <c r="U327" i="7"/>
  <c r="AF327" i="7" s="1"/>
  <c r="S327" i="7"/>
  <c r="R327" i="7"/>
  <c r="Q327" i="7"/>
  <c r="O327" i="7"/>
  <c r="N327" i="7"/>
  <c r="M327" i="7"/>
  <c r="L327" i="7"/>
  <c r="AJ327" i="7" s="1"/>
  <c r="K327" i="7"/>
  <c r="AL326" i="7"/>
  <c r="AK326" i="7"/>
  <c r="AI326" i="7"/>
  <c r="AH326" i="7"/>
  <c r="AE326" i="7"/>
  <c r="AD326" i="7"/>
  <c r="AC326" i="7"/>
  <c r="AA326" i="7"/>
  <c r="AG326" i="7" s="1"/>
  <c r="Z326" i="7"/>
  <c r="W326" i="7"/>
  <c r="V326" i="7"/>
  <c r="U326" i="7"/>
  <c r="AF326" i="7" s="1"/>
  <c r="S326" i="7"/>
  <c r="R326" i="7"/>
  <c r="Q326" i="7"/>
  <c r="O326" i="7"/>
  <c r="N326" i="7"/>
  <c r="M326" i="7"/>
  <c r="L326" i="7"/>
  <c r="AJ326" i="7" s="1"/>
  <c r="K326" i="7"/>
  <c r="AL325" i="7"/>
  <c r="AK325" i="7"/>
  <c r="AI325" i="7"/>
  <c r="AH325" i="7"/>
  <c r="AD325" i="7"/>
  <c r="AC325" i="7"/>
  <c r="AE325" i="7" s="1"/>
  <c r="AA325" i="7"/>
  <c r="AG325" i="7" s="1"/>
  <c r="Z325" i="7"/>
  <c r="W325" i="7"/>
  <c r="V325" i="7"/>
  <c r="U325" i="7"/>
  <c r="AF325" i="7" s="1"/>
  <c r="S325" i="7"/>
  <c r="R325" i="7"/>
  <c r="Q325" i="7"/>
  <c r="O325" i="7"/>
  <c r="N325" i="7"/>
  <c r="M325" i="7"/>
  <c r="L325" i="7"/>
  <c r="AJ325" i="7" s="1"/>
  <c r="K325" i="7"/>
  <c r="AL324" i="7"/>
  <c r="AK324" i="7"/>
  <c r="AI324" i="7"/>
  <c r="AH324" i="7"/>
  <c r="AE324" i="7"/>
  <c r="AD324" i="7"/>
  <c r="AC324" i="7"/>
  <c r="AA324" i="7"/>
  <c r="AG324" i="7" s="1"/>
  <c r="Z324" i="7"/>
  <c r="W324" i="7"/>
  <c r="V324" i="7"/>
  <c r="U324" i="7"/>
  <c r="AF324" i="7" s="1"/>
  <c r="S324" i="7"/>
  <c r="R324" i="7"/>
  <c r="Q324" i="7"/>
  <c r="O324" i="7"/>
  <c r="N324" i="7"/>
  <c r="M324" i="7"/>
  <c r="L324" i="7"/>
  <c r="AJ324" i="7" s="1"/>
  <c r="K324" i="7"/>
  <c r="AL323" i="7"/>
  <c r="AK323" i="7"/>
  <c r="AI323" i="7"/>
  <c r="AH323" i="7"/>
  <c r="AD323" i="7"/>
  <c r="AC323" i="7"/>
  <c r="AE323" i="7" s="1"/>
  <c r="AA323" i="7"/>
  <c r="AG323" i="7" s="1"/>
  <c r="Z323" i="7"/>
  <c r="W323" i="7"/>
  <c r="V323" i="7"/>
  <c r="U323" i="7"/>
  <c r="AF323" i="7" s="1"/>
  <c r="S323" i="7"/>
  <c r="R323" i="7"/>
  <c r="Q323" i="7"/>
  <c r="O323" i="7"/>
  <c r="N323" i="7"/>
  <c r="M323" i="7"/>
  <c r="L323" i="7"/>
  <c r="AJ323" i="7" s="1"/>
  <c r="K323" i="7"/>
  <c r="AL322" i="7"/>
  <c r="AK322" i="7"/>
  <c r="AI322" i="7"/>
  <c r="AH322" i="7"/>
  <c r="AE322" i="7"/>
  <c r="AD322" i="7"/>
  <c r="AC322" i="7"/>
  <c r="AA322" i="7"/>
  <c r="AG322" i="7" s="1"/>
  <c r="Z322" i="7"/>
  <c r="W322" i="7"/>
  <c r="V322" i="7"/>
  <c r="U322" i="7"/>
  <c r="AF322" i="7" s="1"/>
  <c r="S322" i="7"/>
  <c r="R322" i="7"/>
  <c r="Q322" i="7"/>
  <c r="O322" i="7"/>
  <c r="N322" i="7"/>
  <c r="M322" i="7"/>
  <c r="L322" i="7"/>
  <c r="AJ322" i="7" s="1"/>
  <c r="K322" i="7"/>
  <c r="AL321" i="7"/>
  <c r="AK321" i="7"/>
  <c r="AI321" i="7"/>
  <c r="AH321" i="7"/>
  <c r="AD321" i="7"/>
  <c r="AC321" i="7"/>
  <c r="AE321" i="7" s="1"/>
  <c r="AA321" i="7"/>
  <c r="AG321" i="7" s="1"/>
  <c r="Z321" i="7"/>
  <c r="W321" i="7"/>
  <c r="V321" i="7"/>
  <c r="U321" i="7"/>
  <c r="AF321" i="7" s="1"/>
  <c r="S321" i="7"/>
  <c r="R321" i="7"/>
  <c r="Q321" i="7"/>
  <c r="O321" i="7"/>
  <c r="N321" i="7"/>
  <c r="M321" i="7"/>
  <c r="L321" i="7"/>
  <c r="AJ321" i="7" s="1"/>
  <c r="K321" i="7"/>
  <c r="AL320" i="7"/>
  <c r="AK320" i="7"/>
  <c r="AI320" i="7"/>
  <c r="AH320" i="7"/>
  <c r="AE320" i="7"/>
  <c r="AD320" i="7"/>
  <c r="AC320" i="7"/>
  <c r="AA320" i="7"/>
  <c r="AG320" i="7" s="1"/>
  <c r="Z320" i="7"/>
  <c r="W320" i="7"/>
  <c r="V320" i="7"/>
  <c r="U320" i="7"/>
  <c r="AF320" i="7" s="1"/>
  <c r="S320" i="7"/>
  <c r="R320" i="7"/>
  <c r="Q320" i="7"/>
  <c r="O320" i="7"/>
  <c r="N320" i="7"/>
  <c r="M320" i="7"/>
  <c r="L320" i="7"/>
  <c r="AJ320" i="7" s="1"/>
  <c r="K320" i="7"/>
  <c r="AL319" i="7"/>
  <c r="AK319" i="7"/>
  <c r="AI319" i="7"/>
  <c r="AH319" i="7"/>
  <c r="AD319" i="7"/>
  <c r="AC319" i="7"/>
  <c r="AE319" i="7" s="1"/>
  <c r="AA319" i="7"/>
  <c r="AG319" i="7" s="1"/>
  <c r="Z319" i="7"/>
  <c r="W319" i="7"/>
  <c r="V319" i="7"/>
  <c r="U319" i="7"/>
  <c r="AF319" i="7" s="1"/>
  <c r="S319" i="7"/>
  <c r="R319" i="7"/>
  <c r="Q319" i="7"/>
  <c r="O319" i="7"/>
  <c r="N319" i="7"/>
  <c r="M319" i="7"/>
  <c r="L319" i="7"/>
  <c r="AJ319" i="7" s="1"/>
  <c r="K319" i="7"/>
  <c r="AL318" i="7"/>
  <c r="AK318" i="7"/>
  <c r="AI318" i="7"/>
  <c r="AH318" i="7"/>
  <c r="AE318" i="7"/>
  <c r="AD318" i="7"/>
  <c r="AC318" i="7"/>
  <c r="AA318" i="7"/>
  <c r="AG318" i="7" s="1"/>
  <c r="Z318" i="7"/>
  <c r="W318" i="7"/>
  <c r="V318" i="7"/>
  <c r="U318" i="7"/>
  <c r="AF318" i="7" s="1"/>
  <c r="S318" i="7"/>
  <c r="R318" i="7"/>
  <c r="Q318" i="7"/>
  <c r="O318" i="7"/>
  <c r="N318" i="7"/>
  <c r="M318" i="7"/>
  <c r="L318" i="7"/>
  <c r="AJ318" i="7" s="1"/>
  <c r="K318" i="7"/>
  <c r="AL317" i="7"/>
  <c r="AK317" i="7"/>
  <c r="AI317" i="7"/>
  <c r="AH317" i="7"/>
  <c r="AD317" i="7"/>
  <c r="AC317" i="7"/>
  <c r="AE317" i="7" s="1"/>
  <c r="AA317" i="7"/>
  <c r="AG317" i="7" s="1"/>
  <c r="Z317" i="7"/>
  <c r="W317" i="7"/>
  <c r="V317" i="7"/>
  <c r="U317" i="7"/>
  <c r="AF317" i="7" s="1"/>
  <c r="S317" i="7"/>
  <c r="R317" i="7"/>
  <c r="Q317" i="7"/>
  <c r="O317" i="7"/>
  <c r="N317" i="7"/>
  <c r="M317" i="7"/>
  <c r="L317" i="7"/>
  <c r="AJ317" i="7" s="1"/>
  <c r="K317" i="7"/>
  <c r="AL316" i="7"/>
  <c r="AK316" i="7"/>
  <c r="AI316" i="7"/>
  <c r="AH316" i="7"/>
  <c r="AE316" i="7"/>
  <c r="AD316" i="7"/>
  <c r="AC316" i="7"/>
  <c r="AA316" i="7"/>
  <c r="AG316" i="7" s="1"/>
  <c r="Z316" i="7"/>
  <c r="W316" i="7"/>
  <c r="V316" i="7"/>
  <c r="U316" i="7"/>
  <c r="AF316" i="7" s="1"/>
  <c r="S316" i="7"/>
  <c r="R316" i="7"/>
  <c r="Q316" i="7"/>
  <c r="O316" i="7"/>
  <c r="N316" i="7"/>
  <c r="M316" i="7"/>
  <c r="L316" i="7"/>
  <c r="AJ316" i="7" s="1"/>
  <c r="K316" i="7"/>
  <c r="AL315" i="7"/>
  <c r="AK315" i="7"/>
  <c r="AI315" i="7"/>
  <c r="AH315" i="7"/>
  <c r="AD315" i="7"/>
  <c r="AC315" i="7"/>
  <c r="AE315" i="7" s="1"/>
  <c r="AA315" i="7"/>
  <c r="AG315" i="7" s="1"/>
  <c r="Z315" i="7"/>
  <c r="W315" i="7"/>
  <c r="V315" i="7"/>
  <c r="U315" i="7"/>
  <c r="AF315" i="7" s="1"/>
  <c r="S315" i="7"/>
  <c r="R315" i="7"/>
  <c r="Q315" i="7"/>
  <c r="O315" i="7"/>
  <c r="N315" i="7"/>
  <c r="M315" i="7"/>
  <c r="L315" i="7"/>
  <c r="AJ315" i="7" s="1"/>
  <c r="K315" i="7"/>
  <c r="AL314" i="7"/>
  <c r="AK314" i="7"/>
  <c r="AI314" i="7"/>
  <c r="AH314" i="7"/>
  <c r="AE314" i="7"/>
  <c r="AD314" i="7"/>
  <c r="AC314" i="7"/>
  <c r="AA314" i="7"/>
  <c r="AG314" i="7" s="1"/>
  <c r="Z314" i="7"/>
  <c r="W314" i="7"/>
  <c r="V314" i="7"/>
  <c r="U314" i="7"/>
  <c r="AF314" i="7" s="1"/>
  <c r="S314" i="7"/>
  <c r="R314" i="7"/>
  <c r="Q314" i="7"/>
  <c r="O314" i="7"/>
  <c r="N314" i="7"/>
  <c r="M314" i="7"/>
  <c r="L314" i="7"/>
  <c r="AJ314" i="7" s="1"/>
  <c r="K314" i="7"/>
  <c r="AL313" i="7"/>
  <c r="AK313" i="7"/>
  <c r="AI313" i="7"/>
  <c r="AH313" i="7"/>
  <c r="AD313" i="7"/>
  <c r="AC313" i="7"/>
  <c r="AE313" i="7" s="1"/>
  <c r="AA313" i="7"/>
  <c r="AG313" i="7" s="1"/>
  <c r="Z313" i="7"/>
  <c r="W313" i="7"/>
  <c r="V313" i="7"/>
  <c r="U313" i="7"/>
  <c r="AF313" i="7" s="1"/>
  <c r="S313" i="7"/>
  <c r="R313" i="7"/>
  <c r="Q313" i="7"/>
  <c r="O313" i="7"/>
  <c r="N313" i="7"/>
  <c r="M313" i="7"/>
  <c r="L313" i="7"/>
  <c r="AJ313" i="7" s="1"/>
  <c r="K313" i="7"/>
  <c r="AL312" i="7"/>
  <c r="AK312" i="7"/>
  <c r="AI312" i="7"/>
  <c r="AH312" i="7"/>
  <c r="AE312" i="7"/>
  <c r="AD312" i="7"/>
  <c r="AC312" i="7"/>
  <c r="AA312" i="7"/>
  <c r="AG312" i="7" s="1"/>
  <c r="Z312" i="7"/>
  <c r="W312" i="7"/>
  <c r="V312" i="7"/>
  <c r="U312" i="7"/>
  <c r="AF312" i="7" s="1"/>
  <c r="S312" i="7"/>
  <c r="R312" i="7"/>
  <c r="Q312" i="7"/>
  <c r="O312" i="7"/>
  <c r="N312" i="7"/>
  <c r="M312" i="7"/>
  <c r="L312" i="7"/>
  <c r="AJ312" i="7" s="1"/>
  <c r="K312" i="7"/>
  <c r="AL311" i="7"/>
  <c r="AK311" i="7"/>
  <c r="AI311" i="7"/>
  <c r="AH311" i="7"/>
  <c r="AD311" i="7"/>
  <c r="AC311" i="7"/>
  <c r="AE311" i="7" s="1"/>
  <c r="AA311" i="7"/>
  <c r="AG311" i="7" s="1"/>
  <c r="Z311" i="7"/>
  <c r="W311" i="7"/>
  <c r="V311" i="7"/>
  <c r="U311" i="7"/>
  <c r="AF311" i="7" s="1"/>
  <c r="S311" i="7"/>
  <c r="R311" i="7"/>
  <c r="Q311" i="7"/>
  <c r="O311" i="7"/>
  <c r="N311" i="7"/>
  <c r="M311" i="7"/>
  <c r="L311" i="7"/>
  <c r="AJ311" i="7" s="1"/>
  <c r="K311" i="7"/>
  <c r="AL310" i="7"/>
  <c r="AK310" i="7"/>
  <c r="AI310" i="7"/>
  <c r="AH310" i="7"/>
  <c r="AE310" i="7"/>
  <c r="AD310" i="7"/>
  <c r="AC310" i="7"/>
  <c r="AA310" i="7"/>
  <c r="AG310" i="7" s="1"/>
  <c r="Z310" i="7"/>
  <c r="W310" i="7"/>
  <c r="V310" i="7"/>
  <c r="U310" i="7"/>
  <c r="AF310" i="7" s="1"/>
  <c r="S310" i="7"/>
  <c r="R310" i="7"/>
  <c r="Q310" i="7"/>
  <c r="O310" i="7"/>
  <c r="N310" i="7"/>
  <c r="M310" i="7"/>
  <c r="L310" i="7"/>
  <c r="AJ310" i="7" s="1"/>
  <c r="K310" i="7"/>
  <c r="AL309" i="7"/>
  <c r="AK309" i="7"/>
  <c r="AI309" i="7"/>
  <c r="AH309" i="7"/>
  <c r="AD309" i="7"/>
  <c r="AC309" i="7"/>
  <c r="AE309" i="7" s="1"/>
  <c r="AA309" i="7"/>
  <c r="AG309" i="7" s="1"/>
  <c r="Z309" i="7"/>
  <c r="W309" i="7"/>
  <c r="V309" i="7"/>
  <c r="U309" i="7"/>
  <c r="AF309" i="7" s="1"/>
  <c r="S309" i="7"/>
  <c r="R309" i="7"/>
  <c r="Q309" i="7"/>
  <c r="O309" i="7"/>
  <c r="N309" i="7"/>
  <c r="M309" i="7"/>
  <c r="L309" i="7"/>
  <c r="AJ309" i="7" s="1"/>
  <c r="K309" i="7"/>
  <c r="AL308" i="7"/>
  <c r="AK308" i="7"/>
  <c r="AI308" i="7"/>
  <c r="AH308" i="7"/>
  <c r="AE308" i="7"/>
  <c r="AD308" i="7"/>
  <c r="AC308" i="7"/>
  <c r="AA308" i="7"/>
  <c r="AG308" i="7" s="1"/>
  <c r="Z308" i="7"/>
  <c r="W308" i="7"/>
  <c r="V308" i="7"/>
  <c r="U308" i="7"/>
  <c r="AF308" i="7" s="1"/>
  <c r="S308" i="7"/>
  <c r="R308" i="7"/>
  <c r="Q308" i="7"/>
  <c r="O308" i="7"/>
  <c r="N308" i="7"/>
  <c r="M308" i="7"/>
  <c r="L308" i="7"/>
  <c r="AJ308" i="7" s="1"/>
  <c r="K308" i="7"/>
  <c r="AL307" i="7"/>
  <c r="AK307" i="7"/>
  <c r="AI307" i="7"/>
  <c r="AH307" i="7"/>
  <c r="AD307" i="7"/>
  <c r="AC307" i="7"/>
  <c r="AE307" i="7" s="1"/>
  <c r="AA307" i="7"/>
  <c r="AG307" i="7" s="1"/>
  <c r="Z307" i="7"/>
  <c r="W307" i="7"/>
  <c r="V307" i="7"/>
  <c r="U307" i="7"/>
  <c r="AF307" i="7" s="1"/>
  <c r="S307" i="7"/>
  <c r="R307" i="7"/>
  <c r="Q307" i="7"/>
  <c r="O307" i="7"/>
  <c r="N307" i="7"/>
  <c r="M307" i="7"/>
  <c r="L307" i="7"/>
  <c r="AJ307" i="7" s="1"/>
  <c r="K307" i="7"/>
  <c r="AL306" i="7"/>
  <c r="AK306" i="7"/>
  <c r="AI306" i="7"/>
  <c r="AH306" i="7"/>
  <c r="AE306" i="7"/>
  <c r="AD306" i="7"/>
  <c r="AC306" i="7"/>
  <c r="AA306" i="7"/>
  <c r="AG306" i="7" s="1"/>
  <c r="Z306" i="7"/>
  <c r="W306" i="7"/>
  <c r="V306" i="7"/>
  <c r="U306" i="7"/>
  <c r="AF306" i="7" s="1"/>
  <c r="S306" i="7"/>
  <c r="R306" i="7"/>
  <c r="Q306" i="7"/>
  <c r="O306" i="7"/>
  <c r="N306" i="7"/>
  <c r="M306" i="7"/>
  <c r="L306" i="7"/>
  <c r="AJ306" i="7" s="1"/>
  <c r="K306" i="7"/>
  <c r="AL305" i="7"/>
  <c r="AK305" i="7"/>
  <c r="AI305" i="7"/>
  <c r="AH305" i="7"/>
  <c r="AD305" i="7"/>
  <c r="AC305" i="7"/>
  <c r="AE305" i="7" s="1"/>
  <c r="AA305" i="7"/>
  <c r="AG305" i="7" s="1"/>
  <c r="Z305" i="7"/>
  <c r="W305" i="7"/>
  <c r="V305" i="7"/>
  <c r="U305" i="7"/>
  <c r="AF305" i="7" s="1"/>
  <c r="S305" i="7"/>
  <c r="R305" i="7"/>
  <c r="Q305" i="7"/>
  <c r="O305" i="7"/>
  <c r="N305" i="7"/>
  <c r="M305" i="7"/>
  <c r="L305" i="7"/>
  <c r="AJ305" i="7" s="1"/>
  <c r="K305" i="7"/>
  <c r="AL304" i="7"/>
  <c r="AK304" i="7"/>
  <c r="AI304" i="7"/>
  <c r="AH304" i="7"/>
  <c r="AE304" i="7"/>
  <c r="AD304" i="7"/>
  <c r="AC304" i="7"/>
  <c r="AA304" i="7"/>
  <c r="AG304" i="7" s="1"/>
  <c r="Z304" i="7"/>
  <c r="W304" i="7"/>
  <c r="V304" i="7"/>
  <c r="U304" i="7"/>
  <c r="AF304" i="7" s="1"/>
  <c r="S304" i="7"/>
  <c r="R304" i="7"/>
  <c r="Q304" i="7"/>
  <c r="O304" i="7"/>
  <c r="N304" i="7"/>
  <c r="M304" i="7"/>
  <c r="L304" i="7"/>
  <c r="AJ304" i="7" s="1"/>
  <c r="K304" i="7"/>
  <c r="AL303" i="7"/>
  <c r="AK303" i="7"/>
  <c r="AI303" i="7"/>
  <c r="AH303" i="7"/>
  <c r="AD303" i="7"/>
  <c r="AC303" i="7"/>
  <c r="AE303" i="7" s="1"/>
  <c r="AA303" i="7"/>
  <c r="AG303" i="7" s="1"/>
  <c r="Z303" i="7"/>
  <c r="W303" i="7"/>
  <c r="V303" i="7"/>
  <c r="U303" i="7"/>
  <c r="AF303" i="7" s="1"/>
  <c r="S303" i="7"/>
  <c r="R303" i="7"/>
  <c r="Q303" i="7"/>
  <c r="O303" i="7"/>
  <c r="N303" i="7"/>
  <c r="M303" i="7"/>
  <c r="L303" i="7"/>
  <c r="AJ303" i="7" s="1"/>
  <c r="K303" i="7"/>
  <c r="AL302" i="7"/>
  <c r="AK302" i="7"/>
  <c r="AI302" i="7"/>
  <c r="AH302" i="7"/>
  <c r="AE302" i="7"/>
  <c r="AD302" i="7"/>
  <c r="AC302" i="7"/>
  <c r="AA302" i="7"/>
  <c r="AG302" i="7" s="1"/>
  <c r="Z302" i="7"/>
  <c r="W302" i="7"/>
  <c r="V302" i="7"/>
  <c r="U302" i="7"/>
  <c r="AF302" i="7" s="1"/>
  <c r="S302" i="7"/>
  <c r="R302" i="7"/>
  <c r="Q302" i="7"/>
  <c r="O302" i="7"/>
  <c r="N302" i="7"/>
  <c r="M302" i="7"/>
  <c r="L302" i="7"/>
  <c r="AJ302" i="7" s="1"/>
  <c r="K302" i="7"/>
  <c r="AL301" i="7"/>
  <c r="AK301" i="7"/>
  <c r="AI301" i="7"/>
  <c r="AH301" i="7"/>
  <c r="AD301" i="7"/>
  <c r="AC301" i="7"/>
  <c r="AE301" i="7" s="1"/>
  <c r="AA301" i="7"/>
  <c r="AG301" i="7" s="1"/>
  <c r="Z301" i="7"/>
  <c r="W301" i="7"/>
  <c r="V301" i="7"/>
  <c r="U301" i="7"/>
  <c r="AF301" i="7" s="1"/>
  <c r="S301" i="7"/>
  <c r="R301" i="7"/>
  <c r="Q301" i="7"/>
  <c r="O301" i="7"/>
  <c r="N301" i="7"/>
  <c r="M301" i="7"/>
  <c r="L301" i="7"/>
  <c r="AJ301" i="7" s="1"/>
  <c r="K301" i="7"/>
  <c r="AL300" i="7"/>
  <c r="AK300" i="7"/>
  <c r="AI300" i="7"/>
  <c r="AH300" i="7"/>
  <c r="AE300" i="7"/>
  <c r="AD300" i="7"/>
  <c r="AC300" i="7"/>
  <c r="AA300" i="7"/>
  <c r="AG300" i="7" s="1"/>
  <c r="Z300" i="7"/>
  <c r="W300" i="7"/>
  <c r="V300" i="7"/>
  <c r="U300" i="7"/>
  <c r="AF300" i="7" s="1"/>
  <c r="S300" i="7"/>
  <c r="R300" i="7"/>
  <c r="Q300" i="7"/>
  <c r="O300" i="7"/>
  <c r="N300" i="7"/>
  <c r="M300" i="7"/>
  <c r="L300" i="7"/>
  <c r="AJ300" i="7" s="1"/>
  <c r="K300" i="7"/>
  <c r="AL299" i="7"/>
  <c r="AK299" i="7"/>
  <c r="AI299" i="7"/>
  <c r="AH299" i="7"/>
  <c r="AD299" i="7"/>
  <c r="AC299" i="7"/>
  <c r="AE299" i="7" s="1"/>
  <c r="AA299" i="7"/>
  <c r="AG299" i="7" s="1"/>
  <c r="Z299" i="7"/>
  <c r="W299" i="7"/>
  <c r="V299" i="7"/>
  <c r="U299" i="7"/>
  <c r="AF299" i="7" s="1"/>
  <c r="S299" i="7"/>
  <c r="R299" i="7"/>
  <c r="Q299" i="7"/>
  <c r="O299" i="7"/>
  <c r="N299" i="7"/>
  <c r="M299" i="7"/>
  <c r="L299" i="7"/>
  <c r="AJ299" i="7" s="1"/>
  <c r="K299" i="7"/>
  <c r="AL298" i="7"/>
  <c r="AK298" i="7"/>
  <c r="AI298" i="7"/>
  <c r="AH298" i="7"/>
  <c r="AE298" i="7"/>
  <c r="AD298" i="7"/>
  <c r="AC298" i="7"/>
  <c r="AA298" i="7"/>
  <c r="AG298" i="7" s="1"/>
  <c r="Z298" i="7"/>
  <c r="W298" i="7"/>
  <c r="V298" i="7"/>
  <c r="U298" i="7"/>
  <c r="AF298" i="7" s="1"/>
  <c r="S298" i="7"/>
  <c r="R298" i="7"/>
  <c r="Q298" i="7"/>
  <c r="O298" i="7"/>
  <c r="N298" i="7"/>
  <c r="M298" i="7"/>
  <c r="L298" i="7"/>
  <c r="AJ298" i="7" s="1"/>
  <c r="K298" i="7"/>
  <c r="AL297" i="7"/>
  <c r="AK297" i="7"/>
  <c r="AI297" i="7"/>
  <c r="AH297" i="7"/>
  <c r="AD297" i="7"/>
  <c r="AC297" i="7"/>
  <c r="AE297" i="7" s="1"/>
  <c r="AA297" i="7"/>
  <c r="AG297" i="7" s="1"/>
  <c r="Z297" i="7"/>
  <c r="W297" i="7"/>
  <c r="V297" i="7"/>
  <c r="U297" i="7"/>
  <c r="AF297" i="7" s="1"/>
  <c r="S297" i="7"/>
  <c r="R297" i="7"/>
  <c r="Q297" i="7"/>
  <c r="O297" i="7"/>
  <c r="N297" i="7"/>
  <c r="M297" i="7"/>
  <c r="L297" i="7"/>
  <c r="AJ297" i="7" s="1"/>
  <c r="K297" i="7"/>
  <c r="AL296" i="7"/>
  <c r="AK296" i="7"/>
  <c r="AI296" i="7"/>
  <c r="AH296" i="7"/>
  <c r="AE296" i="7"/>
  <c r="AD296" i="7"/>
  <c r="AC296" i="7"/>
  <c r="AA296" i="7"/>
  <c r="AG296" i="7" s="1"/>
  <c r="Z296" i="7"/>
  <c r="W296" i="7"/>
  <c r="V296" i="7"/>
  <c r="U296" i="7"/>
  <c r="AF296" i="7" s="1"/>
  <c r="S296" i="7"/>
  <c r="R296" i="7"/>
  <c r="Q296" i="7"/>
  <c r="O296" i="7"/>
  <c r="N296" i="7"/>
  <c r="M296" i="7"/>
  <c r="L296" i="7"/>
  <c r="AJ296" i="7" s="1"/>
  <c r="K296" i="7"/>
  <c r="AL295" i="7"/>
  <c r="AK295" i="7"/>
  <c r="AI295" i="7"/>
  <c r="AH295" i="7"/>
  <c r="AD295" i="7"/>
  <c r="AC295" i="7"/>
  <c r="AE295" i="7" s="1"/>
  <c r="AA295" i="7"/>
  <c r="AG295" i="7" s="1"/>
  <c r="Z295" i="7"/>
  <c r="W295" i="7"/>
  <c r="V295" i="7"/>
  <c r="U295" i="7"/>
  <c r="AF295" i="7" s="1"/>
  <c r="S295" i="7"/>
  <c r="R295" i="7"/>
  <c r="Q295" i="7"/>
  <c r="O295" i="7"/>
  <c r="N295" i="7"/>
  <c r="M295" i="7"/>
  <c r="L295" i="7"/>
  <c r="AJ295" i="7" s="1"/>
  <c r="K295" i="7"/>
  <c r="AL294" i="7"/>
  <c r="AK294" i="7"/>
  <c r="AI294" i="7"/>
  <c r="AH294" i="7"/>
  <c r="AE294" i="7"/>
  <c r="AD294" i="7"/>
  <c r="AC294" i="7"/>
  <c r="AA294" i="7"/>
  <c r="AG294" i="7" s="1"/>
  <c r="Z294" i="7"/>
  <c r="W294" i="7"/>
  <c r="V294" i="7"/>
  <c r="U294" i="7"/>
  <c r="AF294" i="7" s="1"/>
  <c r="S294" i="7"/>
  <c r="R294" i="7"/>
  <c r="Q294" i="7"/>
  <c r="O294" i="7"/>
  <c r="N294" i="7"/>
  <c r="M294" i="7"/>
  <c r="L294" i="7"/>
  <c r="AJ294" i="7" s="1"/>
  <c r="K294" i="7"/>
  <c r="AL293" i="7"/>
  <c r="AK293" i="7"/>
  <c r="AI293" i="7"/>
  <c r="AH293" i="7"/>
  <c r="AD293" i="7"/>
  <c r="AC293" i="7"/>
  <c r="AE293" i="7" s="1"/>
  <c r="AA293" i="7"/>
  <c r="AG293" i="7" s="1"/>
  <c r="Z293" i="7"/>
  <c r="W293" i="7"/>
  <c r="V293" i="7"/>
  <c r="U293" i="7"/>
  <c r="AF293" i="7" s="1"/>
  <c r="S293" i="7"/>
  <c r="R293" i="7"/>
  <c r="Q293" i="7"/>
  <c r="O293" i="7"/>
  <c r="N293" i="7"/>
  <c r="M293" i="7"/>
  <c r="L293" i="7"/>
  <c r="AJ293" i="7" s="1"/>
  <c r="K293" i="7"/>
  <c r="AL292" i="7"/>
  <c r="AK292" i="7"/>
  <c r="AI292" i="7"/>
  <c r="AH292" i="7"/>
  <c r="AE292" i="7"/>
  <c r="AD292" i="7"/>
  <c r="AC292" i="7"/>
  <c r="AA292" i="7"/>
  <c r="AG292" i="7" s="1"/>
  <c r="Z292" i="7"/>
  <c r="W292" i="7"/>
  <c r="V292" i="7"/>
  <c r="U292" i="7"/>
  <c r="AF292" i="7" s="1"/>
  <c r="S292" i="7"/>
  <c r="R292" i="7"/>
  <c r="Q292" i="7"/>
  <c r="O292" i="7"/>
  <c r="N292" i="7"/>
  <c r="M292" i="7"/>
  <c r="L292" i="7"/>
  <c r="AJ292" i="7" s="1"/>
  <c r="K292" i="7"/>
  <c r="AL291" i="7"/>
  <c r="AK291" i="7"/>
  <c r="AI291" i="7"/>
  <c r="AH291" i="7"/>
  <c r="AD291" i="7"/>
  <c r="AC291" i="7"/>
  <c r="AE291" i="7" s="1"/>
  <c r="AA291" i="7"/>
  <c r="AG291" i="7" s="1"/>
  <c r="Z291" i="7"/>
  <c r="W291" i="7"/>
  <c r="V291" i="7"/>
  <c r="U291" i="7"/>
  <c r="AF291" i="7" s="1"/>
  <c r="S291" i="7"/>
  <c r="R291" i="7"/>
  <c r="Q291" i="7"/>
  <c r="O291" i="7"/>
  <c r="N291" i="7"/>
  <c r="M291" i="7"/>
  <c r="L291" i="7"/>
  <c r="AJ291" i="7" s="1"/>
  <c r="K291" i="7"/>
  <c r="AL290" i="7"/>
  <c r="AK290" i="7"/>
  <c r="AI290" i="7"/>
  <c r="AH290" i="7"/>
  <c r="AE290" i="7"/>
  <c r="AD290" i="7"/>
  <c r="AC290" i="7"/>
  <c r="AA290" i="7"/>
  <c r="AG290" i="7" s="1"/>
  <c r="Z290" i="7"/>
  <c r="W290" i="7"/>
  <c r="V290" i="7"/>
  <c r="U290" i="7"/>
  <c r="AF290" i="7" s="1"/>
  <c r="S290" i="7"/>
  <c r="R290" i="7"/>
  <c r="Q290" i="7"/>
  <c r="O290" i="7"/>
  <c r="N290" i="7"/>
  <c r="M290" i="7"/>
  <c r="L290" i="7"/>
  <c r="AJ290" i="7" s="1"/>
  <c r="K290" i="7"/>
  <c r="AL289" i="7"/>
  <c r="AK289" i="7"/>
  <c r="AI289" i="7"/>
  <c r="AH289" i="7"/>
  <c r="AD289" i="7"/>
  <c r="AC289" i="7"/>
  <c r="AE289" i="7" s="1"/>
  <c r="AA289" i="7"/>
  <c r="AG289" i="7" s="1"/>
  <c r="Z289" i="7"/>
  <c r="W289" i="7"/>
  <c r="V289" i="7"/>
  <c r="U289" i="7"/>
  <c r="AF289" i="7" s="1"/>
  <c r="S289" i="7"/>
  <c r="R289" i="7"/>
  <c r="Q289" i="7"/>
  <c r="O289" i="7"/>
  <c r="N289" i="7"/>
  <c r="M289" i="7"/>
  <c r="L289" i="7"/>
  <c r="AJ289" i="7" s="1"/>
  <c r="K289" i="7"/>
  <c r="AL288" i="7"/>
  <c r="AK288" i="7"/>
  <c r="AI288" i="7"/>
  <c r="AH288" i="7"/>
  <c r="AE288" i="7"/>
  <c r="AD288" i="7"/>
  <c r="AC288" i="7"/>
  <c r="AA288" i="7"/>
  <c r="AG288" i="7" s="1"/>
  <c r="Z288" i="7"/>
  <c r="W288" i="7"/>
  <c r="V288" i="7"/>
  <c r="U288" i="7"/>
  <c r="AF288" i="7" s="1"/>
  <c r="S288" i="7"/>
  <c r="R288" i="7"/>
  <c r="Q288" i="7"/>
  <c r="O288" i="7"/>
  <c r="N288" i="7"/>
  <c r="M288" i="7"/>
  <c r="L288" i="7"/>
  <c r="AJ288" i="7" s="1"/>
  <c r="K288" i="7"/>
  <c r="AL287" i="7"/>
  <c r="AK287" i="7"/>
  <c r="AI287" i="7"/>
  <c r="AH287" i="7"/>
  <c r="AD287" i="7"/>
  <c r="AC287" i="7"/>
  <c r="AE287" i="7" s="1"/>
  <c r="AA287" i="7"/>
  <c r="AG287" i="7" s="1"/>
  <c r="Z287" i="7"/>
  <c r="W287" i="7"/>
  <c r="V287" i="7"/>
  <c r="U287" i="7"/>
  <c r="AF287" i="7" s="1"/>
  <c r="S287" i="7"/>
  <c r="R287" i="7"/>
  <c r="Q287" i="7"/>
  <c r="O287" i="7"/>
  <c r="N287" i="7"/>
  <c r="M287" i="7"/>
  <c r="L287" i="7"/>
  <c r="AJ287" i="7" s="1"/>
  <c r="K287" i="7"/>
  <c r="AL286" i="7"/>
  <c r="AK286" i="7"/>
  <c r="AI286" i="7"/>
  <c r="AH286" i="7"/>
  <c r="AE286" i="7"/>
  <c r="AD286" i="7"/>
  <c r="AC286" i="7"/>
  <c r="AA286" i="7"/>
  <c r="AG286" i="7" s="1"/>
  <c r="Z286" i="7"/>
  <c r="W286" i="7"/>
  <c r="V286" i="7"/>
  <c r="U286" i="7"/>
  <c r="AF286" i="7" s="1"/>
  <c r="S286" i="7"/>
  <c r="R286" i="7"/>
  <c r="Q286" i="7"/>
  <c r="O286" i="7"/>
  <c r="N286" i="7"/>
  <c r="M286" i="7"/>
  <c r="L286" i="7"/>
  <c r="AJ286" i="7" s="1"/>
  <c r="K286" i="7"/>
  <c r="AL285" i="7"/>
  <c r="AK285" i="7"/>
  <c r="AI285" i="7"/>
  <c r="AH285" i="7"/>
  <c r="AD285" i="7"/>
  <c r="AC285" i="7"/>
  <c r="AE285" i="7" s="1"/>
  <c r="AA285" i="7"/>
  <c r="AG285" i="7" s="1"/>
  <c r="Z285" i="7"/>
  <c r="W285" i="7"/>
  <c r="V285" i="7"/>
  <c r="U285" i="7"/>
  <c r="AF285" i="7" s="1"/>
  <c r="S285" i="7"/>
  <c r="R285" i="7"/>
  <c r="Q285" i="7"/>
  <c r="O285" i="7"/>
  <c r="N285" i="7"/>
  <c r="M285" i="7"/>
  <c r="L285" i="7"/>
  <c r="AJ285" i="7" s="1"/>
  <c r="K285" i="7"/>
  <c r="AL284" i="7"/>
  <c r="AK284" i="7"/>
  <c r="AI284" i="7"/>
  <c r="AH284" i="7"/>
  <c r="AE284" i="7"/>
  <c r="AD284" i="7"/>
  <c r="AC284" i="7"/>
  <c r="AA284" i="7"/>
  <c r="AG284" i="7" s="1"/>
  <c r="Z284" i="7"/>
  <c r="W284" i="7"/>
  <c r="V284" i="7"/>
  <c r="U284" i="7"/>
  <c r="AF284" i="7" s="1"/>
  <c r="S284" i="7"/>
  <c r="R284" i="7"/>
  <c r="Q284" i="7"/>
  <c r="O284" i="7"/>
  <c r="N284" i="7"/>
  <c r="M284" i="7"/>
  <c r="L284" i="7"/>
  <c r="AJ284" i="7" s="1"/>
  <c r="K284" i="7"/>
  <c r="AL283" i="7"/>
  <c r="AK283" i="7"/>
  <c r="AI283" i="7"/>
  <c r="AH283" i="7"/>
  <c r="AD283" i="7"/>
  <c r="AC283" i="7"/>
  <c r="AE283" i="7" s="1"/>
  <c r="AA283" i="7"/>
  <c r="AG283" i="7" s="1"/>
  <c r="Z283" i="7"/>
  <c r="W283" i="7"/>
  <c r="V283" i="7"/>
  <c r="U283" i="7"/>
  <c r="AF283" i="7" s="1"/>
  <c r="S283" i="7"/>
  <c r="R283" i="7"/>
  <c r="Q283" i="7"/>
  <c r="O283" i="7"/>
  <c r="N283" i="7"/>
  <c r="M283" i="7"/>
  <c r="L283" i="7"/>
  <c r="AJ283" i="7" s="1"/>
  <c r="K283" i="7"/>
  <c r="AL282" i="7"/>
  <c r="AK282" i="7"/>
  <c r="AI282" i="7"/>
  <c r="AH282" i="7"/>
  <c r="AE282" i="7"/>
  <c r="AD282" i="7"/>
  <c r="AC282" i="7"/>
  <c r="AA282" i="7"/>
  <c r="AG282" i="7" s="1"/>
  <c r="Z282" i="7"/>
  <c r="W282" i="7"/>
  <c r="V282" i="7"/>
  <c r="U282" i="7"/>
  <c r="AF282" i="7" s="1"/>
  <c r="S282" i="7"/>
  <c r="R282" i="7"/>
  <c r="Q282" i="7"/>
  <c r="O282" i="7"/>
  <c r="N282" i="7"/>
  <c r="M282" i="7"/>
  <c r="L282" i="7"/>
  <c r="AJ282" i="7" s="1"/>
  <c r="K282" i="7"/>
  <c r="AL281" i="7"/>
  <c r="AK281" i="7"/>
  <c r="AI281" i="7"/>
  <c r="AH281" i="7"/>
  <c r="AD281" i="7"/>
  <c r="AC281" i="7"/>
  <c r="AE281" i="7" s="1"/>
  <c r="AA281" i="7"/>
  <c r="AG281" i="7" s="1"/>
  <c r="Z281" i="7"/>
  <c r="W281" i="7"/>
  <c r="V281" i="7"/>
  <c r="U281" i="7"/>
  <c r="AF281" i="7" s="1"/>
  <c r="S281" i="7"/>
  <c r="R281" i="7"/>
  <c r="Q281" i="7"/>
  <c r="O281" i="7"/>
  <c r="N281" i="7"/>
  <c r="M281" i="7"/>
  <c r="L281" i="7"/>
  <c r="AJ281" i="7" s="1"/>
  <c r="K281" i="7"/>
  <c r="AL280" i="7"/>
  <c r="AK280" i="7"/>
  <c r="AI280" i="7"/>
  <c r="AH280" i="7"/>
  <c r="AE280" i="7"/>
  <c r="AD280" i="7"/>
  <c r="AC280" i="7"/>
  <c r="AA280" i="7"/>
  <c r="AG280" i="7" s="1"/>
  <c r="Z280" i="7"/>
  <c r="W280" i="7"/>
  <c r="V280" i="7"/>
  <c r="U280" i="7"/>
  <c r="AF280" i="7" s="1"/>
  <c r="S280" i="7"/>
  <c r="R280" i="7"/>
  <c r="Q280" i="7"/>
  <c r="O280" i="7"/>
  <c r="N280" i="7"/>
  <c r="M280" i="7"/>
  <c r="L280" i="7"/>
  <c r="AJ280" i="7" s="1"/>
  <c r="K280" i="7"/>
  <c r="AL279" i="7"/>
  <c r="AK279" i="7"/>
  <c r="AI279" i="7"/>
  <c r="AH279" i="7"/>
  <c r="AD279" i="7"/>
  <c r="AC279" i="7"/>
  <c r="AE279" i="7" s="1"/>
  <c r="AA279" i="7"/>
  <c r="AG279" i="7" s="1"/>
  <c r="Z279" i="7"/>
  <c r="W279" i="7"/>
  <c r="V279" i="7"/>
  <c r="U279" i="7"/>
  <c r="AF279" i="7" s="1"/>
  <c r="S279" i="7"/>
  <c r="R279" i="7"/>
  <c r="Q279" i="7"/>
  <c r="O279" i="7"/>
  <c r="N279" i="7"/>
  <c r="M279" i="7"/>
  <c r="L279" i="7"/>
  <c r="AJ279" i="7" s="1"/>
  <c r="K279" i="7"/>
  <c r="AL278" i="7"/>
  <c r="AK278" i="7"/>
  <c r="AI278" i="7"/>
  <c r="AH278" i="7"/>
  <c r="AE278" i="7"/>
  <c r="AD278" i="7"/>
  <c r="AC278" i="7"/>
  <c r="AA278" i="7"/>
  <c r="AG278" i="7" s="1"/>
  <c r="Z278" i="7"/>
  <c r="W278" i="7"/>
  <c r="V278" i="7"/>
  <c r="U278" i="7"/>
  <c r="AF278" i="7" s="1"/>
  <c r="S278" i="7"/>
  <c r="R278" i="7"/>
  <c r="Q278" i="7"/>
  <c r="O278" i="7"/>
  <c r="N278" i="7"/>
  <c r="M278" i="7"/>
  <c r="L278" i="7"/>
  <c r="AJ278" i="7" s="1"/>
  <c r="K278" i="7"/>
  <c r="AL277" i="7"/>
  <c r="AK277" i="7"/>
  <c r="AI277" i="7"/>
  <c r="AH277" i="7"/>
  <c r="AD277" i="7"/>
  <c r="AC277" i="7"/>
  <c r="AE277" i="7" s="1"/>
  <c r="AA277" i="7"/>
  <c r="AG277" i="7" s="1"/>
  <c r="Z277" i="7"/>
  <c r="W277" i="7"/>
  <c r="V277" i="7"/>
  <c r="U277" i="7"/>
  <c r="AF277" i="7" s="1"/>
  <c r="S277" i="7"/>
  <c r="R277" i="7"/>
  <c r="Q277" i="7"/>
  <c r="O277" i="7"/>
  <c r="N277" i="7"/>
  <c r="M277" i="7"/>
  <c r="L277" i="7"/>
  <c r="AJ277" i="7" s="1"/>
  <c r="K277" i="7"/>
  <c r="AL276" i="7"/>
  <c r="AK276" i="7"/>
  <c r="AI276" i="7"/>
  <c r="AH276" i="7"/>
  <c r="AE276" i="7"/>
  <c r="AD276" i="7"/>
  <c r="AC276" i="7"/>
  <c r="AA276" i="7"/>
  <c r="AG276" i="7" s="1"/>
  <c r="Z276" i="7"/>
  <c r="W276" i="7"/>
  <c r="V276" i="7"/>
  <c r="U276" i="7"/>
  <c r="AF276" i="7" s="1"/>
  <c r="S276" i="7"/>
  <c r="R276" i="7"/>
  <c r="Q276" i="7"/>
  <c r="O276" i="7"/>
  <c r="N276" i="7"/>
  <c r="M276" i="7"/>
  <c r="L276" i="7"/>
  <c r="AJ276" i="7" s="1"/>
  <c r="K276" i="7"/>
  <c r="AL275" i="7"/>
  <c r="AK275" i="7"/>
  <c r="AI275" i="7"/>
  <c r="AH275" i="7"/>
  <c r="AD275" i="7"/>
  <c r="AC275" i="7"/>
  <c r="AE275" i="7" s="1"/>
  <c r="AA275" i="7"/>
  <c r="AG275" i="7" s="1"/>
  <c r="Z275" i="7"/>
  <c r="W275" i="7"/>
  <c r="V275" i="7"/>
  <c r="U275" i="7"/>
  <c r="AF275" i="7" s="1"/>
  <c r="S275" i="7"/>
  <c r="R275" i="7"/>
  <c r="Q275" i="7"/>
  <c r="O275" i="7"/>
  <c r="N275" i="7"/>
  <c r="M275" i="7"/>
  <c r="L275" i="7"/>
  <c r="AJ275" i="7" s="1"/>
  <c r="K275" i="7"/>
  <c r="AL274" i="7"/>
  <c r="AK274" i="7"/>
  <c r="AI274" i="7"/>
  <c r="AH274" i="7"/>
  <c r="AE274" i="7"/>
  <c r="AD274" i="7"/>
  <c r="AC274" i="7"/>
  <c r="AA274" i="7"/>
  <c r="AG274" i="7" s="1"/>
  <c r="Z274" i="7"/>
  <c r="W274" i="7"/>
  <c r="V274" i="7"/>
  <c r="U274" i="7"/>
  <c r="AF274" i="7" s="1"/>
  <c r="S274" i="7"/>
  <c r="R274" i="7"/>
  <c r="Q274" i="7"/>
  <c r="O274" i="7"/>
  <c r="N274" i="7"/>
  <c r="M274" i="7"/>
  <c r="L274" i="7"/>
  <c r="AJ274" i="7" s="1"/>
  <c r="K274" i="7"/>
  <c r="AL273" i="7"/>
  <c r="AK273" i="7"/>
  <c r="AI273" i="7"/>
  <c r="AH273" i="7"/>
  <c r="AD273" i="7"/>
  <c r="AC273" i="7"/>
  <c r="AE273" i="7" s="1"/>
  <c r="AA273" i="7"/>
  <c r="AG273" i="7" s="1"/>
  <c r="Z273" i="7"/>
  <c r="W273" i="7"/>
  <c r="V273" i="7"/>
  <c r="U273" i="7"/>
  <c r="AF273" i="7" s="1"/>
  <c r="S273" i="7"/>
  <c r="R273" i="7"/>
  <c r="Q273" i="7"/>
  <c r="O273" i="7"/>
  <c r="N273" i="7"/>
  <c r="M273" i="7"/>
  <c r="L273" i="7"/>
  <c r="AJ273" i="7" s="1"/>
  <c r="K273" i="7"/>
  <c r="AL272" i="7"/>
  <c r="AK272" i="7"/>
  <c r="AI272" i="7"/>
  <c r="AH272" i="7"/>
  <c r="AE272" i="7"/>
  <c r="AD272" i="7"/>
  <c r="AC272" i="7"/>
  <c r="AA272" i="7"/>
  <c r="AG272" i="7" s="1"/>
  <c r="Z272" i="7"/>
  <c r="W272" i="7"/>
  <c r="V272" i="7"/>
  <c r="U272" i="7"/>
  <c r="AF272" i="7" s="1"/>
  <c r="S272" i="7"/>
  <c r="R272" i="7"/>
  <c r="Q272" i="7"/>
  <c r="O272" i="7"/>
  <c r="N272" i="7"/>
  <c r="M272" i="7"/>
  <c r="L272" i="7"/>
  <c r="AJ272" i="7" s="1"/>
  <c r="K272" i="7"/>
  <c r="AL271" i="7"/>
  <c r="AK271" i="7"/>
  <c r="AI271" i="7"/>
  <c r="AH271" i="7"/>
  <c r="AD271" i="7"/>
  <c r="AC271" i="7"/>
  <c r="AE271" i="7" s="1"/>
  <c r="AA271" i="7"/>
  <c r="AG271" i="7" s="1"/>
  <c r="Z271" i="7"/>
  <c r="W271" i="7"/>
  <c r="V271" i="7"/>
  <c r="U271" i="7"/>
  <c r="AF271" i="7" s="1"/>
  <c r="S271" i="7"/>
  <c r="R271" i="7"/>
  <c r="Q271" i="7"/>
  <c r="O271" i="7"/>
  <c r="N271" i="7"/>
  <c r="M271" i="7"/>
  <c r="L271" i="7"/>
  <c r="AJ271" i="7" s="1"/>
  <c r="K271" i="7"/>
  <c r="AL270" i="7"/>
  <c r="AK270" i="7"/>
  <c r="AI270" i="7"/>
  <c r="AH270" i="7"/>
  <c r="AE270" i="7"/>
  <c r="AD270" i="7"/>
  <c r="AC270" i="7"/>
  <c r="AA270" i="7"/>
  <c r="AG270" i="7" s="1"/>
  <c r="Z270" i="7"/>
  <c r="W270" i="7"/>
  <c r="V270" i="7"/>
  <c r="U270" i="7"/>
  <c r="AF270" i="7" s="1"/>
  <c r="S270" i="7"/>
  <c r="R270" i="7"/>
  <c r="Q270" i="7"/>
  <c r="O270" i="7"/>
  <c r="N270" i="7"/>
  <c r="M270" i="7"/>
  <c r="L270" i="7"/>
  <c r="AJ270" i="7" s="1"/>
  <c r="K270" i="7"/>
  <c r="AL269" i="7"/>
  <c r="AK269" i="7"/>
  <c r="AI269" i="7"/>
  <c r="AH269" i="7"/>
  <c r="AD269" i="7"/>
  <c r="AC269" i="7"/>
  <c r="AE269" i="7" s="1"/>
  <c r="AA269" i="7"/>
  <c r="AG269" i="7" s="1"/>
  <c r="Z269" i="7"/>
  <c r="W269" i="7"/>
  <c r="V269" i="7"/>
  <c r="U269" i="7"/>
  <c r="AF269" i="7" s="1"/>
  <c r="S269" i="7"/>
  <c r="R269" i="7"/>
  <c r="Q269" i="7"/>
  <c r="O269" i="7"/>
  <c r="N269" i="7"/>
  <c r="M269" i="7"/>
  <c r="L269" i="7"/>
  <c r="AJ269" i="7" s="1"/>
  <c r="K269" i="7"/>
  <c r="AL268" i="7"/>
  <c r="AK268" i="7"/>
  <c r="AI268" i="7"/>
  <c r="AH268" i="7"/>
  <c r="AE268" i="7"/>
  <c r="AD268" i="7"/>
  <c r="AC268" i="7"/>
  <c r="AA268" i="7"/>
  <c r="AG268" i="7" s="1"/>
  <c r="Z268" i="7"/>
  <c r="W268" i="7"/>
  <c r="V268" i="7"/>
  <c r="U268" i="7"/>
  <c r="AF268" i="7" s="1"/>
  <c r="S268" i="7"/>
  <c r="R268" i="7"/>
  <c r="Q268" i="7"/>
  <c r="O268" i="7"/>
  <c r="N268" i="7"/>
  <c r="M268" i="7"/>
  <c r="L268" i="7"/>
  <c r="AJ268" i="7" s="1"/>
  <c r="K268" i="7"/>
  <c r="AL267" i="7"/>
  <c r="AK267" i="7"/>
  <c r="AI267" i="7"/>
  <c r="AH267" i="7"/>
  <c r="AD267" i="7"/>
  <c r="AC267" i="7"/>
  <c r="AE267" i="7" s="1"/>
  <c r="AA267" i="7"/>
  <c r="AG267" i="7" s="1"/>
  <c r="Z267" i="7"/>
  <c r="W267" i="7"/>
  <c r="V267" i="7"/>
  <c r="U267" i="7"/>
  <c r="AF267" i="7" s="1"/>
  <c r="S267" i="7"/>
  <c r="R267" i="7"/>
  <c r="Q267" i="7"/>
  <c r="O267" i="7"/>
  <c r="N267" i="7"/>
  <c r="M267" i="7"/>
  <c r="L267" i="7"/>
  <c r="AJ267" i="7" s="1"/>
  <c r="K267" i="7"/>
  <c r="AL266" i="7"/>
  <c r="AK266" i="7"/>
  <c r="AI266" i="7"/>
  <c r="AH266" i="7"/>
  <c r="AE266" i="7"/>
  <c r="AD266" i="7"/>
  <c r="AC266" i="7"/>
  <c r="AA266" i="7"/>
  <c r="AG266" i="7" s="1"/>
  <c r="Z266" i="7"/>
  <c r="W266" i="7"/>
  <c r="V266" i="7"/>
  <c r="U266" i="7"/>
  <c r="AF266" i="7" s="1"/>
  <c r="S266" i="7"/>
  <c r="R266" i="7"/>
  <c r="Q266" i="7"/>
  <c r="O266" i="7"/>
  <c r="N266" i="7"/>
  <c r="M266" i="7"/>
  <c r="L266" i="7"/>
  <c r="AJ266" i="7" s="1"/>
  <c r="K266" i="7"/>
  <c r="AL265" i="7"/>
  <c r="AK265" i="7"/>
  <c r="AI265" i="7"/>
  <c r="AH265" i="7"/>
  <c r="AD265" i="7"/>
  <c r="AC265" i="7"/>
  <c r="AE265" i="7" s="1"/>
  <c r="AA265" i="7"/>
  <c r="AG265" i="7" s="1"/>
  <c r="Z265" i="7"/>
  <c r="W265" i="7"/>
  <c r="V265" i="7"/>
  <c r="U265" i="7"/>
  <c r="AF265" i="7" s="1"/>
  <c r="S265" i="7"/>
  <c r="R265" i="7"/>
  <c r="Q265" i="7"/>
  <c r="O265" i="7"/>
  <c r="N265" i="7"/>
  <c r="M265" i="7"/>
  <c r="L265" i="7"/>
  <c r="AJ265" i="7" s="1"/>
  <c r="K265" i="7"/>
  <c r="AL264" i="7"/>
  <c r="AK264" i="7"/>
  <c r="AI264" i="7"/>
  <c r="AH264" i="7"/>
  <c r="AE264" i="7"/>
  <c r="AD264" i="7"/>
  <c r="AC264" i="7"/>
  <c r="AA264" i="7"/>
  <c r="AG264" i="7" s="1"/>
  <c r="Z264" i="7"/>
  <c r="W264" i="7"/>
  <c r="V264" i="7"/>
  <c r="U264" i="7"/>
  <c r="AF264" i="7" s="1"/>
  <c r="S264" i="7"/>
  <c r="R264" i="7"/>
  <c r="Q264" i="7"/>
  <c r="O264" i="7"/>
  <c r="N264" i="7"/>
  <c r="M264" i="7"/>
  <c r="L264" i="7"/>
  <c r="AJ264" i="7" s="1"/>
  <c r="K264" i="7"/>
  <c r="AL263" i="7"/>
  <c r="AK263" i="7"/>
  <c r="AI263" i="7"/>
  <c r="AH263" i="7"/>
  <c r="AD263" i="7"/>
  <c r="AC263" i="7"/>
  <c r="AE263" i="7" s="1"/>
  <c r="AA263" i="7"/>
  <c r="AG263" i="7" s="1"/>
  <c r="Z263" i="7"/>
  <c r="W263" i="7"/>
  <c r="V263" i="7"/>
  <c r="U263" i="7"/>
  <c r="AF263" i="7" s="1"/>
  <c r="S263" i="7"/>
  <c r="R263" i="7"/>
  <c r="Q263" i="7"/>
  <c r="O263" i="7"/>
  <c r="N263" i="7"/>
  <c r="M263" i="7"/>
  <c r="L263" i="7"/>
  <c r="AJ263" i="7" s="1"/>
  <c r="K263" i="7"/>
  <c r="AL262" i="7"/>
  <c r="AK262" i="7"/>
  <c r="AI262" i="7"/>
  <c r="AH262" i="7"/>
  <c r="AE262" i="7"/>
  <c r="AD262" i="7"/>
  <c r="AC262" i="7"/>
  <c r="AA262" i="7"/>
  <c r="AG262" i="7" s="1"/>
  <c r="Z262" i="7"/>
  <c r="W262" i="7"/>
  <c r="V262" i="7"/>
  <c r="U262" i="7"/>
  <c r="AF262" i="7" s="1"/>
  <c r="S262" i="7"/>
  <c r="R262" i="7"/>
  <c r="Q262" i="7"/>
  <c r="O262" i="7"/>
  <c r="N262" i="7"/>
  <c r="M262" i="7"/>
  <c r="L262" i="7"/>
  <c r="AJ262" i="7" s="1"/>
  <c r="K262" i="7"/>
  <c r="AL261" i="7"/>
  <c r="AK261" i="7"/>
  <c r="AI261" i="7"/>
  <c r="AH261" i="7"/>
  <c r="AD261" i="7"/>
  <c r="AC261" i="7"/>
  <c r="AE261" i="7" s="1"/>
  <c r="AA261" i="7"/>
  <c r="AG261" i="7" s="1"/>
  <c r="Z261" i="7"/>
  <c r="W261" i="7"/>
  <c r="V261" i="7"/>
  <c r="U261" i="7"/>
  <c r="AF261" i="7" s="1"/>
  <c r="S261" i="7"/>
  <c r="R261" i="7"/>
  <c r="Q261" i="7"/>
  <c r="O261" i="7"/>
  <c r="N261" i="7"/>
  <c r="M261" i="7"/>
  <c r="L261" i="7"/>
  <c r="AJ261" i="7" s="1"/>
  <c r="K261" i="7"/>
  <c r="AL260" i="7"/>
  <c r="AK260" i="7"/>
  <c r="AI260" i="7"/>
  <c r="AH260" i="7"/>
  <c r="AE260" i="7"/>
  <c r="AD260" i="7"/>
  <c r="AC260" i="7"/>
  <c r="AA260" i="7"/>
  <c r="AG260" i="7" s="1"/>
  <c r="Z260" i="7"/>
  <c r="W260" i="7"/>
  <c r="V260" i="7"/>
  <c r="U260" i="7"/>
  <c r="AF260" i="7" s="1"/>
  <c r="S260" i="7"/>
  <c r="R260" i="7"/>
  <c r="Q260" i="7"/>
  <c r="O260" i="7"/>
  <c r="N260" i="7"/>
  <c r="M260" i="7"/>
  <c r="L260" i="7"/>
  <c r="AJ260" i="7" s="1"/>
  <c r="K260" i="7"/>
  <c r="AL259" i="7"/>
  <c r="AK259" i="7"/>
  <c r="AI259" i="7"/>
  <c r="AH259" i="7"/>
  <c r="AD259" i="7"/>
  <c r="AC259" i="7"/>
  <c r="AE259" i="7" s="1"/>
  <c r="AA259" i="7"/>
  <c r="AG259" i="7" s="1"/>
  <c r="Z259" i="7"/>
  <c r="W259" i="7"/>
  <c r="V259" i="7"/>
  <c r="U259" i="7"/>
  <c r="AF259" i="7" s="1"/>
  <c r="S259" i="7"/>
  <c r="R259" i="7"/>
  <c r="Q259" i="7"/>
  <c r="O259" i="7"/>
  <c r="N259" i="7"/>
  <c r="M259" i="7"/>
  <c r="L259" i="7"/>
  <c r="AJ259" i="7" s="1"/>
  <c r="K259" i="7"/>
  <c r="AL258" i="7"/>
  <c r="AK258" i="7"/>
  <c r="AI258" i="7"/>
  <c r="AH258" i="7"/>
  <c r="AE258" i="7"/>
  <c r="AD258" i="7"/>
  <c r="AC258" i="7"/>
  <c r="AA258" i="7"/>
  <c r="AG258" i="7" s="1"/>
  <c r="Z258" i="7"/>
  <c r="W258" i="7"/>
  <c r="V258" i="7"/>
  <c r="U258" i="7"/>
  <c r="AF258" i="7" s="1"/>
  <c r="S258" i="7"/>
  <c r="R258" i="7"/>
  <c r="Q258" i="7"/>
  <c r="O258" i="7"/>
  <c r="N258" i="7"/>
  <c r="M258" i="7"/>
  <c r="L258" i="7"/>
  <c r="AJ258" i="7" s="1"/>
  <c r="K258" i="7"/>
  <c r="AL257" i="7"/>
  <c r="AK257" i="7"/>
  <c r="AI257" i="7"/>
  <c r="AH257" i="7"/>
  <c r="AC257" i="7"/>
  <c r="AE257" i="7" s="1"/>
  <c r="AA257" i="7"/>
  <c r="AG257" i="7" s="1"/>
  <c r="Z257" i="7"/>
  <c r="W257" i="7"/>
  <c r="AD257" i="7" s="1"/>
  <c r="V257" i="7"/>
  <c r="U257" i="7"/>
  <c r="AF257" i="7" s="1"/>
  <c r="S257" i="7"/>
  <c r="R257" i="7"/>
  <c r="Q257" i="7"/>
  <c r="O257" i="7"/>
  <c r="N257" i="7"/>
  <c r="M257" i="7"/>
  <c r="L257" i="7"/>
  <c r="AJ257" i="7" s="1"/>
  <c r="K257" i="7"/>
  <c r="AL256" i="7"/>
  <c r="AK256" i="7"/>
  <c r="AI256" i="7"/>
  <c r="AH256" i="7"/>
  <c r="AE256" i="7"/>
  <c r="AD256" i="7"/>
  <c r="AC256" i="7"/>
  <c r="Z256" i="7"/>
  <c r="AA256" i="7" s="1"/>
  <c r="AG256" i="7" s="1"/>
  <c r="W256" i="7"/>
  <c r="V256" i="7"/>
  <c r="U256" i="7"/>
  <c r="AF256" i="7" s="1"/>
  <c r="S256" i="7"/>
  <c r="R256" i="7"/>
  <c r="Q256" i="7"/>
  <c r="O256" i="7"/>
  <c r="N256" i="7"/>
  <c r="M256" i="7"/>
  <c r="L256" i="7"/>
  <c r="AJ256" i="7" s="1"/>
  <c r="K256" i="7"/>
  <c r="AL255" i="7"/>
  <c r="AK255" i="7"/>
  <c r="AI255" i="7"/>
  <c r="AH255" i="7"/>
  <c r="AC255" i="7"/>
  <c r="AE255" i="7" s="1"/>
  <c r="AA255" i="7"/>
  <c r="AG255" i="7" s="1"/>
  <c r="Z255" i="7"/>
  <c r="W255" i="7"/>
  <c r="AD255" i="7" s="1"/>
  <c r="V255" i="7"/>
  <c r="U255" i="7"/>
  <c r="AF255" i="7" s="1"/>
  <c r="S255" i="7"/>
  <c r="R255" i="7"/>
  <c r="Q255" i="7"/>
  <c r="O255" i="7"/>
  <c r="N255" i="7"/>
  <c r="M255" i="7"/>
  <c r="L255" i="7"/>
  <c r="AJ255" i="7" s="1"/>
  <c r="K255" i="7"/>
  <c r="AL254" i="7"/>
  <c r="AK254" i="7"/>
  <c r="AI254" i="7"/>
  <c r="AH254" i="7"/>
  <c r="AE254" i="7"/>
  <c r="AD254" i="7"/>
  <c r="AC254" i="7"/>
  <c r="Z254" i="7"/>
  <c r="AA254" i="7" s="1"/>
  <c r="AG254" i="7" s="1"/>
  <c r="W254" i="7"/>
  <c r="V254" i="7"/>
  <c r="U254" i="7"/>
  <c r="AF254" i="7" s="1"/>
  <c r="S254" i="7"/>
  <c r="R254" i="7"/>
  <c r="Q254" i="7"/>
  <c r="O254" i="7"/>
  <c r="N254" i="7"/>
  <c r="M254" i="7"/>
  <c r="L254" i="7"/>
  <c r="AJ254" i="7" s="1"/>
  <c r="K254" i="7"/>
  <c r="AL253" i="7"/>
  <c r="AK253" i="7"/>
  <c r="AI253" i="7"/>
  <c r="AH253" i="7"/>
  <c r="AC253" i="7"/>
  <c r="AE253" i="7" s="1"/>
  <c r="AA253" i="7"/>
  <c r="AG253" i="7" s="1"/>
  <c r="Z253" i="7"/>
  <c r="W253" i="7"/>
  <c r="AD253" i="7" s="1"/>
  <c r="V253" i="7"/>
  <c r="U253" i="7"/>
  <c r="AF253" i="7" s="1"/>
  <c r="S253" i="7"/>
  <c r="R253" i="7"/>
  <c r="Q253" i="7"/>
  <c r="O253" i="7"/>
  <c r="N253" i="7"/>
  <c r="M253" i="7"/>
  <c r="L253" i="7"/>
  <c r="AJ253" i="7" s="1"/>
  <c r="K253" i="7"/>
  <c r="AL252" i="7"/>
  <c r="AK252" i="7"/>
  <c r="AI252" i="7"/>
  <c r="AH252" i="7"/>
  <c r="AE252" i="7"/>
  <c r="AD252" i="7"/>
  <c r="AC252" i="7"/>
  <c r="Z252" i="7"/>
  <c r="AA252" i="7" s="1"/>
  <c r="AG252" i="7" s="1"/>
  <c r="W252" i="7"/>
  <c r="V252" i="7"/>
  <c r="U252" i="7"/>
  <c r="AF252" i="7" s="1"/>
  <c r="S252" i="7"/>
  <c r="R252" i="7"/>
  <c r="Q252" i="7"/>
  <c r="O252" i="7"/>
  <c r="N252" i="7"/>
  <c r="M252" i="7"/>
  <c r="L252" i="7"/>
  <c r="AJ252" i="7" s="1"/>
  <c r="K252" i="7"/>
  <c r="AL251" i="7"/>
  <c r="AK251" i="7"/>
  <c r="AI251" i="7"/>
  <c r="AH251" i="7"/>
  <c r="AC251" i="7"/>
  <c r="AE251" i="7" s="1"/>
  <c r="AA251" i="7"/>
  <c r="AG251" i="7" s="1"/>
  <c r="Z251" i="7"/>
  <c r="W251" i="7"/>
  <c r="AD251" i="7" s="1"/>
  <c r="V251" i="7"/>
  <c r="U251" i="7"/>
  <c r="AF251" i="7" s="1"/>
  <c r="S251" i="7"/>
  <c r="R251" i="7"/>
  <c r="Q251" i="7"/>
  <c r="O251" i="7"/>
  <c r="N251" i="7"/>
  <c r="M251" i="7"/>
  <c r="L251" i="7"/>
  <c r="AJ251" i="7" s="1"/>
  <c r="K251" i="7"/>
  <c r="AL250" i="7"/>
  <c r="AK250" i="7"/>
  <c r="AI250" i="7"/>
  <c r="AH250" i="7"/>
  <c r="AE250" i="7"/>
  <c r="AD250" i="7"/>
  <c r="AC250" i="7"/>
  <c r="Z250" i="7"/>
  <c r="AA250" i="7" s="1"/>
  <c r="AG250" i="7" s="1"/>
  <c r="W250" i="7"/>
  <c r="V250" i="7"/>
  <c r="U250" i="7"/>
  <c r="AF250" i="7" s="1"/>
  <c r="S250" i="7"/>
  <c r="R250" i="7"/>
  <c r="Q250" i="7"/>
  <c r="O250" i="7"/>
  <c r="N250" i="7"/>
  <c r="M250" i="7"/>
  <c r="L250" i="7"/>
  <c r="AJ250" i="7" s="1"/>
  <c r="K250" i="7"/>
  <c r="AL249" i="7"/>
  <c r="AK249" i="7"/>
  <c r="AI249" i="7"/>
  <c r="AH249" i="7"/>
  <c r="AC249" i="7"/>
  <c r="AE249" i="7" s="1"/>
  <c r="AA249" i="7"/>
  <c r="AG249" i="7" s="1"/>
  <c r="Z249" i="7"/>
  <c r="W249" i="7"/>
  <c r="AD249" i="7" s="1"/>
  <c r="V249" i="7"/>
  <c r="U249" i="7"/>
  <c r="AF249" i="7" s="1"/>
  <c r="S249" i="7"/>
  <c r="R249" i="7"/>
  <c r="Q249" i="7"/>
  <c r="O249" i="7"/>
  <c r="N249" i="7"/>
  <c r="M249" i="7"/>
  <c r="L249" i="7"/>
  <c r="AJ249" i="7" s="1"/>
  <c r="K249" i="7"/>
  <c r="AL248" i="7"/>
  <c r="AK248" i="7"/>
  <c r="AI248" i="7"/>
  <c r="AH248" i="7"/>
  <c r="AE248" i="7"/>
  <c r="AD248" i="7"/>
  <c r="AC248" i="7"/>
  <c r="Z248" i="7"/>
  <c r="AA248" i="7" s="1"/>
  <c r="AG248" i="7" s="1"/>
  <c r="W248" i="7"/>
  <c r="V248" i="7"/>
  <c r="U248" i="7"/>
  <c r="AF248" i="7" s="1"/>
  <c r="S248" i="7"/>
  <c r="R248" i="7"/>
  <c r="Q248" i="7"/>
  <c r="O248" i="7"/>
  <c r="N248" i="7"/>
  <c r="M248" i="7"/>
  <c r="L248" i="7"/>
  <c r="AJ248" i="7" s="1"/>
  <c r="K248" i="7"/>
  <c r="AL247" i="7"/>
  <c r="AK247" i="7"/>
  <c r="AI247" i="7"/>
  <c r="AH247" i="7"/>
  <c r="AC247" i="7"/>
  <c r="AE247" i="7" s="1"/>
  <c r="AA247" i="7"/>
  <c r="AG247" i="7" s="1"/>
  <c r="Z247" i="7"/>
  <c r="W247" i="7"/>
  <c r="AD247" i="7" s="1"/>
  <c r="V247" i="7"/>
  <c r="U247" i="7"/>
  <c r="AF247" i="7" s="1"/>
  <c r="S247" i="7"/>
  <c r="R247" i="7"/>
  <c r="Q247" i="7"/>
  <c r="O247" i="7"/>
  <c r="N247" i="7"/>
  <c r="M247" i="7"/>
  <c r="L247" i="7"/>
  <c r="AJ247" i="7" s="1"/>
  <c r="K247" i="7"/>
  <c r="AL246" i="7"/>
  <c r="AK246" i="7"/>
  <c r="AI246" i="7"/>
  <c r="AH246" i="7"/>
  <c r="AE246" i="7"/>
  <c r="AD246" i="7"/>
  <c r="AC246" i="7"/>
  <c r="Z246" i="7"/>
  <c r="AA246" i="7" s="1"/>
  <c r="AG246" i="7" s="1"/>
  <c r="W246" i="7"/>
  <c r="V246" i="7"/>
  <c r="U246" i="7"/>
  <c r="AF246" i="7" s="1"/>
  <c r="S246" i="7"/>
  <c r="R246" i="7"/>
  <c r="Q246" i="7"/>
  <c r="O246" i="7"/>
  <c r="N246" i="7"/>
  <c r="M246" i="7"/>
  <c r="L246" i="7"/>
  <c r="AJ246" i="7" s="1"/>
  <c r="K246" i="7"/>
  <c r="AL245" i="7"/>
  <c r="AK245" i="7"/>
  <c r="AI245" i="7"/>
  <c r="AH245" i="7"/>
  <c r="AC245" i="7"/>
  <c r="AE245" i="7" s="1"/>
  <c r="AA245" i="7"/>
  <c r="AG245" i="7" s="1"/>
  <c r="Z245" i="7"/>
  <c r="W245" i="7"/>
  <c r="AD245" i="7" s="1"/>
  <c r="V245" i="7"/>
  <c r="U245" i="7"/>
  <c r="AF245" i="7" s="1"/>
  <c r="S245" i="7"/>
  <c r="R245" i="7"/>
  <c r="Q245" i="7"/>
  <c r="O245" i="7"/>
  <c r="N245" i="7"/>
  <c r="M245" i="7"/>
  <c r="L245" i="7"/>
  <c r="AJ245" i="7" s="1"/>
  <c r="K245" i="7"/>
  <c r="AL244" i="7"/>
  <c r="AK244" i="7"/>
  <c r="AI244" i="7"/>
  <c r="AH244" i="7"/>
  <c r="AE244" i="7"/>
  <c r="AD244" i="7"/>
  <c r="AC244" i="7"/>
  <c r="Z244" i="7"/>
  <c r="AA244" i="7" s="1"/>
  <c r="AG244" i="7" s="1"/>
  <c r="W244" i="7"/>
  <c r="V244" i="7"/>
  <c r="U244" i="7"/>
  <c r="AF244" i="7" s="1"/>
  <c r="S244" i="7"/>
  <c r="R244" i="7"/>
  <c r="Q244" i="7"/>
  <c r="O244" i="7"/>
  <c r="N244" i="7"/>
  <c r="M244" i="7"/>
  <c r="L244" i="7"/>
  <c r="AJ244" i="7" s="1"/>
  <c r="K244" i="7"/>
  <c r="AL243" i="7"/>
  <c r="AK243" i="7"/>
  <c r="AI243" i="7"/>
  <c r="AH243" i="7"/>
  <c r="AC243" i="7"/>
  <c r="AE243" i="7" s="1"/>
  <c r="AA243" i="7"/>
  <c r="AG243" i="7" s="1"/>
  <c r="Z243" i="7"/>
  <c r="W243" i="7"/>
  <c r="AD243" i="7" s="1"/>
  <c r="V243" i="7"/>
  <c r="U243" i="7"/>
  <c r="AF243" i="7" s="1"/>
  <c r="S243" i="7"/>
  <c r="R243" i="7"/>
  <c r="Q243" i="7"/>
  <c r="O243" i="7"/>
  <c r="N243" i="7"/>
  <c r="M243" i="7"/>
  <c r="L243" i="7"/>
  <c r="AJ243" i="7" s="1"/>
  <c r="K243" i="7"/>
  <c r="AL242" i="7"/>
  <c r="AK242" i="7"/>
  <c r="AI242" i="7"/>
  <c r="AH242" i="7"/>
  <c r="AE242" i="7"/>
  <c r="AD242" i="7"/>
  <c r="AC242" i="7"/>
  <c r="Z242" i="7"/>
  <c r="AA242" i="7" s="1"/>
  <c r="AG242" i="7" s="1"/>
  <c r="W242" i="7"/>
  <c r="V242" i="7"/>
  <c r="U242" i="7"/>
  <c r="AF242" i="7" s="1"/>
  <c r="S242" i="7"/>
  <c r="R242" i="7"/>
  <c r="Q242" i="7"/>
  <c r="O242" i="7"/>
  <c r="N242" i="7"/>
  <c r="M242" i="7"/>
  <c r="L242" i="7"/>
  <c r="AJ242" i="7" s="1"/>
  <c r="K242" i="7"/>
  <c r="AL241" i="7"/>
  <c r="AK241" i="7"/>
  <c r="AI241" i="7"/>
  <c r="AH241" i="7"/>
  <c r="AC241" i="7"/>
  <c r="AE241" i="7" s="1"/>
  <c r="AA241" i="7"/>
  <c r="AG241" i="7" s="1"/>
  <c r="Z241" i="7"/>
  <c r="W241" i="7"/>
  <c r="AD241" i="7" s="1"/>
  <c r="V241" i="7"/>
  <c r="U241" i="7"/>
  <c r="AF241" i="7" s="1"/>
  <c r="S241" i="7"/>
  <c r="R241" i="7"/>
  <c r="Q241" i="7"/>
  <c r="O241" i="7"/>
  <c r="N241" i="7"/>
  <c r="M241" i="7"/>
  <c r="L241" i="7"/>
  <c r="AJ241" i="7" s="1"/>
  <c r="K241" i="7"/>
  <c r="AL240" i="7"/>
  <c r="AK240" i="7"/>
  <c r="AI240" i="7"/>
  <c r="AH240" i="7"/>
  <c r="AE240" i="7"/>
  <c r="AD240" i="7"/>
  <c r="AC240" i="7"/>
  <c r="Z240" i="7"/>
  <c r="AA240" i="7" s="1"/>
  <c r="AG240" i="7" s="1"/>
  <c r="W240" i="7"/>
  <c r="V240" i="7"/>
  <c r="U240" i="7"/>
  <c r="AF240" i="7" s="1"/>
  <c r="S240" i="7"/>
  <c r="R240" i="7"/>
  <c r="Q240" i="7"/>
  <c r="O240" i="7"/>
  <c r="N240" i="7"/>
  <c r="M240" i="7"/>
  <c r="L240" i="7"/>
  <c r="AJ240" i="7" s="1"/>
  <c r="K240" i="7"/>
  <c r="AL239" i="7"/>
  <c r="AK239" i="7"/>
  <c r="AI239" i="7"/>
  <c r="AH239" i="7"/>
  <c r="AC239" i="7"/>
  <c r="AE239" i="7" s="1"/>
  <c r="AA239" i="7"/>
  <c r="AG239" i="7" s="1"/>
  <c r="Z239" i="7"/>
  <c r="W239" i="7"/>
  <c r="AD239" i="7" s="1"/>
  <c r="V239" i="7"/>
  <c r="U239" i="7"/>
  <c r="AF239" i="7" s="1"/>
  <c r="S239" i="7"/>
  <c r="R239" i="7"/>
  <c r="Q239" i="7"/>
  <c r="O239" i="7"/>
  <c r="N239" i="7"/>
  <c r="M239" i="7"/>
  <c r="L239" i="7"/>
  <c r="AJ239" i="7" s="1"/>
  <c r="K239" i="7"/>
  <c r="AL238" i="7"/>
  <c r="AK238" i="7"/>
  <c r="AI238" i="7"/>
  <c r="AH238" i="7"/>
  <c r="AE238" i="7"/>
  <c r="AD238" i="7"/>
  <c r="AC238" i="7"/>
  <c r="Z238" i="7"/>
  <c r="AA238" i="7" s="1"/>
  <c r="AG238" i="7" s="1"/>
  <c r="W238" i="7"/>
  <c r="V238" i="7"/>
  <c r="U238" i="7"/>
  <c r="AF238" i="7" s="1"/>
  <c r="S238" i="7"/>
  <c r="R238" i="7"/>
  <c r="Q238" i="7"/>
  <c r="O238" i="7"/>
  <c r="N238" i="7"/>
  <c r="M238" i="7"/>
  <c r="L238" i="7"/>
  <c r="AJ238" i="7" s="1"/>
  <c r="K238" i="7"/>
  <c r="AL237" i="7"/>
  <c r="AK237" i="7"/>
  <c r="AI237" i="7"/>
  <c r="AH237" i="7"/>
  <c r="AC237" i="7"/>
  <c r="AE237" i="7" s="1"/>
  <c r="AA237" i="7"/>
  <c r="AG237" i="7" s="1"/>
  <c r="Z237" i="7"/>
  <c r="W237" i="7"/>
  <c r="AD237" i="7" s="1"/>
  <c r="V237" i="7"/>
  <c r="U237" i="7"/>
  <c r="AF237" i="7" s="1"/>
  <c r="S237" i="7"/>
  <c r="R237" i="7"/>
  <c r="Q237" i="7"/>
  <c r="O237" i="7"/>
  <c r="N237" i="7"/>
  <c r="M237" i="7"/>
  <c r="L237" i="7"/>
  <c r="AJ237" i="7" s="1"/>
  <c r="K237" i="7"/>
  <c r="AL236" i="7"/>
  <c r="AK236" i="7"/>
  <c r="AI236" i="7"/>
  <c r="AH236" i="7"/>
  <c r="AE236" i="7"/>
  <c r="AD236" i="7"/>
  <c r="AC236" i="7"/>
  <c r="Z236" i="7"/>
  <c r="AA236" i="7" s="1"/>
  <c r="AG236" i="7" s="1"/>
  <c r="W236" i="7"/>
  <c r="V236" i="7"/>
  <c r="U236" i="7"/>
  <c r="AF236" i="7" s="1"/>
  <c r="S236" i="7"/>
  <c r="R236" i="7"/>
  <c r="Q236" i="7"/>
  <c r="O236" i="7"/>
  <c r="N236" i="7"/>
  <c r="M236" i="7"/>
  <c r="L236" i="7"/>
  <c r="AJ236" i="7" s="1"/>
  <c r="K236" i="7"/>
  <c r="AL235" i="7"/>
  <c r="AK235" i="7"/>
  <c r="AI235" i="7"/>
  <c r="AH235" i="7"/>
  <c r="AC235" i="7"/>
  <c r="AE235" i="7" s="1"/>
  <c r="AA235" i="7"/>
  <c r="AG235" i="7" s="1"/>
  <c r="Z235" i="7"/>
  <c r="W235" i="7"/>
  <c r="AD235" i="7" s="1"/>
  <c r="V235" i="7"/>
  <c r="U235" i="7"/>
  <c r="AF235" i="7" s="1"/>
  <c r="S235" i="7"/>
  <c r="R235" i="7"/>
  <c r="Q235" i="7"/>
  <c r="O235" i="7"/>
  <c r="N235" i="7"/>
  <c r="M235" i="7"/>
  <c r="L235" i="7"/>
  <c r="AJ235" i="7" s="1"/>
  <c r="K235" i="7"/>
  <c r="AL234" i="7"/>
  <c r="AK234" i="7"/>
  <c r="AI234" i="7"/>
  <c r="AH234" i="7"/>
  <c r="AE234" i="7"/>
  <c r="AD234" i="7"/>
  <c r="AC234" i="7"/>
  <c r="Z234" i="7"/>
  <c r="AA234" i="7" s="1"/>
  <c r="AG234" i="7" s="1"/>
  <c r="W234" i="7"/>
  <c r="V234" i="7"/>
  <c r="U234" i="7"/>
  <c r="AF234" i="7" s="1"/>
  <c r="S234" i="7"/>
  <c r="R234" i="7"/>
  <c r="Q234" i="7"/>
  <c r="O234" i="7"/>
  <c r="N234" i="7"/>
  <c r="M234" i="7"/>
  <c r="L234" i="7"/>
  <c r="AJ234" i="7" s="1"/>
  <c r="K234" i="7"/>
  <c r="AL233" i="7"/>
  <c r="AK233" i="7"/>
  <c r="AI233" i="7"/>
  <c r="AH233" i="7"/>
  <c r="AC233" i="7"/>
  <c r="AE233" i="7" s="1"/>
  <c r="AA233" i="7"/>
  <c r="AG233" i="7" s="1"/>
  <c r="Z233" i="7"/>
  <c r="W233" i="7"/>
  <c r="AD233" i="7" s="1"/>
  <c r="V233" i="7"/>
  <c r="U233" i="7"/>
  <c r="AF233" i="7" s="1"/>
  <c r="S233" i="7"/>
  <c r="R233" i="7"/>
  <c r="Q233" i="7"/>
  <c r="O233" i="7"/>
  <c r="N233" i="7"/>
  <c r="M233" i="7"/>
  <c r="L233" i="7"/>
  <c r="AJ233" i="7" s="1"/>
  <c r="K233" i="7"/>
  <c r="AL232" i="7"/>
  <c r="AK232" i="7"/>
  <c r="AI232" i="7"/>
  <c r="AH232" i="7"/>
  <c r="AE232" i="7"/>
  <c r="AD232" i="7"/>
  <c r="AC232" i="7"/>
  <c r="Z232" i="7"/>
  <c r="AA232" i="7" s="1"/>
  <c r="AG232" i="7" s="1"/>
  <c r="W232" i="7"/>
  <c r="V232" i="7"/>
  <c r="U232" i="7"/>
  <c r="AF232" i="7" s="1"/>
  <c r="S232" i="7"/>
  <c r="R232" i="7"/>
  <c r="Q232" i="7"/>
  <c r="O232" i="7"/>
  <c r="N232" i="7"/>
  <c r="M232" i="7"/>
  <c r="L232" i="7"/>
  <c r="AJ232" i="7" s="1"/>
  <c r="K232" i="7"/>
  <c r="AL231" i="7"/>
  <c r="AK231" i="7"/>
  <c r="AI231" i="7"/>
  <c r="AH231" i="7"/>
  <c r="AC231" i="7"/>
  <c r="AE231" i="7" s="1"/>
  <c r="AA231" i="7"/>
  <c r="AG231" i="7" s="1"/>
  <c r="Z231" i="7"/>
  <c r="W231" i="7"/>
  <c r="AD231" i="7" s="1"/>
  <c r="V231" i="7"/>
  <c r="U231" i="7"/>
  <c r="AF231" i="7" s="1"/>
  <c r="S231" i="7"/>
  <c r="R231" i="7"/>
  <c r="Q231" i="7"/>
  <c r="O231" i="7"/>
  <c r="N231" i="7"/>
  <c r="M231" i="7"/>
  <c r="L231" i="7"/>
  <c r="AJ231" i="7" s="1"/>
  <c r="K231" i="7"/>
  <c r="AL230" i="7"/>
  <c r="AK230" i="7"/>
  <c r="AI230" i="7"/>
  <c r="AH230" i="7"/>
  <c r="AE230" i="7"/>
  <c r="AD230" i="7"/>
  <c r="AC230" i="7"/>
  <c r="Z230" i="7"/>
  <c r="AA230" i="7" s="1"/>
  <c r="AG230" i="7" s="1"/>
  <c r="W230" i="7"/>
  <c r="V230" i="7"/>
  <c r="U230" i="7"/>
  <c r="AF230" i="7" s="1"/>
  <c r="S230" i="7"/>
  <c r="R230" i="7"/>
  <c r="Q230" i="7"/>
  <c r="O230" i="7"/>
  <c r="N230" i="7"/>
  <c r="M230" i="7"/>
  <c r="L230" i="7"/>
  <c r="AJ230" i="7" s="1"/>
  <c r="K230" i="7"/>
  <c r="AL229" i="7"/>
  <c r="AK229" i="7"/>
  <c r="AI229" i="7"/>
  <c r="AH229" i="7"/>
  <c r="AC229" i="7"/>
  <c r="AE229" i="7" s="1"/>
  <c r="AA229" i="7"/>
  <c r="AG229" i="7" s="1"/>
  <c r="Z229" i="7"/>
  <c r="W229" i="7"/>
  <c r="AD229" i="7" s="1"/>
  <c r="V229" i="7"/>
  <c r="U229" i="7"/>
  <c r="AF229" i="7" s="1"/>
  <c r="S229" i="7"/>
  <c r="R229" i="7"/>
  <c r="Q229" i="7"/>
  <c r="O229" i="7"/>
  <c r="N229" i="7"/>
  <c r="M229" i="7"/>
  <c r="L229" i="7"/>
  <c r="AJ229" i="7" s="1"/>
  <c r="K229" i="7"/>
  <c r="AL228" i="7"/>
  <c r="AK228" i="7"/>
  <c r="AI228" i="7"/>
  <c r="AH228" i="7"/>
  <c r="AE228" i="7"/>
  <c r="AD228" i="7"/>
  <c r="AC228" i="7"/>
  <c r="Z228" i="7"/>
  <c r="AA228" i="7" s="1"/>
  <c r="AG228" i="7" s="1"/>
  <c r="W228" i="7"/>
  <c r="V228" i="7"/>
  <c r="U228" i="7"/>
  <c r="AF228" i="7" s="1"/>
  <c r="S228" i="7"/>
  <c r="R228" i="7"/>
  <c r="Q228" i="7"/>
  <c r="O228" i="7"/>
  <c r="N228" i="7"/>
  <c r="M228" i="7"/>
  <c r="L228" i="7"/>
  <c r="AJ228" i="7" s="1"/>
  <c r="K228" i="7"/>
  <c r="AL227" i="7"/>
  <c r="AK227" i="7"/>
  <c r="AI227" i="7"/>
  <c r="AH227" i="7"/>
  <c r="AC227" i="7"/>
  <c r="AE227" i="7" s="1"/>
  <c r="AA227" i="7"/>
  <c r="AG227" i="7" s="1"/>
  <c r="Z227" i="7"/>
  <c r="W227" i="7"/>
  <c r="AD227" i="7" s="1"/>
  <c r="V227" i="7"/>
  <c r="U227" i="7"/>
  <c r="AF227" i="7" s="1"/>
  <c r="S227" i="7"/>
  <c r="R227" i="7"/>
  <c r="Q227" i="7"/>
  <c r="O227" i="7"/>
  <c r="N227" i="7"/>
  <c r="M227" i="7"/>
  <c r="L227" i="7"/>
  <c r="AJ227" i="7" s="1"/>
  <c r="K227" i="7"/>
  <c r="AL226" i="7"/>
  <c r="AK226" i="7"/>
  <c r="AI226" i="7"/>
  <c r="AH226" i="7"/>
  <c r="AE226" i="7"/>
  <c r="AD226" i="7"/>
  <c r="AC226" i="7"/>
  <c r="Z226" i="7"/>
  <c r="AA226" i="7" s="1"/>
  <c r="AG226" i="7" s="1"/>
  <c r="W226" i="7"/>
  <c r="V226" i="7"/>
  <c r="U226" i="7"/>
  <c r="AF226" i="7" s="1"/>
  <c r="S226" i="7"/>
  <c r="R226" i="7"/>
  <c r="Q226" i="7"/>
  <c r="O226" i="7"/>
  <c r="N226" i="7"/>
  <c r="M226" i="7"/>
  <c r="L226" i="7"/>
  <c r="AJ226" i="7" s="1"/>
  <c r="K226" i="7"/>
  <c r="AL225" i="7"/>
  <c r="AK225" i="7"/>
  <c r="AI225" i="7"/>
  <c r="AH225" i="7"/>
  <c r="AC225" i="7"/>
  <c r="AE225" i="7" s="1"/>
  <c r="AA225" i="7"/>
  <c r="AG225" i="7" s="1"/>
  <c r="Z225" i="7"/>
  <c r="W225" i="7"/>
  <c r="AD225" i="7" s="1"/>
  <c r="V225" i="7"/>
  <c r="U225" i="7"/>
  <c r="AF225" i="7" s="1"/>
  <c r="S225" i="7"/>
  <c r="R225" i="7"/>
  <c r="Q225" i="7"/>
  <c r="O225" i="7"/>
  <c r="N225" i="7"/>
  <c r="M225" i="7"/>
  <c r="L225" i="7"/>
  <c r="AJ225" i="7" s="1"/>
  <c r="K225" i="7"/>
  <c r="AL224" i="7"/>
  <c r="AK224" i="7"/>
  <c r="AI224" i="7"/>
  <c r="AH224" i="7"/>
  <c r="AE224" i="7"/>
  <c r="AD224" i="7"/>
  <c r="AC224" i="7"/>
  <c r="Z224" i="7"/>
  <c r="AA224" i="7" s="1"/>
  <c r="AG224" i="7" s="1"/>
  <c r="W224" i="7"/>
  <c r="V224" i="7"/>
  <c r="U224" i="7"/>
  <c r="AF224" i="7" s="1"/>
  <c r="S224" i="7"/>
  <c r="R224" i="7"/>
  <c r="Q224" i="7"/>
  <c r="O224" i="7"/>
  <c r="N224" i="7"/>
  <c r="M224" i="7"/>
  <c r="L224" i="7"/>
  <c r="AJ224" i="7" s="1"/>
  <c r="K224" i="7"/>
  <c r="AL223" i="7"/>
  <c r="AK223" i="7"/>
  <c r="AI223" i="7"/>
  <c r="AH223" i="7"/>
  <c r="AC223" i="7"/>
  <c r="AE223" i="7" s="1"/>
  <c r="AA223" i="7"/>
  <c r="AG223" i="7" s="1"/>
  <c r="Z223" i="7"/>
  <c r="W223" i="7"/>
  <c r="AD223" i="7" s="1"/>
  <c r="V223" i="7"/>
  <c r="U223" i="7"/>
  <c r="AF223" i="7" s="1"/>
  <c r="S223" i="7"/>
  <c r="R223" i="7"/>
  <c r="Q223" i="7"/>
  <c r="O223" i="7"/>
  <c r="N223" i="7"/>
  <c r="M223" i="7"/>
  <c r="L223" i="7"/>
  <c r="AJ223" i="7" s="1"/>
  <c r="K223" i="7"/>
  <c r="AL222" i="7"/>
  <c r="AK222" i="7"/>
  <c r="AI222" i="7"/>
  <c r="AH222" i="7"/>
  <c r="AE222" i="7"/>
  <c r="AD222" i="7"/>
  <c r="AC222" i="7"/>
  <c r="Z222" i="7"/>
  <c r="AA222" i="7" s="1"/>
  <c r="AG222" i="7" s="1"/>
  <c r="W222" i="7"/>
  <c r="V222" i="7"/>
  <c r="U222" i="7"/>
  <c r="AF222" i="7" s="1"/>
  <c r="S222" i="7"/>
  <c r="R222" i="7"/>
  <c r="Q222" i="7"/>
  <c r="O222" i="7"/>
  <c r="N222" i="7"/>
  <c r="M222" i="7"/>
  <c r="L222" i="7"/>
  <c r="AJ222" i="7" s="1"/>
  <c r="K222" i="7"/>
  <c r="AL221" i="7"/>
  <c r="AK221" i="7"/>
  <c r="AI221" i="7"/>
  <c r="AH221" i="7"/>
  <c r="AC221" i="7"/>
  <c r="AE221" i="7" s="1"/>
  <c r="AA221" i="7"/>
  <c r="AG221" i="7" s="1"/>
  <c r="Z221" i="7"/>
  <c r="W221" i="7"/>
  <c r="AD221" i="7" s="1"/>
  <c r="V221" i="7"/>
  <c r="U221" i="7"/>
  <c r="AF221" i="7" s="1"/>
  <c r="S221" i="7"/>
  <c r="R221" i="7"/>
  <c r="Q221" i="7"/>
  <c r="O221" i="7"/>
  <c r="N221" i="7"/>
  <c r="M221" i="7"/>
  <c r="L221" i="7"/>
  <c r="AJ221" i="7" s="1"/>
  <c r="K221" i="7"/>
  <c r="AL220" i="7"/>
  <c r="AK220" i="7"/>
  <c r="AI220" i="7"/>
  <c r="AH220" i="7"/>
  <c r="AE220" i="7"/>
  <c r="AD220" i="7"/>
  <c r="AC220" i="7"/>
  <c r="Z220" i="7"/>
  <c r="AA220" i="7" s="1"/>
  <c r="AG220" i="7" s="1"/>
  <c r="W220" i="7"/>
  <c r="V220" i="7"/>
  <c r="U220" i="7"/>
  <c r="AF220" i="7" s="1"/>
  <c r="S220" i="7"/>
  <c r="R220" i="7"/>
  <c r="Q220" i="7"/>
  <c r="O220" i="7"/>
  <c r="N220" i="7"/>
  <c r="M220" i="7"/>
  <c r="L220" i="7"/>
  <c r="AJ220" i="7" s="1"/>
  <c r="K220" i="7"/>
  <c r="AL219" i="7"/>
  <c r="AK219" i="7"/>
  <c r="AI219" i="7"/>
  <c r="AH219" i="7"/>
  <c r="AC219" i="7"/>
  <c r="AE219" i="7" s="1"/>
  <c r="AA219" i="7"/>
  <c r="AG219" i="7" s="1"/>
  <c r="Z219" i="7"/>
  <c r="W219" i="7"/>
  <c r="AD219" i="7" s="1"/>
  <c r="V219" i="7"/>
  <c r="U219" i="7"/>
  <c r="AF219" i="7" s="1"/>
  <c r="S219" i="7"/>
  <c r="R219" i="7"/>
  <c r="Q219" i="7"/>
  <c r="O219" i="7"/>
  <c r="N219" i="7"/>
  <c r="M219" i="7"/>
  <c r="L219" i="7"/>
  <c r="AJ219" i="7" s="1"/>
  <c r="K219" i="7"/>
  <c r="AL218" i="7"/>
  <c r="AK218" i="7"/>
  <c r="AI218" i="7"/>
  <c r="AH218" i="7"/>
  <c r="AE218" i="7"/>
  <c r="AD218" i="7"/>
  <c r="AC218" i="7"/>
  <c r="Z218" i="7"/>
  <c r="AA218" i="7" s="1"/>
  <c r="AG218" i="7" s="1"/>
  <c r="W218" i="7"/>
  <c r="V218" i="7"/>
  <c r="U218" i="7"/>
  <c r="AF218" i="7" s="1"/>
  <c r="S218" i="7"/>
  <c r="R218" i="7"/>
  <c r="Q218" i="7"/>
  <c r="O218" i="7"/>
  <c r="N218" i="7"/>
  <c r="M218" i="7"/>
  <c r="L218" i="7"/>
  <c r="AJ218" i="7" s="1"/>
  <c r="K218" i="7"/>
  <c r="AL217" i="7"/>
  <c r="AK217" i="7"/>
  <c r="AI217" i="7"/>
  <c r="AH217" i="7"/>
  <c r="AC217" i="7"/>
  <c r="AE217" i="7" s="1"/>
  <c r="AA217" i="7"/>
  <c r="AG217" i="7" s="1"/>
  <c r="Z217" i="7"/>
  <c r="W217" i="7"/>
  <c r="AD217" i="7" s="1"/>
  <c r="V217" i="7"/>
  <c r="U217" i="7"/>
  <c r="AF217" i="7" s="1"/>
  <c r="S217" i="7"/>
  <c r="R217" i="7"/>
  <c r="Q217" i="7"/>
  <c r="O217" i="7"/>
  <c r="N217" i="7"/>
  <c r="M217" i="7"/>
  <c r="L217" i="7"/>
  <c r="AJ217" i="7" s="1"/>
  <c r="K217" i="7"/>
  <c r="AL216" i="7"/>
  <c r="AK216" i="7"/>
  <c r="AI216" i="7"/>
  <c r="AH216" i="7"/>
  <c r="AE216" i="7"/>
  <c r="AD216" i="7"/>
  <c r="AC216" i="7"/>
  <c r="Z216" i="7"/>
  <c r="AA216" i="7" s="1"/>
  <c r="AG216" i="7" s="1"/>
  <c r="W216" i="7"/>
  <c r="V216" i="7"/>
  <c r="U216" i="7"/>
  <c r="AF216" i="7" s="1"/>
  <c r="S216" i="7"/>
  <c r="R216" i="7"/>
  <c r="Q216" i="7"/>
  <c r="O216" i="7"/>
  <c r="N216" i="7"/>
  <c r="M216" i="7"/>
  <c r="L216" i="7"/>
  <c r="AJ216" i="7" s="1"/>
  <c r="K216" i="7"/>
  <c r="AL215" i="7"/>
  <c r="AK215" i="7"/>
  <c r="AI215" i="7"/>
  <c r="AH215" i="7"/>
  <c r="AC215" i="7"/>
  <c r="AE215" i="7" s="1"/>
  <c r="AA215" i="7"/>
  <c r="AG215" i="7" s="1"/>
  <c r="Z215" i="7"/>
  <c r="W215" i="7"/>
  <c r="AD215" i="7" s="1"/>
  <c r="V215" i="7"/>
  <c r="U215" i="7"/>
  <c r="AF215" i="7" s="1"/>
  <c r="S215" i="7"/>
  <c r="R215" i="7"/>
  <c r="Q215" i="7"/>
  <c r="O215" i="7"/>
  <c r="N215" i="7"/>
  <c r="M215" i="7"/>
  <c r="L215" i="7"/>
  <c r="AJ215" i="7" s="1"/>
  <c r="K215" i="7"/>
  <c r="AL214" i="7"/>
  <c r="AK214" i="7"/>
  <c r="AI214" i="7"/>
  <c r="AH214" i="7"/>
  <c r="AE214" i="7"/>
  <c r="AD214" i="7"/>
  <c r="AC214" i="7"/>
  <c r="Z214" i="7"/>
  <c r="AA214" i="7" s="1"/>
  <c r="AG214" i="7" s="1"/>
  <c r="W214" i="7"/>
  <c r="V214" i="7"/>
  <c r="U214" i="7"/>
  <c r="AF214" i="7" s="1"/>
  <c r="S214" i="7"/>
  <c r="R214" i="7"/>
  <c r="Q214" i="7"/>
  <c r="O214" i="7"/>
  <c r="N214" i="7"/>
  <c r="M214" i="7"/>
  <c r="L214" i="7"/>
  <c r="AJ214" i="7" s="1"/>
  <c r="K214" i="7"/>
  <c r="AL213" i="7"/>
  <c r="AK213" i="7"/>
  <c r="AI213" i="7"/>
  <c r="AH213" i="7"/>
  <c r="AC213" i="7"/>
  <c r="AE213" i="7" s="1"/>
  <c r="AA213" i="7"/>
  <c r="AG213" i="7" s="1"/>
  <c r="Z213" i="7"/>
  <c r="W213" i="7"/>
  <c r="AD213" i="7" s="1"/>
  <c r="V213" i="7"/>
  <c r="U213" i="7"/>
  <c r="AF213" i="7" s="1"/>
  <c r="S213" i="7"/>
  <c r="R213" i="7"/>
  <c r="Q213" i="7"/>
  <c r="O213" i="7"/>
  <c r="N213" i="7"/>
  <c r="M213" i="7"/>
  <c r="L213" i="7"/>
  <c r="AJ213" i="7" s="1"/>
  <c r="K213" i="7"/>
  <c r="AL212" i="7"/>
  <c r="AK212" i="7"/>
  <c r="AI212" i="7"/>
  <c r="AH212" i="7"/>
  <c r="AE212" i="7"/>
  <c r="AD212" i="7"/>
  <c r="AC212" i="7"/>
  <c r="Z212" i="7"/>
  <c r="AA212" i="7" s="1"/>
  <c r="AG212" i="7" s="1"/>
  <c r="W212" i="7"/>
  <c r="V212" i="7"/>
  <c r="U212" i="7"/>
  <c r="AF212" i="7" s="1"/>
  <c r="S212" i="7"/>
  <c r="R212" i="7"/>
  <c r="Q212" i="7"/>
  <c r="O212" i="7"/>
  <c r="N212" i="7"/>
  <c r="M212" i="7"/>
  <c r="L212" i="7"/>
  <c r="AJ212" i="7" s="1"/>
  <c r="K212" i="7"/>
  <c r="AL211" i="7"/>
  <c r="AK211" i="7"/>
  <c r="AI211" i="7"/>
  <c r="AH211" i="7"/>
  <c r="AC211" i="7"/>
  <c r="AE211" i="7" s="1"/>
  <c r="AA211" i="7"/>
  <c r="AG211" i="7" s="1"/>
  <c r="Z211" i="7"/>
  <c r="W211" i="7"/>
  <c r="AD211" i="7" s="1"/>
  <c r="V211" i="7"/>
  <c r="U211" i="7"/>
  <c r="AF211" i="7" s="1"/>
  <c r="S211" i="7"/>
  <c r="R211" i="7"/>
  <c r="Q211" i="7"/>
  <c r="O211" i="7"/>
  <c r="N211" i="7"/>
  <c r="M211" i="7"/>
  <c r="L211" i="7"/>
  <c r="AJ211" i="7" s="1"/>
  <c r="K211" i="7"/>
  <c r="AL210" i="7"/>
  <c r="AK210" i="7"/>
  <c r="AI210" i="7"/>
  <c r="AH210" i="7"/>
  <c r="AE210" i="7"/>
  <c r="AD210" i="7"/>
  <c r="AC210" i="7"/>
  <c r="Z210" i="7"/>
  <c r="AA210" i="7" s="1"/>
  <c r="AG210" i="7" s="1"/>
  <c r="W210" i="7"/>
  <c r="V210" i="7"/>
  <c r="U210" i="7"/>
  <c r="AF210" i="7" s="1"/>
  <c r="S210" i="7"/>
  <c r="R210" i="7"/>
  <c r="Q210" i="7"/>
  <c r="O210" i="7"/>
  <c r="N210" i="7"/>
  <c r="M210" i="7"/>
  <c r="L210" i="7"/>
  <c r="AJ210" i="7" s="1"/>
  <c r="K210" i="7"/>
  <c r="AL209" i="7"/>
  <c r="AK209" i="7"/>
  <c r="AI209" i="7"/>
  <c r="AH209" i="7"/>
  <c r="AC209" i="7"/>
  <c r="AE209" i="7" s="1"/>
  <c r="AA209" i="7"/>
  <c r="AG209" i="7" s="1"/>
  <c r="Z209" i="7"/>
  <c r="W209" i="7"/>
  <c r="AD209" i="7" s="1"/>
  <c r="V209" i="7"/>
  <c r="U209" i="7"/>
  <c r="AF209" i="7" s="1"/>
  <c r="S209" i="7"/>
  <c r="R209" i="7"/>
  <c r="Q209" i="7"/>
  <c r="O209" i="7"/>
  <c r="N209" i="7"/>
  <c r="M209" i="7"/>
  <c r="L209" i="7"/>
  <c r="AJ209" i="7" s="1"/>
  <c r="K209" i="7"/>
  <c r="AL208" i="7"/>
  <c r="AK208" i="7"/>
  <c r="AI208" i="7"/>
  <c r="AH208" i="7"/>
  <c r="AE208" i="7"/>
  <c r="AD208" i="7"/>
  <c r="AC208" i="7"/>
  <c r="Z208" i="7"/>
  <c r="AA208" i="7" s="1"/>
  <c r="AG208" i="7" s="1"/>
  <c r="W208" i="7"/>
  <c r="V208" i="7"/>
  <c r="U208" i="7"/>
  <c r="AF208" i="7" s="1"/>
  <c r="S208" i="7"/>
  <c r="R208" i="7"/>
  <c r="Q208" i="7"/>
  <c r="O208" i="7"/>
  <c r="N208" i="7"/>
  <c r="M208" i="7"/>
  <c r="L208" i="7"/>
  <c r="AJ208" i="7" s="1"/>
  <c r="K208" i="7"/>
  <c r="AL207" i="7"/>
  <c r="AK207" i="7"/>
  <c r="AI207" i="7"/>
  <c r="AH207" i="7"/>
  <c r="AC207" i="7"/>
  <c r="AE207" i="7" s="1"/>
  <c r="AA207" i="7"/>
  <c r="AG207" i="7" s="1"/>
  <c r="Z207" i="7"/>
  <c r="W207" i="7"/>
  <c r="AD207" i="7" s="1"/>
  <c r="V207" i="7"/>
  <c r="U207" i="7"/>
  <c r="AF207" i="7" s="1"/>
  <c r="S207" i="7"/>
  <c r="R207" i="7"/>
  <c r="Q207" i="7"/>
  <c r="O207" i="7"/>
  <c r="N207" i="7"/>
  <c r="M207" i="7"/>
  <c r="L207" i="7"/>
  <c r="AJ207" i="7" s="1"/>
  <c r="K207" i="7"/>
  <c r="AL206" i="7"/>
  <c r="AK206" i="7"/>
  <c r="AI206" i="7"/>
  <c r="AH206" i="7"/>
  <c r="AE206" i="7"/>
  <c r="AD206" i="7"/>
  <c r="AC206" i="7"/>
  <c r="Z206" i="7"/>
  <c r="AA206" i="7" s="1"/>
  <c r="AG206" i="7" s="1"/>
  <c r="W206" i="7"/>
  <c r="V206" i="7"/>
  <c r="U206" i="7"/>
  <c r="AF206" i="7" s="1"/>
  <c r="S206" i="7"/>
  <c r="R206" i="7"/>
  <c r="Q206" i="7"/>
  <c r="O206" i="7"/>
  <c r="N206" i="7"/>
  <c r="M206" i="7"/>
  <c r="L206" i="7"/>
  <c r="AJ206" i="7" s="1"/>
  <c r="K206" i="7"/>
  <c r="AL205" i="7"/>
  <c r="AK205" i="7"/>
  <c r="AI205" i="7"/>
  <c r="AH205" i="7"/>
  <c r="AC205" i="7"/>
  <c r="AE205" i="7" s="1"/>
  <c r="AA205" i="7"/>
  <c r="AG205" i="7" s="1"/>
  <c r="Z205" i="7"/>
  <c r="W205" i="7"/>
  <c r="AD205" i="7" s="1"/>
  <c r="V205" i="7"/>
  <c r="U205" i="7"/>
  <c r="AF205" i="7" s="1"/>
  <c r="S205" i="7"/>
  <c r="R205" i="7"/>
  <c r="Q205" i="7"/>
  <c r="O205" i="7"/>
  <c r="N205" i="7"/>
  <c r="M205" i="7"/>
  <c r="L205" i="7"/>
  <c r="AJ205" i="7" s="1"/>
  <c r="K205" i="7"/>
  <c r="AL204" i="7"/>
  <c r="AK204" i="7"/>
  <c r="AI204" i="7"/>
  <c r="AH204" i="7"/>
  <c r="AE204" i="7"/>
  <c r="AD204" i="7"/>
  <c r="AC204" i="7"/>
  <c r="Z204" i="7"/>
  <c r="AA204" i="7" s="1"/>
  <c r="AG204" i="7" s="1"/>
  <c r="W204" i="7"/>
  <c r="V204" i="7"/>
  <c r="U204" i="7"/>
  <c r="AF204" i="7" s="1"/>
  <c r="S204" i="7"/>
  <c r="R204" i="7"/>
  <c r="Q204" i="7"/>
  <c r="O204" i="7"/>
  <c r="N204" i="7"/>
  <c r="M204" i="7"/>
  <c r="L204" i="7"/>
  <c r="AJ204" i="7" s="1"/>
  <c r="K204" i="7"/>
  <c r="AL203" i="7"/>
  <c r="AK203" i="7"/>
  <c r="AI203" i="7"/>
  <c r="AH203" i="7"/>
  <c r="AC203" i="7"/>
  <c r="AE203" i="7" s="1"/>
  <c r="AA203" i="7"/>
  <c r="AG203" i="7" s="1"/>
  <c r="Z203" i="7"/>
  <c r="W203" i="7"/>
  <c r="AD203" i="7" s="1"/>
  <c r="V203" i="7"/>
  <c r="U203" i="7"/>
  <c r="AF203" i="7" s="1"/>
  <c r="S203" i="7"/>
  <c r="R203" i="7"/>
  <c r="Q203" i="7"/>
  <c r="O203" i="7"/>
  <c r="N203" i="7"/>
  <c r="M203" i="7"/>
  <c r="L203" i="7"/>
  <c r="AJ203" i="7" s="1"/>
  <c r="K203" i="7"/>
  <c r="AL202" i="7"/>
  <c r="AK202" i="7"/>
  <c r="AI202" i="7"/>
  <c r="AH202" i="7"/>
  <c r="AE202" i="7"/>
  <c r="AD202" i="7"/>
  <c r="AC202" i="7"/>
  <c r="Z202" i="7"/>
  <c r="AA202" i="7" s="1"/>
  <c r="AG202" i="7" s="1"/>
  <c r="W202" i="7"/>
  <c r="V202" i="7"/>
  <c r="U202" i="7"/>
  <c r="AF202" i="7" s="1"/>
  <c r="S202" i="7"/>
  <c r="R202" i="7"/>
  <c r="Q202" i="7"/>
  <c r="O202" i="7"/>
  <c r="N202" i="7"/>
  <c r="M202" i="7"/>
  <c r="L202" i="7"/>
  <c r="AJ202" i="7" s="1"/>
  <c r="K202" i="7"/>
  <c r="AL201" i="7"/>
  <c r="AK201" i="7"/>
  <c r="AI201" i="7"/>
  <c r="AH201" i="7"/>
  <c r="AC201" i="7"/>
  <c r="AE201" i="7" s="1"/>
  <c r="AA201" i="7"/>
  <c r="AG201" i="7" s="1"/>
  <c r="Z201" i="7"/>
  <c r="W201" i="7"/>
  <c r="AD201" i="7" s="1"/>
  <c r="V201" i="7"/>
  <c r="U201" i="7"/>
  <c r="AF201" i="7" s="1"/>
  <c r="S201" i="7"/>
  <c r="R201" i="7"/>
  <c r="Q201" i="7"/>
  <c r="O201" i="7"/>
  <c r="N201" i="7"/>
  <c r="M201" i="7"/>
  <c r="L201" i="7"/>
  <c r="AJ201" i="7" s="1"/>
  <c r="K201" i="7"/>
  <c r="AL200" i="7"/>
  <c r="AK200" i="7"/>
  <c r="AI200" i="7"/>
  <c r="AH200" i="7"/>
  <c r="AE200" i="7"/>
  <c r="AD200" i="7"/>
  <c r="AC200" i="7"/>
  <c r="Z200" i="7"/>
  <c r="AA200" i="7" s="1"/>
  <c r="AG200" i="7" s="1"/>
  <c r="W200" i="7"/>
  <c r="V200" i="7"/>
  <c r="U200" i="7"/>
  <c r="AF200" i="7" s="1"/>
  <c r="S200" i="7"/>
  <c r="R200" i="7"/>
  <c r="Q200" i="7"/>
  <c r="O200" i="7"/>
  <c r="N200" i="7"/>
  <c r="M200" i="7"/>
  <c r="L200" i="7"/>
  <c r="AJ200" i="7" s="1"/>
  <c r="K200" i="7"/>
  <c r="AL199" i="7"/>
  <c r="AK199" i="7"/>
  <c r="AI199" i="7"/>
  <c r="AH199" i="7"/>
  <c r="AC199" i="7"/>
  <c r="AE199" i="7" s="1"/>
  <c r="AA199" i="7"/>
  <c r="AG199" i="7" s="1"/>
  <c r="Z199" i="7"/>
  <c r="W199" i="7"/>
  <c r="AD199" i="7" s="1"/>
  <c r="V199" i="7"/>
  <c r="U199" i="7"/>
  <c r="AF199" i="7" s="1"/>
  <c r="S199" i="7"/>
  <c r="R199" i="7"/>
  <c r="Q199" i="7"/>
  <c r="O199" i="7"/>
  <c r="N199" i="7"/>
  <c r="M199" i="7"/>
  <c r="L199" i="7"/>
  <c r="AJ199" i="7" s="1"/>
  <c r="K199" i="7"/>
  <c r="AL198" i="7"/>
  <c r="AK198" i="7"/>
  <c r="AI198" i="7"/>
  <c r="AH198" i="7"/>
  <c r="AE198" i="7"/>
  <c r="AD198" i="7"/>
  <c r="AC198" i="7"/>
  <c r="Z198" i="7"/>
  <c r="AA198" i="7" s="1"/>
  <c r="AG198" i="7" s="1"/>
  <c r="W198" i="7"/>
  <c r="V198" i="7"/>
  <c r="U198" i="7"/>
  <c r="AF198" i="7" s="1"/>
  <c r="S198" i="7"/>
  <c r="R198" i="7"/>
  <c r="Q198" i="7"/>
  <c r="O198" i="7"/>
  <c r="N198" i="7"/>
  <c r="M198" i="7"/>
  <c r="L198" i="7"/>
  <c r="AJ198" i="7" s="1"/>
  <c r="K198" i="7"/>
  <c r="AL197" i="7"/>
  <c r="AK197" i="7"/>
  <c r="AI197" i="7"/>
  <c r="AH197" i="7"/>
  <c r="AC197" i="7"/>
  <c r="AE197" i="7" s="1"/>
  <c r="AA197" i="7"/>
  <c r="AG197" i="7" s="1"/>
  <c r="Z197" i="7"/>
  <c r="W197" i="7"/>
  <c r="AD197" i="7" s="1"/>
  <c r="V197" i="7"/>
  <c r="U197" i="7"/>
  <c r="AF197" i="7" s="1"/>
  <c r="S197" i="7"/>
  <c r="R197" i="7"/>
  <c r="Q197" i="7"/>
  <c r="O197" i="7"/>
  <c r="N197" i="7"/>
  <c r="M197" i="7"/>
  <c r="L197" i="7"/>
  <c r="AJ197" i="7" s="1"/>
  <c r="K197" i="7"/>
  <c r="AL196" i="7"/>
  <c r="AK196" i="7"/>
  <c r="AI196" i="7"/>
  <c r="AH196" i="7"/>
  <c r="AE196" i="7"/>
  <c r="AD196" i="7"/>
  <c r="AC196" i="7"/>
  <c r="Z196" i="7"/>
  <c r="AA196" i="7" s="1"/>
  <c r="AG196" i="7" s="1"/>
  <c r="W196" i="7"/>
  <c r="V196" i="7"/>
  <c r="U196" i="7"/>
  <c r="AF196" i="7" s="1"/>
  <c r="S196" i="7"/>
  <c r="R196" i="7"/>
  <c r="Q196" i="7"/>
  <c r="O196" i="7"/>
  <c r="N196" i="7"/>
  <c r="M196" i="7"/>
  <c r="L196" i="7"/>
  <c r="AJ196" i="7" s="1"/>
  <c r="K196" i="7"/>
  <c r="AL195" i="7"/>
  <c r="AK195" i="7"/>
  <c r="AI195" i="7"/>
  <c r="AH195" i="7"/>
  <c r="AC195" i="7"/>
  <c r="AE195" i="7" s="1"/>
  <c r="AA195" i="7"/>
  <c r="AG195" i="7" s="1"/>
  <c r="Z195" i="7"/>
  <c r="W195" i="7"/>
  <c r="AD195" i="7" s="1"/>
  <c r="V195" i="7"/>
  <c r="U195" i="7"/>
  <c r="AF195" i="7" s="1"/>
  <c r="S195" i="7"/>
  <c r="R195" i="7"/>
  <c r="Q195" i="7"/>
  <c r="O195" i="7"/>
  <c r="N195" i="7"/>
  <c r="M195" i="7"/>
  <c r="L195" i="7"/>
  <c r="AJ195" i="7" s="1"/>
  <c r="K195" i="7"/>
  <c r="AL194" i="7"/>
  <c r="AK194" i="7"/>
  <c r="AI194" i="7"/>
  <c r="AH194" i="7"/>
  <c r="AE194" i="7"/>
  <c r="AD194" i="7"/>
  <c r="AC194" i="7"/>
  <c r="Z194" i="7"/>
  <c r="AA194" i="7" s="1"/>
  <c r="AG194" i="7" s="1"/>
  <c r="W194" i="7"/>
  <c r="V194" i="7"/>
  <c r="U194" i="7"/>
  <c r="AF194" i="7" s="1"/>
  <c r="S194" i="7"/>
  <c r="R194" i="7"/>
  <c r="Q194" i="7"/>
  <c r="O194" i="7"/>
  <c r="N194" i="7"/>
  <c r="M194" i="7"/>
  <c r="L194" i="7"/>
  <c r="AJ194" i="7" s="1"/>
  <c r="K194" i="7"/>
  <c r="AL193" i="7"/>
  <c r="AK193" i="7"/>
  <c r="AI193" i="7"/>
  <c r="AH193" i="7"/>
  <c r="AC193" i="7"/>
  <c r="AE193" i="7" s="1"/>
  <c r="AA193" i="7"/>
  <c r="AG193" i="7" s="1"/>
  <c r="Z193" i="7"/>
  <c r="W193" i="7"/>
  <c r="AD193" i="7" s="1"/>
  <c r="V193" i="7"/>
  <c r="U193" i="7"/>
  <c r="AF193" i="7" s="1"/>
  <c r="S193" i="7"/>
  <c r="R193" i="7"/>
  <c r="Q193" i="7"/>
  <c r="O193" i="7"/>
  <c r="N193" i="7"/>
  <c r="M193" i="7"/>
  <c r="L193" i="7"/>
  <c r="AJ193" i="7" s="1"/>
  <c r="K193" i="7"/>
  <c r="AL192" i="7"/>
  <c r="AK192" i="7"/>
  <c r="AI192" i="7"/>
  <c r="AH192" i="7"/>
  <c r="AE192" i="7"/>
  <c r="AD192" i="7"/>
  <c r="AC192" i="7"/>
  <c r="Z192" i="7"/>
  <c r="AA192" i="7" s="1"/>
  <c r="AG192" i="7" s="1"/>
  <c r="W192" i="7"/>
  <c r="V192" i="7"/>
  <c r="U192" i="7"/>
  <c r="AF192" i="7" s="1"/>
  <c r="S192" i="7"/>
  <c r="R192" i="7"/>
  <c r="Q192" i="7"/>
  <c r="O192" i="7"/>
  <c r="N192" i="7"/>
  <c r="M192" i="7"/>
  <c r="L192" i="7"/>
  <c r="AJ192" i="7" s="1"/>
  <c r="K192" i="7"/>
  <c r="AL191" i="7"/>
  <c r="AK191" i="7"/>
  <c r="AI191" i="7"/>
  <c r="AH191" i="7"/>
  <c r="AC191" i="7"/>
  <c r="AE191" i="7" s="1"/>
  <c r="AA191" i="7"/>
  <c r="AG191" i="7" s="1"/>
  <c r="Z191" i="7"/>
  <c r="W191" i="7"/>
  <c r="AD191" i="7" s="1"/>
  <c r="V191" i="7"/>
  <c r="U191" i="7"/>
  <c r="AF191" i="7" s="1"/>
  <c r="S191" i="7"/>
  <c r="R191" i="7"/>
  <c r="Q191" i="7"/>
  <c r="O191" i="7"/>
  <c r="N191" i="7"/>
  <c r="M191" i="7"/>
  <c r="L191" i="7"/>
  <c r="AJ191" i="7" s="1"/>
  <c r="K191" i="7"/>
  <c r="AL190" i="7"/>
  <c r="AK190" i="7"/>
  <c r="AI190" i="7"/>
  <c r="AH190" i="7"/>
  <c r="AE190" i="7"/>
  <c r="AD190" i="7"/>
  <c r="AC190" i="7"/>
  <c r="Z190" i="7"/>
  <c r="AA190" i="7" s="1"/>
  <c r="AG190" i="7" s="1"/>
  <c r="W190" i="7"/>
  <c r="V190" i="7"/>
  <c r="U190" i="7"/>
  <c r="AF190" i="7" s="1"/>
  <c r="S190" i="7"/>
  <c r="R190" i="7"/>
  <c r="Q190" i="7"/>
  <c r="O190" i="7"/>
  <c r="N190" i="7"/>
  <c r="M190" i="7"/>
  <c r="L190" i="7"/>
  <c r="AJ190" i="7" s="1"/>
  <c r="K190" i="7"/>
  <c r="AL189" i="7"/>
  <c r="AK189" i="7"/>
  <c r="AI189" i="7"/>
  <c r="AH189" i="7"/>
  <c r="AC189" i="7"/>
  <c r="AE189" i="7" s="1"/>
  <c r="AA189" i="7"/>
  <c r="AG189" i="7" s="1"/>
  <c r="Z189" i="7"/>
  <c r="W189" i="7"/>
  <c r="AD189" i="7" s="1"/>
  <c r="V189" i="7"/>
  <c r="U189" i="7"/>
  <c r="AF189" i="7" s="1"/>
  <c r="S189" i="7"/>
  <c r="R189" i="7"/>
  <c r="Q189" i="7"/>
  <c r="O189" i="7"/>
  <c r="N189" i="7"/>
  <c r="M189" i="7"/>
  <c r="L189" i="7"/>
  <c r="AJ189" i="7" s="1"/>
  <c r="K189" i="7"/>
  <c r="AL188" i="7"/>
  <c r="AK188" i="7"/>
  <c r="AI188" i="7"/>
  <c r="AH188" i="7"/>
  <c r="AE188" i="7"/>
  <c r="AD188" i="7"/>
  <c r="AC188" i="7"/>
  <c r="Z188" i="7"/>
  <c r="AA188" i="7" s="1"/>
  <c r="AG188" i="7" s="1"/>
  <c r="W188" i="7"/>
  <c r="V188" i="7"/>
  <c r="U188" i="7"/>
  <c r="AF188" i="7" s="1"/>
  <c r="S188" i="7"/>
  <c r="R188" i="7"/>
  <c r="Q188" i="7"/>
  <c r="O188" i="7"/>
  <c r="N188" i="7"/>
  <c r="M188" i="7"/>
  <c r="L188" i="7"/>
  <c r="AJ188" i="7" s="1"/>
  <c r="K188" i="7"/>
  <c r="AL187" i="7"/>
  <c r="AK187" i="7"/>
  <c r="AI187" i="7"/>
  <c r="AH187" i="7"/>
  <c r="AC187" i="7"/>
  <c r="AE187" i="7" s="1"/>
  <c r="AA187" i="7"/>
  <c r="AG187" i="7" s="1"/>
  <c r="Z187" i="7"/>
  <c r="W187" i="7"/>
  <c r="AD187" i="7" s="1"/>
  <c r="V187" i="7"/>
  <c r="U187" i="7"/>
  <c r="AF187" i="7" s="1"/>
  <c r="S187" i="7"/>
  <c r="R187" i="7"/>
  <c r="Q187" i="7"/>
  <c r="O187" i="7"/>
  <c r="N187" i="7"/>
  <c r="M187" i="7"/>
  <c r="L187" i="7"/>
  <c r="AJ187" i="7" s="1"/>
  <c r="K187" i="7"/>
  <c r="AL186" i="7"/>
  <c r="AK186" i="7"/>
  <c r="AI186" i="7"/>
  <c r="AH186" i="7"/>
  <c r="AE186" i="7"/>
  <c r="AD186" i="7"/>
  <c r="AC186" i="7"/>
  <c r="Z186" i="7"/>
  <c r="AA186" i="7" s="1"/>
  <c r="AG186" i="7" s="1"/>
  <c r="W186" i="7"/>
  <c r="V186" i="7"/>
  <c r="U186" i="7"/>
  <c r="AF186" i="7" s="1"/>
  <c r="S186" i="7"/>
  <c r="R186" i="7"/>
  <c r="Q186" i="7"/>
  <c r="O186" i="7"/>
  <c r="N186" i="7"/>
  <c r="M186" i="7"/>
  <c r="L186" i="7"/>
  <c r="AJ186" i="7" s="1"/>
  <c r="K186" i="7"/>
  <c r="AL185" i="7"/>
  <c r="AK185" i="7"/>
  <c r="AI185" i="7"/>
  <c r="AH185" i="7"/>
  <c r="AC185" i="7"/>
  <c r="AE185" i="7" s="1"/>
  <c r="AA185" i="7"/>
  <c r="AG185" i="7" s="1"/>
  <c r="Z185" i="7"/>
  <c r="W185" i="7"/>
  <c r="AD185" i="7" s="1"/>
  <c r="V185" i="7"/>
  <c r="U185" i="7"/>
  <c r="AF185" i="7" s="1"/>
  <c r="S185" i="7"/>
  <c r="R185" i="7"/>
  <c r="Q185" i="7"/>
  <c r="O185" i="7"/>
  <c r="N185" i="7"/>
  <c r="M185" i="7"/>
  <c r="L185" i="7"/>
  <c r="AJ185" i="7" s="1"/>
  <c r="K185" i="7"/>
  <c r="AL184" i="7"/>
  <c r="AK184" i="7"/>
  <c r="AI184" i="7"/>
  <c r="AH184" i="7"/>
  <c r="AE184" i="7"/>
  <c r="AD184" i="7"/>
  <c r="AC184" i="7"/>
  <c r="Z184" i="7"/>
  <c r="AA184" i="7" s="1"/>
  <c r="AG184" i="7" s="1"/>
  <c r="W184" i="7"/>
  <c r="V184" i="7"/>
  <c r="U184" i="7"/>
  <c r="AF184" i="7" s="1"/>
  <c r="S184" i="7"/>
  <c r="R184" i="7"/>
  <c r="Q184" i="7"/>
  <c r="O184" i="7"/>
  <c r="N184" i="7"/>
  <c r="M184" i="7"/>
  <c r="L184" i="7"/>
  <c r="AJ184" i="7" s="1"/>
  <c r="K184" i="7"/>
  <c r="AL183" i="7"/>
  <c r="AK183" i="7"/>
  <c r="AI183" i="7"/>
  <c r="AH183" i="7"/>
  <c r="AC183" i="7"/>
  <c r="AE183" i="7" s="1"/>
  <c r="AA183" i="7"/>
  <c r="AG183" i="7" s="1"/>
  <c r="Z183" i="7"/>
  <c r="W183" i="7"/>
  <c r="AD183" i="7" s="1"/>
  <c r="V183" i="7"/>
  <c r="U183" i="7"/>
  <c r="AF183" i="7" s="1"/>
  <c r="S183" i="7"/>
  <c r="R183" i="7"/>
  <c r="Q183" i="7"/>
  <c r="O183" i="7"/>
  <c r="N183" i="7"/>
  <c r="M183" i="7"/>
  <c r="L183" i="7"/>
  <c r="AJ183" i="7" s="1"/>
  <c r="K183" i="7"/>
  <c r="AL182" i="7"/>
  <c r="AK182" i="7"/>
  <c r="AI182" i="7"/>
  <c r="AH182" i="7"/>
  <c r="AE182" i="7"/>
  <c r="AD182" i="7"/>
  <c r="AC182" i="7"/>
  <c r="Z182" i="7"/>
  <c r="AA182" i="7" s="1"/>
  <c r="AG182" i="7" s="1"/>
  <c r="W182" i="7"/>
  <c r="V182" i="7"/>
  <c r="U182" i="7"/>
  <c r="AF182" i="7" s="1"/>
  <c r="S182" i="7"/>
  <c r="R182" i="7"/>
  <c r="Q182" i="7"/>
  <c r="O182" i="7"/>
  <c r="N182" i="7"/>
  <c r="M182" i="7"/>
  <c r="L182" i="7"/>
  <c r="AJ182" i="7" s="1"/>
  <c r="K182" i="7"/>
  <c r="AL181" i="7"/>
  <c r="AK181" i="7"/>
  <c r="AI181" i="7"/>
  <c r="AH181" i="7"/>
  <c r="AC181" i="7"/>
  <c r="AE181" i="7" s="1"/>
  <c r="AA181" i="7"/>
  <c r="AG181" i="7" s="1"/>
  <c r="Z181" i="7"/>
  <c r="W181" i="7"/>
  <c r="AD181" i="7" s="1"/>
  <c r="V181" i="7"/>
  <c r="U181" i="7"/>
  <c r="AF181" i="7" s="1"/>
  <c r="S181" i="7"/>
  <c r="R181" i="7"/>
  <c r="Q181" i="7"/>
  <c r="O181" i="7"/>
  <c r="N181" i="7"/>
  <c r="M181" i="7"/>
  <c r="L181" i="7"/>
  <c r="AJ181" i="7" s="1"/>
  <c r="K181" i="7"/>
  <c r="AL180" i="7"/>
  <c r="AK180" i="7"/>
  <c r="AI180" i="7"/>
  <c r="AH180" i="7"/>
  <c r="AE180" i="7"/>
  <c r="AD180" i="7"/>
  <c r="AC180" i="7"/>
  <c r="Z180" i="7"/>
  <c r="AA180" i="7" s="1"/>
  <c r="AG180" i="7" s="1"/>
  <c r="W180" i="7"/>
  <c r="V180" i="7"/>
  <c r="U180" i="7"/>
  <c r="AF180" i="7" s="1"/>
  <c r="S180" i="7"/>
  <c r="R180" i="7"/>
  <c r="Q180" i="7"/>
  <c r="O180" i="7"/>
  <c r="N180" i="7"/>
  <c r="M180" i="7"/>
  <c r="L180" i="7"/>
  <c r="AJ180" i="7" s="1"/>
  <c r="K180" i="7"/>
  <c r="AL179" i="7"/>
  <c r="AK179" i="7"/>
  <c r="AI179" i="7"/>
  <c r="AH179" i="7"/>
  <c r="AC179" i="7"/>
  <c r="AE179" i="7" s="1"/>
  <c r="AA179" i="7"/>
  <c r="AG179" i="7" s="1"/>
  <c r="Z179" i="7"/>
  <c r="W179" i="7"/>
  <c r="AD179" i="7" s="1"/>
  <c r="V179" i="7"/>
  <c r="U179" i="7"/>
  <c r="AF179" i="7" s="1"/>
  <c r="S179" i="7"/>
  <c r="R179" i="7"/>
  <c r="Q179" i="7"/>
  <c r="O179" i="7"/>
  <c r="N179" i="7"/>
  <c r="M179" i="7"/>
  <c r="L179" i="7"/>
  <c r="AJ179" i="7" s="1"/>
  <c r="K179" i="7"/>
  <c r="AL178" i="7"/>
  <c r="AK178" i="7"/>
  <c r="AI178" i="7"/>
  <c r="AH178" i="7"/>
  <c r="AE178" i="7"/>
  <c r="AD178" i="7"/>
  <c r="AC178" i="7"/>
  <c r="Z178" i="7"/>
  <c r="AA178" i="7" s="1"/>
  <c r="AG178" i="7" s="1"/>
  <c r="W178" i="7"/>
  <c r="V178" i="7"/>
  <c r="U178" i="7"/>
  <c r="AF178" i="7" s="1"/>
  <c r="S178" i="7"/>
  <c r="R178" i="7"/>
  <c r="Q178" i="7"/>
  <c r="O178" i="7"/>
  <c r="N178" i="7"/>
  <c r="M178" i="7"/>
  <c r="L178" i="7"/>
  <c r="AJ178" i="7" s="1"/>
  <c r="K178" i="7"/>
  <c r="AL177" i="7"/>
  <c r="AK177" i="7"/>
  <c r="AI177" i="7"/>
  <c r="AH177" i="7"/>
  <c r="AC177" i="7"/>
  <c r="AE177" i="7" s="1"/>
  <c r="AA177" i="7"/>
  <c r="AG177" i="7" s="1"/>
  <c r="Z177" i="7"/>
  <c r="W177" i="7"/>
  <c r="AD177" i="7" s="1"/>
  <c r="V177" i="7"/>
  <c r="U177" i="7"/>
  <c r="AF177" i="7" s="1"/>
  <c r="S177" i="7"/>
  <c r="R177" i="7"/>
  <c r="Q177" i="7"/>
  <c r="O177" i="7"/>
  <c r="N177" i="7"/>
  <c r="M177" i="7"/>
  <c r="L177" i="7"/>
  <c r="AJ177" i="7" s="1"/>
  <c r="K177" i="7"/>
  <c r="AL176" i="7"/>
  <c r="AK176" i="7"/>
  <c r="AI176" i="7"/>
  <c r="AH176" i="7"/>
  <c r="AE176" i="7"/>
  <c r="AD176" i="7"/>
  <c r="AC176" i="7"/>
  <c r="Z176" i="7"/>
  <c r="AA176" i="7" s="1"/>
  <c r="AG176" i="7" s="1"/>
  <c r="W176" i="7"/>
  <c r="V176" i="7"/>
  <c r="U176" i="7"/>
  <c r="AF176" i="7" s="1"/>
  <c r="S176" i="7"/>
  <c r="R176" i="7"/>
  <c r="Q176" i="7"/>
  <c r="O176" i="7"/>
  <c r="N176" i="7"/>
  <c r="M176" i="7"/>
  <c r="L176" i="7"/>
  <c r="AJ176" i="7" s="1"/>
  <c r="K176" i="7"/>
  <c r="AL175" i="7"/>
  <c r="AK175" i="7"/>
  <c r="AI175" i="7"/>
  <c r="AH175" i="7"/>
  <c r="AC175" i="7"/>
  <c r="AE175" i="7" s="1"/>
  <c r="AA175" i="7"/>
  <c r="AG175" i="7" s="1"/>
  <c r="Z175" i="7"/>
  <c r="W175" i="7"/>
  <c r="AD175" i="7" s="1"/>
  <c r="V175" i="7"/>
  <c r="U175" i="7"/>
  <c r="AF175" i="7" s="1"/>
  <c r="S175" i="7"/>
  <c r="R175" i="7"/>
  <c r="Q175" i="7"/>
  <c r="O175" i="7"/>
  <c r="N175" i="7"/>
  <c r="M175" i="7"/>
  <c r="L175" i="7"/>
  <c r="AJ175" i="7" s="1"/>
  <c r="K175" i="7"/>
  <c r="AL174" i="7"/>
  <c r="AK174" i="7"/>
  <c r="AI174" i="7"/>
  <c r="AH174" i="7"/>
  <c r="AE174" i="7"/>
  <c r="AD174" i="7"/>
  <c r="AC174" i="7"/>
  <c r="Z174" i="7"/>
  <c r="AA174" i="7" s="1"/>
  <c r="AG174" i="7" s="1"/>
  <c r="W174" i="7"/>
  <c r="V174" i="7"/>
  <c r="U174" i="7"/>
  <c r="AF174" i="7" s="1"/>
  <c r="S174" i="7"/>
  <c r="R174" i="7"/>
  <c r="Q174" i="7"/>
  <c r="O174" i="7"/>
  <c r="N174" i="7"/>
  <c r="M174" i="7"/>
  <c r="L174" i="7"/>
  <c r="AJ174" i="7" s="1"/>
  <c r="K174" i="7"/>
  <c r="AL173" i="7"/>
  <c r="AK173" i="7"/>
  <c r="AI173" i="7"/>
  <c r="AH173" i="7"/>
  <c r="AC173" i="7"/>
  <c r="AE173" i="7" s="1"/>
  <c r="AA173" i="7"/>
  <c r="AG173" i="7" s="1"/>
  <c r="Z173" i="7"/>
  <c r="W173" i="7"/>
  <c r="AD173" i="7" s="1"/>
  <c r="V173" i="7"/>
  <c r="U173" i="7"/>
  <c r="AF173" i="7" s="1"/>
  <c r="S173" i="7"/>
  <c r="R173" i="7"/>
  <c r="Q173" i="7"/>
  <c r="O173" i="7"/>
  <c r="N173" i="7"/>
  <c r="M173" i="7"/>
  <c r="L173" i="7"/>
  <c r="AJ173" i="7" s="1"/>
  <c r="K173" i="7"/>
  <c r="AL172" i="7"/>
  <c r="AK172" i="7"/>
  <c r="AI172" i="7"/>
  <c r="AH172" i="7"/>
  <c r="AE172" i="7"/>
  <c r="AD172" i="7"/>
  <c r="AC172" i="7"/>
  <c r="Z172" i="7"/>
  <c r="AA172" i="7" s="1"/>
  <c r="AG172" i="7" s="1"/>
  <c r="W172" i="7"/>
  <c r="V172" i="7"/>
  <c r="U172" i="7"/>
  <c r="AF172" i="7" s="1"/>
  <c r="S172" i="7"/>
  <c r="R172" i="7"/>
  <c r="Q172" i="7"/>
  <c r="O172" i="7"/>
  <c r="N172" i="7"/>
  <c r="M172" i="7"/>
  <c r="L172" i="7"/>
  <c r="AJ172" i="7" s="1"/>
  <c r="K172" i="7"/>
  <c r="AL171" i="7"/>
  <c r="AK171" i="7"/>
  <c r="AI171" i="7"/>
  <c r="AH171" i="7"/>
  <c r="AC171" i="7"/>
  <c r="AE171" i="7" s="1"/>
  <c r="AA171" i="7"/>
  <c r="AG171" i="7" s="1"/>
  <c r="Z171" i="7"/>
  <c r="W171" i="7"/>
  <c r="AD171" i="7" s="1"/>
  <c r="V171" i="7"/>
  <c r="U171" i="7"/>
  <c r="AF171" i="7" s="1"/>
  <c r="S171" i="7"/>
  <c r="R171" i="7"/>
  <c r="Q171" i="7"/>
  <c r="O171" i="7"/>
  <c r="N171" i="7"/>
  <c r="M171" i="7"/>
  <c r="L171" i="7"/>
  <c r="AJ171" i="7" s="1"/>
  <c r="K171" i="7"/>
  <c r="AL170" i="7"/>
  <c r="AK170" i="7"/>
  <c r="AI170" i="7"/>
  <c r="AH170" i="7"/>
  <c r="AE170" i="7"/>
  <c r="AD170" i="7"/>
  <c r="AC170" i="7"/>
  <c r="Z170" i="7"/>
  <c r="AA170" i="7" s="1"/>
  <c r="AG170" i="7" s="1"/>
  <c r="W170" i="7"/>
  <c r="V170" i="7"/>
  <c r="U170" i="7"/>
  <c r="AF170" i="7" s="1"/>
  <c r="S170" i="7"/>
  <c r="R170" i="7"/>
  <c r="Q170" i="7"/>
  <c r="O170" i="7"/>
  <c r="N170" i="7"/>
  <c r="M170" i="7"/>
  <c r="L170" i="7"/>
  <c r="AJ170" i="7" s="1"/>
  <c r="K170" i="7"/>
  <c r="AL169" i="7"/>
  <c r="AK169" i="7"/>
  <c r="AI169" i="7"/>
  <c r="AH169" i="7"/>
  <c r="AC169" i="7"/>
  <c r="AE169" i="7" s="1"/>
  <c r="AA169" i="7"/>
  <c r="AG169" i="7" s="1"/>
  <c r="Z169" i="7"/>
  <c r="W169" i="7"/>
  <c r="AD169" i="7" s="1"/>
  <c r="V169" i="7"/>
  <c r="U169" i="7"/>
  <c r="AF169" i="7" s="1"/>
  <c r="S169" i="7"/>
  <c r="R169" i="7"/>
  <c r="Q169" i="7"/>
  <c r="O169" i="7"/>
  <c r="N169" i="7"/>
  <c r="M169" i="7"/>
  <c r="L169" i="7"/>
  <c r="AJ169" i="7" s="1"/>
  <c r="K169" i="7"/>
  <c r="AL168" i="7"/>
  <c r="AK168" i="7"/>
  <c r="AI168" i="7"/>
  <c r="AH168" i="7"/>
  <c r="AE168" i="7"/>
  <c r="AD168" i="7"/>
  <c r="AC168" i="7"/>
  <c r="Z168" i="7"/>
  <c r="AA168" i="7" s="1"/>
  <c r="AG168" i="7" s="1"/>
  <c r="W168" i="7"/>
  <c r="V168" i="7"/>
  <c r="U168" i="7"/>
  <c r="AF168" i="7" s="1"/>
  <c r="S168" i="7"/>
  <c r="R168" i="7"/>
  <c r="Q168" i="7"/>
  <c r="O168" i="7"/>
  <c r="N168" i="7"/>
  <c r="M168" i="7"/>
  <c r="L168" i="7"/>
  <c r="AJ168" i="7" s="1"/>
  <c r="K168" i="7"/>
  <c r="AL167" i="7"/>
  <c r="AK167" i="7"/>
  <c r="AI167" i="7"/>
  <c r="AH167" i="7"/>
  <c r="AC167" i="7"/>
  <c r="AE167" i="7" s="1"/>
  <c r="AA167" i="7"/>
  <c r="AG167" i="7" s="1"/>
  <c r="Z167" i="7"/>
  <c r="W167" i="7"/>
  <c r="AD167" i="7" s="1"/>
  <c r="V167" i="7"/>
  <c r="U167" i="7"/>
  <c r="AF167" i="7" s="1"/>
  <c r="S167" i="7"/>
  <c r="R167" i="7"/>
  <c r="Q167" i="7"/>
  <c r="O167" i="7"/>
  <c r="N167" i="7"/>
  <c r="M167" i="7"/>
  <c r="L167" i="7"/>
  <c r="AJ167" i="7" s="1"/>
  <c r="K167" i="7"/>
  <c r="AL166" i="7"/>
  <c r="AK166" i="7"/>
  <c r="AI166" i="7"/>
  <c r="AH166" i="7"/>
  <c r="AE166" i="7"/>
  <c r="AD166" i="7"/>
  <c r="AC166" i="7"/>
  <c r="Z166" i="7"/>
  <c r="AA166" i="7" s="1"/>
  <c r="AG166" i="7" s="1"/>
  <c r="W166" i="7"/>
  <c r="V166" i="7"/>
  <c r="U166" i="7"/>
  <c r="AF166" i="7" s="1"/>
  <c r="S166" i="7"/>
  <c r="R166" i="7"/>
  <c r="Q166" i="7"/>
  <c r="O166" i="7"/>
  <c r="N166" i="7"/>
  <c r="M166" i="7"/>
  <c r="L166" i="7"/>
  <c r="AJ166" i="7" s="1"/>
  <c r="K166" i="7"/>
  <c r="AL165" i="7"/>
  <c r="W165" i="7"/>
  <c r="AD165" i="7" s="1"/>
  <c r="S165" i="7"/>
  <c r="O165" i="7"/>
  <c r="L165" i="7"/>
  <c r="AK165" i="7" s="1"/>
  <c r="K165" i="7"/>
  <c r="AI164" i="7"/>
  <c r="W164" i="7"/>
  <c r="AD164" i="7" s="1"/>
  <c r="S164" i="7"/>
  <c r="O164" i="7"/>
  <c r="L164" i="7"/>
  <c r="AJ164" i="7" s="1"/>
  <c r="K164" i="7"/>
  <c r="AI163" i="7"/>
  <c r="W163" i="7"/>
  <c r="AD163" i="7" s="1"/>
  <c r="S163" i="7"/>
  <c r="O163" i="7"/>
  <c r="L163" i="7"/>
  <c r="AJ163" i="7" s="1"/>
  <c r="K163" i="7"/>
  <c r="AI162" i="7"/>
  <c r="W162" i="7"/>
  <c r="AD162" i="7" s="1"/>
  <c r="S162" i="7"/>
  <c r="O162" i="7"/>
  <c r="L162" i="7"/>
  <c r="AJ162" i="7" s="1"/>
  <c r="K162" i="7"/>
  <c r="AI161" i="7"/>
  <c r="W161" i="7"/>
  <c r="AD161" i="7" s="1"/>
  <c r="S161" i="7"/>
  <c r="O161" i="7"/>
  <c r="L161" i="7"/>
  <c r="AJ161" i="7" s="1"/>
  <c r="K161" i="7"/>
  <c r="AI160" i="7"/>
  <c r="W160" i="7"/>
  <c r="AD160" i="7" s="1"/>
  <c r="S160" i="7"/>
  <c r="O160" i="7"/>
  <c r="L160" i="7"/>
  <c r="AJ160" i="7" s="1"/>
  <c r="K160" i="7"/>
  <c r="AI159" i="7"/>
  <c r="W159" i="7"/>
  <c r="AD159" i="7" s="1"/>
  <c r="S159" i="7"/>
  <c r="O159" i="7"/>
  <c r="L159" i="7"/>
  <c r="AJ159" i="7" s="1"/>
  <c r="K159" i="7"/>
  <c r="AI158" i="7"/>
  <c r="W158" i="7"/>
  <c r="AD158" i="7" s="1"/>
  <c r="S158" i="7"/>
  <c r="O158" i="7"/>
  <c r="L158" i="7"/>
  <c r="AJ158" i="7" s="1"/>
  <c r="K158" i="7"/>
  <c r="AI157" i="7"/>
  <c r="W157" i="7"/>
  <c r="AD157" i="7" s="1"/>
  <c r="S157" i="7"/>
  <c r="O157" i="7"/>
  <c r="L157" i="7"/>
  <c r="AJ157" i="7" s="1"/>
  <c r="K157" i="7"/>
  <c r="AI156" i="7"/>
  <c r="W156" i="7"/>
  <c r="AD156" i="7" s="1"/>
  <c r="S156" i="7"/>
  <c r="O156" i="7"/>
  <c r="L156" i="7"/>
  <c r="AJ156" i="7" s="1"/>
  <c r="K156" i="7"/>
  <c r="AI155" i="7"/>
  <c r="W155" i="7"/>
  <c r="AD155" i="7" s="1"/>
  <c r="S155" i="7"/>
  <c r="O155" i="7"/>
  <c r="L155" i="7"/>
  <c r="AJ155" i="7" s="1"/>
  <c r="K155" i="7"/>
  <c r="AI154" i="7"/>
  <c r="W154" i="7"/>
  <c r="AD154" i="7" s="1"/>
  <c r="S154" i="7"/>
  <c r="O154" i="7"/>
  <c r="L154" i="7"/>
  <c r="AJ154" i="7" s="1"/>
  <c r="K154" i="7"/>
  <c r="AI153" i="7"/>
  <c r="W153" i="7"/>
  <c r="AD153" i="7" s="1"/>
  <c r="S153" i="7"/>
  <c r="O153" i="7"/>
  <c r="L153" i="7"/>
  <c r="AJ153" i="7" s="1"/>
  <c r="K153" i="7"/>
  <c r="AI152" i="7"/>
  <c r="W152" i="7"/>
  <c r="AD152" i="7" s="1"/>
  <c r="S152" i="7"/>
  <c r="O152" i="7"/>
  <c r="L152" i="7"/>
  <c r="AJ152" i="7" s="1"/>
  <c r="K152" i="7"/>
  <c r="AI151" i="7"/>
  <c r="W151" i="7"/>
  <c r="AD151" i="7" s="1"/>
  <c r="S151" i="7"/>
  <c r="O151" i="7"/>
  <c r="L151" i="7"/>
  <c r="AJ151" i="7" s="1"/>
  <c r="K151" i="7"/>
  <c r="AI150" i="7"/>
  <c r="W150" i="7"/>
  <c r="AD150" i="7" s="1"/>
  <c r="S150" i="7"/>
  <c r="O150" i="7"/>
  <c r="L150" i="7"/>
  <c r="AJ150" i="7" s="1"/>
  <c r="K150" i="7"/>
  <c r="AI149" i="7"/>
  <c r="W149" i="7"/>
  <c r="AD149" i="7" s="1"/>
  <c r="S149" i="7"/>
  <c r="O149" i="7"/>
  <c r="L149" i="7"/>
  <c r="AJ149" i="7" s="1"/>
  <c r="K149" i="7"/>
  <c r="AI148" i="7"/>
  <c r="W148" i="7"/>
  <c r="AD148" i="7" s="1"/>
  <c r="S148" i="7"/>
  <c r="O148" i="7"/>
  <c r="L148" i="7"/>
  <c r="AJ148" i="7" s="1"/>
  <c r="K148" i="7"/>
  <c r="AI147" i="7"/>
  <c r="W147" i="7"/>
  <c r="AD147" i="7" s="1"/>
  <c r="S147" i="7"/>
  <c r="O147" i="7"/>
  <c r="L147" i="7"/>
  <c r="AJ147" i="7" s="1"/>
  <c r="K147" i="7"/>
  <c r="AI146" i="7"/>
  <c r="W146" i="7"/>
  <c r="AD146" i="7" s="1"/>
  <c r="S146" i="7"/>
  <c r="O146" i="7"/>
  <c r="L146" i="7"/>
  <c r="AJ146" i="7" s="1"/>
  <c r="K146" i="7"/>
  <c r="AI145" i="7"/>
  <c r="W145" i="7"/>
  <c r="AD145" i="7" s="1"/>
  <c r="S145" i="7"/>
  <c r="O145" i="7"/>
  <c r="L145" i="7"/>
  <c r="AJ145" i="7" s="1"/>
  <c r="K145" i="7"/>
  <c r="AI144" i="7"/>
  <c r="W144" i="7"/>
  <c r="AD144" i="7" s="1"/>
  <c r="S144" i="7"/>
  <c r="O144" i="7"/>
  <c r="L144" i="7"/>
  <c r="AJ144" i="7" s="1"/>
  <c r="K144" i="7"/>
  <c r="AI143" i="7"/>
  <c r="W143" i="7"/>
  <c r="AD143" i="7" s="1"/>
  <c r="S143" i="7"/>
  <c r="O143" i="7"/>
  <c r="L143" i="7"/>
  <c r="AJ143" i="7" s="1"/>
  <c r="K143" i="7"/>
  <c r="AI142" i="7"/>
  <c r="W142" i="7"/>
  <c r="AD142" i="7" s="1"/>
  <c r="S142" i="7"/>
  <c r="O142" i="7"/>
  <c r="L142" i="7"/>
  <c r="AJ142" i="7" s="1"/>
  <c r="K142" i="7"/>
  <c r="AI141" i="7"/>
  <c r="W141" i="7"/>
  <c r="AD141" i="7" s="1"/>
  <c r="S141" i="7"/>
  <c r="O141" i="7"/>
  <c r="L141" i="7"/>
  <c r="AJ141" i="7" s="1"/>
  <c r="K141" i="7"/>
  <c r="AI140" i="7"/>
  <c r="W140" i="7"/>
  <c r="AD140" i="7" s="1"/>
  <c r="S140" i="7"/>
  <c r="O140" i="7"/>
  <c r="L140" i="7"/>
  <c r="AJ140" i="7" s="1"/>
  <c r="K140" i="7"/>
  <c r="AI139" i="7"/>
  <c r="W139" i="7"/>
  <c r="AD139" i="7" s="1"/>
  <c r="S139" i="7"/>
  <c r="O139" i="7"/>
  <c r="L139" i="7"/>
  <c r="AJ139" i="7" s="1"/>
  <c r="K139" i="7"/>
  <c r="AI138" i="7"/>
  <c r="W138" i="7"/>
  <c r="AD138" i="7" s="1"/>
  <c r="S138" i="7"/>
  <c r="O138" i="7"/>
  <c r="L138" i="7"/>
  <c r="AJ138" i="7" s="1"/>
  <c r="K138" i="7"/>
  <c r="AI137" i="7"/>
  <c r="W137" i="7"/>
  <c r="AD137" i="7" s="1"/>
  <c r="S137" i="7"/>
  <c r="O137" i="7"/>
  <c r="L137" i="7"/>
  <c r="AJ137" i="7" s="1"/>
  <c r="K137" i="7"/>
  <c r="AI136" i="7"/>
  <c r="W136" i="7"/>
  <c r="AD136" i="7" s="1"/>
  <c r="S136" i="7"/>
  <c r="O136" i="7"/>
  <c r="L136" i="7"/>
  <c r="AJ136" i="7" s="1"/>
  <c r="K136" i="7"/>
  <c r="AI135" i="7"/>
  <c r="W135" i="7"/>
  <c r="AD135" i="7" s="1"/>
  <c r="S135" i="7"/>
  <c r="O135" i="7"/>
  <c r="L135" i="7"/>
  <c r="AJ135" i="7" s="1"/>
  <c r="K135" i="7"/>
  <c r="AI134" i="7"/>
  <c r="W134" i="7"/>
  <c r="AD134" i="7" s="1"/>
  <c r="S134" i="7"/>
  <c r="O134" i="7"/>
  <c r="L134" i="7"/>
  <c r="AJ134" i="7" s="1"/>
  <c r="K134" i="7"/>
  <c r="AI133" i="7"/>
  <c r="W133" i="7"/>
  <c r="AD133" i="7" s="1"/>
  <c r="S133" i="7"/>
  <c r="O133" i="7"/>
  <c r="L133" i="7"/>
  <c r="AJ133" i="7" s="1"/>
  <c r="K133" i="7"/>
  <c r="AI132" i="7"/>
  <c r="W132" i="7"/>
  <c r="AD132" i="7" s="1"/>
  <c r="S132" i="7"/>
  <c r="O132" i="7"/>
  <c r="L132" i="7"/>
  <c r="AJ132" i="7" s="1"/>
  <c r="K132" i="7"/>
  <c r="AI131" i="7"/>
  <c r="W131" i="7"/>
  <c r="AD131" i="7" s="1"/>
  <c r="S131" i="7"/>
  <c r="O131" i="7"/>
  <c r="L131" i="7"/>
  <c r="AJ131" i="7" s="1"/>
  <c r="K131" i="7"/>
  <c r="AI130" i="7"/>
  <c r="W130" i="7"/>
  <c r="AD130" i="7" s="1"/>
  <c r="S130" i="7"/>
  <c r="O130" i="7"/>
  <c r="L130" i="7"/>
  <c r="AJ130" i="7" s="1"/>
  <c r="K130" i="7"/>
  <c r="AI129" i="7"/>
  <c r="W129" i="7"/>
  <c r="AD129" i="7" s="1"/>
  <c r="S129" i="7"/>
  <c r="O129" i="7"/>
  <c r="L129" i="7"/>
  <c r="AJ129" i="7" s="1"/>
  <c r="K129" i="7"/>
  <c r="AI128" i="7"/>
  <c r="W128" i="7"/>
  <c r="AD128" i="7" s="1"/>
  <c r="S128" i="7"/>
  <c r="O128" i="7"/>
  <c r="L128" i="7"/>
  <c r="AJ128" i="7" s="1"/>
  <c r="K128" i="7"/>
  <c r="AI127" i="7"/>
  <c r="W127" i="7"/>
  <c r="AD127" i="7" s="1"/>
  <c r="S127" i="7"/>
  <c r="O127" i="7"/>
  <c r="L127" i="7"/>
  <c r="AJ127" i="7" s="1"/>
  <c r="K127" i="7"/>
  <c r="AI126" i="7"/>
  <c r="W126" i="7"/>
  <c r="AD126" i="7" s="1"/>
  <c r="S126" i="7"/>
  <c r="O126" i="7"/>
  <c r="L126" i="7"/>
  <c r="AJ126" i="7" s="1"/>
  <c r="K126" i="7"/>
  <c r="AI125" i="7"/>
  <c r="W125" i="7"/>
  <c r="AD125" i="7" s="1"/>
  <c r="S125" i="7"/>
  <c r="O125" i="7"/>
  <c r="L125" i="7"/>
  <c r="AJ125" i="7" s="1"/>
  <c r="K125" i="7"/>
  <c r="AI124" i="7"/>
  <c r="W124" i="7"/>
  <c r="AD124" i="7" s="1"/>
  <c r="S124" i="7"/>
  <c r="O124" i="7"/>
  <c r="L124" i="7"/>
  <c r="AJ124" i="7" s="1"/>
  <c r="K124" i="7"/>
  <c r="AI123" i="7"/>
  <c r="W123" i="7"/>
  <c r="AD123" i="7" s="1"/>
  <c r="S123" i="7"/>
  <c r="O123" i="7"/>
  <c r="L123" i="7"/>
  <c r="AJ123" i="7" s="1"/>
  <c r="K123" i="7"/>
  <c r="AI122" i="7"/>
  <c r="W122" i="7"/>
  <c r="AD122" i="7" s="1"/>
  <c r="S122" i="7"/>
  <c r="O122" i="7"/>
  <c r="L122" i="7"/>
  <c r="AJ122" i="7" s="1"/>
  <c r="K122" i="7"/>
  <c r="AI121" i="7"/>
  <c r="W121" i="7"/>
  <c r="AD121" i="7" s="1"/>
  <c r="S121" i="7"/>
  <c r="O121" i="7"/>
  <c r="L121" i="7"/>
  <c r="AJ121" i="7" s="1"/>
  <c r="K121" i="7"/>
  <c r="AI120" i="7"/>
  <c r="W120" i="7"/>
  <c r="AD120" i="7" s="1"/>
  <c r="S120" i="7"/>
  <c r="O120" i="7"/>
  <c r="L120" i="7"/>
  <c r="AJ120" i="7" s="1"/>
  <c r="K120" i="7"/>
  <c r="AI119" i="7"/>
  <c r="W119" i="7"/>
  <c r="AD119" i="7" s="1"/>
  <c r="S119" i="7"/>
  <c r="O119" i="7"/>
  <c r="L119" i="7"/>
  <c r="AJ119" i="7" s="1"/>
  <c r="K119" i="7"/>
  <c r="AI118" i="7"/>
  <c r="W118" i="7"/>
  <c r="AD118" i="7" s="1"/>
  <c r="S118" i="7"/>
  <c r="O118" i="7"/>
  <c r="L118" i="7"/>
  <c r="AJ118" i="7" s="1"/>
  <c r="K118" i="7"/>
  <c r="AI117" i="7"/>
  <c r="W117" i="7"/>
  <c r="AD117" i="7" s="1"/>
  <c r="S117" i="7"/>
  <c r="O117" i="7"/>
  <c r="L117" i="7"/>
  <c r="AJ117" i="7" s="1"/>
  <c r="K117" i="7"/>
  <c r="AI116" i="7"/>
  <c r="W116" i="7"/>
  <c r="AD116" i="7" s="1"/>
  <c r="S116" i="7"/>
  <c r="O116" i="7"/>
  <c r="L116" i="7"/>
  <c r="AJ116" i="7" s="1"/>
  <c r="K116" i="7"/>
  <c r="AI115" i="7"/>
  <c r="W115" i="7"/>
  <c r="AD115" i="7" s="1"/>
  <c r="S115" i="7"/>
  <c r="O115" i="7"/>
  <c r="L115" i="7"/>
  <c r="AJ115" i="7" s="1"/>
  <c r="K115" i="7"/>
  <c r="AI114" i="7"/>
  <c r="W114" i="7"/>
  <c r="AD114" i="7" s="1"/>
  <c r="S114" i="7"/>
  <c r="O114" i="7"/>
  <c r="L114" i="7"/>
  <c r="AJ114" i="7" s="1"/>
  <c r="K114" i="7"/>
  <c r="AI113" i="7"/>
  <c r="W113" i="7"/>
  <c r="AD113" i="7" s="1"/>
  <c r="S113" i="7"/>
  <c r="O113" i="7"/>
  <c r="L113" i="7"/>
  <c r="AJ113" i="7" s="1"/>
  <c r="K113" i="7"/>
  <c r="AI112" i="7"/>
  <c r="W112" i="7"/>
  <c r="AD112" i="7" s="1"/>
  <c r="S112" i="7"/>
  <c r="O112" i="7"/>
  <c r="L112" i="7"/>
  <c r="AJ112" i="7" s="1"/>
  <c r="K112" i="7"/>
  <c r="AI111" i="7"/>
  <c r="W111" i="7"/>
  <c r="AD111" i="7" s="1"/>
  <c r="S111" i="7"/>
  <c r="O111" i="7"/>
  <c r="L111" i="7"/>
  <c r="AJ111" i="7" s="1"/>
  <c r="K111" i="7"/>
  <c r="AI110" i="7"/>
  <c r="W110" i="7"/>
  <c r="AD110" i="7" s="1"/>
  <c r="S110" i="7"/>
  <c r="O110" i="7"/>
  <c r="L110" i="7"/>
  <c r="AJ110" i="7" s="1"/>
  <c r="K110" i="7"/>
  <c r="AI109" i="7"/>
  <c r="W109" i="7"/>
  <c r="AD109" i="7" s="1"/>
  <c r="S109" i="7"/>
  <c r="O109" i="7"/>
  <c r="L109" i="7"/>
  <c r="AJ109" i="7" s="1"/>
  <c r="K109" i="7"/>
  <c r="AI108" i="7"/>
  <c r="W108" i="7"/>
  <c r="AD108" i="7" s="1"/>
  <c r="S108" i="7"/>
  <c r="O108" i="7"/>
  <c r="L108" i="7"/>
  <c r="AJ108" i="7" s="1"/>
  <c r="K108" i="7"/>
  <c r="AI107" i="7"/>
  <c r="W107" i="7"/>
  <c r="AD107" i="7" s="1"/>
  <c r="S107" i="7"/>
  <c r="O107" i="7"/>
  <c r="L107" i="7"/>
  <c r="AJ107" i="7" s="1"/>
  <c r="K107" i="7"/>
  <c r="AI106" i="7"/>
  <c r="W106" i="7"/>
  <c r="AD106" i="7" s="1"/>
  <c r="S106" i="7"/>
  <c r="O106" i="7"/>
  <c r="L106" i="7"/>
  <c r="AJ106" i="7" s="1"/>
  <c r="K106" i="7"/>
  <c r="AI105" i="7"/>
  <c r="W105" i="7"/>
  <c r="AD105" i="7" s="1"/>
  <c r="S105" i="7"/>
  <c r="O105" i="7"/>
  <c r="L105" i="7"/>
  <c r="AJ105" i="7" s="1"/>
  <c r="K105" i="7"/>
  <c r="AI104" i="7"/>
  <c r="W104" i="7"/>
  <c r="AD104" i="7" s="1"/>
  <c r="S104" i="7"/>
  <c r="O104" i="7"/>
  <c r="L104" i="7"/>
  <c r="AJ104" i="7" s="1"/>
  <c r="K104" i="7"/>
  <c r="AI103" i="7"/>
  <c r="W103" i="7"/>
  <c r="AD103" i="7" s="1"/>
  <c r="S103" i="7"/>
  <c r="O103" i="7"/>
  <c r="L103" i="7"/>
  <c r="AJ103" i="7" s="1"/>
  <c r="K103" i="7"/>
  <c r="AI102" i="7"/>
  <c r="W102" i="7"/>
  <c r="AD102" i="7" s="1"/>
  <c r="S102" i="7"/>
  <c r="O102" i="7"/>
  <c r="L102" i="7"/>
  <c r="AJ102" i="7" s="1"/>
  <c r="K102" i="7"/>
  <c r="AI101" i="7"/>
  <c r="W101" i="7"/>
  <c r="AD101" i="7" s="1"/>
  <c r="S101" i="7"/>
  <c r="O101" i="7"/>
  <c r="L101" i="7"/>
  <c r="AJ101" i="7" s="1"/>
  <c r="K101" i="7"/>
  <c r="AI100" i="7"/>
  <c r="W100" i="7"/>
  <c r="AD100" i="7" s="1"/>
  <c r="S100" i="7"/>
  <c r="O100" i="7"/>
  <c r="L100" i="7"/>
  <c r="AJ100" i="7" s="1"/>
  <c r="K100" i="7"/>
  <c r="AI99" i="7"/>
  <c r="W99" i="7"/>
  <c r="AD99" i="7" s="1"/>
  <c r="S99" i="7"/>
  <c r="O99" i="7"/>
  <c r="L99" i="7"/>
  <c r="AJ99" i="7" s="1"/>
  <c r="K99" i="7"/>
  <c r="AI98" i="7"/>
  <c r="W98" i="7"/>
  <c r="AD98" i="7" s="1"/>
  <c r="S98" i="7"/>
  <c r="O98" i="7"/>
  <c r="L98" i="7"/>
  <c r="AJ98" i="7" s="1"/>
  <c r="K98" i="7"/>
  <c r="AI97" i="7"/>
  <c r="W97" i="7"/>
  <c r="AD97" i="7" s="1"/>
  <c r="S97" i="7"/>
  <c r="O97" i="7"/>
  <c r="L97" i="7"/>
  <c r="AJ97" i="7" s="1"/>
  <c r="K97" i="7"/>
  <c r="AI96" i="7"/>
  <c r="W96" i="7"/>
  <c r="AD96" i="7" s="1"/>
  <c r="S96" i="7"/>
  <c r="O96" i="7"/>
  <c r="L96" i="7"/>
  <c r="AJ96" i="7" s="1"/>
  <c r="K96" i="7"/>
  <c r="AI95" i="7"/>
  <c r="W95" i="7"/>
  <c r="AD95" i="7" s="1"/>
  <c r="S95" i="7"/>
  <c r="O95" i="7"/>
  <c r="L95" i="7"/>
  <c r="AJ95" i="7" s="1"/>
  <c r="K95" i="7"/>
  <c r="AI94" i="7"/>
  <c r="W94" i="7"/>
  <c r="AD94" i="7" s="1"/>
  <c r="S94" i="7"/>
  <c r="O94" i="7"/>
  <c r="L94" i="7"/>
  <c r="AJ94" i="7" s="1"/>
  <c r="K94" i="7"/>
  <c r="AI93" i="7"/>
  <c r="W93" i="7"/>
  <c r="AD93" i="7" s="1"/>
  <c r="S93" i="7"/>
  <c r="O93" i="7"/>
  <c r="L93" i="7"/>
  <c r="AJ93" i="7" s="1"/>
  <c r="K93" i="7"/>
  <c r="AI92" i="7"/>
  <c r="W92" i="7"/>
  <c r="AD92" i="7" s="1"/>
  <c r="S92" i="7"/>
  <c r="O92" i="7"/>
  <c r="L92" i="7"/>
  <c r="AJ92" i="7" s="1"/>
  <c r="K92" i="7"/>
  <c r="AI91" i="7"/>
  <c r="W91" i="7"/>
  <c r="AD91" i="7" s="1"/>
  <c r="S91" i="7"/>
  <c r="O91" i="7"/>
  <c r="L91" i="7"/>
  <c r="AJ91" i="7" s="1"/>
  <c r="K91" i="7"/>
  <c r="AI90" i="7"/>
  <c r="W90" i="7"/>
  <c r="AD90" i="7" s="1"/>
  <c r="S90" i="7"/>
  <c r="O90" i="7"/>
  <c r="L90" i="7"/>
  <c r="AJ90" i="7" s="1"/>
  <c r="K90" i="7"/>
  <c r="AI89" i="7"/>
  <c r="W89" i="7"/>
  <c r="AD89" i="7" s="1"/>
  <c r="S89" i="7"/>
  <c r="O89" i="7"/>
  <c r="L89" i="7"/>
  <c r="AJ89" i="7" s="1"/>
  <c r="K89" i="7"/>
  <c r="AI88" i="7"/>
  <c r="W88" i="7"/>
  <c r="AD88" i="7" s="1"/>
  <c r="S88" i="7"/>
  <c r="O88" i="7"/>
  <c r="L88" i="7"/>
  <c r="AJ88" i="7" s="1"/>
  <c r="K88" i="7"/>
  <c r="AI87" i="7"/>
  <c r="W87" i="7"/>
  <c r="AD87" i="7" s="1"/>
  <c r="S87" i="7"/>
  <c r="O87" i="7"/>
  <c r="L87" i="7"/>
  <c r="AJ87" i="7" s="1"/>
  <c r="K87" i="7"/>
  <c r="AI86" i="7"/>
  <c r="W86" i="7"/>
  <c r="AD86" i="7" s="1"/>
  <c r="S86" i="7"/>
  <c r="O86" i="7"/>
  <c r="L86" i="7"/>
  <c r="AJ86" i="7" s="1"/>
  <c r="K86" i="7"/>
  <c r="AI85" i="7"/>
  <c r="W85" i="7"/>
  <c r="AD85" i="7" s="1"/>
  <c r="S85" i="7"/>
  <c r="O85" i="7"/>
  <c r="L85" i="7"/>
  <c r="AJ85" i="7" s="1"/>
  <c r="K85" i="7"/>
  <c r="AI84" i="7"/>
  <c r="W84" i="7"/>
  <c r="AD84" i="7" s="1"/>
  <c r="S84" i="7"/>
  <c r="O84" i="7"/>
  <c r="L84" i="7"/>
  <c r="AJ84" i="7" s="1"/>
  <c r="K84" i="7"/>
  <c r="AI83" i="7"/>
  <c r="W83" i="7"/>
  <c r="AD83" i="7" s="1"/>
  <c r="S83" i="7"/>
  <c r="O83" i="7"/>
  <c r="L83" i="7"/>
  <c r="AJ83" i="7" s="1"/>
  <c r="K83" i="7"/>
  <c r="AI82" i="7"/>
  <c r="W82" i="7"/>
  <c r="AD82" i="7" s="1"/>
  <c r="S82" i="7"/>
  <c r="O82" i="7"/>
  <c r="L82" i="7"/>
  <c r="AJ82" i="7" s="1"/>
  <c r="K82" i="7"/>
  <c r="AI81" i="7"/>
  <c r="W81" i="7"/>
  <c r="AD81" i="7" s="1"/>
  <c r="S81" i="7"/>
  <c r="O81" i="7"/>
  <c r="L81" i="7"/>
  <c r="AJ81" i="7" s="1"/>
  <c r="K81" i="7"/>
  <c r="AI80" i="7"/>
  <c r="AB80" i="7"/>
  <c r="W80" i="7"/>
  <c r="AD80" i="7" s="1"/>
  <c r="S80" i="7"/>
  <c r="O80" i="7"/>
  <c r="L80" i="7"/>
  <c r="AJ80" i="7" s="1"/>
  <c r="K80" i="7"/>
  <c r="AI79" i="7"/>
  <c r="W79" i="7"/>
  <c r="AD79" i="7" s="1"/>
  <c r="S79" i="7"/>
  <c r="O79" i="7"/>
  <c r="L79" i="7"/>
  <c r="AJ79" i="7" s="1"/>
  <c r="K79" i="7"/>
  <c r="AI78" i="7"/>
  <c r="W78" i="7"/>
  <c r="AD78" i="7" s="1"/>
  <c r="S78" i="7"/>
  <c r="O78" i="7"/>
  <c r="L78" i="7"/>
  <c r="AJ78" i="7" s="1"/>
  <c r="K78" i="7"/>
  <c r="AI77" i="7"/>
  <c r="AB77" i="7"/>
  <c r="W77" i="7"/>
  <c r="AD77" i="7" s="1"/>
  <c r="S77" i="7"/>
  <c r="O77" i="7"/>
  <c r="L77" i="7"/>
  <c r="AJ77" i="7" s="1"/>
  <c r="K77" i="7"/>
  <c r="AI76" i="7"/>
  <c r="W76" i="7"/>
  <c r="AD76" i="7" s="1"/>
  <c r="S76" i="7"/>
  <c r="O76" i="7"/>
  <c r="L76" i="7"/>
  <c r="AJ76" i="7" s="1"/>
  <c r="K76" i="7"/>
  <c r="AI75" i="7"/>
  <c r="W75" i="7"/>
  <c r="AD75" i="7" s="1"/>
  <c r="S75" i="7"/>
  <c r="O75" i="7"/>
  <c r="L75" i="7"/>
  <c r="AJ75" i="7" s="1"/>
  <c r="K75" i="7"/>
  <c r="AI74" i="7"/>
  <c r="W74" i="7"/>
  <c r="AD74" i="7" s="1"/>
  <c r="S74" i="7"/>
  <c r="O74" i="7"/>
  <c r="L74" i="7"/>
  <c r="AJ74" i="7" s="1"/>
  <c r="K74" i="7"/>
  <c r="AI73" i="7"/>
  <c r="W73" i="7"/>
  <c r="AD73" i="7" s="1"/>
  <c r="S73" i="7"/>
  <c r="O73" i="7"/>
  <c r="L73" i="7"/>
  <c r="AJ73" i="7" s="1"/>
  <c r="K73" i="7"/>
  <c r="AI72" i="7"/>
  <c r="W72" i="7"/>
  <c r="AD72" i="7" s="1"/>
  <c r="S72" i="7"/>
  <c r="O72" i="7"/>
  <c r="L72" i="7"/>
  <c r="AJ72" i="7" s="1"/>
  <c r="K72" i="7"/>
  <c r="AI71" i="7"/>
  <c r="W71" i="7"/>
  <c r="AD71" i="7" s="1"/>
  <c r="S71" i="7"/>
  <c r="O71" i="7"/>
  <c r="L71" i="7"/>
  <c r="AJ71" i="7" s="1"/>
  <c r="K71" i="7"/>
  <c r="AI70" i="7"/>
  <c r="W70" i="7"/>
  <c r="AD70" i="7" s="1"/>
  <c r="S70" i="7"/>
  <c r="O70" i="7"/>
  <c r="L70" i="7"/>
  <c r="AJ70" i="7" s="1"/>
  <c r="K70" i="7"/>
  <c r="AI69" i="7"/>
  <c r="W69" i="7"/>
  <c r="AD69" i="7" s="1"/>
  <c r="S69" i="7"/>
  <c r="O69" i="7"/>
  <c r="L69" i="7"/>
  <c r="AJ69" i="7" s="1"/>
  <c r="K69" i="7"/>
  <c r="AI68" i="7"/>
  <c r="W68" i="7"/>
  <c r="AD68" i="7" s="1"/>
  <c r="S68" i="7"/>
  <c r="O68" i="7"/>
  <c r="L68" i="7"/>
  <c r="AJ68" i="7" s="1"/>
  <c r="K68" i="7"/>
  <c r="AI67" i="7"/>
  <c r="W67" i="7"/>
  <c r="AD67" i="7" s="1"/>
  <c r="S67" i="7"/>
  <c r="O67" i="7"/>
  <c r="L67" i="7"/>
  <c r="AJ67" i="7" s="1"/>
  <c r="K67" i="7"/>
  <c r="AI66" i="7"/>
  <c r="W66" i="7"/>
  <c r="AD66" i="7" s="1"/>
  <c r="S66" i="7"/>
  <c r="O66" i="7"/>
  <c r="L66" i="7"/>
  <c r="AB66" i="7" s="1"/>
  <c r="K66" i="7"/>
  <c r="AI65" i="7"/>
  <c r="W65" i="7"/>
  <c r="AD65" i="7" s="1"/>
  <c r="S65" i="7"/>
  <c r="O65" i="7"/>
  <c r="L65" i="7"/>
  <c r="AJ65" i="7" s="1"/>
  <c r="K65" i="7"/>
  <c r="AI64" i="7"/>
  <c r="W64" i="7"/>
  <c r="AD64" i="7" s="1"/>
  <c r="S64" i="7"/>
  <c r="O64" i="7"/>
  <c r="L64" i="7"/>
  <c r="AL64" i="7" s="1"/>
  <c r="K64" i="7"/>
  <c r="AI63" i="7"/>
  <c r="W63" i="7"/>
  <c r="AD63" i="7" s="1"/>
  <c r="S63" i="7"/>
  <c r="O63" i="7"/>
  <c r="L63" i="7"/>
  <c r="AL63" i="7" s="1"/>
  <c r="K63" i="7"/>
  <c r="AI62" i="7"/>
  <c r="W62" i="7"/>
  <c r="AD62" i="7" s="1"/>
  <c r="S62" i="7"/>
  <c r="O62" i="7"/>
  <c r="L62" i="7"/>
  <c r="AB62" i="7" s="1"/>
  <c r="K62" i="7"/>
  <c r="AI61" i="7"/>
  <c r="W61" i="7"/>
  <c r="AD61" i="7" s="1"/>
  <c r="S61" i="7"/>
  <c r="O61" i="7"/>
  <c r="L61" i="7"/>
  <c r="AL61" i="7" s="1"/>
  <c r="K61" i="7"/>
  <c r="AI60" i="7"/>
  <c r="W60" i="7"/>
  <c r="AD60" i="7" s="1"/>
  <c r="S60" i="7"/>
  <c r="O60" i="7"/>
  <c r="L60" i="7"/>
  <c r="AL60" i="7" s="1"/>
  <c r="K60" i="7"/>
  <c r="AI59" i="7"/>
  <c r="W59" i="7"/>
  <c r="AD59" i="7" s="1"/>
  <c r="S59" i="7"/>
  <c r="O59" i="7"/>
  <c r="L59" i="7"/>
  <c r="AL59" i="7" s="1"/>
  <c r="K59" i="7"/>
  <c r="AI58" i="7"/>
  <c r="W58" i="7"/>
  <c r="AD58" i="7" s="1"/>
  <c r="S58" i="7"/>
  <c r="O58" i="7"/>
  <c r="L58" i="7"/>
  <c r="T58" i="7" s="1"/>
  <c r="K58" i="7"/>
  <c r="AI57" i="7"/>
  <c r="W57" i="7"/>
  <c r="AD57" i="7" s="1"/>
  <c r="S57" i="7"/>
  <c r="O57" i="7"/>
  <c r="L57" i="7"/>
  <c r="AB57" i="7" s="1"/>
  <c r="K57" i="7"/>
  <c r="AI56" i="7"/>
  <c r="W56" i="7"/>
  <c r="AD56" i="7" s="1"/>
  <c r="S56" i="7"/>
  <c r="O56" i="7"/>
  <c r="L56" i="7"/>
  <c r="P56" i="7" s="1"/>
  <c r="K56" i="7"/>
  <c r="AI55" i="7"/>
  <c r="W55" i="7"/>
  <c r="AD55" i="7" s="1"/>
  <c r="S55" i="7"/>
  <c r="O55" i="7"/>
  <c r="L55" i="7"/>
  <c r="AB55" i="7" s="1"/>
  <c r="K55" i="7"/>
  <c r="AI54" i="7"/>
  <c r="W54" i="7"/>
  <c r="AD54" i="7" s="1"/>
  <c r="S54" i="7"/>
  <c r="O54" i="7"/>
  <c r="L54" i="7"/>
  <c r="AL54" i="7" s="1"/>
  <c r="K54" i="7"/>
  <c r="AI53" i="7"/>
  <c r="W53" i="7"/>
  <c r="AD53" i="7" s="1"/>
  <c r="S53" i="7"/>
  <c r="O53" i="7"/>
  <c r="L53" i="7"/>
  <c r="AL53" i="7" s="1"/>
  <c r="K53" i="7"/>
  <c r="AI52" i="7"/>
  <c r="W52" i="7"/>
  <c r="AD52" i="7" s="1"/>
  <c r="S52" i="7"/>
  <c r="O52" i="7"/>
  <c r="L52" i="7"/>
  <c r="P52" i="7" s="1"/>
  <c r="K52" i="7"/>
  <c r="AI51" i="7"/>
  <c r="W51" i="7"/>
  <c r="AD51" i="7" s="1"/>
  <c r="S51" i="7"/>
  <c r="O51" i="7"/>
  <c r="L51" i="7"/>
  <c r="AB51" i="7" s="1"/>
  <c r="K51" i="7"/>
  <c r="AI50" i="7"/>
  <c r="W50" i="7"/>
  <c r="AD50" i="7" s="1"/>
  <c r="S50" i="7"/>
  <c r="O50" i="7"/>
  <c r="L50" i="7"/>
  <c r="AB50" i="7" s="1"/>
  <c r="K50" i="7"/>
  <c r="AI49" i="7"/>
  <c r="W49" i="7"/>
  <c r="AD49" i="7" s="1"/>
  <c r="S49" i="7"/>
  <c r="O49" i="7"/>
  <c r="L49" i="7"/>
  <c r="AB49" i="7" s="1"/>
  <c r="K49" i="7"/>
  <c r="AI48" i="7"/>
  <c r="W48" i="7"/>
  <c r="AD48" i="7" s="1"/>
  <c r="S48" i="7"/>
  <c r="O48" i="7"/>
  <c r="L48" i="7"/>
  <c r="P48" i="7" s="1"/>
  <c r="K48" i="7"/>
  <c r="AI47" i="7"/>
  <c r="W47" i="7"/>
  <c r="AD47" i="7" s="1"/>
  <c r="S47" i="7"/>
  <c r="O47" i="7"/>
  <c r="L47" i="7"/>
  <c r="P47" i="7" s="1"/>
  <c r="K47" i="7"/>
  <c r="AI46" i="7"/>
  <c r="W46" i="7"/>
  <c r="AD46" i="7" s="1"/>
  <c r="S46" i="7"/>
  <c r="O46" i="7"/>
  <c r="L46" i="7"/>
  <c r="AB46" i="7" s="1"/>
  <c r="K46" i="7"/>
  <c r="AI45" i="7"/>
  <c r="W45" i="7"/>
  <c r="AD45" i="7" s="1"/>
  <c r="S45" i="7"/>
  <c r="O45" i="7"/>
  <c r="L45" i="7"/>
  <c r="AB45" i="7" s="1"/>
  <c r="K45" i="7"/>
  <c r="AI44" i="7"/>
  <c r="W44" i="7"/>
  <c r="AD44" i="7" s="1"/>
  <c r="S44" i="7"/>
  <c r="O44" i="7"/>
  <c r="L44" i="7"/>
  <c r="AL44" i="7" s="1"/>
  <c r="K44" i="7"/>
  <c r="AI43" i="7"/>
  <c r="W43" i="7"/>
  <c r="AD43" i="7" s="1"/>
  <c r="S43" i="7"/>
  <c r="O43" i="7"/>
  <c r="L43" i="7"/>
  <c r="AL43" i="7" s="1"/>
  <c r="K43" i="7"/>
  <c r="AI42" i="7"/>
  <c r="W42" i="7"/>
  <c r="AD42" i="7" s="1"/>
  <c r="S42" i="7"/>
  <c r="O42" i="7"/>
  <c r="L42" i="7"/>
  <c r="AJ42" i="7" s="1"/>
  <c r="K42" i="7"/>
  <c r="AI41" i="7"/>
  <c r="W41" i="7"/>
  <c r="AD41" i="7" s="1"/>
  <c r="S41" i="7"/>
  <c r="O41" i="7"/>
  <c r="L41" i="7"/>
  <c r="P41" i="7" s="1"/>
  <c r="K41" i="7"/>
  <c r="AI40" i="7"/>
  <c r="W40" i="7"/>
  <c r="AD40" i="7" s="1"/>
  <c r="S40" i="7"/>
  <c r="O40" i="7"/>
  <c r="L40" i="7"/>
  <c r="AB40" i="7" s="1"/>
  <c r="K40" i="7"/>
  <c r="AI39" i="7"/>
  <c r="W39" i="7"/>
  <c r="AD39" i="7" s="1"/>
  <c r="S39" i="7"/>
  <c r="O39" i="7"/>
  <c r="L39" i="7"/>
  <c r="AL39" i="7" s="1"/>
  <c r="K39" i="7"/>
  <c r="AI38" i="7"/>
  <c r="W38" i="7"/>
  <c r="AD38" i="7" s="1"/>
  <c r="S38" i="7"/>
  <c r="O38" i="7"/>
  <c r="L38" i="7"/>
  <c r="AL38" i="7" s="1"/>
  <c r="K38" i="7"/>
  <c r="AI37" i="7"/>
  <c r="W37" i="7"/>
  <c r="AD37" i="7" s="1"/>
  <c r="S37" i="7"/>
  <c r="O37" i="7"/>
  <c r="L37" i="7"/>
  <c r="AJ37" i="7" s="1"/>
  <c r="K37" i="7"/>
  <c r="AI36" i="7"/>
  <c r="W36" i="7"/>
  <c r="AD36" i="7" s="1"/>
  <c r="S36" i="7"/>
  <c r="O36" i="7"/>
  <c r="L36" i="7"/>
  <c r="AL36" i="7" s="1"/>
  <c r="K36" i="7"/>
  <c r="AI35" i="7"/>
  <c r="W35" i="7"/>
  <c r="AD35" i="7" s="1"/>
  <c r="S35" i="7"/>
  <c r="O35" i="7"/>
  <c r="L35" i="7"/>
  <c r="AL35" i="7" s="1"/>
  <c r="K35" i="7"/>
  <c r="AI34" i="7"/>
  <c r="W34" i="7"/>
  <c r="AD34" i="7" s="1"/>
  <c r="S34" i="7"/>
  <c r="O34" i="7"/>
  <c r="L34" i="7"/>
  <c r="P34" i="7" s="1"/>
  <c r="K34" i="7"/>
  <c r="AI33" i="7"/>
  <c r="W33" i="7"/>
  <c r="AD33" i="7" s="1"/>
  <c r="S33" i="7"/>
  <c r="O33" i="7"/>
  <c r="L33" i="7"/>
  <c r="P33" i="7" s="1"/>
  <c r="K33" i="7"/>
  <c r="AI32" i="7"/>
  <c r="W32" i="7"/>
  <c r="AD32" i="7" s="1"/>
  <c r="S32" i="7"/>
  <c r="O32" i="7"/>
  <c r="L32" i="7"/>
  <c r="T32" i="7" s="1"/>
  <c r="K32" i="7"/>
  <c r="AI31" i="7"/>
  <c r="W31" i="7"/>
  <c r="AD31" i="7" s="1"/>
  <c r="S31" i="7"/>
  <c r="O31" i="7"/>
  <c r="L31" i="7"/>
  <c r="P31" i="7" s="1"/>
  <c r="K31" i="7"/>
  <c r="AI30" i="7"/>
  <c r="W30" i="7"/>
  <c r="AD30" i="7" s="1"/>
  <c r="S30" i="7"/>
  <c r="O30" i="7"/>
  <c r="L30" i="7"/>
  <c r="P30" i="7" s="1"/>
  <c r="K30" i="7"/>
  <c r="AI29" i="7"/>
  <c r="W29" i="7"/>
  <c r="AD29" i="7" s="1"/>
  <c r="S29" i="7"/>
  <c r="O29" i="7"/>
  <c r="L29" i="7"/>
  <c r="AB29" i="7" s="1"/>
  <c r="K29" i="7"/>
  <c r="AI28" i="7"/>
  <c r="W28" i="7"/>
  <c r="AD28" i="7" s="1"/>
  <c r="S28" i="7"/>
  <c r="O28" i="7"/>
  <c r="L28" i="7"/>
  <c r="X28" i="7" s="1"/>
  <c r="K28" i="7"/>
  <c r="AI27" i="7"/>
  <c r="W27" i="7"/>
  <c r="AD27" i="7" s="1"/>
  <c r="S27" i="7"/>
  <c r="O27" i="7"/>
  <c r="L27" i="7"/>
  <c r="AL27" i="7" s="1"/>
  <c r="K27" i="7"/>
  <c r="AI26" i="7"/>
  <c r="W26" i="7"/>
  <c r="AD26" i="7" s="1"/>
  <c r="S26" i="7"/>
  <c r="O26" i="7"/>
  <c r="L26" i="7"/>
  <c r="P26" i="7" s="1"/>
  <c r="K26" i="7"/>
  <c r="AI25" i="7"/>
  <c r="W25" i="7"/>
  <c r="AD25" i="7" s="1"/>
  <c r="S25" i="7"/>
  <c r="O25" i="7"/>
  <c r="L25" i="7"/>
  <c r="P25" i="7" s="1"/>
  <c r="K25" i="7"/>
  <c r="AI24" i="7"/>
  <c r="W24" i="7"/>
  <c r="AD24" i="7" s="1"/>
  <c r="S24" i="7"/>
  <c r="O24" i="7"/>
  <c r="L24" i="7"/>
  <c r="AB24" i="7" s="1"/>
  <c r="K24" i="7"/>
  <c r="AI23" i="7"/>
  <c r="W23" i="7"/>
  <c r="AD23" i="7" s="1"/>
  <c r="S23" i="7"/>
  <c r="O23" i="7"/>
  <c r="L23" i="7"/>
  <c r="AB23" i="7" s="1"/>
  <c r="K23" i="7"/>
  <c r="AI22" i="7"/>
  <c r="W22" i="7"/>
  <c r="AD22" i="7" s="1"/>
  <c r="S22" i="7"/>
  <c r="O22" i="7"/>
  <c r="L22" i="7"/>
  <c r="AB22" i="7" s="1"/>
  <c r="K22" i="7"/>
  <c r="AI21" i="7"/>
  <c r="W21" i="7"/>
  <c r="AD21" i="7" s="1"/>
  <c r="S21" i="7"/>
  <c r="O21" i="7"/>
  <c r="L21" i="7"/>
  <c r="AL21" i="7" s="1"/>
  <c r="K21" i="7"/>
  <c r="AI20" i="7"/>
  <c r="W20" i="7"/>
  <c r="AD20" i="7" s="1"/>
  <c r="S20" i="7"/>
  <c r="O20" i="7"/>
  <c r="L20" i="7"/>
  <c r="AL20" i="7" s="1"/>
  <c r="K20" i="7"/>
  <c r="AI19" i="7"/>
  <c r="W19" i="7"/>
  <c r="AD19" i="7" s="1"/>
  <c r="S19" i="7"/>
  <c r="O19" i="7"/>
  <c r="L19" i="7"/>
  <c r="AJ19" i="7" s="1"/>
  <c r="K19" i="7"/>
  <c r="AI18" i="7"/>
  <c r="W18" i="7"/>
  <c r="AD18" i="7" s="1"/>
  <c r="S18" i="7"/>
  <c r="O18" i="7"/>
  <c r="L18" i="7"/>
  <c r="AJ18" i="7" s="1"/>
  <c r="K18" i="7"/>
  <c r="AI17" i="7"/>
  <c r="W17" i="7"/>
  <c r="AD17" i="7" s="1"/>
  <c r="S17" i="7"/>
  <c r="O17" i="7"/>
  <c r="L17" i="7"/>
  <c r="P17" i="7" s="1"/>
  <c r="K17" i="7"/>
  <c r="AI16" i="7"/>
  <c r="W16" i="7"/>
  <c r="AD16" i="7" s="1"/>
  <c r="S16" i="7"/>
  <c r="O16" i="7"/>
  <c r="L16" i="7"/>
  <c r="AL16" i="7" s="1"/>
  <c r="K16" i="7"/>
  <c r="AI15" i="7"/>
  <c r="W15" i="7"/>
  <c r="AD15" i="7" s="1"/>
  <c r="S15" i="7"/>
  <c r="O15" i="7"/>
  <c r="L15" i="7"/>
  <c r="AJ15" i="7" s="1"/>
  <c r="K15" i="7"/>
  <c r="AI14" i="7"/>
  <c r="W14" i="7"/>
  <c r="AD14" i="7" s="1"/>
  <c r="S14" i="7"/>
  <c r="O14" i="7"/>
  <c r="L14" i="7"/>
  <c r="AJ14" i="7" s="1"/>
  <c r="K14" i="7"/>
  <c r="AI13" i="7"/>
  <c r="W13" i="7"/>
  <c r="AD13" i="7" s="1"/>
  <c r="S13" i="7"/>
  <c r="O13" i="7"/>
  <c r="L13" i="7"/>
  <c r="AJ13" i="7" s="1"/>
  <c r="K13" i="7"/>
  <c r="AI12" i="7"/>
  <c r="W12" i="7"/>
  <c r="AD12" i="7" s="1"/>
  <c r="S12" i="7"/>
  <c r="O12" i="7"/>
  <c r="L12" i="7"/>
  <c r="P12" i="7" s="1"/>
  <c r="K12" i="7"/>
  <c r="AI11" i="7"/>
  <c r="W11" i="7"/>
  <c r="AD11" i="7" s="1"/>
  <c r="S11" i="7"/>
  <c r="O11" i="7"/>
  <c r="L11" i="7"/>
  <c r="P11" i="7" s="1"/>
  <c r="K11" i="7"/>
  <c r="AI10" i="7"/>
  <c r="W10" i="7"/>
  <c r="AD10" i="7" s="1"/>
  <c r="S10" i="7"/>
  <c r="O10" i="7"/>
  <c r="L10" i="7"/>
  <c r="P10" i="7" s="1"/>
  <c r="K10" i="7"/>
  <c r="AI9" i="7"/>
  <c r="W9" i="7"/>
  <c r="AD9" i="7" s="1"/>
  <c r="S9" i="7"/>
  <c r="O9" i="7"/>
  <c r="L9" i="7"/>
  <c r="P9" i="7" s="1"/>
  <c r="K9" i="7"/>
  <c r="AO8" i="7"/>
  <c r="L8" i="7"/>
  <c r="U8" i="7" s="1"/>
  <c r="AF8" i="7" s="1"/>
  <c r="AO7" i="7"/>
  <c r="AL7" i="7"/>
  <c r="AK7" i="7"/>
  <c r="AI7" i="7"/>
  <c r="AH7" i="7"/>
  <c r="AD7" i="7"/>
  <c r="AC7" i="7"/>
  <c r="AE7" i="7" s="1"/>
  <c r="Z7" i="7"/>
  <c r="AA7" i="7" s="1"/>
  <c r="AG7" i="7" s="1"/>
  <c r="W7" i="7"/>
  <c r="V7" i="7"/>
  <c r="U7" i="7"/>
  <c r="AF7" i="7" s="1"/>
  <c r="S7" i="7"/>
  <c r="R7" i="7"/>
  <c r="Q7" i="7"/>
  <c r="O7" i="7"/>
  <c r="N7" i="7"/>
  <c r="M7" i="7"/>
  <c r="L7" i="7"/>
  <c r="AJ7" i="7" s="1"/>
  <c r="K7" i="7"/>
  <c r="AO6" i="7"/>
  <c r="AL6" i="7"/>
  <c r="AI6" i="7"/>
  <c r="AH6" i="7"/>
  <c r="AD6" i="7"/>
  <c r="Z6" i="7"/>
  <c r="AA6" i="7" s="1"/>
  <c r="AG6" i="7" s="1"/>
  <c r="W6" i="7"/>
  <c r="V6" i="7"/>
  <c r="S6" i="7"/>
  <c r="R6" i="7"/>
  <c r="O6" i="7"/>
  <c r="N6" i="7"/>
  <c r="L6" i="7"/>
  <c r="AK6" i="7" s="1"/>
  <c r="K6" i="7"/>
  <c r="AO5" i="7"/>
  <c r="AI5" i="7"/>
  <c r="W5" i="7"/>
  <c r="AD5" i="7" s="1"/>
  <c r="S5" i="7"/>
  <c r="O5" i="7"/>
  <c r="L5" i="7"/>
  <c r="AB5" i="7" s="1"/>
  <c r="K5" i="7"/>
  <c r="L4" i="7"/>
  <c r="Q4" i="7" s="1"/>
  <c r="AO3" i="7"/>
  <c r="AL3" i="7"/>
  <c r="AK3" i="7"/>
  <c r="AI3" i="7"/>
  <c r="AH3" i="7"/>
  <c r="AD3" i="7"/>
  <c r="AC3" i="7"/>
  <c r="AE3" i="7" s="1"/>
  <c r="Z3" i="7"/>
  <c r="AA3" i="7" s="1"/>
  <c r="AG3" i="7" s="1"/>
  <c r="W3" i="7"/>
  <c r="V3" i="7"/>
  <c r="U3" i="7"/>
  <c r="AF3" i="7" s="1"/>
  <c r="S3" i="7"/>
  <c r="R3" i="7"/>
  <c r="Q3" i="7"/>
  <c r="O3" i="7"/>
  <c r="N3" i="7"/>
  <c r="M3" i="7"/>
  <c r="L3" i="7"/>
  <c r="AJ3" i="7" s="1"/>
  <c r="K3" i="7"/>
  <c r="AO2" i="7"/>
  <c r="AL2" i="7"/>
  <c r="AI2" i="7"/>
  <c r="AH2" i="7"/>
  <c r="AD2" i="7"/>
  <c r="Z2" i="7"/>
  <c r="AA2" i="7" s="1"/>
  <c r="AG2" i="7" s="1"/>
  <c r="W2" i="7"/>
  <c r="V2" i="7"/>
  <c r="S2" i="7"/>
  <c r="R2" i="7"/>
  <c r="O2" i="7"/>
  <c r="N2" i="7"/>
  <c r="L2" i="7"/>
  <c r="AK2" i="7" s="1"/>
  <c r="K2" i="7"/>
  <c r="AO1" i="7"/>
  <c r="K1" i="7"/>
  <c r="A56" i="3"/>
  <c r="A55" i="3"/>
  <c r="A54" i="3"/>
  <c r="A53" i="3"/>
  <c r="L45" i="3"/>
  <c r="K45" i="3"/>
  <c r="H25" i="1" s="1"/>
  <c r="F45" i="3"/>
  <c r="D45" i="3"/>
  <c r="C45" i="3"/>
  <c r="H17" i="1" s="1"/>
  <c r="B45" i="3"/>
  <c r="L44" i="3"/>
  <c r="K44" i="3"/>
  <c r="F44" i="3"/>
  <c r="D44" i="3"/>
  <c r="C44" i="3"/>
  <c r="B44" i="3"/>
  <c r="L43" i="3"/>
  <c r="K43" i="3"/>
  <c r="F43" i="3"/>
  <c r="D43" i="3"/>
  <c r="C43" i="3"/>
  <c r="B43" i="3"/>
  <c r="L42" i="3"/>
  <c r="K42" i="3"/>
  <c r="F42" i="3"/>
  <c r="D42" i="3"/>
  <c r="C42" i="3"/>
  <c r="B42" i="3"/>
  <c r="L41" i="3"/>
  <c r="K41" i="3"/>
  <c r="F41" i="3"/>
  <c r="D41" i="3"/>
  <c r="C41" i="3"/>
  <c r="B41" i="3"/>
  <c r="L40" i="3"/>
  <c r="K40" i="3"/>
  <c r="F40" i="3"/>
  <c r="D40" i="3"/>
  <c r="C40" i="3"/>
  <c r="B40" i="3"/>
  <c r="L39" i="3"/>
  <c r="K39" i="3"/>
  <c r="F39" i="3"/>
  <c r="D39" i="3"/>
  <c r="C39" i="3"/>
  <c r="B39" i="3"/>
  <c r="L38" i="3"/>
  <c r="K38" i="3"/>
  <c r="F38" i="3"/>
  <c r="D38" i="3"/>
  <c r="C38" i="3"/>
  <c r="B38" i="3"/>
  <c r="L37" i="3"/>
  <c r="K37" i="3"/>
  <c r="F37" i="3"/>
  <c r="D37" i="3"/>
  <c r="C37" i="3"/>
  <c r="B37" i="3"/>
  <c r="L33" i="3"/>
  <c r="D33" i="3"/>
  <c r="L32" i="3"/>
  <c r="D32" i="3"/>
  <c r="C32" i="3"/>
  <c r="M6" i="3"/>
  <c r="L6" i="3"/>
  <c r="K6" i="3"/>
  <c r="J6" i="3"/>
  <c r="I6" i="3"/>
  <c r="H6" i="3"/>
  <c r="G6" i="3"/>
  <c r="F6" i="3"/>
  <c r="E6" i="3"/>
  <c r="D6" i="3"/>
  <c r="C6" i="3"/>
  <c r="B6" i="3"/>
  <c r="M5" i="3"/>
  <c r="M34" i="3" s="1"/>
  <c r="L5" i="3"/>
  <c r="L34" i="3" s="1"/>
  <c r="K5" i="3"/>
  <c r="J5" i="3"/>
  <c r="K32" i="3" s="1"/>
  <c r="I5" i="3"/>
  <c r="H5" i="3"/>
  <c r="G5" i="3"/>
  <c r="G33" i="3" s="1"/>
  <c r="F5" i="3"/>
  <c r="F32" i="3" s="1"/>
  <c r="E5" i="3"/>
  <c r="E30" i="3" s="1"/>
  <c r="D5" i="3"/>
  <c r="D34" i="3" s="1"/>
  <c r="C5" i="3"/>
  <c r="C33" i="3" s="1"/>
  <c r="B5" i="3"/>
  <c r="C35" i="3" s="1"/>
  <c r="B41" i="1"/>
  <c r="B40" i="1"/>
  <c r="B39" i="1"/>
  <c r="B38" i="1"/>
  <c r="B37" i="1"/>
  <c r="H26" i="1"/>
  <c r="D26" i="1"/>
  <c r="D25" i="1"/>
  <c r="D22" i="1"/>
  <c r="H20" i="1"/>
  <c r="H18" i="1"/>
  <c r="D18" i="1"/>
  <c r="D17" i="1"/>
  <c r="H16" i="1"/>
  <c r="D7" i="1"/>
  <c r="V270" i="15" l="1"/>
  <c r="AL270" i="15"/>
  <c r="V272" i="15"/>
  <c r="AL272" i="15"/>
  <c r="V274" i="15"/>
  <c r="AL274" i="15"/>
  <c r="V276" i="15"/>
  <c r="AL276" i="15"/>
  <c r="AL278" i="15"/>
  <c r="V280" i="15"/>
  <c r="AL280" i="15"/>
  <c r="V282" i="15"/>
  <c r="AL282" i="15"/>
  <c r="Z284" i="15"/>
  <c r="Z288" i="15"/>
  <c r="Z292" i="15"/>
  <c r="X296" i="15"/>
  <c r="V296" i="15"/>
  <c r="AH296" i="15"/>
  <c r="X298" i="15"/>
  <c r="AH298" i="15"/>
  <c r="N298" i="15"/>
  <c r="AL298" i="15"/>
  <c r="AK307" i="15"/>
  <c r="V307" i="15"/>
  <c r="AH307" i="15"/>
  <c r="AK309" i="15"/>
  <c r="AH309" i="15"/>
  <c r="N309" i="15"/>
  <c r="AL309" i="15"/>
  <c r="AK315" i="15"/>
  <c r="V315" i="15"/>
  <c r="AH315" i="15"/>
  <c r="AK317" i="15"/>
  <c r="AH317" i="15"/>
  <c r="N317" i="15"/>
  <c r="AL317" i="15"/>
  <c r="AK323" i="15"/>
  <c r="V323" i="15"/>
  <c r="AH323" i="15"/>
  <c r="AK346" i="15"/>
  <c r="V346" i="15"/>
  <c r="AH346" i="15"/>
  <c r="N346" i="15"/>
  <c r="Z346" i="15"/>
  <c r="AJ397" i="15"/>
  <c r="T397" i="15"/>
  <c r="AI397" i="15"/>
  <c r="N397" i="15"/>
  <c r="X397" i="15"/>
  <c r="AL412" i="15"/>
  <c r="X412" i="15"/>
  <c r="P412" i="15"/>
  <c r="K412" i="15"/>
  <c r="AI412" i="15"/>
  <c r="T412" i="15"/>
  <c r="N412" i="15"/>
  <c r="S412" i="15"/>
  <c r="AJ412" i="15"/>
  <c r="O412" i="15"/>
  <c r="N270" i="15"/>
  <c r="X270" i="15"/>
  <c r="Z271" i="15"/>
  <c r="N272" i="15"/>
  <c r="X272" i="15"/>
  <c r="Z273" i="15"/>
  <c r="N274" i="15"/>
  <c r="X274" i="15"/>
  <c r="Z275" i="15"/>
  <c r="N276" i="15"/>
  <c r="X276" i="15"/>
  <c r="Z277" i="15"/>
  <c r="N278" i="15"/>
  <c r="X278" i="15"/>
  <c r="Z279" i="15"/>
  <c r="N280" i="15"/>
  <c r="X280" i="15"/>
  <c r="Z281" i="15"/>
  <c r="N282" i="15"/>
  <c r="X282" i="15"/>
  <c r="Z283" i="15"/>
  <c r="N284" i="15"/>
  <c r="AH284" i="15"/>
  <c r="Z287" i="15"/>
  <c r="N288" i="15"/>
  <c r="AH288" i="15"/>
  <c r="Z291" i="15"/>
  <c r="N292" i="15"/>
  <c r="AH292" i="15"/>
  <c r="N296" i="15"/>
  <c r="AL296" i="15"/>
  <c r="R298" i="15"/>
  <c r="AL299" i="15"/>
  <c r="R299" i="15"/>
  <c r="AH299" i="15"/>
  <c r="N307" i="15"/>
  <c r="AL307" i="15"/>
  <c r="R309" i="15"/>
  <c r="AK310" i="15"/>
  <c r="AL310" i="15"/>
  <c r="R310" i="15"/>
  <c r="AH310" i="15"/>
  <c r="N315" i="15"/>
  <c r="AL315" i="15"/>
  <c r="R317" i="15"/>
  <c r="AK318" i="15"/>
  <c r="AL318" i="15"/>
  <c r="R318" i="15"/>
  <c r="AH318" i="15"/>
  <c r="N323" i="15"/>
  <c r="AL323" i="15"/>
  <c r="AK344" i="15"/>
  <c r="AH344" i="15"/>
  <c r="N344" i="15"/>
  <c r="V344" i="15"/>
  <c r="Z344" i="15"/>
  <c r="R346" i="15"/>
  <c r="AK360" i="15"/>
  <c r="AH360" i="15"/>
  <c r="N360" i="15"/>
  <c r="V360" i="15"/>
  <c r="AL360" i="15"/>
  <c r="Z360" i="15"/>
  <c r="AK368" i="15"/>
  <c r="AH368" i="15"/>
  <c r="N368" i="15"/>
  <c r="V368" i="15"/>
  <c r="AL368" i="15"/>
  <c r="Z368" i="15"/>
  <c r="AJ372" i="15"/>
  <c r="X372" i="15"/>
  <c r="M372" i="15"/>
  <c r="AI372" i="15"/>
  <c r="S372" i="15"/>
  <c r="K372" i="15"/>
  <c r="AC372" i="15"/>
  <c r="AE372" i="15" s="1"/>
  <c r="U372" i="15"/>
  <c r="AF372" i="15" s="1"/>
  <c r="AJ380" i="15"/>
  <c r="AI380" i="15"/>
  <c r="S380" i="15"/>
  <c r="K380" i="15"/>
  <c r="X380" i="15"/>
  <c r="M380" i="15"/>
  <c r="AC380" i="15"/>
  <c r="AE380" i="15" s="1"/>
  <c r="U380" i="15"/>
  <c r="AF380" i="15" s="1"/>
  <c r="R397" i="15"/>
  <c r="V412" i="15"/>
  <c r="W435" i="15"/>
  <c r="AD435" i="15" s="1"/>
  <c r="R435" i="15"/>
  <c r="R451" i="15"/>
  <c r="W451" i="15"/>
  <c r="AD451" i="15" s="1"/>
  <c r="W467" i="15"/>
  <c r="AD467" i="15" s="1"/>
  <c r="R467" i="15"/>
  <c r="AK489" i="15"/>
  <c r="Z489" i="15"/>
  <c r="AA489" i="15" s="1"/>
  <c r="AG489" i="15" s="1"/>
  <c r="R489" i="15"/>
  <c r="K489" i="15"/>
  <c r="AI489" i="15"/>
  <c r="S489" i="15"/>
  <c r="AH489" i="15"/>
  <c r="O489" i="15"/>
  <c r="W489" i="15"/>
  <c r="AD489" i="15" s="1"/>
  <c r="N489" i="15"/>
  <c r="V489" i="15"/>
  <c r="P270" i="15"/>
  <c r="Z270" i="15"/>
  <c r="N271" i="15"/>
  <c r="AH271" i="15"/>
  <c r="P272" i="15"/>
  <c r="Z272" i="15"/>
  <c r="N273" i="15"/>
  <c r="AH273" i="15"/>
  <c r="P274" i="15"/>
  <c r="Z274" i="15"/>
  <c r="N275" i="15"/>
  <c r="AH275" i="15"/>
  <c r="P276" i="15"/>
  <c r="Z276" i="15"/>
  <c r="N277" i="15"/>
  <c r="AH277" i="15"/>
  <c r="P278" i="15"/>
  <c r="Z278" i="15"/>
  <c r="N279" i="15"/>
  <c r="AH279" i="15"/>
  <c r="P280" i="15"/>
  <c r="Z280" i="15"/>
  <c r="N281" i="15"/>
  <c r="AH281" i="15"/>
  <c r="P282" i="15"/>
  <c r="Z282" i="15"/>
  <c r="N283" i="15"/>
  <c r="AH283" i="15"/>
  <c r="R284" i="15"/>
  <c r="AL284" i="15"/>
  <c r="Z286" i="15"/>
  <c r="N287" i="15"/>
  <c r="AH287" i="15"/>
  <c r="R288" i="15"/>
  <c r="AL288" i="15"/>
  <c r="Z290" i="15"/>
  <c r="N291" i="15"/>
  <c r="AH291" i="15"/>
  <c r="R292" i="15"/>
  <c r="AL292" i="15"/>
  <c r="X294" i="15"/>
  <c r="AH294" i="15"/>
  <c r="N294" i="15"/>
  <c r="AL294" i="15"/>
  <c r="R296" i="15"/>
  <c r="V298" i="15"/>
  <c r="N299" i="15"/>
  <c r="X300" i="15"/>
  <c r="V300" i="15"/>
  <c r="AH300" i="15"/>
  <c r="X302" i="15"/>
  <c r="AH302" i="15"/>
  <c r="N302" i="15"/>
  <c r="AL302" i="15"/>
  <c r="AK305" i="15"/>
  <c r="AH305" i="15"/>
  <c r="N305" i="15"/>
  <c r="AL305" i="15"/>
  <c r="R307" i="15"/>
  <c r="V309" i="15"/>
  <c r="N310" i="15"/>
  <c r="AK311" i="15"/>
  <c r="V311" i="15"/>
  <c r="AH311" i="15"/>
  <c r="AK313" i="15"/>
  <c r="AH313" i="15"/>
  <c r="N313" i="15"/>
  <c r="AL313" i="15"/>
  <c r="R315" i="15"/>
  <c r="V317" i="15"/>
  <c r="N318" i="15"/>
  <c r="AK319" i="15"/>
  <c r="V319" i="15"/>
  <c r="AH319" i="15"/>
  <c r="AK321" i="15"/>
  <c r="AH321" i="15"/>
  <c r="N321" i="15"/>
  <c r="AL321" i="15"/>
  <c r="R323" i="15"/>
  <c r="AK338" i="15"/>
  <c r="V338" i="15"/>
  <c r="AH338" i="15"/>
  <c r="N338" i="15"/>
  <c r="Z338" i="15"/>
  <c r="R344" i="15"/>
  <c r="AL346" i="15"/>
  <c r="AK354" i="15"/>
  <c r="V354" i="15"/>
  <c r="AH354" i="15"/>
  <c r="N354" i="15"/>
  <c r="Z354" i="15"/>
  <c r="R360" i="15"/>
  <c r="R368" i="15"/>
  <c r="P372" i="15"/>
  <c r="P380" i="15"/>
  <c r="AL395" i="15"/>
  <c r="V395" i="15"/>
  <c r="AB395" i="15" s="1"/>
  <c r="K395" i="15"/>
  <c r="AJ395" i="15"/>
  <c r="O395" i="15"/>
  <c r="Z395" i="15"/>
  <c r="AJ409" i="15"/>
  <c r="AI409" i="15"/>
  <c r="N409" i="15"/>
  <c r="T409" i="15"/>
  <c r="X409" i="15"/>
  <c r="R409" i="15"/>
  <c r="Z412" i="15"/>
  <c r="AA412" i="15" s="1"/>
  <c r="AG412" i="15" s="1"/>
  <c r="AL445" i="15"/>
  <c r="X445" i="15"/>
  <c r="P445" i="15"/>
  <c r="K445" i="15"/>
  <c r="AI445" i="15"/>
  <c r="T445" i="15"/>
  <c r="N445" i="15"/>
  <c r="AJ445" i="15"/>
  <c r="O445" i="15"/>
  <c r="V445" i="15"/>
  <c r="Z445" i="15"/>
  <c r="AA445" i="15" s="1"/>
  <c r="AG445" i="15" s="1"/>
  <c r="AJ452" i="15"/>
  <c r="T452" i="15"/>
  <c r="K452" i="15"/>
  <c r="Z452" i="15"/>
  <c r="AA452" i="15" s="1"/>
  <c r="AG452" i="15" s="1"/>
  <c r="O452" i="15"/>
  <c r="P452" i="15"/>
  <c r="AL452" i="15"/>
  <c r="V452" i="15"/>
  <c r="AL461" i="15"/>
  <c r="X461" i="15"/>
  <c r="P461" i="15"/>
  <c r="K461" i="15"/>
  <c r="AI461" i="15"/>
  <c r="T461" i="15"/>
  <c r="N461" i="15"/>
  <c r="AJ461" i="15"/>
  <c r="O461" i="15"/>
  <c r="V461" i="15"/>
  <c r="Z461" i="15"/>
  <c r="AA461" i="15" s="1"/>
  <c r="AG461" i="15" s="1"/>
  <c r="AL489" i="15"/>
  <c r="AK494" i="15"/>
  <c r="AI494" i="15"/>
  <c r="Z494" i="15"/>
  <c r="R494" i="15"/>
  <c r="K494" i="15"/>
  <c r="S494" i="15"/>
  <c r="AA494" i="15"/>
  <c r="AG494" i="15" s="1"/>
  <c r="O494" i="15"/>
  <c r="AL494" i="15"/>
  <c r="W494" i="15"/>
  <c r="AD494" i="15" s="1"/>
  <c r="N494" i="15"/>
  <c r="V494" i="15"/>
  <c r="AH494" i="15"/>
  <c r="AC8" i="15"/>
  <c r="AE8" i="15" s="1"/>
  <c r="R270" i="15"/>
  <c r="R271" i="15"/>
  <c r="R272" i="15"/>
  <c r="R273" i="15"/>
  <c r="R274" i="15"/>
  <c r="R275" i="15"/>
  <c r="R276" i="15"/>
  <c r="R277" i="15"/>
  <c r="R278" i="15"/>
  <c r="R279" i="15"/>
  <c r="R280" i="15"/>
  <c r="R281" i="15"/>
  <c r="R282" i="15"/>
  <c r="R283" i="15"/>
  <c r="V284" i="15"/>
  <c r="N286" i="15"/>
  <c r="AH286" i="15"/>
  <c r="R287" i="15"/>
  <c r="V288" i="15"/>
  <c r="N290" i="15"/>
  <c r="AH290" i="15"/>
  <c r="R291" i="15"/>
  <c r="V292" i="15"/>
  <c r="R294" i="15"/>
  <c r="AL295" i="15"/>
  <c r="R295" i="15"/>
  <c r="AH295" i="15"/>
  <c r="Z296" i="15"/>
  <c r="Z298" i="15"/>
  <c r="V299" i="15"/>
  <c r="N300" i="15"/>
  <c r="AL300" i="15"/>
  <c r="R302" i="15"/>
  <c r="AL303" i="15"/>
  <c r="R305" i="15"/>
  <c r="AK306" i="15"/>
  <c r="AL306" i="15"/>
  <c r="R306" i="15"/>
  <c r="AH306" i="15"/>
  <c r="Z307" i="15"/>
  <c r="Z309" i="15"/>
  <c r="V310" i="15"/>
  <c r="N311" i="15"/>
  <c r="AL311" i="15"/>
  <c r="R313" i="15"/>
  <c r="AK314" i="15"/>
  <c r="AL314" i="15"/>
  <c r="R314" i="15"/>
  <c r="AH314" i="15"/>
  <c r="Z315" i="15"/>
  <c r="Z317" i="15"/>
  <c r="V318" i="15"/>
  <c r="N319" i="15"/>
  <c r="AL319" i="15"/>
  <c r="R321" i="15"/>
  <c r="AK322" i="15"/>
  <c r="AL322" i="15"/>
  <c r="R322" i="15"/>
  <c r="AH322" i="15"/>
  <c r="Z323" i="15"/>
  <c r="AK336" i="15"/>
  <c r="AH336" i="15"/>
  <c r="N336" i="15"/>
  <c r="V336" i="15"/>
  <c r="Z336" i="15"/>
  <c r="R338" i="15"/>
  <c r="AL344" i="15"/>
  <c r="AK352" i="15"/>
  <c r="AH352" i="15"/>
  <c r="N352" i="15"/>
  <c r="V352" i="15"/>
  <c r="Z352" i="15"/>
  <c r="R354" i="15"/>
  <c r="AK362" i="15"/>
  <c r="V362" i="15"/>
  <c r="AH362" i="15"/>
  <c r="N362" i="15"/>
  <c r="AL362" i="15"/>
  <c r="Z362" i="15"/>
  <c r="AI370" i="15"/>
  <c r="S370" i="15"/>
  <c r="K370" i="15"/>
  <c r="X370" i="15"/>
  <c r="M370" i="15"/>
  <c r="AC370" i="15"/>
  <c r="AE370" i="15" s="1"/>
  <c r="U370" i="15"/>
  <c r="AF370" i="15" s="1"/>
  <c r="AK372" i="15"/>
  <c r="AK375" i="15"/>
  <c r="O375" i="15"/>
  <c r="AJ375" i="15"/>
  <c r="AK380" i="15"/>
  <c r="AJ389" i="15"/>
  <c r="T389" i="15"/>
  <c r="AI389" i="15"/>
  <c r="N389" i="15"/>
  <c r="X389" i="15"/>
  <c r="AL391" i="15"/>
  <c r="AJ391" i="15"/>
  <c r="O391" i="15"/>
  <c r="V391" i="15"/>
  <c r="AB391" i="15" s="1"/>
  <c r="K391" i="15"/>
  <c r="Z391" i="15"/>
  <c r="R391" i="15"/>
  <c r="AJ393" i="15"/>
  <c r="AI393" i="15"/>
  <c r="N393" i="15"/>
  <c r="T393" i="15"/>
  <c r="X393" i="15"/>
  <c r="R395" i="15"/>
  <c r="AL399" i="15"/>
  <c r="AJ399" i="15"/>
  <c r="O399" i="15"/>
  <c r="V399" i="15"/>
  <c r="AB399" i="15" s="1"/>
  <c r="K399" i="15"/>
  <c r="Z399" i="15"/>
  <c r="AL416" i="15"/>
  <c r="X416" i="15"/>
  <c r="P416" i="15"/>
  <c r="K416" i="15"/>
  <c r="AI416" i="15"/>
  <c r="T416" i="15"/>
  <c r="N416" i="15"/>
  <c r="S416" i="15"/>
  <c r="AJ416" i="15"/>
  <c r="O416" i="15"/>
  <c r="S422" i="15"/>
  <c r="R422" i="15"/>
  <c r="AL425" i="15"/>
  <c r="AI425" i="15"/>
  <c r="S425" i="15"/>
  <c r="Z425" i="15"/>
  <c r="N425" i="15"/>
  <c r="T425" i="15"/>
  <c r="AJ425" i="15"/>
  <c r="X425" i="15"/>
  <c r="W439" i="15"/>
  <c r="AD439" i="15" s="1"/>
  <c r="R439" i="15"/>
  <c r="S445" i="15"/>
  <c r="S461" i="15"/>
  <c r="Z304" i="15"/>
  <c r="Z308" i="15"/>
  <c r="Z312" i="15"/>
  <c r="Z316" i="15"/>
  <c r="Z320" i="15"/>
  <c r="Z324" i="15"/>
  <c r="AK326" i="15"/>
  <c r="V326" i="15"/>
  <c r="AH326" i="15"/>
  <c r="N326" i="15"/>
  <c r="AK328" i="15"/>
  <c r="AH328" i="15"/>
  <c r="N328" i="15"/>
  <c r="V328" i="15"/>
  <c r="AK330" i="15"/>
  <c r="V330" i="15"/>
  <c r="AH330" i="15"/>
  <c r="N330" i="15"/>
  <c r="AK332" i="15"/>
  <c r="AH332" i="15"/>
  <c r="N332" i="15"/>
  <c r="V332" i="15"/>
  <c r="AK334" i="15"/>
  <c r="V334" i="15"/>
  <c r="AH334" i="15"/>
  <c r="N334" i="15"/>
  <c r="AK340" i="15"/>
  <c r="AH340" i="15"/>
  <c r="N340" i="15"/>
  <c r="V340" i="15"/>
  <c r="AK342" i="15"/>
  <c r="V342" i="15"/>
  <c r="AH342" i="15"/>
  <c r="N342" i="15"/>
  <c r="AK348" i="15"/>
  <c r="AH348" i="15"/>
  <c r="N348" i="15"/>
  <c r="V348" i="15"/>
  <c r="AK350" i="15"/>
  <c r="V350" i="15"/>
  <c r="AH350" i="15"/>
  <c r="N350" i="15"/>
  <c r="AK356" i="15"/>
  <c r="AH356" i="15"/>
  <c r="N356" i="15"/>
  <c r="V356" i="15"/>
  <c r="AK358" i="15"/>
  <c r="V358" i="15"/>
  <c r="AH358" i="15"/>
  <c r="N358" i="15"/>
  <c r="AK364" i="15"/>
  <c r="AH364" i="15"/>
  <c r="N364" i="15"/>
  <c r="V364" i="15"/>
  <c r="AK366" i="15"/>
  <c r="V366" i="15"/>
  <c r="AH366" i="15"/>
  <c r="N366" i="15"/>
  <c r="AK383" i="15"/>
  <c r="AJ383" i="15"/>
  <c r="O383" i="15"/>
  <c r="AJ385" i="15"/>
  <c r="AI385" i="15"/>
  <c r="N385" i="15"/>
  <c r="T385" i="15"/>
  <c r="AL387" i="15"/>
  <c r="V387" i="15"/>
  <c r="AB387" i="15" s="1"/>
  <c r="K387" i="15"/>
  <c r="AJ387" i="15"/>
  <c r="O387" i="15"/>
  <c r="AJ405" i="15"/>
  <c r="T405" i="15"/>
  <c r="AI405" i="15"/>
  <c r="N405" i="15"/>
  <c r="AL407" i="15"/>
  <c r="AJ407" i="15"/>
  <c r="O407" i="15"/>
  <c r="V407" i="15"/>
  <c r="AB407" i="15" s="1"/>
  <c r="K407" i="15"/>
  <c r="AL429" i="15"/>
  <c r="AI429" i="15"/>
  <c r="S429" i="15"/>
  <c r="T429" i="15"/>
  <c r="Z429" i="15"/>
  <c r="N429" i="15"/>
  <c r="X378" i="15"/>
  <c r="M378" i="15"/>
  <c r="AI378" i="15"/>
  <c r="S378" i="15"/>
  <c r="K378" i="15"/>
  <c r="AK378" i="15"/>
  <c r="AJ401" i="15"/>
  <c r="AI401" i="15"/>
  <c r="N401" i="15"/>
  <c r="T401" i="15"/>
  <c r="AL403" i="15"/>
  <c r="V403" i="15"/>
  <c r="AB403" i="15" s="1"/>
  <c r="K403" i="15"/>
  <c r="AJ403" i="15"/>
  <c r="O403" i="15"/>
  <c r="AL413" i="15"/>
  <c r="AI413" i="15"/>
  <c r="S413" i="15"/>
  <c r="X413" i="15"/>
  <c r="N413" i="15"/>
  <c r="AJ413" i="15"/>
  <c r="AL446" i="15"/>
  <c r="X446" i="15"/>
  <c r="N446" i="15"/>
  <c r="S446" i="15"/>
  <c r="AL462" i="15"/>
  <c r="X462" i="15"/>
  <c r="N462" i="15"/>
  <c r="S462" i="15"/>
  <c r="AK500" i="15"/>
  <c r="Z500" i="15"/>
  <c r="AA500" i="15" s="1"/>
  <c r="AG500" i="15" s="1"/>
  <c r="R500" i="15"/>
  <c r="K500" i="15"/>
  <c r="AI500" i="15"/>
  <c r="S500" i="15"/>
  <c r="AH500" i="15"/>
  <c r="O500" i="15"/>
  <c r="W500" i="15"/>
  <c r="AD500" i="15" s="1"/>
  <c r="N500" i="15"/>
  <c r="V500" i="15"/>
  <c r="Z325" i="15"/>
  <c r="R327" i="15"/>
  <c r="AL327" i="15"/>
  <c r="Z329" i="15"/>
  <c r="R331" i="15"/>
  <c r="AL331" i="15"/>
  <c r="Z333" i="15"/>
  <c r="Z337" i="15"/>
  <c r="Z341" i="15"/>
  <c r="Z345" i="15"/>
  <c r="Z349" i="15"/>
  <c r="Z353" i="15"/>
  <c r="Z357" i="15"/>
  <c r="Z361" i="15"/>
  <c r="Z365" i="15"/>
  <c r="Z369" i="15"/>
  <c r="U374" i="15"/>
  <c r="AF374" i="15" s="1"/>
  <c r="AK374" i="15"/>
  <c r="U384" i="15"/>
  <c r="AF384" i="15" s="1"/>
  <c r="AL384" i="15"/>
  <c r="X386" i="15"/>
  <c r="S392" i="15"/>
  <c r="Z392" i="15"/>
  <c r="AA392" i="15" s="1"/>
  <c r="AG392" i="15" s="1"/>
  <c r="AL392" i="15"/>
  <c r="X394" i="15"/>
  <c r="V396" i="15"/>
  <c r="AI396" i="15"/>
  <c r="R398" i="15"/>
  <c r="S400" i="15"/>
  <c r="Z400" i="15"/>
  <c r="AA400" i="15" s="1"/>
  <c r="AG400" i="15" s="1"/>
  <c r="AL400" i="15"/>
  <c r="X402" i="15"/>
  <c r="O404" i="15"/>
  <c r="V404" i="15"/>
  <c r="AI404" i="15"/>
  <c r="R406" i="15"/>
  <c r="S408" i="15"/>
  <c r="Z408" i="15"/>
  <c r="AA408" i="15" s="1"/>
  <c r="AG408" i="15" s="1"/>
  <c r="AL408" i="15"/>
  <c r="AH410" i="15"/>
  <c r="AB419" i="15"/>
  <c r="P419" i="15"/>
  <c r="AL424" i="15"/>
  <c r="X424" i="15"/>
  <c r="P424" i="15"/>
  <c r="K424" i="15"/>
  <c r="T424" i="15"/>
  <c r="AJ424" i="15"/>
  <c r="S426" i="15"/>
  <c r="AI426" i="15"/>
  <c r="AI432" i="15"/>
  <c r="V432" i="15"/>
  <c r="O432" i="15"/>
  <c r="T432" i="15"/>
  <c r="AJ432" i="15"/>
  <c r="S433" i="15"/>
  <c r="Z444" i="15"/>
  <c r="AA444" i="15" s="1"/>
  <c r="AG444" i="15" s="1"/>
  <c r="O444" i="15"/>
  <c r="AJ444" i="15"/>
  <c r="T444" i="15"/>
  <c r="K444" i="15"/>
  <c r="AL444" i="15"/>
  <c r="AI453" i="15"/>
  <c r="T453" i="15"/>
  <c r="N453" i="15"/>
  <c r="AL453" i="15"/>
  <c r="X453" i="15"/>
  <c r="P453" i="15"/>
  <c r="K453" i="15"/>
  <c r="Z453" i="15"/>
  <c r="AA453" i="15" s="1"/>
  <c r="AG453" i="15" s="1"/>
  <c r="Z460" i="15"/>
  <c r="AA460" i="15" s="1"/>
  <c r="AG460" i="15" s="1"/>
  <c r="O460" i="15"/>
  <c r="AJ460" i="15"/>
  <c r="T460" i="15"/>
  <c r="K460" i="15"/>
  <c r="AL460" i="15"/>
  <c r="AK491" i="15"/>
  <c r="V491" i="15"/>
  <c r="N491" i="15"/>
  <c r="AH491" i="15"/>
  <c r="S491" i="15"/>
  <c r="K491" i="15"/>
  <c r="R491" i="15"/>
  <c r="AL491" i="15"/>
  <c r="Z491" i="15"/>
  <c r="AA491" i="15" s="1"/>
  <c r="AG491" i="15" s="1"/>
  <c r="O491" i="15"/>
  <c r="AL325" i="15"/>
  <c r="Z327" i="15"/>
  <c r="R329" i="15"/>
  <c r="AL329" i="15"/>
  <c r="Z331" i="15"/>
  <c r="R333" i="15"/>
  <c r="AL333" i="15"/>
  <c r="Z335" i="15"/>
  <c r="R337" i="15"/>
  <c r="AL337" i="15"/>
  <c r="Z339" i="15"/>
  <c r="R341" i="15"/>
  <c r="AL341" i="15"/>
  <c r="Z343" i="15"/>
  <c r="R345" i="15"/>
  <c r="AL345" i="15"/>
  <c r="Z347" i="15"/>
  <c r="R349" i="15"/>
  <c r="AL349" i="15"/>
  <c r="Z351" i="15"/>
  <c r="R353" i="15"/>
  <c r="AL353" i="15"/>
  <c r="Z355" i="15"/>
  <c r="R357" i="15"/>
  <c r="AL357" i="15"/>
  <c r="Z359" i="15"/>
  <c r="R361" i="15"/>
  <c r="AL361" i="15"/>
  <c r="Z363" i="15"/>
  <c r="R365" i="15"/>
  <c r="AL365" i="15"/>
  <c r="Z367" i="15"/>
  <c r="R369" i="15"/>
  <c r="T371" i="15"/>
  <c r="P374" i="15"/>
  <c r="U376" i="15"/>
  <c r="AF376" i="15" s="1"/>
  <c r="AK376" i="15"/>
  <c r="U382" i="15"/>
  <c r="AF382" i="15" s="1"/>
  <c r="P384" i="15"/>
  <c r="AC384" i="15"/>
  <c r="AE384" i="15" s="1"/>
  <c r="R386" i="15"/>
  <c r="S388" i="15"/>
  <c r="Z388" i="15"/>
  <c r="AA388" i="15" s="1"/>
  <c r="AG388" i="15" s="1"/>
  <c r="X390" i="15"/>
  <c r="O392" i="15"/>
  <c r="V392" i="15"/>
  <c r="R394" i="15"/>
  <c r="S396" i="15"/>
  <c r="Z396" i="15"/>
  <c r="AA396" i="15" s="1"/>
  <c r="AG396" i="15" s="1"/>
  <c r="X398" i="15"/>
  <c r="O400" i="15"/>
  <c r="V400" i="15"/>
  <c r="R402" i="15"/>
  <c r="S404" i="15"/>
  <c r="Z404" i="15"/>
  <c r="AA404" i="15" s="1"/>
  <c r="AG404" i="15" s="1"/>
  <c r="X406" i="15"/>
  <c r="O408" i="15"/>
  <c r="V408" i="15"/>
  <c r="AB411" i="15"/>
  <c r="AB415" i="15"/>
  <c r="AL419" i="15"/>
  <c r="Z424" i="15"/>
  <c r="AA424" i="15" s="1"/>
  <c r="AG424" i="15" s="1"/>
  <c r="AL430" i="15"/>
  <c r="S430" i="15"/>
  <c r="W431" i="15"/>
  <c r="AD431" i="15" s="1"/>
  <c r="R431" i="15"/>
  <c r="P432" i="15"/>
  <c r="Z432" i="15"/>
  <c r="AA432" i="15" s="1"/>
  <c r="AG432" i="15" s="1"/>
  <c r="AL433" i="15"/>
  <c r="X433" i="15"/>
  <c r="N433" i="15"/>
  <c r="Z433" i="15"/>
  <c r="AL437" i="15"/>
  <c r="AI437" i="15"/>
  <c r="S437" i="15"/>
  <c r="X437" i="15"/>
  <c r="Z437" i="15"/>
  <c r="V444" i="15"/>
  <c r="S453" i="15"/>
  <c r="AL454" i="15"/>
  <c r="N454" i="15"/>
  <c r="X454" i="15"/>
  <c r="V460" i="15"/>
  <c r="AJ468" i="15"/>
  <c r="T468" i="15"/>
  <c r="K468" i="15"/>
  <c r="P468" i="15"/>
  <c r="Z468" i="15"/>
  <c r="AA468" i="15" s="1"/>
  <c r="AG468" i="15" s="1"/>
  <c r="O468" i="15"/>
  <c r="AA472" i="15"/>
  <c r="AG472" i="15" s="1"/>
  <c r="P472" i="15"/>
  <c r="V472" i="15"/>
  <c r="K472" i="15"/>
  <c r="AL472" i="15"/>
  <c r="T472" i="15"/>
  <c r="AJ472" i="15"/>
  <c r="O472" i="15"/>
  <c r="AK484" i="15"/>
  <c r="Z484" i="15"/>
  <c r="AA484" i="15" s="1"/>
  <c r="AG484" i="15" s="1"/>
  <c r="R484" i="15"/>
  <c r="K484" i="15"/>
  <c r="AI484" i="15"/>
  <c r="S484" i="15"/>
  <c r="AH484" i="15"/>
  <c r="O484" i="15"/>
  <c r="W484" i="15"/>
  <c r="AD484" i="15" s="1"/>
  <c r="N484" i="15"/>
  <c r="AI438" i="15"/>
  <c r="S440" i="15"/>
  <c r="AA440" i="15"/>
  <c r="AG440" i="15" s="1"/>
  <c r="S441" i="15"/>
  <c r="Z441" i="15"/>
  <c r="AA441" i="15" s="1"/>
  <c r="AG441" i="15" s="1"/>
  <c r="AI442" i="15"/>
  <c r="V448" i="15"/>
  <c r="AL448" i="15"/>
  <c r="S457" i="15"/>
  <c r="Z457" i="15"/>
  <c r="AA457" i="15" s="1"/>
  <c r="AG457" i="15" s="1"/>
  <c r="AI458" i="15"/>
  <c r="V464" i="15"/>
  <c r="AL464" i="15"/>
  <c r="K469" i="15"/>
  <c r="P469" i="15"/>
  <c r="X469" i="15"/>
  <c r="AL470" i="15"/>
  <c r="X470" i="15"/>
  <c r="AJ476" i="15"/>
  <c r="T476" i="15"/>
  <c r="K476" i="15"/>
  <c r="Z476" i="15"/>
  <c r="AA476" i="15" s="1"/>
  <c r="AG476" i="15" s="1"/>
  <c r="AI477" i="15"/>
  <c r="T477" i="15"/>
  <c r="N477" i="15"/>
  <c r="V477" i="15"/>
  <c r="AL477" i="15"/>
  <c r="K481" i="15"/>
  <c r="S481" i="15"/>
  <c r="AK485" i="15"/>
  <c r="Z485" i="15"/>
  <c r="AA485" i="15" s="1"/>
  <c r="AG485" i="15" s="1"/>
  <c r="R485" i="15"/>
  <c r="K485" i="15"/>
  <c r="V485" i="15"/>
  <c r="AL485" i="15"/>
  <c r="AK487" i="15"/>
  <c r="V487" i="15"/>
  <c r="N487" i="15"/>
  <c r="W487" i="15"/>
  <c r="AD487" i="15" s="1"/>
  <c r="AI487" i="15"/>
  <c r="AK490" i="15"/>
  <c r="AI490" i="15"/>
  <c r="Z490" i="15"/>
  <c r="R490" i="15"/>
  <c r="K490" i="15"/>
  <c r="V490" i="15"/>
  <c r="AH490" i="15"/>
  <c r="S492" i="15"/>
  <c r="AK496" i="15"/>
  <c r="Z496" i="15"/>
  <c r="AA496" i="15" s="1"/>
  <c r="AG496" i="15" s="1"/>
  <c r="R496" i="15"/>
  <c r="K496" i="15"/>
  <c r="V496" i="15"/>
  <c r="AL496" i="15"/>
  <c r="S497" i="15"/>
  <c r="K499" i="15"/>
  <c r="S499" i="15"/>
  <c r="S469" i="15"/>
  <c r="Z469" i="15"/>
  <c r="AA469" i="15" s="1"/>
  <c r="AG469" i="15" s="1"/>
  <c r="AL478" i="15"/>
  <c r="N478" i="15"/>
  <c r="AJ481" i="15"/>
  <c r="V481" i="15"/>
  <c r="O481" i="15"/>
  <c r="T481" i="15"/>
  <c r="AL481" i="15"/>
  <c r="AK486" i="15"/>
  <c r="AI486" i="15"/>
  <c r="Z486" i="15"/>
  <c r="AA486" i="15" s="1"/>
  <c r="AG486" i="15" s="1"/>
  <c r="R486" i="15"/>
  <c r="K486" i="15"/>
  <c r="V486" i="15"/>
  <c r="AH486" i="15"/>
  <c r="AK492" i="15"/>
  <c r="Z492" i="15"/>
  <c r="AA492" i="15" s="1"/>
  <c r="AG492" i="15" s="1"/>
  <c r="R492" i="15"/>
  <c r="K492" i="15"/>
  <c r="V492" i="15"/>
  <c r="AL492" i="15"/>
  <c r="AK497" i="15"/>
  <c r="Z497" i="15"/>
  <c r="AA497" i="15" s="1"/>
  <c r="AG497" i="15" s="1"/>
  <c r="R497" i="15"/>
  <c r="K497" i="15"/>
  <c r="V497" i="15"/>
  <c r="AL497" i="15"/>
  <c r="AK499" i="15"/>
  <c r="V499" i="15"/>
  <c r="N499" i="15"/>
  <c r="W499" i="15"/>
  <c r="AD499" i="15" s="1"/>
  <c r="AI499" i="15"/>
  <c r="T417" i="15"/>
  <c r="AJ417" i="15"/>
  <c r="S420" i="15"/>
  <c r="T421" i="15"/>
  <c r="AJ421" i="15"/>
  <c r="AB423" i="15"/>
  <c r="S428" i="15"/>
  <c r="Z428" i="15"/>
  <c r="AA428" i="15" s="1"/>
  <c r="AG428" i="15" s="1"/>
  <c r="AI434" i="15"/>
  <c r="S436" i="15"/>
  <c r="Z436" i="15"/>
  <c r="AA436" i="15" s="1"/>
  <c r="AG436" i="15" s="1"/>
  <c r="S438" i="15"/>
  <c r="O440" i="15"/>
  <c r="V440" i="15"/>
  <c r="O441" i="15"/>
  <c r="V441" i="15"/>
  <c r="S442" i="15"/>
  <c r="P448" i="15"/>
  <c r="S449" i="15"/>
  <c r="AI450" i="15"/>
  <c r="V456" i="15"/>
  <c r="O457" i="15"/>
  <c r="V457" i="15"/>
  <c r="S458" i="15"/>
  <c r="P464" i="15"/>
  <c r="S465" i="15"/>
  <c r="AI466" i="15"/>
  <c r="N469" i="15"/>
  <c r="T469" i="15"/>
  <c r="AI469" i="15"/>
  <c r="S470" i="15"/>
  <c r="P476" i="15"/>
  <c r="AL476" i="15"/>
  <c r="P477" i="15"/>
  <c r="Z477" i="15"/>
  <c r="AA477" i="15" s="1"/>
  <c r="AG477" i="15" s="1"/>
  <c r="S478" i="15"/>
  <c r="N481" i="15"/>
  <c r="X481" i="15"/>
  <c r="AL482" i="15"/>
  <c r="S482" i="15"/>
  <c r="O485" i="15"/>
  <c r="AH485" i="15"/>
  <c r="N486" i="15"/>
  <c r="W486" i="15"/>
  <c r="AD486" i="15" s="1"/>
  <c r="AL486" i="15"/>
  <c r="R487" i="15"/>
  <c r="AA487" i="15"/>
  <c r="AG487" i="15" s="1"/>
  <c r="AK488" i="15"/>
  <c r="Z488" i="15"/>
  <c r="AA488" i="15" s="1"/>
  <c r="AG488" i="15" s="1"/>
  <c r="R488" i="15"/>
  <c r="K488" i="15"/>
  <c r="V488" i="15"/>
  <c r="AL488" i="15"/>
  <c r="O490" i="15"/>
  <c r="AA490" i="15"/>
  <c r="AG490" i="15" s="1"/>
  <c r="N492" i="15"/>
  <c r="W492" i="15"/>
  <c r="AD492" i="15" s="1"/>
  <c r="AK493" i="15"/>
  <c r="Z493" i="15"/>
  <c r="AA493" i="15" s="1"/>
  <c r="AG493" i="15" s="1"/>
  <c r="R493" i="15"/>
  <c r="K493" i="15"/>
  <c r="V493" i="15"/>
  <c r="AL493" i="15"/>
  <c r="AK495" i="15"/>
  <c r="V495" i="15"/>
  <c r="N495" i="15"/>
  <c r="W495" i="15"/>
  <c r="AD495" i="15" s="1"/>
  <c r="AI495" i="15"/>
  <c r="O496" i="15"/>
  <c r="AH496" i="15"/>
  <c r="N497" i="15"/>
  <c r="W497" i="15"/>
  <c r="AD497" i="15" s="1"/>
  <c r="AK498" i="15"/>
  <c r="AI498" i="15"/>
  <c r="Z498" i="15"/>
  <c r="AA498" i="15" s="1"/>
  <c r="AG498" i="15" s="1"/>
  <c r="R498" i="15"/>
  <c r="K498" i="15"/>
  <c r="V498" i="15"/>
  <c r="AH498" i="15"/>
  <c r="O499" i="15"/>
  <c r="Z499" i="15"/>
  <c r="AA499" i="15" s="1"/>
  <c r="AG499" i="15" s="1"/>
  <c r="AL499" i="15"/>
  <c r="S473" i="15"/>
  <c r="AI474" i="15"/>
  <c r="V480" i="15"/>
  <c r="AC262" i="14"/>
  <c r="AE262" i="14" s="1"/>
  <c r="AC247" i="14"/>
  <c r="AE247" i="14" s="1"/>
  <c r="AC244" i="14"/>
  <c r="AE244" i="14" s="1"/>
  <c r="AC240" i="14"/>
  <c r="AE240" i="14" s="1"/>
  <c r="AC236" i="14"/>
  <c r="AE236" i="14" s="1"/>
  <c r="AC232" i="14"/>
  <c r="AE232" i="14" s="1"/>
  <c r="AC228" i="14"/>
  <c r="AE228" i="14" s="1"/>
  <c r="AC224" i="14"/>
  <c r="AE224" i="14" s="1"/>
  <c r="AC220" i="14"/>
  <c r="AE220" i="14" s="1"/>
  <c r="AC216" i="14"/>
  <c r="AE216" i="14" s="1"/>
  <c r="AC212" i="14"/>
  <c r="AE212" i="14" s="1"/>
  <c r="AC208" i="14"/>
  <c r="AE208" i="14" s="1"/>
  <c r="AC204" i="14"/>
  <c r="AE204" i="14" s="1"/>
  <c r="AC200" i="14"/>
  <c r="AE200" i="14" s="1"/>
  <c r="AC196" i="14"/>
  <c r="AE196" i="14" s="1"/>
  <c r="AC192" i="14"/>
  <c r="AE192" i="14" s="1"/>
  <c r="AC188" i="14"/>
  <c r="AE188" i="14" s="1"/>
  <c r="AC184" i="14"/>
  <c r="AE184" i="14" s="1"/>
  <c r="AC180" i="14"/>
  <c r="AE180" i="14" s="1"/>
  <c r="AC176" i="14"/>
  <c r="AE176" i="14" s="1"/>
  <c r="AC172" i="14"/>
  <c r="AE172" i="14" s="1"/>
  <c r="AC168" i="14"/>
  <c r="AE168" i="14" s="1"/>
  <c r="AC164" i="14"/>
  <c r="AE164" i="14" s="1"/>
  <c r="AC160" i="14"/>
  <c r="AE160" i="14" s="1"/>
  <c r="AC156" i="14"/>
  <c r="AE156" i="14" s="1"/>
  <c r="AC152" i="14"/>
  <c r="AE152" i="14" s="1"/>
  <c r="AC148" i="14"/>
  <c r="AE148" i="14" s="1"/>
  <c r="AC144" i="14"/>
  <c r="AE144" i="14" s="1"/>
  <c r="AC140" i="14"/>
  <c r="AE140" i="14" s="1"/>
  <c r="AC136" i="14"/>
  <c r="AE136" i="14" s="1"/>
  <c r="AC132" i="14"/>
  <c r="AE132" i="14" s="1"/>
  <c r="AC128" i="14"/>
  <c r="AE128" i="14" s="1"/>
  <c r="AC124" i="14"/>
  <c r="AE124" i="14" s="1"/>
  <c r="AC120" i="14"/>
  <c r="AE120" i="14" s="1"/>
  <c r="AC116" i="14"/>
  <c r="AE116" i="14" s="1"/>
  <c r="AC112" i="14"/>
  <c r="AE112" i="14" s="1"/>
  <c r="AC108" i="14"/>
  <c r="AE108" i="14" s="1"/>
  <c r="AC104" i="14"/>
  <c r="AE104" i="14" s="1"/>
  <c r="AC100" i="14"/>
  <c r="AE100" i="14" s="1"/>
  <c r="AC96" i="14"/>
  <c r="AE96" i="14" s="1"/>
  <c r="AC92" i="14"/>
  <c r="AE92" i="14" s="1"/>
  <c r="AC88" i="14"/>
  <c r="AE88" i="14" s="1"/>
  <c r="AC81" i="14"/>
  <c r="AE81" i="14" s="1"/>
  <c r="AC80" i="14"/>
  <c r="AE80" i="14" s="1"/>
  <c r="AC245" i="14"/>
  <c r="AE245" i="14" s="1"/>
  <c r="AC241" i="14"/>
  <c r="AE241" i="14" s="1"/>
  <c r="AC237" i="14"/>
  <c r="AE237" i="14" s="1"/>
  <c r="AC233" i="14"/>
  <c r="AE233" i="14" s="1"/>
  <c r="AC229" i="14"/>
  <c r="AE229" i="14" s="1"/>
  <c r="AC225" i="14"/>
  <c r="AE225" i="14" s="1"/>
  <c r="AC221" i="14"/>
  <c r="AE221" i="14" s="1"/>
  <c r="AC217" i="14"/>
  <c r="AE217" i="14" s="1"/>
  <c r="AC213" i="14"/>
  <c r="AE213" i="14" s="1"/>
  <c r="AC209" i="14"/>
  <c r="AE209" i="14" s="1"/>
  <c r="AC205" i="14"/>
  <c r="AE205" i="14" s="1"/>
  <c r="AC201" i="14"/>
  <c r="AE201" i="14" s="1"/>
  <c r="AC197" i="14"/>
  <c r="AE197" i="14" s="1"/>
  <c r="AC193" i="14"/>
  <c r="AE193" i="14" s="1"/>
  <c r="AC189" i="14"/>
  <c r="AE189" i="14" s="1"/>
  <c r="AC185" i="14"/>
  <c r="AE185" i="14" s="1"/>
  <c r="AC181" i="14"/>
  <c r="AE181" i="14" s="1"/>
  <c r="AC177" i="14"/>
  <c r="AE177" i="14" s="1"/>
  <c r="AC173" i="14"/>
  <c r="AE173" i="14" s="1"/>
  <c r="AC169" i="14"/>
  <c r="AE169" i="14" s="1"/>
  <c r="AC165" i="14"/>
  <c r="AE165" i="14" s="1"/>
  <c r="AC161" i="14"/>
  <c r="AE161" i="14" s="1"/>
  <c r="AC157" i="14"/>
  <c r="AE157" i="14" s="1"/>
  <c r="AC153" i="14"/>
  <c r="AE153" i="14" s="1"/>
  <c r="AC149" i="14"/>
  <c r="AE149" i="14" s="1"/>
  <c r="AC145" i="14"/>
  <c r="AE145" i="14" s="1"/>
  <c r="AC141" i="14"/>
  <c r="AE141" i="14" s="1"/>
  <c r="AC137" i="14"/>
  <c r="AE137" i="14" s="1"/>
  <c r="AC133" i="14"/>
  <c r="AE133" i="14" s="1"/>
  <c r="AC129" i="14"/>
  <c r="AE129" i="14" s="1"/>
  <c r="AC125" i="14"/>
  <c r="AE125" i="14" s="1"/>
  <c r="AC121" i="14"/>
  <c r="AE121" i="14" s="1"/>
  <c r="AC117" i="14"/>
  <c r="AE117" i="14" s="1"/>
  <c r="AC113" i="14"/>
  <c r="AE113" i="14" s="1"/>
  <c r="AC109" i="14"/>
  <c r="AE109" i="14" s="1"/>
  <c r="AC105" i="14"/>
  <c r="AE105" i="14" s="1"/>
  <c r="AC101" i="14"/>
  <c r="AE101" i="14" s="1"/>
  <c r="AC97" i="14"/>
  <c r="AE97" i="14" s="1"/>
  <c r="AC93" i="14"/>
  <c r="AE93" i="14" s="1"/>
  <c r="AC89" i="14"/>
  <c r="AE89" i="14" s="1"/>
  <c r="AC85" i="14"/>
  <c r="AE85" i="14" s="1"/>
  <c r="AC84" i="14"/>
  <c r="AE84" i="14" s="1"/>
  <c r="AC83" i="14"/>
  <c r="AE83" i="14" s="1"/>
  <c r="AC82" i="14"/>
  <c r="AE82" i="14" s="1"/>
  <c r="AC248" i="14"/>
  <c r="AE248" i="14" s="1"/>
  <c r="AC246" i="14"/>
  <c r="AE246" i="14" s="1"/>
  <c r="AC242" i="14"/>
  <c r="AE242" i="14" s="1"/>
  <c r="AC238" i="14"/>
  <c r="AE238" i="14" s="1"/>
  <c r="AC234" i="14"/>
  <c r="AE234" i="14" s="1"/>
  <c r="AC230" i="14"/>
  <c r="AE230" i="14" s="1"/>
  <c r="AC226" i="14"/>
  <c r="AE226" i="14" s="1"/>
  <c r="AC222" i="14"/>
  <c r="AE222" i="14" s="1"/>
  <c r="AC218" i="14"/>
  <c r="AE218" i="14" s="1"/>
  <c r="AC214" i="14"/>
  <c r="AE214" i="14" s="1"/>
  <c r="AC210" i="14"/>
  <c r="AE210" i="14" s="1"/>
  <c r="AC206" i="14"/>
  <c r="AE206" i="14" s="1"/>
  <c r="AC202" i="14"/>
  <c r="AE202" i="14" s="1"/>
  <c r="AC198" i="14"/>
  <c r="AE198" i="14" s="1"/>
  <c r="AC194" i="14"/>
  <c r="AE194" i="14" s="1"/>
  <c r="AC190" i="14"/>
  <c r="AE190" i="14" s="1"/>
  <c r="AC186" i="14"/>
  <c r="AE186" i="14" s="1"/>
  <c r="AC182" i="14"/>
  <c r="AE182" i="14" s="1"/>
  <c r="AC178" i="14"/>
  <c r="AE178" i="14" s="1"/>
  <c r="AC174" i="14"/>
  <c r="AE174" i="14" s="1"/>
  <c r="AC170" i="14"/>
  <c r="AE170" i="14" s="1"/>
  <c r="AC166" i="14"/>
  <c r="AE166" i="14" s="1"/>
  <c r="AC162" i="14"/>
  <c r="AE162" i="14" s="1"/>
  <c r="AC158" i="14"/>
  <c r="AE158" i="14" s="1"/>
  <c r="AC154" i="14"/>
  <c r="AE154" i="14" s="1"/>
  <c r="AC150" i="14"/>
  <c r="AE150" i="14" s="1"/>
  <c r="AC146" i="14"/>
  <c r="AE146" i="14" s="1"/>
  <c r="AC142" i="14"/>
  <c r="AE142" i="14" s="1"/>
  <c r="AC138" i="14"/>
  <c r="AE138" i="14" s="1"/>
  <c r="AC134" i="14"/>
  <c r="AE134" i="14" s="1"/>
  <c r="AC130" i="14"/>
  <c r="AE130" i="14" s="1"/>
  <c r="AC126" i="14"/>
  <c r="AE126" i="14" s="1"/>
  <c r="AC122" i="14"/>
  <c r="AE122" i="14" s="1"/>
  <c r="AC118" i="14"/>
  <c r="AE118" i="14" s="1"/>
  <c r="AC114" i="14"/>
  <c r="AE114" i="14" s="1"/>
  <c r="AC110" i="14"/>
  <c r="AE110" i="14" s="1"/>
  <c r="AC106" i="14"/>
  <c r="AE106" i="14" s="1"/>
  <c r="AC102" i="14"/>
  <c r="AE102" i="14" s="1"/>
  <c r="AC98" i="14"/>
  <c r="AE98" i="14" s="1"/>
  <c r="AC94" i="14"/>
  <c r="AE94" i="14" s="1"/>
  <c r="AC90" i="14"/>
  <c r="AE90" i="14" s="1"/>
  <c r="AC86" i="14"/>
  <c r="AE86" i="14" s="1"/>
  <c r="AC249" i="14"/>
  <c r="AE249" i="14" s="1"/>
  <c r="AC243" i="14"/>
  <c r="AE243" i="14" s="1"/>
  <c r="AC239" i="14"/>
  <c r="AE239" i="14" s="1"/>
  <c r="AC235" i="14"/>
  <c r="AE235" i="14" s="1"/>
  <c r="AC231" i="14"/>
  <c r="AE231" i="14" s="1"/>
  <c r="AC227" i="14"/>
  <c r="AE227" i="14" s="1"/>
  <c r="AC223" i="14"/>
  <c r="AE223" i="14" s="1"/>
  <c r="AC219" i="14"/>
  <c r="AE219" i="14" s="1"/>
  <c r="AC215" i="14"/>
  <c r="AE215" i="14" s="1"/>
  <c r="AC211" i="14"/>
  <c r="AE211" i="14" s="1"/>
  <c r="AC207" i="14"/>
  <c r="AE207" i="14" s="1"/>
  <c r="AC203" i="14"/>
  <c r="AE203" i="14" s="1"/>
  <c r="AC199" i="14"/>
  <c r="AE199" i="14" s="1"/>
  <c r="AC195" i="14"/>
  <c r="AE195" i="14" s="1"/>
  <c r="AC191" i="14"/>
  <c r="AE191" i="14" s="1"/>
  <c r="AC187" i="14"/>
  <c r="AE187" i="14" s="1"/>
  <c r="AC183" i="14"/>
  <c r="AE183" i="14" s="1"/>
  <c r="AC179" i="14"/>
  <c r="AE179" i="14" s="1"/>
  <c r="AC175" i="14"/>
  <c r="AE175" i="14" s="1"/>
  <c r="AC171" i="14"/>
  <c r="AE171" i="14" s="1"/>
  <c r="AC167" i="14"/>
  <c r="AE167" i="14" s="1"/>
  <c r="AC163" i="14"/>
  <c r="AE163" i="14" s="1"/>
  <c r="AC159" i="14"/>
  <c r="AE159" i="14" s="1"/>
  <c r="AC155" i="14"/>
  <c r="AE155" i="14" s="1"/>
  <c r="AC151" i="14"/>
  <c r="AE151" i="14" s="1"/>
  <c r="AC147" i="14"/>
  <c r="AE147" i="14" s="1"/>
  <c r="AC143" i="14"/>
  <c r="AE143" i="14" s="1"/>
  <c r="AC139" i="14"/>
  <c r="AE139" i="14" s="1"/>
  <c r="AC135" i="14"/>
  <c r="AE135" i="14" s="1"/>
  <c r="AC131" i="14"/>
  <c r="AE131" i="14" s="1"/>
  <c r="AC127" i="14"/>
  <c r="AE127" i="14" s="1"/>
  <c r="AC123" i="14"/>
  <c r="AE123" i="14" s="1"/>
  <c r="AC119" i="14"/>
  <c r="AE119" i="14" s="1"/>
  <c r="AC115" i="14"/>
  <c r="AE115" i="14" s="1"/>
  <c r="AC111" i="14"/>
  <c r="AE111" i="14" s="1"/>
  <c r="AC107" i="14"/>
  <c r="AE107" i="14" s="1"/>
  <c r="AC103" i="14"/>
  <c r="AE103" i="14" s="1"/>
  <c r="AC99" i="14"/>
  <c r="AE99" i="14" s="1"/>
  <c r="AC95" i="14"/>
  <c r="AE95" i="14" s="1"/>
  <c r="AC91" i="14"/>
  <c r="AE91" i="14" s="1"/>
  <c r="AC12" i="14"/>
  <c r="AE12" i="14" s="1"/>
  <c r="AC13" i="14"/>
  <c r="AE13" i="14" s="1"/>
  <c r="AC16" i="14"/>
  <c r="AE16" i="14" s="1"/>
  <c r="AC17" i="14"/>
  <c r="AE17" i="14" s="1"/>
  <c r="AC28" i="14"/>
  <c r="AE28" i="14" s="1"/>
  <c r="AC29" i="14"/>
  <c r="AE29" i="14" s="1"/>
  <c r="AC34" i="14"/>
  <c r="AE34" i="14" s="1"/>
  <c r="AC39" i="14"/>
  <c r="AE39" i="14" s="1"/>
  <c r="AC44" i="14"/>
  <c r="AE44" i="14" s="1"/>
  <c r="AC45" i="14"/>
  <c r="AE45" i="14" s="1"/>
  <c r="AC50" i="14"/>
  <c r="AE50" i="14" s="1"/>
  <c r="AC58" i="14"/>
  <c r="AE58" i="14" s="1"/>
  <c r="AC59" i="14"/>
  <c r="AE59" i="14" s="1"/>
  <c r="AC67" i="14"/>
  <c r="AE67" i="14" s="1"/>
  <c r="AC72" i="14"/>
  <c r="AE72" i="14" s="1"/>
  <c r="AC73" i="14"/>
  <c r="AE73" i="14" s="1"/>
  <c r="AC5" i="14"/>
  <c r="AE5" i="14" s="1"/>
  <c r="AC10" i="14"/>
  <c r="AE10" i="14" s="1"/>
  <c r="AC11" i="14"/>
  <c r="AE11" i="14" s="1"/>
  <c r="AC26" i="14"/>
  <c r="AE26" i="14" s="1"/>
  <c r="AC27" i="14"/>
  <c r="AE27" i="14" s="1"/>
  <c r="AC32" i="14"/>
  <c r="AE32" i="14" s="1"/>
  <c r="AC33" i="14"/>
  <c r="AE33" i="14" s="1"/>
  <c r="AC38" i="14"/>
  <c r="AE38" i="14" s="1"/>
  <c r="AC42" i="14"/>
  <c r="AE42" i="14" s="1"/>
  <c r="AC43" i="14"/>
  <c r="AE43" i="14" s="1"/>
  <c r="AC48" i="14"/>
  <c r="AE48" i="14" s="1"/>
  <c r="AC49" i="14"/>
  <c r="AE49" i="14" s="1"/>
  <c r="AC56" i="14"/>
  <c r="AE56" i="14" s="1"/>
  <c r="AC57" i="14"/>
  <c r="AE57" i="14" s="1"/>
  <c r="AC66" i="14"/>
  <c r="AE66" i="14" s="1"/>
  <c r="AC71" i="14"/>
  <c r="AE71" i="14" s="1"/>
  <c r="AC9" i="14"/>
  <c r="AE9" i="14" s="1"/>
  <c r="AC15" i="14"/>
  <c r="AE15" i="14" s="1"/>
  <c r="AC22" i="14"/>
  <c r="AE22" i="14" s="1"/>
  <c r="AC23" i="14"/>
  <c r="AE23" i="14" s="1"/>
  <c r="AC24" i="14"/>
  <c r="AE24" i="14" s="1"/>
  <c r="AC25" i="14"/>
  <c r="AE25" i="14" s="1"/>
  <c r="AC31" i="14"/>
  <c r="AE31" i="14" s="1"/>
  <c r="AC36" i="14"/>
  <c r="AE36" i="14" s="1"/>
  <c r="AC37" i="14"/>
  <c r="AE37" i="14" s="1"/>
  <c r="AC40" i="14"/>
  <c r="AE40" i="14" s="1"/>
  <c r="AC41" i="14"/>
  <c r="AE41" i="14" s="1"/>
  <c r="AC47" i="14"/>
  <c r="AE47" i="14" s="1"/>
  <c r="AC54" i="14"/>
  <c r="AE54" i="14" s="1"/>
  <c r="AC55" i="14"/>
  <c r="AE55" i="14" s="1"/>
  <c r="AC62" i="14"/>
  <c r="AE62" i="14" s="1"/>
  <c r="AC63" i="14"/>
  <c r="AE63" i="14" s="1"/>
  <c r="AC64" i="14"/>
  <c r="AE64" i="14" s="1"/>
  <c r="AC65" i="14"/>
  <c r="AC70" i="14"/>
  <c r="AE70" i="14" s="1"/>
  <c r="AC78" i="14"/>
  <c r="AE78" i="14" s="1"/>
  <c r="AC79" i="14"/>
  <c r="AE79" i="14" s="1"/>
  <c r="K33" i="3"/>
  <c r="AC3" i="14"/>
  <c r="AE3" i="14" s="1"/>
  <c r="AC7" i="14"/>
  <c r="AE7" i="14" s="1"/>
  <c r="AC14" i="14"/>
  <c r="AE14" i="14" s="1"/>
  <c r="AC18" i="14"/>
  <c r="AE18" i="14" s="1"/>
  <c r="AC19" i="14"/>
  <c r="AE19" i="14" s="1"/>
  <c r="AC20" i="14"/>
  <c r="AE20" i="14" s="1"/>
  <c r="AC21" i="14"/>
  <c r="AE21" i="14" s="1"/>
  <c r="AC30" i="14"/>
  <c r="AE30" i="14" s="1"/>
  <c r="AC35" i="14"/>
  <c r="AE35" i="14" s="1"/>
  <c r="AC46" i="14"/>
  <c r="AE46" i="14" s="1"/>
  <c r="AC51" i="14"/>
  <c r="AE51" i="14" s="1"/>
  <c r="AC52" i="14"/>
  <c r="AE52" i="14" s="1"/>
  <c r="AC53" i="14"/>
  <c r="AE53" i="14" s="1"/>
  <c r="AC60" i="14"/>
  <c r="AE60" i="14" s="1"/>
  <c r="AC61" i="14"/>
  <c r="AE61" i="14" s="1"/>
  <c r="AC68" i="14"/>
  <c r="AE68" i="14" s="1"/>
  <c r="AC69" i="14"/>
  <c r="AE69" i="14" s="1"/>
  <c r="AC74" i="14"/>
  <c r="AE74" i="14" s="1"/>
  <c r="AC75" i="14"/>
  <c r="AE75" i="14" s="1"/>
  <c r="AC76" i="14"/>
  <c r="AE76" i="14" s="1"/>
  <c r="AC77" i="14"/>
  <c r="AE77" i="14" s="1"/>
  <c r="AC87" i="14"/>
  <c r="AE87" i="14" s="1"/>
  <c r="T242" i="13"/>
  <c r="P242" i="13"/>
  <c r="N267" i="13"/>
  <c r="X267" i="13"/>
  <c r="T299" i="13"/>
  <c r="N299" i="13"/>
  <c r="AJ299" i="13"/>
  <c r="T367" i="13"/>
  <c r="AL367" i="13"/>
  <c r="P367" i="13"/>
  <c r="AJ367" i="13"/>
  <c r="X367" i="13"/>
  <c r="AL375" i="13"/>
  <c r="P375" i="13"/>
  <c r="AJ375" i="13"/>
  <c r="N375" i="13"/>
  <c r="X375" i="13"/>
  <c r="T375" i="13"/>
  <c r="AJ391" i="13"/>
  <c r="N391" i="13"/>
  <c r="T391" i="13"/>
  <c r="P391" i="13"/>
  <c r="AL391" i="13"/>
  <c r="X391" i="13"/>
  <c r="T418" i="13"/>
  <c r="R418" i="13"/>
  <c r="P418" i="13"/>
  <c r="AJ418" i="13"/>
  <c r="V441" i="13"/>
  <c r="AB441" i="13" s="1"/>
  <c r="AL441" i="13"/>
  <c r="AC8" i="12"/>
  <c r="AE8" i="12" s="1"/>
  <c r="AC127" i="13"/>
  <c r="AE127" i="13" s="1"/>
  <c r="AC166" i="13"/>
  <c r="AE166" i="13" s="1"/>
  <c r="M9" i="13"/>
  <c r="M12" i="13"/>
  <c r="N19" i="13"/>
  <c r="AC29" i="13"/>
  <c r="AE29" i="13" s="1"/>
  <c r="M32" i="13"/>
  <c r="N32" i="13" s="1"/>
  <c r="N33" i="13"/>
  <c r="M43" i="13"/>
  <c r="N43" i="13" s="1"/>
  <c r="M46" i="13"/>
  <c r="AC48" i="13"/>
  <c r="AE48" i="13" s="1"/>
  <c r="N54" i="13"/>
  <c r="M87" i="13"/>
  <c r="N87" i="13" s="1"/>
  <c r="N88" i="13"/>
  <c r="M92" i="13"/>
  <c r="M98" i="13"/>
  <c r="N111" i="13"/>
  <c r="N117" i="13"/>
  <c r="M119" i="13"/>
  <c r="N119" i="13" s="1"/>
  <c r="M122" i="13"/>
  <c r="AC132" i="13"/>
  <c r="AE132" i="13" s="1"/>
  <c r="P138" i="13"/>
  <c r="P140" i="13"/>
  <c r="AC142" i="13"/>
  <c r="AE142" i="13" s="1"/>
  <c r="AC152" i="13"/>
  <c r="AE152" i="13" s="1"/>
  <c r="P156" i="13"/>
  <c r="AC158" i="13"/>
  <c r="AE158" i="13" s="1"/>
  <c r="M165" i="13"/>
  <c r="N165" i="13" s="1"/>
  <c r="AC169" i="13"/>
  <c r="AE169" i="13" s="1"/>
  <c r="AH180" i="13"/>
  <c r="M192" i="13"/>
  <c r="N192" i="13" s="1"/>
  <c r="R242" i="13"/>
  <c r="P257" i="13"/>
  <c r="P261" i="13"/>
  <c r="AL261" i="13"/>
  <c r="AJ263" i="13"/>
  <c r="N263" i="13"/>
  <c r="X263" i="13"/>
  <c r="T267" i="13"/>
  <c r="X299" i="13"/>
  <c r="T330" i="13"/>
  <c r="R330" i="13"/>
  <c r="Z330" i="13"/>
  <c r="R354" i="13"/>
  <c r="AJ354" i="13"/>
  <c r="P354" i="13"/>
  <c r="Z354" i="13"/>
  <c r="T354" i="13"/>
  <c r="N367" i="13"/>
  <c r="X371" i="13"/>
  <c r="T371" i="13"/>
  <c r="AJ371" i="13"/>
  <c r="R416" i="13"/>
  <c r="X416" i="13"/>
  <c r="Z418" i="13"/>
  <c r="P441" i="13"/>
  <c r="P462" i="13"/>
  <c r="Z462" i="13"/>
  <c r="T462" i="13"/>
  <c r="AJ462" i="13"/>
  <c r="P253" i="13"/>
  <c r="AL253" i="13"/>
  <c r="T266" i="13"/>
  <c r="Z266" i="13"/>
  <c r="T282" i="13"/>
  <c r="R282" i="13"/>
  <c r="Z282" i="13"/>
  <c r="Z294" i="13"/>
  <c r="T294" i="13"/>
  <c r="R410" i="13"/>
  <c r="T410" i="13"/>
  <c r="P410" i="13"/>
  <c r="AJ410" i="13"/>
  <c r="Z410" i="13"/>
  <c r="R480" i="13"/>
  <c r="X480" i="13"/>
  <c r="AC2" i="12"/>
  <c r="AE2" i="12" s="1"/>
  <c r="N91" i="13"/>
  <c r="N92" i="13"/>
  <c r="N95" i="13"/>
  <c r="N97" i="13"/>
  <c r="N101" i="13"/>
  <c r="M107" i="13"/>
  <c r="N107" i="13" s="1"/>
  <c r="N112" i="13"/>
  <c r="M113" i="13"/>
  <c r="N113" i="13" s="1"/>
  <c r="N116" i="13"/>
  <c r="AC118" i="13"/>
  <c r="AE118" i="13" s="1"/>
  <c r="AC120" i="13"/>
  <c r="AE120" i="13" s="1"/>
  <c r="N122" i="13"/>
  <c r="N129" i="13"/>
  <c r="AC134" i="13"/>
  <c r="AE134" i="13" s="1"/>
  <c r="AC138" i="13"/>
  <c r="AE138" i="13" s="1"/>
  <c r="P142" i="13"/>
  <c r="AC144" i="13"/>
  <c r="AE144" i="13" s="1"/>
  <c r="AC153" i="13"/>
  <c r="AE153" i="13" s="1"/>
  <c r="AC161" i="13"/>
  <c r="AE161" i="13" s="1"/>
  <c r="AC164" i="13"/>
  <c r="AE164" i="13" s="1"/>
  <c r="M164" i="13"/>
  <c r="N164" i="13" s="1"/>
  <c r="AH164" i="13" s="1"/>
  <c r="Z242" i="13"/>
  <c r="R250" i="13"/>
  <c r="P250" i="13"/>
  <c r="P254" i="13"/>
  <c r="AJ254" i="13"/>
  <c r="T258" i="13"/>
  <c r="P258" i="13"/>
  <c r="T262" i="13"/>
  <c r="AJ262" i="13"/>
  <c r="R266" i="13"/>
  <c r="AJ267" i="13"/>
  <c r="P270" i="13"/>
  <c r="AJ270" i="13"/>
  <c r="T274" i="13"/>
  <c r="R274" i="13"/>
  <c r="Z274" i="13"/>
  <c r="AJ282" i="13"/>
  <c r="T291" i="13"/>
  <c r="N291" i="13"/>
  <c r="AJ291" i="13"/>
  <c r="AJ294" i="13"/>
  <c r="R306" i="13"/>
  <c r="AJ306" i="13"/>
  <c r="P306" i="13"/>
  <c r="T322" i="13"/>
  <c r="R322" i="13"/>
  <c r="AJ322" i="13"/>
  <c r="P330" i="13"/>
  <c r="R362" i="13"/>
  <c r="AJ362" i="13"/>
  <c r="P362" i="13"/>
  <c r="Z362" i="13"/>
  <c r="N371" i="13"/>
  <c r="P398" i="13"/>
  <c r="Z398" i="13"/>
  <c r="T398" i="13"/>
  <c r="AJ398" i="13"/>
  <c r="R434" i="13"/>
  <c r="Z434" i="13"/>
  <c r="T434" i="13"/>
  <c r="AJ434" i="13"/>
  <c r="AL449" i="13"/>
  <c r="P449" i="13"/>
  <c r="N451" i="13"/>
  <c r="AJ451" i="13"/>
  <c r="X451" i="13"/>
  <c r="AJ498" i="13"/>
  <c r="P498" i="13"/>
  <c r="T498" i="13"/>
  <c r="R498" i="13"/>
  <c r="Z498" i="13"/>
  <c r="AC64" i="13"/>
  <c r="AE64" i="13" s="1"/>
  <c r="AC76" i="13"/>
  <c r="AE76" i="13" s="1"/>
  <c r="AC80" i="13"/>
  <c r="AE80" i="13" s="1"/>
  <c r="AC86" i="13"/>
  <c r="AE86" i="13" s="1"/>
  <c r="N96" i="13"/>
  <c r="AC102" i="13"/>
  <c r="AE102" i="13" s="1"/>
  <c r="AC104" i="13"/>
  <c r="AE104" i="13" s="1"/>
  <c r="AC108" i="13"/>
  <c r="AE108" i="13" s="1"/>
  <c r="AC110" i="13"/>
  <c r="AE110" i="13" s="1"/>
  <c r="AC116" i="13"/>
  <c r="AE116" i="13" s="1"/>
  <c r="N128" i="13"/>
  <c r="AC130" i="13"/>
  <c r="AE130" i="13" s="1"/>
  <c r="AC137" i="13"/>
  <c r="AE137" i="13" s="1"/>
  <c r="AC148" i="13"/>
  <c r="AE148" i="13" s="1"/>
  <c r="AC157" i="13"/>
  <c r="AE157" i="13" s="1"/>
  <c r="AC160" i="13"/>
  <c r="AE160" i="13" s="1"/>
  <c r="M162" i="13"/>
  <c r="P162" i="13"/>
  <c r="P168" i="13"/>
  <c r="M168" i="13"/>
  <c r="N168" i="13" s="1"/>
  <c r="AH168" i="13" s="1"/>
  <c r="AJ242" i="13"/>
  <c r="R256" i="13"/>
  <c r="X256" i="13"/>
  <c r="AJ266" i="13"/>
  <c r="T286" i="13"/>
  <c r="P286" i="13"/>
  <c r="AJ286" i="13"/>
  <c r="X288" i="13"/>
  <c r="R288" i="13"/>
  <c r="V313" i="13"/>
  <c r="AB313" i="13" s="1"/>
  <c r="P313" i="13"/>
  <c r="T326" i="13"/>
  <c r="P326" i="13"/>
  <c r="Z326" i="13"/>
  <c r="R338" i="13"/>
  <c r="AJ338" i="13"/>
  <c r="P338" i="13"/>
  <c r="Z342" i="13"/>
  <c r="T342" i="13"/>
  <c r="X347" i="13"/>
  <c r="T347" i="13"/>
  <c r="AJ347" i="13"/>
  <c r="N347" i="13"/>
  <c r="AL385" i="13"/>
  <c r="P385" i="13"/>
  <c r="N387" i="13"/>
  <c r="AJ387" i="13"/>
  <c r="X387" i="13"/>
  <c r="AJ455" i="13"/>
  <c r="N455" i="13"/>
  <c r="T455" i="13"/>
  <c r="P455" i="13"/>
  <c r="AL455" i="13"/>
  <c r="X455" i="13"/>
  <c r="R474" i="13"/>
  <c r="T474" i="13"/>
  <c r="P474" i="13"/>
  <c r="AJ474" i="13"/>
  <c r="Z474" i="13"/>
  <c r="T482" i="13"/>
  <c r="R482" i="13"/>
  <c r="P482" i="13"/>
  <c r="AJ482" i="13"/>
  <c r="Z374" i="13"/>
  <c r="T374" i="13"/>
  <c r="P382" i="13"/>
  <c r="Z382" i="13"/>
  <c r="T382" i="13"/>
  <c r="P413" i="13"/>
  <c r="AL413" i="13"/>
  <c r="P421" i="13"/>
  <c r="AL421" i="13"/>
  <c r="T439" i="13"/>
  <c r="X439" i="13"/>
  <c r="P439" i="13"/>
  <c r="P446" i="13"/>
  <c r="Z446" i="13"/>
  <c r="T446" i="13"/>
  <c r="P477" i="13"/>
  <c r="AL477" i="13"/>
  <c r="P485" i="13"/>
  <c r="AL485" i="13"/>
  <c r="AC170" i="13"/>
  <c r="AE170" i="13" s="1"/>
  <c r="AJ247" i="13"/>
  <c r="AL281" i="13"/>
  <c r="V281" i="13"/>
  <c r="AB281" i="13" s="1"/>
  <c r="V285" i="13"/>
  <c r="AB285" i="13" s="1"/>
  <c r="P285" i="13"/>
  <c r="AL293" i="13"/>
  <c r="P293" i="13"/>
  <c r="AL295" i="13"/>
  <c r="P295" i="13"/>
  <c r="AJ295" i="13"/>
  <c r="N295" i="13"/>
  <c r="T302" i="13"/>
  <c r="P302" i="13"/>
  <c r="T311" i="13"/>
  <c r="AL311" i="13"/>
  <c r="P311" i="13"/>
  <c r="R314" i="13"/>
  <c r="AJ314" i="13"/>
  <c r="P314" i="13"/>
  <c r="AL321" i="13"/>
  <c r="P321" i="13"/>
  <c r="V341" i="13"/>
  <c r="AB341" i="13" s="1"/>
  <c r="AL343" i="13"/>
  <c r="P343" i="13"/>
  <c r="AJ343" i="13"/>
  <c r="N343" i="13"/>
  <c r="T351" i="13"/>
  <c r="AL351" i="13"/>
  <c r="P351" i="13"/>
  <c r="P374" i="13"/>
  <c r="AJ379" i="13"/>
  <c r="X379" i="13"/>
  <c r="T379" i="13"/>
  <c r="AJ382" i="13"/>
  <c r="T390" i="13"/>
  <c r="Z390" i="13"/>
  <c r="P390" i="13"/>
  <c r="T394" i="13"/>
  <c r="R394" i="13"/>
  <c r="P394" i="13"/>
  <c r="V413" i="13"/>
  <c r="AB413" i="13" s="1"/>
  <c r="N427" i="13"/>
  <c r="AJ427" i="13"/>
  <c r="X427" i="13"/>
  <c r="N439" i="13"/>
  <c r="AJ446" i="13"/>
  <c r="T454" i="13"/>
  <c r="Z454" i="13"/>
  <c r="P454" i="13"/>
  <c r="T458" i="13"/>
  <c r="R458" i="13"/>
  <c r="P458" i="13"/>
  <c r="V477" i="13"/>
  <c r="AB477" i="13" s="1"/>
  <c r="N491" i="13"/>
  <c r="AJ491" i="13"/>
  <c r="X491" i="13"/>
  <c r="X499" i="13"/>
  <c r="T499" i="13"/>
  <c r="AJ499" i="13"/>
  <c r="N499" i="13"/>
  <c r="T279" i="13"/>
  <c r="T290" i="13"/>
  <c r="T298" i="13"/>
  <c r="X307" i="13"/>
  <c r="Z310" i="13"/>
  <c r="X315" i="13"/>
  <c r="T319" i="13"/>
  <c r="T335" i="13"/>
  <c r="X339" i="13"/>
  <c r="Z350" i="13"/>
  <c r="X355" i="13"/>
  <c r="T359" i="13"/>
  <c r="X363" i="13"/>
  <c r="Z366" i="13"/>
  <c r="Z386" i="13"/>
  <c r="AJ402" i="13"/>
  <c r="AJ407" i="13"/>
  <c r="AJ414" i="13"/>
  <c r="AJ422" i="13"/>
  <c r="Z426" i="13"/>
  <c r="AJ430" i="13"/>
  <c r="Z442" i="13"/>
  <c r="Z450" i="13"/>
  <c r="AJ466" i="13"/>
  <c r="AJ471" i="13"/>
  <c r="AJ478" i="13"/>
  <c r="AJ486" i="13"/>
  <c r="Z490" i="13"/>
  <c r="AJ494" i="13"/>
  <c r="AJ386" i="13"/>
  <c r="AJ423" i="13"/>
  <c r="N423" i="13"/>
  <c r="AL423" i="13"/>
  <c r="AJ426" i="13"/>
  <c r="AJ442" i="13"/>
  <c r="AJ450" i="13"/>
  <c r="AJ487" i="13"/>
  <c r="N487" i="13"/>
  <c r="AL487" i="13"/>
  <c r="AJ490" i="13"/>
  <c r="X209" i="12"/>
  <c r="Z209" i="12"/>
  <c r="AA209" i="12" s="1"/>
  <c r="AG209" i="12" s="1"/>
  <c r="M2" i="12"/>
  <c r="N2" i="12" s="1"/>
  <c r="M8" i="12"/>
  <c r="Z23" i="12"/>
  <c r="AA23" i="12" s="1"/>
  <c r="AG23" i="12" s="1"/>
  <c r="V39" i="12"/>
  <c r="V55" i="12"/>
  <c r="X55" i="12" s="1"/>
  <c r="V87" i="12"/>
  <c r="X87" i="12" s="1"/>
  <c r="Z119" i="12"/>
  <c r="AA119" i="12" s="1"/>
  <c r="AG119" i="12" s="1"/>
  <c r="V146" i="12"/>
  <c r="X146" i="12" s="1"/>
  <c r="Z174" i="12"/>
  <c r="AA174" i="12" s="1"/>
  <c r="AG174" i="12" s="1"/>
  <c r="V174" i="12"/>
  <c r="X174" i="12" s="1"/>
  <c r="P174" i="12"/>
  <c r="Z205" i="12"/>
  <c r="AA205" i="12" s="1"/>
  <c r="AG205" i="12" s="1"/>
  <c r="V205" i="12"/>
  <c r="X205" i="12" s="1"/>
  <c r="V221" i="12"/>
  <c r="X221" i="12" s="1"/>
  <c r="V225" i="12"/>
  <c r="X225" i="12" s="1"/>
  <c r="Z253" i="12"/>
  <c r="AA253" i="12" s="1"/>
  <c r="AG253" i="12" s="1"/>
  <c r="T253" i="12"/>
  <c r="AJ253" i="12"/>
  <c r="O253" i="12"/>
  <c r="Z269" i="12"/>
  <c r="AA269" i="12" s="1"/>
  <c r="AG269" i="12" s="1"/>
  <c r="T269" i="12"/>
  <c r="AJ269" i="12"/>
  <c r="O269" i="12"/>
  <c r="S285" i="12"/>
  <c r="AI285" i="12"/>
  <c r="O285" i="12"/>
  <c r="T341" i="12"/>
  <c r="S341" i="12"/>
  <c r="N341" i="12"/>
  <c r="P71" i="12"/>
  <c r="Z71" i="12"/>
  <c r="AA71" i="12" s="1"/>
  <c r="AG71" i="12" s="1"/>
  <c r="V103" i="12"/>
  <c r="X103" i="12" s="1"/>
  <c r="T297" i="12"/>
  <c r="AI297" i="12"/>
  <c r="N297" i="12"/>
  <c r="T325" i="12"/>
  <c r="AI325" i="12"/>
  <c r="S325" i="12"/>
  <c r="AI365" i="12"/>
  <c r="V365" i="12"/>
  <c r="K365" i="12"/>
  <c r="AL365" i="12"/>
  <c r="P365" i="12"/>
  <c r="AI377" i="12"/>
  <c r="AL377" i="12"/>
  <c r="P377" i="12"/>
  <c r="AJ377" i="12"/>
  <c r="O377" i="12"/>
  <c r="AI397" i="12"/>
  <c r="P397" i="12"/>
  <c r="N397" i="12"/>
  <c r="AI429" i="12"/>
  <c r="P429" i="12"/>
  <c r="N429" i="12"/>
  <c r="AI461" i="12"/>
  <c r="P461" i="12"/>
  <c r="N461" i="12"/>
  <c r="D21" i="1"/>
  <c r="G32" i="3"/>
  <c r="P11" i="12"/>
  <c r="Z83" i="12"/>
  <c r="AA83" i="12" s="1"/>
  <c r="AG83" i="12" s="1"/>
  <c r="Z87" i="12"/>
  <c r="AA87" i="12" s="1"/>
  <c r="AG87" i="12" s="1"/>
  <c r="V115" i="12"/>
  <c r="X115" i="12" s="1"/>
  <c r="V131" i="12"/>
  <c r="X131" i="12" s="1"/>
  <c r="Z135" i="12"/>
  <c r="AA135" i="12" s="1"/>
  <c r="AG135" i="12" s="1"/>
  <c r="V135" i="12"/>
  <c r="X135" i="12" s="1"/>
  <c r="P205" i="12"/>
  <c r="P225" i="12"/>
  <c r="N253" i="12"/>
  <c r="N269" i="12"/>
  <c r="N285" i="12"/>
  <c r="T321" i="12"/>
  <c r="S321" i="12"/>
  <c r="AI341" i="12"/>
  <c r="T345" i="12"/>
  <c r="AI345" i="12"/>
  <c r="AI361" i="12"/>
  <c r="AL361" i="12"/>
  <c r="P361" i="12"/>
  <c r="AJ361" i="12"/>
  <c r="O361" i="12"/>
  <c r="X365" i="12"/>
  <c r="X377" i="12"/>
  <c r="AI381" i="12"/>
  <c r="V381" i="12"/>
  <c r="K381" i="12"/>
  <c r="AL381" i="12"/>
  <c r="P381" i="12"/>
  <c r="S393" i="12"/>
  <c r="P393" i="12"/>
  <c r="Z397" i="12"/>
  <c r="AA397" i="12" s="1"/>
  <c r="AG397" i="12" s="1"/>
  <c r="T401" i="12"/>
  <c r="N401" i="12"/>
  <c r="S425" i="12"/>
  <c r="P425" i="12"/>
  <c r="Z429" i="12"/>
  <c r="AA429" i="12" s="1"/>
  <c r="AG429" i="12" s="1"/>
  <c r="T433" i="12"/>
  <c r="N433" i="12"/>
  <c r="S457" i="12"/>
  <c r="P457" i="12"/>
  <c r="Z461" i="12"/>
  <c r="AA461" i="12" s="1"/>
  <c r="AG461" i="12" s="1"/>
  <c r="T465" i="12"/>
  <c r="N465" i="12"/>
  <c r="P489" i="12"/>
  <c r="AI489" i="12"/>
  <c r="N489" i="12"/>
  <c r="V11" i="12"/>
  <c r="X11" i="12" s="1"/>
  <c r="Z15" i="12"/>
  <c r="AA15" i="12" s="1"/>
  <c r="AG15" i="12" s="1"/>
  <c r="V19" i="12"/>
  <c r="X19" i="12" s="1"/>
  <c r="Z146" i="12"/>
  <c r="AA146" i="12" s="1"/>
  <c r="AG146" i="12" s="1"/>
  <c r="V158" i="12"/>
  <c r="X158" i="12" s="1"/>
  <c r="V162" i="12"/>
  <c r="P162" i="12"/>
  <c r="V178" i="12"/>
  <c r="X178" i="12" s="1"/>
  <c r="V189" i="12"/>
  <c r="X189" i="12" s="1"/>
  <c r="Z193" i="12"/>
  <c r="AA193" i="12" s="1"/>
  <c r="AG193" i="12" s="1"/>
  <c r="V193" i="12"/>
  <c r="X193" i="12" s="1"/>
  <c r="V237" i="12"/>
  <c r="X237" i="12" s="1"/>
  <c r="Z245" i="12"/>
  <c r="AA245" i="12" s="1"/>
  <c r="AG245" i="12" s="1"/>
  <c r="T245" i="12"/>
  <c r="AJ245" i="12"/>
  <c r="O245" i="12"/>
  <c r="V253" i="12"/>
  <c r="Z261" i="12"/>
  <c r="AA261" i="12" s="1"/>
  <c r="AG261" i="12" s="1"/>
  <c r="T261" i="12"/>
  <c r="AJ261" i="12"/>
  <c r="O261" i="12"/>
  <c r="V269" i="12"/>
  <c r="Z277" i="12"/>
  <c r="AA277" i="12" s="1"/>
  <c r="AG277" i="12" s="1"/>
  <c r="T277" i="12"/>
  <c r="AJ277" i="12"/>
  <c r="O277" i="12"/>
  <c r="V285" i="12"/>
  <c r="S337" i="12"/>
  <c r="N337" i="12"/>
  <c r="AJ365" i="12"/>
  <c r="K377" i="12"/>
  <c r="AI405" i="12"/>
  <c r="T405" i="12"/>
  <c r="Z425" i="12"/>
  <c r="AA425" i="12" s="1"/>
  <c r="AG425" i="12" s="1"/>
  <c r="X433" i="12"/>
  <c r="AI437" i="12"/>
  <c r="T437" i="12"/>
  <c r="Z457" i="12"/>
  <c r="AA457" i="12" s="1"/>
  <c r="AG457" i="12" s="1"/>
  <c r="X465" i="12"/>
  <c r="AI469" i="12"/>
  <c r="T469" i="12"/>
  <c r="S489" i="12"/>
  <c r="Z99" i="12"/>
  <c r="AA99" i="12" s="1"/>
  <c r="AG99" i="12" s="1"/>
  <c r="Z189" i="12"/>
  <c r="AA189" i="12" s="1"/>
  <c r="AG189" i="12" s="1"/>
  <c r="Z221" i="12"/>
  <c r="AA221" i="12" s="1"/>
  <c r="AG221" i="12" s="1"/>
  <c r="V241" i="12"/>
  <c r="V249" i="12"/>
  <c r="V257" i="12"/>
  <c r="V265" i="12"/>
  <c r="V273" i="12"/>
  <c r="V281" i="12"/>
  <c r="AI289" i="12"/>
  <c r="T305" i="12"/>
  <c r="AI309" i="12"/>
  <c r="X357" i="12"/>
  <c r="K369" i="12"/>
  <c r="V369" i="12"/>
  <c r="X373" i="12"/>
  <c r="K385" i="12"/>
  <c r="V385" i="12"/>
  <c r="X389" i="12"/>
  <c r="K409" i="12"/>
  <c r="Z409" i="12"/>
  <c r="AA409" i="12" s="1"/>
  <c r="AG409" i="12" s="1"/>
  <c r="X413" i="12"/>
  <c r="K441" i="12"/>
  <c r="Z441" i="12"/>
  <c r="AA441" i="12" s="1"/>
  <c r="AG441" i="12" s="1"/>
  <c r="X445" i="12"/>
  <c r="K473" i="12"/>
  <c r="Z473" i="12"/>
  <c r="AA473" i="12" s="1"/>
  <c r="AG473" i="12" s="1"/>
  <c r="X477" i="12"/>
  <c r="Z493" i="12"/>
  <c r="AA493" i="12" s="1"/>
  <c r="AG493" i="12" s="1"/>
  <c r="P99" i="12"/>
  <c r="P131" i="12"/>
  <c r="Z158" i="12"/>
  <c r="AA158" i="12" s="1"/>
  <c r="AG158" i="12" s="1"/>
  <c r="P189" i="12"/>
  <c r="P221" i="12"/>
  <c r="N241" i="12"/>
  <c r="AI241" i="12"/>
  <c r="N249" i="12"/>
  <c r="AI249" i="12"/>
  <c r="N257" i="12"/>
  <c r="AI257" i="12"/>
  <c r="N265" i="12"/>
  <c r="AI265" i="12"/>
  <c r="N273" i="12"/>
  <c r="AI273" i="12"/>
  <c r="N281" i="12"/>
  <c r="N293" i="12"/>
  <c r="O357" i="12"/>
  <c r="AJ357" i="12"/>
  <c r="X369" i="12"/>
  <c r="O373" i="12"/>
  <c r="AJ373" i="12"/>
  <c r="X385" i="12"/>
  <c r="O389" i="12"/>
  <c r="AJ389" i="12"/>
  <c r="Z413" i="12"/>
  <c r="AA413" i="12" s="1"/>
  <c r="AG413" i="12" s="1"/>
  <c r="Z445" i="12"/>
  <c r="AA445" i="12" s="1"/>
  <c r="AG445" i="12" s="1"/>
  <c r="Z477" i="12"/>
  <c r="AA477" i="12" s="1"/>
  <c r="AG477" i="12" s="1"/>
  <c r="AL301" i="12"/>
  <c r="X301" i="12"/>
  <c r="P301" i="12"/>
  <c r="K301" i="12"/>
  <c r="AJ301" i="12"/>
  <c r="V301" i="12"/>
  <c r="O301" i="12"/>
  <c r="Z301" i="12"/>
  <c r="AA301" i="12" s="1"/>
  <c r="AG301" i="12" s="1"/>
  <c r="AL317" i="12"/>
  <c r="X317" i="12"/>
  <c r="P317" i="12"/>
  <c r="K317" i="12"/>
  <c r="AJ317" i="12"/>
  <c r="V317" i="12"/>
  <c r="O317" i="12"/>
  <c r="Z317" i="12"/>
  <c r="AA317" i="12" s="1"/>
  <c r="AG317" i="12" s="1"/>
  <c r="AL333" i="12"/>
  <c r="X333" i="12"/>
  <c r="P333" i="12"/>
  <c r="K333" i="12"/>
  <c r="AJ333" i="12"/>
  <c r="V333" i="12"/>
  <c r="O333" i="12"/>
  <c r="Z333" i="12"/>
  <c r="AA333" i="12" s="1"/>
  <c r="AG333" i="12" s="1"/>
  <c r="AL349" i="12"/>
  <c r="X349" i="12"/>
  <c r="P349" i="12"/>
  <c r="K349" i="12"/>
  <c r="AJ349" i="12"/>
  <c r="V349" i="12"/>
  <c r="O349" i="12"/>
  <c r="Z349" i="12"/>
  <c r="AA349" i="12" s="1"/>
  <c r="AG349" i="12" s="1"/>
  <c r="V2" i="12"/>
  <c r="Z2" i="12" s="1"/>
  <c r="AA2" i="12" s="1"/>
  <c r="AG2" i="12" s="1"/>
  <c r="M3" i="12"/>
  <c r="N3" i="12" s="1"/>
  <c r="M6" i="12"/>
  <c r="P8" i="12"/>
  <c r="Z19" i="12"/>
  <c r="AA19" i="12" s="1"/>
  <c r="AG19" i="12" s="1"/>
  <c r="P27" i="12"/>
  <c r="V31" i="12"/>
  <c r="X31" i="12" s="1"/>
  <c r="Z35" i="12"/>
  <c r="AA35" i="12" s="1"/>
  <c r="AG35" i="12" s="1"/>
  <c r="P43" i="12"/>
  <c r="V47" i="12"/>
  <c r="X47" i="12" s="1"/>
  <c r="Z51" i="12"/>
  <c r="AA51" i="12" s="1"/>
  <c r="AG51" i="12" s="1"/>
  <c r="P59" i="12"/>
  <c r="V63" i="12"/>
  <c r="X63" i="12" s="1"/>
  <c r="Z67" i="12"/>
  <c r="AA67" i="12" s="1"/>
  <c r="AG67" i="12" s="1"/>
  <c r="P75" i="12"/>
  <c r="V79" i="12"/>
  <c r="X79" i="12" s="1"/>
  <c r="P91" i="12"/>
  <c r="V95" i="12"/>
  <c r="X95" i="12" s="1"/>
  <c r="P107" i="12"/>
  <c r="V111" i="12"/>
  <c r="X111" i="12" s="1"/>
  <c r="P123" i="12"/>
  <c r="V127" i="12"/>
  <c r="X127" i="12" s="1"/>
  <c r="P139" i="12"/>
  <c r="V143" i="12"/>
  <c r="X143" i="12" s="1"/>
  <c r="P150" i="12"/>
  <c r="V154" i="12"/>
  <c r="X154" i="12" s="1"/>
  <c r="P166" i="12"/>
  <c r="V170" i="12"/>
  <c r="X170" i="12" s="1"/>
  <c r="P182" i="12"/>
  <c r="V185" i="12"/>
  <c r="X185" i="12" s="1"/>
  <c r="P197" i="12"/>
  <c r="V201" i="12"/>
  <c r="X201" i="12" s="1"/>
  <c r="P213" i="12"/>
  <c r="V217" i="12"/>
  <c r="X217" i="12" s="1"/>
  <c r="P229" i="12"/>
  <c r="V233" i="12"/>
  <c r="X233" i="12" s="1"/>
  <c r="K241" i="12"/>
  <c r="P241" i="12"/>
  <c r="X241" i="12"/>
  <c r="AL241" i="12"/>
  <c r="K245" i="12"/>
  <c r="P245" i="12"/>
  <c r="X245" i="12"/>
  <c r="AL245" i="12"/>
  <c r="K249" i="12"/>
  <c r="P249" i="12"/>
  <c r="X249" i="12"/>
  <c r="AL249" i="12"/>
  <c r="K253" i="12"/>
  <c r="P253" i="12"/>
  <c r="X253" i="12"/>
  <c r="AL253" i="12"/>
  <c r="K257" i="12"/>
  <c r="P257" i="12"/>
  <c r="X257" i="12"/>
  <c r="AL257" i="12"/>
  <c r="K261" i="12"/>
  <c r="P261" i="12"/>
  <c r="X261" i="12"/>
  <c r="AL261" i="12"/>
  <c r="K265" i="12"/>
  <c r="P265" i="12"/>
  <c r="X265" i="12"/>
  <c r="AL265" i="12"/>
  <c r="K269" i="12"/>
  <c r="P269" i="12"/>
  <c r="X269" i="12"/>
  <c r="AL269" i="12"/>
  <c r="K273" i="12"/>
  <c r="P273" i="12"/>
  <c r="X273" i="12"/>
  <c r="AL273" i="12"/>
  <c r="K277" i="12"/>
  <c r="P277" i="12"/>
  <c r="X277" i="12"/>
  <c r="AL277" i="12"/>
  <c r="AL281" i="12"/>
  <c r="X281" i="12"/>
  <c r="P281" i="12"/>
  <c r="K281" i="12"/>
  <c r="T281" i="12"/>
  <c r="AJ281" i="12"/>
  <c r="AL285" i="12"/>
  <c r="X285" i="12"/>
  <c r="P285" i="12"/>
  <c r="K285" i="12"/>
  <c r="T285" i="12"/>
  <c r="AJ285" i="12"/>
  <c r="AL289" i="12"/>
  <c r="X289" i="12"/>
  <c r="P289" i="12"/>
  <c r="K289" i="12"/>
  <c r="AJ289" i="12"/>
  <c r="V289" i="12"/>
  <c r="O289" i="12"/>
  <c r="Z289" i="12"/>
  <c r="AA289" i="12" s="1"/>
  <c r="AG289" i="12" s="1"/>
  <c r="S297" i="12"/>
  <c r="N301" i="12"/>
  <c r="AI301" i="12"/>
  <c r="AL305" i="12"/>
  <c r="X305" i="12"/>
  <c r="P305" i="12"/>
  <c r="K305" i="12"/>
  <c r="AJ305" i="12"/>
  <c r="V305" i="12"/>
  <c r="O305" i="12"/>
  <c r="Z305" i="12"/>
  <c r="AA305" i="12" s="1"/>
  <c r="AG305" i="12" s="1"/>
  <c r="S313" i="12"/>
  <c r="N317" i="12"/>
  <c r="AI317" i="12"/>
  <c r="AL321" i="12"/>
  <c r="X321" i="12"/>
  <c r="P321" i="12"/>
  <c r="K321" i="12"/>
  <c r="AJ321" i="12"/>
  <c r="V321" i="12"/>
  <c r="O321" i="12"/>
  <c r="Z321" i="12"/>
  <c r="AA321" i="12" s="1"/>
  <c r="AG321" i="12" s="1"/>
  <c r="S329" i="12"/>
  <c r="N333" i="12"/>
  <c r="AI333" i="12"/>
  <c r="AL337" i="12"/>
  <c r="X337" i="12"/>
  <c r="P337" i="12"/>
  <c r="K337" i="12"/>
  <c r="AJ337" i="12"/>
  <c r="V337" i="12"/>
  <c r="O337" i="12"/>
  <c r="Z337" i="12"/>
  <c r="AA337" i="12" s="1"/>
  <c r="AG337" i="12" s="1"/>
  <c r="S345" i="12"/>
  <c r="N349" i="12"/>
  <c r="AI349" i="12"/>
  <c r="AI353" i="12"/>
  <c r="T353" i="12"/>
  <c r="N353" i="12"/>
  <c r="Z353" i="12"/>
  <c r="AA353" i="12" s="1"/>
  <c r="AG353" i="12" s="1"/>
  <c r="S353" i="12"/>
  <c r="V353" i="12"/>
  <c r="K353" i="12"/>
  <c r="AL353" i="12"/>
  <c r="P353" i="12"/>
  <c r="AJ421" i="12"/>
  <c r="V421" i="12"/>
  <c r="O421" i="12"/>
  <c r="Z421" i="12"/>
  <c r="AA421" i="12" s="1"/>
  <c r="AG421" i="12" s="1"/>
  <c r="P421" i="12"/>
  <c r="X421" i="12"/>
  <c r="N421" i="12"/>
  <c r="T421" i="12"/>
  <c r="S421" i="12"/>
  <c r="AJ453" i="12"/>
  <c r="V453" i="12"/>
  <c r="O453" i="12"/>
  <c r="Z453" i="12"/>
  <c r="AA453" i="12" s="1"/>
  <c r="AG453" i="12" s="1"/>
  <c r="P453" i="12"/>
  <c r="X453" i="12"/>
  <c r="N453" i="12"/>
  <c r="T453" i="12"/>
  <c r="S453" i="12"/>
  <c r="AJ485" i="12"/>
  <c r="V485" i="12"/>
  <c r="O485" i="12"/>
  <c r="Z485" i="12"/>
  <c r="AA485" i="12" s="1"/>
  <c r="AG485" i="12" s="1"/>
  <c r="P485" i="12"/>
  <c r="X485" i="12"/>
  <c r="N485" i="12"/>
  <c r="T485" i="12"/>
  <c r="S485" i="12"/>
  <c r="W6" i="12"/>
  <c r="AD6" i="12" s="1"/>
  <c r="P3" i="12"/>
  <c r="N6" i="12"/>
  <c r="V27" i="12"/>
  <c r="X27" i="12" s="1"/>
  <c r="V43" i="12"/>
  <c r="X43" i="12" s="1"/>
  <c r="V59" i="12"/>
  <c r="X59" i="12" s="1"/>
  <c r="V75" i="12"/>
  <c r="X75" i="12" s="1"/>
  <c r="V91" i="12"/>
  <c r="X91" i="12" s="1"/>
  <c r="V107" i="12"/>
  <c r="X107" i="12" s="1"/>
  <c r="V123" i="12"/>
  <c r="X123" i="12" s="1"/>
  <c r="V139" i="12"/>
  <c r="X139" i="12" s="1"/>
  <c r="V150" i="12"/>
  <c r="X150" i="12" s="1"/>
  <c r="V166" i="12"/>
  <c r="X166" i="12" s="1"/>
  <c r="V182" i="12"/>
  <c r="X182" i="12" s="1"/>
  <c r="V197" i="12"/>
  <c r="X197" i="12" s="1"/>
  <c r="V213" i="12"/>
  <c r="X213" i="12" s="1"/>
  <c r="V229" i="12"/>
  <c r="X229" i="12" s="1"/>
  <c r="S241" i="12"/>
  <c r="S245" i="12"/>
  <c r="S249" i="12"/>
  <c r="S253" i="12"/>
  <c r="S257" i="12"/>
  <c r="S261" i="12"/>
  <c r="S265" i="12"/>
  <c r="S269" i="12"/>
  <c r="S273" i="12"/>
  <c r="S277" i="12"/>
  <c r="AL293" i="12"/>
  <c r="X293" i="12"/>
  <c r="P293" i="12"/>
  <c r="K293" i="12"/>
  <c r="AJ293" i="12"/>
  <c r="V293" i="12"/>
  <c r="O293" i="12"/>
  <c r="Z293" i="12"/>
  <c r="AA293" i="12" s="1"/>
  <c r="AG293" i="12" s="1"/>
  <c r="S301" i="12"/>
  <c r="AL309" i="12"/>
  <c r="X309" i="12"/>
  <c r="P309" i="12"/>
  <c r="K309" i="12"/>
  <c r="AJ309" i="12"/>
  <c r="V309" i="12"/>
  <c r="O309" i="12"/>
  <c r="Z309" i="12"/>
  <c r="AA309" i="12" s="1"/>
  <c r="AG309" i="12" s="1"/>
  <c r="S317" i="12"/>
  <c r="AL325" i="12"/>
  <c r="X325" i="12"/>
  <c r="P325" i="12"/>
  <c r="K325" i="12"/>
  <c r="AJ325" i="12"/>
  <c r="V325" i="12"/>
  <c r="O325" i="12"/>
  <c r="Z325" i="12"/>
  <c r="AA325" i="12" s="1"/>
  <c r="AG325" i="12" s="1"/>
  <c r="S333" i="12"/>
  <c r="AL341" i="12"/>
  <c r="X341" i="12"/>
  <c r="P341" i="12"/>
  <c r="K341" i="12"/>
  <c r="AJ341" i="12"/>
  <c r="V341" i="12"/>
  <c r="O341" i="12"/>
  <c r="Z341" i="12"/>
  <c r="AA341" i="12" s="1"/>
  <c r="AG341" i="12" s="1"/>
  <c r="S349" i="12"/>
  <c r="AJ417" i="12"/>
  <c r="V417" i="12"/>
  <c r="O417" i="12"/>
  <c r="AI417" i="12"/>
  <c r="S417" i="12"/>
  <c r="K417" i="12"/>
  <c r="Z417" i="12"/>
  <c r="AA417" i="12" s="1"/>
  <c r="AG417" i="12" s="1"/>
  <c r="P417" i="12"/>
  <c r="X417" i="12"/>
  <c r="T417" i="12"/>
  <c r="AJ449" i="12"/>
  <c r="V449" i="12"/>
  <c r="O449" i="12"/>
  <c r="AI449" i="12"/>
  <c r="S449" i="12"/>
  <c r="K449" i="12"/>
  <c r="Z449" i="12"/>
  <c r="AA449" i="12" s="1"/>
  <c r="AG449" i="12" s="1"/>
  <c r="P449" i="12"/>
  <c r="X449" i="12"/>
  <c r="T449" i="12"/>
  <c r="AJ481" i="12"/>
  <c r="V481" i="12"/>
  <c r="O481" i="12"/>
  <c r="AI481" i="12"/>
  <c r="S481" i="12"/>
  <c r="K481" i="12"/>
  <c r="Z481" i="12"/>
  <c r="AA481" i="12" s="1"/>
  <c r="AG481" i="12" s="1"/>
  <c r="P481" i="12"/>
  <c r="X481" i="12"/>
  <c r="T481" i="12"/>
  <c r="AC6" i="12"/>
  <c r="AE6" i="12" s="1"/>
  <c r="AL297" i="12"/>
  <c r="X297" i="12"/>
  <c r="P297" i="12"/>
  <c r="K297" i="12"/>
  <c r="AJ297" i="12"/>
  <c r="V297" i="12"/>
  <c r="O297" i="12"/>
  <c r="Z297" i="12"/>
  <c r="AA297" i="12" s="1"/>
  <c r="AG297" i="12" s="1"/>
  <c r="T301" i="12"/>
  <c r="AL313" i="12"/>
  <c r="X313" i="12"/>
  <c r="P313" i="12"/>
  <c r="K313" i="12"/>
  <c r="AJ313" i="12"/>
  <c r="V313" i="12"/>
  <c r="O313" i="12"/>
  <c r="Z313" i="12"/>
  <c r="AA313" i="12" s="1"/>
  <c r="AG313" i="12" s="1"/>
  <c r="T317" i="12"/>
  <c r="AL329" i="12"/>
  <c r="X329" i="12"/>
  <c r="P329" i="12"/>
  <c r="K329" i="12"/>
  <c r="AJ329" i="12"/>
  <c r="V329" i="12"/>
  <c r="O329" i="12"/>
  <c r="Z329" i="12"/>
  <c r="AA329" i="12" s="1"/>
  <c r="AG329" i="12" s="1"/>
  <c r="T333" i="12"/>
  <c r="AL345" i="12"/>
  <c r="X345" i="12"/>
  <c r="P345" i="12"/>
  <c r="K345" i="12"/>
  <c r="AJ345" i="12"/>
  <c r="V345" i="12"/>
  <c r="O345" i="12"/>
  <c r="Z345" i="12"/>
  <c r="AA345" i="12" s="1"/>
  <c r="AG345" i="12" s="1"/>
  <c r="T349" i="12"/>
  <c r="AJ401" i="12"/>
  <c r="V401" i="12"/>
  <c r="O401" i="12"/>
  <c r="AI401" i="12"/>
  <c r="S401" i="12"/>
  <c r="K401" i="12"/>
  <c r="Z401" i="12"/>
  <c r="AA401" i="12" s="1"/>
  <c r="AG401" i="12" s="1"/>
  <c r="P401" i="12"/>
  <c r="AL401" i="12"/>
  <c r="K405" i="12"/>
  <c r="AJ433" i="12"/>
  <c r="V433" i="12"/>
  <c r="O433" i="12"/>
  <c r="AI433" i="12"/>
  <c r="S433" i="12"/>
  <c r="K433" i="12"/>
  <c r="Z433" i="12"/>
  <c r="AA433" i="12" s="1"/>
  <c r="AG433" i="12" s="1"/>
  <c r="P433" i="12"/>
  <c r="AL433" i="12"/>
  <c r="K437" i="12"/>
  <c r="AJ465" i="12"/>
  <c r="V465" i="12"/>
  <c r="O465" i="12"/>
  <c r="AI465" i="12"/>
  <c r="S465" i="12"/>
  <c r="K465" i="12"/>
  <c r="Z465" i="12"/>
  <c r="AA465" i="12" s="1"/>
  <c r="AG465" i="12" s="1"/>
  <c r="P465" i="12"/>
  <c r="AL465" i="12"/>
  <c r="K469" i="12"/>
  <c r="AJ405" i="12"/>
  <c r="V405" i="12"/>
  <c r="O405" i="12"/>
  <c r="Z405" i="12"/>
  <c r="AA405" i="12" s="1"/>
  <c r="AG405" i="12" s="1"/>
  <c r="P405" i="12"/>
  <c r="X405" i="12"/>
  <c r="N405" i="12"/>
  <c r="AL405" i="12"/>
  <c r="AJ437" i="12"/>
  <c r="V437" i="12"/>
  <c r="O437" i="12"/>
  <c r="Z437" i="12"/>
  <c r="AA437" i="12" s="1"/>
  <c r="AG437" i="12" s="1"/>
  <c r="P437" i="12"/>
  <c r="X437" i="12"/>
  <c r="N437" i="12"/>
  <c r="AL437" i="12"/>
  <c r="AJ469" i="12"/>
  <c r="V469" i="12"/>
  <c r="O469" i="12"/>
  <c r="Z469" i="12"/>
  <c r="AA469" i="12" s="1"/>
  <c r="AG469" i="12" s="1"/>
  <c r="P469" i="12"/>
  <c r="X469" i="12"/>
  <c r="N469" i="12"/>
  <c r="AL469" i="12"/>
  <c r="AJ497" i="12"/>
  <c r="V497" i="12"/>
  <c r="O497" i="12"/>
  <c r="AI497" i="12"/>
  <c r="S497" i="12"/>
  <c r="K497" i="12"/>
  <c r="Z497" i="12"/>
  <c r="AA497" i="12" s="1"/>
  <c r="AG497" i="12" s="1"/>
  <c r="P497" i="12"/>
  <c r="AL497" i="12"/>
  <c r="S357" i="12"/>
  <c r="Z357" i="12"/>
  <c r="AA357" i="12" s="1"/>
  <c r="AG357" i="12" s="1"/>
  <c r="S361" i="12"/>
  <c r="Z361" i="12"/>
  <c r="AA361" i="12" s="1"/>
  <c r="AG361" i="12" s="1"/>
  <c r="S365" i="12"/>
  <c r="Z365" i="12"/>
  <c r="AA365" i="12" s="1"/>
  <c r="AG365" i="12" s="1"/>
  <c r="S369" i="12"/>
  <c r="Z369" i="12"/>
  <c r="AA369" i="12" s="1"/>
  <c r="AG369" i="12" s="1"/>
  <c r="S373" i="12"/>
  <c r="Z373" i="12"/>
  <c r="AA373" i="12" s="1"/>
  <c r="AG373" i="12" s="1"/>
  <c r="S377" i="12"/>
  <c r="Z377" i="12"/>
  <c r="AA377" i="12" s="1"/>
  <c r="AG377" i="12" s="1"/>
  <c r="S381" i="12"/>
  <c r="Z381" i="12"/>
  <c r="AA381" i="12" s="1"/>
  <c r="AG381" i="12" s="1"/>
  <c r="S385" i="12"/>
  <c r="Z385" i="12"/>
  <c r="AA385" i="12" s="1"/>
  <c r="AG385" i="12" s="1"/>
  <c r="S389" i="12"/>
  <c r="Z389" i="12"/>
  <c r="AA389" i="12" s="1"/>
  <c r="AG389" i="12" s="1"/>
  <c r="AJ393" i="12"/>
  <c r="V393" i="12"/>
  <c r="O393" i="12"/>
  <c r="T393" i="12"/>
  <c r="AL393" i="12"/>
  <c r="K397" i="12"/>
  <c r="S397" i="12"/>
  <c r="AJ409" i="12"/>
  <c r="V409" i="12"/>
  <c r="O409" i="12"/>
  <c r="T409" i="12"/>
  <c r="AL409" i="12"/>
  <c r="K413" i="12"/>
  <c r="S413" i="12"/>
  <c r="AJ425" i="12"/>
  <c r="V425" i="12"/>
  <c r="O425" i="12"/>
  <c r="T425" i="12"/>
  <c r="AL425" i="12"/>
  <c r="K429" i="12"/>
  <c r="S429" i="12"/>
  <c r="AJ441" i="12"/>
  <c r="V441" i="12"/>
  <c r="O441" i="12"/>
  <c r="T441" i="12"/>
  <c r="AL441" i="12"/>
  <c r="K445" i="12"/>
  <c r="S445" i="12"/>
  <c r="AJ457" i="12"/>
  <c r="V457" i="12"/>
  <c r="O457" i="12"/>
  <c r="T457" i="12"/>
  <c r="AL457" i="12"/>
  <c r="K461" i="12"/>
  <c r="S461" i="12"/>
  <c r="AJ473" i="12"/>
  <c r="V473" i="12"/>
  <c r="O473" i="12"/>
  <c r="T473" i="12"/>
  <c r="AL473" i="12"/>
  <c r="K477" i="12"/>
  <c r="S477" i="12"/>
  <c r="AJ489" i="12"/>
  <c r="V489" i="12"/>
  <c r="O489" i="12"/>
  <c r="T489" i="12"/>
  <c r="AL489" i="12"/>
  <c r="K493" i="12"/>
  <c r="S493" i="12"/>
  <c r="N357" i="12"/>
  <c r="T357" i="12"/>
  <c r="N361" i="12"/>
  <c r="T361" i="12"/>
  <c r="N365" i="12"/>
  <c r="T365" i="12"/>
  <c r="N369" i="12"/>
  <c r="T369" i="12"/>
  <c r="N373" i="12"/>
  <c r="T373" i="12"/>
  <c r="N377" i="12"/>
  <c r="T377" i="12"/>
  <c r="N381" i="12"/>
  <c r="T381" i="12"/>
  <c r="N385" i="12"/>
  <c r="T385" i="12"/>
  <c r="N389" i="12"/>
  <c r="T389" i="12"/>
  <c r="N393" i="12"/>
  <c r="X393" i="12"/>
  <c r="AJ397" i="12"/>
  <c r="V397" i="12"/>
  <c r="O397" i="12"/>
  <c r="T397" i="12"/>
  <c r="AL397" i="12"/>
  <c r="N409" i="12"/>
  <c r="X409" i="12"/>
  <c r="AJ413" i="12"/>
  <c r="V413" i="12"/>
  <c r="O413" i="12"/>
  <c r="T413" i="12"/>
  <c r="AL413" i="12"/>
  <c r="N425" i="12"/>
  <c r="X425" i="12"/>
  <c r="AJ429" i="12"/>
  <c r="V429" i="12"/>
  <c r="O429" i="12"/>
  <c r="T429" i="12"/>
  <c r="AL429" i="12"/>
  <c r="N441" i="12"/>
  <c r="X441" i="12"/>
  <c r="AJ445" i="12"/>
  <c r="V445" i="12"/>
  <c r="O445" i="12"/>
  <c r="T445" i="12"/>
  <c r="AL445" i="12"/>
  <c r="N457" i="12"/>
  <c r="X457" i="12"/>
  <c r="AJ461" i="12"/>
  <c r="V461" i="12"/>
  <c r="O461" i="12"/>
  <c r="T461" i="12"/>
  <c r="AL461" i="12"/>
  <c r="N473" i="12"/>
  <c r="X473" i="12"/>
  <c r="AJ477" i="12"/>
  <c r="V477" i="12"/>
  <c r="O477" i="12"/>
  <c r="T477" i="12"/>
  <c r="AL477" i="12"/>
  <c r="X489" i="12"/>
  <c r="AJ493" i="12"/>
  <c r="V493" i="12"/>
  <c r="O493" i="12"/>
  <c r="T493" i="12"/>
  <c r="AL493" i="12"/>
  <c r="M7" i="3"/>
  <c r="E34" i="3"/>
  <c r="F35" i="3"/>
  <c r="X8" i="7"/>
  <c r="M4" i="7"/>
  <c r="AC4" i="7"/>
  <c r="AE4" i="7" s="1"/>
  <c r="AK4" i="7"/>
  <c r="T5" i="7"/>
  <c r="AJ5" i="7"/>
  <c r="Q8" i="7"/>
  <c r="AC8" i="7"/>
  <c r="AE8" i="7" s="1"/>
  <c r="AK8" i="7"/>
  <c r="T9" i="7"/>
  <c r="AB9" i="7"/>
  <c r="AJ9" i="7"/>
  <c r="T10" i="7"/>
  <c r="AB10" i="7"/>
  <c r="AJ10" i="7"/>
  <c r="X11" i="7"/>
  <c r="X12" i="7"/>
  <c r="T13" i="7"/>
  <c r="P14" i="7"/>
  <c r="AB14" i="7"/>
  <c r="P15" i="7"/>
  <c r="AB15" i="7"/>
  <c r="P16" i="7"/>
  <c r="X16" i="7"/>
  <c r="AB16" i="7"/>
  <c r="AJ16" i="7"/>
  <c r="T17" i="7"/>
  <c r="T18" i="7"/>
  <c r="T19" i="7"/>
  <c r="T20" i="7"/>
  <c r="T21" i="7"/>
  <c r="AB21" i="7"/>
  <c r="AJ21" i="7"/>
  <c r="T22" i="7"/>
  <c r="X23" i="7"/>
  <c r="T24" i="7"/>
  <c r="AJ24" i="7"/>
  <c r="T25" i="7"/>
  <c r="AB25" i="7"/>
  <c r="AJ25" i="7"/>
  <c r="T26" i="7"/>
  <c r="T27" i="7"/>
  <c r="AB27" i="7"/>
  <c r="AJ27" i="7"/>
  <c r="T28" i="7"/>
  <c r="X29" i="7"/>
  <c r="X30" i="7"/>
  <c r="T31" i="7"/>
  <c r="AB31" i="7"/>
  <c r="AJ31" i="7"/>
  <c r="P32" i="7"/>
  <c r="AB32" i="7"/>
  <c r="AJ32" i="7"/>
  <c r="T33" i="7"/>
  <c r="T34" i="7"/>
  <c r="AB34" i="7"/>
  <c r="AJ34" i="7"/>
  <c r="P35" i="7"/>
  <c r="X35" i="7"/>
  <c r="T36" i="7"/>
  <c r="T37" i="7"/>
  <c r="T38" i="7"/>
  <c r="X39" i="7"/>
  <c r="P40" i="7"/>
  <c r="X40" i="7"/>
  <c r="AJ40" i="7"/>
  <c r="T41" i="7"/>
  <c r="AB41" i="7"/>
  <c r="AJ41" i="7"/>
  <c r="P42" i="7"/>
  <c r="AB42" i="7"/>
  <c r="P43" i="7"/>
  <c r="T43" i="7"/>
  <c r="AB43" i="7"/>
  <c r="AJ43" i="7"/>
  <c r="P44" i="7"/>
  <c r="X44" i="7"/>
  <c r="AB44" i="7"/>
  <c r="AJ44" i="7"/>
  <c r="T45" i="7"/>
  <c r="AJ45" i="7"/>
  <c r="T46" i="7"/>
  <c r="X47" i="7"/>
  <c r="AB47" i="7"/>
  <c r="AJ47" i="7"/>
  <c r="T48" i="7"/>
  <c r="X49" i="7"/>
  <c r="AJ49" i="7"/>
  <c r="X50" i="7"/>
  <c r="AJ50" i="7"/>
  <c r="T51" i="7"/>
  <c r="AJ51" i="7"/>
  <c r="T52" i="7"/>
  <c r="AB52" i="7"/>
  <c r="AJ52" i="7"/>
  <c r="P53" i="7"/>
  <c r="X53" i="7"/>
  <c r="AB53" i="7"/>
  <c r="AJ53" i="7"/>
  <c r="P54" i="7"/>
  <c r="X54" i="7"/>
  <c r="AB54" i="7"/>
  <c r="AJ54" i="7"/>
  <c r="T55" i="7"/>
  <c r="AJ55" i="7"/>
  <c r="T56" i="7"/>
  <c r="T57" i="7"/>
  <c r="AJ57" i="7"/>
  <c r="P58" i="7"/>
  <c r="X58" i="7"/>
  <c r="AJ58" i="7"/>
  <c r="P59" i="7"/>
  <c r="X59" i="7"/>
  <c r="AB59" i="7"/>
  <c r="AJ59" i="7"/>
  <c r="P60" i="7"/>
  <c r="X60" i="7"/>
  <c r="AB60" i="7"/>
  <c r="AJ60" i="7"/>
  <c r="T61" i="7"/>
  <c r="T62" i="7"/>
  <c r="AJ62" i="7"/>
  <c r="P63" i="7"/>
  <c r="X63" i="7"/>
  <c r="P64" i="7"/>
  <c r="X64" i="7"/>
  <c r="X65" i="7"/>
  <c r="P66" i="7"/>
  <c r="AJ66" i="7"/>
  <c r="AO4" i="18"/>
  <c r="AO4" i="17"/>
  <c r="AO4" i="16"/>
  <c r="AO4" i="15"/>
  <c r="AO4" i="14"/>
  <c r="AO4" i="13"/>
  <c r="O10" i="13" s="1"/>
  <c r="AO4" i="11"/>
  <c r="AO4" i="10"/>
  <c r="AO4" i="12"/>
  <c r="AO4" i="9"/>
  <c r="D16" i="1"/>
  <c r="D20" i="1"/>
  <c r="K7" i="3"/>
  <c r="C30" i="3"/>
  <c r="D31" i="3"/>
  <c r="L31" i="3"/>
  <c r="F33" i="3"/>
  <c r="C34" i="3"/>
  <c r="K34" i="3"/>
  <c r="D35" i="3"/>
  <c r="L35" i="3"/>
  <c r="P2" i="7"/>
  <c r="T2" i="7"/>
  <c r="X2" i="7"/>
  <c r="AB2" i="7"/>
  <c r="AJ2" i="7"/>
  <c r="N4" i="7"/>
  <c r="R4" i="7"/>
  <c r="V4" i="7"/>
  <c r="Z4" i="7"/>
  <c r="AH4" i="7"/>
  <c r="AL4" i="7"/>
  <c r="M5" i="7"/>
  <c r="Q5" i="7"/>
  <c r="U5" i="7"/>
  <c r="AF5" i="7" s="1"/>
  <c r="AC5" i="7"/>
  <c r="AE5" i="7" s="1"/>
  <c r="AK5" i="7"/>
  <c r="P6" i="7"/>
  <c r="T6" i="7"/>
  <c r="X6" i="7"/>
  <c r="AB6" i="7"/>
  <c r="AJ6" i="7"/>
  <c r="N8" i="7"/>
  <c r="R8" i="7"/>
  <c r="V8" i="7"/>
  <c r="Z8" i="7"/>
  <c r="AH8" i="7"/>
  <c r="AL8" i="7"/>
  <c r="M9" i="7"/>
  <c r="Q9" i="7"/>
  <c r="U9" i="7"/>
  <c r="AF9" i="7" s="1"/>
  <c r="AC9" i="7"/>
  <c r="AE9" i="7" s="1"/>
  <c r="AK9" i="7"/>
  <c r="M10" i="7"/>
  <c r="Q10" i="7"/>
  <c r="U10" i="7"/>
  <c r="AF10" i="7" s="1"/>
  <c r="AC10" i="7"/>
  <c r="AE10" i="7" s="1"/>
  <c r="AK10" i="7"/>
  <c r="M11" i="7"/>
  <c r="Q11" i="7"/>
  <c r="U11" i="7"/>
  <c r="AF11" i="7" s="1"/>
  <c r="Y11" i="7"/>
  <c r="AC11" i="7"/>
  <c r="AE11" i="7" s="1"/>
  <c r="AK11" i="7"/>
  <c r="M12" i="7"/>
  <c r="Q12" i="7"/>
  <c r="U12" i="7"/>
  <c r="AF12" i="7" s="1"/>
  <c r="Y12" i="7"/>
  <c r="AC12" i="7"/>
  <c r="AE12" i="7" s="1"/>
  <c r="AK12" i="7"/>
  <c r="M13" i="7"/>
  <c r="Q13" i="7"/>
  <c r="U13" i="7"/>
  <c r="AF13" i="7" s="1"/>
  <c r="AC13" i="7"/>
  <c r="AE13" i="7" s="1"/>
  <c r="AK13" i="7"/>
  <c r="M14" i="7"/>
  <c r="Q14" i="7"/>
  <c r="U14" i="7"/>
  <c r="AF14" i="7" s="1"/>
  <c r="AC14" i="7"/>
  <c r="AE14" i="7" s="1"/>
  <c r="AK14" i="7"/>
  <c r="M15" i="7"/>
  <c r="Q15" i="7"/>
  <c r="U15" i="7"/>
  <c r="AF15" i="7" s="1"/>
  <c r="AC15" i="7"/>
  <c r="AE15" i="7" s="1"/>
  <c r="AK15" i="7"/>
  <c r="M16" i="7"/>
  <c r="Q16" i="7"/>
  <c r="U16" i="7"/>
  <c r="AF16" i="7" s="1"/>
  <c r="Y16" i="7"/>
  <c r="AC16" i="7"/>
  <c r="AE16" i="7" s="1"/>
  <c r="AK16" i="7"/>
  <c r="M17" i="7"/>
  <c r="Q17" i="7"/>
  <c r="U17" i="7"/>
  <c r="AF17" i="7" s="1"/>
  <c r="AC17" i="7"/>
  <c r="AE17" i="7" s="1"/>
  <c r="AK17" i="7"/>
  <c r="M18" i="7"/>
  <c r="Q18" i="7"/>
  <c r="U18" i="7"/>
  <c r="AF18" i="7" s="1"/>
  <c r="AC18" i="7"/>
  <c r="AE18" i="7" s="1"/>
  <c r="AK18" i="7"/>
  <c r="M19" i="7"/>
  <c r="Q19" i="7"/>
  <c r="U19" i="7"/>
  <c r="AF19" i="7" s="1"/>
  <c r="AC19" i="7"/>
  <c r="AE19" i="7" s="1"/>
  <c r="AK19" i="7"/>
  <c r="M20" i="7"/>
  <c r="Q20" i="7"/>
  <c r="U20" i="7"/>
  <c r="AF20" i="7" s="1"/>
  <c r="AC20" i="7"/>
  <c r="AE20" i="7" s="1"/>
  <c r="AK20" i="7"/>
  <c r="M21" i="7"/>
  <c r="Q21" i="7"/>
  <c r="U21" i="7"/>
  <c r="AF21" i="7" s="1"/>
  <c r="AC21" i="7"/>
  <c r="AE21" i="7" s="1"/>
  <c r="AK21" i="7"/>
  <c r="M22" i="7"/>
  <c r="Q22" i="7"/>
  <c r="U22" i="7"/>
  <c r="AF22" i="7" s="1"/>
  <c r="AC22" i="7"/>
  <c r="AE22" i="7" s="1"/>
  <c r="AK22" i="7"/>
  <c r="M23" i="7"/>
  <c r="Q23" i="7"/>
  <c r="U23" i="7"/>
  <c r="AF23" i="7" s="1"/>
  <c r="Y23" i="7"/>
  <c r="AC23" i="7"/>
  <c r="AE23" i="7" s="1"/>
  <c r="AK23" i="7"/>
  <c r="M24" i="7"/>
  <c r="Q24" i="7"/>
  <c r="U24" i="7"/>
  <c r="AF24" i="7" s="1"/>
  <c r="AC24" i="7"/>
  <c r="AE24" i="7" s="1"/>
  <c r="AK24" i="7"/>
  <c r="M25" i="7"/>
  <c r="Q25" i="7"/>
  <c r="U25" i="7"/>
  <c r="AF25" i="7" s="1"/>
  <c r="AC25" i="7"/>
  <c r="AE25" i="7" s="1"/>
  <c r="AK25" i="7"/>
  <c r="M26" i="7"/>
  <c r="Q26" i="7"/>
  <c r="U26" i="7"/>
  <c r="AF26" i="7" s="1"/>
  <c r="AC26" i="7"/>
  <c r="AE26" i="7" s="1"/>
  <c r="AK26" i="7"/>
  <c r="M27" i="7"/>
  <c r="Q27" i="7"/>
  <c r="U27" i="7"/>
  <c r="AF27" i="7" s="1"/>
  <c r="AC27" i="7"/>
  <c r="AE27" i="7" s="1"/>
  <c r="AK27" i="7"/>
  <c r="M28" i="7"/>
  <c r="Q28" i="7"/>
  <c r="U28" i="7"/>
  <c r="AF28" i="7" s="1"/>
  <c r="Y28" i="7"/>
  <c r="AC28" i="7"/>
  <c r="AE28" i="7" s="1"/>
  <c r="AK28" i="7"/>
  <c r="M29" i="7"/>
  <c r="Q29" i="7"/>
  <c r="U29" i="7"/>
  <c r="AF29" i="7" s="1"/>
  <c r="Y29" i="7"/>
  <c r="AC29" i="7"/>
  <c r="AE29" i="7" s="1"/>
  <c r="AK29" i="7"/>
  <c r="M30" i="7"/>
  <c r="Q30" i="7"/>
  <c r="U30" i="7"/>
  <c r="AF30" i="7" s="1"/>
  <c r="Y30" i="7"/>
  <c r="AC30" i="7"/>
  <c r="AE30" i="7" s="1"/>
  <c r="AK30" i="7"/>
  <c r="M31" i="7"/>
  <c r="Q31" i="7"/>
  <c r="U31" i="7"/>
  <c r="AF31" i="7" s="1"/>
  <c r="AC31" i="7"/>
  <c r="AE31" i="7" s="1"/>
  <c r="AK31" i="7"/>
  <c r="M32" i="7"/>
  <c r="Q32" i="7"/>
  <c r="U32" i="7"/>
  <c r="AF32" i="7" s="1"/>
  <c r="AC32" i="7"/>
  <c r="AE32" i="7" s="1"/>
  <c r="AK32" i="7"/>
  <c r="M33" i="7"/>
  <c r="Q33" i="7"/>
  <c r="U33" i="7"/>
  <c r="AF33" i="7" s="1"/>
  <c r="AC33" i="7"/>
  <c r="AE33" i="7" s="1"/>
  <c r="AK33" i="7"/>
  <c r="M34" i="7"/>
  <c r="Q34" i="7"/>
  <c r="U34" i="7"/>
  <c r="AF34" i="7" s="1"/>
  <c r="AC34" i="7"/>
  <c r="AE34" i="7" s="1"/>
  <c r="AK34" i="7"/>
  <c r="M35" i="7"/>
  <c r="Q35" i="7"/>
  <c r="U35" i="7"/>
  <c r="AF35" i="7" s="1"/>
  <c r="Y35" i="7"/>
  <c r="AC35" i="7"/>
  <c r="AE35" i="7" s="1"/>
  <c r="AK35" i="7"/>
  <c r="M36" i="7"/>
  <c r="Q36" i="7"/>
  <c r="U36" i="7"/>
  <c r="AF36" i="7" s="1"/>
  <c r="AC36" i="7"/>
  <c r="AE36" i="7" s="1"/>
  <c r="AK36" i="7"/>
  <c r="M37" i="7"/>
  <c r="Q37" i="7"/>
  <c r="U37" i="7"/>
  <c r="AF37" i="7" s="1"/>
  <c r="AC37" i="7"/>
  <c r="AE37" i="7" s="1"/>
  <c r="AK37" i="7"/>
  <c r="M38" i="7"/>
  <c r="Q38" i="7"/>
  <c r="U38" i="7"/>
  <c r="AF38" i="7" s="1"/>
  <c r="AC38" i="7"/>
  <c r="AE38" i="7" s="1"/>
  <c r="AK38" i="7"/>
  <c r="M39" i="7"/>
  <c r="Q39" i="7"/>
  <c r="U39" i="7"/>
  <c r="AF39" i="7" s="1"/>
  <c r="Y39" i="7"/>
  <c r="AC39" i="7"/>
  <c r="AE39" i="7" s="1"/>
  <c r="AK39" i="7"/>
  <c r="M40" i="7"/>
  <c r="Q40" i="7"/>
  <c r="U40" i="7"/>
  <c r="AF40" i="7" s="1"/>
  <c r="Y40" i="7"/>
  <c r="AC40" i="7"/>
  <c r="AE40" i="7" s="1"/>
  <c r="AK40" i="7"/>
  <c r="M41" i="7"/>
  <c r="Q41" i="7"/>
  <c r="U41" i="7"/>
  <c r="AF41" i="7" s="1"/>
  <c r="AC41" i="7"/>
  <c r="AE41" i="7" s="1"/>
  <c r="AK41" i="7"/>
  <c r="M42" i="7"/>
  <c r="Q42" i="7"/>
  <c r="U42" i="7"/>
  <c r="AF42" i="7" s="1"/>
  <c r="AC42" i="7"/>
  <c r="AE42" i="7" s="1"/>
  <c r="AK42" i="7"/>
  <c r="M43" i="7"/>
  <c r="Q43" i="7"/>
  <c r="U43" i="7"/>
  <c r="AF43" i="7" s="1"/>
  <c r="AC43" i="7"/>
  <c r="AE43" i="7" s="1"/>
  <c r="AK43" i="7"/>
  <c r="M44" i="7"/>
  <c r="Q44" i="7"/>
  <c r="U44" i="7"/>
  <c r="AF44" i="7" s="1"/>
  <c r="Y44" i="7"/>
  <c r="AC44" i="7"/>
  <c r="AE44" i="7" s="1"/>
  <c r="AK44" i="7"/>
  <c r="M45" i="7"/>
  <c r="Q45" i="7"/>
  <c r="U45" i="7"/>
  <c r="AF45" i="7" s="1"/>
  <c r="AC45" i="7"/>
  <c r="AE45" i="7" s="1"/>
  <c r="AK45" i="7"/>
  <c r="M46" i="7"/>
  <c r="Q46" i="7"/>
  <c r="U46" i="7"/>
  <c r="AF46" i="7" s="1"/>
  <c r="AC46" i="7"/>
  <c r="AE46" i="7" s="1"/>
  <c r="AK46" i="7"/>
  <c r="M47" i="7"/>
  <c r="Q47" i="7"/>
  <c r="U47" i="7"/>
  <c r="AF47" i="7" s="1"/>
  <c r="Y47" i="7"/>
  <c r="AC47" i="7"/>
  <c r="AE47" i="7" s="1"/>
  <c r="AK47" i="7"/>
  <c r="M48" i="7"/>
  <c r="Q48" i="7"/>
  <c r="U48" i="7"/>
  <c r="AF48" i="7" s="1"/>
  <c r="AC48" i="7"/>
  <c r="AE48" i="7" s="1"/>
  <c r="AK48" i="7"/>
  <c r="M49" i="7"/>
  <c r="Q49" i="7"/>
  <c r="U49" i="7"/>
  <c r="AF49" i="7" s="1"/>
  <c r="Y49" i="7"/>
  <c r="AC49" i="7"/>
  <c r="AE49" i="7" s="1"/>
  <c r="AK49" i="7"/>
  <c r="M50" i="7"/>
  <c r="Q50" i="7"/>
  <c r="U50" i="7"/>
  <c r="AF50" i="7" s="1"/>
  <c r="Y50" i="7"/>
  <c r="AC50" i="7"/>
  <c r="AE50" i="7" s="1"/>
  <c r="AK50" i="7"/>
  <c r="M51" i="7"/>
  <c r="Q51" i="7"/>
  <c r="U51" i="7"/>
  <c r="AF51" i="7" s="1"/>
  <c r="AC51" i="7"/>
  <c r="AE51" i="7" s="1"/>
  <c r="AK51" i="7"/>
  <c r="M52" i="7"/>
  <c r="Q52" i="7"/>
  <c r="U52" i="7"/>
  <c r="AF52" i="7" s="1"/>
  <c r="AC52" i="7"/>
  <c r="AE52" i="7" s="1"/>
  <c r="AK52" i="7"/>
  <c r="M53" i="7"/>
  <c r="Q53" i="7"/>
  <c r="U53" i="7"/>
  <c r="AF53" i="7" s="1"/>
  <c r="Y53" i="7"/>
  <c r="AC53" i="7"/>
  <c r="AE53" i="7" s="1"/>
  <c r="AK53" i="7"/>
  <c r="M54" i="7"/>
  <c r="Q54" i="7"/>
  <c r="U54" i="7"/>
  <c r="AF54" i="7" s="1"/>
  <c r="Y54" i="7"/>
  <c r="AC54" i="7"/>
  <c r="AE54" i="7" s="1"/>
  <c r="AK54" i="7"/>
  <c r="M55" i="7"/>
  <c r="Q55" i="7"/>
  <c r="U55" i="7"/>
  <c r="AF55" i="7" s="1"/>
  <c r="AC55" i="7"/>
  <c r="AE55" i="7" s="1"/>
  <c r="AK55" i="7"/>
  <c r="M56" i="7"/>
  <c r="Q56" i="7"/>
  <c r="U56" i="7"/>
  <c r="AF56" i="7" s="1"/>
  <c r="AC56" i="7"/>
  <c r="AE56" i="7" s="1"/>
  <c r="AK56" i="7"/>
  <c r="M57" i="7"/>
  <c r="Q57" i="7"/>
  <c r="U57" i="7"/>
  <c r="AF57" i="7" s="1"/>
  <c r="AC57" i="7"/>
  <c r="AE57" i="7" s="1"/>
  <c r="AK57" i="7"/>
  <c r="M58" i="7"/>
  <c r="Q58" i="7"/>
  <c r="U58" i="7"/>
  <c r="AF58" i="7" s="1"/>
  <c r="Y58" i="7"/>
  <c r="AC58" i="7"/>
  <c r="AE58" i="7" s="1"/>
  <c r="AK58" i="7"/>
  <c r="M59" i="7"/>
  <c r="Q59" i="7"/>
  <c r="U59" i="7"/>
  <c r="AF59" i="7" s="1"/>
  <c r="Y59" i="7"/>
  <c r="AC59" i="7"/>
  <c r="AE59" i="7" s="1"/>
  <c r="AK59" i="7"/>
  <c r="M60" i="7"/>
  <c r="Q60" i="7"/>
  <c r="U60" i="7"/>
  <c r="AF60" i="7" s="1"/>
  <c r="Y60" i="7"/>
  <c r="AC60" i="7"/>
  <c r="AE60" i="7" s="1"/>
  <c r="AK60" i="7"/>
  <c r="M61" i="7"/>
  <c r="Q61" i="7"/>
  <c r="U61" i="7"/>
  <c r="AF61" i="7" s="1"/>
  <c r="AC61" i="7"/>
  <c r="AE61" i="7" s="1"/>
  <c r="AK61" i="7"/>
  <c r="M62" i="7"/>
  <c r="Q62" i="7"/>
  <c r="U62" i="7"/>
  <c r="AF62" i="7" s="1"/>
  <c r="AC62" i="7"/>
  <c r="AE62" i="7" s="1"/>
  <c r="AK62" i="7"/>
  <c r="M63" i="7"/>
  <c r="Q63" i="7"/>
  <c r="U63" i="7"/>
  <c r="AF63" i="7" s="1"/>
  <c r="Y63" i="7"/>
  <c r="AC63" i="7"/>
  <c r="AE63" i="7" s="1"/>
  <c r="AK63" i="7"/>
  <c r="M64" i="7"/>
  <c r="Q64" i="7"/>
  <c r="U64" i="7"/>
  <c r="AF64" i="7" s="1"/>
  <c r="Y64" i="7"/>
  <c r="AC64" i="7"/>
  <c r="AE64" i="7" s="1"/>
  <c r="AK64" i="7"/>
  <c r="M65" i="7"/>
  <c r="Q65" i="7"/>
  <c r="U65" i="7"/>
  <c r="AF65" i="7" s="1"/>
  <c r="Y65" i="7"/>
  <c r="AC65" i="7"/>
  <c r="AE65" i="7" s="1"/>
  <c r="AK65" i="7"/>
  <c r="M66" i="7"/>
  <c r="Q66" i="7"/>
  <c r="U66" i="7"/>
  <c r="AF66" i="7" s="1"/>
  <c r="AC66" i="7"/>
  <c r="AE66" i="7" s="1"/>
  <c r="AK66" i="7"/>
  <c r="M67" i="7"/>
  <c r="Q67" i="7"/>
  <c r="U67" i="7"/>
  <c r="AF67" i="7" s="1"/>
  <c r="AC67" i="7"/>
  <c r="AE67" i="7" s="1"/>
  <c r="AK67" i="7"/>
  <c r="M68" i="7"/>
  <c r="Q68" i="7"/>
  <c r="U68" i="7"/>
  <c r="AF68" i="7" s="1"/>
  <c r="AC68" i="7"/>
  <c r="AE68" i="7" s="1"/>
  <c r="AK68" i="7"/>
  <c r="M69" i="7"/>
  <c r="Q69" i="7"/>
  <c r="U69" i="7"/>
  <c r="AF69" i="7" s="1"/>
  <c r="AC69" i="7"/>
  <c r="AE69" i="7" s="1"/>
  <c r="AK69" i="7"/>
  <c r="M70" i="7"/>
  <c r="Q70" i="7"/>
  <c r="U70" i="7"/>
  <c r="AF70" i="7" s="1"/>
  <c r="AC70" i="7"/>
  <c r="AE70" i="7" s="1"/>
  <c r="AK70" i="7"/>
  <c r="M71" i="7"/>
  <c r="Q71" i="7"/>
  <c r="U71" i="7"/>
  <c r="AF71" i="7" s="1"/>
  <c r="AC71" i="7"/>
  <c r="AE71" i="7" s="1"/>
  <c r="AK71" i="7"/>
  <c r="M72" i="7"/>
  <c r="Q72" i="7"/>
  <c r="U72" i="7"/>
  <c r="AF72" i="7" s="1"/>
  <c r="AC72" i="7"/>
  <c r="AE72" i="7" s="1"/>
  <c r="AK72" i="7"/>
  <c r="M73" i="7"/>
  <c r="Q73" i="7"/>
  <c r="U73" i="7"/>
  <c r="AF73" i="7" s="1"/>
  <c r="AC73" i="7"/>
  <c r="AE73" i="7" s="1"/>
  <c r="AK73" i="7"/>
  <c r="M74" i="7"/>
  <c r="Q74" i="7"/>
  <c r="U74" i="7"/>
  <c r="AF74" i="7" s="1"/>
  <c r="AC74" i="7"/>
  <c r="AE74" i="7" s="1"/>
  <c r="AK74" i="7"/>
  <c r="M75" i="7"/>
  <c r="Q75" i="7"/>
  <c r="U75" i="7"/>
  <c r="AF75" i="7" s="1"/>
  <c r="AC75" i="7"/>
  <c r="AE75" i="7" s="1"/>
  <c r="AK75" i="7"/>
  <c r="M76" i="7"/>
  <c r="Q76" i="7"/>
  <c r="U76" i="7"/>
  <c r="AF76" i="7" s="1"/>
  <c r="AC76" i="7"/>
  <c r="AE76" i="7" s="1"/>
  <c r="AK76" i="7"/>
  <c r="M77" i="7"/>
  <c r="Q77" i="7"/>
  <c r="U77" i="7"/>
  <c r="AF77" i="7" s="1"/>
  <c r="AC77" i="7"/>
  <c r="AE77" i="7" s="1"/>
  <c r="AK77" i="7"/>
  <c r="M78" i="7"/>
  <c r="Q78" i="7"/>
  <c r="U78" i="7"/>
  <c r="AF78" i="7" s="1"/>
  <c r="AC78" i="7"/>
  <c r="AE78" i="7" s="1"/>
  <c r="AK78" i="7"/>
  <c r="M79" i="7"/>
  <c r="Q79" i="7"/>
  <c r="U79" i="7"/>
  <c r="AF79" i="7" s="1"/>
  <c r="AC79" i="7"/>
  <c r="AE79" i="7" s="1"/>
  <c r="AK79" i="7"/>
  <c r="M80" i="7"/>
  <c r="Q80" i="7"/>
  <c r="U80" i="7"/>
  <c r="AF80" i="7" s="1"/>
  <c r="AC80" i="7"/>
  <c r="AE80" i="7" s="1"/>
  <c r="AK80" i="7"/>
  <c r="M81" i="7"/>
  <c r="Q81" i="7"/>
  <c r="U81" i="7"/>
  <c r="AF81" i="7" s="1"/>
  <c r="AC81" i="7"/>
  <c r="AE81" i="7" s="1"/>
  <c r="AK81" i="7"/>
  <c r="M82" i="7"/>
  <c r="Q82" i="7"/>
  <c r="U82" i="7"/>
  <c r="AF82" i="7" s="1"/>
  <c r="AC82" i="7"/>
  <c r="AE82" i="7" s="1"/>
  <c r="AK82" i="7"/>
  <c r="M83" i="7"/>
  <c r="Q83" i="7"/>
  <c r="U83" i="7"/>
  <c r="AF83" i="7" s="1"/>
  <c r="AC83" i="7"/>
  <c r="AE83" i="7" s="1"/>
  <c r="AK83" i="7"/>
  <c r="M84" i="7"/>
  <c r="Q84" i="7"/>
  <c r="U84" i="7"/>
  <c r="AF84" i="7" s="1"/>
  <c r="AC84" i="7"/>
  <c r="AE84" i="7" s="1"/>
  <c r="AK84" i="7"/>
  <c r="M85" i="7"/>
  <c r="Q85" i="7"/>
  <c r="U85" i="7"/>
  <c r="AF85" i="7" s="1"/>
  <c r="AC85" i="7"/>
  <c r="AE85" i="7" s="1"/>
  <c r="AK85" i="7"/>
  <c r="M86" i="7"/>
  <c r="Q86" i="7"/>
  <c r="U86" i="7"/>
  <c r="AF86" i="7" s="1"/>
  <c r="AC86" i="7"/>
  <c r="AE86" i="7" s="1"/>
  <c r="AK86" i="7"/>
  <c r="M87" i="7"/>
  <c r="Q87" i="7"/>
  <c r="U87" i="7"/>
  <c r="AF87" i="7" s="1"/>
  <c r="AC87" i="7"/>
  <c r="AE87" i="7" s="1"/>
  <c r="AK87" i="7"/>
  <c r="M88" i="7"/>
  <c r="Q88" i="7"/>
  <c r="U88" i="7"/>
  <c r="AF88" i="7" s="1"/>
  <c r="AC88" i="7"/>
  <c r="AE88" i="7" s="1"/>
  <c r="AK88" i="7"/>
  <c r="M89" i="7"/>
  <c r="Q89" i="7"/>
  <c r="U89" i="7"/>
  <c r="AF89" i="7" s="1"/>
  <c r="AC89" i="7"/>
  <c r="AE89" i="7" s="1"/>
  <c r="AK89" i="7"/>
  <c r="M90" i="7"/>
  <c r="Q90" i="7"/>
  <c r="U90" i="7"/>
  <c r="AF90" i="7" s="1"/>
  <c r="AC90" i="7"/>
  <c r="AE90" i="7" s="1"/>
  <c r="AK90" i="7"/>
  <c r="M91" i="7"/>
  <c r="Q91" i="7"/>
  <c r="U91" i="7"/>
  <c r="AF91" i="7" s="1"/>
  <c r="AC91" i="7"/>
  <c r="AE91" i="7" s="1"/>
  <c r="AK91" i="7"/>
  <c r="M92" i="7"/>
  <c r="Q92" i="7"/>
  <c r="U92" i="7"/>
  <c r="AF92" i="7" s="1"/>
  <c r="AC92" i="7"/>
  <c r="AE92" i="7" s="1"/>
  <c r="AK92" i="7"/>
  <c r="M93" i="7"/>
  <c r="Q93" i="7"/>
  <c r="U93" i="7"/>
  <c r="AF93" i="7" s="1"/>
  <c r="AC93" i="7"/>
  <c r="AE93" i="7" s="1"/>
  <c r="AK93" i="7"/>
  <c r="M94" i="7"/>
  <c r="Q94" i="7"/>
  <c r="U94" i="7"/>
  <c r="AF94" i="7" s="1"/>
  <c r="AC94" i="7"/>
  <c r="AE94" i="7" s="1"/>
  <c r="AK94" i="7"/>
  <c r="M95" i="7"/>
  <c r="Q95" i="7"/>
  <c r="U95" i="7"/>
  <c r="AF95" i="7" s="1"/>
  <c r="AC95" i="7"/>
  <c r="AE95" i="7" s="1"/>
  <c r="AK95" i="7"/>
  <c r="M96" i="7"/>
  <c r="Q96" i="7"/>
  <c r="U96" i="7"/>
  <c r="AF96" i="7" s="1"/>
  <c r="AC96" i="7"/>
  <c r="AE96" i="7" s="1"/>
  <c r="AK96" i="7"/>
  <c r="M97" i="7"/>
  <c r="Q97" i="7"/>
  <c r="U97" i="7"/>
  <c r="AF97" i="7" s="1"/>
  <c r="AC97" i="7"/>
  <c r="AE97" i="7" s="1"/>
  <c r="AK97" i="7"/>
  <c r="M98" i="7"/>
  <c r="Q98" i="7"/>
  <c r="U98" i="7"/>
  <c r="AF98" i="7" s="1"/>
  <c r="AC98" i="7"/>
  <c r="AE98" i="7" s="1"/>
  <c r="AK98" i="7"/>
  <c r="M99" i="7"/>
  <c r="Q99" i="7"/>
  <c r="U99" i="7"/>
  <c r="AF99" i="7" s="1"/>
  <c r="AC99" i="7"/>
  <c r="AE99" i="7" s="1"/>
  <c r="AK99" i="7"/>
  <c r="M100" i="7"/>
  <c r="Q100" i="7"/>
  <c r="U100" i="7"/>
  <c r="AF100" i="7" s="1"/>
  <c r="AC100" i="7"/>
  <c r="AE100" i="7" s="1"/>
  <c r="AK100" i="7"/>
  <c r="M101" i="7"/>
  <c r="Q101" i="7"/>
  <c r="U101" i="7"/>
  <c r="AF101" i="7" s="1"/>
  <c r="AC101" i="7"/>
  <c r="AE101" i="7" s="1"/>
  <c r="AK101" i="7"/>
  <c r="M102" i="7"/>
  <c r="Q102" i="7"/>
  <c r="U102" i="7"/>
  <c r="AF102" i="7" s="1"/>
  <c r="AC102" i="7"/>
  <c r="AE102" i="7" s="1"/>
  <c r="AK102" i="7"/>
  <c r="M103" i="7"/>
  <c r="Q103" i="7"/>
  <c r="U103" i="7"/>
  <c r="AF103" i="7" s="1"/>
  <c r="AC103" i="7"/>
  <c r="AE103" i="7" s="1"/>
  <c r="AK103" i="7"/>
  <c r="M104" i="7"/>
  <c r="Q104" i="7"/>
  <c r="U104" i="7"/>
  <c r="AF104" i="7" s="1"/>
  <c r="AC104" i="7"/>
  <c r="AE104" i="7" s="1"/>
  <c r="AK104" i="7"/>
  <c r="M105" i="7"/>
  <c r="Q105" i="7"/>
  <c r="U105" i="7"/>
  <c r="AF105" i="7" s="1"/>
  <c r="AC105" i="7"/>
  <c r="AE105" i="7" s="1"/>
  <c r="AK105" i="7"/>
  <c r="M106" i="7"/>
  <c r="Q106" i="7"/>
  <c r="U106" i="7"/>
  <c r="AF106" i="7" s="1"/>
  <c r="AC106" i="7"/>
  <c r="AE106" i="7" s="1"/>
  <c r="AK106" i="7"/>
  <c r="M107" i="7"/>
  <c r="Q107" i="7"/>
  <c r="U107" i="7"/>
  <c r="AF107" i="7" s="1"/>
  <c r="AC107" i="7"/>
  <c r="AE107" i="7" s="1"/>
  <c r="AK107" i="7"/>
  <c r="M108" i="7"/>
  <c r="Q108" i="7"/>
  <c r="U108" i="7"/>
  <c r="AF108" i="7" s="1"/>
  <c r="AC108" i="7"/>
  <c r="AE108" i="7" s="1"/>
  <c r="AK108" i="7"/>
  <c r="M109" i="7"/>
  <c r="Q109" i="7"/>
  <c r="U109" i="7"/>
  <c r="AF109" i="7" s="1"/>
  <c r="AC109" i="7"/>
  <c r="AE109" i="7" s="1"/>
  <c r="AK109" i="7"/>
  <c r="M110" i="7"/>
  <c r="Q110" i="7"/>
  <c r="U110" i="7"/>
  <c r="AF110" i="7" s="1"/>
  <c r="AC110" i="7"/>
  <c r="AE110" i="7" s="1"/>
  <c r="AK110" i="7"/>
  <c r="M111" i="7"/>
  <c r="Q111" i="7"/>
  <c r="U111" i="7"/>
  <c r="AF111" i="7" s="1"/>
  <c r="AC111" i="7"/>
  <c r="AE111" i="7" s="1"/>
  <c r="AK111" i="7"/>
  <c r="M112" i="7"/>
  <c r="Q112" i="7"/>
  <c r="U112" i="7"/>
  <c r="AF112" i="7" s="1"/>
  <c r="AC112" i="7"/>
  <c r="AE112" i="7" s="1"/>
  <c r="AK112" i="7"/>
  <c r="M113" i="7"/>
  <c r="Q113" i="7"/>
  <c r="U113" i="7"/>
  <c r="AF113" i="7" s="1"/>
  <c r="AC113" i="7"/>
  <c r="AE113" i="7" s="1"/>
  <c r="AK113" i="7"/>
  <c r="M114" i="7"/>
  <c r="Q114" i="7"/>
  <c r="U114" i="7"/>
  <c r="AF114" i="7" s="1"/>
  <c r="AC114" i="7"/>
  <c r="AE114" i="7" s="1"/>
  <c r="AK114" i="7"/>
  <c r="M115" i="7"/>
  <c r="Q115" i="7"/>
  <c r="U115" i="7"/>
  <c r="AF115" i="7" s="1"/>
  <c r="AC115" i="7"/>
  <c r="AE115" i="7" s="1"/>
  <c r="AK115" i="7"/>
  <c r="M116" i="7"/>
  <c r="Q116" i="7"/>
  <c r="U116" i="7"/>
  <c r="AF116" i="7" s="1"/>
  <c r="AC116" i="7"/>
  <c r="AE116" i="7" s="1"/>
  <c r="AK116" i="7"/>
  <c r="M117" i="7"/>
  <c r="Q117" i="7"/>
  <c r="U117" i="7"/>
  <c r="AF117" i="7" s="1"/>
  <c r="AC117" i="7"/>
  <c r="AE117" i="7" s="1"/>
  <c r="AK117" i="7"/>
  <c r="M118" i="7"/>
  <c r="Q118" i="7"/>
  <c r="U118" i="7"/>
  <c r="AF118" i="7" s="1"/>
  <c r="AC118" i="7"/>
  <c r="AE118" i="7" s="1"/>
  <c r="AK118" i="7"/>
  <c r="M119" i="7"/>
  <c r="Q119" i="7"/>
  <c r="U119" i="7"/>
  <c r="AF119" i="7" s="1"/>
  <c r="AC119" i="7"/>
  <c r="AE119" i="7" s="1"/>
  <c r="AK119" i="7"/>
  <c r="M120" i="7"/>
  <c r="Q120" i="7"/>
  <c r="U120" i="7"/>
  <c r="AF120" i="7" s="1"/>
  <c r="AC120" i="7"/>
  <c r="AE120" i="7" s="1"/>
  <c r="AK120" i="7"/>
  <c r="M121" i="7"/>
  <c r="Q121" i="7"/>
  <c r="U121" i="7"/>
  <c r="AF121" i="7" s="1"/>
  <c r="AC121" i="7"/>
  <c r="AE121" i="7" s="1"/>
  <c r="AK121" i="7"/>
  <c r="M122" i="7"/>
  <c r="Q122" i="7"/>
  <c r="U122" i="7"/>
  <c r="AF122" i="7" s="1"/>
  <c r="AC122" i="7"/>
  <c r="AE122" i="7" s="1"/>
  <c r="AK122" i="7"/>
  <c r="M123" i="7"/>
  <c r="Q123" i="7"/>
  <c r="U123" i="7"/>
  <c r="AF123" i="7" s="1"/>
  <c r="AC123" i="7"/>
  <c r="AE123" i="7" s="1"/>
  <c r="AK123" i="7"/>
  <c r="M124" i="7"/>
  <c r="Q124" i="7"/>
  <c r="U124" i="7"/>
  <c r="AF124" i="7" s="1"/>
  <c r="AC124" i="7"/>
  <c r="AE124" i="7" s="1"/>
  <c r="AK124" i="7"/>
  <c r="M125" i="7"/>
  <c r="Q125" i="7"/>
  <c r="U125" i="7"/>
  <c r="AF125" i="7" s="1"/>
  <c r="AC125" i="7"/>
  <c r="AE125" i="7" s="1"/>
  <c r="AK125" i="7"/>
  <c r="M126" i="7"/>
  <c r="Q126" i="7"/>
  <c r="U126" i="7"/>
  <c r="AF126" i="7" s="1"/>
  <c r="AC126" i="7"/>
  <c r="AE126" i="7" s="1"/>
  <c r="AK126" i="7"/>
  <c r="M127" i="7"/>
  <c r="Q127" i="7"/>
  <c r="U127" i="7"/>
  <c r="AF127" i="7" s="1"/>
  <c r="AC127" i="7"/>
  <c r="AE127" i="7" s="1"/>
  <c r="AK127" i="7"/>
  <c r="M128" i="7"/>
  <c r="Q128" i="7"/>
  <c r="U128" i="7"/>
  <c r="AF128" i="7" s="1"/>
  <c r="AC128" i="7"/>
  <c r="AE128" i="7" s="1"/>
  <c r="AK128" i="7"/>
  <c r="M129" i="7"/>
  <c r="Q129" i="7"/>
  <c r="U129" i="7"/>
  <c r="AF129" i="7" s="1"/>
  <c r="AC129" i="7"/>
  <c r="AE129" i="7" s="1"/>
  <c r="AK129" i="7"/>
  <c r="M130" i="7"/>
  <c r="Q130" i="7"/>
  <c r="U130" i="7"/>
  <c r="AF130" i="7" s="1"/>
  <c r="AC130" i="7"/>
  <c r="AE130" i="7" s="1"/>
  <c r="AK130" i="7"/>
  <c r="M131" i="7"/>
  <c r="Q131" i="7"/>
  <c r="U131" i="7"/>
  <c r="AF131" i="7" s="1"/>
  <c r="AC131" i="7"/>
  <c r="AE131" i="7" s="1"/>
  <c r="AK131" i="7"/>
  <c r="M132" i="7"/>
  <c r="Q132" i="7"/>
  <c r="U132" i="7"/>
  <c r="AF132" i="7" s="1"/>
  <c r="AC132" i="7"/>
  <c r="AE132" i="7" s="1"/>
  <c r="AK132" i="7"/>
  <c r="M133" i="7"/>
  <c r="Q133" i="7"/>
  <c r="U133" i="7"/>
  <c r="AF133" i="7" s="1"/>
  <c r="AC133" i="7"/>
  <c r="AE133" i="7" s="1"/>
  <c r="AK133" i="7"/>
  <c r="M134" i="7"/>
  <c r="Q134" i="7"/>
  <c r="U134" i="7"/>
  <c r="AF134" i="7" s="1"/>
  <c r="AC134" i="7"/>
  <c r="AE134" i="7" s="1"/>
  <c r="AK134" i="7"/>
  <c r="M135" i="7"/>
  <c r="Q135" i="7"/>
  <c r="U135" i="7"/>
  <c r="AF135" i="7" s="1"/>
  <c r="AC135" i="7"/>
  <c r="AE135" i="7" s="1"/>
  <c r="AK135" i="7"/>
  <c r="M136" i="7"/>
  <c r="Q136" i="7"/>
  <c r="U136" i="7"/>
  <c r="AF136" i="7" s="1"/>
  <c r="AC136" i="7"/>
  <c r="AE136" i="7" s="1"/>
  <c r="AK136" i="7"/>
  <c r="M137" i="7"/>
  <c r="Q137" i="7"/>
  <c r="U137" i="7"/>
  <c r="AF137" i="7" s="1"/>
  <c r="AC137" i="7"/>
  <c r="AE137" i="7" s="1"/>
  <c r="AK137" i="7"/>
  <c r="M138" i="7"/>
  <c r="Q138" i="7"/>
  <c r="U138" i="7"/>
  <c r="AF138" i="7" s="1"/>
  <c r="AC138" i="7"/>
  <c r="AE138" i="7" s="1"/>
  <c r="AK138" i="7"/>
  <c r="M139" i="7"/>
  <c r="Q139" i="7"/>
  <c r="U139" i="7"/>
  <c r="AF139" i="7" s="1"/>
  <c r="AC139" i="7"/>
  <c r="AE139" i="7" s="1"/>
  <c r="AK139" i="7"/>
  <c r="M140" i="7"/>
  <c r="Q140" i="7"/>
  <c r="U140" i="7"/>
  <c r="AF140" i="7" s="1"/>
  <c r="AC140" i="7"/>
  <c r="AE140" i="7" s="1"/>
  <c r="AK140" i="7"/>
  <c r="M141" i="7"/>
  <c r="Q141" i="7"/>
  <c r="U141" i="7"/>
  <c r="AF141" i="7" s="1"/>
  <c r="AC141" i="7"/>
  <c r="AE141" i="7" s="1"/>
  <c r="AK141" i="7"/>
  <c r="M142" i="7"/>
  <c r="Q142" i="7"/>
  <c r="U142" i="7"/>
  <c r="AF142" i="7" s="1"/>
  <c r="AC142" i="7"/>
  <c r="AE142" i="7" s="1"/>
  <c r="AK142" i="7"/>
  <c r="M143" i="7"/>
  <c r="Q143" i="7"/>
  <c r="U143" i="7"/>
  <c r="AF143" i="7" s="1"/>
  <c r="AC143" i="7"/>
  <c r="AE143" i="7" s="1"/>
  <c r="AK143" i="7"/>
  <c r="M144" i="7"/>
  <c r="Q144" i="7"/>
  <c r="U144" i="7"/>
  <c r="AF144" i="7" s="1"/>
  <c r="AC144" i="7"/>
  <c r="AE144" i="7" s="1"/>
  <c r="AK144" i="7"/>
  <c r="M145" i="7"/>
  <c r="Q145" i="7"/>
  <c r="U145" i="7"/>
  <c r="AF145" i="7" s="1"/>
  <c r="AC145" i="7"/>
  <c r="AE145" i="7" s="1"/>
  <c r="AK145" i="7"/>
  <c r="M146" i="7"/>
  <c r="Q146" i="7"/>
  <c r="U146" i="7"/>
  <c r="AF146" i="7" s="1"/>
  <c r="AC146" i="7"/>
  <c r="AE146" i="7" s="1"/>
  <c r="AK146" i="7"/>
  <c r="M147" i="7"/>
  <c r="Q147" i="7"/>
  <c r="U147" i="7"/>
  <c r="AF147" i="7" s="1"/>
  <c r="AC147" i="7"/>
  <c r="AE147" i="7" s="1"/>
  <c r="AK147" i="7"/>
  <c r="M148" i="7"/>
  <c r="Q148" i="7"/>
  <c r="U148" i="7"/>
  <c r="AF148" i="7" s="1"/>
  <c r="AC148" i="7"/>
  <c r="AE148" i="7" s="1"/>
  <c r="AK148" i="7"/>
  <c r="M149" i="7"/>
  <c r="Q149" i="7"/>
  <c r="U149" i="7"/>
  <c r="AF149" i="7" s="1"/>
  <c r="AC149" i="7"/>
  <c r="AE149" i="7" s="1"/>
  <c r="AK149" i="7"/>
  <c r="M150" i="7"/>
  <c r="Q150" i="7"/>
  <c r="U150" i="7"/>
  <c r="AF150" i="7" s="1"/>
  <c r="AC150" i="7"/>
  <c r="AE150" i="7" s="1"/>
  <c r="AK150" i="7"/>
  <c r="M151" i="7"/>
  <c r="Q151" i="7"/>
  <c r="U151" i="7"/>
  <c r="AF151" i="7" s="1"/>
  <c r="AC151" i="7"/>
  <c r="AE151" i="7" s="1"/>
  <c r="AK151" i="7"/>
  <c r="M152" i="7"/>
  <c r="Q152" i="7"/>
  <c r="U152" i="7"/>
  <c r="AF152" i="7" s="1"/>
  <c r="AC152" i="7"/>
  <c r="AE152" i="7" s="1"/>
  <c r="AK152" i="7"/>
  <c r="M153" i="7"/>
  <c r="Q153" i="7"/>
  <c r="U153" i="7"/>
  <c r="AF153" i="7" s="1"/>
  <c r="AC153" i="7"/>
  <c r="AE153" i="7" s="1"/>
  <c r="AK153" i="7"/>
  <c r="M154" i="7"/>
  <c r="Q154" i="7"/>
  <c r="U154" i="7"/>
  <c r="AF154" i="7" s="1"/>
  <c r="AC154" i="7"/>
  <c r="AE154" i="7" s="1"/>
  <c r="AK154" i="7"/>
  <c r="M155" i="7"/>
  <c r="Q155" i="7"/>
  <c r="U155" i="7"/>
  <c r="AF155" i="7" s="1"/>
  <c r="AC155" i="7"/>
  <c r="AE155" i="7" s="1"/>
  <c r="AK155" i="7"/>
  <c r="M156" i="7"/>
  <c r="Q156" i="7"/>
  <c r="U156" i="7"/>
  <c r="AF156" i="7" s="1"/>
  <c r="AC156" i="7"/>
  <c r="AE156" i="7" s="1"/>
  <c r="AK156" i="7"/>
  <c r="M157" i="7"/>
  <c r="Q157" i="7"/>
  <c r="U157" i="7"/>
  <c r="AF157" i="7" s="1"/>
  <c r="AC157" i="7"/>
  <c r="AE157" i="7" s="1"/>
  <c r="AK157" i="7"/>
  <c r="M158" i="7"/>
  <c r="Q158" i="7"/>
  <c r="U158" i="7"/>
  <c r="AF158" i="7" s="1"/>
  <c r="AC158" i="7"/>
  <c r="AE158" i="7" s="1"/>
  <c r="AK158" i="7"/>
  <c r="M159" i="7"/>
  <c r="Q159" i="7"/>
  <c r="U159" i="7"/>
  <c r="AF159" i="7" s="1"/>
  <c r="AC159" i="7"/>
  <c r="AE159" i="7" s="1"/>
  <c r="AK159" i="7"/>
  <c r="M160" i="7"/>
  <c r="Q160" i="7"/>
  <c r="U160" i="7"/>
  <c r="AF160" i="7" s="1"/>
  <c r="AC160" i="7"/>
  <c r="AE160" i="7" s="1"/>
  <c r="AK160" i="7"/>
  <c r="M161" i="7"/>
  <c r="Q161" i="7"/>
  <c r="U161" i="7"/>
  <c r="AF161" i="7" s="1"/>
  <c r="AC161" i="7"/>
  <c r="AE161" i="7" s="1"/>
  <c r="AK161" i="7"/>
  <c r="M162" i="7"/>
  <c r="Q162" i="7"/>
  <c r="U162" i="7"/>
  <c r="AF162" i="7" s="1"/>
  <c r="AC162" i="7"/>
  <c r="AE162" i="7" s="1"/>
  <c r="AK162" i="7"/>
  <c r="M163" i="7"/>
  <c r="Q163" i="7"/>
  <c r="U163" i="7"/>
  <c r="AF163" i="7" s="1"/>
  <c r="AC163" i="7"/>
  <c r="AE163" i="7" s="1"/>
  <c r="AK163" i="7"/>
  <c r="M164" i="7"/>
  <c r="Q164" i="7"/>
  <c r="U164" i="7"/>
  <c r="AF164" i="7" s="1"/>
  <c r="AC164" i="7"/>
  <c r="AE164" i="7" s="1"/>
  <c r="AK164" i="7"/>
  <c r="M165" i="7"/>
  <c r="Q165" i="7"/>
  <c r="U165" i="7"/>
  <c r="AF165" i="7" s="1"/>
  <c r="AI165" i="7"/>
  <c r="AI6" i="8"/>
  <c r="AA6" i="8"/>
  <c r="AG6" i="8" s="1"/>
  <c r="W6" i="8"/>
  <c r="AD6" i="8" s="1"/>
  <c r="S6" i="8"/>
  <c r="O6" i="8"/>
  <c r="K6" i="8"/>
  <c r="AL6" i="8"/>
  <c r="AH6" i="8"/>
  <c r="Z6" i="8"/>
  <c r="V6" i="8"/>
  <c r="R6" i="8"/>
  <c r="N6" i="8"/>
  <c r="T6" i="8"/>
  <c r="AB6" i="8"/>
  <c r="AJ6" i="8"/>
  <c r="AL7" i="8"/>
  <c r="AH7" i="8"/>
  <c r="Z7" i="8"/>
  <c r="V7" i="8"/>
  <c r="R7" i="8"/>
  <c r="N7" i="8"/>
  <c r="AK7" i="8"/>
  <c r="AC7" i="8"/>
  <c r="AE7" i="8" s="1"/>
  <c r="Y7" i="8"/>
  <c r="U7" i="8"/>
  <c r="AF7" i="8" s="1"/>
  <c r="Q7" i="8"/>
  <c r="M7" i="8"/>
  <c r="T7" i="8"/>
  <c r="AB7" i="8"/>
  <c r="AJ7" i="8"/>
  <c r="T4" i="7"/>
  <c r="T8" i="7"/>
  <c r="AJ8" i="7"/>
  <c r="B7" i="3"/>
  <c r="F7" i="3"/>
  <c r="J7" i="3"/>
  <c r="F30" i="3"/>
  <c r="C31" i="3"/>
  <c r="G31" i="3"/>
  <c r="K31" i="3"/>
  <c r="E33" i="3"/>
  <c r="M33" i="3"/>
  <c r="F34" i="3"/>
  <c r="G35" i="3"/>
  <c r="K35" i="3"/>
  <c r="U4" i="7"/>
  <c r="AF4" i="7" s="1"/>
  <c r="X5" i="7"/>
  <c r="Y5" i="7" s="1"/>
  <c r="M8" i="7"/>
  <c r="Y8" i="7"/>
  <c r="X9" i="7"/>
  <c r="Y9" i="7" s="1"/>
  <c r="X10" i="7"/>
  <c r="Y10" i="7" s="1"/>
  <c r="T11" i="7"/>
  <c r="AB11" i="7"/>
  <c r="AJ11" i="7"/>
  <c r="T12" i="7"/>
  <c r="AB12" i="7"/>
  <c r="AJ12" i="7"/>
  <c r="P13" i="7"/>
  <c r="AB13" i="7"/>
  <c r="T14" i="7"/>
  <c r="T15" i="7"/>
  <c r="T16" i="7"/>
  <c r="X17" i="7"/>
  <c r="Y17" i="7" s="1"/>
  <c r="AB17" i="7"/>
  <c r="AJ17" i="7"/>
  <c r="P18" i="7"/>
  <c r="AB18" i="7"/>
  <c r="P19" i="7"/>
  <c r="AB19" i="7"/>
  <c r="P20" i="7"/>
  <c r="X20" i="7"/>
  <c r="Y20" i="7" s="1"/>
  <c r="AB20" i="7"/>
  <c r="AJ20" i="7"/>
  <c r="P21" i="7"/>
  <c r="X21" i="7"/>
  <c r="Y21" i="7" s="1"/>
  <c r="P22" i="7"/>
  <c r="X22" i="7"/>
  <c r="Y22" i="7" s="1"/>
  <c r="AJ22" i="7"/>
  <c r="T23" i="7"/>
  <c r="AJ23" i="7"/>
  <c r="X24" i="7"/>
  <c r="Y24" i="7" s="1"/>
  <c r="X25" i="7"/>
  <c r="Y25" i="7" s="1"/>
  <c r="X26" i="7"/>
  <c r="Y26" i="7" s="1"/>
  <c r="AB26" i="7"/>
  <c r="AJ26" i="7"/>
  <c r="P27" i="7"/>
  <c r="X27" i="7"/>
  <c r="Y27" i="7" s="1"/>
  <c r="P28" i="7"/>
  <c r="AB28" i="7"/>
  <c r="AJ28" i="7"/>
  <c r="T29" i="7"/>
  <c r="AJ29" i="7"/>
  <c r="T30" i="7"/>
  <c r="AB30" i="7"/>
  <c r="AJ30" i="7"/>
  <c r="X31" i="7"/>
  <c r="Y31" i="7" s="1"/>
  <c r="X32" i="7"/>
  <c r="Y32" i="7" s="1"/>
  <c r="X33" i="7"/>
  <c r="Y33" i="7" s="1"/>
  <c r="AB33" i="7"/>
  <c r="AJ33" i="7"/>
  <c r="X34" i="7"/>
  <c r="Y34" i="7" s="1"/>
  <c r="T35" i="7"/>
  <c r="AB35" i="7"/>
  <c r="AJ35" i="7"/>
  <c r="P36" i="7"/>
  <c r="X36" i="7"/>
  <c r="Y36" i="7" s="1"/>
  <c r="AB36" i="7"/>
  <c r="AJ36" i="7"/>
  <c r="P37" i="7"/>
  <c r="AB37" i="7"/>
  <c r="P38" i="7"/>
  <c r="X38" i="7"/>
  <c r="Y38" i="7" s="1"/>
  <c r="AB38" i="7"/>
  <c r="AJ38" i="7"/>
  <c r="P39" i="7"/>
  <c r="T39" i="7"/>
  <c r="AB39" i="7"/>
  <c r="AJ39" i="7"/>
  <c r="T40" i="7"/>
  <c r="X41" i="7"/>
  <c r="Y41" i="7" s="1"/>
  <c r="T42" i="7"/>
  <c r="X43" i="7"/>
  <c r="Y43" i="7" s="1"/>
  <c r="T44" i="7"/>
  <c r="P45" i="7"/>
  <c r="X45" i="7"/>
  <c r="Y45" i="7" s="1"/>
  <c r="X46" i="7"/>
  <c r="Y46" i="7" s="1"/>
  <c r="AJ46" i="7"/>
  <c r="T47" i="7"/>
  <c r="X48" i="7"/>
  <c r="Y48" i="7" s="1"/>
  <c r="AB48" i="7"/>
  <c r="AJ48" i="7"/>
  <c r="T49" i="7"/>
  <c r="T50" i="7"/>
  <c r="X51" i="7"/>
  <c r="Y51" i="7" s="1"/>
  <c r="X52" i="7"/>
  <c r="Y52" i="7" s="1"/>
  <c r="T53" i="7"/>
  <c r="T54" i="7"/>
  <c r="P55" i="7"/>
  <c r="X55" i="7"/>
  <c r="Y55" i="7" s="1"/>
  <c r="X56" i="7"/>
  <c r="Y56" i="7" s="1"/>
  <c r="AB56" i="7"/>
  <c r="AJ56" i="7"/>
  <c r="P57" i="7"/>
  <c r="X57" i="7"/>
  <c r="Y57" i="7" s="1"/>
  <c r="AB58" i="7"/>
  <c r="T59" i="7"/>
  <c r="T60" i="7"/>
  <c r="P61" i="7"/>
  <c r="X61" i="7"/>
  <c r="Y61" i="7" s="1"/>
  <c r="AB61" i="7"/>
  <c r="AJ61" i="7"/>
  <c r="P62" i="7"/>
  <c r="X62" i="7"/>
  <c r="Y62" i="7" s="1"/>
  <c r="T63" i="7"/>
  <c r="AB63" i="7"/>
  <c r="AJ63" i="7"/>
  <c r="T64" i="7"/>
  <c r="AB64" i="7"/>
  <c r="AJ64" i="7"/>
  <c r="P65" i="7"/>
  <c r="D24" i="1"/>
  <c r="C7" i="3"/>
  <c r="G7" i="3"/>
  <c r="G30" i="3"/>
  <c r="K30" i="3"/>
  <c r="E32" i="3"/>
  <c r="M32" i="3"/>
  <c r="G34" i="3"/>
  <c r="D19" i="1"/>
  <c r="D23" i="1"/>
  <c r="D27" i="1"/>
  <c r="D7" i="3"/>
  <c r="H7" i="3"/>
  <c r="L7" i="3"/>
  <c r="D30" i="3"/>
  <c r="L30" i="3"/>
  <c r="E31" i="3"/>
  <c r="M31" i="3"/>
  <c r="E35" i="3"/>
  <c r="M35" i="3"/>
  <c r="E37" i="3"/>
  <c r="M37" i="3"/>
  <c r="E38" i="3"/>
  <c r="M38" i="3"/>
  <c r="E39" i="3"/>
  <c r="M39" i="3"/>
  <c r="E40" i="3"/>
  <c r="M40" i="3"/>
  <c r="E41" i="3"/>
  <c r="M41" i="3"/>
  <c r="E42" i="3"/>
  <c r="M42" i="3"/>
  <c r="E43" i="3"/>
  <c r="M43" i="3"/>
  <c r="E44" i="3"/>
  <c r="M44" i="3"/>
  <c r="E45" i="3"/>
  <c r="H19" i="1" s="1"/>
  <c r="M45" i="3"/>
  <c r="H27" i="1" s="1"/>
  <c r="M2" i="7"/>
  <c r="Q2" i="7"/>
  <c r="U2" i="7"/>
  <c r="AF2" i="7" s="1"/>
  <c r="Y2" i="7"/>
  <c r="AC2" i="7"/>
  <c r="AE2" i="7" s="1"/>
  <c r="P3" i="7"/>
  <c r="T3" i="7"/>
  <c r="X3" i="7"/>
  <c r="Y3" i="7" s="1"/>
  <c r="AB3" i="7"/>
  <c r="K4" i="7"/>
  <c r="O4" i="7"/>
  <c r="S4" i="7"/>
  <c r="W4" i="7"/>
  <c r="AD4" i="7" s="1"/>
  <c r="AA4" i="7"/>
  <c r="AG4" i="7" s="1"/>
  <c r="AI4" i="7"/>
  <c r="AO4" i="7"/>
  <c r="N5" i="7"/>
  <c r="R5" i="7"/>
  <c r="V5" i="7"/>
  <c r="Z5" i="7"/>
  <c r="AA5" i="7" s="1"/>
  <c r="AG5" i="7" s="1"/>
  <c r="AH5" i="7"/>
  <c r="AL5" i="7"/>
  <c r="M6" i="7"/>
  <c r="Q6" i="7"/>
  <c r="U6" i="7"/>
  <c r="AF6" i="7" s="1"/>
  <c r="Y6" i="7"/>
  <c r="AC6" i="7"/>
  <c r="AE6" i="7" s="1"/>
  <c r="P7" i="7"/>
  <c r="T7" i="7"/>
  <c r="X7" i="7"/>
  <c r="Y7" i="7" s="1"/>
  <c r="AB7" i="7"/>
  <c r="K8" i="7"/>
  <c r="O8" i="7"/>
  <c r="S8" i="7"/>
  <c r="W8" i="7"/>
  <c r="AD8" i="7" s="1"/>
  <c r="AA8" i="7"/>
  <c r="AG8" i="7" s="1"/>
  <c r="AI8" i="7"/>
  <c r="N9" i="7"/>
  <c r="R9" i="7"/>
  <c r="V9" i="7"/>
  <c r="Z9" i="7"/>
  <c r="AA9" i="7" s="1"/>
  <c r="AG9" i="7" s="1"/>
  <c r="AH9" i="7"/>
  <c r="AL9" i="7"/>
  <c r="N10" i="7"/>
  <c r="R10" i="7"/>
  <c r="V10" i="7"/>
  <c r="Z10" i="7"/>
  <c r="AA10" i="7" s="1"/>
  <c r="AG10" i="7" s="1"/>
  <c r="AH10" i="7"/>
  <c r="AL10" i="7"/>
  <c r="N11" i="7"/>
  <c r="R11" i="7"/>
  <c r="V11" i="7"/>
  <c r="Z11" i="7"/>
  <c r="AA11" i="7" s="1"/>
  <c r="AG11" i="7" s="1"/>
  <c r="AH11" i="7"/>
  <c r="AL11" i="7"/>
  <c r="N12" i="7"/>
  <c r="R12" i="7"/>
  <c r="V12" i="7"/>
  <c r="Z12" i="7"/>
  <c r="AA12" i="7" s="1"/>
  <c r="AG12" i="7" s="1"/>
  <c r="AH12" i="7"/>
  <c r="AL12" i="7"/>
  <c r="N13" i="7"/>
  <c r="R13" i="7"/>
  <c r="V13" i="7"/>
  <c r="Z13" i="7"/>
  <c r="AA13" i="7" s="1"/>
  <c r="AG13" i="7" s="1"/>
  <c r="AH13" i="7"/>
  <c r="AL13" i="7"/>
  <c r="N14" i="7"/>
  <c r="R14" i="7"/>
  <c r="V14" i="7"/>
  <c r="Z14" i="7"/>
  <c r="AA14" i="7" s="1"/>
  <c r="AG14" i="7" s="1"/>
  <c r="AH14" i="7"/>
  <c r="AL14" i="7"/>
  <c r="N15" i="7"/>
  <c r="R15" i="7"/>
  <c r="V15" i="7"/>
  <c r="Z15" i="7"/>
  <c r="AA15" i="7" s="1"/>
  <c r="AG15" i="7" s="1"/>
  <c r="AH15" i="7"/>
  <c r="AL15" i="7"/>
  <c r="N16" i="7"/>
  <c r="R16" i="7"/>
  <c r="V16" i="7"/>
  <c r="Z16" i="7"/>
  <c r="AA16" i="7" s="1"/>
  <c r="AG16" i="7" s="1"/>
  <c r="AH16" i="7"/>
  <c r="N17" i="7"/>
  <c r="R17" i="7"/>
  <c r="V17" i="7"/>
  <c r="Z17" i="7"/>
  <c r="AA17" i="7" s="1"/>
  <c r="AG17" i="7" s="1"/>
  <c r="AH17" i="7"/>
  <c r="AL17" i="7"/>
  <c r="N18" i="7"/>
  <c r="R18" i="7"/>
  <c r="V18" i="7"/>
  <c r="Z18" i="7"/>
  <c r="AA18" i="7" s="1"/>
  <c r="AG18" i="7" s="1"/>
  <c r="AH18" i="7"/>
  <c r="AL18" i="7"/>
  <c r="N19" i="7"/>
  <c r="R19" i="7"/>
  <c r="V19" i="7"/>
  <c r="Z19" i="7"/>
  <c r="AA19" i="7" s="1"/>
  <c r="AG19" i="7" s="1"/>
  <c r="AH19" i="7"/>
  <c r="AL19" i="7"/>
  <c r="N20" i="7"/>
  <c r="R20" i="7"/>
  <c r="V20" i="7"/>
  <c r="Z20" i="7"/>
  <c r="AA20" i="7" s="1"/>
  <c r="AG20" i="7" s="1"/>
  <c r="AH20" i="7"/>
  <c r="N21" i="7"/>
  <c r="R21" i="7"/>
  <c r="V21" i="7"/>
  <c r="Z21" i="7"/>
  <c r="AA21" i="7" s="1"/>
  <c r="AG21" i="7" s="1"/>
  <c r="AH21" i="7"/>
  <c r="N22" i="7"/>
  <c r="R22" i="7"/>
  <c r="V22" i="7"/>
  <c r="Z22" i="7"/>
  <c r="AA22" i="7" s="1"/>
  <c r="AG22" i="7" s="1"/>
  <c r="AH22" i="7"/>
  <c r="AL22" i="7"/>
  <c r="N23" i="7"/>
  <c r="R23" i="7"/>
  <c r="V23" i="7"/>
  <c r="Z23" i="7"/>
  <c r="AA23" i="7" s="1"/>
  <c r="AG23" i="7" s="1"/>
  <c r="AH23" i="7"/>
  <c r="AL23" i="7"/>
  <c r="N24" i="7"/>
  <c r="R24" i="7"/>
  <c r="V24" i="7"/>
  <c r="Z24" i="7"/>
  <c r="AA24" i="7" s="1"/>
  <c r="AG24" i="7" s="1"/>
  <c r="AH24" i="7"/>
  <c r="AL24" i="7"/>
  <c r="N25" i="7"/>
  <c r="R25" i="7"/>
  <c r="V25" i="7"/>
  <c r="Z25" i="7"/>
  <c r="AA25" i="7" s="1"/>
  <c r="AG25" i="7" s="1"/>
  <c r="AH25" i="7"/>
  <c r="AL25" i="7"/>
  <c r="N26" i="7"/>
  <c r="R26" i="7"/>
  <c r="V26" i="7"/>
  <c r="Z26" i="7"/>
  <c r="AA26" i="7" s="1"/>
  <c r="AG26" i="7" s="1"/>
  <c r="AH26" i="7"/>
  <c r="AL26" i="7"/>
  <c r="N27" i="7"/>
  <c r="R27" i="7"/>
  <c r="V27" i="7"/>
  <c r="Z27" i="7"/>
  <c r="AA27" i="7" s="1"/>
  <c r="AG27" i="7" s="1"/>
  <c r="AH27" i="7"/>
  <c r="N28" i="7"/>
  <c r="R28" i="7"/>
  <c r="V28" i="7"/>
  <c r="Z28" i="7"/>
  <c r="AA28" i="7" s="1"/>
  <c r="AG28" i="7" s="1"/>
  <c r="AH28" i="7"/>
  <c r="AL28" i="7"/>
  <c r="N29" i="7"/>
  <c r="R29" i="7"/>
  <c r="V29" i="7"/>
  <c r="Z29" i="7"/>
  <c r="AA29" i="7" s="1"/>
  <c r="AG29" i="7" s="1"/>
  <c r="AH29" i="7"/>
  <c r="AL29" i="7"/>
  <c r="N30" i="7"/>
  <c r="R30" i="7"/>
  <c r="V30" i="7"/>
  <c r="Z30" i="7"/>
  <c r="AA30" i="7" s="1"/>
  <c r="AG30" i="7" s="1"/>
  <c r="AH30" i="7"/>
  <c r="AL30" i="7"/>
  <c r="N31" i="7"/>
  <c r="R31" i="7"/>
  <c r="V31" i="7"/>
  <c r="Z31" i="7"/>
  <c r="AA31" i="7" s="1"/>
  <c r="AG31" i="7" s="1"/>
  <c r="AH31" i="7"/>
  <c r="AL31" i="7"/>
  <c r="N32" i="7"/>
  <c r="R32" i="7"/>
  <c r="V32" i="7"/>
  <c r="Z32" i="7"/>
  <c r="AA32" i="7" s="1"/>
  <c r="AG32" i="7" s="1"/>
  <c r="AH32" i="7"/>
  <c r="AL32" i="7"/>
  <c r="N33" i="7"/>
  <c r="R33" i="7"/>
  <c r="V33" i="7"/>
  <c r="Z33" i="7"/>
  <c r="AA33" i="7" s="1"/>
  <c r="AG33" i="7" s="1"/>
  <c r="AH33" i="7"/>
  <c r="AL33" i="7"/>
  <c r="N34" i="7"/>
  <c r="R34" i="7"/>
  <c r="V34" i="7"/>
  <c r="Z34" i="7"/>
  <c r="AA34" i="7" s="1"/>
  <c r="AG34" i="7" s="1"/>
  <c r="AH34" i="7"/>
  <c r="AL34" i="7"/>
  <c r="N35" i="7"/>
  <c r="R35" i="7"/>
  <c r="V35" i="7"/>
  <c r="Z35" i="7"/>
  <c r="AA35" i="7" s="1"/>
  <c r="AG35" i="7" s="1"/>
  <c r="AH35" i="7"/>
  <c r="N36" i="7"/>
  <c r="R36" i="7"/>
  <c r="V36" i="7"/>
  <c r="Z36" i="7"/>
  <c r="AA36" i="7" s="1"/>
  <c r="AG36" i="7" s="1"/>
  <c r="AH36" i="7"/>
  <c r="N37" i="7"/>
  <c r="R37" i="7"/>
  <c r="V37" i="7"/>
  <c r="Z37" i="7"/>
  <c r="AA37" i="7" s="1"/>
  <c r="AG37" i="7" s="1"/>
  <c r="AH37" i="7"/>
  <c r="AL37" i="7"/>
  <c r="N38" i="7"/>
  <c r="R38" i="7"/>
  <c r="V38" i="7"/>
  <c r="Z38" i="7"/>
  <c r="AA38" i="7" s="1"/>
  <c r="AG38" i="7" s="1"/>
  <c r="AH38" i="7"/>
  <c r="N39" i="7"/>
  <c r="R39" i="7"/>
  <c r="V39" i="7"/>
  <c r="Z39" i="7"/>
  <c r="AA39" i="7" s="1"/>
  <c r="AG39" i="7" s="1"/>
  <c r="AH39" i="7"/>
  <c r="N40" i="7"/>
  <c r="R40" i="7"/>
  <c r="V40" i="7"/>
  <c r="Z40" i="7"/>
  <c r="AA40" i="7" s="1"/>
  <c r="AG40" i="7" s="1"/>
  <c r="AH40" i="7"/>
  <c r="AL40" i="7"/>
  <c r="N41" i="7"/>
  <c r="R41" i="7"/>
  <c r="V41" i="7"/>
  <c r="Z41" i="7"/>
  <c r="AA41" i="7" s="1"/>
  <c r="AG41" i="7" s="1"/>
  <c r="AH41" i="7"/>
  <c r="AL41" i="7"/>
  <c r="N42" i="7"/>
  <c r="R42" i="7"/>
  <c r="V42" i="7"/>
  <c r="Z42" i="7"/>
  <c r="AA42" i="7" s="1"/>
  <c r="AG42" i="7" s="1"/>
  <c r="AH42" i="7"/>
  <c r="AL42" i="7"/>
  <c r="N43" i="7"/>
  <c r="R43" i="7"/>
  <c r="V43" i="7"/>
  <c r="Z43" i="7"/>
  <c r="AA43" i="7" s="1"/>
  <c r="AG43" i="7" s="1"/>
  <c r="AH43" i="7"/>
  <c r="N44" i="7"/>
  <c r="R44" i="7"/>
  <c r="V44" i="7"/>
  <c r="Z44" i="7"/>
  <c r="AA44" i="7" s="1"/>
  <c r="AG44" i="7" s="1"/>
  <c r="AH44" i="7"/>
  <c r="N45" i="7"/>
  <c r="R45" i="7"/>
  <c r="V45" i="7"/>
  <c r="Z45" i="7"/>
  <c r="AA45" i="7" s="1"/>
  <c r="AG45" i="7" s="1"/>
  <c r="AH45" i="7"/>
  <c r="AL45" i="7"/>
  <c r="N46" i="7"/>
  <c r="R46" i="7"/>
  <c r="V46" i="7"/>
  <c r="Z46" i="7"/>
  <c r="AA46" i="7" s="1"/>
  <c r="AG46" i="7" s="1"/>
  <c r="AH46" i="7"/>
  <c r="AL46" i="7"/>
  <c r="N47" i="7"/>
  <c r="R47" i="7"/>
  <c r="V47" i="7"/>
  <c r="Z47" i="7"/>
  <c r="AA47" i="7" s="1"/>
  <c r="AG47" i="7" s="1"/>
  <c r="AH47" i="7"/>
  <c r="AL47" i="7"/>
  <c r="N48" i="7"/>
  <c r="R48" i="7"/>
  <c r="V48" i="7"/>
  <c r="Z48" i="7"/>
  <c r="AA48" i="7" s="1"/>
  <c r="AG48" i="7" s="1"/>
  <c r="AH48" i="7"/>
  <c r="AL48" i="7"/>
  <c r="N49" i="7"/>
  <c r="R49" i="7"/>
  <c r="V49" i="7"/>
  <c r="Z49" i="7"/>
  <c r="AA49" i="7" s="1"/>
  <c r="AG49" i="7" s="1"/>
  <c r="AH49" i="7"/>
  <c r="AL49" i="7"/>
  <c r="N50" i="7"/>
  <c r="R50" i="7"/>
  <c r="V50" i="7"/>
  <c r="Z50" i="7"/>
  <c r="AA50" i="7" s="1"/>
  <c r="AG50" i="7" s="1"/>
  <c r="AH50" i="7"/>
  <c r="AL50" i="7"/>
  <c r="N51" i="7"/>
  <c r="R51" i="7"/>
  <c r="V51" i="7"/>
  <c r="Z51" i="7"/>
  <c r="AA51" i="7" s="1"/>
  <c r="AG51" i="7" s="1"/>
  <c r="AH51" i="7"/>
  <c r="AL51" i="7"/>
  <c r="N52" i="7"/>
  <c r="R52" i="7"/>
  <c r="V52" i="7"/>
  <c r="Z52" i="7"/>
  <c r="AA52" i="7" s="1"/>
  <c r="AG52" i="7" s="1"/>
  <c r="AH52" i="7"/>
  <c r="AL52" i="7"/>
  <c r="N53" i="7"/>
  <c r="R53" i="7"/>
  <c r="V53" i="7"/>
  <c r="Z53" i="7"/>
  <c r="AA53" i="7" s="1"/>
  <c r="AG53" i="7" s="1"/>
  <c r="AH53" i="7"/>
  <c r="N54" i="7"/>
  <c r="R54" i="7"/>
  <c r="V54" i="7"/>
  <c r="Z54" i="7"/>
  <c r="AA54" i="7" s="1"/>
  <c r="AG54" i="7" s="1"/>
  <c r="AH54" i="7"/>
  <c r="N55" i="7"/>
  <c r="R55" i="7"/>
  <c r="V55" i="7"/>
  <c r="Z55" i="7"/>
  <c r="AA55" i="7" s="1"/>
  <c r="AG55" i="7" s="1"/>
  <c r="AH55" i="7"/>
  <c r="AL55" i="7"/>
  <c r="N56" i="7"/>
  <c r="R56" i="7"/>
  <c r="V56" i="7"/>
  <c r="Z56" i="7"/>
  <c r="AA56" i="7" s="1"/>
  <c r="AG56" i="7" s="1"/>
  <c r="AH56" i="7"/>
  <c r="AL56" i="7"/>
  <c r="N57" i="7"/>
  <c r="R57" i="7"/>
  <c r="V57" i="7"/>
  <c r="Z57" i="7"/>
  <c r="AA57" i="7" s="1"/>
  <c r="AG57" i="7" s="1"/>
  <c r="AH57" i="7"/>
  <c r="AL57" i="7"/>
  <c r="N58" i="7"/>
  <c r="R58" i="7"/>
  <c r="V58" i="7"/>
  <c r="Z58" i="7"/>
  <c r="AA58" i="7" s="1"/>
  <c r="AG58" i="7" s="1"/>
  <c r="AH58" i="7"/>
  <c r="AL58" i="7"/>
  <c r="N59" i="7"/>
  <c r="R59" i="7"/>
  <c r="V59" i="7"/>
  <c r="Z59" i="7"/>
  <c r="AA59" i="7" s="1"/>
  <c r="AG59" i="7" s="1"/>
  <c r="AH59" i="7"/>
  <c r="N60" i="7"/>
  <c r="R60" i="7"/>
  <c r="V60" i="7"/>
  <c r="Z60" i="7"/>
  <c r="AA60" i="7" s="1"/>
  <c r="AG60" i="7" s="1"/>
  <c r="AH60" i="7"/>
  <c r="N61" i="7"/>
  <c r="R61" i="7"/>
  <c r="V61" i="7"/>
  <c r="Z61" i="7"/>
  <c r="AA61" i="7" s="1"/>
  <c r="AG61" i="7" s="1"/>
  <c r="AH61" i="7"/>
  <c r="N62" i="7"/>
  <c r="R62" i="7"/>
  <c r="V62" i="7"/>
  <c r="Z62" i="7"/>
  <c r="AA62" i="7" s="1"/>
  <c r="AG62" i="7" s="1"/>
  <c r="AH62" i="7"/>
  <c r="AL62" i="7"/>
  <c r="N63" i="7"/>
  <c r="R63" i="7"/>
  <c r="V63" i="7"/>
  <c r="Z63" i="7"/>
  <c r="AA63" i="7" s="1"/>
  <c r="AG63" i="7" s="1"/>
  <c r="AH63" i="7"/>
  <c r="N64" i="7"/>
  <c r="R64" i="7"/>
  <c r="V64" i="7"/>
  <c r="Z64" i="7"/>
  <c r="AA64" i="7" s="1"/>
  <c r="AG64" i="7" s="1"/>
  <c r="AH64" i="7"/>
  <c r="N65" i="7"/>
  <c r="R65" i="7"/>
  <c r="V65" i="7"/>
  <c r="Z65" i="7"/>
  <c r="AA65" i="7" s="1"/>
  <c r="AG65" i="7" s="1"/>
  <c r="AH65" i="7"/>
  <c r="AL65" i="7"/>
  <c r="N66" i="7"/>
  <c r="R66" i="7"/>
  <c r="V66" i="7"/>
  <c r="Z66" i="7"/>
  <c r="AA66" i="7" s="1"/>
  <c r="AG66" i="7" s="1"/>
  <c r="AH66" i="7"/>
  <c r="AL66" i="7"/>
  <c r="N67" i="7"/>
  <c r="R67" i="7"/>
  <c r="V67" i="7"/>
  <c r="Z67" i="7"/>
  <c r="AA67" i="7" s="1"/>
  <c r="AG67" i="7" s="1"/>
  <c r="AH67" i="7"/>
  <c r="AL67" i="7"/>
  <c r="N68" i="7"/>
  <c r="R68" i="7"/>
  <c r="V68" i="7"/>
  <c r="Z68" i="7"/>
  <c r="AA68" i="7" s="1"/>
  <c r="AG68" i="7" s="1"/>
  <c r="AH68" i="7"/>
  <c r="AL68" i="7"/>
  <c r="N69" i="7"/>
  <c r="R69" i="7"/>
  <c r="V69" i="7"/>
  <c r="Z69" i="7"/>
  <c r="AA69" i="7" s="1"/>
  <c r="AG69" i="7" s="1"/>
  <c r="AH69" i="7"/>
  <c r="AL69" i="7"/>
  <c r="N70" i="7"/>
  <c r="R70" i="7"/>
  <c r="V70" i="7"/>
  <c r="Z70" i="7"/>
  <c r="AA70" i="7" s="1"/>
  <c r="AG70" i="7" s="1"/>
  <c r="AH70" i="7"/>
  <c r="AL70" i="7"/>
  <c r="N71" i="7"/>
  <c r="R71" i="7"/>
  <c r="V71" i="7"/>
  <c r="Z71" i="7"/>
  <c r="AA71" i="7" s="1"/>
  <c r="AG71" i="7" s="1"/>
  <c r="AH71" i="7"/>
  <c r="AL71" i="7"/>
  <c r="N72" i="7"/>
  <c r="R72" i="7"/>
  <c r="V72" i="7"/>
  <c r="Z72" i="7"/>
  <c r="AA72" i="7" s="1"/>
  <c r="AG72" i="7" s="1"/>
  <c r="AH72" i="7"/>
  <c r="AL72" i="7"/>
  <c r="N73" i="7"/>
  <c r="R73" i="7"/>
  <c r="V73" i="7"/>
  <c r="Z73" i="7"/>
  <c r="AA73" i="7" s="1"/>
  <c r="AG73" i="7" s="1"/>
  <c r="AH73" i="7"/>
  <c r="AL73" i="7"/>
  <c r="N74" i="7"/>
  <c r="R74" i="7"/>
  <c r="V74" i="7"/>
  <c r="Z74" i="7"/>
  <c r="AA74" i="7" s="1"/>
  <c r="AG74" i="7" s="1"/>
  <c r="AH74" i="7"/>
  <c r="AL74" i="7"/>
  <c r="N75" i="7"/>
  <c r="R75" i="7"/>
  <c r="V75" i="7"/>
  <c r="Z75" i="7"/>
  <c r="AA75" i="7" s="1"/>
  <c r="AG75" i="7" s="1"/>
  <c r="AH75" i="7"/>
  <c r="AL75" i="7"/>
  <c r="N76" i="7"/>
  <c r="R76" i="7"/>
  <c r="V76" i="7"/>
  <c r="Z76" i="7"/>
  <c r="AA76" i="7" s="1"/>
  <c r="AG76" i="7" s="1"/>
  <c r="AH76" i="7"/>
  <c r="AL76" i="7"/>
  <c r="N77" i="7"/>
  <c r="R77" i="7"/>
  <c r="V77" i="7"/>
  <c r="Z77" i="7"/>
  <c r="AA77" i="7" s="1"/>
  <c r="AG77" i="7" s="1"/>
  <c r="AH77" i="7"/>
  <c r="AL77" i="7"/>
  <c r="N78" i="7"/>
  <c r="R78" i="7"/>
  <c r="V78" i="7"/>
  <c r="Z78" i="7"/>
  <c r="AA78" i="7" s="1"/>
  <c r="AG78" i="7" s="1"/>
  <c r="AH78" i="7"/>
  <c r="AL78" i="7"/>
  <c r="N79" i="7"/>
  <c r="R79" i="7"/>
  <c r="V79" i="7"/>
  <c r="Z79" i="7"/>
  <c r="AA79" i="7" s="1"/>
  <c r="AG79" i="7" s="1"/>
  <c r="AH79" i="7"/>
  <c r="AL79" i="7"/>
  <c r="N80" i="7"/>
  <c r="R80" i="7"/>
  <c r="V80" i="7"/>
  <c r="Z80" i="7"/>
  <c r="AA80" i="7" s="1"/>
  <c r="AG80" i="7" s="1"/>
  <c r="AH80" i="7"/>
  <c r="AL80" i="7"/>
  <c r="N81" i="7"/>
  <c r="R81" i="7"/>
  <c r="V81" i="7"/>
  <c r="Z81" i="7"/>
  <c r="AA81" i="7" s="1"/>
  <c r="AG81" i="7" s="1"/>
  <c r="AH81" i="7"/>
  <c r="AL81" i="7"/>
  <c r="N82" i="7"/>
  <c r="R82" i="7"/>
  <c r="V82" i="7"/>
  <c r="Z82" i="7"/>
  <c r="AA82" i="7" s="1"/>
  <c r="AG82" i="7" s="1"/>
  <c r="AH82" i="7"/>
  <c r="AL82" i="7"/>
  <c r="N83" i="7"/>
  <c r="R83" i="7"/>
  <c r="V83" i="7"/>
  <c r="Z83" i="7"/>
  <c r="AA83" i="7" s="1"/>
  <c r="AG83" i="7" s="1"/>
  <c r="AH83" i="7"/>
  <c r="AL83" i="7"/>
  <c r="N84" i="7"/>
  <c r="R84" i="7"/>
  <c r="V84" i="7"/>
  <c r="Z84" i="7"/>
  <c r="AA84" i="7" s="1"/>
  <c r="AG84" i="7" s="1"/>
  <c r="AH84" i="7"/>
  <c r="AL84" i="7"/>
  <c r="N85" i="7"/>
  <c r="R85" i="7"/>
  <c r="V85" i="7"/>
  <c r="Z85" i="7"/>
  <c r="AA85" i="7" s="1"/>
  <c r="AG85" i="7" s="1"/>
  <c r="AH85" i="7"/>
  <c r="AL85" i="7"/>
  <c r="N86" i="7"/>
  <c r="R86" i="7"/>
  <c r="V86" i="7"/>
  <c r="Z86" i="7"/>
  <c r="AA86" i="7" s="1"/>
  <c r="AG86" i="7" s="1"/>
  <c r="AH86" i="7"/>
  <c r="AL86" i="7"/>
  <c r="N87" i="7"/>
  <c r="R87" i="7"/>
  <c r="V87" i="7"/>
  <c r="Z87" i="7"/>
  <c r="AA87" i="7" s="1"/>
  <c r="AG87" i="7" s="1"/>
  <c r="AH87" i="7"/>
  <c r="AL87" i="7"/>
  <c r="N88" i="7"/>
  <c r="R88" i="7"/>
  <c r="V88" i="7"/>
  <c r="Z88" i="7"/>
  <c r="AA88" i="7" s="1"/>
  <c r="AG88" i="7" s="1"/>
  <c r="AH88" i="7"/>
  <c r="AL88" i="7"/>
  <c r="N89" i="7"/>
  <c r="R89" i="7"/>
  <c r="V89" i="7"/>
  <c r="Z89" i="7"/>
  <c r="AA89" i="7" s="1"/>
  <c r="AG89" i="7" s="1"/>
  <c r="AH89" i="7"/>
  <c r="AL89" i="7"/>
  <c r="N90" i="7"/>
  <c r="R90" i="7"/>
  <c r="V90" i="7"/>
  <c r="Z90" i="7"/>
  <c r="AA90" i="7" s="1"/>
  <c r="AG90" i="7" s="1"/>
  <c r="AH90" i="7"/>
  <c r="AL90" i="7"/>
  <c r="N91" i="7"/>
  <c r="R91" i="7"/>
  <c r="V91" i="7"/>
  <c r="Z91" i="7"/>
  <c r="AA91" i="7" s="1"/>
  <c r="AG91" i="7" s="1"/>
  <c r="AH91" i="7"/>
  <c r="AL91" i="7"/>
  <c r="N92" i="7"/>
  <c r="R92" i="7"/>
  <c r="V92" i="7"/>
  <c r="Z92" i="7"/>
  <c r="AA92" i="7" s="1"/>
  <c r="AG92" i="7" s="1"/>
  <c r="AH92" i="7"/>
  <c r="AL92" i="7"/>
  <c r="N93" i="7"/>
  <c r="R93" i="7"/>
  <c r="V93" i="7"/>
  <c r="Z93" i="7"/>
  <c r="AA93" i="7" s="1"/>
  <c r="AG93" i="7" s="1"/>
  <c r="AH93" i="7"/>
  <c r="AL93" i="7"/>
  <c r="N94" i="7"/>
  <c r="R94" i="7"/>
  <c r="V94" i="7"/>
  <c r="Z94" i="7"/>
  <c r="AA94" i="7" s="1"/>
  <c r="AG94" i="7" s="1"/>
  <c r="AH94" i="7"/>
  <c r="AL94" i="7"/>
  <c r="N95" i="7"/>
  <c r="R95" i="7"/>
  <c r="V95" i="7"/>
  <c r="Z95" i="7"/>
  <c r="AA95" i="7" s="1"/>
  <c r="AG95" i="7" s="1"/>
  <c r="AH95" i="7"/>
  <c r="AL95" i="7"/>
  <c r="N96" i="7"/>
  <c r="R96" i="7"/>
  <c r="V96" i="7"/>
  <c r="Z96" i="7"/>
  <c r="AA96" i="7" s="1"/>
  <c r="AG96" i="7" s="1"/>
  <c r="AH96" i="7"/>
  <c r="AL96" i="7"/>
  <c r="N97" i="7"/>
  <c r="R97" i="7"/>
  <c r="V97" i="7"/>
  <c r="Z97" i="7"/>
  <c r="AA97" i="7" s="1"/>
  <c r="AG97" i="7" s="1"/>
  <c r="AH97" i="7"/>
  <c r="AL97" i="7"/>
  <c r="N98" i="7"/>
  <c r="R98" i="7"/>
  <c r="V98" i="7"/>
  <c r="Z98" i="7"/>
  <c r="AA98" i="7" s="1"/>
  <c r="AG98" i="7" s="1"/>
  <c r="AH98" i="7"/>
  <c r="AL98" i="7"/>
  <c r="N99" i="7"/>
  <c r="R99" i="7"/>
  <c r="V99" i="7"/>
  <c r="Z99" i="7"/>
  <c r="AA99" i="7" s="1"/>
  <c r="AG99" i="7" s="1"/>
  <c r="AH99" i="7"/>
  <c r="AL99" i="7"/>
  <c r="N100" i="7"/>
  <c r="R100" i="7"/>
  <c r="V100" i="7"/>
  <c r="Z100" i="7"/>
  <c r="AA100" i="7" s="1"/>
  <c r="AG100" i="7" s="1"/>
  <c r="AH100" i="7"/>
  <c r="AL100" i="7"/>
  <c r="N101" i="7"/>
  <c r="R101" i="7"/>
  <c r="V101" i="7"/>
  <c r="Z101" i="7"/>
  <c r="AA101" i="7" s="1"/>
  <c r="AG101" i="7" s="1"/>
  <c r="AH101" i="7"/>
  <c r="AL101" i="7"/>
  <c r="N102" i="7"/>
  <c r="R102" i="7"/>
  <c r="V102" i="7"/>
  <c r="Z102" i="7"/>
  <c r="AA102" i="7" s="1"/>
  <c r="AG102" i="7" s="1"/>
  <c r="AH102" i="7"/>
  <c r="AL102" i="7"/>
  <c r="N103" i="7"/>
  <c r="R103" i="7"/>
  <c r="V103" i="7"/>
  <c r="Z103" i="7"/>
  <c r="AA103" i="7" s="1"/>
  <c r="AG103" i="7" s="1"/>
  <c r="AH103" i="7"/>
  <c r="AL103" i="7"/>
  <c r="N104" i="7"/>
  <c r="R104" i="7"/>
  <c r="V104" i="7"/>
  <c r="Z104" i="7"/>
  <c r="AA104" i="7" s="1"/>
  <c r="AG104" i="7" s="1"/>
  <c r="AH104" i="7"/>
  <c r="AL104" i="7"/>
  <c r="N105" i="7"/>
  <c r="R105" i="7"/>
  <c r="V105" i="7"/>
  <c r="Z105" i="7"/>
  <c r="AA105" i="7" s="1"/>
  <c r="AG105" i="7" s="1"/>
  <c r="AH105" i="7"/>
  <c r="AL105" i="7"/>
  <c r="N106" i="7"/>
  <c r="R106" i="7"/>
  <c r="V106" i="7"/>
  <c r="Z106" i="7"/>
  <c r="AA106" i="7" s="1"/>
  <c r="AG106" i="7" s="1"/>
  <c r="AH106" i="7"/>
  <c r="AL106" i="7"/>
  <c r="N107" i="7"/>
  <c r="R107" i="7"/>
  <c r="V107" i="7"/>
  <c r="Z107" i="7"/>
  <c r="AA107" i="7" s="1"/>
  <c r="AG107" i="7" s="1"/>
  <c r="AH107" i="7"/>
  <c r="AL107" i="7"/>
  <c r="N108" i="7"/>
  <c r="R108" i="7"/>
  <c r="V108" i="7"/>
  <c r="Z108" i="7"/>
  <c r="AA108" i="7" s="1"/>
  <c r="AG108" i="7" s="1"/>
  <c r="AH108" i="7"/>
  <c r="AL108" i="7"/>
  <c r="N109" i="7"/>
  <c r="R109" i="7"/>
  <c r="V109" i="7"/>
  <c r="Z109" i="7"/>
  <c r="AA109" i="7" s="1"/>
  <c r="AG109" i="7" s="1"/>
  <c r="AH109" i="7"/>
  <c r="AL109" i="7"/>
  <c r="N110" i="7"/>
  <c r="R110" i="7"/>
  <c r="V110" i="7"/>
  <c r="Z110" i="7"/>
  <c r="AA110" i="7" s="1"/>
  <c r="AG110" i="7" s="1"/>
  <c r="AH110" i="7"/>
  <c r="AL110" i="7"/>
  <c r="N111" i="7"/>
  <c r="R111" i="7"/>
  <c r="V111" i="7"/>
  <c r="Z111" i="7"/>
  <c r="AA111" i="7" s="1"/>
  <c r="AG111" i="7" s="1"/>
  <c r="AH111" i="7"/>
  <c r="AL111" i="7"/>
  <c r="N112" i="7"/>
  <c r="R112" i="7"/>
  <c r="V112" i="7"/>
  <c r="Z112" i="7"/>
  <c r="AA112" i="7" s="1"/>
  <c r="AG112" i="7" s="1"/>
  <c r="AH112" i="7"/>
  <c r="AL112" i="7"/>
  <c r="N113" i="7"/>
  <c r="R113" i="7"/>
  <c r="V113" i="7"/>
  <c r="Z113" i="7"/>
  <c r="AA113" i="7" s="1"/>
  <c r="AG113" i="7" s="1"/>
  <c r="AH113" i="7"/>
  <c r="AL113" i="7"/>
  <c r="N114" i="7"/>
  <c r="R114" i="7"/>
  <c r="V114" i="7"/>
  <c r="Z114" i="7"/>
  <c r="AA114" i="7" s="1"/>
  <c r="AG114" i="7" s="1"/>
  <c r="AH114" i="7"/>
  <c r="AL114" i="7"/>
  <c r="N115" i="7"/>
  <c r="R115" i="7"/>
  <c r="V115" i="7"/>
  <c r="Z115" i="7"/>
  <c r="AA115" i="7" s="1"/>
  <c r="AG115" i="7" s="1"/>
  <c r="AH115" i="7"/>
  <c r="AL115" i="7"/>
  <c r="N116" i="7"/>
  <c r="R116" i="7"/>
  <c r="V116" i="7"/>
  <c r="Z116" i="7"/>
  <c r="AA116" i="7" s="1"/>
  <c r="AG116" i="7" s="1"/>
  <c r="AH116" i="7"/>
  <c r="AL116" i="7"/>
  <c r="N117" i="7"/>
  <c r="R117" i="7"/>
  <c r="V117" i="7"/>
  <c r="Z117" i="7"/>
  <c r="AA117" i="7" s="1"/>
  <c r="AG117" i="7" s="1"/>
  <c r="AH117" i="7"/>
  <c r="AL117" i="7"/>
  <c r="N118" i="7"/>
  <c r="R118" i="7"/>
  <c r="V118" i="7"/>
  <c r="Z118" i="7"/>
  <c r="AA118" i="7" s="1"/>
  <c r="AG118" i="7" s="1"/>
  <c r="AH118" i="7"/>
  <c r="AL118" i="7"/>
  <c r="N119" i="7"/>
  <c r="R119" i="7"/>
  <c r="V119" i="7"/>
  <c r="Z119" i="7"/>
  <c r="AA119" i="7" s="1"/>
  <c r="AG119" i="7" s="1"/>
  <c r="AH119" i="7"/>
  <c r="AL119" i="7"/>
  <c r="N120" i="7"/>
  <c r="R120" i="7"/>
  <c r="V120" i="7"/>
  <c r="Z120" i="7"/>
  <c r="AA120" i="7" s="1"/>
  <c r="AG120" i="7" s="1"/>
  <c r="AH120" i="7"/>
  <c r="AL120" i="7"/>
  <c r="N121" i="7"/>
  <c r="R121" i="7"/>
  <c r="V121" i="7"/>
  <c r="Z121" i="7"/>
  <c r="AA121" i="7" s="1"/>
  <c r="AG121" i="7" s="1"/>
  <c r="AH121" i="7"/>
  <c r="AL121" i="7"/>
  <c r="N122" i="7"/>
  <c r="R122" i="7"/>
  <c r="V122" i="7"/>
  <c r="Z122" i="7"/>
  <c r="AA122" i="7" s="1"/>
  <c r="AG122" i="7" s="1"/>
  <c r="AH122" i="7"/>
  <c r="AL122" i="7"/>
  <c r="N123" i="7"/>
  <c r="R123" i="7"/>
  <c r="V123" i="7"/>
  <c r="Z123" i="7"/>
  <c r="AA123" i="7" s="1"/>
  <c r="AG123" i="7" s="1"/>
  <c r="AH123" i="7"/>
  <c r="AL123" i="7"/>
  <c r="N124" i="7"/>
  <c r="R124" i="7"/>
  <c r="V124" i="7"/>
  <c r="Z124" i="7"/>
  <c r="AA124" i="7" s="1"/>
  <c r="AG124" i="7" s="1"/>
  <c r="AH124" i="7"/>
  <c r="AL124" i="7"/>
  <c r="N125" i="7"/>
  <c r="R125" i="7"/>
  <c r="V125" i="7"/>
  <c r="Z125" i="7"/>
  <c r="AA125" i="7" s="1"/>
  <c r="AG125" i="7" s="1"/>
  <c r="AH125" i="7"/>
  <c r="AL125" i="7"/>
  <c r="N126" i="7"/>
  <c r="R126" i="7"/>
  <c r="V126" i="7"/>
  <c r="Z126" i="7"/>
  <c r="AA126" i="7" s="1"/>
  <c r="AG126" i="7" s="1"/>
  <c r="AH126" i="7"/>
  <c r="AL126" i="7"/>
  <c r="N127" i="7"/>
  <c r="R127" i="7"/>
  <c r="V127" i="7"/>
  <c r="Z127" i="7"/>
  <c r="AA127" i="7" s="1"/>
  <c r="AG127" i="7" s="1"/>
  <c r="AH127" i="7"/>
  <c r="AL127" i="7"/>
  <c r="N128" i="7"/>
  <c r="R128" i="7"/>
  <c r="V128" i="7"/>
  <c r="Z128" i="7"/>
  <c r="AA128" i="7" s="1"/>
  <c r="AG128" i="7" s="1"/>
  <c r="AH128" i="7"/>
  <c r="AL128" i="7"/>
  <c r="N129" i="7"/>
  <c r="R129" i="7"/>
  <c r="V129" i="7"/>
  <c r="Z129" i="7"/>
  <c r="AA129" i="7" s="1"/>
  <c r="AG129" i="7" s="1"/>
  <c r="AH129" i="7"/>
  <c r="AL129" i="7"/>
  <c r="N130" i="7"/>
  <c r="R130" i="7"/>
  <c r="V130" i="7"/>
  <c r="Z130" i="7"/>
  <c r="AA130" i="7" s="1"/>
  <c r="AG130" i="7" s="1"/>
  <c r="AH130" i="7"/>
  <c r="AL130" i="7"/>
  <c r="N131" i="7"/>
  <c r="R131" i="7"/>
  <c r="V131" i="7"/>
  <c r="Z131" i="7"/>
  <c r="AA131" i="7" s="1"/>
  <c r="AG131" i="7" s="1"/>
  <c r="AH131" i="7"/>
  <c r="AL131" i="7"/>
  <c r="N132" i="7"/>
  <c r="R132" i="7"/>
  <c r="V132" i="7"/>
  <c r="Z132" i="7"/>
  <c r="AA132" i="7" s="1"/>
  <c r="AG132" i="7" s="1"/>
  <c r="AH132" i="7"/>
  <c r="AL132" i="7"/>
  <c r="N133" i="7"/>
  <c r="R133" i="7"/>
  <c r="V133" i="7"/>
  <c r="Z133" i="7"/>
  <c r="AA133" i="7" s="1"/>
  <c r="AG133" i="7" s="1"/>
  <c r="AH133" i="7"/>
  <c r="AL133" i="7"/>
  <c r="N134" i="7"/>
  <c r="R134" i="7"/>
  <c r="V134" i="7"/>
  <c r="Z134" i="7"/>
  <c r="AA134" i="7" s="1"/>
  <c r="AG134" i="7" s="1"/>
  <c r="AH134" i="7"/>
  <c r="AL134" i="7"/>
  <c r="N135" i="7"/>
  <c r="R135" i="7"/>
  <c r="V135" i="7"/>
  <c r="Z135" i="7"/>
  <c r="AA135" i="7" s="1"/>
  <c r="AG135" i="7" s="1"/>
  <c r="AH135" i="7"/>
  <c r="AL135" i="7"/>
  <c r="N136" i="7"/>
  <c r="R136" i="7"/>
  <c r="V136" i="7"/>
  <c r="Z136" i="7"/>
  <c r="AA136" i="7" s="1"/>
  <c r="AG136" i="7" s="1"/>
  <c r="AH136" i="7"/>
  <c r="AL136" i="7"/>
  <c r="N137" i="7"/>
  <c r="R137" i="7"/>
  <c r="V137" i="7"/>
  <c r="Z137" i="7"/>
  <c r="AA137" i="7" s="1"/>
  <c r="AG137" i="7" s="1"/>
  <c r="AH137" i="7"/>
  <c r="AL137" i="7"/>
  <c r="N138" i="7"/>
  <c r="R138" i="7"/>
  <c r="V138" i="7"/>
  <c r="Z138" i="7"/>
  <c r="AA138" i="7" s="1"/>
  <c r="AG138" i="7" s="1"/>
  <c r="AH138" i="7"/>
  <c r="AL138" i="7"/>
  <c r="N139" i="7"/>
  <c r="R139" i="7"/>
  <c r="V139" i="7"/>
  <c r="Z139" i="7"/>
  <c r="AA139" i="7" s="1"/>
  <c r="AG139" i="7" s="1"/>
  <c r="AH139" i="7"/>
  <c r="AL139" i="7"/>
  <c r="N140" i="7"/>
  <c r="R140" i="7"/>
  <c r="V140" i="7"/>
  <c r="Z140" i="7"/>
  <c r="AA140" i="7" s="1"/>
  <c r="AG140" i="7" s="1"/>
  <c r="AH140" i="7"/>
  <c r="AL140" i="7"/>
  <c r="N141" i="7"/>
  <c r="R141" i="7"/>
  <c r="V141" i="7"/>
  <c r="Z141" i="7"/>
  <c r="AA141" i="7" s="1"/>
  <c r="AG141" i="7" s="1"/>
  <c r="AH141" i="7"/>
  <c r="AL141" i="7"/>
  <c r="N142" i="7"/>
  <c r="R142" i="7"/>
  <c r="V142" i="7"/>
  <c r="Z142" i="7"/>
  <c r="AA142" i="7" s="1"/>
  <c r="AG142" i="7" s="1"/>
  <c r="AH142" i="7"/>
  <c r="AL142" i="7"/>
  <c r="N143" i="7"/>
  <c r="R143" i="7"/>
  <c r="V143" i="7"/>
  <c r="Z143" i="7"/>
  <c r="AA143" i="7" s="1"/>
  <c r="AG143" i="7" s="1"/>
  <c r="AH143" i="7"/>
  <c r="AL143" i="7"/>
  <c r="N144" i="7"/>
  <c r="R144" i="7"/>
  <c r="V144" i="7"/>
  <c r="Z144" i="7"/>
  <c r="AA144" i="7" s="1"/>
  <c r="AG144" i="7" s="1"/>
  <c r="AH144" i="7"/>
  <c r="AL144" i="7"/>
  <c r="N145" i="7"/>
  <c r="R145" i="7"/>
  <c r="V145" i="7"/>
  <c r="Z145" i="7"/>
  <c r="AA145" i="7" s="1"/>
  <c r="AG145" i="7" s="1"/>
  <c r="AH145" i="7"/>
  <c r="AL145" i="7"/>
  <c r="N146" i="7"/>
  <c r="R146" i="7"/>
  <c r="V146" i="7"/>
  <c r="Z146" i="7"/>
  <c r="AA146" i="7" s="1"/>
  <c r="AG146" i="7" s="1"/>
  <c r="AH146" i="7"/>
  <c r="AL146" i="7"/>
  <c r="N147" i="7"/>
  <c r="R147" i="7"/>
  <c r="V147" i="7"/>
  <c r="Z147" i="7"/>
  <c r="AA147" i="7" s="1"/>
  <c r="AG147" i="7" s="1"/>
  <c r="AH147" i="7"/>
  <c r="AL147" i="7"/>
  <c r="N148" i="7"/>
  <c r="R148" i="7"/>
  <c r="V148" i="7"/>
  <c r="Z148" i="7"/>
  <c r="AA148" i="7" s="1"/>
  <c r="AG148" i="7" s="1"/>
  <c r="AH148" i="7"/>
  <c r="AL148" i="7"/>
  <c r="N149" i="7"/>
  <c r="R149" i="7"/>
  <c r="V149" i="7"/>
  <c r="Z149" i="7"/>
  <c r="AA149" i="7" s="1"/>
  <c r="AG149" i="7" s="1"/>
  <c r="AH149" i="7"/>
  <c r="AL149" i="7"/>
  <c r="N150" i="7"/>
  <c r="R150" i="7"/>
  <c r="V150" i="7"/>
  <c r="Z150" i="7"/>
  <c r="AA150" i="7" s="1"/>
  <c r="AG150" i="7" s="1"/>
  <c r="AH150" i="7"/>
  <c r="AL150" i="7"/>
  <c r="N151" i="7"/>
  <c r="R151" i="7"/>
  <c r="V151" i="7"/>
  <c r="Z151" i="7"/>
  <c r="AA151" i="7" s="1"/>
  <c r="AG151" i="7" s="1"/>
  <c r="AH151" i="7"/>
  <c r="AL151" i="7"/>
  <c r="N152" i="7"/>
  <c r="R152" i="7"/>
  <c r="V152" i="7"/>
  <c r="Z152" i="7"/>
  <c r="AA152" i="7" s="1"/>
  <c r="AG152" i="7" s="1"/>
  <c r="AH152" i="7"/>
  <c r="AL152" i="7"/>
  <c r="N153" i="7"/>
  <c r="R153" i="7"/>
  <c r="V153" i="7"/>
  <c r="Z153" i="7"/>
  <c r="AA153" i="7" s="1"/>
  <c r="AG153" i="7" s="1"/>
  <c r="AH153" i="7"/>
  <c r="AL153" i="7"/>
  <c r="N154" i="7"/>
  <c r="R154" i="7"/>
  <c r="V154" i="7"/>
  <c r="Z154" i="7"/>
  <c r="AA154" i="7" s="1"/>
  <c r="AG154" i="7" s="1"/>
  <c r="AH154" i="7"/>
  <c r="AL154" i="7"/>
  <c r="N155" i="7"/>
  <c r="R155" i="7"/>
  <c r="V155" i="7"/>
  <c r="Z155" i="7"/>
  <c r="AA155" i="7" s="1"/>
  <c r="AG155" i="7" s="1"/>
  <c r="AH155" i="7"/>
  <c r="AL155" i="7"/>
  <c r="N156" i="7"/>
  <c r="R156" i="7"/>
  <c r="V156" i="7"/>
  <c r="Z156" i="7"/>
  <c r="AA156" i="7" s="1"/>
  <c r="AG156" i="7" s="1"/>
  <c r="AH156" i="7"/>
  <c r="AL156" i="7"/>
  <c r="N157" i="7"/>
  <c r="R157" i="7"/>
  <c r="V157" i="7"/>
  <c r="Z157" i="7"/>
  <c r="AA157" i="7" s="1"/>
  <c r="AG157" i="7" s="1"/>
  <c r="AH157" i="7"/>
  <c r="AL157" i="7"/>
  <c r="N158" i="7"/>
  <c r="R158" i="7"/>
  <c r="V158" i="7"/>
  <c r="Z158" i="7"/>
  <c r="AA158" i="7" s="1"/>
  <c r="AG158" i="7" s="1"/>
  <c r="AH158" i="7"/>
  <c r="AL158" i="7"/>
  <c r="N159" i="7"/>
  <c r="R159" i="7"/>
  <c r="V159" i="7"/>
  <c r="Z159" i="7"/>
  <c r="AA159" i="7" s="1"/>
  <c r="AG159" i="7" s="1"/>
  <c r="AH159" i="7"/>
  <c r="AL159" i="7"/>
  <c r="N160" i="7"/>
  <c r="R160" i="7"/>
  <c r="V160" i="7"/>
  <c r="Z160" i="7"/>
  <c r="AA160" i="7" s="1"/>
  <c r="AG160" i="7" s="1"/>
  <c r="AH160" i="7"/>
  <c r="AL160" i="7"/>
  <c r="N161" i="7"/>
  <c r="R161" i="7"/>
  <c r="V161" i="7"/>
  <c r="Z161" i="7"/>
  <c r="AA161" i="7" s="1"/>
  <c r="AG161" i="7" s="1"/>
  <c r="AH161" i="7"/>
  <c r="AL161" i="7"/>
  <c r="N162" i="7"/>
  <c r="R162" i="7"/>
  <c r="V162" i="7"/>
  <c r="Z162" i="7"/>
  <c r="AA162" i="7" s="1"/>
  <c r="AG162" i="7" s="1"/>
  <c r="AH162" i="7"/>
  <c r="AL162" i="7"/>
  <c r="N163" i="7"/>
  <c r="R163" i="7"/>
  <c r="V163" i="7"/>
  <c r="Z163" i="7"/>
  <c r="AA163" i="7" s="1"/>
  <c r="AG163" i="7" s="1"/>
  <c r="AH163" i="7"/>
  <c r="AL163" i="7"/>
  <c r="N164" i="7"/>
  <c r="R164" i="7"/>
  <c r="V164" i="7"/>
  <c r="Z164" i="7"/>
  <c r="AA164" i="7" s="1"/>
  <c r="AG164" i="7" s="1"/>
  <c r="AH164" i="7"/>
  <c r="AL164" i="7"/>
  <c r="N165" i="7"/>
  <c r="R165" i="7"/>
  <c r="V165" i="7"/>
  <c r="Z165" i="7"/>
  <c r="AA165" i="7" s="1"/>
  <c r="AG165" i="7" s="1"/>
  <c r="AI2" i="8"/>
  <c r="AA2" i="8"/>
  <c r="AG2" i="8" s="1"/>
  <c r="W2" i="8"/>
  <c r="AD2" i="8" s="1"/>
  <c r="S2" i="8"/>
  <c r="O2" i="8"/>
  <c r="K2" i="8"/>
  <c r="AL2" i="8"/>
  <c r="AH2" i="8"/>
  <c r="Z2" i="8"/>
  <c r="V2" i="8"/>
  <c r="R2" i="8"/>
  <c r="N2" i="8"/>
  <c r="T2" i="8"/>
  <c r="AB2" i="8"/>
  <c r="AJ2" i="8"/>
  <c r="AL3" i="8"/>
  <c r="AH3" i="8"/>
  <c r="Z3" i="8"/>
  <c r="AA3" i="8" s="1"/>
  <c r="AG3" i="8" s="1"/>
  <c r="V3" i="8"/>
  <c r="AB3" i="8" s="1"/>
  <c r="R3" i="8"/>
  <c r="N3" i="8"/>
  <c r="AK3" i="8"/>
  <c r="AC3" i="8"/>
  <c r="AE3" i="8" s="1"/>
  <c r="Y3" i="8"/>
  <c r="U3" i="8"/>
  <c r="AF3" i="8" s="1"/>
  <c r="Q3" i="8"/>
  <c r="M3" i="8"/>
  <c r="T3" i="8"/>
  <c r="AJ3" i="8"/>
  <c r="M6" i="8"/>
  <c r="U6" i="8"/>
  <c r="AF6" i="8" s="1"/>
  <c r="AC6" i="8"/>
  <c r="AE6" i="8" s="1"/>
  <c r="AK6" i="8"/>
  <c r="O7" i="8"/>
  <c r="W7" i="8"/>
  <c r="AD7" i="8" s="1"/>
  <c r="I7" i="3"/>
  <c r="M30" i="3"/>
  <c r="F31" i="3"/>
  <c r="P4" i="7"/>
  <c r="AB4" i="7"/>
  <c r="P8" i="7"/>
  <c r="E7" i="3"/>
  <c r="X4" i="7"/>
  <c r="Y4" i="7" s="1"/>
  <c r="AJ4" i="7"/>
  <c r="AB8" i="7"/>
  <c r="P5" i="7"/>
  <c r="X13" i="7"/>
  <c r="Y13" i="7" s="1"/>
  <c r="X14" i="7"/>
  <c r="Y14" i="7" s="1"/>
  <c r="X15" i="7"/>
  <c r="Y15" i="7" s="1"/>
  <c r="X18" i="7"/>
  <c r="Y18" i="7" s="1"/>
  <c r="X19" i="7"/>
  <c r="Y19" i="7" s="1"/>
  <c r="P23" i="7"/>
  <c r="P24" i="7"/>
  <c r="P29" i="7"/>
  <c r="X37" i="7"/>
  <c r="Y37" i="7" s="1"/>
  <c r="X42" i="7"/>
  <c r="Y42" i="7" s="1"/>
  <c r="P46" i="7"/>
  <c r="P49" i="7"/>
  <c r="P50" i="7"/>
  <c r="P51" i="7"/>
  <c r="T65" i="7"/>
  <c r="AB65" i="7"/>
  <c r="T66" i="7"/>
  <c r="X66" i="7"/>
  <c r="Y66" i="7" s="1"/>
  <c r="P67" i="7"/>
  <c r="T67" i="7"/>
  <c r="X67" i="7"/>
  <c r="Y67" i="7" s="1"/>
  <c r="AB67" i="7"/>
  <c r="P68" i="7"/>
  <c r="T68" i="7"/>
  <c r="X68" i="7"/>
  <c r="Y68" i="7" s="1"/>
  <c r="AB68" i="7"/>
  <c r="P69" i="7"/>
  <c r="T69" i="7"/>
  <c r="X69" i="7"/>
  <c r="Y69" i="7" s="1"/>
  <c r="AB69" i="7"/>
  <c r="P70" i="7"/>
  <c r="T70" i="7"/>
  <c r="X70" i="7"/>
  <c r="Y70" i="7" s="1"/>
  <c r="AB70" i="7"/>
  <c r="P71" i="7"/>
  <c r="T71" i="7"/>
  <c r="X71" i="7"/>
  <c r="Y71" i="7" s="1"/>
  <c r="AB71" i="7"/>
  <c r="P72" i="7"/>
  <c r="T72" i="7"/>
  <c r="X72" i="7"/>
  <c r="Y72" i="7" s="1"/>
  <c r="AB72" i="7"/>
  <c r="P73" i="7"/>
  <c r="T73" i="7"/>
  <c r="X73" i="7"/>
  <c r="Y73" i="7" s="1"/>
  <c r="AB73" i="7"/>
  <c r="P74" i="7"/>
  <c r="T74" i="7"/>
  <c r="X74" i="7"/>
  <c r="Y74" i="7" s="1"/>
  <c r="AB74" i="7"/>
  <c r="P75" i="7"/>
  <c r="T75" i="7"/>
  <c r="X75" i="7"/>
  <c r="Y75" i="7" s="1"/>
  <c r="AB75" i="7"/>
  <c r="P76" i="7"/>
  <c r="T76" i="7"/>
  <c r="X76" i="7"/>
  <c r="Y76" i="7" s="1"/>
  <c r="AB76" i="7"/>
  <c r="P77" i="7"/>
  <c r="T77" i="7"/>
  <c r="X77" i="7"/>
  <c r="Y77" i="7" s="1"/>
  <c r="P78" i="7"/>
  <c r="T78" i="7"/>
  <c r="X78" i="7"/>
  <c r="Y78" i="7" s="1"/>
  <c r="AB78" i="7"/>
  <c r="P79" i="7"/>
  <c r="T79" i="7"/>
  <c r="X79" i="7"/>
  <c r="Y79" i="7" s="1"/>
  <c r="AB79" i="7"/>
  <c r="P80" i="7"/>
  <c r="T80" i="7"/>
  <c r="X80" i="7"/>
  <c r="Y80" i="7" s="1"/>
  <c r="P81" i="7"/>
  <c r="T81" i="7"/>
  <c r="X81" i="7"/>
  <c r="Y81" i="7" s="1"/>
  <c r="AB81" i="7"/>
  <c r="P82" i="7"/>
  <c r="T82" i="7"/>
  <c r="X82" i="7"/>
  <c r="Y82" i="7" s="1"/>
  <c r="AB82" i="7"/>
  <c r="P83" i="7"/>
  <c r="T83" i="7"/>
  <c r="X83" i="7"/>
  <c r="Y83" i="7" s="1"/>
  <c r="AB83" i="7"/>
  <c r="P84" i="7"/>
  <c r="T84" i="7"/>
  <c r="X84" i="7"/>
  <c r="Y84" i="7" s="1"/>
  <c r="AB84" i="7"/>
  <c r="P85" i="7"/>
  <c r="T85" i="7"/>
  <c r="X85" i="7"/>
  <c r="Y85" i="7" s="1"/>
  <c r="AB85" i="7"/>
  <c r="P86" i="7"/>
  <c r="T86" i="7"/>
  <c r="X86" i="7"/>
  <c r="Y86" i="7" s="1"/>
  <c r="AB86" i="7"/>
  <c r="P87" i="7"/>
  <c r="T87" i="7"/>
  <c r="X87" i="7"/>
  <c r="Y87" i="7" s="1"/>
  <c r="AB87" i="7"/>
  <c r="P88" i="7"/>
  <c r="T88" i="7"/>
  <c r="X88" i="7"/>
  <c r="Y88" i="7" s="1"/>
  <c r="AB88" i="7"/>
  <c r="P89" i="7"/>
  <c r="T89" i="7"/>
  <c r="X89" i="7"/>
  <c r="Y89" i="7" s="1"/>
  <c r="AB89" i="7"/>
  <c r="P90" i="7"/>
  <c r="T90" i="7"/>
  <c r="X90" i="7"/>
  <c r="Y90" i="7" s="1"/>
  <c r="AB90" i="7"/>
  <c r="P91" i="7"/>
  <c r="T91" i="7"/>
  <c r="X91" i="7"/>
  <c r="Y91" i="7" s="1"/>
  <c r="AB91" i="7"/>
  <c r="P92" i="7"/>
  <c r="T92" i="7"/>
  <c r="X92" i="7"/>
  <c r="Y92" i="7" s="1"/>
  <c r="AB92" i="7"/>
  <c r="P93" i="7"/>
  <c r="T93" i="7"/>
  <c r="X93" i="7"/>
  <c r="Y93" i="7" s="1"/>
  <c r="AB93" i="7"/>
  <c r="P94" i="7"/>
  <c r="T94" i="7"/>
  <c r="X94" i="7"/>
  <c r="Y94" i="7" s="1"/>
  <c r="AB94" i="7"/>
  <c r="P95" i="7"/>
  <c r="T95" i="7"/>
  <c r="X95" i="7"/>
  <c r="Y95" i="7" s="1"/>
  <c r="AB95" i="7"/>
  <c r="P96" i="7"/>
  <c r="T96" i="7"/>
  <c r="X96" i="7"/>
  <c r="Y96" i="7" s="1"/>
  <c r="AB96" i="7"/>
  <c r="P97" i="7"/>
  <c r="T97" i="7"/>
  <c r="X97" i="7"/>
  <c r="Y97" i="7" s="1"/>
  <c r="AB97" i="7"/>
  <c r="P98" i="7"/>
  <c r="T98" i="7"/>
  <c r="X98" i="7"/>
  <c r="Y98" i="7" s="1"/>
  <c r="AB98" i="7"/>
  <c r="P99" i="7"/>
  <c r="T99" i="7"/>
  <c r="X99" i="7"/>
  <c r="Y99" i="7" s="1"/>
  <c r="AB99" i="7"/>
  <c r="P100" i="7"/>
  <c r="T100" i="7"/>
  <c r="X100" i="7"/>
  <c r="Y100" i="7" s="1"/>
  <c r="AB100" i="7"/>
  <c r="P101" i="7"/>
  <c r="T101" i="7"/>
  <c r="X101" i="7"/>
  <c r="Y101" i="7" s="1"/>
  <c r="AB101" i="7"/>
  <c r="P102" i="7"/>
  <c r="T102" i="7"/>
  <c r="X102" i="7"/>
  <c r="Y102" i="7" s="1"/>
  <c r="AB102" i="7"/>
  <c r="P103" i="7"/>
  <c r="T103" i="7"/>
  <c r="X103" i="7"/>
  <c r="Y103" i="7" s="1"/>
  <c r="AB103" i="7"/>
  <c r="P104" i="7"/>
  <c r="T104" i="7"/>
  <c r="X104" i="7"/>
  <c r="Y104" i="7" s="1"/>
  <c r="AB104" i="7"/>
  <c r="P105" i="7"/>
  <c r="T105" i="7"/>
  <c r="X105" i="7"/>
  <c r="Y105" i="7" s="1"/>
  <c r="AB105" i="7"/>
  <c r="P106" i="7"/>
  <c r="T106" i="7"/>
  <c r="X106" i="7"/>
  <c r="Y106" i="7" s="1"/>
  <c r="AB106" i="7"/>
  <c r="P107" i="7"/>
  <c r="T107" i="7"/>
  <c r="X107" i="7"/>
  <c r="Y107" i="7" s="1"/>
  <c r="AB107" i="7"/>
  <c r="P108" i="7"/>
  <c r="T108" i="7"/>
  <c r="X108" i="7"/>
  <c r="Y108" i="7" s="1"/>
  <c r="AB108" i="7"/>
  <c r="P109" i="7"/>
  <c r="T109" i="7"/>
  <c r="X109" i="7"/>
  <c r="Y109" i="7" s="1"/>
  <c r="AB109" i="7"/>
  <c r="P110" i="7"/>
  <c r="T110" i="7"/>
  <c r="X110" i="7"/>
  <c r="Y110" i="7" s="1"/>
  <c r="AB110" i="7"/>
  <c r="P111" i="7"/>
  <c r="T111" i="7"/>
  <c r="X111" i="7"/>
  <c r="Y111" i="7" s="1"/>
  <c r="AB111" i="7"/>
  <c r="P112" i="7"/>
  <c r="T112" i="7"/>
  <c r="X112" i="7"/>
  <c r="Y112" i="7" s="1"/>
  <c r="AB112" i="7"/>
  <c r="P113" i="7"/>
  <c r="T113" i="7"/>
  <c r="X113" i="7"/>
  <c r="Y113" i="7" s="1"/>
  <c r="AB113" i="7"/>
  <c r="P114" i="7"/>
  <c r="T114" i="7"/>
  <c r="X114" i="7"/>
  <c r="Y114" i="7" s="1"/>
  <c r="AB114" i="7"/>
  <c r="P115" i="7"/>
  <c r="T115" i="7"/>
  <c r="X115" i="7"/>
  <c r="Y115" i="7" s="1"/>
  <c r="AB115" i="7"/>
  <c r="P116" i="7"/>
  <c r="T116" i="7"/>
  <c r="X116" i="7"/>
  <c r="Y116" i="7" s="1"/>
  <c r="AB116" i="7"/>
  <c r="P117" i="7"/>
  <c r="T117" i="7"/>
  <c r="X117" i="7"/>
  <c r="Y117" i="7" s="1"/>
  <c r="AB117" i="7"/>
  <c r="P118" i="7"/>
  <c r="T118" i="7"/>
  <c r="X118" i="7"/>
  <c r="Y118" i="7" s="1"/>
  <c r="AB118" i="7"/>
  <c r="P119" i="7"/>
  <c r="T119" i="7"/>
  <c r="X119" i="7"/>
  <c r="Y119" i="7" s="1"/>
  <c r="AB119" i="7"/>
  <c r="P120" i="7"/>
  <c r="T120" i="7"/>
  <c r="X120" i="7"/>
  <c r="Y120" i="7" s="1"/>
  <c r="AB120" i="7"/>
  <c r="P121" i="7"/>
  <c r="T121" i="7"/>
  <c r="X121" i="7"/>
  <c r="Y121" i="7" s="1"/>
  <c r="AB121" i="7"/>
  <c r="P122" i="7"/>
  <c r="T122" i="7"/>
  <c r="X122" i="7"/>
  <c r="Y122" i="7" s="1"/>
  <c r="AB122" i="7"/>
  <c r="P123" i="7"/>
  <c r="T123" i="7"/>
  <c r="X123" i="7"/>
  <c r="Y123" i="7" s="1"/>
  <c r="AB123" i="7"/>
  <c r="P124" i="7"/>
  <c r="T124" i="7"/>
  <c r="X124" i="7"/>
  <c r="Y124" i="7" s="1"/>
  <c r="AB124" i="7"/>
  <c r="P125" i="7"/>
  <c r="T125" i="7"/>
  <c r="X125" i="7"/>
  <c r="Y125" i="7" s="1"/>
  <c r="AB125" i="7"/>
  <c r="P126" i="7"/>
  <c r="T126" i="7"/>
  <c r="X126" i="7"/>
  <c r="Y126" i="7" s="1"/>
  <c r="AB126" i="7"/>
  <c r="P127" i="7"/>
  <c r="T127" i="7"/>
  <c r="X127" i="7"/>
  <c r="Y127" i="7" s="1"/>
  <c r="AB127" i="7"/>
  <c r="P128" i="7"/>
  <c r="T128" i="7"/>
  <c r="X128" i="7"/>
  <c r="Y128" i="7" s="1"/>
  <c r="AB128" i="7"/>
  <c r="P129" i="7"/>
  <c r="T129" i="7"/>
  <c r="X129" i="7"/>
  <c r="Y129" i="7" s="1"/>
  <c r="AB129" i="7"/>
  <c r="P130" i="7"/>
  <c r="T130" i="7"/>
  <c r="X130" i="7"/>
  <c r="Y130" i="7" s="1"/>
  <c r="AB130" i="7"/>
  <c r="P131" i="7"/>
  <c r="T131" i="7"/>
  <c r="X131" i="7"/>
  <c r="Y131" i="7" s="1"/>
  <c r="AB131" i="7"/>
  <c r="P132" i="7"/>
  <c r="T132" i="7"/>
  <c r="X132" i="7"/>
  <c r="Y132" i="7" s="1"/>
  <c r="AB132" i="7"/>
  <c r="P133" i="7"/>
  <c r="T133" i="7"/>
  <c r="X133" i="7"/>
  <c r="Y133" i="7" s="1"/>
  <c r="AB133" i="7"/>
  <c r="P134" i="7"/>
  <c r="T134" i="7"/>
  <c r="X134" i="7"/>
  <c r="Y134" i="7" s="1"/>
  <c r="AB134" i="7"/>
  <c r="P135" i="7"/>
  <c r="T135" i="7"/>
  <c r="X135" i="7"/>
  <c r="Y135" i="7" s="1"/>
  <c r="AB135" i="7"/>
  <c r="P136" i="7"/>
  <c r="T136" i="7"/>
  <c r="X136" i="7"/>
  <c r="Y136" i="7" s="1"/>
  <c r="AB136" i="7"/>
  <c r="P137" i="7"/>
  <c r="T137" i="7"/>
  <c r="X137" i="7"/>
  <c r="Y137" i="7" s="1"/>
  <c r="AB137" i="7"/>
  <c r="P138" i="7"/>
  <c r="T138" i="7"/>
  <c r="X138" i="7"/>
  <c r="Y138" i="7" s="1"/>
  <c r="AB138" i="7"/>
  <c r="P139" i="7"/>
  <c r="T139" i="7"/>
  <c r="X139" i="7"/>
  <c r="Y139" i="7" s="1"/>
  <c r="AB139" i="7"/>
  <c r="P140" i="7"/>
  <c r="T140" i="7"/>
  <c r="X140" i="7"/>
  <c r="Y140" i="7" s="1"/>
  <c r="AB140" i="7"/>
  <c r="P141" i="7"/>
  <c r="T141" i="7"/>
  <c r="X141" i="7"/>
  <c r="Y141" i="7" s="1"/>
  <c r="AB141" i="7"/>
  <c r="P142" i="7"/>
  <c r="T142" i="7"/>
  <c r="X142" i="7"/>
  <c r="Y142" i="7" s="1"/>
  <c r="AB142" i="7"/>
  <c r="P143" i="7"/>
  <c r="T143" i="7"/>
  <c r="X143" i="7"/>
  <c r="Y143" i="7" s="1"/>
  <c r="AB143" i="7"/>
  <c r="P144" i="7"/>
  <c r="T144" i="7"/>
  <c r="X144" i="7"/>
  <c r="Y144" i="7" s="1"/>
  <c r="AB144" i="7"/>
  <c r="P145" i="7"/>
  <c r="T145" i="7"/>
  <c r="X145" i="7"/>
  <c r="Y145" i="7" s="1"/>
  <c r="AB145" i="7"/>
  <c r="P146" i="7"/>
  <c r="T146" i="7"/>
  <c r="X146" i="7"/>
  <c r="Y146" i="7" s="1"/>
  <c r="AB146" i="7"/>
  <c r="P147" i="7"/>
  <c r="T147" i="7"/>
  <c r="X147" i="7"/>
  <c r="Y147" i="7" s="1"/>
  <c r="AB147" i="7"/>
  <c r="P148" i="7"/>
  <c r="T148" i="7"/>
  <c r="X148" i="7"/>
  <c r="Y148" i="7" s="1"/>
  <c r="AB148" i="7"/>
  <c r="P149" i="7"/>
  <c r="T149" i="7"/>
  <c r="X149" i="7"/>
  <c r="Y149" i="7" s="1"/>
  <c r="AB149" i="7"/>
  <c r="P150" i="7"/>
  <c r="T150" i="7"/>
  <c r="X150" i="7"/>
  <c r="Y150" i="7" s="1"/>
  <c r="AB150" i="7"/>
  <c r="P151" i="7"/>
  <c r="T151" i="7"/>
  <c r="X151" i="7"/>
  <c r="Y151" i="7" s="1"/>
  <c r="AB151" i="7"/>
  <c r="P152" i="7"/>
  <c r="T152" i="7"/>
  <c r="X152" i="7"/>
  <c r="Y152" i="7" s="1"/>
  <c r="AB152" i="7"/>
  <c r="P153" i="7"/>
  <c r="T153" i="7"/>
  <c r="X153" i="7"/>
  <c r="Y153" i="7" s="1"/>
  <c r="AB153" i="7"/>
  <c r="P154" i="7"/>
  <c r="T154" i="7"/>
  <c r="X154" i="7"/>
  <c r="Y154" i="7" s="1"/>
  <c r="AB154" i="7"/>
  <c r="P155" i="7"/>
  <c r="T155" i="7"/>
  <c r="X155" i="7"/>
  <c r="Y155" i="7" s="1"/>
  <c r="AB155" i="7"/>
  <c r="P156" i="7"/>
  <c r="T156" i="7"/>
  <c r="X156" i="7"/>
  <c r="Y156" i="7" s="1"/>
  <c r="AB156" i="7"/>
  <c r="P157" i="7"/>
  <c r="T157" i="7"/>
  <c r="X157" i="7"/>
  <c r="Y157" i="7" s="1"/>
  <c r="AB157" i="7"/>
  <c r="P158" i="7"/>
  <c r="T158" i="7"/>
  <c r="X158" i="7"/>
  <c r="Y158" i="7" s="1"/>
  <c r="AB158" i="7"/>
  <c r="P159" i="7"/>
  <c r="T159" i="7"/>
  <c r="X159" i="7"/>
  <c r="Y159" i="7" s="1"/>
  <c r="AB159" i="7"/>
  <c r="P160" i="7"/>
  <c r="T160" i="7"/>
  <c r="X160" i="7"/>
  <c r="Y160" i="7" s="1"/>
  <c r="AB160" i="7"/>
  <c r="P161" i="7"/>
  <c r="T161" i="7"/>
  <c r="X161" i="7"/>
  <c r="Y161" i="7" s="1"/>
  <c r="AB161" i="7"/>
  <c r="P162" i="7"/>
  <c r="T162" i="7"/>
  <c r="X162" i="7"/>
  <c r="Y162" i="7" s="1"/>
  <c r="AB162" i="7"/>
  <c r="P163" i="7"/>
  <c r="T163" i="7"/>
  <c r="X163" i="7"/>
  <c r="Y163" i="7" s="1"/>
  <c r="AB163" i="7"/>
  <c r="P164" i="7"/>
  <c r="T164" i="7"/>
  <c r="X164" i="7"/>
  <c r="Y164" i="7" s="1"/>
  <c r="AB164" i="7"/>
  <c r="AJ165" i="7"/>
  <c r="AB165" i="7"/>
  <c r="P165" i="7"/>
  <c r="T165" i="7"/>
  <c r="X165" i="7"/>
  <c r="Y165" i="7" s="1"/>
  <c r="AC165" i="7"/>
  <c r="AE165" i="7" s="1"/>
  <c r="AH165" i="7"/>
  <c r="P2" i="8"/>
  <c r="X2" i="8"/>
  <c r="Y2" i="8" s="1"/>
  <c r="P3" i="8"/>
  <c r="X3" i="8"/>
  <c r="AO4" i="8"/>
  <c r="Q6" i="8"/>
  <c r="Y6" i="8"/>
  <c r="K7" i="8"/>
  <c r="S7" i="8"/>
  <c r="AA7" i="8"/>
  <c r="AG7" i="8" s="1"/>
  <c r="AI7" i="8"/>
  <c r="P166" i="7"/>
  <c r="T166" i="7"/>
  <c r="X166" i="7"/>
  <c r="Y166" i="7" s="1"/>
  <c r="AB166" i="7"/>
  <c r="P167" i="7"/>
  <c r="T167" i="7"/>
  <c r="X167" i="7"/>
  <c r="Y167" i="7" s="1"/>
  <c r="AB167" i="7"/>
  <c r="P168" i="7"/>
  <c r="T168" i="7"/>
  <c r="X168" i="7"/>
  <c r="Y168" i="7" s="1"/>
  <c r="AB168" i="7"/>
  <c r="P169" i="7"/>
  <c r="T169" i="7"/>
  <c r="X169" i="7"/>
  <c r="Y169" i="7" s="1"/>
  <c r="AB169" i="7"/>
  <c r="P170" i="7"/>
  <c r="T170" i="7"/>
  <c r="X170" i="7"/>
  <c r="Y170" i="7" s="1"/>
  <c r="AB170" i="7"/>
  <c r="P171" i="7"/>
  <c r="T171" i="7"/>
  <c r="X171" i="7"/>
  <c r="Y171" i="7" s="1"/>
  <c r="AB171" i="7"/>
  <c r="P172" i="7"/>
  <c r="T172" i="7"/>
  <c r="X172" i="7"/>
  <c r="Y172" i="7" s="1"/>
  <c r="AB172" i="7"/>
  <c r="P173" i="7"/>
  <c r="T173" i="7"/>
  <c r="X173" i="7"/>
  <c r="Y173" i="7" s="1"/>
  <c r="AB173" i="7"/>
  <c r="P174" i="7"/>
  <c r="T174" i="7"/>
  <c r="X174" i="7"/>
  <c r="Y174" i="7" s="1"/>
  <c r="AB174" i="7"/>
  <c r="P175" i="7"/>
  <c r="T175" i="7"/>
  <c r="X175" i="7"/>
  <c r="Y175" i="7" s="1"/>
  <c r="AB175" i="7"/>
  <c r="P176" i="7"/>
  <c r="T176" i="7"/>
  <c r="X176" i="7"/>
  <c r="Y176" i="7" s="1"/>
  <c r="AB176" i="7"/>
  <c r="P177" i="7"/>
  <c r="T177" i="7"/>
  <c r="X177" i="7"/>
  <c r="Y177" i="7" s="1"/>
  <c r="AB177" i="7"/>
  <c r="P178" i="7"/>
  <c r="T178" i="7"/>
  <c r="X178" i="7"/>
  <c r="Y178" i="7" s="1"/>
  <c r="AB178" i="7"/>
  <c r="P179" i="7"/>
  <c r="T179" i="7"/>
  <c r="X179" i="7"/>
  <c r="Y179" i="7" s="1"/>
  <c r="AB179" i="7"/>
  <c r="P180" i="7"/>
  <c r="T180" i="7"/>
  <c r="X180" i="7"/>
  <c r="Y180" i="7" s="1"/>
  <c r="AB180" i="7"/>
  <c r="P181" i="7"/>
  <c r="T181" i="7"/>
  <c r="X181" i="7"/>
  <c r="Y181" i="7" s="1"/>
  <c r="AB181" i="7"/>
  <c r="P182" i="7"/>
  <c r="T182" i="7"/>
  <c r="X182" i="7"/>
  <c r="Y182" i="7" s="1"/>
  <c r="AB182" i="7"/>
  <c r="P183" i="7"/>
  <c r="T183" i="7"/>
  <c r="X183" i="7"/>
  <c r="Y183" i="7" s="1"/>
  <c r="AB183" i="7"/>
  <c r="P184" i="7"/>
  <c r="T184" i="7"/>
  <c r="X184" i="7"/>
  <c r="Y184" i="7" s="1"/>
  <c r="AB184" i="7"/>
  <c r="P185" i="7"/>
  <c r="T185" i="7"/>
  <c r="X185" i="7"/>
  <c r="Y185" i="7" s="1"/>
  <c r="AB185" i="7"/>
  <c r="P186" i="7"/>
  <c r="T186" i="7"/>
  <c r="X186" i="7"/>
  <c r="Y186" i="7" s="1"/>
  <c r="AB186" i="7"/>
  <c r="P187" i="7"/>
  <c r="T187" i="7"/>
  <c r="X187" i="7"/>
  <c r="Y187" i="7" s="1"/>
  <c r="AB187" i="7"/>
  <c r="P188" i="7"/>
  <c r="T188" i="7"/>
  <c r="X188" i="7"/>
  <c r="Y188" i="7" s="1"/>
  <c r="AB188" i="7"/>
  <c r="P189" i="7"/>
  <c r="T189" i="7"/>
  <c r="X189" i="7"/>
  <c r="Y189" i="7" s="1"/>
  <c r="AB189" i="7"/>
  <c r="P190" i="7"/>
  <c r="T190" i="7"/>
  <c r="X190" i="7"/>
  <c r="Y190" i="7" s="1"/>
  <c r="AB190" i="7"/>
  <c r="P191" i="7"/>
  <c r="T191" i="7"/>
  <c r="X191" i="7"/>
  <c r="Y191" i="7" s="1"/>
  <c r="AB191" i="7"/>
  <c r="P192" i="7"/>
  <c r="T192" i="7"/>
  <c r="X192" i="7"/>
  <c r="Y192" i="7" s="1"/>
  <c r="AB192" i="7"/>
  <c r="P193" i="7"/>
  <c r="T193" i="7"/>
  <c r="X193" i="7"/>
  <c r="Y193" i="7" s="1"/>
  <c r="AB193" i="7"/>
  <c r="P194" i="7"/>
  <c r="T194" i="7"/>
  <c r="X194" i="7"/>
  <c r="Y194" i="7" s="1"/>
  <c r="AB194" i="7"/>
  <c r="P195" i="7"/>
  <c r="T195" i="7"/>
  <c r="X195" i="7"/>
  <c r="Y195" i="7" s="1"/>
  <c r="AB195" i="7"/>
  <c r="P196" i="7"/>
  <c r="T196" i="7"/>
  <c r="X196" i="7"/>
  <c r="Y196" i="7" s="1"/>
  <c r="AB196" i="7"/>
  <c r="P197" i="7"/>
  <c r="T197" i="7"/>
  <c r="X197" i="7"/>
  <c r="Y197" i="7" s="1"/>
  <c r="AB197" i="7"/>
  <c r="P198" i="7"/>
  <c r="T198" i="7"/>
  <c r="X198" i="7"/>
  <c r="Y198" i="7" s="1"/>
  <c r="AB198" i="7"/>
  <c r="P199" i="7"/>
  <c r="T199" i="7"/>
  <c r="X199" i="7"/>
  <c r="Y199" i="7" s="1"/>
  <c r="AB199" i="7"/>
  <c r="P200" i="7"/>
  <c r="T200" i="7"/>
  <c r="X200" i="7"/>
  <c r="Y200" i="7" s="1"/>
  <c r="AB200" i="7"/>
  <c r="P201" i="7"/>
  <c r="T201" i="7"/>
  <c r="X201" i="7"/>
  <c r="Y201" i="7" s="1"/>
  <c r="AB201" i="7"/>
  <c r="P202" i="7"/>
  <c r="T202" i="7"/>
  <c r="X202" i="7"/>
  <c r="Y202" i="7" s="1"/>
  <c r="AB202" i="7"/>
  <c r="P203" i="7"/>
  <c r="T203" i="7"/>
  <c r="X203" i="7"/>
  <c r="Y203" i="7" s="1"/>
  <c r="AB203" i="7"/>
  <c r="P204" i="7"/>
  <c r="T204" i="7"/>
  <c r="X204" i="7"/>
  <c r="Y204" i="7" s="1"/>
  <c r="AB204" i="7"/>
  <c r="P205" i="7"/>
  <c r="T205" i="7"/>
  <c r="X205" i="7"/>
  <c r="Y205" i="7" s="1"/>
  <c r="AB205" i="7"/>
  <c r="P206" i="7"/>
  <c r="T206" i="7"/>
  <c r="X206" i="7"/>
  <c r="Y206" i="7" s="1"/>
  <c r="AB206" i="7"/>
  <c r="P207" i="7"/>
  <c r="T207" i="7"/>
  <c r="X207" i="7"/>
  <c r="Y207" i="7" s="1"/>
  <c r="AB207" i="7"/>
  <c r="P208" i="7"/>
  <c r="T208" i="7"/>
  <c r="X208" i="7"/>
  <c r="Y208" i="7" s="1"/>
  <c r="AB208" i="7"/>
  <c r="P209" i="7"/>
  <c r="T209" i="7"/>
  <c r="X209" i="7"/>
  <c r="Y209" i="7" s="1"/>
  <c r="AB209" i="7"/>
  <c r="P210" i="7"/>
  <c r="T210" i="7"/>
  <c r="X210" i="7"/>
  <c r="Y210" i="7" s="1"/>
  <c r="AB210" i="7"/>
  <c r="P211" i="7"/>
  <c r="T211" i="7"/>
  <c r="X211" i="7"/>
  <c r="Y211" i="7" s="1"/>
  <c r="AB211" i="7"/>
  <c r="P212" i="7"/>
  <c r="T212" i="7"/>
  <c r="X212" i="7"/>
  <c r="Y212" i="7" s="1"/>
  <c r="AB212" i="7"/>
  <c r="P213" i="7"/>
  <c r="T213" i="7"/>
  <c r="X213" i="7"/>
  <c r="Y213" i="7" s="1"/>
  <c r="AB213" i="7"/>
  <c r="P214" i="7"/>
  <c r="T214" i="7"/>
  <c r="X214" i="7"/>
  <c r="Y214" i="7" s="1"/>
  <c r="AB214" i="7"/>
  <c r="P215" i="7"/>
  <c r="T215" i="7"/>
  <c r="X215" i="7"/>
  <c r="Y215" i="7" s="1"/>
  <c r="AB215" i="7"/>
  <c r="P216" i="7"/>
  <c r="T216" i="7"/>
  <c r="X216" i="7"/>
  <c r="Y216" i="7" s="1"/>
  <c r="AB216" i="7"/>
  <c r="P217" i="7"/>
  <c r="T217" i="7"/>
  <c r="X217" i="7"/>
  <c r="Y217" i="7" s="1"/>
  <c r="AB217" i="7"/>
  <c r="P218" i="7"/>
  <c r="T218" i="7"/>
  <c r="X218" i="7"/>
  <c r="Y218" i="7" s="1"/>
  <c r="AB218" i="7"/>
  <c r="P219" i="7"/>
  <c r="T219" i="7"/>
  <c r="X219" i="7"/>
  <c r="Y219" i="7" s="1"/>
  <c r="AB219" i="7"/>
  <c r="P220" i="7"/>
  <c r="T220" i="7"/>
  <c r="X220" i="7"/>
  <c r="Y220" i="7" s="1"/>
  <c r="AB220" i="7"/>
  <c r="P221" i="7"/>
  <c r="T221" i="7"/>
  <c r="X221" i="7"/>
  <c r="Y221" i="7" s="1"/>
  <c r="AB221" i="7"/>
  <c r="P222" i="7"/>
  <c r="T222" i="7"/>
  <c r="X222" i="7"/>
  <c r="Y222" i="7" s="1"/>
  <c r="AB222" i="7"/>
  <c r="P223" i="7"/>
  <c r="T223" i="7"/>
  <c r="X223" i="7"/>
  <c r="Y223" i="7" s="1"/>
  <c r="AB223" i="7"/>
  <c r="P224" i="7"/>
  <c r="T224" i="7"/>
  <c r="X224" i="7"/>
  <c r="Y224" i="7" s="1"/>
  <c r="AB224" i="7"/>
  <c r="P225" i="7"/>
  <c r="T225" i="7"/>
  <c r="X225" i="7"/>
  <c r="Y225" i="7" s="1"/>
  <c r="AB225" i="7"/>
  <c r="P226" i="7"/>
  <c r="T226" i="7"/>
  <c r="X226" i="7"/>
  <c r="Y226" i="7" s="1"/>
  <c r="AB226" i="7"/>
  <c r="P227" i="7"/>
  <c r="T227" i="7"/>
  <c r="X227" i="7"/>
  <c r="Y227" i="7" s="1"/>
  <c r="AB227" i="7"/>
  <c r="P228" i="7"/>
  <c r="T228" i="7"/>
  <c r="X228" i="7"/>
  <c r="Y228" i="7" s="1"/>
  <c r="AB228" i="7"/>
  <c r="P229" i="7"/>
  <c r="T229" i="7"/>
  <c r="X229" i="7"/>
  <c r="Y229" i="7" s="1"/>
  <c r="AB229" i="7"/>
  <c r="P230" i="7"/>
  <c r="T230" i="7"/>
  <c r="X230" i="7"/>
  <c r="Y230" i="7" s="1"/>
  <c r="AB230" i="7"/>
  <c r="P231" i="7"/>
  <c r="T231" i="7"/>
  <c r="X231" i="7"/>
  <c r="Y231" i="7" s="1"/>
  <c r="AB231" i="7"/>
  <c r="P232" i="7"/>
  <c r="T232" i="7"/>
  <c r="X232" i="7"/>
  <c r="Y232" i="7" s="1"/>
  <c r="AB232" i="7"/>
  <c r="P233" i="7"/>
  <c r="T233" i="7"/>
  <c r="X233" i="7"/>
  <c r="Y233" i="7" s="1"/>
  <c r="AB233" i="7"/>
  <c r="P234" i="7"/>
  <c r="T234" i="7"/>
  <c r="X234" i="7"/>
  <c r="Y234" i="7" s="1"/>
  <c r="AB234" i="7"/>
  <c r="P235" i="7"/>
  <c r="T235" i="7"/>
  <c r="X235" i="7"/>
  <c r="Y235" i="7" s="1"/>
  <c r="AB235" i="7"/>
  <c r="P236" i="7"/>
  <c r="T236" i="7"/>
  <c r="X236" i="7"/>
  <c r="Y236" i="7" s="1"/>
  <c r="AB236" i="7"/>
  <c r="P237" i="7"/>
  <c r="T237" i="7"/>
  <c r="X237" i="7"/>
  <c r="Y237" i="7" s="1"/>
  <c r="AB237" i="7"/>
  <c r="P238" i="7"/>
  <c r="T238" i="7"/>
  <c r="X238" i="7"/>
  <c r="Y238" i="7" s="1"/>
  <c r="AB238" i="7"/>
  <c r="P239" i="7"/>
  <c r="T239" i="7"/>
  <c r="X239" i="7"/>
  <c r="Y239" i="7" s="1"/>
  <c r="AB239" i="7"/>
  <c r="P240" i="7"/>
  <c r="T240" i="7"/>
  <c r="X240" i="7"/>
  <c r="Y240" i="7" s="1"/>
  <c r="AB240" i="7"/>
  <c r="P241" i="7"/>
  <c r="T241" i="7"/>
  <c r="X241" i="7"/>
  <c r="Y241" i="7" s="1"/>
  <c r="AB241" i="7"/>
  <c r="P242" i="7"/>
  <c r="T242" i="7"/>
  <c r="X242" i="7"/>
  <c r="Y242" i="7" s="1"/>
  <c r="AB242" i="7"/>
  <c r="P243" i="7"/>
  <c r="T243" i="7"/>
  <c r="X243" i="7"/>
  <c r="Y243" i="7" s="1"/>
  <c r="AB243" i="7"/>
  <c r="P244" i="7"/>
  <c r="T244" i="7"/>
  <c r="X244" i="7"/>
  <c r="Y244" i="7" s="1"/>
  <c r="AB244" i="7"/>
  <c r="P245" i="7"/>
  <c r="T245" i="7"/>
  <c r="X245" i="7"/>
  <c r="Y245" i="7" s="1"/>
  <c r="AB245" i="7"/>
  <c r="P246" i="7"/>
  <c r="T246" i="7"/>
  <c r="X246" i="7"/>
  <c r="Y246" i="7" s="1"/>
  <c r="AB246" i="7"/>
  <c r="P247" i="7"/>
  <c r="T247" i="7"/>
  <c r="X247" i="7"/>
  <c r="Y247" i="7" s="1"/>
  <c r="AB247" i="7"/>
  <c r="P248" i="7"/>
  <c r="T248" i="7"/>
  <c r="X248" i="7"/>
  <c r="Y248" i="7" s="1"/>
  <c r="AB248" i="7"/>
  <c r="P249" i="7"/>
  <c r="T249" i="7"/>
  <c r="X249" i="7"/>
  <c r="Y249" i="7" s="1"/>
  <c r="AB249" i="7"/>
  <c r="P250" i="7"/>
  <c r="T250" i="7"/>
  <c r="X250" i="7"/>
  <c r="Y250" i="7" s="1"/>
  <c r="AB250" i="7"/>
  <c r="P251" i="7"/>
  <c r="T251" i="7"/>
  <c r="X251" i="7"/>
  <c r="Y251" i="7" s="1"/>
  <c r="AB251" i="7"/>
  <c r="P252" i="7"/>
  <c r="T252" i="7"/>
  <c r="X252" i="7"/>
  <c r="Y252" i="7" s="1"/>
  <c r="AB252" i="7"/>
  <c r="P253" i="7"/>
  <c r="T253" i="7"/>
  <c r="X253" i="7"/>
  <c r="Y253" i="7" s="1"/>
  <c r="AB253" i="7"/>
  <c r="P254" i="7"/>
  <c r="T254" i="7"/>
  <c r="X254" i="7"/>
  <c r="Y254" i="7" s="1"/>
  <c r="AB254" i="7"/>
  <c r="P255" i="7"/>
  <c r="T255" i="7"/>
  <c r="X255" i="7"/>
  <c r="Y255" i="7" s="1"/>
  <c r="AB255" i="7"/>
  <c r="P256" i="7"/>
  <c r="T256" i="7"/>
  <c r="X256" i="7"/>
  <c r="Y256" i="7" s="1"/>
  <c r="AB256" i="7"/>
  <c r="P257" i="7"/>
  <c r="T257" i="7"/>
  <c r="X257" i="7"/>
  <c r="Y257" i="7" s="1"/>
  <c r="AB257" i="7"/>
  <c r="P258" i="7"/>
  <c r="T258" i="7"/>
  <c r="X258" i="7"/>
  <c r="Y258" i="7" s="1"/>
  <c r="AB258" i="7"/>
  <c r="P259" i="7"/>
  <c r="T259" i="7"/>
  <c r="X259" i="7"/>
  <c r="Y259" i="7" s="1"/>
  <c r="AB259" i="7"/>
  <c r="P260" i="7"/>
  <c r="T260" i="7"/>
  <c r="X260" i="7"/>
  <c r="Y260" i="7" s="1"/>
  <c r="AB260" i="7"/>
  <c r="P261" i="7"/>
  <c r="T261" i="7"/>
  <c r="X261" i="7"/>
  <c r="Y261" i="7" s="1"/>
  <c r="AB261" i="7"/>
  <c r="P262" i="7"/>
  <c r="T262" i="7"/>
  <c r="X262" i="7"/>
  <c r="Y262" i="7" s="1"/>
  <c r="AB262" i="7"/>
  <c r="P263" i="7"/>
  <c r="T263" i="7"/>
  <c r="X263" i="7"/>
  <c r="Y263" i="7" s="1"/>
  <c r="AB263" i="7"/>
  <c r="P264" i="7"/>
  <c r="T264" i="7"/>
  <c r="X264" i="7"/>
  <c r="Y264" i="7" s="1"/>
  <c r="AB264" i="7"/>
  <c r="P265" i="7"/>
  <c r="T265" i="7"/>
  <c r="X265" i="7"/>
  <c r="Y265" i="7" s="1"/>
  <c r="AB265" i="7"/>
  <c r="P266" i="7"/>
  <c r="T266" i="7"/>
  <c r="X266" i="7"/>
  <c r="Y266" i="7" s="1"/>
  <c r="AB266" i="7"/>
  <c r="P267" i="7"/>
  <c r="T267" i="7"/>
  <c r="X267" i="7"/>
  <c r="Y267" i="7" s="1"/>
  <c r="AB267" i="7"/>
  <c r="P268" i="7"/>
  <c r="T268" i="7"/>
  <c r="X268" i="7"/>
  <c r="Y268" i="7" s="1"/>
  <c r="AB268" i="7"/>
  <c r="P269" i="7"/>
  <c r="T269" i="7"/>
  <c r="X269" i="7"/>
  <c r="Y269" i="7" s="1"/>
  <c r="AB269" i="7"/>
  <c r="P270" i="7"/>
  <c r="T270" i="7"/>
  <c r="X270" i="7"/>
  <c r="Y270" i="7" s="1"/>
  <c r="AB270" i="7"/>
  <c r="P271" i="7"/>
  <c r="T271" i="7"/>
  <c r="X271" i="7"/>
  <c r="Y271" i="7" s="1"/>
  <c r="AB271" i="7"/>
  <c r="P272" i="7"/>
  <c r="T272" i="7"/>
  <c r="X272" i="7"/>
  <c r="Y272" i="7" s="1"/>
  <c r="AB272" i="7"/>
  <c r="P273" i="7"/>
  <c r="T273" i="7"/>
  <c r="X273" i="7"/>
  <c r="Y273" i="7" s="1"/>
  <c r="AB273" i="7"/>
  <c r="P274" i="7"/>
  <c r="T274" i="7"/>
  <c r="X274" i="7"/>
  <c r="Y274" i="7" s="1"/>
  <c r="AB274" i="7"/>
  <c r="P275" i="7"/>
  <c r="T275" i="7"/>
  <c r="X275" i="7"/>
  <c r="Y275" i="7" s="1"/>
  <c r="AB275" i="7"/>
  <c r="P276" i="7"/>
  <c r="T276" i="7"/>
  <c r="X276" i="7"/>
  <c r="Y276" i="7" s="1"/>
  <c r="AB276" i="7"/>
  <c r="P277" i="7"/>
  <c r="T277" i="7"/>
  <c r="X277" i="7"/>
  <c r="Y277" i="7" s="1"/>
  <c r="AB277" i="7"/>
  <c r="P278" i="7"/>
  <c r="T278" i="7"/>
  <c r="X278" i="7"/>
  <c r="Y278" i="7" s="1"/>
  <c r="AB278" i="7"/>
  <c r="P279" i="7"/>
  <c r="T279" i="7"/>
  <c r="X279" i="7"/>
  <c r="Y279" i="7" s="1"/>
  <c r="AB279" i="7"/>
  <c r="P280" i="7"/>
  <c r="T280" i="7"/>
  <c r="X280" i="7"/>
  <c r="Y280" i="7" s="1"/>
  <c r="AB280" i="7"/>
  <c r="P281" i="7"/>
  <c r="T281" i="7"/>
  <c r="X281" i="7"/>
  <c r="Y281" i="7" s="1"/>
  <c r="AB281" i="7"/>
  <c r="P282" i="7"/>
  <c r="T282" i="7"/>
  <c r="X282" i="7"/>
  <c r="Y282" i="7" s="1"/>
  <c r="AB282" i="7"/>
  <c r="P283" i="7"/>
  <c r="T283" i="7"/>
  <c r="X283" i="7"/>
  <c r="Y283" i="7" s="1"/>
  <c r="AB283" i="7"/>
  <c r="P284" i="7"/>
  <c r="T284" i="7"/>
  <c r="X284" i="7"/>
  <c r="Y284" i="7" s="1"/>
  <c r="AB284" i="7"/>
  <c r="P285" i="7"/>
  <c r="T285" i="7"/>
  <c r="X285" i="7"/>
  <c r="Y285" i="7" s="1"/>
  <c r="AB285" i="7"/>
  <c r="P286" i="7"/>
  <c r="T286" i="7"/>
  <c r="X286" i="7"/>
  <c r="Y286" i="7" s="1"/>
  <c r="AB286" i="7"/>
  <c r="P287" i="7"/>
  <c r="T287" i="7"/>
  <c r="X287" i="7"/>
  <c r="Y287" i="7" s="1"/>
  <c r="AB287" i="7"/>
  <c r="P288" i="7"/>
  <c r="T288" i="7"/>
  <c r="X288" i="7"/>
  <c r="Y288" i="7" s="1"/>
  <c r="AB288" i="7"/>
  <c r="P289" i="7"/>
  <c r="T289" i="7"/>
  <c r="X289" i="7"/>
  <c r="Y289" i="7" s="1"/>
  <c r="AB289" i="7"/>
  <c r="P290" i="7"/>
  <c r="T290" i="7"/>
  <c r="X290" i="7"/>
  <c r="Y290" i="7" s="1"/>
  <c r="AB290" i="7"/>
  <c r="P291" i="7"/>
  <c r="T291" i="7"/>
  <c r="X291" i="7"/>
  <c r="Y291" i="7" s="1"/>
  <c r="AB291" i="7"/>
  <c r="P292" i="7"/>
  <c r="T292" i="7"/>
  <c r="X292" i="7"/>
  <c r="Y292" i="7" s="1"/>
  <c r="AB292" i="7"/>
  <c r="P293" i="7"/>
  <c r="T293" i="7"/>
  <c r="X293" i="7"/>
  <c r="Y293" i="7" s="1"/>
  <c r="AB293" i="7"/>
  <c r="P294" i="7"/>
  <c r="T294" i="7"/>
  <c r="X294" i="7"/>
  <c r="Y294" i="7" s="1"/>
  <c r="AB294" i="7"/>
  <c r="P295" i="7"/>
  <c r="T295" i="7"/>
  <c r="X295" i="7"/>
  <c r="Y295" i="7" s="1"/>
  <c r="AB295" i="7"/>
  <c r="P296" i="7"/>
  <c r="T296" i="7"/>
  <c r="X296" i="7"/>
  <c r="Y296" i="7" s="1"/>
  <c r="AB296" i="7"/>
  <c r="P297" i="7"/>
  <c r="T297" i="7"/>
  <c r="X297" i="7"/>
  <c r="Y297" i="7" s="1"/>
  <c r="AB297" i="7"/>
  <c r="P298" i="7"/>
  <c r="T298" i="7"/>
  <c r="X298" i="7"/>
  <c r="Y298" i="7" s="1"/>
  <c r="AB298" i="7"/>
  <c r="P299" i="7"/>
  <c r="T299" i="7"/>
  <c r="X299" i="7"/>
  <c r="Y299" i="7" s="1"/>
  <c r="AB299" i="7"/>
  <c r="P300" i="7"/>
  <c r="T300" i="7"/>
  <c r="X300" i="7"/>
  <c r="Y300" i="7" s="1"/>
  <c r="AB300" i="7"/>
  <c r="P301" i="7"/>
  <c r="T301" i="7"/>
  <c r="X301" i="7"/>
  <c r="Y301" i="7" s="1"/>
  <c r="AB301" i="7"/>
  <c r="P302" i="7"/>
  <c r="T302" i="7"/>
  <c r="X302" i="7"/>
  <c r="Y302" i="7" s="1"/>
  <c r="AB302" i="7"/>
  <c r="P303" i="7"/>
  <c r="T303" i="7"/>
  <c r="X303" i="7"/>
  <c r="Y303" i="7" s="1"/>
  <c r="AB303" i="7"/>
  <c r="P304" i="7"/>
  <c r="T304" i="7"/>
  <c r="X304" i="7"/>
  <c r="Y304" i="7" s="1"/>
  <c r="AB304" i="7"/>
  <c r="P305" i="7"/>
  <c r="T305" i="7"/>
  <c r="X305" i="7"/>
  <c r="Y305" i="7" s="1"/>
  <c r="AB305" i="7"/>
  <c r="P306" i="7"/>
  <c r="T306" i="7"/>
  <c r="X306" i="7"/>
  <c r="Y306" i="7" s="1"/>
  <c r="AB306" i="7"/>
  <c r="P307" i="7"/>
  <c r="T307" i="7"/>
  <c r="X307" i="7"/>
  <c r="Y307" i="7" s="1"/>
  <c r="AB307" i="7"/>
  <c r="P308" i="7"/>
  <c r="T308" i="7"/>
  <c r="X308" i="7"/>
  <c r="Y308" i="7" s="1"/>
  <c r="AB308" i="7"/>
  <c r="P309" i="7"/>
  <c r="T309" i="7"/>
  <c r="X309" i="7"/>
  <c r="Y309" i="7" s="1"/>
  <c r="AB309" i="7"/>
  <c r="P310" i="7"/>
  <c r="T310" i="7"/>
  <c r="X310" i="7"/>
  <c r="Y310" i="7" s="1"/>
  <c r="AB310" i="7"/>
  <c r="P311" i="7"/>
  <c r="T311" i="7"/>
  <c r="X311" i="7"/>
  <c r="Y311" i="7" s="1"/>
  <c r="AB311" i="7"/>
  <c r="P312" i="7"/>
  <c r="T312" i="7"/>
  <c r="X312" i="7"/>
  <c r="Y312" i="7" s="1"/>
  <c r="AB312" i="7"/>
  <c r="P313" i="7"/>
  <c r="T313" i="7"/>
  <c r="X313" i="7"/>
  <c r="Y313" i="7" s="1"/>
  <c r="AB313" i="7"/>
  <c r="P314" i="7"/>
  <c r="T314" i="7"/>
  <c r="X314" i="7"/>
  <c r="Y314" i="7" s="1"/>
  <c r="AB314" i="7"/>
  <c r="P315" i="7"/>
  <c r="T315" i="7"/>
  <c r="X315" i="7"/>
  <c r="Y315" i="7" s="1"/>
  <c r="AB315" i="7"/>
  <c r="P316" i="7"/>
  <c r="T316" i="7"/>
  <c r="X316" i="7"/>
  <c r="Y316" i="7" s="1"/>
  <c r="AB316" i="7"/>
  <c r="P317" i="7"/>
  <c r="T317" i="7"/>
  <c r="X317" i="7"/>
  <c r="Y317" i="7" s="1"/>
  <c r="AB317" i="7"/>
  <c r="P318" i="7"/>
  <c r="T318" i="7"/>
  <c r="X318" i="7"/>
  <c r="Y318" i="7" s="1"/>
  <c r="AB318" i="7"/>
  <c r="P319" i="7"/>
  <c r="T319" i="7"/>
  <c r="X319" i="7"/>
  <c r="Y319" i="7" s="1"/>
  <c r="AB319" i="7"/>
  <c r="P320" i="7"/>
  <c r="T320" i="7"/>
  <c r="X320" i="7"/>
  <c r="Y320" i="7" s="1"/>
  <c r="AB320" i="7"/>
  <c r="P321" i="7"/>
  <c r="T321" i="7"/>
  <c r="X321" i="7"/>
  <c r="Y321" i="7" s="1"/>
  <c r="AB321" i="7"/>
  <c r="P322" i="7"/>
  <c r="T322" i="7"/>
  <c r="X322" i="7"/>
  <c r="Y322" i="7" s="1"/>
  <c r="AB322" i="7"/>
  <c r="P323" i="7"/>
  <c r="T323" i="7"/>
  <c r="X323" i="7"/>
  <c r="Y323" i="7" s="1"/>
  <c r="AB323" i="7"/>
  <c r="P324" i="7"/>
  <c r="T324" i="7"/>
  <c r="X324" i="7"/>
  <c r="Y324" i="7" s="1"/>
  <c r="AB324" i="7"/>
  <c r="P325" i="7"/>
  <c r="T325" i="7"/>
  <c r="X325" i="7"/>
  <c r="Y325" i="7" s="1"/>
  <c r="AB325" i="7"/>
  <c r="P326" i="7"/>
  <c r="T326" i="7"/>
  <c r="X326" i="7"/>
  <c r="Y326" i="7" s="1"/>
  <c r="AB326" i="7"/>
  <c r="P327" i="7"/>
  <c r="T327" i="7"/>
  <c r="X327" i="7"/>
  <c r="Y327" i="7" s="1"/>
  <c r="AB327" i="7"/>
  <c r="P328" i="7"/>
  <c r="T328" i="7"/>
  <c r="X328" i="7"/>
  <c r="Y328" i="7" s="1"/>
  <c r="AB328" i="7"/>
  <c r="P329" i="7"/>
  <c r="T329" i="7"/>
  <c r="X329" i="7"/>
  <c r="Y329" i="7" s="1"/>
  <c r="AB329" i="7"/>
  <c r="P330" i="7"/>
  <c r="T330" i="7"/>
  <c r="X330" i="7"/>
  <c r="Y330" i="7" s="1"/>
  <c r="AB330" i="7"/>
  <c r="P331" i="7"/>
  <c r="T331" i="7"/>
  <c r="X331" i="7"/>
  <c r="Y331" i="7" s="1"/>
  <c r="AB331" i="7"/>
  <c r="P332" i="7"/>
  <c r="T332" i="7"/>
  <c r="X332" i="7"/>
  <c r="Y332" i="7" s="1"/>
  <c r="AB332" i="7"/>
  <c r="P333" i="7"/>
  <c r="T333" i="7"/>
  <c r="X333" i="7"/>
  <c r="Y333" i="7" s="1"/>
  <c r="AB333" i="7"/>
  <c r="P334" i="7"/>
  <c r="T334" i="7"/>
  <c r="X334" i="7"/>
  <c r="Y334" i="7" s="1"/>
  <c r="AB334" i="7"/>
  <c r="P335" i="7"/>
  <c r="T335" i="7"/>
  <c r="X335" i="7"/>
  <c r="Y335" i="7" s="1"/>
  <c r="AB335" i="7"/>
  <c r="P336" i="7"/>
  <c r="T336" i="7"/>
  <c r="X336" i="7"/>
  <c r="Y336" i="7" s="1"/>
  <c r="AB336" i="7"/>
  <c r="P337" i="7"/>
  <c r="T337" i="7"/>
  <c r="X337" i="7"/>
  <c r="Y337" i="7" s="1"/>
  <c r="AB337" i="7"/>
  <c r="P338" i="7"/>
  <c r="T338" i="7"/>
  <c r="X338" i="7"/>
  <c r="Y338" i="7" s="1"/>
  <c r="AB338" i="7"/>
  <c r="P339" i="7"/>
  <c r="T339" i="7"/>
  <c r="X339" i="7"/>
  <c r="Y339" i="7" s="1"/>
  <c r="AB339" i="7"/>
  <c r="P340" i="7"/>
  <c r="T340" i="7"/>
  <c r="X340" i="7"/>
  <c r="Y340" i="7" s="1"/>
  <c r="AB340" i="7"/>
  <c r="P341" i="7"/>
  <c r="T341" i="7"/>
  <c r="X341" i="7"/>
  <c r="Y341" i="7" s="1"/>
  <c r="AB341" i="7"/>
  <c r="P342" i="7"/>
  <c r="T342" i="7"/>
  <c r="X342" i="7"/>
  <c r="Y342" i="7" s="1"/>
  <c r="AB342" i="7"/>
  <c r="P343" i="7"/>
  <c r="T343" i="7"/>
  <c r="X343" i="7"/>
  <c r="Y343" i="7" s="1"/>
  <c r="AB343" i="7"/>
  <c r="P344" i="7"/>
  <c r="T344" i="7"/>
  <c r="X344" i="7"/>
  <c r="Y344" i="7" s="1"/>
  <c r="AB344" i="7"/>
  <c r="P345" i="7"/>
  <c r="T345" i="7"/>
  <c r="X345" i="7"/>
  <c r="Y345" i="7" s="1"/>
  <c r="AB345" i="7"/>
  <c r="P346" i="7"/>
  <c r="T346" i="7"/>
  <c r="X346" i="7"/>
  <c r="Y346" i="7" s="1"/>
  <c r="AB346" i="7"/>
  <c r="P347" i="7"/>
  <c r="T347" i="7"/>
  <c r="X347" i="7"/>
  <c r="Y347" i="7" s="1"/>
  <c r="AB347" i="7"/>
  <c r="P348" i="7"/>
  <c r="T348" i="7"/>
  <c r="X348" i="7"/>
  <c r="Y348" i="7" s="1"/>
  <c r="AB348" i="7"/>
  <c r="P349" i="7"/>
  <c r="T349" i="7"/>
  <c r="X349" i="7"/>
  <c r="Y349" i="7" s="1"/>
  <c r="AB349" i="7"/>
  <c r="P350" i="7"/>
  <c r="T350" i="7"/>
  <c r="X350" i="7"/>
  <c r="Y350" i="7" s="1"/>
  <c r="AB350" i="7"/>
  <c r="P351" i="7"/>
  <c r="T351" i="7"/>
  <c r="X351" i="7"/>
  <c r="Y351" i="7" s="1"/>
  <c r="AB351" i="7"/>
  <c r="P352" i="7"/>
  <c r="T352" i="7"/>
  <c r="X352" i="7"/>
  <c r="Y352" i="7" s="1"/>
  <c r="AB352" i="7"/>
  <c r="P353" i="7"/>
  <c r="T353" i="7"/>
  <c r="X353" i="7"/>
  <c r="Y353" i="7" s="1"/>
  <c r="AB353" i="7"/>
  <c r="P354" i="7"/>
  <c r="T354" i="7"/>
  <c r="X354" i="7"/>
  <c r="Y354" i="7" s="1"/>
  <c r="AB354" i="7"/>
  <c r="P355" i="7"/>
  <c r="T355" i="7"/>
  <c r="X355" i="7"/>
  <c r="Y355" i="7" s="1"/>
  <c r="AB355" i="7"/>
  <c r="P356" i="7"/>
  <c r="T356" i="7"/>
  <c r="X356" i="7"/>
  <c r="Y356" i="7" s="1"/>
  <c r="AB356" i="7"/>
  <c r="P357" i="7"/>
  <c r="T357" i="7"/>
  <c r="X357" i="7"/>
  <c r="Y357" i="7" s="1"/>
  <c r="AB357" i="7"/>
  <c r="P358" i="7"/>
  <c r="T358" i="7"/>
  <c r="X358" i="7"/>
  <c r="Y358" i="7" s="1"/>
  <c r="AB358" i="7"/>
  <c r="P359" i="7"/>
  <c r="T359" i="7"/>
  <c r="X359" i="7"/>
  <c r="Y359" i="7" s="1"/>
  <c r="AB359" i="7"/>
  <c r="P360" i="7"/>
  <c r="T360" i="7"/>
  <c r="X360" i="7"/>
  <c r="Y360" i="7" s="1"/>
  <c r="AB360" i="7"/>
  <c r="P361" i="7"/>
  <c r="T361" i="7"/>
  <c r="X361" i="7"/>
  <c r="Y361" i="7" s="1"/>
  <c r="AB361" i="7"/>
  <c r="P362" i="7"/>
  <c r="T362" i="7"/>
  <c r="X362" i="7"/>
  <c r="Y362" i="7" s="1"/>
  <c r="AB362" i="7"/>
  <c r="P363" i="7"/>
  <c r="T363" i="7"/>
  <c r="X363" i="7"/>
  <c r="Y363" i="7" s="1"/>
  <c r="AB363" i="7"/>
  <c r="P364" i="7"/>
  <c r="T364" i="7"/>
  <c r="X364" i="7"/>
  <c r="Y364" i="7" s="1"/>
  <c r="AB364" i="7"/>
  <c r="P365" i="7"/>
  <c r="T365" i="7"/>
  <c r="X365" i="7"/>
  <c r="Y365" i="7" s="1"/>
  <c r="AB365" i="7"/>
  <c r="P366" i="7"/>
  <c r="T366" i="7"/>
  <c r="X366" i="7"/>
  <c r="Y366" i="7" s="1"/>
  <c r="AB366" i="7"/>
  <c r="P367" i="7"/>
  <c r="T367" i="7"/>
  <c r="X367" i="7"/>
  <c r="Y367" i="7" s="1"/>
  <c r="AB367" i="7"/>
  <c r="P368" i="7"/>
  <c r="T368" i="7"/>
  <c r="X368" i="7"/>
  <c r="Y368" i="7" s="1"/>
  <c r="AB368" i="7"/>
  <c r="P369" i="7"/>
  <c r="T369" i="7"/>
  <c r="X369" i="7"/>
  <c r="Y369" i="7" s="1"/>
  <c r="AB369" i="7"/>
  <c r="P370" i="7"/>
  <c r="T370" i="7"/>
  <c r="X370" i="7"/>
  <c r="Y370" i="7" s="1"/>
  <c r="AB370" i="7"/>
  <c r="P371" i="7"/>
  <c r="T371" i="7"/>
  <c r="X371" i="7"/>
  <c r="Y371" i="7" s="1"/>
  <c r="AB371" i="7"/>
  <c r="P372" i="7"/>
  <c r="T372" i="7"/>
  <c r="X372" i="7"/>
  <c r="Y372" i="7" s="1"/>
  <c r="AB372" i="7"/>
  <c r="P373" i="7"/>
  <c r="T373" i="7"/>
  <c r="X373" i="7"/>
  <c r="Y373" i="7" s="1"/>
  <c r="AB373" i="7"/>
  <c r="P374" i="7"/>
  <c r="T374" i="7"/>
  <c r="X374" i="7"/>
  <c r="Y374" i="7" s="1"/>
  <c r="AB374" i="7"/>
  <c r="P375" i="7"/>
  <c r="T375" i="7"/>
  <c r="X375" i="7"/>
  <c r="Y375" i="7" s="1"/>
  <c r="AB375" i="7"/>
  <c r="P376" i="7"/>
  <c r="T376" i="7"/>
  <c r="X376" i="7"/>
  <c r="Y376" i="7" s="1"/>
  <c r="AB376" i="7"/>
  <c r="P377" i="7"/>
  <c r="T377" i="7"/>
  <c r="X377" i="7"/>
  <c r="Y377" i="7" s="1"/>
  <c r="AB377" i="7"/>
  <c r="P378" i="7"/>
  <c r="T378" i="7"/>
  <c r="X378" i="7"/>
  <c r="Y378" i="7" s="1"/>
  <c r="AB378" i="7"/>
  <c r="P379" i="7"/>
  <c r="T379" i="7"/>
  <c r="X379" i="7"/>
  <c r="Y379" i="7" s="1"/>
  <c r="AB379" i="7"/>
  <c r="P380" i="7"/>
  <c r="T380" i="7"/>
  <c r="X380" i="7"/>
  <c r="Y380" i="7" s="1"/>
  <c r="AB380" i="7"/>
  <c r="P381" i="7"/>
  <c r="T381" i="7"/>
  <c r="X381" i="7"/>
  <c r="Y381" i="7" s="1"/>
  <c r="AB381" i="7"/>
  <c r="P382" i="7"/>
  <c r="T382" i="7"/>
  <c r="X382" i="7"/>
  <c r="Y382" i="7" s="1"/>
  <c r="AB382" i="7"/>
  <c r="P383" i="7"/>
  <c r="T383" i="7"/>
  <c r="X383" i="7"/>
  <c r="Y383" i="7" s="1"/>
  <c r="AB383" i="7"/>
  <c r="P384" i="7"/>
  <c r="T384" i="7"/>
  <c r="X384" i="7"/>
  <c r="Y384" i="7" s="1"/>
  <c r="AB384" i="7"/>
  <c r="P385" i="7"/>
  <c r="T385" i="7"/>
  <c r="X385" i="7"/>
  <c r="Y385" i="7" s="1"/>
  <c r="AB385" i="7"/>
  <c r="P386" i="7"/>
  <c r="T386" i="7"/>
  <c r="X386" i="7"/>
  <c r="Y386" i="7" s="1"/>
  <c r="AB386" i="7"/>
  <c r="P387" i="7"/>
  <c r="T387" i="7"/>
  <c r="X387" i="7"/>
  <c r="Y387" i="7" s="1"/>
  <c r="AB387" i="7"/>
  <c r="P388" i="7"/>
  <c r="T388" i="7"/>
  <c r="X388" i="7"/>
  <c r="Y388" i="7" s="1"/>
  <c r="AB388" i="7"/>
  <c r="P389" i="7"/>
  <c r="T389" i="7"/>
  <c r="X389" i="7"/>
  <c r="Y389" i="7" s="1"/>
  <c r="AB389" i="7"/>
  <c r="P390" i="7"/>
  <c r="T390" i="7"/>
  <c r="X390" i="7"/>
  <c r="Y390" i="7" s="1"/>
  <c r="AB390" i="7"/>
  <c r="P391" i="7"/>
  <c r="T391" i="7"/>
  <c r="X391" i="7"/>
  <c r="Y391" i="7" s="1"/>
  <c r="AB391" i="7"/>
  <c r="P392" i="7"/>
  <c r="T392" i="7"/>
  <c r="X392" i="7"/>
  <c r="Y392" i="7" s="1"/>
  <c r="AB392" i="7"/>
  <c r="P393" i="7"/>
  <c r="T393" i="7"/>
  <c r="X393" i="7"/>
  <c r="Y393" i="7" s="1"/>
  <c r="AB393" i="7"/>
  <c r="P394" i="7"/>
  <c r="T394" i="7"/>
  <c r="X394" i="7"/>
  <c r="Y394" i="7" s="1"/>
  <c r="AB394" i="7"/>
  <c r="P395" i="7"/>
  <c r="T395" i="7"/>
  <c r="X395" i="7"/>
  <c r="Y395" i="7" s="1"/>
  <c r="AB395" i="7"/>
  <c r="P396" i="7"/>
  <c r="T396" i="7"/>
  <c r="X396" i="7"/>
  <c r="Y396" i="7" s="1"/>
  <c r="AB396" i="7"/>
  <c r="P397" i="7"/>
  <c r="T397" i="7"/>
  <c r="X397" i="7"/>
  <c r="Y397" i="7" s="1"/>
  <c r="AB397" i="7"/>
  <c r="P398" i="7"/>
  <c r="T398" i="7"/>
  <c r="X398" i="7"/>
  <c r="Y398" i="7" s="1"/>
  <c r="AB398" i="7"/>
  <c r="P399" i="7"/>
  <c r="T399" i="7"/>
  <c r="X399" i="7"/>
  <c r="Y399" i="7" s="1"/>
  <c r="AB399" i="7"/>
  <c r="P400" i="7"/>
  <c r="T400" i="7"/>
  <c r="X400" i="7"/>
  <c r="Y400" i="7" s="1"/>
  <c r="AB400" i="7"/>
  <c r="P401" i="7"/>
  <c r="T401" i="7"/>
  <c r="X401" i="7"/>
  <c r="Y401" i="7" s="1"/>
  <c r="AB401" i="7"/>
  <c r="P402" i="7"/>
  <c r="T402" i="7"/>
  <c r="X402" i="7"/>
  <c r="Y402" i="7" s="1"/>
  <c r="AB402" i="7"/>
  <c r="P403" i="7"/>
  <c r="T403" i="7"/>
  <c r="X403" i="7"/>
  <c r="Y403" i="7" s="1"/>
  <c r="AB403" i="7"/>
  <c r="P404" i="7"/>
  <c r="T404" i="7"/>
  <c r="X404" i="7"/>
  <c r="Y404" i="7" s="1"/>
  <c r="AB404" i="7"/>
  <c r="P405" i="7"/>
  <c r="T405" i="7"/>
  <c r="X405" i="7"/>
  <c r="Y405" i="7" s="1"/>
  <c r="AB405" i="7"/>
  <c r="P406" i="7"/>
  <c r="T406" i="7"/>
  <c r="X406" i="7"/>
  <c r="Y406" i="7" s="1"/>
  <c r="AB406" i="7"/>
  <c r="P407" i="7"/>
  <c r="T407" i="7"/>
  <c r="X407" i="7"/>
  <c r="Y407" i="7" s="1"/>
  <c r="AB407" i="7"/>
  <c r="P408" i="7"/>
  <c r="T408" i="7"/>
  <c r="X408" i="7"/>
  <c r="Y408" i="7" s="1"/>
  <c r="AB408" i="7"/>
  <c r="P409" i="7"/>
  <c r="T409" i="7"/>
  <c r="X409" i="7"/>
  <c r="Y409" i="7" s="1"/>
  <c r="AB409" i="7"/>
  <c r="P410" i="7"/>
  <c r="T410" i="7"/>
  <c r="X410" i="7"/>
  <c r="Y410" i="7" s="1"/>
  <c r="AB410" i="7"/>
  <c r="P411" i="7"/>
  <c r="T411" i="7"/>
  <c r="X411" i="7"/>
  <c r="Y411" i="7" s="1"/>
  <c r="AB411" i="7"/>
  <c r="P412" i="7"/>
  <c r="T412" i="7"/>
  <c r="X412" i="7"/>
  <c r="Y412" i="7" s="1"/>
  <c r="AB412" i="7"/>
  <c r="P413" i="7"/>
  <c r="T413" i="7"/>
  <c r="X413" i="7"/>
  <c r="Y413" i="7" s="1"/>
  <c r="AB413" i="7"/>
  <c r="P414" i="7"/>
  <c r="T414" i="7"/>
  <c r="X414" i="7"/>
  <c r="Y414" i="7" s="1"/>
  <c r="AB414" i="7"/>
  <c r="P415" i="7"/>
  <c r="T415" i="7"/>
  <c r="X415" i="7"/>
  <c r="Y415" i="7" s="1"/>
  <c r="AB415" i="7"/>
  <c r="P416" i="7"/>
  <c r="T416" i="7"/>
  <c r="X416" i="7"/>
  <c r="Y416" i="7" s="1"/>
  <c r="AB416" i="7"/>
  <c r="P417" i="7"/>
  <c r="T417" i="7"/>
  <c r="X417" i="7"/>
  <c r="Y417" i="7" s="1"/>
  <c r="AB417" i="7"/>
  <c r="P418" i="7"/>
  <c r="T418" i="7"/>
  <c r="X418" i="7"/>
  <c r="Y418" i="7" s="1"/>
  <c r="AB418" i="7"/>
  <c r="P419" i="7"/>
  <c r="T419" i="7"/>
  <c r="X419" i="7"/>
  <c r="Y419" i="7" s="1"/>
  <c r="AB419" i="7"/>
  <c r="P420" i="7"/>
  <c r="T420" i="7"/>
  <c r="X420" i="7"/>
  <c r="Y420" i="7" s="1"/>
  <c r="AB420" i="7"/>
  <c r="P421" i="7"/>
  <c r="T421" i="7"/>
  <c r="X421" i="7"/>
  <c r="Y421" i="7" s="1"/>
  <c r="AB421" i="7"/>
  <c r="P422" i="7"/>
  <c r="T422" i="7"/>
  <c r="X422" i="7"/>
  <c r="Y422" i="7" s="1"/>
  <c r="AB422" i="7"/>
  <c r="P423" i="7"/>
  <c r="T423" i="7"/>
  <c r="X423" i="7"/>
  <c r="Y423" i="7" s="1"/>
  <c r="AB423" i="7"/>
  <c r="P424" i="7"/>
  <c r="T424" i="7"/>
  <c r="X424" i="7"/>
  <c r="Y424" i="7" s="1"/>
  <c r="AB424" i="7"/>
  <c r="P425" i="7"/>
  <c r="T425" i="7"/>
  <c r="X425" i="7"/>
  <c r="Y425" i="7" s="1"/>
  <c r="AB425" i="7"/>
  <c r="P426" i="7"/>
  <c r="T426" i="7"/>
  <c r="X426" i="7"/>
  <c r="Y426" i="7" s="1"/>
  <c r="AB426" i="7"/>
  <c r="P427" i="7"/>
  <c r="T427" i="7"/>
  <c r="X427" i="7"/>
  <c r="Y427" i="7" s="1"/>
  <c r="AB427" i="7"/>
  <c r="P428" i="7"/>
  <c r="T428" i="7"/>
  <c r="X428" i="7"/>
  <c r="Y428" i="7" s="1"/>
  <c r="AB428" i="7"/>
  <c r="P429" i="7"/>
  <c r="T429" i="7"/>
  <c r="X429" i="7"/>
  <c r="Y429" i="7" s="1"/>
  <c r="AB429" i="7"/>
  <c r="P430" i="7"/>
  <c r="T430" i="7"/>
  <c r="X430" i="7"/>
  <c r="Y430" i="7" s="1"/>
  <c r="AB430" i="7"/>
  <c r="P431" i="7"/>
  <c r="T431" i="7"/>
  <c r="X431" i="7"/>
  <c r="Y431" i="7" s="1"/>
  <c r="AB431" i="7"/>
  <c r="P432" i="7"/>
  <c r="T432" i="7"/>
  <c r="X432" i="7"/>
  <c r="Y432" i="7" s="1"/>
  <c r="AB432" i="7"/>
  <c r="P433" i="7"/>
  <c r="T433" i="7"/>
  <c r="X433" i="7"/>
  <c r="Y433" i="7" s="1"/>
  <c r="AB433" i="7"/>
  <c r="P434" i="7"/>
  <c r="T434" i="7"/>
  <c r="X434" i="7"/>
  <c r="Y434" i="7" s="1"/>
  <c r="AB434" i="7"/>
  <c r="P435" i="7"/>
  <c r="T435" i="7"/>
  <c r="X435" i="7"/>
  <c r="Y435" i="7" s="1"/>
  <c r="AB435" i="7"/>
  <c r="P436" i="7"/>
  <c r="T436" i="7"/>
  <c r="X436" i="7"/>
  <c r="Y436" i="7" s="1"/>
  <c r="AB436" i="7"/>
  <c r="P437" i="7"/>
  <c r="T437" i="7"/>
  <c r="X437" i="7"/>
  <c r="Y437" i="7" s="1"/>
  <c r="AB437" i="7"/>
  <c r="P438" i="7"/>
  <c r="T438" i="7"/>
  <c r="X438" i="7"/>
  <c r="Y438" i="7" s="1"/>
  <c r="AB438" i="7"/>
  <c r="P439" i="7"/>
  <c r="T439" i="7"/>
  <c r="X439" i="7"/>
  <c r="Y439" i="7" s="1"/>
  <c r="AB439" i="7"/>
  <c r="P440" i="7"/>
  <c r="T440" i="7"/>
  <c r="X440" i="7"/>
  <c r="Y440" i="7" s="1"/>
  <c r="AB440" i="7"/>
  <c r="P441" i="7"/>
  <c r="T441" i="7"/>
  <c r="X441" i="7"/>
  <c r="Y441" i="7" s="1"/>
  <c r="AB441" i="7"/>
  <c r="P442" i="7"/>
  <c r="T442" i="7"/>
  <c r="X442" i="7"/>
  <c r="Y442" i="7" s="1"/>
  <c r="AB442" i="7"/>
  <c r="P443" i="7"/>
  <c r="T443" i="7"/>
  <c r="X443" i="7"/>
  <c r="Y443" i="7" s="1"/>
  <c r="AB443" i="7"/>
  <c r="P444" i="7"/>
  <c r="T444" i="7"/>
  <c r="X444" i="7"/>
  <c r="Y444" i="7" s="1"/>
  <c r="AB444" i="7"/>
  <c r="P445" i="7"/>
  <c r="T445" i="7"/>
  <c r="X445" i="7"/>
  <c r="Y445" i="7" s="1"/>
  <c r="AB445" i="7"/>
  <c r="P446" i="7"/>
  <c r="T446" i="7"/>
  <c r="X446" i="7"/>
  <c r="Y446" i="7" s="1"/>
  <c r="AB446" i="7"/>
  <c r="P447" i="7"/>
  <c r="T447" i="7"/>
  <c r="X447" i="7"/>
  <c r="Y447" i="7" s="1"/>
  <c r="AB447" i="7"/>
  <c r="P448" i="7"/>
  <c r="T448" i="7"/>
  <c r="X448" i="7"/>
  <c r="Y448" i="7" s="1"/>
  <c r="AB448" i="7"/>
  <c r="P449" i="7"/>
  <c r="T449" i="7"/>
  <c r="X449" i="7"/>
  <c r="Y449" i="7" s="1"/>
  <c r="AB449" i="7"/>
  <c r="P450" i="7"/>
  <c r="T450" i="7"/>
  <c r="X450" i="7"/>
  <c r="Y450" i="7" s="1"/>
  <c r="AB450" i="7"/>
  <c r="P451" i="7"/>
  <c r="T451" i="7"/>
  <c r="X451" i="7"/>
  <c r="Y451" i="7" s="1"/>
  <c r="AB451" i="7"/>
  <c r="P452" i="7"/>
  <c r="T452" i="7"/>
  <c r="X452" i="7"/>
  <c r="Y452" i="7" s="1"/>
  <c r="AB452" i="7"/>
  <c r="P453" i="7"/>
  <c r="T453" i="7"/>
  <c r="X453" i="7"/>
  <c r="Y453" i="7" s="1"/>
  <c r="AB453" i="7"/>
  <c r="P454" i="7"/>
  <c r="T454" i="7"/>
  <c r="X454" i="7"/>
  <c r="Y454" i="7" s="1"/>
  <c r="AB454" i="7"/>
  <c r="P455" i="7"/>
  <c r="T455" i="7"/>
  <c r="X455" i="7"/>
  <c r="Y455" i="7" s="1"/>
  <c r="AB455" i="7"/>
  <c r="P456" i="7"/>
  <c r="T456" i="7"/>
  <c r="X456" i="7"/>
  <c r="Y456" i="7" s="1"/>
  <c r="AB456" i="7"/>
  <c r="P457" i="7"/>
  <c r="T457" i="7"/>
  <c r="X457" i="7"/>
  <c r="Y457" i="7" s="1"/>
  <c r="AB457" i="7"/>
  <c r="P458" i="7"/>
  <c r="T458" i="7"/>
  <c r="X458" i="7"/>
  <c r="Y458" i="7" s="1"/>
  <c r="AB458" i="7"/>
  <c r="P459" i="7"/>
  <c r="T459" i="7"/>
  <c r="X459" i="7"/>
  <c r="Y459" i="7" s="1"/>
  <c r="AB459" i="7"/>
  <c r="P460" i="7"/>
  <c r="T460" i="7"/>
  <c r="X460" i="7"/>
  <c r="Y460" i="7" s="1"/>
  <c r="AB460" i="7"/>
  <c r="P461" i="7"/>
  <c r="T461" i="7"/>
  <c r="X461" i="7"/>
  <c r="Y461" i="7" s="1"/>
  <c r="AB461" i="7"/>
  <c r="P462" i="7"/>
  <c r="T462" i="7"/>
  <c r="X462" i="7"/>
  <c r="Y462" i="7" s="1"/>
  <c r="AB462" i="7"/>
  <c r="P463" i="7"/>
  <c r="T463" i="7"/>
  <c r="X463" i="7"/>
  <c r="Y463" i="7" s="1"/>
  <c r="AB463" i="7"/>
  <c r="P464" i="7"/>
  <c r="T464" i="7"/>
  <c r="X464" i="7"/>
  <c r="Y464" i="7" s="1"/>
  <c r="AB464" i="7"/>
  <c r="P465" i="7"/>
  <c r="T465" i="7"/>
  <c r="X465" i="7"/>
  <c r="Y465" i="7" s="1"/>
  <c r="AB465" i="7"/>
  <c r="P466" i="7"/>
  <c r="T466" i="7"/>
  <c r="X466" i="7"/>
  <c r="Y466" i="7" s="1"/>
  <c r="AB466" i="7"/>
  <c r="P467" i="7"/>
  <c r="T467" i="7"/>
  <c r="X467" i="7"/>
  <c r="Y467" i="7" s="1"/>
  <c r="AB467" i="7"/>
  <c r="P468" i="7"/>
  <c r="T468" i="7"/>
  <c r="X468" i="7"/>
  <c r="Y468" i="7" s="1"/>
  <c r="AB468" i="7"/>
  <c r="P469" i="7"/>
  <c r="T469" i="7"/>
  <c r="X469" i="7"/>
  <c r="Y469" i="7" s="1"/>
  <c r="AB469" i="7"/>
  <c r="P470" i="7"/>
  <c r="T470" i="7"/>
  <c r="X470" i="7"/>
  <c r="Y470" i="7" s="1"/>
  <c r="AB470" i="7"/>
  <c r="P471" i="7"/>
  <c r="T471" i="7"/>
  <c r="X471" i="7"/>
  <c r="Y471" i="7" s="1"/>
  <c r="AB471" i="7"/>
  <c r="P472" i="7"/>
  <c r="T472" i="7"/>
  <c r="X472" i="7"/>
  <c r="Y472" i="7" s="1"/>
  <c r="AB472" i="7"/>
  <c r="P473" i="7"/>
  <c r="T473" i="7"/>
  <c r="X473" i="7"/>
  <c r="Y473" i="7" s="1"/>
  <c r="AB473" i="7"/>
  <c r="P474" i="7"/>
  <c r="T474" i="7"/>
  <c r="X474" i="7"/>
  <c r="Y474" i="7" s="1"/>
  <c r="AB474" i="7"/>
  <c r="P475" i="7"/>
  <c r="T475" i="7"/>
  <c r="X475" i="7"/>
  <c r="Y475" i="7" s="1"/>
  <c r="AB475" i="7"/>
  <c r="P476" i="7"/>
  <c r="T476" i="7"/>
  <c r="X476" i="7"/>
  <c r="Y476" i="7" s="1"/>
  <c r="AB476" i="7"/>
  <c r="P477" i="7"/>
  <c r="T477" i="7"/>
  <c r="X477" i="7"/>
  <c r="Y477" i="7" s="1"/>
  <c r="AB477" i="7"/>
  <c r="P478" i="7"/>
  <c r="T478" i="7"/>
  <c r="X478" i="7"/>
  <c r="Y478" i="7" s="1"/>
  <c r="AB478" i="7"/>
  <c r="P479" i="7"/>
  <c r="T479" i="7"/>
  <c r="X479" i="7"/>
  <c r="Y479" i="7" s="1"/>
  <c r="AB479" i="7"/>
  <c r="P480" i="7"/>
  <c r="T480" i="7"/>
  <c r="X480" i="7"/>
  <c r="Y480" i="7" s="1"/>
  <c r="AB480" i="7"/>
  <c r="P481" i="7"/>
  <c r="T481" i="7"/>
  <c r="X481" i="7"/>
  <c r="Y481" i="7" s="1"/>
  <c r="AB481" i="7"/>
  <c r="P482" i="7"/>
  <c r="T482" i="7"/>
  <c r="X482" i="7"/>
  <c r="Y482" i="7" s="1"/>
  <c r="AB482" i="7"/>
  <c r="P483" i="7"/>
  <c r="T483" i="7"/>
  <c r="X483" i="7"/>
  <c r="Y483" i="7" s="1"/>
  <c r="AB483" i="7"/>
  <c r="P484" i="7"/>
  <c r="T484" i="7"/>
  <c r="X484" i="7"/>
  <c r="Y484" i="7" s="1"/>
  <c r="AB484" i="7"/>
  <c r="P485" i="7"/>
  <c r="T485" i="7"/>
  <c r="X485" i="7"/>
  <c r="Y485" i="7" s="1"/>
  <c r="AB485" i="7"/>
  <c r="P486" i="7"/>
  <c r="T486" i="7"/>
  <c r="X486" i="7"/>
  <c r="Y486" i="7" s="1"/>
  <c r="AB486" i="7"/>
  <c r="P487" i="7"/>
  <c r="T487" i="7"/>
  <c r="X487" i="7"/>
  <c r="Y487" i="7" s="1"/>
  <c r="AB487" i="7"/>
  <c r="P488" i="7"/>
  <c r="T488" i="7"/>
  <c r="X488" i="7"/>
  <c r="Y488" i="7" s="1"/>
  <c r="AB488" i="7"/>
  <c r="P489" i="7"/>
  <c r="T489" i="7"/>
  <c r="X489" i="7"/>
  <c r="Y489" i="7" s="1"/>
  <c r="AB489" i="7"/>
  <c r="P490" i="7"/>
  <c r="T490" i="7"/>
  <c r="X490" i="7"/>
  <c r="Y490" i="7" s="1"/>
  <c r="AB490" i="7"/>
  <c r="P491" i="7"/>
  <c r="T491" i="7"/>
  <c r="X491" i="7"/>
  <c r="Y491" i="7" s="1"/>
  <c r="AB491" i="7"/>
  <c r="P492" i="7"/>
  <c r="T492" i="7"/>
  <c r="X492" i="7"/>
  <c r="Y492" i="7" s="1"/>
  <c r="AB492" i="7"/>
  <c r="P493" i="7"/>
  <c r="T493" i="7"/>
  <c r="X493" i="7"/>
  <c r="Y493" i="7" s="1"/>
  <c r="AB493" i="7"/>
  <c r="P494" i="7"/>
  <c r="T494" i="7"/>
  <c r="X494" i="7"/>
  <c r="Y494" i="7" s="1"/>
  <c r="AB494" i="7"/>
  <c r="P495" i="7"/>
  <c r="T495" i="7"/>
  <c r="X495" i="7"/>
  <c r="Y495" i="7" s="1"/>
  <c r="AB495" i="7"/>
  <c r="P496" i="7"/>
  <c r="T496" i="7"/>
  <c r="X496" i="7"/>
  <c r="Y496" i="7" s="1"/>
  <c r="AB496" i="7"/>
  <c r="P497" i="7"/>
  <c r="T497" i="7"/>
  <c r="X497" i="7"/>
  <c r="Y497" i="7" s="1"/>
  <c r="AB497" i="7"/>
  <c r="P498" i="7"/>
  <c r="T498" i="7"/>
  <c r="X498" i="7"/>
  <c r="Y498" i="7" s="1"/>
  <c r="AB498" i="7"/>
  <c r="P499" i="7"/>
  <c r="T499" i="7"/>
  <c r="X499" i="7"/>
  <c r="Y499" i="7" s="1"/>
  <c r="AB499" i="7"/>
  <c r="P500" i="7"/>
  <c r="T500" i="7"/>
  <c r="X500" i="7"/>
  <c r="Y500" i="7" s="1"/>
  <c r="AB500" i="7"/>
  <c r="P501" i="7"/>
  <c r="T501" i="7"/>
  <c r="X501" i="7"/>
  <c r="Y501" i="7" s="1"/>
  <c r="AB501" i="7"/>
  <c r="P4" i="8"/>
  <c r="T4" i="8"/>
  <c r="X4" i="8"/>
  <c r="Y4" i="8" s="1"/>
  <c r="AB4" i="8"/>
  <c r="K5" i="8"/>
  <c r="O5" i="8"/>
  <c r="S5" i="8"/>
  <c r="W5" i="8"/>
  <c r="AD5" i="8" s="1"/>
  <c r="AA5" i="8"/>
  <c r="AG5" i="8" s="1"/>
  <c r="AI5" i="8"/>
  <c r="P8" i="8"/>
  <c r="T8" i="8"/>
  <c r="X8" i="8"/>
  <c r="Y8" i="8" s="1"/>
  <c r="AB8" i="8"/>
  <c r="K9" i="8"/>
  <c r="O9" i="8"/>
  <c r="S9" i="8"/>
  <c r="W9" i="8"/>
  <c r="AD9" i="8" s="1"/>
  <c r="AA9" i="8"/>
  <c r="AG9" i="8" s="1"/>
  <c r="AI9" i="8"/>
  <c r="K10" i="8"/>
  <c r="O10" i="8"/>
  <c r="S10" i="8"/>
  <c r="W10" i="8"/>
  <c r="AD10" i="8" s="1"/>
  <c r="AA10" i="8"/>
  <c r="AG10" i="8" s="1"/>
  <c r="AI10" i="8"/>
  <c r="K11" i="8"/>
  <c r="O11" i="8"/>
  <c r="S11" i="8"/>
  <c r="W11" i="8"/>
  <c r="AD11" i="8" s="1"/>
  <c r="AA11" i="8"/>
  <c r="AG11" i="8" s="1"/>
  <c r="AI11" i="8"/>
  <c r="K12" i="8"/>
  <c r="O12" i="8"/>
  <c r="S12" i="8"/>
  <c r="W12" i="8"/>
  <c r="AD12" i="8" s="1"/>
  <c r="AA12" i="8"/>
  <c r="AG12" i="8" s="1"/>
  <c r="AI12" i="8"/>
  <c r="K13" i="8"/>
  <c r="O13" i="8"/>
  <c r="S13" i="8"/>
  <c r="W13" i="8"/>
  <c r="AD13" i="8" s="1"/>
  <c r="AA13" i="8"/>
  <c r="AG13" i="8" s="1"/>
  <c r="AI13" i="8"/>
  <c r="K14" i="8"/>
  <c r="O14" i="8"/>
  <c r="S14" i="8"/>
  <c r="W14" i="8"/>
  <c r="AD14" i="8" s="1"/>
  <c r="AA14" i="8"/>
  <c r="AG14" i="8" s="1"/>
  <c r="AI14" i="8"/>
  <c r="K15" i="8"/>
  <c r="O15" i="8"/>
  <c r="S15" i="8"/>
  <c r="W15" i="8"/>
  <c r="AD15" i="8" s="1"/>
  <c r="AA15" i="8"/>
  <c r="AG15" i="8" s="1"/>
  <c r="AI15" i="8"/>
  <c r="K16" i="8"/>
  <c r="O16" i="8"/>
  <c r="S16" i="8"/>
  <c r="W16" i="8"/>
  <c r="AD16" i="8" s="1"/>
  <c r="AA16" i="8"/>
  <c r="AG16" i="8" s="1"/>
  <c r="AI16" i="8"/>
  <c r="K17" i="8"/>
  <c r="O17" i="8"/>
  <c r="S17" i="8"/>
  <c r="W17" i="8"/>
  <c r="AD17" i="8" s="1"/>
  <c r="AA17" i="8"/>
  <c r="AG17" i="8" s="1"/>
  <c r="AI17" i="8"/>
  <c r="K18" i="8"/>
  <c r="O18" i="8"/>
  <c r="S18" i="8"/>
  <c r="W18" i="8"/>
  <c r="AD18" i="8" s="1"/>
  <c r="AA18" i="8"/>
  <c r="AG18" i="8" s="1"/>
  <c r="AI18" i="8"/>
  <c r="K19" i="8"/>
  <c r="O19" i="8"/>
  <c r="S19" i="8"/>
  <c r="W19" i="8"/>
  <c r="AD19" i="8" s="1"/>
  <c r="AA19" i="8"/>
  <c r="AG19" i="8" s="1"/>
  <c r="AI19" i="8"/>
  <c r="K20" i="8"/>
  <c r="O20" i="8"/>
  <c r="S20" i="8"/>
  <c r="W20" i="8"/>
  <c r="AD20" i="8" s="1"/>
  <c r="AA20" i="8"/>
  <c r="AG20" i="8" s="1"/>
  <c r="AI20" i="8"/>
  <c r="K21" i="8"/>
  <c r="O21" i="8"/>
  <c r="S21" i="8"/>
  <c r="W21" i="8"/>
  <c r="AD21" i="8" s="1"/>
  <c r="AA21" i="8"/>
  <c r="AG21" i="8" s="1"/>
  <c r="AI21" i="8"/>
  <c r="K22" i="8"/>
  <c r="O22" i="8"/>
  <c r="S22" i="8"/>
  <c r="W22" i="8"/>
  <c r="AD22" i="8" s="1"/>
  <c r="AA22" i="8"/>
  <c r="AG22" i="8" s="1"/>
  <c r="AI22" i="8"/>
  <c r="K23" i="8"/>
  <c r="O23" i="8"/>
  <c r="S23" i="8"/>
  <c r="W23" i="8"/>
  <c r="AD23" i="8" s="1"/>
  <c r="AA23" i="8"/>
  <c r="AG23" i="8" s="1"/>
  <c r="AI23" i="8"/>
  <c r="K24" i="8"/>
  <c r="O24" i="8"/>
  <c r="S24" i="8"/>
  <c r="W24" i="8"/>
  <c r="AD24" i="8" s="1"/>
  <c r="AA24" i="8"/>
  <c r="AG24" i="8" s="1"/>
  <c r="AI24" i="8"/>
  <c r="K25" i="8"/>
  <c r="O25" i="8"/>
  <c r="S25" i="8"/>
  <c r="W25" i="8"/>
  <c r="AD25" i="8" s="1"/>
  <c r="AA25" i="8"/>
  <c r="AG25" i="8" s="1"/>
  <c r="AI25" i="8"/>
  <c r="K26" i="8"/>
  <c r="O26" i="8"/>
  <c r="S26" i="8"/>
  <c r="W26" i="8"/>
  <c r="AD26" i="8" s="1"/>
  <c r="AA26" i="8"/>
  <c r="AG26" i="8" s="1"/>
  <c r="AI26" i="8"/>
  <c r="K27" i="8"/>
  <c r="O27" i="8"/>
  <c r="S27" i="8"/>
  <c r="W27" i="8"/>
  <c r="AD27" i="8" s="1"/>
  <c r="AA27" i="8"/>
  <c r="AG27" i="8" s="1"/>
  <c r="AI27" i="8"/>
  <c r="K28" i="8"/>
  <c r="O28" i="8"/>
  <c r="S28" i="8"/>
  <c r="W28" i="8"/>
  <c r="AD28" i="8" s="1"/>
  <c r="AA28" i="8"/>
  <c r="AG28" i="8" s="1"/>
  <c r="AI28" i="8"/>
  <c r="K29" i="8"/>
  <c r="O29" i="8"/>
  <c r="S29" i="8"/>
  <c r="W29" i="8"/>
  <c r="AD29" i="8" s="1"/>
  <c r="AA29" i="8"/>
  <c r="AG29" i="8" s="1"/>
  <c r="AI29" i="8"/>
  <c r="K30" i="8"/>
  <c r="O30" i="8"/>
  <c r="S30" i="8"/>
  <c r="W30" i="8"/>
  <c r="AD30" i="8" s="1"/>
  <c r="AA30" i="8"/>
  <c r="AG30" i="8" s="1"/>
  <c r="AI30" i="8"/>
  <c r="K31" i="8"/>
  <c r="O31" i="8"/>
  <c r="S31" i="8"/>
  <c r="W31" i="8"/>
  <c r="AD31" i="8" s="1"/>
  <c r="AA31" i="8"/>
  <c r="AG31" i="8" s="1"/>
  <c r="AI31" i="8"/>
  <c r="K32" i="8"/>
  <c r="O32" i="8"/>
  <c r="S32" i="8"/>
  <c r="W32" i="8"/>
  <c r="AD32" i="8" s="1"/>
  <c r="AA32" i="8"/>
  <c r="AG32" i="8" s="1"/>
  <c r="AI32" i="8"/>
  <c r="K33" i="8"/>
  <c r="O33" i="8"/>
  <c r="S33" i="8"/>
  <c r="W33" i="8"/>
  <c r="AD33" i="8" s="1"/>
  <c r="AA33" i="8"/>
  <c r="AG33" i="8" s="1"/>
  <c r="AI33" i="8"/>
  <c r="K34" i="8"/>
  <c r="O34" i="8"/>
  <c r="S34" i="8"/>
  <c r="W34" i="8"/>
  <c r="AD34" i="8" s="1"/>
  <c r="AA34" i="8"/>
  <c r="AG34" i="8" s="1"/>
  <c r="AI34" i="8"/>
  <c r="K35" i="8"/>
  <c r="O35" i="8"/>
  <c r="S35" i="8"/>
  <c r="W35" i="8"/>
  <c r="AD35" i="8" s="1"/>
  <c r="AA35" i="8"/>
  <c r="AG35" i="8" s="1"/>
  <c r="AI35" i="8"/>
  <c r="K36" i="8"/>
  <c r="O36" i="8"/>
  <c r="S36" i="8"/>
  <c r="W36" i="8"/>
  <c r="AD36" i="8" s="1"/>
  <c r="AA36" i="8"/>
  <c r="AG36" i="8" s="1"/>
  <c r="AI36" i="8"/>
  <c r="K37" i="8"/>
  <c r="O37" i="8"/>
  <c r="S37" i="8"/>
  <c r="W37" i="8"/>
  <c r="AD37" i="8" s="1"/>
  <c r="AA37" i="8"/>
  <c r="AG37" i="8" s="1"/>
  <c r="AI37" i="8"/>
  <c r="K38" i="8"/>
  <c r="O38" i="8"/>
  <c r="S38" i="8"/>
  <c r="W38" i="8"/>
  <c r="AD38" i="8" s="1"/>
  <c r="AA38" i="8"/>
  <c r="AG38" i="8" s="1"/>
  <c r="AI38" i="8"/>
  <c r="K39" i="8"/>
  <c r="O39" i="8"/>
  <c r="S39" i="8"/>
  <c r="W39" i="8"/>
  <c r="AD39" i="8" s="1"/>
  <c r="AA39" i="8"/>
  <c r="AG39" i="8" s="1"/>
  <c r="AI39" i="8"/>
  <c r="K40" i="8"/>
  <c r="O40" i="8"/>
  <c r="S40" i="8"/>
  <c r="W40" i="8"/>
  <c r="AD40" i="8" s="1"/>
  <c r="AA40" i="8"/>
  <c r="AG40" i="8" s="1"/>
  <c r="AI40" i="8"/>
  <c r="K41" i="8"/>
  <c r="O41" i="8"/>
  <c r="S41" i="8"/>
  <c r="W41" i="8"/>
  <c r="AD41" i="8" s="1"/>
  <c r="AA41" i="8"/>
  <c r="AG41" i="8" s="1"/>
  <c r="AI41" i="8"/>
  <c r="K42" i="8"/>
  <c r="O42" i="8"/>
  <c r="S42" i="8"/>
  <c r="W42" i="8"/>
  <c r="AD42" i="8" s="1"/>
  <c r="AA42" i="8"/>
  <c r="AG42" i="8" s="1"/>
  <c r="AI42" i="8"/>
  <c r="K43" i="8"/>
  <c r="O43" i="8"/>
  <c r="S43" i="8"/>
  <c r="W43" i="8"/>
  <c r="AD43" i="8" s="1"/>
  <c r="AA43" i="8"/>
  <c r="AG43" i="8" s="1"/>
  <c r="AI43" i="8"/>
  <c r="K44" i="8"/>
  <c r="O44" i="8"/>
  <c r="S44" i="8"/>
  <c r="W44" i="8"/>
  <c r="AD44" i="8" s="1"/>
  <c r="AA44" i="8"/>
  <c r="AG44" i="8" s="1"/>
  <c r="AI44" i="8"/>
  <c r="K45" i="8"/>
  <c r="O45" i="8"/>
  <c r="S45" i="8"/>
  <c r="W45" i="8"/>
  <c r="AD45" i="8" s="1"/>
  <c r="AA45" i="8"/>
  <c r="AG45" i="8" s="1"/>
  <c r="AI45" i="8"/>
  <c r="K46" i="8"/>
  <c r="O46" i="8"/>
  <c r="S46" i="8"/>
  <c r="W46" i="8"/>
  <c r="AD46" i="8" s="1"/>
  <c r="AA46" i="8"/>
  <c r="AG46" i="8" s="1"/>
  <c r="AI46" i="8"/>
  <c r="K47" i="8"/>
  <c r="O47" i="8"/>
  <c r="S47" i="8"/>
  <c r="W47" i="8"/>
  <c r="AD47" i="8" s="1"/>
  <c r="AA47" i="8"/>
  <c r="AG47" i="8" s="1"/>
  <c r="AI47" i="8"/>
  <c r="K48" i="8"/>
  <c r="O48" i="8"/>
  <c r="S48" i="8"/>
  <c r="W48" i="8"/>
  <c r="AD48" i="8" s="1"/>
  <c r="AA48" i="8"/>
  <c r="AG48" i="8" s="1"/>
  <c r="AI48" i="8"/>
  <c r="K49" i="8"/>
  <c r="O49" i="8"/>
  <c r="S49" i="8"/>
  <c r="W49" i="8"/>
  <c r="AD49" i="8" s="1"/>
  <c r="AA49" i="8"/>
  <c r="AG49" i="8" s="1"/>
  <c r="AI49" i="8"/>
  <c r="K50" i="8"/>
  <c r="O50" i="8"/>
  <c r="S50" i="8"/>
  <c r="W50" i="8"/>
  <c r="AD50" i="8" s="1"/>
  <c r="AA50" i="8"/>
  <c r="AG50" i="8" s="1"/>
  <c r="AI50" i="8"/>
  <c r="K51" i="8"/>
  <c r="O51" i="8"/>
  <c r="S51" i="8"/>
  <c r="W51" i="8"/>
  <c r="AD51" i="8" s="1"/>
  <c r="AA51" i="8"/>
  <c r="AG51" i="8" s="1"/>
  <c r="AI51" i="8"/>
  <c r="K52" i="8"/>
  <c r="O52" i="8"/>
  <c r="S52" i="8"/>
  <c r="W52" i="8"/>
  <c r="AD52" i="8" s="1"/>
  <c r="AA52" i="8"/>
  <c r="AG52" i="8" s="1"/>
  <c r="AI52" i="8"/>
  <c r="K53" i="8"/>
  <c r="O53" i="8"/>
  <c r="S53" i="8"/>
  <c r="W53" i="8"/>
  <c r="AD53" i="8" s="1"/>
  <c r="AA53" i="8"/>
  <c r="AG53" i="8" s="1"/>
  <c r="AI53" i="8"/>
  <c r="K54" i="8"/>
  <c r="O54" i="8"/>
  <c r="S54" i="8"/>
  <c r="W54" i="8"/>
  <c r="AD54" i="8" s="1"/>
  <c r="AA54" i="8"/>
  <c r="AG54" i="8" s="1"/>
  <c r="AI54" i="8"/>
  <c r="K55" i="8"/>
  <c r="O55" i="8"/>
  <c r="S55" i="8"/>
  <c r="W55" i="8"/>
  <c r="AD55" i="8" s="1"/>
  <c r="AA55" i="8"/>
  <c r="AG55" i="8" s="1"/>
  <c r="AI55" i="8"/>
  <c r="K56" i="8"/>
  <c r="O56" i="8"/>
  <c r="S56" i="8"/>
  <c r="W56" i="8"/>
  <c r="AD56" i="8" s="1"/>
  <c r="AA56" i="8"/>
  <c r="AG56" i="8" s="1"/>
  <c r="AI56" i="8"/>
  <c r="K57" i="8"/>
  <c r="O57" i="8"/>
  <c r="S57" i="8"/>
  <c r="W57" i="8"/>
  <c r="AD57" i="8" s="1"/>
  <c r="AA57" i="8"/>
  <c r="AG57" i="8" s="1"/>
  <c r="AI57" i="8"/>
  <c r="K58" i="8"/>
  <c r="O58" i="8"/>
  <c r="S58" i="8"/>
  <c r="W58" i="8"/>
  <c r="AD58" i="8" s="1"/>
  <c r="AA58" i="8"/>
  <c r="AG58" i="8" s="1"/>
  <c r="AI58" i="8"/>
  <c r="K59" i="8"/>
  <c r="O59" i="8"/>
  <c r="S59" i="8"/>
  <c r="W59" i="8"/>
  <c r="AD59" i="8" s="1"/>
  <c r="AA59" i="8"/>
  <c r="AG59" i="8" s="1"/>
  <c r="AI59" i="8"/>
  <c r="K60" i="8"/>
  <c r="O60" i="8"/>
  <c r="S60" i="8"/>
  <c r="W60" i="8"/>
  <c r="AD60" i="8" s="1"/>
  <c r="AA60" i="8"/>
  <c r="AG60" i="8" s="1"/>
  <c r="AI60" i="8"/>
  <c r="K61" i="8"/>
  <c r="O61" i="8"/>
  <c r="S61" i="8"/>
  <c r="W61" i="8"/>
  <c r="AD61" i="8" s="1"/>
  <c r="AA61" i="8"/>
  <c r="AG61" i="8" s="1"/>
  <c r="AI61" i="8"/>
  <c r="K62" i="8"/>
  <c r="O62" i="8"/>
  <c r="S62" i="8"/>
  <c r="W62" i="8"/>
  <c r="AD62" i="8" s="1"/>
  <c r="AA62" i="8"/>
  <c r="AG62" i="8" s="1"/>
  <c r="AI62" i="8"/>
  <c r="K63" i="8"/>
  <c r="O63" i="8"/>
  <c r="S63" i="8"/>
  <c r="W63" i="8"/>
  <c r="AD63" i="8" s="1"/>
  <c r="AA63" i="8"/>
  <c r="AG63" i="8" s="1"/>
  <c r="AI63" i="8"/>
  <c r="K64" i="8"/>
  <c r="O64" i="8"/>
  <c r="S64" i="8"/>
  <c r="W64" i="8"/>
  <c r="AD64" i="8" s="1"/>
  <c r="AA64" i="8"/>
  <c r="AG64" i="8" s="1"/>
  <c r="AI64" i="8"/>
  <c r="K65" i="8"/>
  <c r="O65" i="8"/>
  <c r="S65" i="8"/>
  <c r="W65" i="8"/>
  <c r="AD65" i="8" s="1"/>
  <c r="AA65" i="8"/>
  <c r="AG65" i="8" s="1"/>
  <c r="AI65" i="8"/>
  <c r="K66" i="8"/>
  <c r="O66" i="8"/>
  <c r="S66" i="8"/>
  <c r="W66" i="8"/>
  <c r="AD66" i="8" s="1"/>
  <c r="AA66" i="8"/>
  <c r="AG66" i="8" s="1"/>
  <c r="AI66" i="8"/>
  <c r="K67" i="8"/>
  <c r="O67" i="8"/>
  <c r="S67" i="8"/>
  <c r="W67" i="8"/>
  <c r="AD67" i="8" s="1"/>
  <c r="AA67" i="8"/>
  <c r="AG67" i="8" s="1"/>
  <c r="AI67" i="8"/>
  <c r="K68" i="8"/>
  <c r="O68" i="8"/>
  <c r="S68" i="8"/>
  <c r="W68" i="8"/>
  <c r="AD68" i="8" s="1"/>
  <c r="AA68" i="8"/>
  <c r="AG68" i="8" s="1"/>
  <c r="AI68" i="8"/>
  <c r="K69" i="8"/>
  <c r="O69" i="8"/>
  <c r="S69" i="8"/>
  <c r="W69" i="8"/>
  <c r="AD69" i="8" s="1"/>
  <c r="AA69" i="8"/>
  <c r="AG69" i="8" s="1"/>
  <c r="AI69" i="8"/>
  <c r="K70" i="8"/>
  <c r="O70" i="8"/>
  <c r="S70" i="8"/>
  <c r="W70" i="8"/>
  <c r="AD70" i="8" s="1"/>
  <c r="AA70" i="8"/>
  <c r="AG70" i="8" s="1"/>
  <c r="AI70" i="8"/>
  <c r="K71" i="8"/>
  <c r="O71" i="8"/>
  <c r="S71" i="8"/>
  <c r="W71" i="8"/>
  <c r="AD71" i="8" s="1"/>
  <c r="AA71" i="8"/>
  <c r="AG71" i="8" s="1"/>
  <c r="AI71" i="8"/>
  <c r="K72" i="8"/>
  <c r="O72" i="8"/>
  <c r="S72" i="8"/>
  <c r="W72" i="8"/>
  <c r="AD72" i="8" s="1"/>
  <c r="AA72" i="8"/>
  <c r="AG72" i="8" s="1"/>
  <c r="AI72" i="8"/>
  <c r="K73" i="8"/>
  <c r="O73" i="8"/>
  <c r="S73" i="8"/>
  <c r="W73" i="8"/>
  <c r="AD73" i="8" s="1"/>
  <c r="AA73" i="8"/>
  <c r="AG73" i="8" s="1"/>
  <c r="AI73" i="8"/>
  <c r="K74" i="8"/>
  <c r="O74" i="8"/>
  <c r="S74" i="8"/>
  <c r="W74" i="8"/>
  <c r="AD74" i="8" s="1"/>
  <c r="AA74" i="8"/>
  <c r="AG74" i="8" s="1"/>
  <c r="AI74" i="8"/>
  <c r="K75" i="8"/>
  <c r="O75" i="8"/>
  <c r="S75" i="8"/>
  <c r="W75" i="8"/>
  <c r="AD75" i="8" s="1"/>
  <c r="AA75" i="8"/>
  <c r="AG75" i="8" s="1"/>
  <c r="AI75" i="8"/>
  <c r="K76" i="8"/>
  <c r="O76" i="8"/>
  <c r="S76" i="8"/>
  <c r="W76" i="8"/>
  <c r="AD76" i="8" s="1"/>
  <c r="AA76" i="8"/>
  <c r="AG76" i="8" s="1"/>
  <c r="AI76" i="8"/>
  <c r="K77" i="8"/>
  <c r="O77" i="8"/>
  <c r="S77" i="8"/>
  <c r="W77" i="8"/>
  <c r="AD77" i="8" s="1"/>
  <c r="AA77" i="8"/>
  <c r="AG77" i="8" s="1"/>
  <c r="AI77" i="8"/>
  <c r="K78" i="8"/>
  <c r="O78" i="8"/>
  <c r="S78" i="8"/>
  <c r="W78" i="8"/>
  <c r="AD78" i="8" s="1"/>
  <c r="AA78" i="8"/>
  <c r="AG78" i="8" s="1"/>
  <c r="AI78" i="8"/>
  <c r="K79" i="8"/>
  <c r="O79" i="8"/>
  <c r="S79" i="8"/>
  <c r="W79" i="8"/>
  <c r="AD79" i="8" s="1"/>
  <c r="AA79" i="8"/>
  <c r="AG79" i="8" s="1"/>
  <c r="AI79" i="8"/>
  <c r="K80" i="8"/>
  <c r="O80" i="8"/>
  <c r="S80" i="8"/>
  <c r="W80" i="8"/>
  <c r="AD80" i="8" s="1"/>
  <c r="AA80" i="8"/>
  <c r="AG80" i="8" s="1"/>
  <c r="AI80" i="8"/>
  <c r="K81" i="8"/>
  <c r="O81" i="8"/>
  <c r="S81" i="8"/>
  <c r="W81" i="8"/>
  <c r="AD81" i="8" s="1"/>
  <c r="AA81" i="8"/>
  <c r="AG81" i="8" s="1"/>
  <c r="AI81" i="8"/>
  <c r="K82" i="8"/>
  <c r="O82" i="8"/>
  <c r="S82" i="8"/>
  <c r="W82" i="8"/>
  <c r="AD82" i="8" s="1"/>
  <c r="AA82" i="8"/>
  <c r="AG82" i="8" s="1"/>
  <c r="AI82" i="8"/>
  <c r="K83" i="8"/>
  <c r="O83" i="8"/>
  <c r="S83" i="8"/>
  <c r="W83" i="8"/>
  <c r="AD83" i="8" s="1"/>
  <c r="AA83" i="8"/>
  <c r="AG83" i="8" s="1"/>
  <c r="AI83" i="8"/>
  <c r="K84" i="8"/>
  <c r="O84" i="8"/>
  <c r="S84" i="8"/>
  <c r="W84" i="8"/>
  <c r="AD84" i="8" s="1"/>
  <c r="AA84" i="8"/>
  <c r="AG84" i="8" s="1"/>
  <c r="AI84" i="8"/>
  <c r="K85" i="8"/>
  <c r="O85" i="8"/>
  <c r="S85" i="8"/>
  <c r="W85" i="8"/>
  <c r="AD85" i="8" s="1"/>
  <c r="AA85" i="8"/>
  <c r="AG85" i="8" s="1"/>
  <c r="AI85" i="8"/>
  <c r="K86" i="8"/>
  <c r="O86" i="8"/>
  <c r="S86" i="8"/>
  <c r="W86" i="8"/>
  <c r="AD86" i="8" s="1"/>
  <c r="AA86" i="8"/>
  <c r="AG86" i="8" s="1"/>
  <c r="AI86" i="8"/>
  <c r="K87" i="8"/>
  <c r="O87" i="8"/>
  <c r="S87" i="8"/>
  <c r="W87" i="8"/>
  <c r="AD87" i="8" s="1"/>
  <c r="AA87" i="8"/>
  <c r="AG87" i="8" s="1"/>
  <c r="AI87" i="8"/>
  <c r="K88" i="8"/>
  <c r="O88" i="8"/>
  <c r="S88" i="8"/>
  <c r="W88" i="8"/>
  <c r="AD88" i="8" s="1"/>
  <c r="AA88" i="8"/>
  <c r="AG88" i="8" s="1"/>
  <c r="AI88" i="8"/>
  <c r="K89" i="8"/>
  <c r="O89" i="8"/>
  <c r="S89" i="8"/>
  <c r="W89" i="8"/>
  <c r="AD89" i="8" s="1"/>
  <c r="AA89" i="8"/>
  <c r="AG89" i="8" s="1"/>
  <c r="AI89" i="8"/>
  <c r="K90" i="8"/>
  <c r="O90" i="8"/>
  <c r="S90" i="8"/>
  <c r="W90" i="8"/>
  <c r="AD90" i="8" s="1"/>
  <c r="AA90" i="8"/>
  <c r="AG90" i="8" s="1"/>
  <c r="AI90" i="8"/>
  <c r="K91" i="8"/>
  <c r="O91" i="8"/>
  <c r="S91" i="8"/>
  <c r="W91" i="8"/>
  <c r="AD91" i="8" s="1"/>
  <c r="AA91" i="8"/>
  <c r="AG91" i="8" s="1"/>
  <c r="AI91" i="8"/>
  <c r="K92" i="8"/>
  <c r="O92" i="8"/>
  <c r="S92" i="8"/>
  <c r="W92" i="8"/>
  <c r="AD92" i="8" s="1"/>
  <c r="AA92" i="8"/>
  <c r="AG92" i="8" s="1"/>
  <c r="AI92" i="8"/>
  <c r="K93" i="8"/>
  <c r="O93" i="8"/>
  <c r="S93" i="8"/>
  <c r="W93" i="8"/>
  <c r="AD93" i="8" s="1"/>
  <c r="AA93" i="8"/>
  <c r="AG93" i="8" s="1"/>
  <c r="AI93" i="8"/>
  <c r="K94" i="8"/>
  <c r="O94" i="8"/>
  <c r="S94" i="8"/>
  <c r="W94" i="8"/>
  <c r="AD94" i="8" s="1"/>
  <c r="AA94" i="8"/>
  <c r="AG94" i="8" s="1"/>
  <c r="AI94" i="8"/>
  <c r="K95" i="8"/>
  <c r="O95" i="8"/>
  <c r="S95" i="8"/>
  <c r="W95" i="8"/>
  <c r="AD95" i="8" s="1"/>
  <c r="AA95" i="8"/>
  <c r="AG95" i="8" s="1"/>
  <c r="AI95" i="8"/>
  <c r="K96" i="8"/>
  <c r="O96" i="8"/>
  <c r="S96" i="8"/>
  <c r="W96" i="8"/>
  <c r="AD96" i="8" s="1"/>
  <c r="AA96" i="8"/>
  <c r="AG96" i="8" s="1"/>
  <c r="AI96" i="8"/>
  <c r="K97" i="8"/>
  <c r="O97" i="8"/>
  <c r="S97" i="8"/>
  <c r="W97" i="8"/>
  <c r="AD97" i="8" s="1"/>
  <c r="AA97" i="8"/>
  <c r="AG97" i="8" s="1"/>
  <c r="AI97" i="8"/>
  <c r="K98" i="8"/>
  <c r="O98" i="8"/>
  <c r="S98" i="8"/>
  <c r="W98" i="8"/>
  <c r="AD98" i="8" s="1"/>
  <c r="AA98" i="8"/>
  <c r="AG98" i="8" s="1"/>
  <c r="AI98" i="8"/>
  <c r="K99" i="8"/>
  <c r="O99" i="8"/>
  <c r="S99" i="8"/>
  <c r="W99" i="8"/>
  <c r="AD99" i="8" s="1"/>
  <c r="AA99" i="8"/>
  <c r="AG99" i="8" s="1"/>
  <c r="AI99" i="8"/>
  <c r="K100" i="8"/>
  <c r="O100" i="8"/>
  <c r="S100" i="8"/>
  <c r="W100" i="8"/>
  <c r="AD100" i="8" s="1"/>
  <c r="AA100" i="8"/>
  <c r="AG100" i="8" s="1"/>
  <c r="AI100" i="8"/>
  <c r="K101" i="8"/>
  <c r="O101" i="8"/>
  <c r="S101" i="8"/>
  <c r="W101" i="8"/>
  <c r="AD101" i="8" s="1"/>
  <c r="AA101" i="8"/>
  <c r="AG101" i="8" s="1"/>
  <c r="AI101" i="8"/>
  <c r="K102" i="8"/>
  <c r="O102" i="8"/>
  <c r="S102" i="8"/>
  <c r="W102" i="8"/>
  <c r="AD102" i="8" s="1"/>
  <c r="AA102" i="8"/>
  <c r="AG102" i="8" s="1"/>
  <c r="AI102" i="8"/>
  <c r="K103" i="8"/>
  <c r="O103" i="8"/>
  <c r="S103" i="8"/>
  <c r="W103" i="8"/>
  <c r="AD103" i="8" s="1"/>
  <c r="AA103" i="8"/>
  <c r="AG103" i="8" s="1"/>
  <c r="AI103" i="8"/>
  <c r="K104" i="8"/>
  <c r="O104" i="8"/>
  <c r="S104" i="8"/>
  <c r="W104" i="8"/>
  <c r="AD104" i="8" s="1"/>
  <c r="AA104" i="8"/>
  <c r="AG104" i="8" s="1"/>
  <c r="AI104" i="8"/>
  <c r="K105" i="8"/>
  <c r="O105" i="8"/>
  <c r="S105" i="8"/>
  <c r="W105" i="8"/>
  <c r="AD105" i="8" s="1"/>
  <c r="AA105" i="8"/>
  <c r="AG105" i="8" s="1"/>
  <c r="AI105" i="8"/>
  <c r="K106" i="8"/>
  <c r="O106" i="8"/>
  <c r="S106" i="8"/>
  <c r="W106" i="8"/>
  <c r="AD106" i="8" s="1"/>
  <c r="AA106" i="8"/>
  <c r="AG106" i="8" s="1"/>
  <c r="AI106" i="8"/>
  <c r="K107" i="8"/>
  <c r="O107" i="8"/>
  <c r="S107" i="8"/>
  <c r="W107" i="8"/>
  <c r="AD107" i="8" s="1"/>
  <c r="AA107" i="8"/>
  <c r="AG107" i="8" s="1"/>
  <c r="AI107" i="8"/>
  <c r="K108" i="8"/>
  <c r="O108" i="8"/>
  <c r="S108" i="8"/>
  <c r="W108" i="8"/>
  <c r="AD108" i="8" s="1"/>
  <c r="AA108" i="8"/>
  <c r="AG108" i="8" s="1"/>
  <c r="AI108" i="8"/>
  <c r="K109" i="8"/>
  <c r="O109" i="8"/>
  <c r="S109" i="8"/>
  <c r="W109" i="8"/>
  <c r="AD109" i="8" s="1"/>
  <c r="AA109" i="8"/>
  <c r="AG109" i="8" s="1"/>
  <c r="AI109" i="8"/>
  <c r="K110" i="8"/>
  <c r="O110" i="8"/>
  <c r="S110" i="8"/>
  <c r="W110" i="8"/>
  <c r="AD110" i="8" s="1"/>
  <c r="AA110" i="8"/>
  <c r="AG110" i="8" s="1"/>
  <c r="AI110" i="8"/>
  <c r="K111" i="8"/>
  <c r="O111" i="8"/>
  <c r="S111" i="8"/>
  <c r="W111" i="8"/>
  <c r="AD111" i="8" s="1"/>
  <c r="AA111" i="8"/>
  <c r="AG111" i="8" s="1"/>
  <c r="AI111" i="8"/>
  <c r="K112" i="8"/>
  <c r="O112" i="8"/>
  <c r="S112" i="8"/>
  <c r="W112" i="8"/>
  <c r="AD112" i="8" s="1"/>
  <c r="AA112" i="8"/>
  <c r="AG112" i="8" s="1"/>
  <c r="AI112" i="8"/>
  <c r="K113" i="8"/>
  <c r="O113" i="8"/>
  <c r="S113" i="8"/>
  <c r="W113" i="8"/>
  <c r="AD113" i="8" s="1"/>
  <c r="AA113" i="8"/>
  <c r="AG113" i="8" s="1"/>
  <c r="AI113" i="8"/>
  <c r="K114" i="8"/>
  <c r="O114" i="8"/>
  <c r="S114" i="8"/>
  <c r="W114" i="8"/>
  <c r="AD114" i="8" s="1"/>
  <c r="AA114" i="8"/>
  <c r="AG114" i="8" s="1"/>
  <c r="AI114" i="8"/>
  <c r="K115" i="8"/>
  <c r="O115" i="8"/>
  <c r="S115" i="8"/>
  <c r="W115" i="8"/>
  <c r="AD115" i="8" s="1"/>
  <c r="AA115" i="8"/>
  <c r="AG115" i="8" s="1"/>
  <c r="AI115" i="8"/>
  <c r="K116" i="8"/>
  <c r="O116" i="8"/>
  <c r="S116" i="8"/>
  <c r="W116" i="8"/>
  <c r="AD116" i="8" s="1"/>
  <c r="AA116" i="8"/>
  <c r="AG116" i="8" s="1"/>
  <c r="AI116" i="8"/>
  <c r="K117" i="8"/>
  <c r="O117" i="8"/>
  <c r="S117" i="8"/>
  <c r="W117" i="8"/>
  <c r="AD117" i="8" s="1"/>
  <c r="AA117" i="8"/>
  <c r="AG117" i="8" s="1"/>
  <c r="AI117" i="8"/>
  <c r="K118" i="8"/>
  <c r="O118" i="8"/>
  <c r="S118" i="8"/>
  <c r="W118" i="8"/>
  <c r="AD118" i="8" s="1"/>
  <c r="AA118" i="8"/>
  <c r="AG118" i="8" s="1"/>
  <c r="AI118" i="8"/>
  <c r="K119" i="8"/>
  <c r="O119" i="8"/>
  <c r="S119" i="8"/>
  <c r="W119" i="8"/>
  <c r="AD119" i="8" s="1"/>
  <c r="AA119" i="8"/>
  <c r="AG119" i="8" s="1"/>
  <c r="AI119" i="8"/>
  <c r="K120" i="8"/>
  <c r="O120" i="8"/>
  <c r="S120" i="8"/>
  <c r="W120" i="8"/>
  <c r="AD120" i="8" s="1"/>
  <c r="AA120" i="8"/>
  <c r="AG120" i="8" s="1"/>
  <c r="AI120" i="8"/>
  <c r="K121" i="8"/>
  <c r="O121" i="8"/>
  <c r="S121" i="8"/>
  <c r="W121" i="8"/>
  <c r="AD121" i="8" s="1"/>
  <c r="AA121" i="8"/>
  <c r="AG121" i="8" s="1"/>
  <c r="AI121" i="8"/>
  <c r="K122" i="8"/>
  <c r="O122" i="8"/>
  <c r="S122" i="8"/>
  <c r="W122" i="8"/>
  <c r="AD122" i="8" s="1"/>
  <c r="AA122" i="8"/>
  <c r="AG122" i="8" s="1"/>
  <c r="AI122" i="8"/>
  <c r="K123" i="8"/>
  <c r="O123" i="8"/>
  <c r="S123" i="8"/>
  <c r="W123" i="8"/>
  <c r="AD123" i="8" s="1"/>
  <c r="AA123" i="8"/>
  <c r="AG123" i="8" s="1"/>
  <c r="AI123" i="8"/>
  <c r="K124" i="8"/>
  <c r="O124" i="8"/>
  <c r="S124" i="8"/>
  <c r="W124" i="8"/>
  <c r="AD124" i="8" s="1"/>
  <c r="AA124" i="8"/>
  <c r="AG124" i="8" s="1"/>
  <c r="AI124" i="8"/>
  <c r="K125" i="8"/>
  <c r="O125" i="8"/>
  <c r="S125" i="8"/>
  <c r="W125" i="8"/>
  <c r="AD125" i="8" s="1"/>
  <c r="AA125" i="8"/>
  <c r="AG125" i="8" s="1"/>
  <c r="AI125" i="8"/>
  <c r="K126" i="8"/>
  <c r="O126" i="8"/>
  <c r="S126" i="8"/>
  <c r="W126" i="8"/>
  <c r="AD126" i="8" s="1"/>
  <c r="AA126" i="8"/>
  <c r="AG126" i="8" s="1"/>
  <c r="AI126" i="8"/>
  <c r="K127" i="8"/>
  <c r="O127" i="8"/>
  <c r="S127" i="8"/>
  <c r="W127" i="8"/>
  <c r="AD127" i="8" s="1"/>
  <c r="AA127" i="8"/>
  <c r="AG127" i="8" s="1"/>
  <c r="AI127" i="8"/>
  <c r="K128" i="8"/>
  <c r="O128" i="8"/>
  <c r="S128" i="8"/>
  <c r="W128" i="8"/>
  <c r="AD128" i="8" s="1"/>
  <c r="AA128" i="8"/>
  <c r="AG128" i="8" s="1"/>
  <c r="AI128" i="8"/>
  <c r="K129" i="8"/>
  <c r="O129" i="8"/>
  <c r="S129" i="8"/>
  <c r="W129" i="8"/>
  <c r="AD129" i="8" s="1"/>
  <c r="AA129" i="8"/>
  <c r="AG129" i="8" s="1"/>
  <c r="AI129" i="8"/>
  <c r="K130" i="8"/>
  <c r="O130" i="8"/>
  <c r="S130" i="8"/>
  <c r="W130" i="8"/>
  <c r="AD130" i="8" s="1"/>
  <c r="AA130" i="8"/>
  <c r="AG130" i="8" s="1"/>
  <c r="AI130" i="8"/>
  <c r="K131" i="8"/>
  <c r="O131" i="8"/>
  <c r="S131" i="8"/>
  <c r="W131" i="8"/>
  <c r="AD131" i="8" s="1"/>
  <c r="AA131" i="8"/>
  <c r="AG131" i="8" s="1"/>
  <c r="AI131" i="8"/>
  <c r="K132" i="8"/>
  <c r="O132" i="8"/>
  <c r="S132" i="8"/>
  <c r="W132" i="8"/>
  <c r="AD132" i="8" s="1"/>
  <c r="AA132" i="8"/>
  <c r="AG132" i="8" s="1"/>
  <c r="AI132" i="8"/>
  <c r="K133" i="8"/>
  <c r="O133" i="8"/>
  <c r="S133" i="8"/>
  <c r="W133" i="8"/>
  <c r="AD133" i="8" s="1"/>
  <c r="AA133" i="8"/>
  <c r="AG133" i="8" s="1"/>
  <c r="AI133" i="8"/>
  <c r="K134" i="8"/>
  <c r="O134" i="8"/>
  <c r="S134" i="8"/>
  <c r="W134" i="8"/>
  <c r="AD134" i="8" s="1"/>
  <c r="AA134" i="8"/>
  <c r="AG134" i="8" s="1"/>
  <c r="AI134" i="8"/>
  <c r="K135" i="8"/>
  <c r="O135" i="8"/>
  <c r="S135" i="8"/>
  <c r="W135" i="8"/>
  <c r="AD135" i="8" s="1"/>
  <c r="AA135" i="8"/>
  <c r="AG135" i="8" s="1"/>
  <c r="AI135" i="8"/>
  <c r="K136" i="8"/>
  <c r="O136" i="8"/>
  <c r="S136" i="8"/>
  <c r="W136" i="8"/>
  <c r="AD136" i="8" s="1"/>
  <c r="AA136" i="8"/>
  <c r="AG136" i="8" s="1"/>
  <c r="AI136" i="8"/>
  <c r="K137" i="8"/>
  <c r="O137" i="8"/>
  <c r="S137" i="8"/>
  <c r="W137" i="8"/>
  <c r="AD137" i="8" s="1"/>
  <c r="AA137" i="8"/>
  <c r="AG137" i="8" s="1"/>
  <c r="AI137" i="8"/>
  <c r="K138" i="8"/>
  <c r="O138" i="8"/>
  <c r="S138" i="8"/>
  <c r="W138" i="8"/>
  <c r="AD138" i="8" s="1"/>
  <c r="AA138" i="8"/>
  <c r="AG138" i="8" s="1"/>
  <c r="AI138" i="8"/>
  <c r="K139" i="8"/>
  <c r="O139" i="8"/>
  <c r="S139" i="8"/>
  <c r="W139" i="8"/>
  <c r="AD139" i="8" s="1"/>
  <c r="AA139" i="8"/>
  <c r="AG139" i="8" s="1"/>
  <c r="AI139" i="8"/>
  <c r="K140" i="8"/>
  <c r="O140" i="8"/>
  <c r="S140" i="8"/>
  <c r="W140" i="8"/>
  <c r="AD140" i="8" s="1"/>
  <c r="AA140" i="8"/>
  <c r="AG140" i="8" s="1"/>
  <c r="AI140" i="8"/>
  <c r="K141" i="8"/>
  <c r="O141" i="8"/>
  <c r="S141" i="8"/>
  <c r="W141" i="8"/>
  <c r="AD141" i="8" s="1"/>
  <c r="AA141" i="8"/>
  <c r="AG141" i="8" s="1"/>
  <c r="AI141" i="8"/>
  <c r="K142" i="8"/>
  <c r="O142" i="8"/>
  <c r="S142" i="8"/>
  <c r="W142" i="8"/>
  <c r="AD142" i="8" s="1"/>
  <c r="AA142" i="8"/>
  <c r="AG142" i="8" s="1"/>
  <c r="AI142" i="8"/>
  <c r="K143" i="8"/>
  <c r="O143" i="8"/>
  <c r="S143" i="8"/>
  <c r="W143" i="8"/>
  <c r="AD143" i="8" s="1"/>
  <c r="AA143" i="8"/>
  <c r="AG143" i="8" s="1"/>
  <c r="AI143" i="8"/>
  <c r="K144" i="8"/>
  <c r="O144" i="8"/>
  <c r="S144" i="8"/>
  <c r="W144" i="8"/>
  <c r="AD144" i="8" s="1"/>
  <c r="AA144" i="8"/>
  <c r="AG144" i="8" s="1"/>
  <c r="AI144" i="8"/>
  <c r="K145" i="8"/>
  <c r="O145" i="8"/>
  <c r="S145" i="8"/>
  <c r="W145" i="8"/>
  <c r="AD145" i="8" s="1"/>
  <c r="AA145" i="8"/>
  <c r="AG145" i="8" s="1"/>
  <c r="AI145" i="8"/>
  <c r="K146" i="8"/>
  <c r="O146" i="8"/>
  <c r="S146" i="8"/>
  <c r="W146" i="8"/>
  <c r="AD146" i="8" s="1"/>
  <c r="AA146" i="8"/>
  <c r="AG146" i="8" s="1"/>
  <c r="AI146" i="8"/>
  <c r="K147" i="8"/>
  <c r="O147" i="8"/>
  <c r="S147" i="8"/>
  <c r="W147" i="8"/>
  <c r="AD147" i="8" s="1"/>
  <c r="AA147" i="8"/>
  <c r="AG147" i="8" s="1"/>
  <c r="AI147" i="8"/>
  <c r="K148" i="8"/>
  <c r="O148" i="8"/>
  <c r="S148" i="8"/>
  <c r="W148" i="8"/>
  <c r="AD148" i="8" s="1"/>
  <c r="AA148" i="8"/>
  <c r="AG148" i="8" s="1"/>
  <c r="AI148" i="8"/>
  <c r="K149" i="8"/>
  <c r="O149" i="8"/>
  <c r="S149" i="8"/>
  <c r="W149" i="8"/>
  <c r="AD149" i="8" s="1"/>
  <c r="AA149" i="8"/>
  <c r="AG149" i="8" s="1"/>
  <c r="AI149" i="8"/>
  <c r="K150" i="8"/>
  <c r="O150" i="8"/>
  <c r="S150" i="8"/>
  <c r="W150" i="8"/>
  <c r="AD150" i="8" s="1"/>
  <c r="AA150" i="8"/>
  <c r="AG150" i="8" s="1"/>
  <c r="AI150" i="8"/>
  <c r="K151" i="8"/>
  <c r="O151" i="8"/>
  <c r="S151" i="8"/>
  <c r="W151" i="8"/>
  <c r="AD151" i="8" s="1"/>
  <c r="AA151" i="8"/>
  <c r="AG151" i="8" s="1"/>
  <c r="AI151" i="8"/>
  <c r="K152" i="8"/>
  <c r="O152" i="8"/>
  <c r="S152" i="8"/>
  <c r="W152" i="8"/>
  <c r="AD152" i="8" s="1"/>
  <c r="AA152" i="8"/>
  <c r="AG152" i="8" s="1"/>
  <c r="AI152" i="8"/>
  <c r="K153" i="8"/>
  <c r="O153" i="8"/>
  <c r="S153" i="8"/>
  <c r="W153" i="8"/>
  <c r="AD153" i="8" s="1"/>
  <c r="AA153" i="8"/>
  <c r="AG153" i="8" s="1"/>
  <c r="AI153" i="8"/>
  <c r="K154" i="8"/>
  <c r="O154" i="8"/>
  <c r="S154" i="8"/>
  <c r="W154" i="8"/>
  <c r="AD154" i="8" s="1"/>
  <c r="AA154" i="8"/>
  <c r="AG154" i="8" s="1"/>
  <c r="AI154" i="8"/>
  <c r="K155" i="8"/>
  <c r="O155" i="8"/>
  <c r="S155" i="8"/>
  <c r="W155" i="8"/>
  <c r="AD155" i="8" s="1"/>
  <c r="AA155" i="8"/>
  <c r="AG155" i="8" s="1"/>
  <c r="AI155" i="8"/>
  <c r="K156" i="8"/>
  <c r="O156" i="8"/>
  <c r="S156" i="8"/>
  <c r="W156" i="8"/>
  <c r="AD156" i="8" s="1"/>
  <c r="AA156" i="8"/>
  <c r="AG156" i="8" s="1"/>
  <c r="AI156" i="8"/>
  <c r="K157" i="8"/>
  <c r="O157" i="8"/>
  <c r="S157" i="8"/>
  <c r="W157" i="8"/>
  <c r="AD157" i="8" s="1"/>
  <c r="AA157" i="8"/>
  <c r="AG157" i="8" s="1"/>
  <c r="AI157" i="8"/>
  <c r="K158" i="8"/>
  <c r="O158" i="8"/>
  <c r="S158" i="8"/>
  <c r="W158" i="8"/>
  <c r="AD158" i="8" s="1"/>
  <c r="AA158" i="8"/>
  <c r="AG158" i="8" s="1"/>
  <c r="AI158" i="8"/>
  <c r="K159" i="8"/>
  <c r="O159" i="8"/>
  <c r="S159" i="8"/>
  <c r="W159" i="8"/>
  <c r="AD159" i="8" s="1"/>
  <c r="AA159" i="8"/>
  <c r="AG159" i="8" s="1"/>
  <c r="AI159" i="8"/>
  <c r="K160" i="8"/>
  <c r="O160" i="8"/>
  <c r="S160" i="8"/>
  <c r="W160" i="8"/>
  <c r="AD160" i="8" s="1"/>
  <c r="AA160" i="8"/>
  <c r="AG160" i="8" s="1"/>
  <c r="AI160" i="8"/>
  <c r="K161" i="8"/>
  <c r="O161" i="8"/>
  <c r="S161" i="8"/>
  <c r="W161" i="8"/>
  <c r="AD161" i="8" s="1"/>
  <c r="AA161" i="8"/>
  <c r="AG161" i="8" s="1"/>
  <c r="AI161" i="8"/>
  <c r="K162" i="8"/>
  <c r="O162" i="8"/>
  <c r="S162" i="8"/>
  <c r="W162" i="8"/>
  <c r="AD162" i="8" s="1"/>
  <c r="AA162" i="8"/>
  <c r="AG162" i="8" s="1"/>
  <c r="AI162" i="8"/>
  <c r="K163" i="8"/>
  <c r="O163" i="8"/>
  <c r="S163" i="8"/>
  <c r="W163" i="8"/>
  <c r="AD163" i="8" s="1"/>
  <c r="AA163" i="8"/>
  <c r="AG163" i="8" s="1"/>
  <c r="AI163" i="8"/>
  <c r="K164" i="8"/>
  <c r="O164" i="8"/>
  <c r="S164" i="8"/>
  <c r="W164" i="8"/>
  <c r="AD164" i="8" s="1"/>
  <c r="AA164" i="8"/>
  <c r="AG164" i="8" s="1"/>
  <c r="AI164" i="8"/>
  <c r="K165" i="8"/>
  <c r="O165" i="8"/>
  <c r="S165" i="8"/>
  <c r="W165" i="8"/>
  <c r="AD165" i="8" s="1"/>
  <c r="AA165" i="8"/>
  <c r="AG165" i="8" s="1"/>
  <c r="AI165" i="8"/>
  <c r="K166" i="8"/>
  <c r="O166" i="8"/>
  <c r="S166" i="8"/>
  <c r="W166" i="8"/>
  <c r="AD166" i="8" s="1"/>
  <c r="AA166" i="8"/>
  <c r="AG166" i="8" s="1"/>
  <c r="AI166" i="8"/>
  <c r="K167" i="8"/>
  <c r="O167" i="8"/>
  <c r="S167" i="8"/>
  <c r="W167" i="8"/>
  <c r="AD167" i="8" s="1"/>
  <c r="AA167" i="8"/>
  <c r="AG167" i="8" s="1"/>
  <c r="AI167" i="8"/>
  <c r="K168" i="8"/>
  <c r="O168" i="8"/>
  <c r="S168" i="8"/>
  <c r="W168" i="8"/>
  <c r="AD168" i="8" s="1"/>
  <c r="AA168" i="8"/>
  <c r="AG168" i="8" s="1"/>
  <c r="AI168" i="8"/>
  <c r="K169" i="8"/>
  <c r="O169" i="8"/>
  <c r="S169" i="8"/>
  <c r="W169" i="8"/>
  <c r="AD169" i="8" s="1"/>
  <c r="AA169" i="8"/>
  <c r="AG169" i="8" s="1"/>
  <c r="AI169" i="8"/>
  <c r="K170" i="8"/>
  <c r="O170" i="8"/>
  <c r="S170" i="8"/>
  <c r="W170" i="8"/>
  <c r="AD170" i="8" s="1"/>
  <c r="AA170" i="8"/>
  <c r="AG170" i="8" s="1"/>
  <c r="AI170" i="8"/>
  <c r="K171" i="8"/>
  <c r="O171" i="8"/>
  <c r="S171" i="8"/>
  <c r="W171" i="8"/>
  <c r="AD171" i="8" s="1"/>
  <c r="AA171" i="8"/>
  <c r="AG171" i="8" s="1"/>
  <c r="AI171" i="8"/>
  <c r="K172" i="8"/>
  <c r="O172" i="8"/>
  <c r="S172" i="8"/>
  <c r="W172" i="8"/>
  <c r="AD172" i="8" s="1"/>
  <c r="AA172" i="8"/>
  <c r="AG172" i="8" s="1"/>
  <c r="AI172" i="8"/>
  <c r="K173" i="8"/>
  <c r="O173" i="8"/>
  <c r="S173" i="8"/>
  <c r="W173" i="8"/>
  <c r="AD173" i="8" s="1"/>
  <c r="AA173" i="8"/>
  <c r="AG173" i="8" s="1"/>
  <c r="AI173" i="8"/>
  <c r="K174" i="8"/>
  <c r="O174" i="8"/>
  <c r="S174" i="8"/>
  <c r="W174" i="8"/>
  <c r="AD174" i="8" s="1"/>
  <c r="AA174" i="8"/>
  <c r="AG174" i="8" s="1"/>
  <c r="AI174" i="8"/>
  <c r="K175" i="8"/>
  <c r="O175" i="8"/>
  <c r="S175" i="8"/>
  <c r="W175" i="8"/>
  <c r="AD175" i="8" s="1"/>
  <c r="AA175" i="8"/>
  <c r="AG175" i="8" s="1"/>
  <c r="AI175" i="8"/>
  <c r="K176" i="8"/>
  <c r="O176" i="8"/>
  <c r="S176" i="8"/>
  <c r="W176" i="8"/>
  <c r="AD176" i="8" s="1"/>
  <c r="AA176" i="8"/>
  <c r="AG176" i="8" s="1"/>
  <c r="AI176" i="8"/>
  <c r="K177" i="8"/>
  <c r="O177" i="8"/>
  <c r="S177" i="8"/>
  <c r="W177" i="8"/>
  <c r="AD177" i="8" s="1"/>
  <c r="AA177" i="8"/>
  <c r="AG177" i="8" s="1"/>
  <c r="AI177" i="8"/>
  <c r="K178" i="8"/>
  <c r="O178" i="8"/>
  <c r="S178" i="8"/>
  <c r="W178" i="8"/>
  <c r="AD178" i="8" s="1"/>
  <c r="AA178" i="8"/>
  <c r="AG178" i="8" s="1"/>
  <c r="AI178" i="8"/>
  <c r="K179" i="8"/>
  <c r="O179" i="8"/>
  <c r="S179" i="8"/>
  <c r="W179" i="8"/>
  <c r="AD179" i="8" s="1"/>
  <c r="AA179" i="8"/>
  <c r="AG179" i="8" s="1"/>
  <c r="AI179" i="8"/>
  <c r="K180" i="8"/>
  <c r="O180" i="8"/>
  <c r="S180" i="8"/>
  <c r="W180" i="8"/>
  <c r="AD180" i="8" s="1"/>
  <c r="AA180" i="8"/>
  <c r="AG180" i="8" s="1"/>
  <c r="AI180" i="8"/>
  <c r="K181" i="8"/>
  <c r="O181" i="8"/>
  <c r="S181" i="8"/>
  <c r="W181" i="8"/>
  <c r="AD181" i="8" s="1"/>
  <c r="AA181" i="8"/>
  <c r="AG181" i="8" s="1"/>
  <c r="AI181" i="8"/>
  <c r="K182" i="8"/>
  <c r="O182" i="8"/>
  <c r="S182" i="8"/>
  <c r="W182" i="8"/>
  <c r="AD182" i="8" s="1"/>
  <c r="AA182" i="8"/>
  <c r="AG182" i="8" s="1"/>
  <c r="AI182" i="8"/>
  <c r="K183" i="8"/>
  <c r="O183" i="8"/>
  <c r="S183" i="8"/>
  <c r="W183" i="8"/>
  <c r="AD183" i="8" s="1"/>
  <c r="AA183" i="8"/>
  <c r="AG183" i="8" s="1"/>
  <c r="AI183" i="8"/>
  <c r="K184" i="8"/>
  <c r="O184" i="8"/>
  <c r="S184" i="8"/>
  <c r="W184" i="8"/>
  <c r="AD184" i="8" s="1"/>
  <c r="AA184" i="8"/>
  <c r="AG184" i="8" s="1"/>
  <c r="AI184" i="8"/>
  <c r="K185" i="8"/>
  <c r="O185" i="8"/>
  <c r="S185" i="8"/>
  <c r="W185" i="8"/>
  <c r="AD185" i="8" s="1"/>
  <c r="AA185" i="8"/>
  <c r="AG185" i="8" s="1"/>
  <c r="AI185" i="8"/>
  <c r="K186" i="8"/>
  <c r="O186" i="8"/>
  <c r="S186" i="8"/>
  <c r="W186" i="8"/>
  <c r="AD186" i="8" s="1"/>
  <c r="AA186" i="8"/>
  <c r="AG186" i="8" s="1"/>
  <c r="AI186" i="8"/>
  <c r="K187" i="8"/>
  <c r="O187" i="8"/>
  <c r="S187" i="8"/>
  <c r="W187" i="8"/>
  <c r="AD187" i="8" s="1"/>
  <c r="AA187" i="8"/>
  <c r="AG187" i="8" s="1"/>
  <c r="AI187" i="8"/>
  <c r="K188" i="8"/>
  <c r="O188" i="8"/>
  <c r="S188" i="8"/>
  <c r="W188" i="8"/>
  <c r="AD188" i="8" s="1"/>
  <c r="AA188" i="8"/>
  <c r="AG188" i="8" s="1"/>
  <c r="AI188" i="8"/>
  <c r="K189" i="8"/>
  <c r="O189" i="8"/>
  <c r="S189" i="8"/>
  <c r="W189" i="8"/>
  <c r="AD189" i="8" s="1"/>
  <c r="AA189" i="8"/>
  <c r="AG189" i="8" s="1"/>
  <c r="AI189" i="8"/>
  <c r="K190" i="8"/>
  <c r="O190" i="8"/>
  <c r="S190" i="8"/>
  <c r="W190" i="8"/>
  <c r="AD190" i="8" s="1"/>
  <c r="AA190" i="8"/>
  <c r="AG190" i="8" s="1"/>
  <c r="AI190" i="8"/>
  <c r="K191" i="8"/>
  <c r="O191" i="8"/>
  <c r="S191" i="8"/>
  <c r="W191" i="8"/>
  <c r="AD191" i="8" s="1"/>
  <c r="AA191" i="8"/>
  <c r="AG191" i="8" s="1"/>
  <c r="AI191" i="8"/>
  <c r="K192" i="8"/>
  <c r="O192" i="8"/>
  <c r="S192" i="8"/>
  <c r="W192" i="8"/>
  <c r="AD192" i="8" s="1"/>
  <c r="AA192" i="8"/>
  <c r="AG192" i="8" s="1"/>
  <c r="AI192" i="8"/>
  <c r="K193" i="8"/>
  <c r="O193" i="8"/>
  <c r="S193" i="8"/>
  <c r="W193" i="8"/>
  <c r="AD193" i="8" s="1"/>
  <c r="AA193" i="8"/>
  <c r="AG193" i="8" s="1"/>
  <c r="AI193" i="8"/>
  <c r="K194" i="8"/>
  <c r="O194" i="8"/>
  <c r="S194" i="8"/>
  <c r="W194" i="8"/>
  <c r="AD194" i="8" s="1"/>
  <c r="AA194" i="8"/>
  <c r="AG194" i="8" s="1"/>
  <c r="AI194" i="8"/>
  <c r="K195" i="8"/>
  <c r="O195" i="8"/>
  <c r="S195" i="8"/>
  <c r="W195" i="8"/>
  <c r="AD195" i="8" s="1"/>
  <c r="AA195" i="8"/>
  <c r="AG195" i="8" s="1"/>
  <c r="AI195" i="8"/>
  <c r="K196" i="8"/>
  <c r="O196" i="8"/>
  <c r="S196" i="8"/>
  <c r="W196" i="8"/>
  <c r="AD196" i="8" s="1"/>
  <c r="AA196" i="8"/>
  <c r="AG196" i="8" s="1"/>
  <c r="AI196" i="8"/>
  <c r="K197" i="8"/>
  <c r="O197" i="8"/>
  <c r="S197" i="8"/>
  <c r="W197" i="8"/>
  <c r="AD197" i="8" s="1"/>
  <c r="AA197" i="8"/>
  <c r="AG197" i="8" s="1"/>
  <c r="AI197" i="8"/>
  <c r="K198" i="8"/>
  <c r="O198" i="8"/>
  <c r="S198" i="8"/>
  <c r="W198" i="8"/>
  <c r="AD198" i="8" s="1"/>
  <c r="AA198" i="8"/>
  <c r="AG198" i="8" s="1"/>
  <c r="AI198" i="8"/>
  <c r="K199" i="8"/>
  <c r="O199" i="8"/>
  <c r="S199" i="8"/>
  <c r="W199" i="8"/>
  <c r="AD199" i="8" s="1"/>
  <c r="AA199" i="8"/>
  <c r="AG199" i="8" s="1"/>
  <c r="AI199" i="8"/>
  <c r="K200" i="8"/>
  <c r="O200" i="8"/>
  <c r="S200" i="8"/>
  <c r="W200" i="8"/>
  <c r="AD200" i="8" s="1"/>
  <c r="AA200" i="8"/>
  <c r="AG200" i="8" s="1"/>
  <c r="AI200" i="8"/>
  <c r="K201" i="8"/>
  <c r="O201" i="8"/>
  <c r="S201" i="8"/>
  <c r="W201" i="8"/>
  <c r="AD201" i="8" s="1"/>
  <c r="AA201" i="8"/>
  <c r="AG201" i="8" s="1"/>
  <c r="AI201" i="8"/>
  <c r="K202" i="8"/>
  <c r="O202" i="8"/>
  <c r="S202" i="8"/>
  <c r="W202" i="8"/>
  <c r="AD202" i="8" s="1"/>
  <c r="AA202" i="8"/>
  <c r="AG202" i="8" s="1"/>
  <c r="AI202" i="8"/>
  <c r="K203" i="8"/>
  <c r="O203" i="8"/>
  <c r="S203" i="8"/>
  <c r="W203" i="8"/>
  <c r="AD203" i="8" s="1"/>
  <c r="AA203" i="8"/>
  <c r="AG203" i="8" s="1"/>
  <c r="AI203" i="8"/>
  <c r="K204" i="8"/>
  <c r="O204" i="8"/>
  <c r="S204" i="8"/>
  <c r="W204" i="8"/>
  <c r="AD204" i="8" s="1"/>
  <c r="AA204" i="8"/>
  <c r="AG204" i="8" s="1"/>
  <c r="AI204" i="8"/>
  <c r="K205" i="8"/>
  <c r="O205" i="8"/>
  <c r="S205" i="8"/>
  <c r="W205" i="8"/>
  <c r="AD205" i="8" s="1"/>
  <c r="AA205" i="8"/>
  <c r="AG205" i="8" s="1"/>
  <c r="AI205" i="8"/>
  <c r="K206" i="8"/>
  <c r="O206" i="8"/>
  <c r="S206" i="8"/>
  <c r="W206" i="8"/>
  <c r="AD206" i="8" s="1"/>
  <c r="AA206" i="8"/>
  <c r="AG206" i="8" s="1"/>
  <c r="AI206" i="8"/>
  <c r="K207" i="8"/>
  <c r="O207" i="8"/>
  <c r="S207" i="8"/>
  <c r="W207" i="8"/>
  <c r="AD207" i="8" s="1"/>
  <c r="AA207" i="8"/>
  <c r="AG207" i="8" s="1"/>
  <c r="AI207" i="8"/>
  <c r="K208" i="8"/>
  <c r="O208" i="8"/>
  <c r="S208" i="8"/>
  <c r="W208" i="8"/>
  <c r="AD208" i="8" s="1"/>
  <c r="AA208" i="8"/>
  <c r="AG208" i="8" s="1"/>
  <c r="AI208" i="8"/>
  <c r="K209" i="8"/>
  <c r="O209" i="8"/>
  <c r="S209" i="8"/>
  <c r="W209" i="8"/>
  <c r="AD209" i="8" s="1"/>
  <c r="AA209" i="8"/>
  <c r="AG209" i="8" s="1"/>
  <c r="AI209" i="8"/>
  <c r="K210" i="8"/>
  <c r="O210" i="8"/>
  <c r="S210" i="8"/>
  <c r="W210" i="8"/>
  <c r="AD210" i="8" s="1"/>
  <c r="AA210" i="8"/>
  <c r="AG210" i="8" s="1"/>
  <c r="AI210" i="8"/>
  <c r="K211" i="8"/>
  <c r="O211" i="8"/>
  <c r="S211" i="8"/>
  <c r="W211" i="8"/>
  <c r="AD211" i="8" s="1"/>
  <c r="AA211" i="8"/>
  <c r="AG211" i="8" s="1"/>
  <c r="AI211" i="8"/>
  <c r="K212" i="8"/>
  <c r="O212" i="8"/>
  <c r="S212" i="8"/>
  <c r="W212" i="8"/>
  <c r="AD212" i="8" s="1"/>
  <c r="AA212" i="8"/>
  <c r="AG212" i="8" s="1"/>
  <c r="AI212" i="8"/>
  <c r="K213" i="8"/>
  <c r="O213" i="8"/>
  <c r="S213" i="8"/>
  <c r="W213" i="8"/>
  <c r="AD213" i="8" s="1"/>
  <c r="AA213" i="8"/>
  <c r="AG213" i="8" s="1"/>
  <c r="AI213" i="8"/>
  <c r="K214" i="8"/>
  <c r="O214" i="8"/>
  <c r="S214" i="8"/>
  <c r="W214" i="8"/>
  <c r="AD214" i="8" s="1"/>
  <c r="AA214" i="8"/>
  <c r="AG214" i="8" s="1"/>
  <c r="AI214" i="8"/>
  <c r="K215" i="8"/>
  <c r="O215" i="8"/>
  <c r="S215" i="8"/>
  <c r="W215" i="8"/>
  <c r="AD215" i="8" s="1"/>
  <c r="AA215" i="8"/>
  <c r="AG215" i="8" s="1"/>
  <c r="AI215" i="8"/>
  <c r="K216" i="8"/>
  <c r="O216" i="8"/>
  <c r="S216" i="8"/>
  <c r="W216" i="8"/>
  <c r="AD216" i="8" s="1"/>
  <c r="AA216" i="8"/>
  <c r="AG216" i="8" s="1"/>
  <c r="AI216" i="8"/>
  <c r="K217" i="8"/>
  <c r="O217" i="8"/>
  <c r="S217" i="8"/>
  <c r="W217" i="8"/>
  <c r="AD217" i="8" s="1"/>
  <c r="AA217" i="8"/>
  <c r="AG217" i="8" s="1"/>
  <c r="AI217" i="8"/>
  <c r="K218" i="8"/>
  <c r="O218" i="8"/>
  <c r="S218" i="8"/>
  <c r="W218" i="8"/>
  <c r="AD218" i="8" s="1"/>
  <c r="AA218" i="8"/>
  <c r="AG218" i="8" s="1"/>
  <c r="AI218" i="8"/>
  <c r="K219" i="8"/>
  <c r="O219" i="8"/>
  <c r="S219" i="8"/>
  <c r="W219" i="8"/>
  <c r="AD219" i="8" s="1"/>
  <c r="AA219" i="8"/>
  <c r="AG219" i="8" s="1"/>
  <c r="AI219" i="8"/>
  <c r="K220" i="8"/>
  <c r="O220" i="8"/>
  <c r="S220" i="8"/>
  <c r="W220" i="8"/>
  <c r="AD220" i="8" s="1"/>
  <c r="AA220" i="8"/>
  <c r="AG220" i="8" s="1"/>
  <c r="AI220" i="8"/>
  <c r="K221" i="8"/>
  <c r="O221" i="8"/>
  <c r="S221" i="8"/>
  <c r="W221" i="8"/>
  <c r="AD221" i="8" s="1"/>
  <c r="AA221" i="8"/>
  <c r="AG221" i="8" s="1"/>
  <c r="AI221" i="8"/>
  <c r="K222" i="8"/>
  <c r="O222" i="8"/>
  <c r="S222" i="8"/>
  <c r="W222" i="8"/>
  <c r="AD222" i="8" s="1"/>
  <c r="AA222" i="8"/>
  <c r="AG222" i="8" s="1"/>
  <c r="AI222" i="8"/>
  <c r="K223" i="8"/>
  <c r="O223" i="8"/>
  <c r="S223" i="8"/>
  <c r="W223" i="8"/>
  <c r="AD223" i="8" s="1"/>
  <c r="AA223" i="8"/>
  <c r="AG223" i="8" s="1"/>
  <c r="AI223" i="8"/>
  <c r="K224" i="8"/>
  <c r="O224" i="8"/>
  <c r="S224" i="8"/>
  <c r="W224" i="8"/>
  <c r="AD224" i="8" s="1"/>
  <c r="AA224" i="8"/>
  <c r="AG224" i="8" s="1"/>
  <c r="AI224" i="8"/>
  <c r="K225" i="8"/>
  <c r="O225" i="8"/>
  <c r="S225" i="8"/>
  <c r="W225" i="8"/>
  <c r="AD225" i="8" s="1"/>
  <c r="AA225" i="8"/>
  <c r="AG225" i="8" s="1"/>
  <c r="AI225" i="8"/>
  <c r="K226" i="8"/>
  <c r="O226" i="8"/>
  <c r="S226" i="8"/>
  <c r="W226" i="8"/>
  <c r="AD226" i="8" s="1"/>
  <c r="AA226" i="8"/>
  <c r="AG226" i="8" s="1"/>
  <c r="AI226" i="8"/>
  <c r="K227" i="8"/>
  <c r="O227" i="8"/>
  <c r="S227" i="8"/>
  <c r="W227" i="8"/>
  <c r="AD227" i="8" s="1"/>
  <c r="AA227" i="8"/>
  <c r="AG227" i="8" s="1"/>
  <c r="AI227" i="8"/>
  <c r="K228" i="8"/>
  <c r="O228" i="8"/>
  <c r="S228" i="8"/>
  <c r="W228" i="8"/>
  <c r="AD228" i="8" s="1"/>
  <c r="AA228" i="8"/>
  <c r="AG228" i="8" s="1"/>
  <c r="AI228" i="8"/>
  <c r="K229" i="8"/>
  <c r="O229" i="8"/>
  <c r="S229" i="8"/>
  <c r="W229" i="8"/>
  <c r="AD229" i="8" s="1"/>
  <c r="AA229" i="8"/>
  <c r="AG229" i="8" s="1"/>
  <c r="AI229" i="8"/>
  <c r="K230" i="8"/>
  <c r="O230" i="8"/>
  <c r="S230" i="8"/>
  <c r="W230" i="8"/>
  <c r="AD230" i="8" s="1"/>
  <c r="AA230" i="8"/>
  <c r="AG230" i="8" s="1"/>
  <c r="AI230" i="8"/>
  <c r="K231" i="8"/>
  <c r="O231" i="8"/>
  <c r="S231" i="8"/>
  <c r="W231" i="8"/>
  <c r="AD231" i="8" s="1"/>
  <c r="AA231" i="8"/>
  <c r="AG231" i="8" s="1"/>
  <c r="AI231" i="8"/>
  <c r="K232" i="8"/>
  <c r="O232" i="8"/>
  <c r="S232" i="8"/>
  <c r="W232" i="8"/>
  <c r="AD232" i="8" s="1"/>
  <c r="AA232" i="8"/>
  <c r="AG232" i="8" s="1"/>
  <c r="AI232" i="8"/>
  <c r="K233" i="8"/>
  <c r="O233" i="8"/>
  <c r="S233" i="8"/>
  <c r="W233" i="8"/>
  <c r="AD233" i="8" s="1"/>
  <c r="AA233" i="8"/>
  <c r="AG233" i="8" s="1"/>
  <c r="AI233" i="8"/>
  <c r="K234" i="8"/>
  <c r="O234" i="8"/>
  <c r="S234" i="8"/>
  <c r="W234" i="8"/>
  <c r="AD234" i="8" s="1"/>
  <c r="AA234" i="8"/>
  <c r="AG234" i="8" s="1"/>
  <c r="AI234" i="8"/>
  <c r="K235" i="8"/>
  <c r="O235" i="8"/>
  <c r="S235" i="8"/>
  <c r="W235" i="8"/>
  <c r="AD235" i="8" s="1"/>
  <c r="AA235" i="8"/>
  <c r="AG235" i="8" s="1"/>
  <c r="AI235" i="8"/>
  <c r="K236" i="8"/>
  <c r="O236" i="8"/>
  <c r="S236" i="8"/>
  <c r="W236" i="8"/>
  <c r="AD236" i="8" s="1"/>
  <c r="AA236" i="8"/>
  <c r="AG236" i="8" s="1"/>
  <c r="AI236" i="8"/>
  <c r="K237" i="8"/>
  <c r="O237" i="8"/>
  <c r="S237" i="8"/>
  <c r="W237" i="8"/>
  <c r="AD237" i="8" s="1"/>
  <c r="AA237" i="8"/>
  <c r="AG237" i="8" s="1"/>
  <c r="AI237" i="8"/>
  <c r="K238" i="8"/>
  <c r="O238" i="8"/>
  <c r="S238" i="8"/>
  <c r="W238" i="8"/>
  <c r="AD238" i="8" s="1"/>
  <c r="AA238" i="8"/>
  <c r="AG238" i="8" s="1"/>
  <c r="AI238" i="8"/>
  <c r="K239" i="8"/>
  <c r="O239" i="8"/>
  <c r="S239" i="8"/>
  <c r="W239" i="8"/>
  <c r="AD239" i="8" s="1"/>
  <c r="AA239" i="8"/>
  <c r="AG239" i="8" s="1"/>
  <c r="AI239" i="8"/>
  <c r="K240" i="8"/>
  <c r="O240" i="8"/>
  <c r="S240" i="8"/>
  <c r="W240" i="8"/>
  <c r="AD240" i="8" s="1"/>
  <c r="AA240" i="8"/>
  <c r="AG240" i="8" s="1"/>
  <c r="AI240" i="8"/>
  <c r="K241" i="8"/>
  <c r="O241" i="8"/>
  <c r="S241" i="8"/>
  <c r="W241" i="8"/>
  <c r="AD241" i="8" s="1"/>
  <c r="AA241" i="8"/>
  <c r="AG241" i="8" s="1"/>
  <c r="AI241" i="8"/>
  <c r="K242" i="8"/>
  <c r="O242" i="8"/>
  <c r="S242" i="8"/>
  <c r="W242" i="8"/>
  <c r="AD242" i="8" s="1"/>
  <c r="AA242" i="8"/>
  <c r="AG242" i="8" s="1"/>
  <c r="AI242" i="8"/>
  <c r="K243" i="8"/>
  <c r="O243" i="8"/>
  <c r="S243" i="8"/>
  <c r="W243" i="8"/>
  <c r="AD243" i="8" s="1"/>
  <c r="AA243" i="8"/>
  <c r="AG243" i="8" s="1"/>
  <c r="AI243" i="8"/>
  <c r="K244" i="8"/>
  <c r="O244" i="8"/>
  <c r="S244" i="8"/>
  <c r="W244" i="8"/>
  <c r="AD244" i="8" s="1"/>
  <c r="AA244" i="8"/>
  <c r="AG244" i="8" s="1"/>
  <c r="AI244" i="8"/>
  <c r="K245" i="8"/>
  <c r="O245" i="8"/>
  <c r="S245" i="8"/>
  <c r="W245" i="8"/>
  <c r="AD245" i="8" s="1"/>
  <c r="AA245" i="8"/>
  <c r="AG245" i="8" s="1"/>
  <c r="AI245" i="8"/>
  <c r="K246" i="8"/>
  <c r="O246" i="8"/>
  <c r="S246" i="8"/>
  <c r="W246" i="8"/>
  <c r="AD246" i="8" s="1"/>
  <c r="AA246" i="8"/>
  <c r="AG246" i="8" s="1"/>
  <c r="AI246" i="8"/>
  <c r="K247" i="8"/>
  <c r="O247" i="8"/>
  <c r="S247" i="8"/>
  <c r="W247" i="8"/>
  <c r="AD247" i="8" s="1"/>
  <c r="AA247" i="8"/>
  <c r="AG247" i="8" s="1"/>
  <c r="AI247" i="8"/>
  <c r="K248" i="8"/>
  <c r="O248" i="8"/>
  <c r="S248" i="8"/>
  <c r="W248" i="8"/>
  <c r="AD248" i="8" s="1"/>
  <c r="AA248" i="8"/>
  <c r="AG248" i="8" s="1"/>
  <c r="AI248" i="8"/>
  <c r="K249" i="8"/>
  <c r="O249" i="8"/>
  <c r="S249" i="8"/>
  <c r="W249" i="8"/>
  <c r="AD249" i="8" s="1"/>
  <c r="AA249" i="8"/>
  <c r="AG249" i="8" s="1"/>
  <c r="AI249" i="8"/>
  <c r="K250" i="8"/>
  <c r="O250" i="8"/>
  <c r="S250" i="8"/>
  <c r="W250" i="8"/>
  <c r="AD250" i="8" s="1"/>
  <c r="AA250" i="8"/>
  <c r="AG250" i="8" s="1"/>
  <c r="AI250" i="8"/>
  <c r="K251" i="8"/>
  <c r="O251" i="8"/>
  <c r="S251" i="8"/>
  <c r="W251" i="8"/>
  <c r="AD251" i="8" s="1"/>
  <c r="AA251" i="8"/>
  <c r="AG251" i="8" s="1"/>
  <c r="AI251" i="8"/>
  <c r="K252" i="8"/>
  <c r="O252" i="8"/>
  <c r="S252" i="8"/>
  <c r="W252" i="8"/>
  <c r="AD252" i="8" s="1"/>
  <c r="AA252" i="8"/>
  <c r="AG252" i="8" s="1"/>
  <c r="AI252" i="8"/>
  <c r="K253" i="8"/>
  <c r="O253" i="8"/>
  <c r="S253" i="8"/>
  <c r="W253" i="8"/>
  <c r="AD253" i="8" s="1"/>
  <c r="AA253" i="8"/>
  <c r="AG253" i="8" s="1"/>
  <c r="AI253" i="8"/>
  <c r="K254" i="8"/>
  <c r="O254" i="8"/>
  <c r="S254" i="8"/>
  <c r="W254" i="8"/>
  <c r="AD254" i="8" s="1"/>
  <c r="AA254" i="8"/>
  <c r="AG254" i="8" s="1"/>
  <c r="AI254" i="8"/>
  <c r="K255" i="8"/>
  <c r="O255" i="8"/>
  <c r="S255" i="8"/>
  <c r="W255" i="8"/>
  <c r="AD255" i="8" s="1"/>
  <c r="AA255" i="8"/>
  <c r="AG255" i="8" s="1"/>
  <c r="AI255" i="8"/>
  <c r="K256" i="8"/>
  <c r="O256" i="8"/>
  <c r="S256" i="8"/>
  <c r="W256" i="8"/>
  <c r="AD256" i="8" s="1"/>
  <c r="AA256" i="8"/>
  <c r="AG256" i="8" s="1"/>
  <c r="AI256" i="8"/>
  <c r="K257" i="8"/>
  <c r="O257" i="8"/>
  <c r="S257" i="8"/>
  <c r="W257" i="8"/>
  <c r="AD257" i="8" s="1"/>
  <c r="AA257" i="8"/>
  <c r="AG257" i="8" s="1"/>
  <c r="AI257" i="8"/>
  <c r="K258" i="8"/>
  <c r="O258" i="8"/>
  <c r="S258" i="8"/>
  <c r="W258" i="8"/>
  <c r="AD258" i="8" s="1"/>
  <c r="AA258" i="8"/>
  <c r="AG258" i="8" s="1"/>
  <c r="AI258" i="8"/>
  <c r="K259" i="8"/>
  <c r="O259" i="8"/>
  <c r="S259" i="8"/>
  <c r="W259" i="8"/>
  <c r="AD259" i="8" s="1"/>
  <c r="AA259" i="8"/>
  <c r="AG259" i="8" s="1"/>
  <c r="AI259" i="8"/>
  <c r="K260" i="8"/>
  <c r="O260" i="8"/>
  <c r="S260" i="8"/>
  <c r="W260" i="8"/>
  <c r="AD260" i="8" s="1"/>
  <c r="AA260" i="8"/>
  <c r="AG260" i="8" s="1"/>
  <c r="AI260" i="8"/>
  <c r="K261" i="8"/>
  <c r="O261" i="8"/>
  <c r="S261" i="8"/>
  <c r="W261" i="8"/>
  <c r="AD261" i="8" s="1"/>
  <c r="AA261" i="8"/>
  <c r="AG261" i="8" s="1"/>
  <c r="AI261" i="8"/>
  <c r="K262" i="8"/>
  <c r="O262" i="8"/>
  <c r="S262" i="8"/>
  <c r="W262" i="8"/>
  <c r="AD262" i="8" s="1"/>
  <c r="AA262" i="8"/>
  <c r="AG262" i="8" s="1"/>
  <c r="AI262" i="8"/>
  <c r="K263" i="8"/>
  <c r="O263" i="8"/>
  <c r="S263" i="8"/>
  <c r="W263" i="8"/>
  <c r="AD263" i="8" s="1"/>
  <c r="AA263" i="8"/>
  <c r="AG263" i="8" s="1"/>
  <c r="AI263" i="8"/>
  <c r="K264" i="8"/>
  <c r="O264" i="8"/>
  <c r="S264" i="8"/>
  <c r="W264" i="8"/>
  <c r="AD264" i="8" s="1"/>
  <c r="AA264" i="8"/>
  <c r="AG264" i="8" s="1"/>
  <c r="AI264" i="8"/>
  <c r="K265" i="8"/>
  <c r="O265" i="8"/>
  <c r="S265" i="8"/>
  <c r="W265" i="8"/>
  <c r="AD265" i="8" s="1"/>
  <c r="AA265" i="8"/>
  <c r="AG265" i="8" s="1"/>
  <c r="AI265" i="8"/>
  <c r="K266" i="8"/>
  <c r="O266" i="8"/>
  <c r="S266" i="8"/>
  <c r="W266" i="8"/>
  <c r="AD266" i="8" s="1"/>
  <c r="AA266" i="8"/>
  <c r="AG266" i="8" s="1"/>
  <c r="AI266" i="8"/>
  <c r="K267" i="8"/>
  <c r="O267" i="8"/>
  <c r="S267" i="8"/>
  <c r="W267" i="8"/>
  <c r="AD267" i="8" s="1"/>
  <c r="AA267" i="8"/>
  <c r="AG267" i="8" s="1"/>
  <c r="AI267" i="8"/>
  <c r="K268" i="8"/>
  <c r="O268" i="8"/>
  <c r="S268" i="8"/>
  <c r="W268" i="8"/>
  <c r="AD268" i="8" s="1"/>
  <c r="AA268" i="8"/>
  <c r="AG268" i="8" s="1"/>
  <c r="AI268" i="8"/>
  <c r="K269" i="8"/>
  <c r="O269" i="8"/>
  <c r="S269" i="8"/>
  <c r="W269" i="8"/>
  <c r="AD269" i="8" s="1"/>
  <c r="AA269" i="8"/>
  <c r="AG269" i="8" s="1"/>
  <c r="AI269" i="8"/>
  <c r="K270" i="8"/>
  <c r="O270" i="8"/>
  <c r="S270" i="8"/>
  <c r="W270" i="8"/>
  <c r="AD270" i="8" s="1"/>
  <c r="AA270" i="8"/>
  <c r="AG270" i="8" s="1"/>
  <c r="AI270" i="8"/>
  <c r="K271" i="8"/>
  <c r="O271" i="8"/>
  <c r="S271" i="8"/>
  <c r="W271" i="8"/>
  <c r="AD271" i="8" s="1"/>
  <c r="AA271" i="8"/>
  <c r="AG271" i="8" s="1"/>
  <c r="AI271" i="8"/>
  <c r="K272" i="8"/>
  <c r="O272" i="8"/>
  <c r="S272" i="8"/>
  <c r="W272" i="8"/>
  <c r="AD272" i="8" s="1"/>
  <c r="AA272" i="8"/>
  <c r="AG272" i="8" s="1"/>
  <c r="AI272" i="8"/>
  <c r="K273" i="8"/>
  <c r="O273" i="8"/>
  <c r="S273" i="8"/>
  <c r="W273" i="8"/>
  <c r="AD273" i="8" s="1"/>
  <c r="AA273" i="8"/>
  <c r="AG273" i="8" s="1"/>
  <c r="AI273" i="8"/>
  <c r="K274" i="8"/>
  <c r="O274" i="8"/>
  <c r="S274" i="8"/>
  <c r="W274" i="8"/>
  <c r="AD274" i="8" s="1"/>
  <c r="AA274" i="8"/>
  <c r="AG274" i="8" s="1"/>
  <c r="AI274" i="8"/>
  <c r="K275" i="8"/>
  <c r="O275" i="8"/>
  <c r="S275" i="8"/>
  <c r="W275" i="8"/>
  <c r="AD275" i="8" s="1"/>
  <c r="AA275" i="8"/>
  <c r="AG275" i="8" s="1"/>
  <c r="AI275" i="8"/>
  <c r="K276" i="8"/>
  <c r="O276" i="8"/>
  <c r="S276" i="8"/>
  <c r="W276" i="8"/>
  <c r="AD276" i="8" s="1"/>
  <c r="AA276" i="8"/>
  <c r="AG276" i="8" s="1"/>
  <c r="AI276" i="8"/>
  <c r="K277" i="8"/>
  <c r="O277" i="8"/>
  <c r="S277" i="8"/>
  <c r="W277" i="8"/>
  <c r="AD277" i="8" s="1"/>
  <c r="AA277" i="8"/>
  <c r="AG277" i="8" s="1"/>
  <c r="AI277" i="8"/>
  <c r="K278" i="8"/>
  <c r="O278" i="8"/>
  <c r="S278" i="8"/>
  <c r="W278" i="8"/>
  <c r="AD278" i="8" s="1"/>
  <c r="AA278" i="8"/>
  <c r="AG278" i="8" s="1"/>
  <c r="AI278" i="8"/>
  <c r="K279" i="8"/>
  <c r="O279" i="8"/>
  <c r="S279" i="8"/>
  <c r="W279" i="8"/>
  <c r="AD279" i="8" s="1"/>
  <c r="AA279" i="8"/>
  <c r="AG279" i="8" s="1"/>
  <c r="AI279" i="8"/>
  <c r="K280" i="8"/>
  <c r="O280" i="8"/>
  <c r="S280" i="8"/>
  <c r="W280" i="8"/>
  <c r="AD280" i="8" s="1"/>
  <c r="AA280" i="8"/>
  <c r="AG280" i="8" s="1"/>
  <c r="AI280" i="8"/>
  <c r="K281" i="8"/>
  <c r="O281" i="8"/>
  <c r="S281" i="8"/>
  <c r="W281" i="8"/>
  <c r="AD281" i="8" s="1"/>
  <c r="AA281" i="8"/>
  <c r="AG281" i="8" s="1"/>
  <c r="AI281" i="8"/>
  <c r="K282" i="8"/>
  <c r="O282" i="8"/>
  <c r="S282" i="8"/>
  <c r="W282" i="8"/>
  <c r="AD282" i="8" s="1"/>
  <c r="AA282" i="8"/>
  <c r="AG282" i="8" s="1"/>
  <c r="AI282" i="8"/>
  <c r="K283" i="8"/>
  <c r="O283" i="8"/>
  <c r="S283" i="8"/>
  <c r="W283" i="8"/>
  <c r="AD283" i="8" s="1"/>
  <c r="AA283" i="8"/>
  <c r="AG283" i="8" s="1"/>
  <c r="AI283" i="8"/>
  <c r="K284" i="8"/>
  <c r="O284" i="8"/>
  <c r="S284" i="8"/>
  <c r="W284" i="8"/>
  <c r="AD284" i="8" s="1"/>
  <c r="AA284" i="8"/>
  <c r="AG284" i="8" s="1"/>
  <c r="AI284" i="8"/>
  <c r="K285" i="8"/>
  <c r="O285" i="8"/>
  <c r="S285" i="8"/>
  <c r="W285" i="8"/>
  <c r="AD285" i="8" s="1"/>
  <c r="AA285" i="8"/>
  <c r="AG285" i="8" s="1"/>
  <c r="AI285" i="8"/>
  <c r="K286" i="8"/>
  <c r="O286" i="8"/>
  <c r="S286" i="8"/>
  <c r="W286" i="8"/>
  <c r="AD286" i="8" s="1"/>
  <c r="AA286" i="8"/>
  <c r="AG286" i="8" s="1"/>
  <c r="AI286" i="8"/>
  <c r="K287" i="8"/>
  <c r="O287" i="8"/>
  <c r="S287" i="8"/>
  <c r="W287" i="8"/>
  <c r="AD287" i="8" s="1"/>
  <c r="AA287" i="8"/>
  <c r="AG287" i="8" s="1"/>
  <c r="AI287" i="8"/>
  <c r="K288" i="8"/>
  <c r="O288" i="8"/>
  <c r="S288" i="8"/>
  <c r="W288" i="8"/>
  <c r="AD288" i="8" s="1"/>
  <c r="AA288" i="8"/>
  <c r="AG288" i="8" s="1"/>
  <c r="AI288" i="8"/>
  <c r="K289" i="8"/>
  <c r="O289" i="8"/>
  <c r="S289" i="8"/>
  <c r="W289" i="8"/>
  <c r="AD289" i="8" s="1"/>
  <c r="AA289" i="8"/>
  <c r="AG289" i="8" s="1"/>
  <c r="AI289" i="8"/>
  <c r="K290" i="8"/>
  <c r="O290" i="8"/>
  <c r="S290" i="8"/>
  <c r="W290" i="8"/>
  <c r="AD290" i="8" s="1"/>
  <c r="AA290" i="8"/>
  <c r="AG290" i="8" s="1"/>
  <c r="AI290" i="8"/>
  <c r="K291" i="8"/>
  <c r="O291" i="8"/>
  <c r="S291" i="8"/>
  <c r="W291" i="8"/>
  <c r="AD291" i="8" s="1"/>
  <c r="AA291" i="8"/>
  <c r="AG291" i="8" s="1"/>
  <c r="AI291" i="8"/>
  <c r="K292" i="8"/>
  <c r="O292" i="8"/>
  <c r="S292" i="8"/>
  <c r="W292" i="8"/>
  <c r="AD292" i="8" s="1"/>
  <c r="AA292" i="8"/>
  <c r="AG292" i="8" s="1"/>
  <c r="AI292" i="8"/>
  <c r="K293" i="8"/>
  <c r="O293" i="8"/>
  <c r="S293" i="8"/>
  <c r="W293" i="8"/>
  <c r="AD293" i="8" s="1"/>
  <c r="AA293" i="8"/>
  <c r="AG293" i="8" s="1"/>
  <c r="AI293" i="8"/>
  <c r="K294" i="8"/>
  <c r="O294" i="8"/>
  <c r="S294" i="8"/>
  <c r="W294" i="8"/>
  <c r="AD294" i="8" s="1"/>
  <c r="AA294" i="8"/>
  <c r="AG294" i="8" s="1"/>
  <c r="AI294" i="8"/>
  <c r="K295" i="8"/>
  <c r="O295" i="8"/>
  <c r="S295" i="8"/>
  <c r="W295" i="8"/>
  <c r="AD295" i="8" s="1"/>
  <c r="AA295" i="8"/>
  <c r="AG295" i="8" s="1"/>
  <c r="AI295" i="8"/>
  <c r="K296" i="8"/>
  <c r="O296" i="8"/>
  <c r="S296" i="8"/>
  <c r="W296" i="8"/>
  <c r="AD296" i="8" s="1"/>
  <c r="AA296" i="8"/>
  <c r="AG296" i="8" s="1"/>
  <c r="AI296" i="8"/>
  <c r="K297" i="8"/>
  <c r="O297" i="8"/>
  <c r="S297" i="8"/>
  <c r="W297" i="8"/>
  <c r="AD297" i="8" s="1"/>
  <c r="AA297" i="8"/>
  <c r="AG297" i="8" s="1"/>
  <c r="AI297" i="8"/>
  <c r="K298" i="8"/>
  <c r="O298" i="8"/>
  <c r="S298" i="8"/>
  <c r="W298" i="8"/>
  <c r="AD298" i="8" s="1"/>
  <c r="AA298" i="8"/>
  <c r="AG298" i="8" s="1"/>
  <c r="AI298" i="8"/>
  <c r="K299" i="8"/>
  <c r="O299" i="8"/>
  <c r="S299" i="8"/>
  <c r="W299" i="8"/>
  <c r="AD299" i="8" s="1"/>
  <c r="AA299" i="8"/>
  <c r="AG299" i="8" s="1"/>
  <c r="AI299" i="8"/>
  <c r="K300" i="8"/>
  <c r="O300" i="8"/>
  <c r="S300" i="8"/>
  <c r="W300" i="8"/>
  <c r="AD300" i="8" s="1"/>
  <c r="AA300" i="8"/>
  <c r="AG300" i="8" s="1"/>
  <c r="AI300" i="8"/>
  <c r="K301" i="8"/>
  <c r="O301" i="8"/>
  <c r="S301" i="8"/>
  <c r="W301" i="8"/>
  <c r="AD301" i="8" s="1"/>
  <c r="AA301" i="8"/>
  <c r="AG301" i="8" s="1"/>
  <c r="AI301" i="8"/>
  <c r="K302" i="8"/>
  <c r="O302" i="8"/>
  <c r="S302" i="8"/>
  <c r="W302" i="8"/>
  <c r="AD302" i="8" s="1"/>
  <c r="AA302" i="8"/>
  <c r="AG302" i="8" s="1"/>
  <c r="AI302" i="8"/>
  <c r="K303" i="8"/>
  <c r="O303" i="8"/>
  <c r="S303" i="8"/>
  <c r="W303" i="8"/>
  <c r="AD303" i="8" s="1"/>
  <c r="AA303" i="8"/>
  <c r="AG303" i="8" s="1"/>
  <c r="AI303" i="8"/>
  <c r="K304" i="8"/>
  <c r="O304" i="8"/>
  <c r="S304" i="8"/>
  <c r="W304" i="8"/>
  <c r="AD304" i="8" s="1"/>
  <c r="AA304" i="8"/>
  <c r="AG304" i="8" s="1"/>
  <c r="AI304" i="8"/>
  <c r="K305" i="8"/>
  <c r="O305" i="8"/>
  <c r="S305" i="8"/>
  <c r="W305" i="8"/>
  <c r="AD305" i="8" s="1"/>
  <c r="AA305" i="8"/>
  <c r="AG305" i="8" s="1"/>
  <c r="AI305" i="8"/>
  <c r="K306" i="8"/>
  <c r="O306" i="8"/>
  <c r="S306" i="8"/>
  <c r="W306" i="8"/>
  <c r="AD306" i="8" s="1"/>
  <c r="AA306" i="8"/>
  <c r="AG306" i="8" s="1"/>
  <c r="AI306" i="8"/>
  <c r="K307" i="8"/>
  <c r="O307" i="8"/>
  <c r="S307" i="8"/>
  <c r="W307" i="8"/>
  <c r="AD307" i="8" s="1"/>
  <c r="AA307" i="8"/>
  <c r="AG307" i="8" s="1"/>
  <c r="AI307" i="8"/>
  <c r="K308" i="8"/>
  <c r="O308" i="8"/>
  <c r="S308" i="8"/>
  <c r="W308" i="8"/>
  <c r="AD308" i="8" s="1"/>
  <c r="AA308" i="8"/>
  <c r="AG308" i="8" s="1"/>
  <c r="AI308" i="8"/>
  <c r="K309" i="8"/>
  <c r="O309" i="8"/>
  <c r="S309" i="8"/>
  <c r="W309" i="8"/>
  <c r="AD309" i="8" s="1"/>
  <c r="AA309" i="8"/>
  <c r="AG309" i="8" s="1"/>
  <c r="AI309" i="8"/>
  <c r="K310" i="8"/>
  <c r="O310" i="8"/>
  <c r="S310" i="8"/>
  <c r="W310" i="8"/>
  <c r="AD310" i="8" s="1"/>
  <c r="AA310" i="8"/>
  <c r="AG310" i="8" s="1"/>
  <c r="AI310" i="8"/>
  <c r="K311" i="8"/>
  <c r="O311" i="8"/>
  <c r="S311" i="8"/>
  <c r="W311" i="8"/>
  <c r="AD311" i="8" s="1"/>
  <c r="AA311" i="8"/>
  <c r="AG311" i="8" s="1"/>
  <c r="AI311" i="8"/>
  <c r="K312" i="8"/>
  <c r="O312" i="8"/>
  <c r="S312" i="8"/>
  <c r="W312" i="8"/>
  <c r="AD312" i="8" s="1"/>
  <c r="AA312" i="8"/>
  <c r="AG312" i="8" s="1"/>
  <c r="AI312" i="8"/>
  <c r="K313" i="8"/>
  <c r="O313" i="8"/>
  <c r="S313" i="8"/>
  <c r="W313" i="8"/>
  <c r="AD313" i="8" s="1"/>
  <c r="AA313" i="8"/>
  <c r="AG313" i="8" s="1"/>
  <c r="AI313" i="8"/>
  <c r="K314" i="8"/>
  <c r="O314" i="8"/>
  <c r="S314" i="8"/>
  <c r="W314" i="8"/>
  <c r="AD314" i="8" s="1"/>
  <c r="AA314" i="8"/>
  <c r="AG314" i="8" s="1"/>
  <c r="AI314" i="8"/>
  <c r="K315" i="8"/>
  <c r="O315" i="8"/>
  <c r="S315" i="8"/>
  <c r="W315" i="8"/>
  <c r="AD315" i="8" s="1"/>
  <c r="AA315" i="8"/>
  <c r="AG315" i="8" s="1"/>
  <c r="AI315" i="8"/>
  <c r="K316" i="8"/>
  <c r="O316" i="8"/>
  <c r="S316" i="8"/>
  <c r="W316" i="8"/>
  <c r="AD316" i="8" s="1"/>
  <c r="AA316" i="8"/>
  <c r="AG316" i="8" s="1"/>
  <c r="AI316" i="8"/>
  <c r="K317" i="8"/>
  <c r="O317" i="8"/>
  <c r="S317" i="8"/>
  <c r="W317" i="8"/>
  <c r="AD317" i="8" s="1"/>
  <c r="AA317" i="8"/>
  <c r="AG317" i="8" s="1"/>
  <c r="AI317" i="8"/>
  <c r="K318" i="8"/>
  <c r="O318" i="8"/>
  <c r="S318" i="8"/>
  <c r="W318" i="8"/>
  <c r="AD318" i="8" s="1"/>
  <c r="AA318" i="8"/>
  <c r="AG318" i="8" s="1"/>
  <c r="AI318" i="8"/>
  <c r="K319" i="8"/>
  <c r="O319" i="8"/>
  <c r="S319" i="8"/>
  <c r="W319" i="8"/>
  <c r="AD319" i="8" s="1"/>
  <c r="AA319" i="8"/>
  <c r="AG319" i="8" s="1"/>
  <c r="AI319" i="8"/>
  <c r="K320" i="8"/>
  <c r="O320" i="8"/>
  <c r="S320" i="8"/>
  <c r="W320" i="8"/>
  <c r="AD320" i="8" s="1"/>
  <c r="AA320" i="8"/>
  <c r="AG320" i="8" s="1"/>
  <c r="AI320" i="8"/>
  <c r="K321" i="8"/>
  <c r="O321" i="8"/>
  <c r="S321" i="8"/>
  <c r="W321" i="8"/>
  <c r="AD321" i="8" s="1"/>
  <c r="AA321" i="8"/>
  <c r="AG321" i="8" s="1"/>
  <c r="AI321" i="8"/>
  <c r="K322" i="8"/>
  <c r="O322" i="8"/>
  <c r="S322" i="8"/>
  <c r="W322" i="8"/>
  <c r="AD322" i="8" s="1"/>
  <c r="AA322" i="8"/>
  <c r="AG322" i="8" s="1"/>
  <c r="AI322" i="8"/>
  <c r="K323" i="8"/>
  <c r="O323" i="8"/>
  <c r="S323" i="8"/>
  <c r="W323" i="8"/>
  <c r="AD323" i="8" s="1"/>
  <c r="AA323" i="8"/>
  <c r="AG323" i="8" s="1"/>
  <c r="AI323" i="8"/>
  <c r="K324" i="8"/>
  <c r="O324" i="8"/>
  <c r="S324" i="8"/>
  <c r="W324" i="8"/>
  <c r="AD324" i="8" s="1"/>
  <c r="AA324" i="8"/>
  <c r="AG324" i="8" s="1"/>
  <c r="AI324" i="8"/>
  <c r="K325" i="8"/>
  <c r="O325" i="8"/>
  <c r="S325" i="8"/>
  <c r="W325" i="8"/>
  <c r="AD325" i="8" s="1"/>
  <c r="AA325" i="8"/>
  <c r="AG325" i="8" s="1"/>
  <c r="AI325" i="8"/>
  <c r="K326" i="8"/>
  <c r="O326" i="8"/>
  <c r="S326" i="8"/>
  <c r="W326" i="8"/>
  <c r="AD326" i="8" s="1"/>
  <c r="AA326" i="8"/>
  <c r="AG326" i="8" s="1"/>
  <c r="AI326" i="8"/>
  <c r="K327" i="8"/>
  <c r="O327" i="8"/>
  <c r="S327" i="8"/>
  <c r="W327" i="8"/>
  <c r="AD327" i="8" s="1"/>
  <c r="AA327" i="8"/>
  <c r="AG327" i="8" s="1"/>
  <c r="AI327" i="8"/>
  <c r="K328" i="8"/>
  <c r="O328" i="8"/>
  <c r="S328" i="8"/>
  <c r="W328" i="8"/>
  <c r="AD328" i="8" s="1"/>
  <c r="AA328" i="8"/>
  <c r="AG328" i="8" s="1"/>
  <c r="AI328" i="8"/>
  <c r="K329" i="8"/>
  <c r="O329" i="8"/>
  <c r="S329" i="8"/>
  <c r="W329" i="8"/>
  <c r="AD329" i="8" s="1"/>
  <c r="AA329" i="8"/>
  <c r="AG329" i="8" s="1"/>
  <c r="AI329" i="8"/>
  <c r="K330" i="8"/>
  <c r="O330" i="8"/>
  <c r="S330" i="8"/>
  <c r="W330" i="8"/>
  <c r="AD330" i="8" s="1"/>
  <c r="AA330" i="8"/>
  <c r="AG330" i="8" s="1"/>
  <c r="AI330" i="8"/>
  <c r="K331" i="8"/>
  <c r="O331" i="8"/>
  <c r="S331" i="8"/>
  <c r="W331" i="8"/>
  <c r="AD331" i="8" s="1"/>
  <c r="AA331" i="8"/>
  <c r="AG331" i="8" s="1"/>
  <c r="AI331" i="8"/>
  <c r="K332" i="8"/>
  <c r="O332" i="8"/>
  <c r="S332" i="8"/>
  <c r="W332" i="8"/>
  <c r="AD332" i="8" s="1"/>
  <c r="AA332" i="8"/>
  <c r="AG332" i="8" s="1"/>
  <c r="AI332" i="8"/>
  <c r="K333" i="8"/>
  <c r="O333" i="8"/>
  <c r="S333" i="8"/>
  <c r="W333" i="8"/>
  <c r="AD333" i="8" s="1"/>
  <c r="AA333" i="8"/>
  <c r="AG333" i="8" s="1"/>
  <c r="AI333" i="8"/>
  <c r="K334" i="8"/>
  <c r="O334" i="8"/>
  <c r="S334" i="8"/>
  <c r="W334" i="8"/>
  <c r="AD334" i="8" s="1"/>
  <c r="AA334" i="8"/>
  <c r="AG334" i="8" s="1"/>
  <c r="AI334" i="8"/>
  <c r="K335" i="8"/>
  <c r="O335" i="8"/>
  <c r="S335" i="8"/>
  <c r="W335" i="8"/>
  <c r="AD335" i="8" s="1"/>
  <c r="AA335" i="8"/>
  <c r="AG335" i="8" s="1"/>
  <c r="AI335" i="8"/>
  <c r="K336" i="8"/>
  <c r="O336" i="8"/>
  <c r="S336" i="8"/>
  <c r="W336" i="8"/>
  <c r="AD336" i="8" s="1"/>
  <c r="AA336" i="8"/>
  <c r="AG336" i="8" s="1"/>
  <c r="AI336" i="8"/>
  <c r="K337" i="8"/>
  <c r="O337" i="8"/>
  <c r="S337" i="8"/>
  <c r="W337" i="8"/>
  <c r="AD337" i="8" s="1"/>
  <c r="AA337" i="8"/>
  <c r="AG337" i="8" s="1"/>
  <c r="AI337" i="8"/>
  <c r="K338" i="8"/>
  <c r="O338" i="8"/>
  <c r="S338" i="8"/>
  <c r="W338" i="8"/>
  <c r="AD338" i="8" s="1"/>
  <c r="AA338" i="8"/>
  <c r="AG338" i="8" s="1"/>
  <c r="AI338" i="8"/>
  <c r="K339" i="8"/>
  <c r="O339" i="8"/>
  <c r="S339" i="8"/>
  <c r="W339" i="8"/>
  <c r="AD339" i="8" s="1"/>
  <c r="AA339" i="8"/>
  <c r="AG339" i="8" s="1"/>
  <c r="AI339" i="8"/>
  <c r="K340" i="8"/>
  <c r="O340" i="8"/>
  <c r="S340" i="8"/>
  <c r="W340" i="8"/>
  <c r="AD340" i="8" s="1"/>
  <c r="AA340" i="8"/>
  <c r="AG340" i="8" s="1"/>
  <c r="AI340" i="8"/>
  <c r="K341" i="8"/>
  <c r="O341" i="8"/>
  <c r="S341" i="8"/>
  <c r="W341" i="8"/>
  <c r="AD341" i="8" s="1"/>
  <c r="AA341" i="8"/>
  <c r="AG341" i="8" s="1"/>
  <c r="AI341" i="8"/>
  <c r="K342" i="8"/>
  <c r="O342" i="8"/>
  <c r="S342" i="8"/>
  <c r="W342" i="8"/>
  <c r="AD342" i="8" s="1"/>
  <c r="AA342" i="8"/>
  <c r="AG342" i="8" s="1"/>
  <c r="AI342" i="8"/>
  <c r="K343" i="8"/>
  <c r="O343" i="8"/>
  <c r="S343" i="8"/>
  <c r="W343" i="8"/>
  <c r="AD343" i="8" s="1"/>
  <c r="AA343" i="8"/>
  <c r="AG343" i="8" s="1"/>
  <c r="AI343" i="8"/>
  <c r="K344" i="8"/>
  <c r="O344" i="8"/>
  <c r="S344" i="8"/>
  <c r="W344" i="8"/>
  <c r="AD344" i="8" s="1"/>
  <c r="AA344" i="8"/>
  <c r="AG344" i="8" s="1"/>
  <c r="AI344" i="8"/>
  <c r="K345" i="8"/>
  <c r="O345" i="8"/>
  <c r="S345" i="8"/>
  <c r="W345" i="8"/>
  <c r="AD345" i="8" s="1"/>
  <c r="AA345" i="8"/>
  <c r="AG345" i="8" s="1"/>
  <c r="AI345" i="8"/>
  <c r="K346" i="8"/>
  <c r="O346" i="8"/>
  <c r="S346" i="8"/>
  <c r="W346" i="8"/>
  <c r="AD346" i="8" s="1"/>
  <c r="AA346" i="8"/>
  <c r="AG346" i="8" s="1"/>
  <c r="AI346" i="8"/>
  <c r="K347" i="8"/>
  <c r="O347" i="8"/>
  <c r="S347" i="8"/>
  <c r="W347" i="8"/>
  <c r="AD347" i="8" s="1"/>
  <c r="AA347" i="8"/>
  <c r="AG347" i="8" s="1"/>
  <c r="AI347" i="8"/>
  <c r="K348" i="8"/>
  <c r="O348" i="8"/>
  <c r="S348" i="8"/>
  <c r="W348" i="8"/>
  <c r="AD348" i="8" s="1"/>
  <c r="AA348" i="8"/>
  <c r="AG348" i="8" s="1"/>
  <c r="AI348" i="8"/>
  <c r="K349" i="8"/>
  <c r="O349" i="8"/>
  <c r="S349" i="8"/>
  <c r="W349" i="8"/>
  <c r="AD349" i="8" s="1"/>
  <c r="AA349" i="8"/>
  <c r="AG349" i="8" s="1"/>
  <c r="AI349" i="8"/>
  <c r="K350" i="8"/>
  <c r="O350" i="8"/>
  <c r="S350" i="8"/>
  <c r="W350" i="8"/>
  <c r="AD350" i="8" s="1"/>
  <c r="AA350" i="8"/>
  <c r="AG350" i="8" s="1"/>
  <c r="AI350" i="8"/>
  <c r="K351" i="8"/>
  <c r="O351" i="8"/>
  <c r="S351" i="8"/>
  <c r="W351" i="8"/>
  <c r="AD351" i="8" s="1"/>
  <c r="AA351" i="8"/>
  <c r="AG351" i="8" s="1"/>
  <c r="AI351" i="8"/>
  <c r="K352" i="8"/>
  <c r="O352" i="8"/>
  <c r="S352" i="8"/>
  <c r="W352" i="8"/>
  <c r="AD352" i="8" s="1"/>
  <c r="AA352" i="8"/>
  <c r="AG352" i="8" s="1"/>
  <c r="AI352" i="8"/>
  <c r="K353" i="8"/>
  <c r="O353" i="8"/>
  <c r="S353" i="8"/>
  <c r="W353" i="8"/>
  <c r="AD353" i="8" s="1"/>
  <c r="AA353" i="8"/>
  <c r="AG353" i="8" s="1"/>
  <c r="AI353" i="8"/>
  <c r="K354" i="8"/>
  <c r="O354" i="8"/>
  <c r="S354" i="8"/>
  <c r="W354" i="8"/>
  <c r="AD354" i="8" s="1"/>
  <c r="AA354" i="8"/>
  <c r="AG354" i="8" s="1"/>
  <c r="AI354" i="8"/>
  <c r="K355" i="8"/>
  <c r="O355" i="8"/>
  <c r="S355" i="8"/>
  <c r="W355" i="8"/>
  <c r="AD355" i="8" s="1"/>
  <c r="AA355" i="8"/>
  <c r="AG355" i="8" s="1"/>
  <c r="AI355" i="8"/>
  <c r="K356" i="8"/>
  <c r="O356" i="8"/>
  <c r="S356" i="8"/>
  <c r="W356" i="8"/>
  <c r="AD356" i="8" s="1"/>
  <c r="AA356" i="8"/>
  <c r="AG356" i="8" s="1"/>
  <c r="AI356" i="8"/>
  <c r="K357" i="8"/>
  <c r="O357" i="8"/>
  <c r="S357" i="8"/>
  <c r="W357" i="8"/>
  <c r="AD357" i="8" s="1"/>
  <c r="AA357" i="8"/>
  <c r="AG357" i="8" s="1"/>
  <c r="AI357" i="8"/>
  <c r="K358" i="8"/>
  <c r="O358" i="8"/>
  <c r="S358" i="8"/>
  <c r="W358" i="8"/>
  <c r="AD358" i="8" s="1"/>
  <c r="AA358" i="8"/>
  <c r="AG358" i="8" s="1"/>
  <c r="AI358" i="8"/>
  <c r="K359" i="8"/>
  <c r="O359" i="8"/>
  <c r="S359" i="8"/>
  <c r="W359" i="8"/>
  <c r="AD359" i="8" s="1"/>
  <c r="AA359" i="8"/>
  <c r="AG359" i="8" s="1"/>
  <c r="AI359" i="8"/>
  <c r="K360" i="8"/>
  <c r="O360" i="8"/>
  <c r="S360" i="8"/>
  <c r="W360" i="8"/>
  <c r="AD360" i="8" s="1"/>
  <c r="AA360" i="8"/>
  <c r="AG360" i="8" s="1"/>
  <c r="AI360" i="8"/>
  <c r="K361" i="8"/>
  <c r="O361" i="8"/>
  <c r="S361" i="8"/>
  <c r="W361" i="8"/>
  <c r="AD361" i="8" s="1"/>
  <c r="AA361" i="8"/>
  <c r="AG361" i="8" s="1"/>
  <c r="AI361" i="8"/>
  <c r="K362" i="8"/>
  <c r="O362" i="8"/>
  <c r="S362" i="8"/>
  <c r="W362" i="8"/>
  <c r="AD362" i="8" s="1"/>
  <c r="AA362" i="8"/>
  <c r="AG362" i="8" s="1"/>
  <c r="AI362" i="8"/>
  <c r="K363" i="8"/>
  <c r="O363" i="8"/>
  <c r="S363" i="8"/>
  <c r="W363" i="8"/>
  <c r="AD363" i="8" s="1"/>
  <c r="AA363" i="8"/>
  <c r="AG363" i="8" s="1"/>
  <c r="AI363" i="8"/>
  <c r="K364" i="8"/>
  <c r="O364" i="8"/>
  <c r="S364" i="8"/>
  <c r="W364" i="8"/>
  <c r="AD364" i="8" s="1"/>
  <c r="AA364" i="8"/>
  <c r="AG364" i="8" s="1"/>
  <c r="AI364" i="8"/>
  <c r="K365" i="8"/>
  <c r="O365" i="8"/>
  <c r="S365" i="8"/>
  <c r="W365" i="8"/>
  <c r="AD365" i="8" s="1"/>
  <c r="AA365" i="8"/>
  <c r="AG365" i="8" s="1"/>
  <c r="AI365" i="8"/>
  <c r="K366" i="8"/>
  <c r="O366" i="8"/>
  <c r="S366" i="8"/>
  <c r="W366" i="8"/>
  <c r="AD366" i="8" s="1"/>
  <c r="AA366" i="8"/>
  <c r="AG366" i="8" s="1"/>
  <c r="AI366" i="8"/>
  <c r="K367" i="8"/>
  <c r="O367" i="8"/>
  <c r="S367" i="8"/>
  <c r="W367" i="8"/>
  <c r="AD367" i="8" s="1"/>
  <c r="AA367" i="8"/>
  <c r="AG367" i="8" s="1"/>
  <c r="AI367" i="8"/>
  <c r="K368" i="8"/>
  <c r="O368" i="8"/>
  <c r="S368" i="8"/>
  <c r="W368" i="8"/>
  <c r="AD368" i="8" s="1"/>
  <c r="AA368" i="8"/>
  <c r="AG368" i="8" s="1"/>
  <c r="AI368" i="8"/>
  <c r="K369" i="8"/>
  <c r="O369" i="8"/>
  <c r="S369" i="8"/>
  <c r="W369" i="8"/>
  <c r="AD369" i="8" s="1"/>
  <c r="AA369" i="8"/>
  <c r="AG369" i="8" s="1"/>
  <c r="AI369" i="8"/>
  <c r="K370" i="8"/>
  <c r="O370" i="8"/>
  <c r="S370" i="8"/>
  <c r="W370" i="8"/>
  <c r="AD370" i="8" s="1"/>
  <c r="AA370" i="8"/>
  <c r="AG370" i="8" s="1"/>
  <c r="AI370" i="8"/>
  <c r="K371" i="8"/>
  <c r="O371" i="8"/>
  <c r="S371" i="8"/>
  <c r="W371" i="8"/>
  <c r="AD371" i="8" s="1"/>
  <c r="AA371" i="8"/>
  <c r="AG371" i="8" s="1"/>
  <c r="AI371" i="8"/>
  <c r="K372" i="8"/>
  <c r="O372" i="8"/>
  <c r="S372" i="8"/>
  <c r="W372" i="8"/>
  <c r="AD372" i="8" s="1"/>
  <c r="AA372" i="8"/>
  <c r="AG372" i="8" s="1"/>
  <c r="AI372" i="8"/>
  <c r="K373" i="8"/>
  <c r="O373" i="8"/>
  <c r="S373" i="8"/>
  <c r="W373" i="8"/>
  <c r="AD373" i="8" s="1"/>
  <c r="AA373" i="8"/>
  <c r="AG373" i="8" s="1"/>
  <c r="AI373" i="8"/>
  <c r="K374" i="8"/>
  <c r="O374" i="8"/>
  <c r="S374" i="8"/>
  <c r="W374" i="8"/>
  <c r="AD374" i="8" s="1"/>
  <c r="AA374" i="8"/>
  <c r="AG374" i="8" s="1"/>
  <c r="AI374" i="8"/>
  <c r="K375" i="8"/>
  <c r="O375" i="8"/>
  <c r="S375" i="8"/>
  <c r="W375" i="8"/>
  <c r="AD375" i="8" s="1"/>
  <c r="AA375" i="8"/>
  <c r="AG375" i="8" s="1"/>
  <c r="AI375" i="8"/>
  <c r="K376" i="8"/>
  <c r="O376" i="8"/>
  <c r="S376" i="8"/>
  <c r="W376" i="8"/>
  <c r="AD376" i="8" s="1"/>
  <c r="AA376" i="8"/>
  <c r="AG376" i="8" s="1"/>
  <c r="AI376" i="8"/>
  <c r="K377" i="8"/>
  <c r="O377" i="8"/>
  <c r="S377" i="8"/>
  <c r="W377" i="8"/>
  <c r="AD377" i="8" s="1"/>
  <c r="AA377" i="8"/>
  <c r="AG377" i="8" s="1"/>
  <c r="AI377" i="8"/>
  <c r="K378" i="8"/>
  <c r="O378" i="8"/>
  <c r="S378" i="8"/>
  <c r="W378" i="8"/>
  <c r="AD378" i="8" s="1"/>
  <c r="AA378" i="8"/>
  <c r="AG378" i="8" s="1"/>
  <c r="AI378" i="8"/>
  <c r="K379" i="8"/>
  <c r="O379" i="8"/>
  <c r="S379" i="8"/>
  <c r="W379" i="8"/>
  <c r="AD379" i="8" s="1"/>
  <c r="AA379" i="8"/>
  <c r="AG379" i="8" s="1"/>
  <c r="AI379" i="8"/>
  <c r="K380" i="8"/>
  <c r="O380" i="8"/>
  <c r="S380" i="8"/>
  <c r="W380" i="8"/>
  <c r="AD380" i="8" s="1"/>
  <c r="AA380" i="8"/>
  <c r="AG380" i="8" s="1"/>
  <c r="AI380" i="8"/>
  <c r="K381" i="8"/>
  <c r="O381" i="8"/>
  <c r="S381" i="8"/>
  <c r="W381" i="8"/>
  <c r="AD381" i="8" s="1"/>
  <c r="AA381" i="8"/>
  <c r="AG381" i="8" s="1"/>
  <c r="AI381" i="8"/>
  <c r="K382" i="8"/>
  <c r="O382" i="8"/>
  <c r="S382" i="8"/>
  <c r="W382" i="8"/>
  <c r="AD382" i="8" s="1"/>
  <c r="AA382" i="8"/>
  <c r="AG382" i="8" s="1"/>
  <c r="AI382" i="8"/>
  <c r="K383" i="8"/>
  <c r="O383" i="8"/>
  <c r="S383" i="8"/>
  <c r="W383" i="8"/>
  <c r="AD383" i="8" s="1"/>
  <c r="AA383" i="8"/>
  <c r="AG383" i="8" s="1"/>
  <c r="AI383" i="8"/>
  <c r="K384" i="8"/>
  <c r="O384" i="8"/>
  <c r="S384" i="8"/>
  <c r="W384" i="8"/>
  <c r="AD384" i="8" s="1"/>
  <c r="AA384" i="8"/>
  <c r="AG384" i="8" s="1"/>
  <c r="AI384" i="8"/>
  <c r="K385" i="8"/>
  <c r="O385" i="8"/>
  <c r="S385" i="8"/>
  <c r="W385" i="8"/>
  <c r="AD385" i="8" s="1"/>
  <c r="AA385" i="8"/>
  <c r="AG385" i="8" s="1"/>
  <c r="AI385" i="8"/>
  <c r="K386" i="8"/>
  <c r="O386" i="8"/>
  <c r="S386" i="8"/>
  <c r="W386" i="8"/>
  <c r="AD386" i="8" s="1"/>
  <c r="AA386" i="8"/>
  <c r="AG386" i="8" s="1"/>
  <c r="AI386" i="8"/>
  <c r="K387" i="8"/>
  <c r="O387" i="8"/>
  <c r="S387" i="8"/>
  <c r="W387" i="8"/>
  <c r="AD387" i="8" s="1"/>
  <c r="AA387" i="8"/>
  <c r="AG387" i="8" s="1"/>
  <c r="AI387" i="8"/>
  <c r="K388" i="8"/>
  <c r="O388" i="8"/>
  <c r="S388" i="8"/>
  <c r="W388" i="8"/>
  <c r="AD388" i="8" s="1"/>
  <c r="AA388" i="8"/>
  <c r="AG388" i="8" s="1"/>
  <c r="AI388" i="8"/>
  <c r="K389" i="8"/>
  <c r="O389" i="8"/>
  <c r="S389" i="8"/>
  <c r="W389" i="8"/>
  <c r="AD389" i="8" s="1"/>
  <c r="AA389" i="8"/>
  <c r="AG389" i="8" s="1"/>
  <c r="AI389" i="8"/>
  <c r="K390" i="8"/>
  <c r="O390" i="8"/>
  <c r="S390" i="8"/>
  <c r="W390" i="8"/>
  <c r="AD390" i="8" s="1"/>
  <c r="AA390" i="8"/>
  <c r="AG390" i="8" s="1"/>
  <c r="AI390" i="8"/>
  <c r="K391" i="8"/>
  <c r="O391" i="8"/>
  <c r="S391" i="8"/>
  <c r="W391" i="8"/>
  <c r="AD391" i="8" s="1"/>
  <c r="AA391" i="8"/>
  <c r="AG391" i="8" s="1"/>
  <c r="AI391" i="8"/>
  <c r="K392" i="8"/>
  <c r="O392" i="8"/>
  <c r="S392" i="8"/>
  <c r="W392" i="8"/>
  <c r="AD392" i="8" s="1"/>
  <c r="AA392" i="8"/>
  <c r="AG392" i="8" s="1"/>
  <c r="AI392" i="8"/>
  <c r="K393" i="8"/>
  <c r="O393" i="8"/>
  <c r="S393" i="8"/>
  <c r="W393" i="8"/>
  <c r="AD393" i="8" s="1"/>
  <c r="AA393" i="8"/>
  <c r="AG393" i="8" s="1"/>
  <c r="AI393" i="8"/>
  <c r="K394" i="8"/>
  <c r="O394" i="8"/>
  <c r="S394" i="8"/>
  <c r="W394" i="8"/>
  <c r="AD394" i="8" s="1"/>
  <c r="AA394" i="8"/>
  <c r="AG394" i="8" s="1"/>
  <c r="AI394" i="8"/>
  <c r="K395" i="8"/>
  <c r="O395" i="8"/>
  <c r="S395" i="8"/>
  <c r="W395" i="8"/>
  <c r="AD395" i="8" s="1"/>
  <c r="AA395" i="8"/>
  <c r="AG395" i="8" s="1"/>
  <c r="AI395" i="8"/>
  <c r="K396" i="8"/>
  <c r="O396" i="8"/>
  <c r="S396" i="8"/>
  <c r="W396" i="8"/>
  <c r="AD396" i="8" s="1"/>
  <c r="AB396" i="8"/>
  <c r="O397" i="8"/>
  <c r="W397" i="8"/>
  <c r="AD397" i="8" s="1"/>
  <c r="K398" i="8"/>
  <c r="S398" i="8"/>
  <c r="AA398" i="8"/>
  <c r="AG398" i="8" s="1"/>
  <c r="O399" i="8"/>
  <c r="W399" i="8"/>
  <c r="AD399" i="8" s="1"/>
  <c r="K400" i="8"/>
  <c r="S400" i="8"/>
  <c r="O401" i="8"/>
  <c r="W401" i="8"/>
  <c r="AD401" i="8" s="1"/>
  <c r="K402" i="8"/>
  <c r="S402" i="8"/>
  <c r="O403" i="8"/>
  <c r="W403" i="8"/>
  <c r="AD403" i="8" s="1"/>
  <c r="K404" i="8"/>
  <c r="S404" i="8"/>
  <c r="AA404" i="8"/>
  <c r="AG404" i="8" s="1"/>
  <c r="O405" i="8"/>
  <c r="W405" i="8"/>
  <c r="AD405" i="8" s="1"/>
  <c r="K406" i="8"/>
  <c r="S406" i="8"/>
  <c r="AA406" i="8"/>
  <c r="AG406" i="8" s="1"/>
  <c r="O407" i="8"/>
  <c r="W407" i="8"/>
  <c r="AD407" i="8" s="1"/>
  <c r="K408" i="8"/>
  <c r="S408" i="8"/>
  <c r="O409" i="8"/>
  <c r="W409" i="8"/>
  <c r="AD409" i="8" s="1"/>
  <c r="K410" i="8"/>
  <c r="S410" i="8"/>
  <c r="O411" i="8"/>
  <c r="W411" i="8"/>
  <c r="AD411" i="8" s="1"/>
  <c r="K412" i="8"/>
  <c r="S412" i="8"/>
  <c r="AA412" i="8"/>
  <c r="AG412" i="8" s="1"/>
  <c r="O413" i="8"/>
  <c r="W413" i="8"/>
  <c r="AD413" i="8" s="1"/>
  <c r="K414" i="8"/>
  <c r="S414" i="8"/>
  <c r="AA414" i="8"/>
  <c r="AG414" i="8" s="1"/>
  <c r="O415" i="8"/>
  <c r="W415" i="8"/>
  <c r="AD415" i="8" s="1"/>
  <c r="K416" i="8"/>
  <c r="S416" i="8"/>
  <c r="O417" i="8"/>
  <c r="W417" i="8"/>
  <c r="AD417" i="8" s="1"/>
  <c r="K418" i="8"/>
  <c r="S418" i="8"/>
  <c r="O419" i="8"/>
  <c r="W419" i="8"/>
  <c r="AD419" i="8" s="1"/>
  <c r="K420" i="8"/>
  <c r="S420" i="8"/>
  <c r="AA420" i="8"/>
  <c r="AG420" i="8" s="1"/>
  <c r="O421" i="8"/>
  <c r="W421" i="8"/>
  <c r="AD421" i="8" s="1"/>
  <c r="K422" i="8"/>
  <c r="S422" i="8"/>
  <c r="AA422" i="8"/>
  <c r="AG422" i="8" s="1"/>
  <c r="O423" i="8"/>
  <c r="W423" i="8"/>
  <c r="AD423" i="8" s="1"/>
  <c r="K424" i="8"/>
  <c r="S424" i="8"/>
  <c r="O425" i="8"/>
  <c r="W425" i="8"/>
  <c r="AD425" i="8" s="1"/>
  <c r="K426" i="8"/>
  <c r="S426" i="8"/>
  <c r="O427" i="8"/>
  <c r="W427" i="8"/>
  <c r="AD427" i="8" s="1"/>
  <c r="K428" i="8"/>
  <c r="S428" i="8"/>
  <c r="AA428" i="8"/>
  <c r="AG428" i="8" s="1"/>
  <c r="O429" i="8"/>
  <c r="W429" i="8"/>
  <c r="AD429" i="8" s="1"/>
  <c r="K430" i="8"/>
  <c r="S430" i="8"/>
  <c r="AA430" i="8"/>
  <c r="AG430" i="8" s="1"/>
  <c r="O431" i="8"/>
  <c r="W431" i="8"/>
  <c r="AD431" i="8" s="1"/>
  <c r="K432" i="8"/>
  <c r="S432" i="8"/>
  <c r="O433" i="8"/>
  <c r="W433" i="8"/>
  <c r="AD433" i="8" s="1"/>
  <c r="K434" i="8"/>
  <c r="S434" i="8"/>
  <c r="O435" i="8"/>
  <c r="W435" i="8"/>
  <c r="AD435" i="8" s="1"/>
  <c r="K436" i="8"/>
  <c r="S436" i="8"/>
  <c r="AA436" i="8"/>
  <c r="AG436" i="8" s="1"/>
  <c r="O437" i="8"/>
  <c r="W437" i="8"/>
  <c r="AD437" i="8" s="1"/>
  <c r="K438" i="8"/>
  <c r="S438" i="8"/>
  <c r="AA438" i="8"/>
  <c r="AG438" i="8" s="1"/>
  <c r="O439" i="8"/>
  <c r="W439" i="8"/>
  <c r="AD439" i="8" s="1"/>
  <c r="K440" i="8"/>
  <c r="S440" i="8"/>
  <c r="O441" i="8"/>
  <c r="W441" i="8"/>
  <c r="AD441" i="8" s="1"/>
  <c r="K442" i="8"/>
  <c r="S442" i="8"/>
  <c r="O443" i="8"/>
  <c r="W443" i="8"/>
  <c r="AD443" i="8" s="1"/>
  <c r="K444" i="8"/>
  <c r="S444" i="8"/>
  <c r="AA444" i="8"/>
  <c r="AG444" i="8" s="1"/>
  <c r="O445" i="8"/>
  <c r="W445" i="8"/>
  <c r="AD445" i="8" s="1"/>
  <c r="K446" i="8"/>
  <c r="S446" i="8"/>
  <c r="AA446" i="8"/>
  <c r="AG446" i="8" s="1"/>
  <c r="O447" i="8"/>
  <c r="W447" i="8"/>
  <c r="AD447" i="8" s="1"/>
  <c r="K448" i="8"/>
  <c r="S448" i="8"/>
  <c r="O449" i="8"/>
  <c r="W449" i="8"/>
  <c r="AD449" i="8" s="1"/>
  <c r="K450" i="8"/>
  <c r="S450" i="8"/>
  <c r="O451" i="8"/>
  <c r="W451" i="8"/>
  <c r="AD451" i="8" s="1"/>
  <c r="K452" i="8"/>
  <c r="S452" i="8"/>
  <c r="AA452" i="8"/>
  <c r="AG452" i="8" s="1"/>
  <c r="O453" i="8"/>
  <c r="W453" i="8"/>
  <c r="AD453" i="8" s="1"/>
  <c r="K454" i="8"/>
  <c r="S454" i="8"/>
  <c r="AA454" i="8"/>
  <c r="AG454" i="8" s="1"/>
  <c r="O455" i="8"/>
  <c r="W455" i="8"/>
  <c r="AD455" i="8" s="1"/>
  <c r="K456" i="8"/>
  <c r="S456" i="8"/>
  <c r="O457" i="8"/>
  <c r="W457" i="8"/>
  <c r="AD457" i="8" s="1"/>
  <c r="K458" i="8"/>
  <c r="S458" i="8"/>
  <c r="O459" i="8"/>
  <c r="W459" i="8"/>
  <c r="AD459" i="8" s="1"/>
  <c r="K460" i="8"/>
  <c r="S460" i="8"/>
  <c r="AA460" i="8"/>
  <c r="AG460" i="8" s="1"/>
  <c r="O461" i="8"/>
  <c r="W461" i="8"/>
  <c r="AD461" i="8" s="1"/>
  <c r="K462" i="8"/>
  <c r="S462" i="8"/>
  <c r="AA462" i="8"/>
  <c r="AG462" i="8" s="1"/>
  <c r="O463" i="8"/>
  <c r="W463" i="8"/>
  <c r="AD463" i="8" s="1"/>
  <c r="K464" i="8"/>
  <c r="S464" i="8"/>
  <c r="O465" i="8"/>
  <c r="W465" i="8"/>
  <c r="AD465" i="8" s="1"/>
  <c r="K466" i="8"/>
  <c r="S466" i="8"/>
  <c r="O467" i="8"/>
  <c r="W467" i="8"/>
  <c r="AD467" i="8" s="1"/>
  <c r="K468" i="8"/>
  <c r="S468" i="8"/>
  <c r="AA468" i="8"/>
  <c r="AG468" i="8" s="1"/>
  <c r="O469" i="8"/>
  <c r="W469" i="8"/>
  <c r="AD469" i="8" s="1"/>
  <c r="K470" i="8"/>
  <c r="S470" i="8"/>
  <c r="AA470" i="8"/>
  <c r="AG470" i="8" s="1"/>
  <c r="O471" i="8"/>
  <c r="W471" i="8"/>
  <c r="AD471" i="8" s="1"/>
  <c r="K472" i="8"/>
  <c r="S472" i="8"/>
  <c r="O473" i="8"/>
  <c r="W473" i="8"/>
  <c r="AD473" i="8" s="1"/>
  <c r="K474" i="8"/>
  <c r="S474" i="8"/>
  <c r="O475" i="8"/>
  <c r="W475" i="8"/>
  <c r="AD475" i="8" s="1"/>
  <c r="K476" i="8"/>
  <c r="S476" i="8"/>
  <c r="AA476" i="8"/>
  <c r="AG476" i="8" s="1"/>
  <c r="O477" i="8"/>
  <c r="W477" i="8"/>
  <c r="AD477" i="8" s="1"/>
  <c r="K478" i="8"/>
  <c r="S478" i="8"/>
  <c r="AA478" i="8"/>
  <c r="AG478" i="8" s="1"/>
  <c r="O479" i="8"/>
  <c r="W479" i="8"/>
  <c r="AD479" i="8" s="1"/>
  <c r="K480" i="8"/>
  <c r="S480" i="8"/>
  <c r="O481" i="8"/>
  <c r="W481" i="8"/>
  <c r="AD481" i="8" s="1"/>
  <c r="K482" i="8"/>
  <c r="S482" i="8"/>
  <c r="O483" i="8"/>
  <c r="W483" i="8"/>
  <c r="AD483" i="8" s="1"/>
  <c r="K484" i="8"/>
  <c r="S484" i="8"/>
  <c r="AA484" i="8"/>
  <c r="AG484" i="8" s="1"/>
  <c r="O485" i="8"/>
  <c r="W485" i="8"/>
  <c r="AD485" i="8" s="1"/>
  <c r="K486" i="8"/>
  <c r="S486" i="8"/>
  <c r="AA486" i="8"/>
  <c r="AG486" i="8" s="1"/>
  <c r="O487" i="8"/>
  <c r="W487" i="8"/>
  <c r="AD487" i="8" s="1"/>
  <c r="K488" i="8"/>
  <c r="S488" i="8"/>
  <c r="O489" i="8"/>
  <c r="W489" i="8"/>
  <c r="AD489" i="8" s="1"/>
  <c r="K490" i="8"/>
  <c r="S490" i="8"/>
  <c r="O491" i="8"/>
  <c r="W491" i="8"/>
  <c r="AD491" i="8" s="1"/>
  <c r="K492" i="8"/>
  <c r="S492" i="8"/>
  <c r="AA492" i="8"/>
  <c r="AG492" i="8" s="1"/>
  <c r="O493" i="8"/>
  <c r="W493" i="8"/>
  <c r="AD493" i="8" s="1"/>
  <c r="K494" i="8"/>
  <c r="S494" i="8"/>
  <c r="AA494" i="8"/>
  <c r="AG494" i="8" s="1"/>
  <c r="O495" i="8"/>
  <c r="W495" i="8"/>
  <c r="AD495" i="8" s="1"/>
  <c r="K496" i="8"/>
  <c r="S496" i="8"/>
  <c r="O497" i="8"/>
  <c r="W497" i="8"/>
  <c r="AD497" i="8" s="1"/>
  <c r="K498" i="8"/>
  <c r="S498" i="8"/>
  <c r="O499" i="8"/>
  <c r="W499" i="8"/>
  <c r="AD499" i="8" s="1"/>
  <c r="K500" i="8"/>
  <c r="S500" i="8"/>
  <c r="AA500" i="8"/>
  <c r="AG500" i="8" s="1"/>
  <c r="O501" i="8"/>
  <c r="W501" i="8"/>
  <c r="AD501" i="8" s="1"/>
  <c r="M3" i="9"/>
  <c r="U3" i="9"/>
  <c r="AF3" i="9" s="1"/>
  <c r="AC3" i="9"/>
  <c r="AE3" i="9" s="1"/>
  <c r="AK3" i="9"/>
  <c r="O4" i="9"/>
  <c r="W4" i="9"/>
  <c r="AD4" i="9" s="1"/>
  <c r="Q7" i="9"/>
  <c r="K8" i="9"/>
  <c r="S8" i="9"/>
  <c r="AA8" i="9"/>
  <c r="AG8" i="9" s="1"/>
  <c r="S18" i="9"/>
  <c r="AL19" i="9"/>
  <c r="AH19" i="9"/>
  <c r="Z19" i="9"/>
  <c r="AA19" i="9" s="1"/>
  <c r="AG19" i="9" s="1"/>
  <c r="V19" i="9"/>
  <c r="AB19" i="9" s="1"/>
  <c r="R19" i="9"/>
  <c r="N19" i="9"/>
  <c r="AJ19" i="9"/>
  <c r="Y19" i="9"/>
  <c r="T19" i="9"/>
  <c r="O19" i="9"/>
  <c r="AI19" i="9"/>
  <c r="AC19" i="9"/>
  <c r="AE19" i="9" s="1"/>
  <c r="X19" i="9"/>
  <c r="S19" i="9"/>
  <c r="M19" i="9"/>
  <c r="W19" i="9"/>
  <c r="AD19" i="9" s="1"/>
  <c r="S22" i="9"/>
  <c r="AL23" i="9"/>
  <c r="AH23" i="9"/>
  <c r="Z23" i="9"/>
  <c r="V23" i="9"/>
  <c r="AB23" i="9" s="1"/>
  <c r="R23" i="9"/>
  <c r="N23" i="9"/>
  <c r="AJ23" i="9"/>
  <c r="Y23" i="9"/>
  <c r="T23" i="9"/>
  <c r="O23" i="9"/>
  <c r="AI23" i="9"/>
  <c r="AC23" i="9"/>
  <c r="AE23" i="9" s="1"/>
  <c r="X23" i="9"/>
  <c r="S23" i="9"/>
  <c r="M23" i="9"/>
  <c r="W23" i="9"/>
  <c r="AD23" i="9" s="1"/>
  <c r="S26" i="9"/>
  <c r="AL27" i="9"/>
  <c r="AH27" i="9"/>
  <c r="Z27" i="9"/>
  <c r="V27" i="9"/>
  <c r="AB27" i="9" s="1"/>
  <c r="R27" i="9"/>
  <c r="N27" i="9"/>
  <c r="AJ27" i="9"/>
  <c r="T27" i="9"/>
  <c r="O27" i="9"/>
  <c r="AI27" i="9"/>
  <c r="AC27" i="9"/>
  <c r="AE27" i="9" s="1"/>
  <c r="X27" i="9"/>
  <c r="Y27" i="9" s="1"/>
  <c r="S27" i="9"/>
  <c r="M27" i="9"/>
  <c r="W27" i="9"/>
  <c r="AD27" i="9" s="1"/>
  <c r="S30" i="9"/>
  <c r="AL31" i="9"/>
  <c r="AH31" i="9"/>
  <c r="Z31" i="9"/>
  <c r="V31" i="9"/>
  <c r="AB31" i="9" s="1"/>
  <c r="R31" i="9"/>
  <c r="N31" i="9"/>
  <c r="AJ31" i="9"/>
  <c r="Y31" i="9"/>
  <c r="T31" i="9"/>
  <c r="O31" i="9"/>
  <c r="AI31" i="9"/>
  <c r="AC31" i="9"/>
  <c r="AE31" i="9" s="1"/>
  <c r="X31" i="9"/>
  <c r="S31" i="9"/>
  <c r="M31" i="9"/>
  <c r="W31" i="9"/>
  <c r="AD31" i="9" s="1"/>
  <c r="S34" i="9"/>
  <c r="AL35" i="9"/>
  <c r="AH35" i="9"/>
  <c r="Z35" i="9"/>
  <c r="AA35" i="9" s="1"/>
  <c r="AG35" i="9" s="1"/>
  <c r="V35" i="9"/>
  <c r="AB35" i="9" s="1"/>
  <c r="R35" i="9"/>
  <c r="N35" i="9"/>
  <c r="AJ35" i="9"/>
  <c r="Y35" i="9"/>
  <c r="T35" i="9"/>
  <c r="O35" i="9"/>
  <c r="AI35" i="9"/>
  <c r="AC35" i="9"/>
  <c r="AE35" i="9" s="1"/>
  <c r="X35" i="9"/>
  <c r="S35" i="9"/>
  <c r="M35" i="9"/>
  <c r="W35" i="9"/>
  <c r="AD35" i="9" s="1"/>
  <c r="S38" i="9"/>
  <c r="AL39" i="9"/>
  <c r="AH39" i="9"/>
  <c r="Z39" i="9"/>
  <c r="V39" i="9"/>
  <c r="AB39" i="9" s="1"/>
  <c r="R39" i="9"/>
  <c r="N39" i="9"/>
  <c r="AJ39" i="9"/>
  <c r="Y39" i="9"/>
  <c r="T39" i="9"/>
  <c r="O39" i="9"/>
  <c r="AI39" i="9"/>
  <c r="AC39" i="9"/>
  <c r="AE39" i="9" s="1"/>
  <c r="X39" i="9"/>
  <c r="S39" i="9"/>
  <c r="M39" i="9"/>
  <c r="W39" i="9"/>
  <c r="AD39" i="9" s="1"/>
  <c r="S42" i="9"/>
  <c r="AL43" i="9"/>
  <c r="AH43" i="9"/>
  <c r="Z43" i="9"/>
  <c r="V43" i="9"/>
  <c r="AB43" i="9" s="1"/>
  <c r="R43" i="9"/>
  <c r="N43" i="9"/>
  <c r="AJ43" i="9"/>
  <c r="T43" i="9"/>
  <c r="O43" i="9"/>
  <c r="AI43" i="9"/>
  <c r="AC43" i="9"/>
  <c r="AE43" i="9" s="1"/>
  <c r="X43" i="9"/>
  <c r="Y43" i="9" s="1"/>
  <c r="S43" i="9"/>
  <c r="M43" i="9"/>
  <c r="W43" i="9"/>
  <c r="AD43" i="9" s="1"/>
  <c r="S46" i="9"/>
  <c r="AL47" i="9"/>
  <c r="AH47" i="9"/>
  <c r="Z47" i="9"/>
  <c r="V47" i="9"/>
  <c r="AB47" i="9" s="1"/>
  <c r="R47" i="9"/>
  <c r="N47" i="9"/>
  <c r="AJ47" i="9"/>
  <c r="Y47" i="9"/>
  <c r="T47" i="9"/>
  <c r="O47" i="9"/>
  <c r="AI47" i="9"/>
  <c r="AC47" i="9"/>
  <c r="AE47" i="9" s="1"/>
  <c r="X47" i="9"/>
  <c r="S47" i="9"/>
  <c r="M47" i="9"/>
  <c r="W47" i="9"/>
  <c r="AD47" i="9" s="1"/>
  <c r="S50" i="9"/>
  <c r="AL51" i="9"/>
  <c r="AH51" i="9"/>
  <c r="Z51" i="9"/>
  <c r="AA51" i="9" s="1"/>
  <c r="AG51" i="9" s="1"/>
  <c r="V51" i="9"/>
  <c r="AB51" i="9" s="1"/>
  <c r="R51" i="9"/>
  <c r="N51" i="9"/>
  <c r="AJ51" i="9"/>
  <c r="Y51" i="9"/>
  <c r="T51" i="9"/>
  <c r="O51" i="9"/>
  <c r="AI51" i="9"/>
  <c r="AC51" i="9"/>
  <c r="AE51" i="9" s="1"/>
  <c r="X51" i="9"/>
  <c r="S51" i="9"/>
  <c r="M51" i="9"/>
  <c r="W51" i="9"/>
  <c r="AD51" i="9" s="1"/>
  <c r="S54" i="9"/>
  <c r="AL55" i="9"/>
  <c r="AH55" i="9"/>
  <c r="Z55" i="9"/>
  <c r="V55" i="9"/>
  <c r="AB55" i="9" s="1"/>
  <c r="R55" i="9"/>
  <c r="N55" i="9"/>
  <c r="AJ55" i="9"/>
  <c r="Y55" i="9"/>
  <c r="T55" i="9"/>
  <c r="O55" i="9"/>
  <c r="AI55" i="9"/>
  <c r="AC55" i="9"/>
  <c r="AE55" i="9" s="1"/>
  <c r="X55" i="9"/>
  <c r="S55" i="9"/>
  <c r="M55" i="9"/>
  <c r="W55" i="9"/>
  <c r="AD55" i="9" s="1"/>
  <c r="S58" i="9"/>
  <c r="AL59" i="9"/>
  <c r="AH59" i="9"/>
  <c r="Z59" i="9"/>
  <c r="V59" i="9"/>
  <c r="AB59" i="9" s="1"/>
  <c r="R59" i="9"/>
  <c r="N59" i="9"/>
  <c r="AJ59" i="9"/>
  <c r="T59" i="9"/>
  <c r="O59" i="9"/>
  <c r="AI59" i="9"/>
  <c r="AC59" i="9"/>
  <c r="AE59" i="9" s="1"/>
  <c r="X59" i="9"/>
  <c r="Y59" i="9" s="1"/>
  <c r="S59" i="9"/>
  <c r="M59" i="9"/>
  <c r="W59" i="9"/>
  <c r="AD59" i="9" s="1"/>
  <c r="S62" i="9"/>
  <c r="AL63" i="9"/>
  <c r="AH63" i="9"/>
  <c r="Z63" i="9"/>
  <c r="V63" i="9"/>
  <c r="AB63" i="9" s="1"/>
  <c r="R63" i="9"/>
  <c r="N63" i="9"/>
  <c r="AJ63" i="9"/>
  <c r="Y63" i="9"/>
  <c r="T63" i="9"/>
  <c r="O63" i="9"/>
  <c r="AI63" i="9"/>
  <c r="AC63" i="9"/>
  <c r="AE63" i="9" s="1"/>
  <c r="X63" i="9"/>
  <c r="S63" i="9"/>
  <c r="M63" i="9"/>
  <c r="W63" i="9"/>
  <c r="AD63" i="9" s="1"/>
  <c r="S66" i="9"/>
  <c r="AL67" i="9"/>
  <c r="AH67" i="9"/>
  <c r="Z67" i="9"/>
  <c r="AA67" i="9" s="1"/>
  <c r="AG67" i="9" s="1"/>
  <c r="V67" i="9"/>
  <c r="AB67" i="9" s="1"/>
  <c r="R67" i="9"/>
  <c r="N67" i="9"/>
  <c r="AJ67" i="9"/>
  <c r="Y67" i="9"/>
  <c r="T67" i="9"/>
  <c r="O67" i="9"/>
  <c r="AI67" i="9"/>
  <c r="AC67" i="9"/>
  <c r="AE67" i="9" s="1"/>
  <c r="X67" i="9"/>
  <c r="S67" i="9"/>
  <c r="M67" i="9"/>
  <c r="W67" i="9"/>
  <c r="AD67" i="9" s="1"/>
  <c r="S70" i="9"/>
  <c r="AL71" i="9"/>
  <c r="AH71" i="9"/>
  <c r="Z71" i="9"/>
  <c r="V71" i="9"/>
  <c r="AB71" i="9" s="1"/>
  <c r="R71" i="9"/>
  <c r="N71" i="9"/>
  <c r="AJ71" i="9"/>
  <c r="Y71" i="9"/>
  <c r="T71" i="9"/>
  <c r="O71" i="9"/>
  <c r="AI71" i="9"/>
  <c r="AC71" i="9"/>
  <c r="AE71" i="9" s="1"/>
  <c r="X71" i="9"/>
  <c r="S71" i="9"/>
  <c r="M71" i="9"/>
  <c r="W71" i="9"/>
  <c r="AD71" i="9" s="1"/>
  <c r="S74" i="9"/>
  <c r="AL75" i="9"/>
  <c r="AH75" i="9"/>
  <c r="Z75" i="9"/>
  <c r="V75" i="9"/>
  <c r="AB75" i="9" s="1"/>
  <c r="R75" i="9"/>
  <c r="N75" i="9"/>
  <c r="AJ75" i="9"/>
  <c r="T75" i="9"/>
  <c r="O75" i="9"/>
  <c r="AI75" i="9"/>
  <c r="AC75" i="9"/>
  <c r="AE75" i="9" s="1"/>
  <c r="X75" i="9"/>
  <c r="Y75" i="9" s="1"/>
  <c r="S75" i="9"/>
  <c r="M75" i="9"/>
  <c r="W75" i="9"/>
  <c r="AD75" i="9" s="1"/>
  <c r="S78" i="9"/>
  <c r="AL79" i="9"/>
  <c r="AH79" i="9"/>
  <c r="Z79" i="9"/>
  <c r="V79" i="9"/>
  <c r="AB79" i="9" s="1"/>
  <c r="R79" i="9"/>
  <c r="N79" i="9"/>
  <c r="AJ79" i="9"/>
  <c r="Y79" i="9"/>
  <c r="T79" i="9"/>
  <c r="O79" i="9"/>
  <c r="AI79" i="9"/>
  <c r="AC79" i="9"/>
  <c r="AE79" i="9" s="1"/>
  <c r="X79" i="9"/>
  <c r="S79" i="9"/>
  <c r="M79" i="9"/>
  <c r="W79" i="9"/>
  <c r="AD79" i="9" s="1"/>
  <c r="S82" i="9"/>
  <c r="AL83" i="9"/>
  <c r="AH83" i="9"/>
  <c r="Z83" i="9"/>
  <c r="AA83" i="9" s="1"/>
  <c r="AG83" i="9" s="1"/>
  <c r="V83" i="9"/>
  <c r="AB83" i="9" s="1"/>
  <c r="R83" i="9"/>
  <c r="N83" i="9"/>
  <c r="AJ83" i="9"/>
  <c r="Y83" i="9"/>
  <c r="T83" i="9"/>
  <c r="O83" i="9"/>
  <c r="AI83" i="9"/>
  <c r="AC83" i="9"/>
  <c r="AE83" i="9" s="1"/>
  <c r="X83" i="9"/>
  <c r="S83" i="9"/>
  <c r="M83" i="9"/>
  <c r="W83" i="9"/>
  <c r="AD83" i="9" s="1"/>
  <c r="S86" i="9"/>
  <c r="AL87" i="9"/>
  <c r="AH87" i="9"/>
  <c r="Z87" i="9"/>
  <c r="V87" i="9"/>
  <c r="AB87" i="9" s="1"/>
  <c r="R87" i="9"/>
  <c r="N87" i="9"/>
  <c r="AJ87" i="9"/>
  <c r="Y87" i="9"/>
  <c r="T87" i="9"/>
  <c r="O87" i="9"/>
  <c r="AI87" i="9"/>
  <c r="AC87" i="9"/>
  <c r="AE87" i="9" s="1"/>
  <c r="X87" i="9"/>
  <c r="S87" i="9"/>
  <c r="M87" i="9"/>
  <c r="W87" i="9"/>
  <c r="AD87" i="9" s="1"/>
  <c r="S90" i="9"/>
  <c r="AL91" i="9"/>
  <c r="AH91" i="9"/>
  <c r="Z91" i="9"/>
  <c r="V91" i="9"/>
  <c r="AB91" i="9" s="1"/>
  <c r="R91" i="9"/>
  <c r="N91" i="9"/>
  <c r="AJ91" i="9"/>
  <c r="T91" i="9"/>
  <c r="O91" i="9"/>
  <c r="AI91" i="9"/>
  <c r="AC91" i="9"/>
  <c r="AE91" i="9" s="1"/>
  <c r="X91" i="9"/>
  <c r="Y91" i="9" s="1"/>
  <c r="S91" i="9"/>
  <c r="M91" i="9"/>
  <c r="W91" i="9"/>
  <c r="AD91" i="9" s="1"/>
  <c r="S94" i="9"/>
  <c r="AL95" i="9"/>
  <c r="AH95" i="9"/>
  <c r="Z95" i="9"/>
  <c r="V95" i="9"/>
  <c r="AB95" i="9" s="1"/>
  <c r="R95" i="9"/>
  <c r="N95" i="9"/>
  <c r="AJ95" i="9"/>
  <c r="Y95" i="9"/>
  <c r="T95" i="9"/>
  <c r="O95" i="9"/>
  <c r="AI95" i="9"/>
  <c r="AC95" i="9"/>
  <c r="AE95" i="9" s="1"/>
  <c r="X95" i="9"/>
  <c r="S95" i="9"/>
  <c r="M95" i="9"/>
  <c r="W95" i="9"/>
  <c r="AD95" i="9" s="1"/>
  <c r="S98" i="9"/>
  <c r="AL99" i="9"/>
  <c r="AH99" i="9"/>
  <c r="Z99" i="9"/>
  <c r="AA99" i="9" s="1"/>
  <c r="AG99" i="9" s="1"/>
  <c r="V99" i="9"/>
  <c r="AB99" i="9" s="1"/>
  <c r="R99" i="9"/>
  <c r="N99" i="9"/>
  <c r="AJ99" i="9"/>
  <c r="Y99" i="9"/>
  <c r="T99" i="9"/>
  <c r="O99" i="9"/>
  <c r="AI99" i="9"/>
  <c r="AC99" i="9"/>
  <c r="AE99" i="9" s="1"/>
  <c r="X99" i="9"/>
  <c r="S99" i="9"/>
  <c r="M99" i="9"/>
  <c r="W99" i="9"/>
  <c r="AD99" i="9" s="1"/>
  <c r="S102" i="9"/>
  <c r="AL103" i="9"/>
  <c r="AH103" i="9"/>
  <c r="Z103" i="9"/>
  <c r="V103" i="9"/>
  <c r="AB103" i="9" s="1"/>
  <c r="R103" i="9"/>
  <c r="N103" i="9"/>
  <c r="AJ103" i="9"/>
  <c r="Y103" i="9"/>
  <c r="T103" i="9"/>
  <c r="O103" i="9"/>
  <c r="AI103" i="9"/>
  <c r="AC103" i="9"/>
  <c r="AE103" i="9" s="1"/>
  <c r="X103" i="9"/>
  <c r="S103" i="9"/>
  <c r="M103" i="9"/>
  <c r="W103" i="9"/>
  <c r="AD103" i="9" s="1"/>
  <c r="S106" i="9"/>
  <c r="AL107" i="9"/>
  <c r="AH107" i="9"/>
  <c r="Z107" i="9"/>
  <c r="V107" i="9"/>
  <c r="AB107" i="9" s="1"/>
  <c r="R107" i="9"/>
  <c r="N107" i="9"/>
  <c r="AJ107" i="9"/>
  <c r="T107" i="9"/>
  <c r="O107" i="9"/>
  <c r="AI107" i="9"/>
  <c r="AC107" i="9"/>
  <c r="AE107" i="9" s="1"/>
  <c r="X107" i="9"/>
  <c r="Y107" i="9" s="1"/>
  <c r="S107" i="9"/>
  <c r="M107" i="9"/>
  <c r="W107" i="9"/>
  <c r="AD107" i="9" s="1"/>
  <c r="S110" i="9"/>
  <c r="AL111" i="9"/>
  <c r="AH111" i="9"/>
  <c r="Z111" i="9"/>
  <c r="V111" i="9"/>
  <c r="AB111" i="9" s="1"/>
  <c r="R111" i="9"/>
  <c r="N111" i="9"/>
  <c r="AJ111" i="9"/>
  <c r="Y111" i="9"/>
  <c r="T111" i="9"/>
  <c r="O111" i="9"/>
  <c r="AI111" i="9"/>
  <c r="AC111" i="9"/>
  <c r="AE111" i="9" s="1"/>
  <c r="X111" i="9"/>
  <c r="S111" i="9"/>
  <c r="M111" i="9"/>
  <c r="W111" i="9"/>
  <c r="AD111" i="9" s="1"/>
  <c r="S114" i="9"/>
  <c r="AL115" i="9"/>
  <c r="AH115" i="9"/>
  <c r="Z115" i="9"/>
  <c r="AA115" i="9" s="1"/>
  <c r="AG115" i="9" s="1"/>
  <c r="V115" i="9"/>
  <c r="AB115" i="9" s="1"/>
  <c r="R115" i="9"/>
  <c r="N115" i="9"/>
  <c r="AJ115" i="9"/>
  <c r="Y115" i="9"/>
  <c r="T115" i="9"/>
  <c r="O115" i="9"/>
  <c r="AI115" i="9"/>
  <c r="AC115" i="9"/>
  <c r="AE115" i="9" s="1"/>
  <c r="X115" i="9"/>
  <c r="S115" i="9"/>
  <c r="M115" i="9"/>
  <c r="W115" i="9"/>
  <c r="AD115" i="9" s="1"/>
  <c r="S118" i="9"/>
  <c r="AL119" i="9"/>
  <c r="AH119" i="9"/>
  <c r="Z119" i="9"/>
  <c r="V119" i="9"/>
  <c r="AB119" i="9" s="1"/>
  <c r="R119" i="9"/>
  <c r="N119" i="9"/>
  <c r="AJ119" i="9"/>
  <c r="Y119" i="9"/>
  <c r="T119" i="9"/>
  <c r="O119" i="9"/>
  <c r="AI119" i="9"/>
  <c r="AC119" i="9"/>
  <c r="AE119" i="9" s="1"/>
  <c r="X119" i="9"/>
  <c r="S119" i="9"/>
  <c r="M119" i="9"/>
  <c r="W119" i="9"/>
  <c r="AD119" i="9" s="1"/>
  <c r="S122" i="9"/>
  <c r="AL123" i="9"/>
  <c r="AH123" i="9"/>
  <c r="Z123" i="9"/>
  <c r="V123" i="9"/>
  <c r="AB123" i="9" s="1"/>
  <c r="R123" i="9"/>
  <c r="N123" i="9"/>
  <c r="AJ123" i="9"/>
  <c r="T123" i="9"/>
  <c r="O123" i="9"/>
  <c r="AI123" i="9"/>
  <c r="AC123" i="9"/>
  <c r="AE123" i="9" s="1"/>
  <c r="X123" i="9"/>
  <c r="Y123" i="9" s="1"/>
  <c r="S123" i="9"/>
  <c r="M123" i="9"/>
  <c r="W123" i="9"/>
  <c r="AD123" i="9" s="1"/>
  <c r="S126" i="9"/>
  <c r="AL127" i="9"/>
  <c r="AH127" i="9"/>
  <c r="Z127" i="9"/>
  <c r="V127" i="9"/>
  <c r="AB127" i="9" s="1"/>
  <c r="R127" i="9"/>
  <c r="N127" i="9"/>
  <c r="AJ127" i="9"/>
  <c r="Y127" i="9"/>
  <c r="T127" i="9"/>
  <c r="O127" i="9"/>
  <c r="AI127" i="9"/>
  <c r="AC127" i="9"/>
  <c r="AE127" i="9" s="1"/>
  <c r="X127" i="9"/>
  <c r="S127" i="9"/>
  <c r="M127" i="9"/>
  <c r="W127" i="9"/>
  <c r="AD127" i="9" s="1"/>
  <c r="S130" i="9"/>
  <c r="AL131" i="9"/>
  <c r="AH131" i="9"/>
  <c r="Z131" i="9"/>
  <c r="AA131" i="9" s="1"/>
  <c r="AG131" i="9" s="1"/>
  <c r="V131" i="9"/>
  <c r="AB131" i="9" s="1"/>
  <c r="R131" i="9"/>
  <c r="N131" i="9"/>
  <c r="AJ131" i="9"/>
  <c r="Y131" i="9"/>
  <c r="T131" i="9"/>
  <c r="O131" i="9"/>
  <c r="AI131" i="9"/>
  <c r="AC131" i="9"/>
  <c r="AE131" i="9" s="1"/>
  <c r="X131" i="9"/>
  <c r="S131" i="9"/>
  <c r="M131" i="9"/>
  <c r="W131" i="9"/>
  <c r="AD131" i="9" s="1"/>
  <c r="S134" i="9"/>
  <c r="AL135" i="9"/>
  <c r="AH135" i="9"/>
  <c r="Z135" i="9"/>
  <c r="V135" i="9"/>
  <c r="AB135" i="9" s="1"/>
  <c r="R135" i="9"/>
  <c r="N135" i="9"/>
  <c r="AJ135" i="9"/>
  <c r="Y135" i="9"/>
  <c r="T135" i="9"/>
  <c r="O135" i="9"/>
  <c r="AI135" i="9"/>
  <c r="AC135" i="9"/>
  <c r="AE135" i="9" s="1"/>
  <c r="X135" i="9"/>
  <c r="S135" i="9"/>
  <c r="M135" i="9"/>
  <c r="W135" i="9"/>
  <c r="AD135" i="9" s="1"/>
  <c r="S138" i="9"/>
  <c r="AL139" i="9"/>
  <c r="AH139" i="9"/>
  <c r="Z139" i="9"/>
  <c r="V139" i="9"/>
  <c r="AB139" i="9" s="1"/>
  <c r="R139" i="9"/>
  <c r="N139" i="9"/>
  <c r="AJ139" i="9"/>
  <c r="T139" i="9"/>
  <c r="O139" i="9"/>
  <c r="AI139" i="9"/>
  <c r="AC139" i="9"/>
  <c r="AE139" i="9" s="1"/>
  <c r="X139" i="9"/>
  <c r="Y139" i="9" s="1"/>
  <c r="S139" i="9"/>
  <c r="M139" i="9"/>
  <c r="W139" i="9"/>
  <c r="AD139" i="9" s="1"/>
  <c r="S142" i="9"/>
  <c r="AL143" i="9"/>
  <c r="AH143" i="9"/>
  <c r="Z143" i="9"/>
  <c r="V143" i="9"/>
  <c r="AB143" i="9" s="1"/>
  <c r="R143" i="9"/>
  <c r="N143" i="9"/>
  <c r="AJ143" i="9"/>
  <c r="Y143" i="9"/>
  <c r="T143" i="9"/>
  <c r="O143" i="9"/>
  <c r="AI143" i="9"/>
  <c r="AC143" i="9"/>
  <c r="AE143" i="9" s="1"/>
  <c r="X143" i="9"/>
  <c r="S143" i="9"/>
  <c r="M143" i="9"/>
  <c r="W143" i="9"/>
  <c r="AD143" i="9" s="1"/>
  <c r="S146" i="9"/>
  <c r="AL147" i="9"/>
  <c r="AH147" i="9"/>
  <c r="Z147" i="9"/>
  <c r="AA147" i="9" s="1"/>
  <c r="AG147" i="9" s="1"/>
  <c r="V147" i="9"/>
  <c r="AB147" i="9" s="1"/>
  <c r="R147" i="9"/>
  <c r="N147" i="9"/>
  <c r="AJ147" i="9"/>
  <c r="Y147" i="9"/>
  <c r="T147" i="9"/>
  <c r="O147" i="9"/>
  <c r="AI147" i="9"/>
  <c r="AC147" i="9"/>
  <c r="AE147" i="9" s="1"/>
  <c r="X147" i="9"/>
  <c r="S147" i="9"/>
  <c r="M147" i="9"/>
  <c r="W147" i="9"/>
  <c r="AD147" i="9" s="1"/>
  <c r="S150" i="9"/>
  <c r="AL151" i="9"/>
  <c r="AH151" i="9"/>
  <c r="Z151" i="9"/>
  <c r="V151" i="9"/>
  <c r="AB151" i="9" s="1"/>
  <c r="R151" i="9"/>
  <c r="N151" i="9"/>
  <c r="AJ151" i="9"/>
  <c r="Y151" i="9"/>
  <c r="T151" i="9"/>
  <c r="O151" i="9"/>
  <c r="AI151" i="9"/>
  <c r="AC151" i="9"/>
  <c r="AE151" i="9" s="1"/>
  <c r="X151" i="9"/>
  <c r="S151" i="9"/>
  <c r="M151" i="9"/>
  <c r="W151" i="9"/>
  <c r="AD151" i="9" s="1"/>
  <c r="S154" i="9"/>
  <c r="AL155" i="9"/>
  <c r="AH155" i="9"/>
  <c r="Z155" i="9"/>
  <c r="V155" i="9"/>
  <c r="AB155" i="9" s="1"/>
  <c r="R155" i="9"/>
  <c r="N155" i="9"/>
  <c r="AJ155" i="9"/>
  <c r="T155" i="9"/>
  <c r="O155" i="9"/>
  <c r="AI155" i="9"/>
  <c r="AC155" i="9"/>
  <c r="AE155" i="9" s="1"/>
  <c r="X155" i="9"/>
  <c r="Y155" i="9" s="1"/>
  <c r="S155" i="9"/>
  <c r="M155" i="9"/>
  <c r="W155" i="9"/>
  <c r="AD155" i="9" s="1"/>
  <c r="S158" i="9"/>
  <c r="AL159" i="9"/>
  <c r="AH159" i="9"/>
  <c r="Z159" i="9"/>
  <c r="V159" i="9"/>
  <c r="AB159" i="9" s="1"/>
  <c r="R159" i="9"/>
  <c r="N159" i="9"/>
  <c r="AJ159" i="9"/>
  <c r="Y159" i="9"/>
  <c r="T159" i="9"/>
  <c r="O159" i="9"/>
  <c r="AI159" i="9"/>
  <c r="AC159" i="9"/>
  <c r="AE159" i="9" s="1"/>
  <c r="X159" i="9"/>
  <c r="S159" i="9"/>
  <c r="M159" i="9"/>
  <c r="W159" i="9"/>
  <c r="AD159" i="9" s="1"/>
  <c r="S162" i="9"/>
  <c r="AL163" i="9"/>
  <c r="AH163" i="9"/>
  <c r="Z163" i="9"/>
  <c r="AA163" i="9" s="1"/>
  <c r="AG163" i="9" s="1"/>
  <c r="V163" i="9"/>
  <c r="AB163" i="9" s="1"/>
  <c r="R163" i="9"/>
  <c r="N163" i="9"/>
  <c r="AJ163" i="9"/>
  <c r="Y163" i="9"/>
  <c r="T163" i="9"/>
  <c r="O163" i="9"/>
  <c r="AI163" i="9"/>
  <c r="AC163" i="9"/>
  <c r="AE163" i="9" s="1"/>
  <c r="X163" i="9"/>
  <c r="S163" i="9"/>
  <c r="M163" i="9"/>
  <c r="W163" i="9"/>
  <c r="AD163" i="9" s="1"/>
  <c r="S166" i="9"/>
  <c r="AL167" i="9"/>
  <c r="AH167" i="9"/>
  <c r="Z167" i="9"/>
  <c r="V167" i="9"/>
  <c r="AB167" i="9" s="1"/>
  <c r="R167" i="9"/>
  <c r="N167" i="9"/>
  <c r="AJ167" i="9"/>
  <c r="Y167" i="9"/>
  <c r="T167" i="9"/>
  <c r="O167" i="9"/>
  <c r="AI167" i="9"/>
  <c r="AC167" i="9"/>
  <c r="AE167" i="9" s="1"/>
  <c r="X167" i="9"/>
  <c r="S167" i="9"/>
  <c r="M167" i="9"/>
  <c r="W167" i="9"/>
  <c r="AD167" i="9" s="1"/>
  <c r="S170" i="9"/>
  <c r="AL171" i="9"/>
  <c r="AH171" i="9"/>
  <c r="Z171" i="9"/>
  <c r="V171" i="9"/>
  <c r="AB171" i="9" s="1"/>
  <c r="R171" i="9"/>
  <c r="N171" i="9"/>
  <c r="AJ171" i="9"/>
  <c r="T171" i="9"/>
  <c r="O171" i="9"/>
  <c r="AI171" i="9"/>
  <c r="AC171" i="9"/>
  <c r="AE171" i="9" s="1"/>
  <c r="X171" i="9"/>
  <c r="Y171" i="9" s="1"/>
  <c r="S171" i="9"/>
  <c r="M171" i="9"/>
  <c r="W171" i="9"/>
  <c r="AD171" i="9" s="1"/>
  <c r="S174" i="9"/>
  <c r="AL175" i="9"/>
  <c r="AH175" i="9"/>
  <c r="Z175" i="9"/>
  <c r="V175" i="9"/>
  <c r="AB175" i="9" s="1"/>
  <c r="R175" i="9"/>
  <c r="N175" i="9"/>
  <c r="AJ175" i="9"/>
  <c r="Y175" i="9"/>
  <c r="T175" i="9"/>
  <c r="O175" i="9"/>
  <c r="AI175" i="9"/>
  <c r="AC175" i="9"/>
  <c r="AE175" i="9" s="1"/>
  <c r="X175" i="9"/>
  <c r="S175" i="9"/>
  <c r="M175" i="9"/>
  <c r="W175" i="9"/>
  <c r="AD175" i="9" s="1"/>
  <c r="S178" i="9"/>
  <c r="AL179" i="9"/>
  <c r="AH179" i="9"/>
  <c r="Z179" i="9"/>
  <c r="AA179" i="9" s="1"/>
  <c r="AG179" i="9" s="1"/>
  <c r="V179" i="9"/>
  <c r="AB179" i="9" s="1"/>
  <c r="R179" i="9"/>
  <c r="N179" i="9"/>
  <c r="AJ179" i="9"/>
  <c r="Y179" i="9"/>
  <c r="T179" i="9"/>
  <c r="O179" i="9"/>
  <c r="AI179" i="9"/>
  <c r="AC179" i="9"/>
  <c r="AE179" i="9" s="1"/>
  <c r="X179" i="9"/>
  <c r="S179" i="9"/>
  <c r="M179" i="9"/>
  <c r="W179" i="9"/>
  <c r="AD179" i="9" s="1"/>
  <c r="S182" i="9"/>
  <c r="AL183" i="9"/>
  <c r="AH183" i="9"/>
  <c r="Z183" i="9"/>
  <c r="V183" i="9"/>
  <c r="AB183" i="9" s="1"/>
  <c r="R183" i="9"/>
  <c r="N183" i="9"/>
  <c r="AJ183" i="9"/>
  <c r="Y183" i="9"/>
  <c r="T183" i="9"/>
  <c r="O183" i="9"/>
  <c r="AI183" i="9"/>
  <c r="AC183" i="9"/>
  <c r="AE183" i="9" s="1"/>
  <c r="X183" i="9"/>
  <c r="S183" i="9"/>
  <c r="M183" i="9"/>
  <c r="W183" i="9"/>
  <c r="AD183" i="9" s="1"/>
  <c r="AL190" i="9"/>
  <c r="AH190" i="9"/>
  <c r="Z190" i="9"/>
  <c r="AA190" i="9" s="1"/>
  <c r="AG190" i="9" s="1"/>
  <c r="V190" i="9"/>
  <c r="AB190" i="9" s="1"/>
  <c r="R190" i="9"/>
  <c r="N190" i="9"/>
  <c r="AI190" i="9"/>
  <c r="AC190" i="9"/>
  <c r="AE190" i="9" s="1"/>
  <c r="X190" i="9"/>
  <c r="S190" i="9"/>
  <c r="M190" i="9"/>
  <c r="AK190" i="9"/>
  <c r="U190" i="9"/>
  <c r="AF190" i="9" s="1"/>
  <c r="P190" i="9"/>
  <c r="K190" i="9"/>
  <c r="AJ190" i="9"/>
  <c r="Y190" i="9"/>
  <c r="T190" i="9"/>
  <c r="O190" i="9"/>
  <c r="Q194" i="9"/>
  <c r="W198" i="9"/>
  <c r="AD198" i="9" s="1"/>
  <c r="AL206" i="9"/>
  <c r="AH206" i="9"/>
  <c r="Z206" i="9"/>
  <c r="V206" i="9"/>
  <c r="AB206" i="9" s="1"/>
  <c r="R206" i="9"/>
  <c r="N206" i="9"/>
  <c r="AI206" i="9"/>
  <c r="AC206" i="9"/>
  <c r="AE206" i="9" s="1"/>
  <c r="X206" i="9"/>
  <c r="Y206" i="9" s="1"/>
  <c r="S206" i="9"/>
  <c r="M206" i="9"/>
  <c r="AK206" i="9"/>
  <c r="AA206" i="9"/>
  <c r="AG206" i="9" s="1"/>
  <c r="U206" i="9"/>
  <c r="AF206" i="9" s="1"/>
  <c r="P206" i="9"/>
  <c r="K206" i="9"/>
  <c r="AJ206" i="9"/>
  <c r="T206" i="9"/>
  <c r="O206" i="9"/>
  <c r="Q210" i="9"/>
  <c r="W214" i="9"/>
  <c r="AD214" i="9" s="1"/>
  <c r="AL222" i="9"/>
  <c r="AH222" i="9"/>
  <c r="Z222" i="9"/>
  <c r="AA222" i="9" s="1"/>
  <c r="AG222" i="9" s="1"/>
  <c r="V222" i="9"/>
  <c r="AB222" i="9" s="1"/>
  <c r="R222" i="9"/>
  <c r="N222" i="9"/>
  <c r="AI222" i="9"/>
  <c r="AC222" i="9"/>
  <c r="AE222" i="9" s="1"/>
  <c r="X222" i="9"/>
  <c r="S222" i="9"/>
  <c r="M222" i="9"/>
  <c r="AK222" i="9"/>
  <c r="U222" i="9"/>
  <c r="AF222" i="9" s="1"/>
  <c r="P222" i="9"/>
  <c r="K222" i="9"/>
  <c r="AJ222" i="9"/>
  <c r="Y222" i="9"/>
  <c r="T222" i="9"/>
  <c r="O222" i="9"/>
  <c r="P5" i="8"/>
  <c r="T5" i="8"/>
  <c r="X5" i="8"/>
  <c r="Y5" i="8" s="1"/>
  <c r="AB5" i="8"/>
  <c r="P9" i="8"/>
  <c r="T9" i="8"/>
  <c r="X9" i="8"/>
  <c r="Y9" i="8" s="1"/>
  <c r="AB9" i="8"/>
  <c r="P10" i="8"/>
  <c r="T10" i="8"/>
  <c r="X10" i="8"/>
  <c r="Y10" i="8" s="1"/>
  <c r="AB10" i="8"/>
  <c r="P11" i="8"/>
  <c r="T11" i="8"/>
  <c r="X11" i="8"/>
  <c r="Y11" i="8" s="1"/>
  <c r="AB11" i="8"/>
  <c r="P12" i="8"/>
  <c r="T12" i="8"/>
  <c r="X12" i="8"/>
  <c r="Y12" i="8" s="1"/>
  <c r="AB12" i="8"/>
  <c r="P13" i="8"/>
  <c r="T13" i="8"/>
  <c r="X13" i="8"/>
  <c r="Y13" i="8" s="1"/>
  <c r="AB13" i="8"/>
  <c r="P14" i="8"/>
  <c r="T14" i="8"/>
  <c r="X14" i="8"/>
  <c r="Y14" i="8" s="1"/>
  <c r="AB14" i="8"/>
  <c r="P15" i="8"/>
  <c r="T15" i="8"/>
  <c r="X15" i="8"/>
  <c r="Y15" i="8" s="1"/>
  <c r="AB15" i="8"/>
  <c r="P16" i="8"/>
  <c r="T16" i="8"/>
  <c r="X16" i="8"/>
  <c r="Y16" i="8" s="1"/>
  <c r="AB16" i="8"/>
  <c r="P17" i="8"/>
  <c r="T17" i="8"/>
  <c r="X17" i="8"/>
  <c r="Y17" i="8" s="1"/>
  <c r="AB17" i="8"/>
  <c r="P18" i="8"/>
  <c r="T18" i="8"/>
  <c r="X18" i="8"/>
  <c r="Y18" i="8" s="1"/>
  <c r="AB18" i="8"/>
  <c r="P19" i="8"/>
  <c r="T19" i="8"/>
  <c r="X19" i="8"/>
  <c r="Y19" i="8" s="1"/>
  <c r="AB19" i="8"/>
  <c r="P20" i="8"/>
  <c r="T20" i="8"/>
  <c r="X20" i="8"/>
  <c r="Y20" i="8" s="1"/>
  <c r="AB20" i="8"/>
  <c r="P21" i="8"/>
  <c r="T21" i="8"/>
  <c r="X21" i="8"/>
  <c r="Y21" i="8" s="1"/>
  <c r="AB21" i="8"/>
  <c r="P22" i="8"/>
  <c r="T22" i="8"/>
  <c r="X22" i="8"/>
  <c r="Y22" i="8" s="1"/>
  <c r="AB22" i="8"/>
  <c r="P23" i="8"/>
  <c r="T23" i="8"/>
  <c r="X23" i="8"/>
  <c r="Y23" i="8" s="1"/>
  <c r="AB23" i="8"/>
  <c r="P24" i="8"/>
  <c r="T24" i="8"/>
  <c r="X24" i="8"/>
  <c r="Y24" i="8" s="1"/>
  <c r="AB24" i="8"/>
  <c r="P25" i="8"/>
  <c r="T25" i="8"/>
  <c r="X25" i="8"/>
  <c r="Y25" i="8" s="1"/>
  <c r="AB25" i="8"/>
  <c r="P26" i="8"/>
  <c r="T26" i="8"/>
  <c r="X26" i="8"/>
  <c r="Y26" i="8" s="1"/>
  <c r="AB26" i="8"/>
  <c r="P27" i="8"/>
  <c r="T27" i="8"/>
  <c r="X27" i="8"/>
  <c r="Y27" i="8" s="1"/>
  <c r="AB27" i="8"/>
  <c r="P28" i="8"/>
  <c r="T28" i="8"/>
  <c r="X28" i="8"/>
  <c r="Y28" i="8" s="1"/>
  <c r="AB28" i="8"/>
  <c r="P29" i="8"/>
  <c r="T29" i="8"/>
  <c r="X29" i="8"/>
  <c r="Y29" i="8" s="1"/>
  <c r="AB29" i="8"/>
  <c r="P30" i="8"/>
  <c r="T30" i="8"/>
  <c r="X30" i="8"/>
  <c r="Y30" i="8" s="1"/>
  <c r="AB30" i="8"/>
  <c r="P31" i="8"/>
  <c r="T31" i="8"/>
  <c r="X31" i="8"/>
  <c r="Y31" i="8" s="1"/>
  <c r="AB31" i="8"/>
  <c r="P32" i="8"/>
  <c r="T32" i="8"/>
  <c r="X32" i="8"/>
  <c r="Y32" i="8" s="1"/>
  <c r="AB32" i="8"/>
  <c r="P33" i="8"/>
  <c r="T33" i="8"/>
  <c r="X33" i="8"/>
  <c r="Y33" i="8" s="1"/>
  <c r="AB33" i="8"/>
  <c r="P34" i="8"/>
  <c r="T34" i="8"/>
  <c r="X34" i="8"/>
  <c r="Y34" i="8" s="1"/>
  <c r="AB34" i="8"/>
  <c r="P35" i="8"/>
  <c r="T35" i="8"/>
  <c r="X35" i="8"/>
  <c r="Y35" i="8" s="1"/>
  <c r="AB35" i="8"/>
  <c r="P36" i="8"/>
  <c r="T36" i="8"/>
  <c r="X36" i="8"/>
  <c r="Y36" i="8" s="1"/>
  <c r="AB36" i="8"/>
  <c r="P37" i="8"/>
  <c r="T37" i="8"/>
  <c r="X37" i="8"/>
  <c r="Y37" i="8" s="1"/>
  <c r="AB37" i="8"/>
  <c r="P38" i="8"/>
  <c r="T38" i="8"/>
  <c r="X38" i="8"/>
  <c r="Y38" i="8" s="1"/>
  <c r="AB38" i="8"/>
  <c r="P39" i="8"/>
  <c r="T39" i="8"/>
  <c r="X39" i="8"/>
  <c r="Y39" i="8" s="1"/>
  <c r="AB39" i="8"/>
  <c r="P40" i="8"/>
  <c r="T40" i="8"/>
  <c r="X40" i="8"/>
  <c r="Y40" i="8" s="1"/>
  <c r="AB40" i="8"/>
  <c r="P41" i="8"/>
  <c r="T41" i="8"/>
  <c r="X41" i="8"/>
  <c r="Y41" i="8" s="1"/>
  <c r="AB41" i="8"/>
  <c r="P42" i="8"/>
  <c r="T42" i="8"/>
  <c r="X42" i="8"/>
  <c r="Y42" i="8" s="1"/>
  <c r="AB42" i="8"/>
  <c r="P43" i="8"/>
  <c r="T43" i="8"/>
  <c r="X43" i="8"/>
  <c r="Y43" i="8" s="1"/>
  <c r="AB43" i="8"/>
  <c r="P44" i="8"/>
  <c r="T44" i="8"/>
  <c r="X44" i="8"/>
  <c r="Y44" i="8" s="1"/>
  <c r="AB44" i="8"/>
  <c r="P45" i="8"/>
  <c r="T45" i="8"/>
  <c r="X45" i="8"/>
  <c r="Y45" i="8" s="1"/>
  <c r="AB45" i="8"/>
  <c r="P46" i="8"/>
  <c r="T46" i="8"/>
  <c r="X46" i="8"/>
  <c r="Y46" i="8" s="1"/>
  <c r="AB46" i="8"/>
  <c r="P47" i="8"/>
  <c r="T47" i="8"/>
  <c r="X47" i="8"/>
  <c r="Y47" i="8" s="1"/>
  <c r="AB47" i="8"/>
  <c r="P48" i="8"/>
  <c r="T48" i="8"/>
  <c r="X48" i="8"/>
  <c r="Y48" i="8" s="1"/>
  <c r="AB48" i="8"/>
  <c r="P49" i="8"/>
  <c r="T49" i="8"/>
  <c r="X49" i="8"/>
  <c r="Y49" i="8" s="1"/>
  <c r="AB49" i="8"/>
  <c r="P50" i="8"/>
  <c r="T50" i="8"/>
  <c r="X50" i="8"/>
  <c r="Y50" i="8" s="1"/>
  <c r="AB50" i="8"/>
  <c r="P51" i="8"/>
  <c r="T51" i="8"/>
  <c r="X51" i="8"/>
  <c r="Y51" i="8" s="1"/>
  <c r="AB51" i="8"/>
  <c r="P52" i="8"/>
  <c r="T52" i="8"/>
  <c r="X52" i="8"/>
  <c r="Y52" i="8" s="1"/>
  <c r="AB52" i="8"/>
  <c r="P53" i="8"/>
  <c r="T53" i="8"/>
  <c r="X53" i="8"/>
  <c r="Y53" i="8" s="1"/>
  <c r="AB53" i="8"/>
  <c r="P54" i="8"/>
  <c r="T54" i="8"/>
  <c r="X54" i="8"/>
  <c r="Y54" i="8" s="1"/>
  <c r="AB54" i="8"/>
  <c r="P55" i="8"/>
  <c r="T55" i="8"/>
  <c r="X55" i="8"/>
  <c r="Y55" i="8" s="1"/>
  <c r="AB55" i="8"/>
  <c r="P56" i="8"/>
  <c r="T56" i="8"/>
  <c r="X56" i="8"/>
  <c r="Y56" i="8" s="1"/>
  <c r="AB56" i="8"/>
  <c r="P57" i="8"/>
  <c r="T57" i="8"/>
  <c r="X57" i="8"/>
  <c r="Y57" i="8" s="1"/>
  <c r="AB57" i="8"/>
  <c r="P58" i="8"/>
  <c r="T58" i="8"/>
  <c r="X58" i="8"/>
  <c r="Y58" i="8" s="1"/>
  <c r="AB58" i="8"/>
  <c r="P59" i="8"/>
  <c r="T59" i="8"/>
  <c r="X59" i="8"/>
  <c r="Y59" i="8" s="1"/>
  <c r="AB59" i="8"/>
  <c r="P60" i="8"/>
  <c r="T60" i="8"/>
  <c r="X60" i="8"/>
  <c r="Y60" i="8" s="1"/>
  <c r="AB60" i="8"/>
  <c r="P61" i="8"/>
  <c r="T61" i="8"/>
  <c r="X61" i="8"/>
  <c r="Y61" i="8" s="1"/>
  <c r="AB61" i="8"/>
  <c r="P62" i="8"/>
  <c r="T62" i="8"/>
  <c r="X62" i="8"/>
  <c r="Y62" i="8" s="1"/>
  <c r="AB62" i="8"/>
  <c r="P63" i="8"/>
  <c r="T63" i="8"/>
  <c r="X63" i="8"/>
  <c r="Y63" i="8" s="1"/>
  <c r="AB63" i="8"/>
  <c r="P64" i="8"/>
  <c r="T64" i="8"/>
  <c r="X64" i="8"/>
  <c r="Y64" i="8" s="1"/>
  <c r="AB64" i="8"/>
  <c r="P65" i="8"/>
  <c r="T65" i="8"/>
  <c r="X65" i="8"/>
  <c r="Y65" i="8" s="1"/>
  <c r="AB65" i="8"/>
  <c r="P66" i="8"/>
  <c r="T66" i="8"/>
  <c r="X66" i="8"/>
  <c r="Y66" i="8" s="1"/>
  <c r="AB66" i="8"/>
  <c r="P67" i="8"/>
  <c r="T67" i="8"/>
  <c r="X67" i="8"/>
  <c r="Y67" i="8" s="1"/>
  <c r="AB67" i="8"/>
  <c r="P68" i="8"/>
  <c r="T68" i="8"/>
  <c r="X68" i="8"/>
  <c r="Y68" i="8" s="1"/>
  <c r="AB68" i="8"/>
  <c r="P69" i="8"/>
  <c r="T69" i="8"/>
  <c r="X69" i="8"/>
  <c r="Y69" i="8" s="1"/>
  <c r="AB69" i="8"/>
  <c r="P70" i="8"/>
  <c r="T70" i="8"/>
  <c r="X70" i="8"/>
  <c r="Y70" i="8" s="1"/>
  <c r="AB70" i="8"/>
  <c r="P71" i="8"/>
  <c r="T71" i="8"/>
  <c r="X71" i="8"/>
  <c r="Y71" i="8" s="1"/>
  <c r="AB71" i="8"/>
  <c r="P72" i="8"/>
  <c r="T72" i="8"/>
  <c r="X72" i="8"/>
  <c r="Y72" i="8" s="1"/>
  <c r="AB72" i="8"/>
  <c r="P73" i="8"/>
  <c r="T73" i="8"/>
  <c r="X73" i="8"/>
  <c r="Y73" i="8" s="1"/>
  <c r="AB73" i="8"/>
  <c r="P74" i="8"/>
  <c r="T74" i="8"/>
  <c r="X74" i="8"/>
  <c r="Y74" i="8" s="1"/>
  <c r="AB74" i="8"/>
  <c r="P75" i="8"/>
  <c r="T75" i="8"/>
  <c r="X75" i="8"/>
  <c r="Y75" i="8" s="1"/>
  <c r="AB75" i="8"/>
  <c r="P76" i="8"/>
  <c r="T76" i="8"/>
  <c r="X76" i="8"/>
  <c r="Y76" i="8" s="1"/>
  <c r="AB76" i="8"/>
  <c r="P77" i="8"/>
  <c r="T77" i="8"/>
  <c r="X77" i="8"/>
  <c r="Y77" i="8" s="1"/>
  <c r="AB77" i="8"/>
  <c r="P78" i="8"/>
  <c r="T78" i="8"/>
  <c r="X78" i="8"/>
  <c r="Y78" i="8" s="1"/>
  <c r="AB78" i="8"/>
  <c r="P79" i="8"/>
  <c r="T79" i="8"/>
  <c r="X79" i="8"/>
  <c r="Y79" i="8" s="1"/>
  <c r="AB79" i="8"/>
  <c r="P80" i="8"/>
  <c r="T80" i="8"/>
  <c r="X80" i="8"/>
  <c r="Y80" i="8" s="1"/>
  <c r="AB80" i="8"/>
  <c r="P81" i="8"/>
  <c r="T81" i="8"/>
  <c r="X81" i="8"/>
  <c r="Y81" i="8" s="1"/>
  <c r="AB81" i="8"/>
  <c r="P82" i="8"/>
  <c r="T82" i="8"/>
  <c r="X82" i="8"/>
  <c r="Y82" i="8" s="1"/>
  <c r="AB82" i="8"/>
  <c r="P83" i="8"/>
  <c r="T83" i="8"/>
  <c r="X83" i="8"/>
  <c r="Y83" i="8" s="1"/>
  <c r="AB83" i="8"/>
  <c r="P84" i="8"/>
  <c r="T84" i="8"/>
  <c r="X84" i="8"/>
  <c r="Y84" i="8" s="1"/>
  <c r="AB84" i="8"/>
  <c r="P85" i="8"/>
  <c r="T85" i="8"/>
  <c r="X85" i="8"/>
  <c r="Y85" i="8" s="1"/>
  <c r="AB85" i="8"/>
  <c r="P86" i="8"/>
  <c r="T86" i="8"/>
  <c r="X86" i="8"/>
  <c r="Y86" i="8" s="1"/>
  <c r="AB86" i="8"/>
  <c r="P87" i="8"/>
  <c r="T87" i="8"/>
  <c r="X87" i="8"/>
  <c r="Y87" i="8" s="1"/>
  <c r="AB87" i="8"/>
  <c r="P88" i="8"/>
  <c r="T88" i="8"/>
  <c r="X88" i="8"/>
  <c r="Y88" i="8" s="1"/>
  <c r="AB88" i="8"/>
  <c r="P89" i="8"/>
  <c r="T89" i="8"/>
  <c r="X89" i="8"/>
  <c r="Y89" i="8" s="1"/>
  <c r="AB89" i="8"/>
  <c r="P90" i="8"/>
  <c r="T90" i="8"/>
  <c r="X90" i="8"/>
  <c r="Y90" i="8" s="1"/>
  <c r="AB90" i="8"/>
  <c r="P91" i="8"/>
  <c r="T91" i="8"/>
  <c r="X91" i="8"/>
  <c r="Y91" i="8" s="1"/>
  <c r="AB91" i="8"/>
  <c r="P92" i="8"/>
  <c r="T92" i="8"/>
  <c r="X92" i="8"/>
  <c r="Y92" i="8" s="1"/>
  <c r="AB92" i="8"/>
  <c r="P93" i="8"/>
  <c r="T93" i="8"/>
  <c r="X93" i="8"/>
  <c r="Y93" i="8" s="1"/>
  <c r="AB93" i="8"/>
  <c r="P94" i="8"/>
  <c r="T94" i="8"/>
  <c r="X94" i="8"/>
  <c r="Y94" i="8" s="1"/>
  <c r="AB94" i="8"/>
  <c r="P95" i="8"/>
  <c r="T95" i="8"/>
  <c r="X95" i="8"/>
  <c r="Y95" i="8" s="1"/>
  <c r="AB95" i="8"/>
  <c r="P96" i="8"/>
  <c r="T96" i="8"/>
  <c r="X96" i="8"/>
  <c r="Y96" i="8" s="1"/>
  <c r="AB96" i="8"/>
  <c r="P97" i="8"/>
  <c r="T97" i="8"/>
  <c r="X97" i="8"/>
  <c r="Y97" i="8" s="1"/>
  <c r="AB97" i="8"/>
  <c r="P98" i="8"/>
  <c r="T98" i="8"/>
  <c r="X98" i="8"/>
  <c r="Y98" i="8" s="1"/>
  <c r="AB98" i="8"/>
  <c r="P99" i="8"/>
  <c r="T99" i="8"/>
  <c r="X99" i="8"/>
  <c r="Y99" i="8" s="1"/>
  <c r="AB99" i="8"/>
  <c r="P100" i="8"/>
  <c r="T100" i="8"/>
  <c r="X100" i="8"/>
  <c r="Y100" i="8" s="1"/>
  <c r="AB100" i="8"/>
  <c r="P101" i="8"/>
  <c r="T101" i="8"/>
  <c r="X101" i="8"/>
  <c r="Y101" i="8" s="1"/>
  <c r="AB101" i="8"/>
  <c r="P102" i="8"/>
  <c r="T102" i="8"/>
  <c r="X102" i="8"/>
  <c r="Y102" i="8" s="1"/>
  <c r="AB102" i="8"/>
  <c r="P103" i="8"/>
  <c r="T103" i="8"/>
  <c r="X103" i="8"/>
  <c r="Y103" i="8" s="1"/>
  <c r="AB103" i="8"/>
  <c r="P104" i="8"/>
  <c r="T104" i="8"/>
  <c r="X104" i="8"/>
  <c r="Y104" i="8" s="1"/>
  <c r="AB104" i="8"/>
  <c r="P105" i="8"/>
  <c r="T105" i="8"/>
  <c r="X105" i="8"/>
  <c r="Y105" i="8" s="1"/>
  <c r="AB105" i="8"/>
  <c r="P106" i="8"/>
  <c r="T106" i="8"/>
  <c r="X106" i="8"/>
  <c r="Y106" i="8" s="1"/>
  <c r="AB106" i="8"/>
  <c r="P107" i="8"/>
  <c r="T107" i="8"/>
  <c r="X107" i="8"/>
  <c r="Y107" i="8" s="1"/>
  <c r="AB107" i="8"/>
  <c r="P108" i="8"/>
  <c r="T108" i="8"/>
  <c r="X108" i="8"/>
  <c r="Y108" i="8" s="1"/>
  <c r="AB108" i="8"/>
  <c r="P109" i="8"/>
  <c r="T109" i="8"/>
  <c r="X109" i="8"/>
  <c r="Y109" i="8" s="1"/>
  <c r="AB109" i="8"/>
  <c r="P110" i="8"/>
  <c r="T110" i="8"/>
  <c r="X110" i="8"/>
  <c r="Y110" i="8" s="1"/>
  <c r="AB110" i="8"/>
  <c r="P111" i="8"/>
  <c r="T111" i="8"/>
  <c r="X111" i="8"/>
  <c r="Y111" i="8" s="1"/>
  <c r="AB111" i="8"/>
  <c r="P112" i="8"/>
  <c r="T112" i="8"/>
  <c r="X112" i="8"/>
  <c r="Y112" i="8" s="1"/>
  <c r="AB112" i="8"/>
  <c r="P113" i="8"/>
  <c r="T113" i="8"/>
  <c r="X113" i="8"/>
  <c r="Y113" i="8" s="1"/>
  <c r="AB113" i="8"/>
  <c r="P114" i="8"/>
  <c r="T114" i="8"/>
  <c r="X114" i="8"/>
  <c r="Y114" i="8" s="1"/>
  <c r="AB114" i="8"/>
  <c r="P115" i="8"/>
  <c r="T115" i="8"/>
  <c r="X115" i="8"/>
  <c r="Y115" i="8" s="1"/>
  <c r="AB115" i="8"/>
  <c r="P116" i="8"/>
  <c r="T116" i="8"/>
  <c r="X116" i="8"/>
  <c r="Y116" i="8" s="1"/>
  <c r="AB116" i="8"/>
  <c r="P117" i="8"/>
  <c r="T117" i="8"/>
  <c r="X117" i="8"/>
  <c r="Y117" i="8" s="1"/>
  <c r="AB117" i="8"/>
  <c r="P118" i="8"/>
  <c r="T118" i="8"/>
  <c r="X118" i="8"/>
  <c r="Y118" i="8" s="1"/>
  <c r="AB118" i="8"/>
  <c r="P119" i="8"/>
  <c r="T119" i="8"/>
  <c r="X119" i="8"/>
  <c r="Y119" i="8" s="1"/>
  <c r="AB119" i="8"/>
  <c r="P120" i="8"/>
  <c r="T120" i="8"/>
  <c r="X120" i="8"/>
  <c r="Y120" i="8" s="1"/>
  <c r="AB120" i="8"/>
  <c r="P121" i="8"/>
  <c r="T121" i="8"/>
  <c r="X121" i="8"/>
  <c r="Y121" i="8" s="1"/>
  <c r="AB121" i="8"/>
  <c r="P122" i="8"/>
  <c r="T122" i="8"/>
  <c r="X122" i="8"/>
  <c r="Y122" i="8" s="1"/>
  <c r="AB122" i="8"/>
  <c r="P123" i="8"/>
  <c r="T123" i="8"/>
  <c r="X123" i="8"/>
  <c r="Y123" i="8" s="1"/>
  <c r="AB123" i="8"/>
  <c r="P124" i="8"/>
  <c r="T124" i="8"/>
  <c r="X124" i="8"/>
  <c r="Y124" i="8" s="1"/>
  <c r="AB124" i="8"/>
  <c r="P125" i="8"/>
  <c r="T125" i="8"/>
  <c r="X125" i="8"/>
  <c r="Y125" i="8" s="1"/>
  <c r="AB125" i="8"/>
  <c r="P126" i="8"/>
  <c r="T126" i="8"/>
  <c r="X126" i="8"/>
  <c r="Y126" i="8" s="1"/>
  <c r="AB126" i="8"/>
  <c r="P127" i="8"/>
  <c r="T127" i="8"/>
  <c r="X127" i="8"/>
  <c r="Y127" i="8" s="1"/>
  <c r="AB127" i="8"/>
  <c r="P128" i="8"/>
  <c r="T128" i="8"/>
  <c r="X128" i="8"/>
  <c r="Y128" i="8" s="1"/>
  <c r="AB128" i="8"/>
  <c r="P129" i="8"/>
  <c r="T129" i="8"/>
  <c r="X129" i="8"/>
  <c r="Y129" i="8" s="1"/>
  <c r="AB129" i="8"/>
  <c r="P130" i="8"/>
  <c r="T130" i="8"/>
  <c r="X130" i="8"/>
  <c r="Y130" i="8" s="1"/>
  <c r="AB130" i="8"/>
  <c r="P131" i="8"/>
  <c r="T131" i="8"/>
  <c r="X131" i="8"/>
  <c r="Y131" i="8" s="1"/>
  <c r="AB131" i="8"/>
  <c r="P132" i="8"/>
  <c r="T132" i="8"/>
  <c r="X132" i="8"/>
  <c r="Y132" i="8" s="1"/>
  <c r="AB132" i="8"/>
  <c r="P133" i="8"/>
  <c r="T133" i="8"/>
  <c r="X133" i="8"/>
  <c r="Y133" i="8" s="1"/>
  <c r="AB133" i="8"/>
  <c r="P134" i="8"/>
  <c r="T134" i="8"/>
  <c r="X134" i="8"/>
  <c r="Y134" i="8" s="1"/>
  <c r="AB134" i="8"/>
  <c r="P135" i="8"/>
  <c r="T135" i="8"/>
  <c r="X135" i="8"/>
  <c r="Y135" i="8" s="1"/>
  <c r="AB135" i="8"/>
  <c r="P136" i="8"/>
  <c r="T136" i="8"/>
  <c r="X136" i="8"/>
  <c r="Y136" i="8" s="1"/>
  <c r="AB136" i="8"/>
  <c r="P137" i="8"/>
  <c r="T137" i="8"/>
  <c r="X137" i="8"/>
  <c r="Y137" i="8" s="1"/>
  <c r="AB137" i="8"/>
  <c r="P138" i="8"/>
  <c r="T138" i="8"/>
  <c r="X138" i="8"/>
  <c r="Y138" i="8" s="1"/>
  <c r="AB138" i="8"/>
  <c r="P139" i="8"/>
  <c r="T139" i="8"/>
  <c r="X139" i="8"/>
  <c r="Y139" i="8" s="1"/>
  <c r="AB139" i="8"/>
  <c r="P140" i="8"/>
  <c r="T140" i="8"/>
  <c r="X140" i="8"/>
  <c r="Y140" i="8" s="1"/>
  <c r="AB140" i="8"/>
  <c r="P141" i="8"/>
  <c r="T141" i="8"/>
  <c r="X141" i="8"/>
  <c r="Y141" i="8" s="1"/>
  <c r="AB141" i="8"/>
  <c r="P142" i="8"/>
  <c r="T142" i="8"/>
  <c r="X142" i="8"/>
  <c r="Y142" i="8" s="1"/>
  <c r="AB142" i="8"/>
  <c r="P143" i="8"/>
  <c r="T143" i="8"/>
  <c r="X143" i="8"/>
  <c r="Y143" i="8" s="1"/>
  <c r="AB143" i="8"/>
  <c r="P144" i="8"/>
  <c r="T144" i="8"/>
  <c r="X144" i="8"/>
  <c r="Y144" i="8" s="1"/>
  <c r="AB144" i="8"/>
  <c r="P145" i="8"/>
  <c r="T145" i="8"/>
  <c r="X145" i="8"/>
  <c r="Y145" i="8" s="1"/>
  <c r="AB145" i="8"/>
  <c r="P146" i="8"/>
  <c r="T146" i="8"/>
  <c r="X146" i="8"/>
  <c r="Y146" i="8" s="1"/>
  <c r="AB146" i="8"/>
  <c r="P147" i="8"/>
  <c r="T147" i="8"/>
  <c r="X147" i="8"/>
  <c r="Y147" i="8" s="1"/>
  <c r="AB147" i="8"/>
  <c r="P148" i="8"/>
  <c r="T148" i="8"/>
  <c r="X148" i="8"/>
  <c r="Y148" i="8" s="1"/>
  <c r="AB148" i="8"/>
  <c r="P149" i="8"/>
  <c r="T149" i="8"/>
  <c r="X149" i="8"/>
  <c r="Y149" i="8" s="1"/>
  <c r="AB149" i="8"/>
  <c r="P150" i="8"/>
  <c r="T150" i="8"/>
  <c r="X150" i="8"/>
  <c r="Y150" i="8" s="1"/>
  <c r="AB150" i="8"/>
  <c r="P151" i="8"/>
  <c r="T151" i="8"/>
  <c r="X151" i="8"/>
  <c r="Y151" i="8" s="1"/>
  <c r="AB151" i="8"/>
  <c r="P152" i="8"/>
  <c r="T152" i="8"/>
  <c r="X152" i="8"/>
  <c r="Y152" i="8" s="1"/>
  <c r="AB152" i="8"/>
  <c r="P153" i="8"/>
  <c r="T153" i="8"/>
  <c r="X153" i="8"/>
  <c r="Y153" i="8" s="1"/>
  <c r="AB153" i="8"/>
  <c r="P154" i="8"/>
  <c r="T154" i="8"/>
  <c r="X154" i="8"/>
  <c r="Y154" i="8" s="1"/>
  <c r="AB154" i="8"/>
  <c r="P155" i="8"/>
  <c r="T155" i="8"/>
  <c r="X155" i="8"/>
  <c r="Y155" i="8" s="1"/>
  <c r="AB155" i="8"/>
  <c r="P156" i="8"/>
  <c r="T156" i="8"/>
  <c r="X156" i="8"/>
  <c r="Y156" i="8" s="1"/>
  <c r="AB156" i="8"/>
  <c r="P157" i="8"/>
  <c r="T157" i="8"/>
  <c r="X157" i="8"/>
  <c r="Y157" i="8" s="1"/>
  <c r="AB157" i="8"/>
  <c r="P158" i="8"/>
  <c r="T158" i="8"/>
  <c r="X158" i="8"/>
  <c r="Y158" i="8" s="1"/>
  <c r="AB158" i="8"/>
  <c r="P159" i="8"/>
  <c r="T159" i="8"/>
  <c r="X159" i="8"/>
  <c r="Y159" i="8" s="1"/>
  <c r="AB159" i="8"/>
  <c r="P160" i="8"/>
  <c r="T160" i="8"/>
  <c r="X160" i="8"/>
  <c r="Y160" i="8" s="1"/>
  <c r="AB160" i="8"/>
  <c r="P161" i="8"/>
  <c r="T161" i="8"/>
  <c r="X161" i="8"/>
  <c r="Y161" i="8" s="1"/>
  <c r="AB161" i="8"/>
  <c r="P162" i="8"/>
  <c r="T162" i="8"/>
  <c r="X162" i="8"/>
  <c r="Y162" i="8" s="1"/>
  <c r="AB162" i="8"/>
  <c r="P163" i="8"/>
  <c r="T163" i="8"/>
  <c r="X163" i="8"/>
  <c r="Y163" i="8" s="1"/>
  <c r="AB163" i="8"/>
  <c r="P164" i="8"/>
  <c r="T164" i="8"/>
  <c r="X164" i="8"/>
  <c r="Y164" i="8" s="1"/>
  <c r="AB164" i="8"/>
  <c r="P165" i="8"/>
  <c r="T165" i="8"/>
  <c r="X165" i="8"/>
  <c r="Y165" i="8" s="1"/>
  <c r="AB165" i="8"/>
  <c r="P166" i="8"/>
  <c r="T166" i="8"/>
  <c r="X166" i="8"/>
  <c r="Y166" i="8" s="1"/>
  <c r="AB166" i="8"/>
  <c r="P167" i="8"/>
  <c r="T167" i="8"/>
  <c r="X167" i="8"/>
  <c r="Y167" i="8" s="1"/>
  <c r="AB167" i="8"/>
  <c r="P168" i="8"/>
  <c r="T168" i="8"/>
  <c r="X168" i="8"/>
  <c r="Y168" i="8" s="1"/>
  <c r="AB168" i="8"/>
  <c r="P169" i="8"/>
  <c r="T169" i="8"/>
  <c r="X169" i="8"/>
  <c r="Y169" i="8" s="1"/>
  <c r="AB169" i="8"/>
  <c r="P170" i="8"/>
  <c r="T170" i="8"/>
  <c r="X170" i="8"/>
  <c r="Y170" i="8" s="1"/>
  <c r="AB170" i="8"/>
  <c r="P171" i="8"/>
  <c r="T171" i="8"/>
  <c r="X171" i="8"/>
  <c r="Y171" i="8" s="1"/>
  <c r="AB171" i="8"/>
  <c r="P172" i="8"/>
  <c r="T172" i="8"/>
  <c r="X172" i="8"/>
  <c r="Y172" i="8" s="1"/>
  <c r="AB172" i="8"/>
  <c r="P173" i="8"/>
  <c r="T173" i="8"/>
  <c r="X173" i="8"/>
  <c r="Y173" i="8" s="1"/>
  <c r="AB173" i="8"/>
  <c r="P174" i="8"/>
  <c r="T174" i="8"/>
  <c r="X174" i="8"/>
  <c r="Y174" i="8" s="1"/>
  <c r="AB174" i="8"/>
  <c r="P175" i="8"/>
  <c r="T175" i="8"/>
  <c r="X175" i="8"/>
  <c r="Y175" i="8" s="1"/>
  <c r="AB175" i="8"/>
  <c r="P176" i="8"/>
  <c r="T176" i="8"/>
  <c r="X176" i="8"/>
  <c r="Y176" i="8" s="1"/>
  <c r="AB176" i="8"/>
  <c r="P177" i="8"/>
  <c r="T177" i="8"/>
  <c r="X177" i="8"/>
  <c r="Y177" i="8" s="1"/>
  <c r="AB177" i="8"/>
  <c r="P178" i="8"/>
  <c r="T178" i="8"/>
  <c r="X178" i="8"/>
  <c r="Y178" i="8" s="1"/>
  <c r="AB178" i="8"/>
  <c r="P179" i="8"/>
  <c r="T179" i="8"/>
  <c r="X179" i="8"/>
  <c r="Y179" i="8" s="1"/>
  <c r="AB179" i="8"/>
  <c r="P180" i="8"/>
  <c r="T180" i="8"/>
  <c r="X180" i="8"/>
  <c r="Y180" i="8" s="1"/>
  <c r="AB180" i="8"/>
  <c r="P181" i="8"/>
  <c r="T181" i="8"/>
  <c r="X181" i="8"/>
  <c r="Y181" i="8" s="1"/>
  <c r="AB181" i="8"/>
  <c r="P182" i="8"/>
  <c r="T182" i="8"/>
  <c r="X182" i="8"/>
  <c r="Y182" i="8" s="1"/>
  <c r="AB182" i="8"/>
  <c r="P183" i="8"/>
  <c r="T183" i="8"/>
  <c r="X183" i="8"/>
  <c r="Y183" i="8" s="1"/>
  <c r="AB183" i="8"/>
  <c r="P184" i="8"/>
  <c r="T184" i="8"/>
  <c r="X184" i="8"/>
  <c r="Y184" i="8" s="1"/>
  <c r="AB184" i="8"/>
  <c r="P185" i="8"/>
  <c r="T185" i="8"/>
  <c r="X185" i="8"/>
  <c r="Y185" i="8" s="1"/>
  <c r="AB185" i="8"/>
  <c r="P186" i="8"/>
  <c r="T186" i="8"/>
  <c r="X186" i="8"/>
  <c r="Y186" i="8" s="1"/>
  <c r="AB186" i="8"/>
  <c r="P187" i="8"/>
  <c r="T187" i="8"/>
  <c r="X187" i="8"/>
  <c r="Y187" i="8" s="1"/>
  <c r="AB187" i="8"/>
  <c r="P188" i="8"/>
  <c r="T188" i="8"/>
  <c r="X188" i="8"/>
  <c r="Y188" i="8" s="1"/>
  <c r="AB188" i="8"/>
  <c r="P189" i="8"/>
  <c r="T189" i="8"/>
  <c r="X189" i="8"/>
  <c r="Y189" i="8" s="1"/>
  <c r="AB189" i="8"/>
  <c r="P190" i="8"/>
  <c r="T190" i="8"/>
  <c r="X190" i="8"/>
  <c r="Y190" i="8" s="1"/>
  <c r="AB190" i="8"/>
  <c r="P191" i="8"/>
  <c r="T191" i="8"/>
  <c r="X191" i="8"/>
  <c r="Y191" i="8" s="1"/>
  <c r="AB191" i="8"/>
  <c r="P192" i="8"/>
  <c r="T192" i="8"/>
  <c r="X192" i="8"/>
  <c r="Y192" i="8" s="1"/>
  <c r="AB192" i="8"/>
  <c r="P193" i="8"/>
  <c r="T193" i="8"/>
  <c r="X193" i="8"/>
  <c r="Y193" i="8" s="1"/>
  <c r="AB193" i="8"/>
  <c r="P194" i="8"/>
  <c r="T194" i="8"/>
  <c r="X194" i="8"/>
  <c r="Y194" i="8" s="1"/>
  <c r="AB194" i="8"/>
  <c r="P195" i="8"/>
  <c r="T195" i="8"/>
  <c r="X195" i="8"/>
  <c r="Y195" i="8" s="1"/>
  <c r="AB195" i="8"/>
  <c r="P196" i="8"/>
  <c r="T196" i="8"/>
  <c r="X196" i="8"/>
  <c r="Y196" i="8" s="1"/>
  <c r="AB196" i="8"/>
  <c r="P197" i="8"/>
  <c r="T197" i="8"/>
  <c r="X197" i="8"/>
  <c r="Y197" i="8" s="1"/>
  <c r="AB197" i="8"/>
  <c r="P198" i="8"/>
  <c r="T198" i="8"/>
  <c r="X198" i="8"/>
  <c r="Y198" i="8" s="1"/>
  <c r="AB198" i="8"/>
  <c r="P199" i="8"/>
  <c r="T199" i="8"/>
  <c r="X199" i="8"/>
  <c r="Y199" i="8" s="1"/>
  <c r="AB199" i="8"/>
  <c r="P200" i="8"/>
  <c r="T200" i="8"/>
  <c r="X200" i="8"/>
  <c r="Y200" i="8" s="1"/>
  <c r="AB200" i="8"/>
  <c r="P201" i="8"/>
  <c r="T201" i="8"/>
  <c r="X201" i="8"/>
  <c r="Y201" i="8" s="1"/>
  <c r="AB201" i="8"/>
  <c r="P202" i="8"/>
  <c r="T202" i="8"/>
  <c r="X202" i="8"/>
  <c r="Y202" i="8" s="1"/>
  <c r="AB202" i="8"/>
  <c r="P203" i="8"/>
  <c r="T203" i="8"/>
  <c r="X203" i="8"/>
  <c r="Y203" i="8" s="1"/>
  <c r="AB203" i="8"/>
  <c r="P204" i="8"/>
  <c r="T204" i="8"/>
  <c r="X204" i="8"/>
  <c r="Y204" i="8" s="1"/>
  <c r="AB204" i="8"/>
  <c r="P205" i="8"/>
  <c r="T205" i="8"/>
  <c r="X205" i="8"/>
  <c r="Y205" i="8" s="1"/>
  <c r="AB205" i="8"/>
  <c r="P206" i="8"/>
  <c r="T206" i="8"/>
  <c r="X206" i="8"/>
  <c r="Y206" i="8" s="1"/>
  <c r="AB206" i="8"/>
  <c r="P207" i="8"/>
  <c r="T207" i="8"/>
  <c r="X207" i="8"/>
  <c r="Y207" i="8" s="1"/>
  <c r="AB207" i="8"/>
  <c r="P208" i="8"/>
  <c r="T208" i="8"/>
  <c r="X208" i="8"/>
  <c r="Y208" i="8" s="1"/>
  <c r="AB208" i="8"/>
  <c r="P209" i="8"/>
  <c r="T209" i="8"/>
  <c r="X209" i="8"/>
  <c r="Y209" i="8" s="1"/>
  <c r="AB209" i="8"/>
  <c r="P210" i="8"/>
  <c r="T210" i="8"/>
  <c r="X210" i="8"/>
  <c r="Y210" i="8" s="1"/>
  <c r="AB210" i="8"/>
  <c r="P211" i="8"/>
  <c r="T211" i="8"/>
  <c r="X211" i="8"/>
  <c r="Y211" i="8" s="1"/>
  <c r="AB211" i="8"/>
  <c r="P212" i="8"/>
  <c r="T212" i="8"/>
  <c r="X212" i="8"/>
  <c r="Y212" i="8" s="1"/>
  <c r="AB212" i="8"/>
  <c r="P213" i="8"/>
  <c r="T213" i="8"/>
  <c r="X213" i="8"/>
  <c r="Y213" i="8" s="1"/>
  <c r="AB213" i="8"/>
  <c r="P214" i="8"/>
  <c r="T214" i="8"/>
  <c r="X214" i="8"/>
  <c r="Y214" i="8" s="1"/>
  <c r="AB214" i="8"/>
  <c r="P215" i="8"/>
  <c r="T215" i="8"/>
  <c r="X215" i="8"/>
  <c r="Y215" i="8" s="1"/>
  <c r="AB215" i="8"/>
  <c r="P216" i="8"/>
  <c r="T216" i="8"/>
  <c r="X216" i="8"/>
  <c r="Y216" i="8" s="1"/>
  <c r="AB216" i="8"/>
  <c r="P217" i="8"/>
  <c r="T217" i="8"/>
  <c r="X217" i="8"/>
  <c r="Y217" i="8" s="1"/>
  <c r="AB217" i="8"/>
  <c r="P218" i="8"/>
  <c r="T218" i="8"/>
  <c r="X218" i="8"/>
  <c r="Y218" i="8" s="1"/>
  <c r="AB218" i="8"/>
  <c r="P219" i="8"/>
  <c r="T219" i="8"/>
  <c r="X219" i="8"/>
  <c r="Y219" i="8" s="1"/>
  <c r="AB219" i="8"/>
  <c r="P220" i="8"/>
  <c r="T220" i="8"/>
  <c r="X220" i="8"/>
  <c r="Y220" i="8" s="1"/>
  <c r="AB220" i="8"/>
  <c r="P221" i="8"/>
  <c r="T221" i="8"/>
  <c r="X221" i="8"/>
  <c r="Y221" i="8" s="1"/>
  <c r="AB221" i="8"/>
  <c r="P222" i="8"/>
  <c r="T222" i="8"/>
  <c r="X222" i="8"/>
  <c r="Y222" i="8" s="1"/>
  <c r="AB222" i="8"/>
  <c r="P223" i="8"/>
  <c r="T223" i="8"/>
  <c r="X223" i="8"/>
  <c r="Y223" i="8" s="1"/>
  <c r="AB223" i="8"/>
  <c r="P224" i="8"/>
  <c r="T224" i="8"/>
  <c r="X224" i="8"/>
  <c r="Y224" i="8" s="1"/>
  <c r="AB224" i="8"/>
  <c r="P225" i="8"/>
  <c r="T225" i="8"/>
  <c r="X225" i="8"/>
  <c r="Y225" i="8" s="1"/>
  <c r="AB225" i="8"/>
  <c r="P226" i="8"/>
  <c r="T226" i="8"/>
  <c r="X226" i="8"/>
  <c r="Y226" i="8" s="1"/>
  <c r="AB226" i="8"/>
  <c r="P227" i="8"/>
  <c r="T227" i="8"/>
  <c r="X227" i="8"/>
  <c r="Y227" i="8" s="1"/>
  <c r="AB227" i="8"/>
  <c r="P228" i="8"/>
  <c r="T228" i="8"/>
  <c r="X228" i="8"/>
  <c r="Y228" i="8" s="1"/>
  <c r="AB228" i="8"/>
  <c r="P229" i="8"/>
  <c r="T229" i="8"/>
  <c r="X229" i="8"/>
  <c r="Y229" i="8" s="1"/>
  <c r="AB229" i="8"/>
  <c r="P230" i="8"/>
  <c r="T230" i="8"/>
  <c r="X230" i="8"/>
  <c r="Y230" i="8" s="1"/>
  <c r="AB230" i="8"/>
  <c r="P231" i="8"/>
  <c r="T231" i="8"/>
  <c r="X231" i="8"/>
  <c r="Y231" i="8" s="1"/>
  <c r="AB231" i="8"/>
  <c r="P232" i="8"/>
  <c r="T232" i="8"/>
  <c r="X232" i="8"/>
  <c r="Y232" i="8" s="1"/>
  <c r="AB232" i="8"/>
  <c r="P233" i="8"/>
  <c r="T233" i="8"/>
  <c r="X233" i="8"/>
  <c r="Y233" i="8" s="1"/>
  <c r="AB233" i="8"/>
  <c r="P234" i="8"/>
  <c r="T234" i="8"/>
  <c r="X234" i="8"/>
  <c r="Y234" i="8" s="1"/>
  <c r="AB234" i="8"/>
  <c r="P235" i="8"/>
  <c r="T235" i="8"/>
  <c r="X235" i="8"/>
  <c r="Y235" i="8" s="1"/>
  <c r="AB235" i="8"/>
  <c r="P236" i="8"/>
  <c r="T236" i="8"/>
  <c r="X236" i="8"/>
  <c r="Y236" i="8" s="1"/>
  <c r="AB236" i="8"/>
  <c r="P237" i="8"/>
  <c r="T237" i="8"/>
  <c r="X237" i="8"/>
  <c r="Y237" i="8" s="1"/>
  <c r="AB237" i="8"/>
  <c r="P238" i="8"/>
  <c r="T238" i="8"/>
  <c r="X238" i="8"/>
  <c r="Y238" i="8" s="1"/>
  <c r="AB238" i="8"/>
  <c r="P239" i="8"/>
  <c r="T239" i="8"/>
  <c r="X239" i="8"/>
  <c r="Y239" i="8" s="1"/>
  <c r="AB239" i="8"/>
  <c r="P240" i="8"/>
  <c r="T240" i="8"/>
  <c r="X240" i="8"/>
  <c r="Y240" i="8" s="1"/>
  <c r="AB240" i="8"/>
  <c r="P241" i="8"/>
  <c r="T241" i="8"/>
  <c r="X241" i="8"/>
  <c r="Y241" i="8" s="1"/>
  <c r="AB241" i="8"/>
  <c r="P242" i="8"/>
  <c r="T242" i="8"/>
  <c r="X242" i="8"/>
  <c r="Y242" i="8" s="1"/>
  <c r="AB242" i="8"/>
  <c r="P243" i="8"/>
  <c r="T243" i="8"/>
  <c r="X243" i="8"/>
  <c r="Y243" i="8" s="1"/>
  <c r="AB243" i="8"/>
  <c r="P244" i="8"/>
  <c r="T244" i="8"/>
  <c r="X244" i="8"/>
  <c r="Y244" i="8" s="1"/>
  <c r="AB244" i="8"/>
  <c r="P245" i="8"/>
  <c r="T245" i="8"/>
  <c r="X245" i="8"/>
  <c r="Y245" i="8" s="1"/>
  <c r="AB245" i="8"/>
  <c r="P246" i="8"/>
  <c r="T246" i="8"/>
  <c r="X246" i="8"/>
  <c r="Y246" i="8" s="1"/>
  <c r="AB246" i="8"/>
  <c r="P247" i="8"/>
  <c r="T247" i="8"/>
  <c r="X247" i="8"/>
  <c r="Y247" i="8" s="1"/>
  <c r="AB247" i="8"/>
  <c r="P248" i="8"/>
  <c r="T248" i="8"/>
  <c r="X248" i="8"/>
  <c r="Y248" i="8" s="1"/>
  <c r="AB248" i="8"/>
  <c r="P249" i="8"/>
  <c r="T249" i="8"/>
  <c r="X249" i="8"/>
  <c r="Y249" i="8" s="1"/>
  <c r="AB249" i="8"/>
  <c r="P250" i="8"/>
  <c r="T250" i="8"/>
  <c r="X250" i="8"/>
  <c r="Y250" i="8" s="1"/>
  <c r="AB250" i="8"/>
  <c r="P251" i="8"/>
  <c r="T251" i="8"/>
  <c r="X251" i="8"/>
  <c r="Y251" i="8" s="1"/>
  <c r="AB251" i="8"/>
  <c r="P252" i="8"/>
  <c r="T252" i="8"/>
  <c r="X252" i="8"/>
  <c r="Y252" i="8" s="1"/>
  <c r="AB252" i="8"/>
  <c r="P253" i="8"/>
  <c r="T253" i="8"/>
  <c r="X253" i="8"/>
  <c r="Y253" i="8" s="1"/>
  <c r="AB253" i="8"/>
  <c r="P254" i="8"/>
  <c r="T254" i="8"/>
  <c r="X254" i="8"/>
  <c r="Y254" i="8" s="1"/>
  <c r="AB254" i="8"/>
  <c r="P255" i="8"/>
  <c r="T255" i="8"/>
  <c r="X255" i="8"/>
  <c r="Y255" i="8" s="1"/>
  <c r="AB255" i="8"/>
  <c r="P256" i="8"/>
  <c r="T256" i="8"/>
  <c r="X256" i="8"/>
  <c r="Y256" i="8" s="1"/>
  <c r="AB256" i="8"/>
  <c r="P257" i="8"/>
  <c r="T257" i="8"/>
  <c r="X257" i="8"/>
  <c r="Y257" i="8" s="1"/>
  <c r="AB257" i="8"/>
  <c r="P258" i="8"/>
  <c r="T258" i="8"/>
  <c r="X258" i="8"/>
  <c r="Y258" i="8" s="1"/>
  <c r="AB258" i="8"/>
  <c r="P259" i="8"/>
  <c r="T259" i="8"/>
  <c r="X259" i="8"/>
  <c r="Y259" i="8" s="1"/>
  <c r="AB259" i="8"/>
  <c r="P260" i="8"/>
  <c r="T260" i="8"/>
  <c r="X260" i="8"/>
  <c r="Y260" i="8" s="1"/>
  <c r="AB260" i="8"/>
  <c r="P261" i="8"/>
  <c r="T261" i="8"/>
  <c r="X261" i="8"/>
  <c r="Y261" i="8" s="1"/>
  <c r="AB261" i="8"/>
  <c r="P262" i="8"/>
  <c r="T262" i="8"/>
  <c r="X262" i="8"/>
  <c r="Y262" i="8" s="1"/>
  <c r="AB262" i="8"/>
  <c r="P263" i="8"/>
  <c r="T263" i="8"/>
  <c r="X263" i="8"/>
  <c r="Y263" i="8" s="1"/>
  <c r="AB263" i="8"/>
  <c r="P264" i="8"/>
  <c r="T264" i="8"/>
  <c r="X264" i="8"/>
  <c r="Y264" i="8" s="1"/>
  <c r="AB264" i="8"/>
  <c r="P265" i="8"/>
  <c r="T265" i="8"/>
  <c r="X265" i="8"/>
  <c r="Y265" i="8" s="1"/>
  <c r="AB265" i="8"/>
  <c r="P266" i="8"/>
  <c r="T266" i="8"/>
  <c r="X266" i="8"/>
  <c r="Y266" i="8" s="1"/>
  <c r="AB266" i="8"/>
  <c r="P267" i="8"/>
  <c r="T267" i="8"/>
  <c r="X267" i="8"/>
  <c r="Y267" i="8" s="1"/>
  <c r="AB267" i="8"/>
  <c r="P268" i="8"/>
  <c r="T268" i="8"/>
  <c r="X268" i="8"/>
  <c r="Y268" i="8" s="1"/>
  <c r="AB268" i="8"/>
  <c r="P269" i="8"/>
  <c r="T269" i="8"/>
  <c r="X269" i="8"/>
  <c r="Y269" i="8" s="1"/>
  <c r="AB269" i="8"/>
  <c r="P270" i="8"/>
  <c r="T270" i="8"/>
  <c r="X270" i="8"/>
  <c r="Y270" i="8" s="1"/>
  <c r="AB270" i="8"/>
  <c r="P271" i="8"/>
  <c r="T271" i="8"/>
  <c r="X271" i="8"/>
  <c r="Y271" i="8" s="1"/>
  <c r="AB271" i="8"/>
  <c r="P272" i="8"/>
  <c r="T272" i="8"/>
  <c r="X272" i="8"/>
  <c r="Y272" i="8" s="1"/>
  <c r="AB272" i="8"/>
  <c r="P273" i="8"/>
  <c r="T273" i="8"/>
  <c r="X273" i="8"/>
  <c r="Y273" i="8" s="1"/>
  <c r="AB273" i="8"/>
  <c r="P274" i="8"/>
  <c r="T274" i="8"/>
  <c r="X274" i="8"/>
  <c r="Y274" i="8" s="1"/>
  <c r="AB274" i="8"/>
  <c r="P275" i="8"/>
  <c r="T275" i="8"/>
  <c r="X275" i="8"/>
  <c r="Y275" i="8" s="1"/>
  <c r="AB275" i="8"/>
  <c r="P276" i="8"/>
  <c r="T276" i="8"/>
  <c r="X276" i="8"/>
  <c r="Y276" i="8" s="1"/>
  <c r="AB276" i="8"/>
  <c r="P277" i="8"/>
  <c r="T277" i="8"/>
  <c r="X277" i="8"/>
  <c r="Y277" i="8" s="1"/>
  <c r="AB277" i="8"/>
  <c r="P278" i="8"/>
  <c r="T278" i="8"/>
  <c r="X278" i="8"/>
  <c r="Y278" i="8" s="1"/>
  <c r="AB278" i="8"/>
  <c r="P279" i="8"/>
  <c r="T279" i="8"/>
  <c r="X279" i="8"/>
  <c r="Y279" i="8" s="1"/>
  <c r="AB279" i="8"/>
  <c r="P280" i="8"/>
  <c r="T280" i="8"/>
  <c r="X280" i="8"/>
  <c r="Y280" i="8" s="1"/>
  <c r="AB280" i="8"/>
  <c r="P281" i="8"/>
  <c r="T281" i="8"/>
  <c r="X281" i="8"/>
  <c r="Y281" i="8" s="1"/>
  <c r="AB281" i="8"/>
  <c r="P282" i="8"/>
  <c r="T282" i="8"/>
  <c r="X282" i="8"/>
  <c r="Y282" i="8" s="1"/>
  <c r="AB282" i="8"/>
  <c r="P283" i="8"/>
  <c r="T283" i="8"/>
  <c r="X283" i="8"/>
  <c r="Y283" i="8" s="1"/>
  <c r="AB283" i="8"/>
  <c r="P284" i="8"/>
  <c r="T284" i="8"/>
  <c r="X284" i="8"/>
  <c r="Y284" i="8" s="1"/>
  <c r="AB284" i="8"/>
  <c r="P285" i="8"/>
  <c r="T285" i="8"/>
  <c r="X285" i="8"/>
  <c r="Y285" i="8" s="1"/>
  <c r="AB285" i="8"/>
  <c r="P286" i="8"/>
  <c r="T286" i="8"/>
  <c r="X286" i="8"/>
  <c r="Y286" i="8" s="1"/>
  <c r="AB286" i="8"/>
  <c r="P287" i="8"/>
  <c r="T287" i="8"/>
  <c r="X287" i="8"/>
  <c r="Y287" i="8" s="1"/>
  <c r="AB287" i="8"/>
  <c r="P288" i="8"/>
  <c r="T288" i="8"/>
  <c r="X288" i="8"/>
  <c r="Y288" i="8" s="1"/>
  <c r="AB288" i="8"/>
  <c r="P289" i="8"/>
  <c r="T289" i="8"/>
  <c r="X289" i="8"/>
  <c r="Y289" i="8" s="1"/>
  <c r="AB289" i="8"/>
  <c r="P290" i="8"/>
  <c r="T290" i="8"/>
  <c r="X290" i="8"/>
  <c r="Y290" i="8" s="1"/>
  <c r="AB290" i="8"/>
  <c r="P291" i="8"/>
  <c r="T291" i="8"/>
  <c r="X291" i="8"/>
  <c r="Y291" i="8" s="1"/>
  <c r="AB291" i="8"/>
  <c r="P292" i="8"/>
  <c r="T292" i="8"/>
  <c r="X292" i="8"/>
  <c r="Y292" i="8" s="1"/>
  <c r="AB292" i="8"/>
  <c r="P293" i="8"/>
  <c r="T293" i="8"/>
  <c r="X293" i="8"/>
  <c r="Y293" i="8" s="1"/>
  <c r="AB293" i="8"/>
  <c r="P294" i="8"/>
  <c r="T294" i="8"/>
  <c r="X294" i="8"/>
  <c r="Y294" i="8" s="1"/>
  <c r="AB294" i="8"/>
  <c r="P295" i="8"/>
  <c r="T295" i="8"/>
  <c r="X295" i="8"/>
  <c r="Y295" i="8" s="1"/>
  <c r="AB295" i="8"/>
  <c r="P296" i="8"/>
  <c r="T296" i="8"/>
  <c r="X296" i="8"/>
  <c r="Y296" i="8" s="1"/>
  <c r="AB296" i="8"/>
  <c r="P297" i="8"/>
  <c r="T297" i="8"/>
  <c r="X297" i="8"/>
  <c r="Y297" i="8" s="1"/>
  <c r="AB297" i="8"/>
  <c r="P298" i="8"/>
  <c r="T298" i="8"/>
  <c r="X298" i="8"/>
  <c r="Y298" i="8" s="1"/>
  <c r="AB298" i="8"/>
  <c r="P299" i="8"/>
  <c r="T299" i="8"/>
  <c r="X299" i="8"/>
  <c r="Y299" i="8" s="1"/>
  <c r="AB299" i="8"/>
  <c r="P300" i="8"/>
  <c r="T300" i="8"/>
  <c r="X300" i="8"/>
  <c r="Y300" i="8" s="1"/>
  <c r="AB300" i="8"/>
  <c r="P301" i="8"/>
  <c r="T301" i="8"/>
  <c r="X301" i="8"/>
  <c r="Y301" i="8" s="1"/>
  <c r="AB301" i="8"/>
  <c r="P302" i="8"/>
  <c r="T302" i="8"/>
  <c r="X302" i="8"/>
  <c r="Y302" i="8" s="1"/>
  <c r="AB302" i="8"/>
  <c r="P303" i="8"/>
  <c r="T303" i="8"/>
  <c r="X303" i="8"/>
  <c r="Y303" i="8" s="1"/>
  <c r="AB303" i="8"/>
  <c r="P304" i="8"/>
  <c r="T304" i="8"/>
  <c r="X304" i="8"/>
  <c r="Y304" i="8" s="1"/>
  <c r="AB304" i="8"/>
  <c r="P305" i="8"/>
  <c r="T305" i="8"/>
  <c r="X305" i="8"/>
  <c r="Y305" i="8" s="1"/>
  <c r="AB305" i="8"/>
  <c r="P306" i="8"/>
  <c r="T306" i="8"/>
  <c r="X306" i="8"/>
  <c r="Y306" i="8" s="1"/>
  <c r="AB306" i="8"/>
  <c r="P307" i="8"/>
  <c r="T307" i="8"/>
  <c r="X307" i="8"/>
  <c r="Y307" i="8" s="1"/>
  <c r="AB307" i="8"/>
  <c r="P308" i="8"/>
  <c r="T308" i="8"/>
  <c r="X308" i="8"/>
  <c r="Y308" i="8" s="1"/>
  <c r="AB308" i="8"/>
  <c r="P309" i="8"/>
  <c r="T309" i="8"/>
  <c r="X309" i="8"/>
  <c r="Y309" i="8" s="1"/>
  <c r="AB309" i="8"/>
  <c r="P310" i="8"/>
  <c r="T310" i="8"/>
  <c r="X310" i="8"/>
  <c r="Y310" i="8" s="1"/>
  <c r="AB310" i="8"/>
  <c r="P311" i="8"/>
  <c r="T311" i="8"/>
  <c r="X311" i="8"/>
  <c r="Y311" i="8" s="1"/>
  <c r="AB311" i="8"/>
  <c r="P312" i="8"/>
  <c r="T312" i="8"/>
  <c r="X312" i="8"/>
  <c r="Y312" i="8" s="1"/>
  <c r="AB312" i="8"/>
  <c r="P313" i="8"/>
  <c r="T313" i="8"/>
  <c r="X313" i="8"/>
  <c r="Y313" i="8" s="1"/>
  <c r="AB313" i="8"/>
  <c r="P314" i="8"/>
  <c r="T314" i="8"/>
  <c r="X314" i="8"/>
  <c r="Y314" i="8" s="1"/>
  <c r="AB314" i="8"/>
  <c r="P315" i="8"/>
  <c r="T315" i="8"/>
  <c r="X315" i="8"/>
  <c r="Y315" i="8" s="1"/>
  <c r="AB315" i="8"/>
  <c r="P316" i="8"/>
  <c r="T316" i="8"/>
  <c r="X316" i="8"/>
  <c r="Y316" i="8" s="1"/>
  <c r="AB316" i="8"/>
  <c r="P317" i="8"/>
  <c r="T317" i="8"/>
  <c r="X317" i="8"/>
  <c r="Y317" i="8" s="1"/>
  <c r="AB317" i="8"/>
  <c r="P318" i="8"/>
  <c r="T318" i="8"/>
  <c r="X318" i="8"/>
  <c r="Y318" i="8" s="1"/>
  <c r="AB318" i="8"/>
  <c r="P319" i="8"/>
  <c r="T319" i="8"/>
  <c r="X319" i="8"/>
  <c r="Y319" i="8" s="1"/>
  <c r="AB319" i="8"/>
  <c r="P320" i="8"/>
  <c r="T320" i="8"/>
  <c r="X320" i="8"/>
  <c r="Y320" i="8" s="1"/>
  <c r="AB320" i="8"/>
  <c r="P321" i="8"/>
  <c r="T321" i="8"/>
  <c r="X321" i="8"/>
  <c r="Y321" i="8" s="1"/>
  <c r="AB321" i="8"/>
  <c r="P322" i="8"/>
  <c r="T322" i="8"/>
  <c r="X322" i="8"/>
  <c r="Y322" i="8" s="1"/>
  <c r="AB322" i="8"/>
  <c r="P323" i="8"/>
  <c r="T323" i="8"/>
  <c r="X323" i="8"/>
  <c r="Y323" i="8" s="1"/>
  <c r="AB323" i="8"/>
  <c r="P324" i="8"/>
  <c r="T324" i="8"/>
  <c r="X324" i="8"/>
  <c r="Y324" i="8" s="1"/>
  <c r="AB324" i="8"/>
  <c r="P325" i="8"/>
  <c r="T325" i="8"/>
  <c r="X325" i="8"/>
  <c r="Y325" i="8" s="1"/>
  <c r="AB325" i="8"/>
  <c r="P326" i="8"/>
  <c r="T326" i="8"/>
  <c r="X326" i="8"/>
  <c r="Y326" i="8" s="1"/>
  <c r="AB326" i="8"/>
  <c r="P327" i="8"/>
  <c r="T327" i="8"/>
  <c r="X327" i="8"/>
  <c r="Y327" i="8" s="1"/>
  <c r="AB327" i="8"/>
  <c r="P328" i="8"/>
  <c r="T328" i="8"/>
  <c r="X328" i="8"/>
  <c r="Y328" i="8" s="1"/>
  <c r="AB328" i="8"/>
  <c r="P329" i="8"/>
  <c r="T329" i="8"/>
  <c r="X329" i="8"/>
  <c r="Y329" i="8" s="1"/>
  <c r="AB329" i="8"/>
  <c r="P330" i="8"/>
  <c r="T330" i="8"/>
  <c r="X330" i="8"/>
  <c r="Y330" i="8" s="1"/>
  <c r="AB330" i="8"/>
  <c r="P331" i="8"/>
  <c r="T331" i="8"/>
  <c r="X331" i="8"/>
  <c r="Y331" i="8" s="1"/>
  <c r="AB331" i="8"/>
  <c r="P332" i="8"/>
  <c r="T332" i="8"/>
  <c r="X332" i="8"/>
  <c r="Y332" i="8" s="1"/>
  <c r="AB332" i="8"/>
  <c r="P333" i="8"/>
  <c r="T333" i="8"/>
  <c r="X333" i="8"/>
  <c r="Y333" i="8" s="1"/>
  <c r="AB333" i="8"/>
  <c r="P334" i="8"/>
  <c r="T334" i="8"/>
  <c r="X334" i="8"/>
  <c r="Y334" i="8" s="1"/>
  <c r="AB334" i="8"/>
  <c r="P335" i="8"/>
  <c r="T335" i="8"/>
  <c r="X335" i="8"/>
  <c r="Y335" i="8" s="1"/>
  <c r="AB335" i="8"/>
  <c r="P336" i="8"/>
  <c r="T336" i="8"/>
  <c r="X336" i="8"/>
  <c r="Y336" i="8" s="1"/>
  <c r="AB336" i="8"/>
  <c r="P337" i="8"/>
  <c r="T337" i="8"/>
  <c r="X337" i="8"/>
  <c r="Y337" i="8" s="1"/>
  <c r="AB337" i="8"/>
  <c r="P338" i="8"/>
  <c r="T338" i="8"/>
  <c r="X338" i="8"/>
  <c r="Y338" i="8" s="1"/>
  <c r="AB338" i="8"/>
  <c r="P339" i="8"/>
  <c r="T339" i="8"/>
  <c r="X339" i="8"/>
  <c r="Y339" i="8" s="1"/>
  <c r="AB339" i="8"/>
  <c r="P340" i="8"/>
  <c r="T340" i="8"/>
  <c r="X340" i="8"/>
  <c r="Y340" i="8" s="1"/>
  <c r="AB340" i="8"/>
  <c r="P341" i="8"/>
  <c r="T341" i="8"/>
  <c r="X341" i="8"/>
  <c r="Y341" i="8" s="1"/>
  <c r="AB341" i="8"/>
  <c r="P342" i="8"/>
  <c r="T342" i="8"/>
  <c r="X342" i="8"/>
  <c r="Y342" i="8" s="1"/>
  <c r="AB342" i="8"/>
  <c r="P343" i="8"/>
  <c r="T343" i="8"/>
  <c r="X343" i="8"/>
  <c r="Y343" i="8" s="1"/>
  <c r="AB343" i="8"/>
  <c r="P344" i="8"/>
  <c r="T344" i="8"/>
  <c r="X344" i="8"/>
  <c r="Y344" i="8" s="1"/>
  <c r="AB344" i="8"/>
  <c r="P345" i="8"/>
  <c r="T345" i="8"/>
  <c r="X345" i="8"/>
  <c r="Y345" i="8" s="1"/>
  <c r="AB345" i="8"/>
  <c r="P346" i="8"/>
  <c r="T346" i="8"/>
  <c r="X346" i="8"/>
  <c r="Y346" i="8" s="1"/>
  <c r="AB346" i="8"/>
  <c r="P347" i="8"/>
  <c r="T347" i="8"/>
  <c r="X347" i="8"/>
  <c r="Y347" i="8" s="1"/>
  <c r="AB347" i="8"/>
  <c r="P348" i="8"/>
  <c r="T348" i="8"/>
  <c r="X348" i="8"/>
  <c r="Y348" i="8" s="1"/>
  <c r="AB348" i="8"/>
  <c r="P349" i="8"/>
  <c r="T349" i="8"/>
  <c r="X349" i="8"/>
  <c r="Y349" i="8" s="1"/>
  <c r="AB349" i="8"/>
  <c r="P350" i="8"/>
  <c r="T350" i="8"/>
  <c r="X350" i="8"/>
  <c r="Y350" i="8" s="1"/>
  <c r="AB350" i="8"/>
  <c r="P351" i="8"/>
  <c r="T351" i="8"/>
  <c r="X351" i="8"/>
  <c r="Y351" i="8" s="1"/>
  <c r="AB351" i="8"/>
  <c r="P352" i="8"/>
  <c r="T352" i="8"/>
  <c r="X352" i="8"/>
  <c r="Y352" i="8" s="1"/>
  <c r="AB352" i="8"/>
  <c r="P353" i="8"/>
  <c r="T353" i="8"/>
  <c r="X353" i="8"/>
  <c r="Y353" i="8" s="1"/>
  <c r="AB353" i="8"/>
  <c r="P354" i="8"/>
  <c r="T354" i="8"/>
  <c r="X354" i="8"/>
  <c r="Y354" i="8" s="1"/>
  <c r="AB354" i="8"/>
  <c r="P355" i="8"/>
  <c r="T355" i="8"/>
  <c r="X355" i="8"/>
  <c r="Y355" i="8" s="1"/>
  <c r="AB355" i="8"/>
  <c r="P356" i="8"/>
  <c r="T356" i="8"/>
  <c r="X356" i="8"/>
  <c r="Y356" i="8" s="1"/>
  <c r="AB356" i="8"/>
  <c r="P357" i="8"/>
  <c r="T357" i="8"/>
  <c r="X357" i="8"/>
  <c r="Y357" i="8" s="1"/>
  <c r="AB357" i="8"/>
  <c r="P358" i="8"/>
  <c r="T358" i="8"/>
  <c r="X358" i="8"/>
  <c r="Y358" i="8" s="1"/>
  <c r="AB358" i="8"/>
  <c r="P359" i="8"/>
  <c r="T359" i="8"/>
  <c r="X359" i="8"/>
  <c r="Y359" i="8" s="1"/>
  <c r="AB359" i="8"/>
  <c r="P360" i="8"/>
  <c r="T360" i="8"/>
  <c r="X360" i="8"/>
  <c r="Y360" i="8" s="1"/>
  <c r="AB360" i="8"/>
  <c r="P361" i="8"/>
  <c r="T361" i="8"/>
  <c r="X361" i="8"/>
  <c r="Y361" i="8" s="1"/>
  <c r="AB361" i="8"/>
  <c r="P362" i="8"/>
  <c r="T362" i="8"/>
  <c r="X362" i="8"/>
  <c r="Y362" i="8" s="1"/>
  <c r="AB362" i="8"/>
  <c r="P363" i="8"/>
  <c r="T363" i="8"/>
  <c r="X363" i="8"/>
  <c r="Y363" i="8" s="1"/>
  <c r="AB363" i="8"/>
  <c r="P364" i="8"/>
  <c r="T364" i="8"/>
  <c r="X364" i="8"/>
  <c r="Y364" i="8" s="1"/>
  <c r="AB364" i="8"/>
  <c r="P365" i="8"/>
  <c r="T365" i="8"/>
  <c r="X365" i="8"/>
  <c r="Y365" i="8" s="1"/>
  <c r="AB365" i="8"/>
  <c r="P366" i="8"/>
  <c r="T366" i="8"/>
  <c r="X366" i="8"/>
  <c r="Y366" i="8" s="1"/>
  <c r="AB366" i="8"/>
  <c r="P367" i="8"/>
  <c r="T367" i="8"/>
  <c r="X367" i="8"/>
  <c r="Y367" i="8" s="1"/>
  <c r="AB367" i="8"/>
  <c r="P368" i="8"/>
  <c r="T368" i="8"/>
  <c r="X368" i="8"/>
  <c r="Y368" i="8" s="1"/>
  <c r="AB368" i="8"/>
  <c r="P369" i="8"/>
  <c r="T369" i="8"/>
  <c r="X369" i="8"/>
  <c r="Y369" i="8" s="1"/>
  <c r="AB369" i="8"/>
  <c r="P370" i="8"/>
  <c r="T370" i="8"/>
  <c r="X370" i="8"/>
  <c r="Y370" i="8" s="1"/>
  <c r="AB370" i="8"/>
  <c r="P371" i="8"/>
  <c r="T371" i="8"/>
  <c r="X371" i="8"/>
  <c r="Y371" i="8" s="1"/>
  <c r="AB371" i="8"/>
  <c r="P372" i="8"/>
  <c r="T372" i="8"/>
  <c r="X372" i="8"/>
  <c r="Y372" i="8" s="1"/>
  <c r="AB372" i="8"/>
  <c r="P373" i="8"/>
  <c r="T373" i="8"/>
  <c r="X373" i="8"/>
  <c r="Y373" i="8" s="1"/>
  <c r="AB373" i="8"/>
  <c r="P374" i="8"/>
  <c r="T374" i="8"/>
  <c r="X374" i="8"/>
  <c r="Y374" i="8" s="1"/>
  <c r="AB374" i="8"/>
  <c r="P375" i="8"/>
  <c r="T375" i="8"/>
  <c r="X375" i="8"/>
  <c r="Y375" i="8" s="1"/>
  <c r="AB375" i="8"/>
  <c r="P376" i="8"/>
  <c r="T376" i="8"/>
  <c r="X376" i="8"/>
  <c r="Y376" i="8" s="1"/>
  <c r="AB376" i="8"/>
  <c r="P377" i="8"/>
  <c r="T377" i="8"/>
  <c r="X377" i="8"/>
  <c r="Y377" i="8" s="1"/>
  <c r="AB377" i="8"/>
  <c r="P378" i="8"/>
  <c r="T378" i="8"/>
  <c r="X378" i="8"/>
  <c r="Y378" i="8" s="1"/>
  <c r="AB378" i="8"/>
  <c r="P379" i="8"/>
  <c r="T379" i="8"/>
  <c r="X379" i="8"/>
  <c r="Y379" i="8" s="1"/>
  <c r="AB379" i="8"/>
  <c r="P380" i="8"/>
  <c r="T380" i="8"/>
  <c r="X380" i="8"/>
  <c r="Y380" i="8" s="1"/>
  <c r="AB380" i="8"/>
  <c r="P381" i="8"/>
  <c r="T381" i="8"/>
  <c r="X381" i="8"/>
  <c r="Y381" i="8" s="1"/>
  <c r="AB381" i="8"/>
  <c r="P382" i="8"/>
  <c r="T382" i="8"/>
  <c r="X382" i="8"/>
  <c r="Y382" i="8" s="1"/>
  <c r="AB382" i="8"/>
  <c r="P383" i="8"/>
  <c r="T383" i="8"/>
  <c r="X383" i="8"/>
  <c r="Y383" i="8" s="1"/>
  <c r="AB383" i="8"/>
  <c r="P384" i="8"/>
  <c r="T384" i="8"/>
  <c r="X384" i="8"/>
  <c r="Y384" i="8" s="1"/>
  <c r="AB384" i="8"/>
  <c r="P385" i="8"/>
  <c r="T385" i="8"/>
  <c r="X385" i="8"/>
  <c r="Y385" i="8" s="1"/>
  <c r="AB385" i="8"/>
  <c r="P386" i="8"/>
  <c r="T386" i="8"/>
  <c r="X386" i="8"/>
  <c r="Y386" i="8" s="1"/>
  <c r="AB386" i="8"/>
  <c r="P387" i="8"/>
  <c r="T387" i="8"/>
  <c r="X387" i="8"/>
  <c r="Y387" i="8" s="1"/>
  <c r="AB387" i="8"/>
  <c r="P388" i="8"/>
  <c r="T388" i="8"/>
  <c r="X388" i="8"/>
  <c r="Y388" i="8" s="1"/>
  <c r="AB388" i="8"/>
  <c r="P389" i="8"/>
  <c r="T389" i="8"/>
  <c r="X389" i="8"/>
  <c r="Y389" i="8" s="1"/>
  <c r="AB389" i="8"/>
  <c r="P390" i="8"/>
  <c r="T390" i="8"/>
  <c r="X390" i="8"/>
  <c r="Y390" i="8" s="1"/>
  <c r="AB390" i="8"/>
  <c r="P391" i="8"/>
  <c r="T391" i="8"/>
  <c r="X391" i="8"/>
  <c r="Y391" i="8" s="1"/>
  <c r="AB391" i="8"/>
  <c r="P392" i="8"/>
  <c r="T392" i="8"/>
  <c r="X392" i="8"/>
  <c r="Y392" i="8" s="1"/>
  <c r="AB392" i="8"/>
  <c r="P393" i="8"/>
  <c r="T393" i="8"/>
  <c r="X393" i="8"/>
  <c r="Y393" i="8" s="1"/>
  <c r="AB393" i="8"/>
  <c r="P394" i="8"/>
  <c r="T394" i="8"/>
  <c r="X394" i="8"/>
  <c r="Y394" i="8" s="1"/>
  <c r="AB394" i="8"/>
  <c r="P395" i="8"/>
  <c r="T395" i="8"/>
  <c r="X395" i="8"/>
  <c r="Y395" i="8" s="1"/>
  <c r="AB395" i="8"/>
  <c r="AL396" i="8"/>
  <c r="AH396" i="8"/>
  <c r="Z396" i="8"/>
  <c r="AA396" i="8" s="1"/>
  <c r="AG396" i="8" s="1"/>
  <c r="AK396" i="8"/>
  <c r="P396" i="8"/>
  <c r="T396" i="8"/>
  <c r="X396" i="8"/>
  <c r="Y396" i="8" s="1"/>
  <c r="AC396" i="8"/>
  <c r="AE396" i="8" s="1"/>
  <c r="AJ396" i="8"/>
  <c r="P397" i="8"/>
  <c r="AL398" i="8"/>
  <c r="AH398" i="8"/>
  <c r="Z398" i="8"/>
  <c r="V398" i="8"/>
  <c r="R398" i="8"/>
  <c r="N398" i="8"/>
  <c r="AK398" i="8"/>
  <c r="AC398" i="8"/>
  <c r="AE398" i="8" s="1"/>
  <c r="Y398" i="8"/>
  <c r="U398" i="8"/>
  <c r="AF398" i="8" s="1"/>
  <c r="Q398" i="8"/>
  <c r="M398" i="8"/>
  <c r="T398" i="8"/>
  <c r="AB398" i="8"/>
  <c r="AJ398" i="8"/>
  <c r="P399" i="8"/>
  <c r="AL400" i="8"/>
  <c r="AH400" i="8"/>
  <c r="Z400" i="8"/>
  <c r="AA400" i="8" s="1"/>
  <c r="AG400" i="8" s="1"/>
  <c r="V400" i="8"/>
  <c r="R400" i="8"/>
  <c r="N400" i="8"/>
  <c r="AK400" i="8"/>
  <c r="AC400" i="8"/>
  <c r="AE400" i="8" s="1"/>
  <c r="Y400" i="8"/>
  <c r="U400" i="8"/>
  <c r="AF400" i="8" s="1"/>
  <c r="Q400" i="8"/>
  <c r="M400" i="8"/>
  <c r="T400" i="8"/>
  <c r="AB400" i="8"/>
  <c r="AJ400" i="8"/>
  <c r="P401" i="8"/>
  <c r="AL402" i="8"/>
  <c r="AH402" i="8"/>
  <c r="Z402" i="8"/>
  <c r="AA402" i="8" s="1"/>
  <c r="AG402" i="8" s="1"/>
  <c r="V402" i="8"/>
  <c r="R402" i="8"/>
  <c r="N402" i="8"/>
  <c r="AK402" i="8"/>
  <c r="AC402" i="8"/>
  <c r="AE402" i="8" s="1"/>
  <c r="Y402" i="8"/>
  <c r="U402" i="8"/>
  <c r="AF402" i="8" s="1"/>
  <c r="Q402" i="8"/>
  <c r="M402" i="8"/>
  <c r="T402" i="8"/>
  <c r="AB402" i="8"/>
  <c r="AJ402" i="8"/>
  <c r="P403" i="8"/>
  <c r="AL404" i="8"/>
  <c r="AH404" i="8"/>
  <c r="Z404" i="8"/>
  <c r="V404" i="8"/>
  <c r="R404" i="8"/>
  <c r="N404" i="8"/>
  <c r="AK404" i="8"/>
  <c r="AC404" i="8"/>
  <c r="AE404" i="8" s="1"/>
  <c r="Y404" i="8"/>
  <c r="U404" i="8"/>
  <c r="AF404" i="8" s="1"/>
  <c r="Q404" i="8"/>
  <c r="M404" i="8"/>
  <c r="T404" i="8"/>
  <c r="AB404" i="8"/>
  <c r="AJ404" i="8"/>
  <c r="P405" i="8"/>
  <c r="AL406" i="8"/>
  <c r="AH406" i="8"/>
  <c r="Z406" i="8"/>
  <c r="V406" i="8"/>
  <c r="R406" i="8"/>
  <c r="N406" i="8"/>
  <c r="AK406" i="8"/>
  <c r="AC406" i="8"/>
  <c r="AE406" i="8" s="1"/>
  <c r="Y406" i="8"/>
  <c r="U406" i="8"/>
  <c r="AF406" i="8" s="1"/>
  <c r="Q406" i="8"/>
  <c r="M406" i="8"/>
  <c r="T406" i="8"/>
  <c r="AB406" i="8"/>
  <c r="AJ406" i="8"/>
  <c r="P407" i="8"/>
  <c r="AL408" i="8"/>
  <c r="AH408" i="8"/>
  <c r="Z408" i="8"/>
  <c r="AA408" i="8" s="1"/>
  <c r="AG408" i="8" s="1"/>
  <c r="V408" i="8"/>
  <c r="R408" i="8"/>
  <c r="N408" i="8"/>
  <c r="AK408" i="8"/>
  <c r="AC408" i="8"/>
  <c r="AE408" i="8" s="1"/>
  <c r="Y408" i="8"/>
  <c r="U408" i="8"/>
  <c r="AF408" i="8" s="1"/>
  <c r="Q408" i="8"/>
  <c r="M408" i="8"/>
  <c r="T408" i="8"/>
  <c r="AB408" i="8"/>
  <c r="AJ408" i="8"/>
  <c r="P409" i="8"/>
  <c r="AL410" i="8"/>
  <c r="AH410" i="8"/>
  <c r="Z410" i="8"/>
  <c r="AA410" i="8" s="1"/>
  <c r="AG410" i="8" s="1"/>
  <c r="V410" i="8"/>
  <c r="R410" i="8"/>
  <c r="N410" i="8"/>
  <c r="AK410" i="8"/>
  <c r="AC410" i="8"/>
  <c r="AE410" i="8" s="1"/>
  <c r="Y410" i="8"/>
  <c r="U410" i="8"/>
  <c r="AF410" i="8" s="1"/>
  <c r="Q410" i="8"/>
  <c r="M410" i="8"/>
  <c r="T410" i="8"/>
  <c r="AB410" i="8"/>
  <c r="AJ410" i="8"/>
  <c r="P411" i="8"/>
  <c r="AL412" i="8"/>
  <c r="AH412" i="8"/>
  <c r="Z412" i="8"/>
  <c r="V412" i="8"/>
  <c r="R412" i="8"/>
  <c r="N412" i="8"/>
  <c r="AK412" i="8"/>
  <c r="AC412" i="8"/>
  <c r="AE412" i="8" s="1"/>
  <c r="Y412" i="8"/>
  <c r="U412" i="8"/>
  <c r="AF412" i="8" s="1"/>
  <c r="Q412" i="8"/>
  <c r="M412" i="8"/>
  <c r="T412" i="8"/>
  <c r="AB412" i="8"/>
  <c r="AJ412" i="8"/>
  <c r="P413" i="8"/>
  <c r="AL414" i="8"/>
  <c r="AH414" i="8"/>
  <c r="Z414" i="8"/>
  <c r="V414" i="8"/>
  <c r="R414" i="8"/>
  <c r="N414" i="8"/>
  <c r="AK414" i="8"/>
  <c r="AC414" i="8"/>
  <c r="AE414" i="8" s="1"/>
  <c r="Y414" i="8"/>
  <c r="U414" i="8"/>
  <c r="AF414" i="8" s="1"/>
  <c r="Q414" i="8"/>
  <c r="M414" i="8"/>
  <c r="T414" i="8"/>
  <c r="AB414" i="8"/>
  <c r="AJ414" i="8"/>
  <c r="P415" i="8"/>
  <c r="AL416" i="8"/>
  <c r="AH416" i="8"/>
  <c r="Z416" i="8"/>
  <c r="AA416" i="8" s="1"/>
  <c r="AG416" i="8" s="1"/>
  <c r="V416" i="8"/>
  <c r="R416" i="8"/>
  <c r="N416" i="8"/>
  <c r="AK416" i="8"/>
  <c r="AC416" i="8"/>
  <c r="AE416" i="8" s="1"/>
  <c r="Y416" i="8"/>
  <c r="U416" i="8"/>
  <c r="AF416" i="8" s="1"/>
  <c r="Q416" i="8"/>
  <c r="M416" i="8"/>
  <c r="T416" i="8"/>
  <c r="AB416" i="8"/>
  <c r="AJ416" i="8"/>
  <c r="P417" i="8"/>
  <c r="AL418" i="8"/>
  <c r="AH418" i="8"/>
  <c r="Z418" i="8"/>
  <c r="AA418" i="8" s="1"/>
  <c r="AG418" i="8" s="1"/>
  <c r="V418" i="8"/>
  <c r="R418" i="8"/>
  <c r="N418" i="8"/>
  <c r="AK418" i="8"/>
  <c r="AC418" i="8"/>
  <c r="AE418" i="8" s="1"/>
  <c r="Y418" i="8"/>
  <c r="U418" i="8"/>
  <c r="AF418" i="8" s="1"/>
  <c r="Q418" i="8"/>
  <c r="M418" i="8"/>
  <c r="T418" i="8"/>
  <c r="AB418" i="8"/>
  <c r="AJ418" i="8"/>
  <c r="P419" i="8"/>
  <c r="AL420" i="8"/>
  <c r="AH420" i="8"/>
  <c r="Z420" i="8"/>
  <c r="V420" i="8"/>
  <c r="R420" i="8"/>
  <c r="N420" i="8"/>
  <c r="AK420" i="8"/>
  <c r="AC420" i="8"/>
  <c r="AE420" i="8" s="1"/>
  <c r="Y420" i="8"/>
  <c r="U420" i="8"/>
  <c r="AF420" i="8" s="1"/>
  <c r="Q420" i="8"/>
  <c r="M420" i="8"/>
  <c r="T420" i="8"/>
  <c r="AB420" i="8"/>
  <c r="AJ420" i="8"/>
  <c r="P421" i="8"/>
  <c r="AL422" i="8"/>
  <c r="AH422" i="8"/>
  <c r="Z422" i="8"/>
  <c r="V422" i="8"/>
  <c r="R422" i="8"/>
  <c r="N422" i="8"/>
  <c r="AK422" i="8"/>
  <c r="AC422" i="8"/>
  <c r="AE422" i="8" s="1"/>
  <c r="Y422" i="8"/>
  <c r="U422" i="8"/>
  <c r="AF422" i="8" s="1"/>
  <c r="Q422" i="8"/>
  <c r="M422" i="8"/>
  <c r="T422" i="8"/>
  <c r="AB422" i="8"/>
  <c r="AJ422" i="8"/>
  <c r="P423" i="8"/>
  <c r="AL424" i="8"/>
  <c r="AH424" i="8"/>
  <c r="Z424" i="8"/>
  <c r="AA424" i="8" s="1"/>
  <c r="AG424" i="8" s="1"/>
  <c r="V424" i="8"/>
  <c r="R424" i="8"/>
  <c r="N424" i="8"/>
  <c r="AK424" i="8"/>
  <c r="AC424" i="8"/>
  <c r="AE424" i="8" s="1"/>
  <c r="Y424" i="8"/>
  <c r="U424" i="8"/>
  <c r="AF424" i="8" s="1"/>
  <c r="Q424" i="8"/>
  <c r="M424" i="8"/>
  <c r="T424" i="8"/>
  <c r="AB424" i="8"/>
  <c r="AJ424" i="8"/>
  <c r="P425" i="8"/>
  <c r="AL426" i="8"/>
  <c r="AH426" i="8"/>
  <c r="Z426" i="8"/>
  <c r="AA426" i="8" s="1"/>
  <c r="AG426" i="8" s="1"/>
  <c r="V426" i="8"/>
  <c r="R426" i="8"/>
  <c r="N426" i="8"/>
  <c r="AK426" i="8"/>
  <c r="AC426" i="8"/>
  <c r="AE426" i="8" s="1"/>
  <c r="Y426" i="8"/>
  <c r="U426" i="8"/>
  <c r="AF426" i="8" s="1"/>
  <c r="Q426" i="8"/>
  <c r="M426" i="8"/>
  <c r="T426" i="8"/>
  <c r="AB426" i="8"/>
  <c r="AJ426" i="8"/>
  <c r="P427" i="8"/>
  <c r="AL428" i="8"/>
  <c r="AH428" i="8"/>
  <c r="Z428" i="8"/>
  <c r="V428" i="8"/>
  <c r="R428" i="8"/>
  <c r="N428" i="8"/>
  <c r="AK428" i="8"/>
  <c r="AC428" i="8"/>
  <c r="AE428" i="8" s="1"/>
  <c r="Y428" i="8"/>
  <c r="U428" i="8"/>
  <c r="AF428" i="8" s="1"/>
  <c r="Q428" i="8"/>
  <c r="M428" i="8"/>
  <c r="T428" i="8"/>
  <c r="AB428" i="8"/>
  <c r="AJ428" i="8"/>
  <c r="P429" i="8"/>
  <c r="AL430" i="8"/>
  <c r="AH430" i="8"/>
  <c r="Z430" i="8"/>
  <c r="V430" i="8"/>
  <c r="R430" i="8"/>
  <c r="N430" i="8"/>
  <c r="AK430" i="8"/>
  <c r="AC430" i="8"/>
  <c r="AE430" i="8" s="1"/>
  <c r="Y430" i="8"/>
  <c r="U430" i="8"/>
  <c r="AF430" i="8" s="1"/>
  <c r="Q430" i="8"/>
  <c r="M430" i="8"/>
  <c r="T430" i="8"/>
  <c r="AB430" i="8"/>
  <c r="AJ430" i="8"/>
  <c r="P431" i="8"/>
  <c r="AL432" i="8"/>
  <c r="AH432" i="8"/>
  <c r="Z432" i="8"/>
  <c r="AA432" i="8" s="1"/>
  <c r="AG432" i="8" s="1"/>
  <c r="V432" i="8"/>
  <c r="R432" i="8"/>
  <c r="N432" i="8"/>
  <c r="AK432" i="8"/>
  <c r="AC432" i="8"/>
  <c r="AE432" i="8" s="1"/>
  <c r="Y432" i="8"/>
  <c r="U432" i="8"/>
  <c r="AF432" i="8" s="1"/>
  <c r="Q432" i="8"/>
  <c r="M432" i="8"/>
  <c r="T432" i="8"/>
  <c r="AB432" i="8"/>
  <c r="AJ432" i="8"/>
  <c r="P433" i="8"/>
  <c r="AL434" i="8"/>
  <c r="AH434" i="8"/>
  <c r="Z434" i="8"/>
  <c r="AA434" i="8" s="1"/>
  <c r="AG434" i="8" s="1"/>
  <c r="V434" i="8"/>
  <c r="R434" i="8"/>
  <c r="N434" i="8"/>
  <c r="AK434" i="8"/>
  <c r="AC434" i="8"/>
  <c r="AE434" i="8" s="1"/>
  <c r="Y434" i="8"/>
  <c r="U434" i="8"/>
  <c r="AF434" i="8" s="1"/>
  <c r="Q434" i="8"/>
  <c r="M434" i="8"/>
  <c r="T434" i="8"/>
  <c r="AB434" i="8"/>
  <c r="AJ434" i="8"/>
  <c r="P435" i="8"/>
  <c r="AL436" i="8"/>
  <c r="AH436" i="8"/>
  <c r="Z436" i="8"/>
  <c r="V436" i="8"/>
  <c r="R436" i="8"/>
  <c r="N436" i="8"/>
  <c r="AK436" i="8"/>
  <c r="AC436" i="8"/>
  <c r="AE436" i="8" s="1"/>
  <c r="Y436" i="8"/>
  <c r="U436" i="8"/>
  <c r="AF436" i="8" s="1"/>
  <c r="Q436" i="8"/>
  <c r="M436" i="8"/>
  <c r="T436" i="8"/>
  <c r="AB436" i="8"/>
  <c r="AJ436" i="8"/>
  <c r="P437" i="8"/>
  <c r="AL438" i="8"/>
  <c r="AH438" i="8"/>
  <c r="Z438" i="8"/>
  <c r="V438" i="8"/>
  <c r="R438" i="8"/>
  <c r="N438" i="8"/>
  <c r="AK438" i="8"/>
  <c r="AC438" i="8"/>
  <c r="AE438" i="8" s="1"/>
  <c r="Y438" i="8"/>
  <c r="U438" i="8"/>
  <c r="AF438" i="8" s="1"/>
  <c r="Q438" i="8"/>
  <c r="M438" i="8"/>
  <c r="T438" i="8"/>
  <c r="AB438" i="8"/>
  <c r="AJ438" i="8"/>
  <c r="P439" i="8"/>
  <c r="AL440" i="8"/>
  <c r="AH440" i="8"/>
  <c r="Z440" i="8"/>
  <c r="AA440" i="8" s="1"/>
  <c r="AG440" i="8" s="1"/>
  <c r="V440" i="8"/>
  <c r="R440" i="8"/>
  <c r="N440" i="8"/>
  <c r="AK440" i="8"/>
  <c r="AC440" i="8"/>
  <c r="AE440" i="8" s="1"/>
  <c r="Y440" i="8"/>
  <c r="U440" i="8"/>
  <c r="AF440" i="8" s="1"/>
  <c r="Q440" i="8"/>
  <c r="M440" i="8"/>
  <c r="T440" i="8"/>
  <c r="AB440" i="8"/>
  <c r="AJ440" i="8"/>
  <c r="P441" i="8"/>
  <c r="AL442" i="8"/>
  <c r="AH442" i="8"/>
  <c r="Z442" i="8"/>
  <c r="AA442" i="8" s="1"/>
  <c r="AG442" i="8" s="1"/>
  <c r="V442" i="8"/>
  <c r="R442" i="8"/>
  <c r="N442" i="8"/>
  <c r="AK442" i="8"/>
  <c r="AC442" i="8"/>
  <c r="AE442" i="8" s="1"/>
  <c r="Y442" i="8"/>
  <c r="U442" i="8"/>
  <c r="AF442" i="8" s="1"/>
  <c r="Q442" i="8"/>
  <c r="M442" i="8"/>
  <c r="T442" i="8"/>
  <c r="AB442" i="8"/>
  <c r="AJ442" i="8"/>
  <c r="P443" i="8"/>
  <c r="AL444" i="8"/>
  <c r="AH444" i="8"/>
  <c r="Z444" i="8"/>
  <c r="V444" i="8"/>
  <c r="R444" i="8"/>
  <c r="N444" i="8"/>
  <c r="AK444" i="8"/>
  <c r="AC444" i="8"/>
  <c r="AE444" i="8" s="1"/>
  <c r="Y444" i="8"/>
  <c r="U444" i="8"/>
  <c r="AF444" i="8" s="1"/>
  <c r="Q444" i="8"/>
  <c r="M444" i="8"/>
  <c r="T444" i="8"/>
  <c r="AB444" i="8"/>
  <c r="AJ444" i="8"/>
  <c r="P445" i="8"/>
  <c r="AL446" i="8"/>
  <c r="AH446" i="8"/>
  <c r="Z446" i="8"/>
  <c r="V446" i="8"/>
  <c r="R446" i="8"/>
  <c r="N446" i="8"/>
  <c r="AK446" i="8"/>
  <c r="AC446" i="8"/>
  <c r="AE446" i="8" s="1"/>
  <c r="Y446" i="8"/>
  <c r="U446" i="8"/>
  <c r="AF446" i="8" s="1"/>
  <c r="Q446" i="8"/>
  <c r="M446" i="8"/>
  <c r="T446" i="8"/>
  <c r="AB446" i="8"/>
  <c r="AJ446" i="8"/>
  <c r="P447" i="8"/>
  <c r="AL448" i="8"/>
  <c r="AH448" i="8"/>
  <c r="Z448" i="8"/>
  <c r="AA448" i="8" s="1"/>
  <c r="AG448" i="8" s="1"/>
  <c r="V448" i="8"/>
  <c r="R448" i="8"/>
  <c r="N448" i="8"/>
  <c r="AK448" i="8"/>
  <c r="AC448" i="8"/>
  <c r="AE448" i="8" s="1"/>
  <c r="Y448" i="8"/>
  <c r="U448" i="8"/>
  <c r="AF448" i="8" s="1"/>
  <c r="Q448" i="8"/>
  <c r="M448" i="8"/>
  <c r="T448" i="8"/>
  <c r="AB448" i="8"/>
  <c r="AJ448" i="8"/>
  <c r="P449" i="8"/>
  <c r="AL450" i="8"/>
  <c r="AH450" i="8"/>
  <c r="Z450" i="8"/>
  <c r="AA450" i="8" s="1"/>
  <c r="AG450" i="8" s="1"/>
  <c r="V450" i="8"/>
  <c r="R450" i="8"/>
  <c r="N450" i="8"/>
  <c r="AK450" i="8"/>
  <c r="AC450" i="8"/>
  <c r="AE450" i="8" s="1"/>
  <c r="Y450" i="8"/>
  <c r="U450" i="8"/>
  <c r="AF450" i="8" s="1"/>
  <c r="Q450" i="8"/>
  <c r="M450" i="8"/>
  <c r="T450" i="8"/>
  <c r="AB450" i="8"/>
  <c r="AJ450" i="8"/>
  <c r="P451" i="8"/>
  <c r="AL452" i="8"/>
  <c r="AH452" i="8"/>
  <c r="Z452" i="8"/>
  <c r="V452" i="8"/>
  <c r="R452" i="8"/>
  <c r="N452" i="8"/>
  <c r="AK452" i="8"/>
  <c r="AC452" i="8"/>
  <c r="AE452" i="8" s="1"/>
  <c r="Y452" i="8"/>
  <c r="U452" i="8"/>
  <c r="AF452" i="8" s="1"/>
  <c r="Q452" i="8"/>
  <c r="M452" i="8"/>
  <c r="T452" i="8"/>
  <c r="AB452" i="8"/>
  <c r="AJ452" i="8"/>
  <c r="P453" i="8"/>
  <c r="AL454" i="8"/>
  <c r="AH454" i="8"/>
  <c r="Z454" i="8"/>
  <c r="V454" i="8"/>
  <c r="R454" i="8"/>
  <c r="N454" i="8"/>
  <c r="AK454" i="8"/>
  <c r="AC454" i="8"/>
  <c r="AE454" i="8" s="1"/>
  <c r="Y454" i="8"/>
  <c r="U454" i="8"/>
  <c r="AF454" i="8" s="1"/>
  <c r="Q454" i="8"/>
  <c r="M454" i="8"/>
  <c r="T454" i="8"/>
  <c r="AB454" i="8"/>
  <c r="AJ454" i="8"/>
  <c r="P455" i="8"/>
  <c r="AL456" i="8"/>
  <c r="AH456" i="8"/>
  <c r="Z456" i="8"/>
  <c r="AA456" i="8" s="1"/>
  <c r="AG456" i="8" s="1"/>
  <c r="V456" i="8"/>
  <c r="R456" i="8"/>
  <c r="N456" i="8"/>
  <c r="AK456" i="8"/>
  <c r="AC456" i="8"/>
  <c r="AE456" i="8" s="1"/>
  <c r="Y456" i="8"/>
  <c r="U456" i="8"/>
  <c r="AF456" i="8" s="1"/>
  <c r="Q456" i="8"/>
  <c r="M456" i="8"/>
  <c r="T456" i="8"/>
  <c r="AB456" i="8"/>
  <c r="AJ456" i="8"/>
  <c r="P457" i="8"/>
  <c r="AL458" i="8"/>
  <c r="AH458" i="8"/>
  <c r="Z458" i="8"/>
  <c r="AA458" i="8" s="1"/>
  <c r="AG458" i="8" s="1"/>
  <c r="V458" i="8"/>
  <c r="R458" i="8"/>
  <c r="N458" i="8"/>
  <c r="AK458" i="8"/>
  <c r="AC458" i="8"/>
  <c r="AE458" i="8" s="1"/>
  <c r="Y458" i="8"/>
  <c r="U458" i="8"/>
  <c r="AF458" i="8" s="1"/>
  <c r="Q458" i="8"/>
  <c r="M458" i="8"/>
  <c r="T458" i="8"/>
  <c r="AB458" i="8"/>
  <c r="AJ458" i="8"/>
  <c r="P459" i="8"/>
  <c r="AL460" i="8"/>
  <c r="AH460" i="8"/>
  <c r="Z460" i="8"/>
  <c r="V460" i="8"/>
  <c r="R460" i="8"/>
  <c r="N460" i="8"/>
  <c r="AK460" i="8"/>
  <c r="AC460" i="8"/>
  <c r="AE460" i="8" s="1"/>
  <c r="Y460" i="8"/>
  <c r="U460" i="8"/>
  <c r="AF460" i="8" s="1"/>
  <c r="Q460" i="8"/>
  <c r="M460" i="8"/>
  <c r="T460" i="8"/>
  <c r="AB460" i="8"/>
  <c r="AJ460" i="8"/>
  <c r="P461" i="8"/>
  <c r="AL462" i="8"/>
  <c r="AH462" i="8"/>
  <c r="Z462" i="8"/>
  <c r="V462" i="8"/>
  <c r="R462" i="8"/>
  <c r="N462" i="8"/>
  <c r="AK462" i="8"/>
  <c r="AC462" i="8"/>
  <c r="AE462" i="8" s="1"/>
  <c r="Y462" i="8"/>
  <c r="U462" i="8"/>
  <c r="AF462" i="8" s="1"/>
  <c r="Q462" i="8"/>
  <c r="M462" i="8"/>
  <c r="T462" i="8"/>
  <c r="AB462" i="8"/>
  <c r="AJ462" i="8"/>
  <c r="P463" i="8"/>
  <c r="AL464" i="8"/>
  <c r="AH464" i="8"/>
  <c r="Z464" i="8"/>
  <c r="AA464" i="8" s="1"/>
  <c r="AG464" i="8" s="1"/>
  <c r="V464" i="8"/>
  <c r="R464" i="8"/>
  <c r="N464" i="8"/>
  <c r="AK464" i="8"/>
  <c r="AC464" i="8"/>
  <c r="AE464" i="8" s="1"/>
  <c r="Y464" i="8"/>
  <c r="U464" i="8"/>
  <c r="AF464" i="8" s="1"/>
  <c r="Q464" i="8"/>
  <c r="M464" i="8"/>
  <c r="T464" i="8"/>
  <c r="AB464" i="8"/>
  <c r="AJ464" i="8"/>
  <c r="P465" i="8"/>
  <c r="AL466" i="8"/>
  <c r="AH466" i="8"/>
  <c r="Z466" i="8"/>
  <c r="AA466" i="8" s="1"/>
  <c r="AG466" i="8" s="1"/>
  <c r="V466" i="8"/>
  <c r="R466" i="8"/>
  <c r="N466" i="8"/>
  <c r="AK466" i="8"/>
  <c r="AC466" i="8"/>
  <c r="AE466" i="8" s="1"/>
  <c r="Y466" i="8"/>
  <c r="U466" i="8"/>
  <c r="AF466" i="8" s="1"/>
  <c r="Q466" i="8"/>
  <c r="M466" i="8"/>
  <c r="T466" i="8"/>
  <c r="AB466" i="8"/>
  <c r="AJ466" i="8"/>
  <c r="P467" i="8"/>
  <c r="AL468" i="8"/>
  <c r="AH468" i="8"/>
  <c r="Z468" i="8"/>
  <c r="V468" i="8"/>
  <c r="R468" i="8"/>
  <c r="N468" i="8"/>
  <c r="AK468" i="8"/>
  <c r="AC468" i="8"/>
  <c r="AE468" i="8" s="1"/>
  <c r="Y468" i="8"/>
  <c r="U468" i="8"/>
  <c r="AF468" i="8" s="1"/>
  <c r="Q468" i="8"/>
  <c r="M468" i="8"/>
  <c r="T468" i="8"/>
  <c r="AB468" i="8"/>
  <c r="AJ468" i="8"/>
  <c r="P469" i="8"/>
  <c r="AL470" i="8"/>
  <c r="AH470" i="8"/>
  <c r="Z470" i="8"/>
  <c r="V470" i="8"/>
  <c r="R470" i="8"/>
  <c r="N470" i="8"/>
  <c r="AK470" i="8"/>
  <c r="AC470" i="8"/>
  <c r="AE470" i="8" s="1"/>
  <c r="Y470" i="8"/>
  <c r="U470" i="8"/>
  <c r="AF470" i="8" s="1"/>
  <c r="Q470" i="8"/>
  <c r="M470" i="8"/>
  <c r="T470" i="8"/>
  <c r="AB470" i="8"/>
  <c r="AJ470" i="8"/>
  <c r="P471" i="8"/>
  <c r="AL472" i="8"/>
  <c r="AH472" i="8"/>
  <c r="Z472" i="8"/>
  <c r="AA472" i="8" s="1"/>
  <c r="AG472" i="8" s="1"/>
  <c r="V472" i="8"/>
  <c r="R472" i="8"/>
  <c r="N472" i="8"/>
  <c r="AK472" i="8"/>
  <c r="AC472" i="8"/>
  <c r="AE472" i="8" s="1"/>
  <c r="Y472" i="8"/>
  <c r="U472" i="8"/>
  <c r="AF472" i="8" s="1"/>
  <c r="Q472" i="8"/>
  <c r="M472" i="8"/>
  <c r="T472" i="8"/>
  <c r="AB472" i="8"/>
  <c r="AJ472" i="8"/>
  <c r="P473" i="8"/>
  <c r="AL474" i="8"/>
  <c r="AH474" i="8"/>
  <c r="Z474" i="8"/>
  <c r="AA474" i="8" s="1"/>
  <c r="AG474" i="8" s="1"/>
  <c r="V474" i="8"/>
  <c r="R474" i="8"/>
  <c r="N474" i="8"/>
  <c r="AK474" i="8"/>
  <c r="AC474" i="8"/>
  <c r="AE474" i="8" s="1"/>
  <c r="Y474" i="8"/>
  <c r="U474" i="8"/>
  <c r="AF474" i="8" s="1"/>
  <c r="Q474" i="8"/>
  <c r="M474" i="8"/>
  <c r="T474" i="8"/>
  <c r="AB474" i="8"/>
  <c r="AJ474" i="8"/>
  <c r="P475" i="8"/>
  <c r="AL476" i="8"/>
  <c r="AH476" i="8"/>
  <c r="Z476" i="8"/>
  <c r="V476" i="8"/>
  <c r="R476" i="8"/>
  <c r="N476" i="8"/>
  <c r="AK476" i="8"/>
  <c r="AC476" i="8"/>
  <c r="AE476" i="8" s="1"/>
  <c r="Y476" i="8"/>
  <c r="U476" i="8"/>
  <c r="AF476" i="8" s="1"/>
  <c r="Q476" i="8"/>
  <c r="M476" i="8"/>
  <c r="T476" i="8"/>
  <c r="AB476" i="8"/>
  <c r="AJ476" i="8"/>
  <c r="P477" i="8"/>
  <c r="AL478" i="8"/>
  <c r="AH478" i="8"/>
  <c r="Z478" i="8"/>
  <c r="V478" i="8"/>
  <c r="R478" i="8"/>
  <c r="N478" i="8"/>
  <c r="AK478" i="8"/>
  <c r="AC478" i="8"/>
  <c r="AE478" i="8" s="1"/>
  <c r="Y478" i="8"/>
  <c r="U478" i="8"/>
  <c r="AF478" i="8" s="1"/>
  <c r="Q478" i="8"/>
  <c r="M478" i="8"/>
  <c r="T478" i="8"/>
  <c r="AB478" i="8"/>
  <c r="AJ478" i="8"/>
  <c r="P479" i="8"/>
  <c r="AL480" i="8"/>
  <c r="AH480" i="8"/>
  <c r="Z480" i="8"/>
  <c r="AA480" i="8" s="1"/>
  <c r="AG480" i="8" s="1"/>
  <c r="V480" i="8"/>
  <c r="R480" i="8"/>
  <c r="N480" i="8"/>
  <c r="AK480" i="8"/>
  <c r="AC480" i="8"/>
  <c r="AE480" i="8" s="1"/>
  <c r="Y480" i="8"/>
  <c r="U480" i="8"/>
  <c r="AF480" i="8" s="1"/>
  <c r="Q480" i="8"/>
  <c r="M480" i="8"/>
  <c r="T480" i="8"/>
  <c r="AB480" i="8"/>
  <c r="AJ480" i="8"/>
  <c r="P481" i="8"/>
  <c r="AL482" i="8"/>
  <c r="AH482" i="8"/>
  <c r="Z482" i="8"/>
  <c r="AA482" i="8" s="1"/>
  <c r="AG482" i="8" s="1"/>
  <c r="V482" i="8"/>
  <c r="R482" i="8"/>
  <c r="N482" i="8"/>
  <c r="AK482" i="8"/>
  <c r="AC482" i="8"/>
  <c r="AE482" i="8" s="1"/>
  <c r="Y482" i="8"/>
  <c r="U482" i="8"/>
  <c r="AF482" i="8" s="1"/>
  <c r="Q482" i="8"/>
  <c r="M482" i="8"/>
  <c r="T482" i="8"/>
  <c r="AB482" i="8"/>
  <c r="AJ482" i="8"/>
  <c r="P483" i="8"/>
  <c r="AL484" i="8"/>
  <c r="AH484" i="8"/>
  <c r="Z484" i="8"/>
  <c r="V484" i="8"/>
  <c r="R484" i="8"/>
  <c r="N484" i="8"/>
  <c r="AK484" i="8"/>
  <c r="AC484" i="8"/>
  <c r="AE484" i="8" s="1"/>
  <c r="Y484" i="8"/>
  <c r="U484" i="8"/>
  <c r="AF484" i="8" s="1"/>
  <c r="Q484" i="8"/>
  <c r="M484" i="8"/>
  <c r="T484" i="8"/>
  <c r="AB484" i="8"/>
  <c r="AJ484" i="8"/>
  <c r="P485" i="8"/>
  <c r="AL486" i="8"/>
  <c r="AH486" i="8"/>
  <c r="Z486" i="8"/>
  <c r="V486" i="8"/>
  <c r="R486" i="8"/>
  <c r="N486" i="8"/>
  <c r="AK486" i="8"/>
  <c r="AC486" i="8"/>
  <c r="AE486" i="8" s="1"/>
  <c r="Y486" i="8"/>
  <c r="U486" i="8"/>
  <c r="AF486" i="8" s="1"/>
  <c r="Q486" i="8"/>
  <c r="M486" i="8"/>
  <c r="T486" i="8"/>
  <c r="AB486" i="8"/>
  <c r="AJ486" i="8"/>
  <c r="P487" i="8"/>
  <c r="AL488" i="8"/>
  <c r="AH488" i="8"/>
  <c r="Z488" i="8"/>
  <c r="AA488" i="8" s="1"/>
  <c r="AG488" i="8" s="1"/>
  <c r="V488" i="8"/>
  <c r="R488" i="8"/>
  <c r="N488" i="8"/>
  <c r="AK488" i="8"/>
  <c r="AC488" i="8"/>
  <c r="AE488" i="8" s="1"/>
  <c r="Y488" i="8"/>
  <c r="U488" i="8"/>
  <c r="AF488" i="8" s="1"/>
  <c r="Q488" i="8"/>
  <c r="M488" i="8"/>
  <c r="T488" i="8"/>
  <c r="AB488" i="8"/>
  <c r="AJ488" i="8"/>
  <c r="P489" i="8"/>
  <c r="AL490" i="8"/>
  <c r="AH490" i="8"/>
  <c r="Z490" i="8"/>
  <c r="AA490" i="8" s="1"/>
  <c r="AG490" i="8" s="1"/>
  <c r="V490" i="8"/>
  <c r="R490" i="8"/>
  <c r="N490" i="8"/>
  <c r="AK490" i="8"/>
  <c r="AC490" i="8"/>
  <c r="AE490" i="8" s="1"/>
  <c r="Y490" i="8"/>
  <c r="U490" i="8"/>
  <c r="AF490" i="8" s="1"/>
  <c r="Q490" i="8"/>
  <c r="M490" i="8"/>
  <c r="T490" i="8"/>
  <c r="AB490" i="8"/>
  <c r="AJ490" i="8"/>
  <c r="P491" i="8"/>
  <c r="AL492" i="8"/>
  <c r="AH492" i="8"/>
  <c r="Z492" i="8"/>
  <c r="V492" i="8"/>
  <c r="R492" i="8"/>
  <c r="N492" i="8"/>
  <c r="AK492" i="8"/>
  <c r="AC492" i="8"/>
  <c r="AE492" i="8" s="1"/>
  <c r="Y492" i="8"/>
  <c r="U492" i="8"/>
  <c r="AF492" i="8" s="1"/>
  <c r="Q492" i="8"/>
  <c r="M492" i="8"/>
  <c r="T492" i="8"/>
  <c r="AB492" i="8"/>
  <c r="AJ492" i="8"/>
  <c r="P493" i="8"/>
  <c r="AL494" i="8"/>
  <c r="AH494" i="8"/>
  <c r="Z494" i="8"/>
  <c r="V494" i="8"/>
  <c r="R494" i="8"/>
  <c r="N494" i="8"/>
  <c r="AK494" i="8"/>
  <c r="AC494" i="8"/>
  <c r="AE494" i="8" s="1"/>
  <c r="Y494" i="8"/>
  <c r="U494" i="8"/>
  <c r="AF494" i="8" s="1"/>
  <c r="Q494" i="8"/>
  <c r="M494" i="8"/>
  <c r="T494" i="8"/>
  <c r="AB494" i="8"/>
  <c r="AJ494" i="8"/>
  <c r="P495" i="8"/>
  <c r="AL496" i="8"/>
  <c r="AH496" i="8"/>
  <c r="Z496" i="8"/>
  <c r="AA496" i="8" s="1"/>
  <c r="AG496" i="8" s="1"/>
  <c r="V496" i="8"/>
  <c r="R496" i="8"/>
  <c r="N496" i="8"/>
  <c r="AK496" i="8"/>
  <c r="AC496" i="8"/>
  <c r="AE496" i="8" s="1"/>
  <c r="Y496" i="8"/>
  <c r="U496" i="8"/>
  <c r="AF496" i="8" s="1"/>
  <c r="Q496" i="8"/>
  <c r="M496" i="8"/>
  <c r="T496" i="8"/>
  <c r="AB496" i="8"/>
  <c r="AJ496" i="8"/>
  <c r="P497" i="8"/>
  <c r="AL498" i="8"/>
  <c r="AH498" i="8"/>
  <c r="Z498" i="8"/>
  <c r="AA498" i="8" s="1"/>
  <c r="AG498" i="8" s="1"/>
  <c r="V498" i="8"/>
  <c r="R498" i="8"/>
  <c r="N498" i="8"/>
  <c r="AK498" i="8"/>
  <c r="AC498" i="8"/>
  <c r="AE498" i="8" s="1"/>
  <c r="Y498" i="8"/>
  <c r="U498" i="8"/>
  <c r="AF498" i="8" s="1"/>
  <c r="Q498" i="8"/>
  <c r="M498" i="8"/>
  <c r="T498" i="8"/>
  <c r="AB498" i="8"/>
  <c r="AJ498" i="8"/>
  <c r="P499" i="8"/>
  <c r="AL500" i="8"/>
  <c r="AH500" i="8"/>
  <c r="Z500" i="8"/>
  <c r="V500" i="8"/>
  <c r="R500" i="8"/>
  <c r="N500" i="8"/>
  <c r="AK500" i="8"/>
  <c r="AC500" i="8"/>
  <c r="AE500" i="8" s="1"/>
  <c r="Y500" i="8"/>
  <c r="U500" i="8"/>
  <c r="AF500" i="8" s="1"/>
  <c r="Q500" i="8"/>
  <c r="M500" i="8"/>
  <c r="T500" i="8"/>
  <c r="AB500" i="8"/>
  <c r="AJ500" i="8"/>
  <c r="P501" i="8"/>
  <c r="P3" i="9"/>
  <c r="P4" i="9"/>
  <c r="AI7" i="9"/>
  <c r="AA7" i="9"/>
  <c r="AG7" i="9" s="1"/>
  <c r="W7" i="9"/>
  <c r="AD7" i="9" s="1"/>
  <c r="S7" i="9"/>
  <c r="O7" i="9"/>
  <c r="K7" i="9"/>
  <c r="AL7" i="9"/>
  <c r="AH7" i="9"/>
  <c r="Z7" i="9"/>
  <c r="V7" i="9"/>
  <c r="R7" i="9"/>
  <c r="N7" i="9"/>
  <c r="T7" i="9"/>
  <c r="AB7" i="9"/>
  <c r="AJ7" i="9"/>
  <c r="AL8" i="9"/>
  <c r="AH8" i="9"/>
  <c r="Z8" i="9"/>
  <c r="V8" i="9"/>
  <c r="AB8" i="9" s="1"/>
  <c r="R8" i="9"/>
  <c r="N8" i="9"/>
  <c r="AK8" i="9"/>
  <c r="AC8" i="9"/>
  <c r="AE8" i="9" s="1"/>
  <c r="Y8" i="9"/>
  <c r="U8" i="9"/>
  <c r="AF8" i="9" s="1"/>
  <c r="Q8" i="9"/>
  <c r="M8" i="9"/>
  <c r="T8" i="9"/>
  <c r="AJ8" i="9"/>
  <c r="AL18" i="9"/>
  <c r="AH18" i="9"/>
  <c r="Z18" i="9"/>
  <c r="V18" i="9"/>
  <c r="AB18" i="9" s="1"/>
  <c r="R18" i="9"/>
  <c r="N18" i="9"/>
  <c r="AK18" i="9"/>
  <c r="AA18" i="9"/>
  <c r="AG18" i="9" s="1"/>
  <c r="U18" i="9"/>
  <c r="AF18" i="9" s="1"/>
  <c r="P18" i="9"/>
  <c r="K18" i="9"/>
  <c r="AJ18" i="9"/>
  <c r="Y18" i="9"/>
  <c r="T18" i="9"/>
  <c r="O18" i="9"/>
  <c r="W18" i="9"/>
  <c r="AD18" i="9" s="1"/>
  <c r="P19" i="9"/>
  <c r="AK19" i="9"/>
  <c r="AL22" i="9"/>
  <c r="AH22" i="9"/>
  <c r="Z22" i="9"/>
  <c r="AA22" i="9" s="1"/>
  <c r="AG22" i="9" s="1"/>
  <c r="V22" i="9"/>
  <c r="AB22" i="9" s="1"/>
  <c r="R22" i="9"/>
  <c r="N22" i="9"/>
  <c r="AK22" i="9"/>
  <c r="U22" i="9"/>
  <c r="AF22" i="9" s="1"/>
  <c r="P22" i="9"/>
  <c r="K22" i="9"/>
  <c r="AJ22" i="9"/>
  <c r="Y22" i="9"/>
  <c r="T22" i="9"/>
  <c r="O22" i="9"/>
  <c r="W22" i="9"/>
  <c r="AD22" i="9" s="1"/>
  <c r="P23" i="9"/>
  <c r="AA23" i="9"/>
  <c r="AG23" i="9" s="1"/>
  <c r="AK23" i="9"/>
  <c r="AL26" i="9"/>
  <c r="AH26" i="9"/>
  <c r="Z26" i="9"/>
  <c r="AA26" i="9" s="1"/>
  <c r="AG26" i="9" s="1"/>
  <c r="V26" i="9"/>
  <c r="AB26" i="9" s="1"/>
  <c r="R26" i="9"/>
  <c r="N26" i="9"/>
  <c r="AK26" i="9"/>
  <c r="U26" i="9"/>
  <c r="AF26" i="9" s="1"/>
  <c r="P26" i="9"/>
  <c r="K26" i="9"/>
  <c r="AJ26" i="9"/>
  <c r="Y26" i="9"/>
  <c r="T26" i="9"/>
  <c r="O26" i="9"/>
  <c r="W26" i="9"/>
  <c r="AD26" i="9" s="1"/>
  <c r="P27" i="9"/>
  <c r="AA27" i="9"/>
  <c r="AG27" i="9" s="1"/>
  <c r="AK27" i="9"/>
  <c r="AL30" i="9"/>
  <c r="AH30" i="9"/>
  <c r="Z30" i="9"/>
  <c r="V30" i="9"/>
  <c r="AB30" i="9" s="1"/>
  <c r="R30" i="9"/>
  <c r="N30" i="9"/>
  <c r="AK30" i="9"/>
  <c r="AA30" i="9"/>
  <c r="AG30" i="9" s="1"/>
  <c r="U30" i="9"/>
  <c r="AF30" i="9" s="1"/>
  <c r="P30" i="9"/>
  <c r="K30" i="9"/>
  <c r="AJ30" i="9"/>
  <c r="Y30" i="9"/>
  <c r="T30" i="9"/>
  <c r="O30" i="9"/>
  <c r="W30" i="9"/>
  <c r="AD30" i="9" s="1"/>
  <c r="P31" i="9"/>
  <c r="AA31" i="9"/>
  <c r="AG31" i="9" s="1"/>
  <c r="AK31" i="9"/>
  <c r="AL34" i="9"/>
  <c r="AH34" i="9"/>
  <c r="Z34" i="9"/>
  <c r="V34" i="9"/>
  <c r="AB34" i="9" s="1"/>
  <c r="R34" i="9"/>
  <c r="N34" i="9"/>
  <c r="AK34" i="9"/>
  <c r="AA34" i="9"/>
  <c r="AG34" i="9" s="1"/>
  <c r="U34" i="9"/>
  <c r="AF34" i="9" s="1"/>
  <c r="P34" i="9"/>
  <c r="K34" i="9"/>
  <c r="AJ34" i="9"/>
  <c r="Y34" i="9"/>
  <c r="T34" i="9"/>
  <c r="O34" i="9"/>
  <c r="W34" i="9"/>
  <c r="AD34" i="9" s="1"/>
  <c r="P35" i="9"/>
  <c r="AK35" i="9"/>
  <c r="AL38" i="9"/>
  <c r="AH38" i="9"/>
  <c r="Z38" i="9"/>
  <c r="AA38" i="9" s="1"/>
  <c r="AG38" i="9" s="1"/>
  <c r="V38" i="9"/>
  <c r="AB38" i="9" s="1"/>
  <c r="R38" i="9"/>
  <c r="N38" i="9"/>
  <c r="AK38" i="9"/>
  <c r="U38" i="9"/>
  <c r="AF38" i="9" s="1"/>
  <c r="P38" i="9"/>
  <c r="K38" i="9"/>
  <c r="AJ38" i="9"/>
  <c r="Y38" i="9"/>
  <c r="T38" i="9"/>
  <c r="O38" i="9"/>
  <c r="W38" i="9"/>
  <c r="AD38" i="9" s="1"/>
  <c r="P39" i="9"/>
  <c r="AA39" i="9"/>
  <c r="AG39" i="9" s="1"/>
  <c r="AK39" i="9"/>
  <c r="AL42" i="9"/>
  <c r="AH42" i="9"/>
  <c r="Z42" i="9"/>
  <c r="AA42" i="9" s="1"/>
  <c r="AG42" i="9" s="1"/>
  <c r="V42" i="9"/>
  <c r="AB42" i="9" s="1"/>
  <c r="R42" i="9"/>
  <c r="N42" i="9"/>
  <c r="AK42" i="9"/>
  <c r="U42" i="9"/>
  <c r="AF42" i="9" s="1"/>
  <c r="P42" i="9"/>
  <c r="K42" i="9"/>
  <c r="AJ42" i="9"/>
  <c r="Y42" i="9"/>
  <c r="T42" i="9"/>
  <c r="O42" i="9"/>
  <c r="W42" i="9"/>
  <c r="AD42" i="9" s="1"/>
  <c r="P43" i="9"/>
  <c r="AA43" i="9"/>
  <c r="AG43" i="9" s="1"/>
  <c r="AK43" i="9"/>
  <c r="AL46" i="9"/>
  <c r="AH46" i="9"/>
  <c r="Z46" i="9"/>
  <c r="V46" i="9"/>
  <c r="AB46" i="9" s="1"/>
  <c r="R46" i="9"/>
  <c r="N46" i="9"/>
  <c r="AK46" i="9"/>
  <c r="AA46" i="9"/>
  <c r="AG46" i="9" s="1"/>
  <c r="U46" i="9"/>
  <c r="AF46" i="9" s="1"/>
  <c r="P46" i="9"/>
  <c r="K46" i="9"/>
  <c r="AJ46" i="9"/>
  <c r="Y46" i="9"/>
  <c r="T46" i="9"/>
  <c r="O46" i="9"/>
  <c r="W46" i="9"/>
  <c r="AD46" i="9" s="1"/>
  <c r="P47" i="9"/>
  <c r="AA47" i="9"/>
  <c r="AG47" i="9" s="1"/>
  <c r="AK47" i="9"/>
  <c r="AL50" i="9"/>
  <c r="AH50" i="9"/>
  <c r="Z50" i="9"/>
  <c r="V50" i="9"/>
  <c r="AB50" i="9" s="1"/>
  <c r="R50" i="9"/>
  <c r="N50" i="9"/>
  <c r="AK50" i="9"/>
  <c r="AA50" i="9"/>
  <c r="AG50" i="9" s="1"/>
  <c r="U50" i="9"/>
  <c r="AF50" i="9" s="1"/>
  <c r="P50" i="9"/>
  <c r="K50" i="9"/>
  <c r="AJ50" i="9"/>
  <c r="Y50" i="9"/>
  <c r="T50" i="9"/>
  <c r="O50" i="9"/>
  <c r="W50" i="9"/>
  <c r="AD50" i="9" s="1"/>
  <c r="P51" i="9"/>
  <c r="AK51" i="9"/>
  <c r="AL54" i="9"/>
  <c r="AH54" i="9"/>
  <c r="Z54" i="9"/>
  <c r="AA54" i="9" s="1"/>
  <c r="AG54" i="9" s="1"/>
  <c r="V54" i="9"/>
  <c r="AB54" i="9" s="1"/>
  <c r="R54" i="9"/>
  <c r="N54" i="9"/>
  <c r="AK54" i="9"/>
  <c r="U54" i="9"/>
  <c r="AF54" i="9" s="1"/>
  <c r="P54" i="9"/>
  <c r="K54" i="9"/>
  <c r="AJ54" i="9"/>
  <c r="Y54" i="9"/>
  <c r="T54" i="9"/>
  <c r="O54" i="9"/>
  <c r="W54" i="9"/>
  <c r="AD54" i="9" s="1"/>
  <c r="P55" i="9"/>
  <c r="AA55" i="9"/>
  <c r="AG55" i="9" s="1"/>
  <c r="AK55" i="9"/>
  <c r="AL58" i="9"/>
  <c r="AH58" i="9"/>
  <c r="Z58" i="9"/>
  <c r="AA58" i="9" s="1"/>
  <c r="AG58" i="9" s="1"/>
  <c r="V58" i="9"/>
  <c r="AB58" i="9" s="1"/>
  <c r="R58" i="9"/>
  <c r="N58" i="9"/>
  <c r="AK58" i="9"/>
  <c r="U58" i="9"/>
  <c r="AF58" i="9" s="1"/>
  <c r="P58" i="9"/>
  <c r="K58" i="9"/>
  <c r="AJ58" i="9"/>
  <c r="Y58" i="9"/>
  <c r="T58" i="9"/>
  <c r="O58" i="9"/>
  <c r="W58" i="9"/>
  <c r="AD58" i="9" s="1"/>
  <c r="P59" i="9"/>
  <c r="AA59" i="9"/>
  <c r="AG59" i="9" s="1"/>
  <c r="AK59" i="9"/>
  <c r="AL62" i="9"/>
  <c r="AH62" i="9"/>
  <c r="Z62" i="9"/>
  <c r="V62" i="9"/>
  <c r="AB62" i="9" s="1"/>
  <c r="R62" i="9"/>
  <c r="N62" i="9"/>
  <c r="AK62" i="9"/>
  <c r="AA62" i="9"/>
  <c r="AG62" i="9" s="1"/>
  <c r="U62" i="9"/>
  <c r="AF62" i="9" s="1"/>
  <c r="P62" i="9"/>
  <c r="K62" i="9"/>
  <c r="AJ62" i="9"/>
  <c r="Y62" i="9"/>
  <c r="T62" i="9"/>
  <c r="O62" i="9"/>
  <c r="W62" i="9"/>
  <c r="AD62" i="9" s="1"/>
  <c r="P63" i="9"/>
  <c r="AA63" i="9"/>
  <c r="AG63" i="9" s="1"/>
  <c r="AK63" i="9"/>
  <c r="AL66" i="9"/>
  <c r="AH66" i="9"/>
  <c r="Z66" i="9"/>
  <c r="V66" i="9"/>
  <c r="AB66" i="9" s="1"/>
  <c r="R66" i="9"/>
  <c r="N66" i="9"/>
  <c r="AK66" i="9"/>
  <c r="AA66" i="9"/>
  <c r="AG66" i="9" s="1"/>
  <c r="U66" i="9"/>
  <c r="AF66" i="9" s="1"/>
  <c r="P66" i="9"/>
  <c r="K66" i="9"/>
  <c r="AJ66" i="9"/>
  <c r="Y66" i="9"/>
  <c r="T66" i="9"/>
  <c r="O66" i="9"/>
  <c r="W66" i="9"/>
  <c r="AD66" i="9" s="1"/>
  <c r="P67" i="9"/>
  <c r="AK67" i="9"/>
  <c r="AL70" i="9"/>
  <c r="AH70" i="9"/>
  <c r="Z70" i="9"/>
  <c r="AA70" i="9" s="1"/>
  <c r="AG70" i="9" s="1"/>
  <c r="V70" i="9"/>
  <c r="AB70" i="9" s="1"/>
  <c r="R70" i="9"/>
  <c r="N70" i="9"/>
  <c r="AK70" i="9"/>
  <c r="U70" i="9"/>
  <c r="AF70" i="9" s="1"/>
  <c r="P70" i="9"/>
  <c r="K70" i="9"/>
  <c r="AJ70" i="9"/>
  <c r="Y70" i="9"/>
  <c r="T70" i="9"/>
  <c r="O70" i="9"/>
  <c r="W70" i="9"/>
  <c r="AD70" i="9" s="1"/>
  <c r="P71" i="9"/>
  <c r="AA71" i="9"/>
  <c r="AG71" i="9" s="1"/>
  <c r="AK71" i="9"/>
  <c r="AL74" i="9"/>
  <c r="AH74" i="9"/>
  <c r="Z74" i="9"/>
  <c r="AA74" i="9" s="1"/>
  <c r="AG74" i="9" s="1"/>
  <c r="V74" i="9"/>
  <c r="AB74" i="9" s="1"/>
  <c r="R74" i="9"/>
  <c r="N74" i="9"/>
  <c r="AK74" i="9"/>
  <c r="U74" i="9"/>
  <c r="AF74" i="9" s="1"/>
  <c r="P74" i="9"/>
  <c r="K74" i="9"/>
  <c r="AJ74" i="9"/>
  <c r="Y74" i="9"/>
  <c r="T74" i="9"/>
  <c r="O74" i="9"/>
  <c r="W74" i="9"/>
  <c r="AD74" i="9" s="1"/>
  <c r="P75" i="9"/>
  <c r="AA75" i="9"/>
  <c r="AG75" i="9" s="1"/>
  <c r="AK75" i="9"/>
  <c r="AL78" i="9"/>
  <c r="AH78" i="9"/>
  <c r="Z78" i="9"/>
  <c r="V78" i="9"/>
  <c r="AB78" i="9" s="1"/>
  <c r="R78" i="9"/>
  <c r="N78" i="9"/>
  <c r="AK78" i="9"/>
  <c r="AA78" i="9"/>
  <c r="AG78" i="9" s="1"/>
  <c r="U78" i="9"/>
  <c r="AF78" i="9" s="1"/>
  <c r="P78" i="9"/>
  <c r="K78" i="9"/>
  <c r="AJ78" i="9"/>
  <c r="Y78" i="9"/>
  <c r="T78" i="9"/>
  <c r="O78" i="9"/>
  <c r="W78" i="9"/>
  <c r="AD78" i="9" s="1"/>
  <c r="P79" i="9"/>
  <c r="AA79" i="9"/>
  <c r="AG79" i="9" s="1"/>
  <c r="AK79" i="9"/>
  <c r="AL82" i="9"/>
  <c r="AH82" i="9"/>
  <c r="Z82" i="9"/>
  <c r="V82" i="9"/>
  <c r="AB82" i="9" s="1"/>
  <c r="R82" i="9"/>
  <c r="N82" i="9"/>
  <c r="AK82" i="9"/>
  <c r="AA82" i="9"/>
  <c r="AG82" i="9" s="1"/>
  <c r="U82" i="9"/>
  <c r="AF82" i="9" s="1"/>
  <c r="P82" i="9"/>
  <c r="K82" i="9"/>
  <c r="AJ82" i="9"/>
  <c r="Y82" i="9"/>
  <c r="T82" i="9"/>
  <c r="O82" i="9"/>
  <c r="W82" i="9"/>
  <c r="AD82" i="9" s="1"/>
  <c r="P83" i="9"/>
  <c r="AK83" i="9"/>
  <c r="AL86" i="9"/>
  <c r="AH86" i="9"/>
  <c r="Z86" i="9"/>
  <c r="AA86" i="9" s="1"/>
  <c r="AG86" i="9" s="1"/>
  <c r="V86" i="9"/>
  <c r="AB86" i="9" s="1"/>
  <c r="R86" i="9"/>
  <c r="N86" i="9"/>
  <c r="AK86" i="9"/>
  <c r="U86" i="9"/>
  <c r="AF86" i="9" s="1"/>
  <c r="P86" i="9"/>
  <c r="K86" i="9"/>
  <c r="AJ86" i="9"/>
  <c r="Y86" i="9"/>
  <c r="T86" i="9"/>
  <c r="O86" i="9"/>
  <c r="W86" i="9"/>
  <c r="AD86" i="9" s="1"/>
  <c r="P87" i="9"/>
  <c r="AA87" i="9"/>
  <c r="AG87" i="9" s="1"/>
  <c r="AK87" i="9"/>
  <c r="AL90" i="9"/>
  <c r="AH90" i="9"/>
  <c r="Z90" i="9"/>
  <c r="AA90" i="9" s="1"/>
  <c r="AG90" i="9" s="1"/>
  <c r="V90" i="9"/>
  <c r="AB90" i="9" s="1"/>
  <c r="R90" i="9"/>
  <c r="N90" i="9"/>
  <c r="AK90" i="9"/>
  <c r="U90" i="9"/>
  <c r="AF90" i="9" s="1"/>
  <c r="P90" i="9"/>
  <c r="K90" i="9"/>
  <c r="AJ90" i="9"/>
  <c r="Y90" i="9"/>
  <c r="T90" i="9"/>
  <c r="O90" i="9"/>
  <c r="W90" i="9"/>
  <c r="AD90" i="9" s="1"/>
  <c r="P91" i="9"/>
  <c r="AA91" i="9"/>
  <c r="AG91" i="9" s="1"/>
  <c r="AK91" i="9"/>
  <c r="AL94" i="9"/>
  <c r="AH94" i="9"/>
  <c r="Z94" i="9"/>
  <c r="V94" i="9"/>
  <c r="AB94" i="9" s="1"/>
  <c r="R94" i="9"/>
  <c r="N94" i="9"/>
  <c r="AK94" i="9"/>
  <c r="AA94" i="9"/>
  <c r="AG94" i="9" s="1"/>
  <c r="U94" i="9"/>
  <c r="AF94" i="9" s="1"/>
  <c r="P94" i="9"/>
  <c r="K94" i="9"/>
  <c r="AJ94" i="9"/>
  <c r="Y94" i="9"/>
  <c r="T94" i="9"/>
  <c r="O94" i="9"/>
  <c r="W94" i="9"/>
  <c r="AD94" i="9" s="1"/>
  <c r="P95" i="9"/>
  <c r="AA95" i="9"/>
  <c r="AG95" i="9" s="1"/>
  <c r="AK95" i="9"/>
  <c r="AL98" i="9"/>
  <c r="AH98" i="9"/>
  <c r="Z98" i="9"/>
  <c r="V98" i="9"/>
  <c r="AB98" i="9" s="1"/>
  <c r="R98" i="9"/>
  <c r="N98" i="9"/>
  <c r="AK98" i="9"/>
  <c r="AA98" i="9"/>
  <c r="AG98" i="9" s="1"/>
  <c r="U98" i="9"/>
  <c r="AF98" i="9" s="1"/>
  <c r="P98" i="9"/>
  <c r="K98" i="9"/>
  <c r="AJ98" i="9"/>
  <c r="Y98" i="9"/>
  <c r="T98" i="9"/>
  <c r="O98" i="9"/>
  <c r="W98" i="9"/>
  <c r="AD98" i="9" s="1"/>
  <c r="P99" i="9"/>
  <c r="AK99" i="9"/>
  <c r="AL102" i="9"/>
  <c r="AH102" i="9"/>
  <c r="Z102" i="9"/>
  <c r="AA102" i="9" s="1"/>
  <c r="AG102" i="9" s="1"/>
  <c r="V102" i="9"/>
  <c r="AB102" i="9" s="1"/>
  <c r="R102" i="9"/>
  <c r="N102" i="9"/>
  <c r="AK102" i="9"/>
  <c r="U102" i="9"/>
  <c r="AF102" i="9" s="1"/>
  <c r="P102" i="9"/>
  <c r="K102" i="9"/>
  <c r="AJ102" i="9"/>
  <c r="Y102" i="9"/>
  <c r="T102" i="9"/>
  <c r="O102" i="9"/>
  <c r="W102" i="9"/>
  <c r="AD102" i="9" s="1"/>
  <c r="P103" i="9"/>
  <c r="AA103" i="9"/>
  <c r="AG103" i="9" s="1"/>
  <c r="AK103" i="9"/>
  <c r="AL106" i="9"/>
  <c r="AH106" i="9"/>
  <c r="Z106" i="9"/>
  <c r="AA106" i="9" s="1"/>
  <c r="AG106" i="9" s="1"/>
  <c r="V106" i="9"/>
  <c r="AB106" i="9" s="1"/>
  <c r="R106" i="9"/>
  <c r="N106" i="9"/>
  <c r="AK106" i="9"/>
  <c r="U106" i="9"/>
  <c r="AF106" i="9" s="1"/>
  <c r="P106" i="9"/>
  <c r="K106" i="9"/>
  <c r="AJ106" i="9"/>
  <c r="Y106" i="9"/>
  <c r="T106" i="9"/>
  <c r="O106" i="9"/>
  <c r="W106" i="9"/>
  <c r="AD106" i="9" s="1"/>
  <c r="P107" i="9"/>
  <c r="AA107" i="9"/>
  <c r="AG107" i="9" s="1"/>
  <c r="AK107" i="9"/>
  <c r="AL110" i="9"/>
  <c r="AH110" i="9"/>
  <c r="Z110" i="9"/>
  <c r="V110" i="9"/>
  <c r="AB110" i="9" s="1"/>
  <c r="R110" i="9"/>
  <c r="N110" i="9"/>
  <c r="AK110" i="9"/>
  <c r="AA110" i="9"/>
  <c r="AG110" i="9" s="1"/>
  <c r="U110" i="9"/>
  <c r="AF110" i="9" s="1"/>
  <c r="P110" i="9"/>
  <c r="K110" i="9"/>
  <c r="AJ110" i="9"/>
  <c r="Y110" i="9"/>
  <c r="T110" i="9"/>
  <c r="O110" i="9"/>
  <c r="W110" i="9"/>
  <c r="AD110" i="9" s="1"/>
  <c r="P111" i="9"/>
  <c r="AA111" i="9"/>
  <c r="AG111" i="9" s="1"/>
  <c r="AK111" i="9"/>
  <c r="AL114" i="9"/>
  <c r="AH114" i="9"/>
  <c r="Z114" i="9"/>
  <c r="V114" i="9"/>
  <c r="AB114" i="9" s="1"/>
  <c r="R114" i="9"/>
  <c r="N114" i="9"/>
  <c r="AK114" i="9"/>
  <c r="AA114" i="9"/>
  <c r="AG114" i="9" s="1"/>
  <c r="U114" i="9"/>
  <c r="AF114" i="9" s="1"/>
  <c r="P114" i="9"/>
  <c r="K114" i="9"/>
  <c r="AJ114" i="9"/>
  <c r="Y114" i="9"/>
  <c r="T114" i="9"/>
  <c r="O114" i="9"/>
  <c r="W114" i="9"/>
  <c r="AD114" i="9" s="1"/>
  <c r="P115" i="9"/>
  <c r="AK115" i="9"/>
  <c r="AL118" i="9"/>
  <c r="AH118" i="9"/>
  <c r="Z118" i="9"/>
  <c r="AA118" i="9" s="1"/>
  <c r="AG118" i="9" s="1"/>
  <c r="V118" i="9"/>
  <c r="AB118" i="9" s="1"/>
  <c r="R118" i="9"/>
  <c r="N118" i="9"/>
  <c r="AK118" i="9"/>
  <c r="U118" i="9"/>
  <c r="AF118" i="9" s="1"/>
  <c r="P118" i="9"/>
  <c r="K118" i="9"/>
  <c r="AJ118" i="9"/>
  <c r="Y118" i="9"/>
  <c r="T118" i="9"/>
  <c r="O118" i="9"/>
  <c r="W118" i="9"/>
  <c r="AD118" i="9" s="1"/>
  <c r="P119" i="9"/>
  <c r="AA119" i="9"/>
  <c r="AG119" i="9" s="1"/>
  <c r="AK119" i="9"/>
  <c r="AL122" i="9"/>
  <c r="AH122" i="9"/>
  <c r="Z122" i="9"/>
  <c r="AA122" i="9" s="1"/>
  <c r="AG122" i="9" s="1"/>
  <c r="V122" i="9"/>
  <c r="AB122" i="9" s="1"/>
  <c r="R122" i="9"/>
  <c r="N122" i="9"/>
  <c r="AK122" i="9"/>
  <c r="U122" i="9"/>
  <c r="AF122" i="9" s="1"/>
  <c r="P122" i="9"/>
  <c r="K122" i="9"/>
  <c r="AJ122" i="9"/>
  <c r="Y122" i="9"/>
  <c r="T122" i="9"/>
  <c r="O122" i="9"/>
  <c r="W122" i="9"/>
  <c r="AD122" i="9" s="1"/>
  <c r="P123" i="9"/>
  <c r="AA123" i="9"/>
  <c r="AG123" i="9" s="1"/>
  <c r="AK123" i="9"/>
  <c r="AL126" i="9"/>
  <c r="AH126" i="9"/>
  <c r="Z126" i="9"/>
  <c r="V126" i="9"/>
  <c r="AB126" i="9" s="1"/>
  <c r="R126" i="9"/>
  <c r="N126" i="9"/>
  <c r="AK126" i="9"/>
  <c r="AA126" i="9"/>
  <c r="AG126" i="9" s="1"/>
  <c r="U126" i="9"/>
  <c r="AF126" i="9" s="1"/>
  <c r="P126" i="9"/>
  <c r="K126" i="9"/>
  <c r="AJ126" i="9"/>
  <c r="Y126" i="9"/>
  <c r="T126" i="9"/>
  <c r="O126" i="9"/>
  <c r="W126" i="9"/>
  <c r="AD126" i="9" s="1"/>
  <c r="P127" i="9"/>
  <c r="AA127" i="9"/>
  <c r="AG127" i="9" s="1"/>
  <c r="AK127" i="9"/>
  <c r="AL130" i="9"/>
  <c r="AH130" i="9"/>
  <c r="Z130" i="9"/>
  <c r="V130" i="9"/>
  <c r="AB130" i="9" s="1"/>
  <c r="R130" i="9"/>
  <c r="N130" i="9"/>
  <c r="AK130" i="9"/>
  <c r="AA130" i="9"/>
  <c r="AG130" i="9" s="1"/>
  <c r="U130" i="9"/>
  <c r="AF130" i="9" s="1"/>
  <c r="P130" i="9"/>
  <c r="K130" i="9"/>
  <c r="AJ130" i="9"/>
  <c r="Y130" i="9"/>
  <c r="T130" i="9"/>
  <c r="O130" i="9"/>
  <c r="W130" i="9"/>
  <c r="AD130" i="9" s="1"/>
  <c r="P131" i="9"/>
  <c r="AK131" i="9"/>
  <c r="AL134" i="9"/>
  <c r="AH134" i="9"/>
  <c r="Z134" i="9"/>
  <c r="AA134" i="9" s="1"/>
  <c r="AG134" i="9" s="1"/>
  <c r="V134" i="9"/>
  <c r="AB134" i="9" s="1"/>
  <c r="R134" i="9"/>
  <c r="N134" i="9"/>
  <c r="AK134" i="9"/>
  <c r="U134" i="9"/>
  <c r="AF134" i="9" s="1"/>
  <c r="P134" i="9"/>
  <c r="K134" i="9"/>
  <c r="AJ134" i="9"/>
  <c r="Y134" i="9"/>
  <c r="T134" i="9"/>
  <c r="O134" i="9"/>
  <c r="W134" i="9"/>
  <c r="AD134" i="9" s="1"/>
  <c r="P135" i="9"/>
  <c r="AA135" i="9"/>
  <c r="AG135" i="9" s="1"/>
  <c r="AK135" i="9"/>
  <c r="AL138" i="9"/>
  <c r="AH138" i="9"/>
  <c r="Z138" i="9"/>
  <c r="AA138" i="9" s="1"/>
  <c r="AG138" i="9" s="1"/>
  <c r="V138" i="9"/>
  <c r="AB138" i="9" s="1"/>
  <c r="R138" i="9"/>
  <c r="N138" i="9"/>
  <c r="AK138" i="9"/>
  <c r="U138" i="9"/>
  <c r="AF138" i="9" s="1"/>
  <c r="P138" i="9"/>
  <c r="K138" i="9"/>
  <c r="AJ138" i="9"/>
  <c r="Y138" i="9"/>
  <c r="T138" i="9"/>
  <c r="O138" i="9"/>
  <c r="W138" i="9"/>
  <c r="AD138" i="9" s="1"/>
  <c r="P139" i="9"/>
  <c r="AA139" i="9"/>
  <c r="AG139" i="9" s="1"/>
  <c r="AK139" i="9"/>
  <c r="AL142" i="9"/>
  <c r="AH142" i="9"/>
  <c r="Z142" i="9"/>
  <c r="V142" i="9"/>
  <c r="AB142" i="9" s="1"/>
  <c r="R142" i="9"/>
  <c r="N142" i="9"/>
  <c r="AK142" i="9"/>
  <c r="AA142" i="9"/>
  <c r="AG142" i="9" s="1"/>
  <c r="U142" i="9"/>
  <c r="AF142" i="9" s="1"/>
  <c r="P142" i="9"/>
  <c r="K142" i="9"/>
  <c r="AJ142" i="9"/>
  <c r="Y142" i="9"/>
  <c r="T142" i="9"/>
  <c r="O142" i="9"/>
  <c r="W142" i="9"/>
  <c r="AD142" i="9" s="1"/>
  <c r="P143" i="9"/>
  <c r="AA143" i="9"/>
  <c r="AG143" i="9" s="1"/>
  <c r="AK143" i="9"/>
  <c r="AL146" i="9"/>
  <c r="AH146" i="9"/>
  <c r="Z146" i="9"/>
  <c r="V146" i="9"/>
  <c r="AB146" i="9" s="1"/>
  <c r="R146" i="9"/>
  <c r="N146" i="9"/>
  <c r="AK146" i="9"/>
  <c r="AA146" i="9"/>
  <c r="AG146" i="9" s="1"/>
  <c r="U146" i="9"/>
  <c r="AF146" i="9" s="1"/>
  <c r="P146" i="9"/>
  <c r="K146" i="9"/>
  <c r="AJ146" i="9"/>
  <c r="Y146" i="9"/>
  <c r="T146" i="9"/>
  <c r="O146" i="9"/>
  <c r="W146" i="9"/>
  <c r="AD146" i="9" s="1"/>
  <c r="P147" i="9"/>
  <c r="AK147" i="9"/>
  <c r="AL150" i="9"/>
  <c r="AH150" i="9"/>
  <c r="Z150" i="9"/>
  <c r="AA150" i="9" s="1"/>
  <c r="AG150" i="9" s="1"/>
  <c r="V150" i="9"/>
  <c r="AB150" i="9" s="1"/>
  <c r="R150" i="9"/>
  <c r="N150" i="9"/>
  <c r="AK150" i="9"/>
  <c r="U150" i="9"/>
  <c r="AF150" i="9" s="1"/>
  <c r="P150" i="9"/>
  <c r="K150" i="9"/>
  <c r="AJ150" i="9"/>
  <c r="Y150" i="9"/>
  <c r="T150" i="9"/>
  <c r="O150" i="9"/>
  <c r="W150" i="9"/>
  <c r="AD150" i="9" s="1"/>
  <c r="P151" i="9"/>
  <c r="AA151" i="9"/>
  <c r="AG151" i="9" s="1"/>
  <c r="AK151" i="9"/>
  <c r="AL154" i="9"/>
  <c r="AH154" i="9"/>
  <c r="Z154" i="9"/>
  <c r="AA154" i="9" s="1"/>
  <c r="AG154" i="9" s="1"/>
  <c r="V154" i="9"/>
  <c r="AB154" i="9" s="1"/>
  <c r="R154" i="9"/>
  <c r="N154" i="9"/>
  <c r="AK154" i="9"/>
  <c r="U154" i="9"/>
  <c r="AF154" i="9" s="1"/>
  <c r="P154" i="9"/>
  <c r="K154" i="9"/>
  <c r="AJ154" i="9"/>
  <c r="Y154" i="9"/>
  <c r="T154" i="9"/>
  <c r="O154" i="9"/>
  <c r="W154" i="9"/>
  <c r="AD154" i="9" s="1"/>
  <c r="P155" i="9"/>
  <c r="AA155" i="9"/>
  <c r="AG155" i="9" s="1"/>
  <c r="AK155" i="9"/>
  <c r="AL158" i="9"/>
  <c r="AH158" i="9"/>
  <c r="Z158" i="9"/>
  <c r="V158" i="9"/>
  <c r="AB158" i="9" s="1"/>
  <c r="R158" i="9"/>
  <c r="N158" i="9"/>
  <c r="AK158" i="9"/>
  <c r="AA158" i="9"/>
  <c r="AG158" i="9" s="1"/>
  <c r="U158" i="9"/>
  <c r="AF158" i="9" s="1"/>
  <c r="P158" i="9"/>
  <c r="K158" i="9"/>
  <c r="AJ158" i="9"/>
  <c r="Y158" i="9"/>
  <c r="T158" i="9"/>
  <c r="O158" i="9"/>
  <c r="W158" i="9"/>
  <c r="AD158" i="9" s="1"/>
  <c r="P159" i="9"/>
  <c r="AA159" i="9"/>
  <c r="AG159" i="9" s="1"/>
  <c r="AK159" i="9"/>
  <c r="AL162" i="9"/>
  <c r="AH162" i="9"/>
  <c r="Z162" i="9"/>
  <c r="V162" i="9"/>
  <c r="AB162" i="9" s="1"/>
  <c r="R162" i="9"/>
  <c r="N162" i="9"/>
  <c r="AK162" i="9"/>
  <c r="AA162" i="9"/>
  <c r="AG162" i="9" s="1"/>
  <c r="U162" i="9"/>
  <c r="AF162" i="9" s="1"/>
  <c r="P162" i="9"/>
  <c r="K162" i="9"/>
  <c r="AJ162" i="9"/>
  <c r="Y162" i="9"/>
  <c r="T162" i="9"/>
  <c r="O162" i="9"/>
  <c r="W162" i="9"/>
  <c r="AD162" i="9" s="1"/>
  <c r="P163" i="9"/>
  <c r="AK163" i="9"/>
  <c r="AL166" i="9"/>
  <c r="AH166" i="9"/>
  <c r="Z166" i="9"/>
  <c r="AA166" i="9" s="1"/>
  <c r="AG166" i="9" s="1"/>
  <c r="V166" i="9"/>
  <c r="AB166" i="9" s="1"/>
  <c r="R166" i="9"/>
  <c r="N166" i="9"/>
  <c r="AK166" i="9"/>
  <c r="U166" i="9"/>
  <c r="AF166" i="9" s="1"/>
  <c r="P166" i="9"/>
  <c r="K166" i="9"/>
  <c r="AJ166" i="9"/>
  <c r="Y166" i="9"/>
  <c r="T166" i="9"/>
  <c r="O166" i="9"/>
  <c r="W166" i="9"/>
  <c r="AD166" i="9" s="1"/>
  <c r="P167" i="9"/>
  <c r="AA167" i="9"/>
  <c r="AG167" i="9" s="1"/>
  <c r="AK167" i="9"/>
  <c r="AL170" i="9"/>
  <c r="AH170" i="9"/>
  <c r="Z170" i="9"/>
  <c r="AA170" i="9" s="1"/>
  <c r="AG170" i="9" s="1"/>
  <c r="V170" i="9"/>
  <c r="AB170" i="9" s="1"/>
  <c r="R170" i="9"/>
  <c r="N170" i="9"/>
  <c r="AK170" i="9"/>
  <c r="U170" i="9"/>
  <c r="AF170" i="9" s="1"/>
  <c r="P170" i="9"/>
  <c r="K170" i="9"/>
  <c r="AJ170" i="9"/>
  <c r="Y170" i="9"/>
  <c r="T170" i="9"/>
  <c r="O170" i="9"/>
  <c r="W170" i="9"/>
  <c r="AD170" i="9" s="1"/>
  <c r="P171" i="9"/>
  <c r="AA171" i="9"/>
  <c r="AG171" i="9" s="1"/>
  <c r="AK171" i="9"/>
  <c r="AL174" i="9"/>
  <c r="AH174" i="9"/>
  <c r="Z174" i="9"/>
  <c r="V174" i="9"/>
  <c r="AB174" i="9" s="1"/>
  <c r="R174" i="9"/>
  <c r="N174" i="9"/>
  <c r="AK174" i="9"/>
  <c r="AA174" i="9"/>
  <c r="AG174" i="9" s="1"/>
  <c r="U174" i="9"/>
  <c r="AF174" i="9" s="1"/>
  <c r="P174" i="9"/>
  <c r="K174" i="9"/>
  <c r="AJ174" i="9"/>
  <c r="Y174" i="9"/>
  <c r="T174" i="9"/>
  <c r="O174" i="9"/>
  <c r="W174" i="9"/>
  <c r="AD174" i="9" s="1"/>
  <c r="P175" i="9"/>
  <c r="AA175" i="9"/>
  <c r="AG175" i="9" s="1"/>
  <c r="AK175" i="9"/>
  <c r="AL178" i="9"/>
  <c r="AH178" i="9"/>
  <c r="Z178" i="9"/>
  <c r="V178" i="9"/>
  <c r="AB178" i="9" s="1"/>
  <c r="R178" i="9"/>
  <c r="N178" i="9"/>
  <c r="AK178" i="9"/>
  <c r="AA178" i="9"/>
  <c r="AG178" i="9" s="1"/>
  <c r="U178" i="9"/>
  <c r="AF178" i="9" s="1"/>
  <c r="P178" i="9"/>
  <c r="K178" i="9"/>
  <c r="AJ178" i="9"/>
  <c r="Y178" i="9"/>
  <c r="T178" i="9"/>
  <c r="O178" i="9"/>
  <c r="W178" i="9"/>
  <c r="AD178" i="9" s="1"/>
  <c r="P179" i="9"/>
  <c r="AK179" i="9"/>
  <c r="AL182" i="9"/>
  <c r="AH182" i="9"/>
  <c r="Z182" i="9"/>
  <c r="AA182" i="9" s="1"/>
  <c r="AG182" i="9" s="1"/>
  <c r="V182" i="9"/>
  <c r="AB182" i="9" s="1"/>
  <c r="R182" i="9"/>
  <c r="N182" i="9"/>
  <c r="AK182" i="9"/>
  <c r="U182" i="9"/>
  <c r="AF182" i="9" s="1"/>
  <c r="P182" i="9"/>
  <c r="K182" i="9"/>
  <c r="AJ182" i="9"/>
  <c r="Y182" i="9"/>
  <c r="T182" i="9"/>
  <c r="O182" i="9"/>
  <c r="W182" i="9"/>
  <c r="AD182" i="9" s="1"/>
  <c r="P183" i="9"/>
  <c r="AA183" i="9"/>
  <c r="AG183" i="9" s="1"/>
  <c r="AK183" i="9"/>
  <c r="AL186" i="9"/>
  <c r="AH186" i="9"/>
  <c r="Z186" i="9"/>
  <c r="AA186" i="9" s="1"/>
  <c r="AG186" i="9" s="1"/>
  <c r="V186" i="9"/>
  <c r="AB186" i="9" s="1"/>
  <c r="R186" i="9"/>
  <c r="N186" i="9"/>
  <c r="AI186" i="9"/>
  <c r="AC186" i="9"/>
  <c r="AE186" i="9" s="1"/>
  <c r="X186" i="9"/>
  <c r="S186" i="9"/>
  <c r="M186" i="9"/>
  <c r="AK186" i="9"/>
  <c r="U186" i="9"/>
  <c r="AF186" i="9" s="1"/>
  <c r="P186" i="9"/>
  <c r="K186" i="9"/>
  <c r="AJ186" i="9"/>
  <c r="Y186" i="9"/>
  <c r="T186" i="9"/>
  <c r="O186" i="9"/>
  <c r="Q190" i="9"/>
  <c r="W194" i="9"/>
  <c r="AD194" i="9" s="1"/>
  <c r="AL202" i="9"/>
  <c r="AH202" i="9"/>
  <c r="Z202" i="9"/>
  <c r="V202" i="9"/>
  <c r="AB202" i="9" s="1"/>
  <c r="R202" i="9"/>
  <c r="N202" i="9"/>
  <c r="AI202" i="9"/>
  <c r="AC202" i="9"/>
  <c r="AE202" i="9" s="1"/>
  <c r="X202" i="9"/>
  <c r="Y202" i="9" s="1"/>
  <c r="S202" i="9"/>
  <c r="M202" i="9"/>
  <c r="AK202" i="9"/>
  <c r="AA202" i="9"/>
  <c r="AG202" i="9" s="1"/>
  <c r="U202" i="9"/>
  <c r="AF202" i="9" s="1"/>
  <c r="P202" i="9"/>
  <c r="K202" i="9"/>
  <c r="AJ202" i="9"/>
  <c r="T202" i="9"/>
  <c r="O202" i="9"/>
  <c r="Q206" i="9"/>
  <c r="W210" i="9"/>
  <c r="AD210" i="9" s="1"/>
  <c r="AL218" i="9"/>
  <c r="AH218" i="9"/>
  <c r="Z218" i="9"/>
  <c r="AA218" i="9" s="1"/>
  <c r="AG218" i="9" s="1"/>
  <c r="V218" i="9"/>
  <c r="AB218" i="9" s="1"/>
  <c r="R218" i="9"/>
  <c r="N218" i="9"/>
  <c r="AI218" i="9"/>
  <c r="AC218" i="9"/>
  <c r="AE218" i="9" s="1"/>
  <c r="X218" i="9"/>
  <c r="S218" i="9"/>
  <c r="M218" i="9"/>
  <c r="AK218" i="9"/>
  <c r="U218" i="9"/>
  <c r="AF218" i="9" s="1"/>
  <c r="P218" i="9"/>
  <c r="K218" i="9"/>
  <c r="AJ218" i="9"/>
  <c r="Y218" i="9"/>
  <c r="T218" i="9"/>
  <c r="O218" i="9"/>
  <c r="Q222" i="9"/>
  <c r="AB490" i="9"/>
  <c r="AL198" i="9"/>
  <c r="AH198" i="9"/>
  <c r="Z198" i="9"/>
  <c r="AA198" i="9" s="1"/>
  <c r="AG198" i="9" s="1"/>
  <c r="V198" i="9"/>
  <c r="AB198" i="9" s="1"/>
  <c r="R198" i="9"/>
  <c r="N198" i="9"/>
  <c r="AI198" i="9"/>
  <c r="AC198" i="9"/>
  <c r="AE198" i="9" s="1"/>
  <c r="X198" i="9"/>
  <c r="S198" i="9"/>
  <c r="M198" i="9"/>
  <c r="AK198" i="9"/>
  <c r="U198" i="9"/>
  <c r="AF198" i="9" s="1"/>
  <c r="P198" i="9"/>
  <c r="K198" i="9"/>
  <c r="AJ198" i="9"/>
  <c r="Y198" i="9"/>
  <c r="T198" i="9"/>
  <c r="O198" i="9"/>
  <c r="AL214" i="9"/>
  <c r="AH214" i="9"/>
  <c r="Z214" i="9"/>
  <c r="AA214" i="9" s="1"/>
  <c r="AG214" i="9" s="1"/>
  <c r="V214" i="9"/>
  <c r="AB214" i="9" s="1"/>
  <c r="R214" i="9"/>
  <c r="N214" i="9"/>
  <c r="AI214" i="9"/>
  <c r="AC214" i="9"/>
  <c r="AE214" i="9" s="1"/>
  <c r="X214" i="9"/>
  <c r="S214" i="9"/>
  <c r="M214" i="9"/>
  <c r="AK214" i="9"/>
  <c r="U214" i="9"/>
  <c r="AF214" i="9" s="1"/>
  <c r="P214" i="9"/>
  <c r="K214" i="9"/>
  <c r="AJ214" i="9"/>
  <c r="Y214" i="9"/>
  <c r="T214" i="9"/>
  <c r="O214" i="9"/>
  <c r="AL397" i="8"/>
  <c r="AH397" i="8"/>
  <c r="Z397" i="8"/>
  <c r="AA397" i="8" s="1"/>
  <c r="AG397" i="8" s="1"/>
  <c r="V397" i="8"/>
  <c r="R397" i="8"/>
  <c r="N397" i="8"/>
  <c r="AK397" i="8"/>
  <c r="AC397" i="8"/>
  <c r="AE397" i="8" s="1"/>
  <c r="Y397" i="8"/>
  <c r="U397" i="8"/>
  <c r="AF397" i="8" s="1"/>
  <c r="Q397" i="8"/>
  <c r="M397" i="8"/>
  <c r="T397" i="8"/>
  <c r="AB397" i="8"/>
  <c r="AJ397" i="8"/>
  <c r="AL399" i="8"/>
  <c r="AH399" i="8"/>
  <c r="Z399" i="8"/>
  <c r="AA399" i="8" s="1"/>
  <c r="AG399" i="8" s="1"/>
  <c r="V399" i="8"/>
  <c r="R399" i="8"/>
  <c r="N399" i="8"/>
  <c r="AK399" i="8"/>
  <c r="AC399" i="8"/>
  <c r="AE399" i="8" s="1"/>
  <c r="Y399" i="8"/>
  <c r="U399" i="8"/>
  <c r="AF399" i="8" s="1"/>
  <c r="Q399" i="8"/>
  <c r="M399" i="8"/>
  <c r="T399" i="8"/>
  <c r="AB399" i="8"/>
  <c r="AJ399" i="8"/>
  <c r="AL401" i="8"/>
  <c r="AH401" i="8"/>
  <c r="Z401" i="8"/>
  <c r="AA401" i="8" s="1"/>
  <c r="AG401" i="8" s="1"/>
  <c r="V401" i="8"/>
  <c r="AB401" i="8" s="1"/>
  <c r="R401" i="8"/>
  <c r="N401" i="8"/>
  <c r="AK401" i="8"/>
  <c r="AC401" i="8"/>
  <c r="AE401" i="8" s="1"/>
  <c r="Y401" i="8"/>
  <c r="U401" i="8"/>
  <c r="AF401" i="8" s="1"/>
  <c r="Q401" i="8"/>
  <c r="M401" i="8"/>
  <c r="T401" i="8"/>
  <c r="AJ401" i="8"/>
  <c r="AL403" i="8"/>
  <c r="AH403" i="8"/>
  <c r="Z403" i="8"/>
  <c r="AA403" i="8" s="1"/>
  <c r="AG403" i="8" s="1"/>
  <c r="V403" i="8"/>
  <c r="AB403" i="8" s="1"/>
  <c r="R403" i="8"/>
  <c r="N403" i="8"/>
  <c r="AK403" i="8"/>
  <c r="AC403" i="8"/>
  <c r="AE403" i="8" s="1"/>
  <c r="Y403" i="8"/>
  <c r="U403" i="8"/>
  <c r="AF403" i="8" s="1"/>
  <c r="Q403" i="8"/>
  <c r="M403" i="8"/>
  <c r="T403" i="8"/>
  <c r="AJ403" i="8"/>
  <c r="AL405" i="8"/>
  <c r="AH405" i="8"/>
  <c r="Z405" i="8"/>
  <c r="AA405" i="8" s="1"/>
  <c r="AG405" i="8" s="1"/>
  <c r="V405" i="8"/>
  <c r="R405" i="8"/>
  <c r="N405" i="8"/>
  <c r="AK405" i="8"/>
  <c r="AC405" i="8"/>
  <c r="AE405" i="8" s="1"/>
  <c r="Y405" i="8"/>
  <c r="U405" i="8"/>
  <c r="AF405" i="8" s="1"/>
  <c r="Q405" i="8"/>
  <c r="M405" i="8"/>
  <c r="T405" i="8"/>
  <c r="AB405" i="8"/>
  <c r="AJ405" i="8"/>
  <c r="AL407" i="8"/>
  <c r="AH407" i="8"/>
  <c r="Z407" i="8"/>
  <c r="AA407" i="8" s="1"/>
  <c r="AG407" i="8" s="1"/>
  <c r="V407" i="8"/>
  <c r="R407" i="8"/>
  <c r="N407" i="8"/>
  <c r="AK407" i="8"/>
  <c r="AC407" i="8"/>
  <c r="AE407" i="8" s="1"/>
  <c r="Y407" i="8"/>
  <c r="U407" i="8"/>
  <c r="AF407" i="8" s="1"/>
  <c r="Q407" i="8"/>
  <c r="M407" i="8"/>
  <c r="T407" i="8"/>
  <c r="AB407" i="8"/>
  <c r="AJ407" i="8"/>
  <c r="AL409" i="8"/>
  <c r="AH409" i="8"/>
  <c r="Z409" i="8"/>
  <c r="AA409" i="8" s="1"/>
  <c r="AG409" i="8" s="1"/>
  <c r="V409" i="8"/>
  <c r="AB409" i="8" s="1"/>
  <c r="R409" i="8"/>
  <c r="N409" i="8"/>
  <c r="AK409" i="8"/>
  <c r="AC409" i="8"/>
  <c r="AE409" i="8" s="1"/>
  <c r="Y409" i="8"/>
  <c r="U409" i="8"/>
  <c r="AF409" i="8" s="1"/>
  <c r="Q409" i="8"/>
  <c r="M409" i="8"/>
  <c r="T409" i="8"/>
  <c r="AJ409" i="8"/>
  <c r="AL411" i="8"/>
  <c r="AH411" i="8"/>
  <c r="Z411" i="8"/>
  <c r="AA411" i="8" s="1"/>
  <c r="AG411" i="8" s="1"/>
  <c r="V411" i="8"/>
  <c r="AB411" i="8" s="1"/>
  <c r="R411" i="8"/>
  <c r="N411" i="8"/>
  <c r="AK411" i="8"/>
  <c r="AC411" i="8"/>
  <c r="AE411" i="8" s="1"/>
  <c r="Y411" i="8"/>
  <c r="U411" i="8"/>
  <c r="AF411" i="8" s="1"/>
  <c r="Q411" i="8"/>
  <c r="M411" i="8"/>
  <c r="T411" i="8"/>
  <c r="AJ411" i="8"/>
  <c r="AL413" i="8"/>
  <c r="AH413" i="8"/>
  <c r="Z413" i="8"/>
  <c r="AA413" i="8" s="1"/>
  <c r="AG413" i="8" s="1"/>
  <c r="V413" i="8"/>
  <c r="R413" i="8"/>
  <c r="N413" i="8"/>
  <c r="AK413" i="8"/>
  <c r="AC413" i="8"/>
  <c r="AE413" i="8" s="1"/>
  <c r="Y413" i="8"/>
  <c r="U413" i="8"/>
  <c r="AF413" i="8" s="1"/>
  <c r="Q413" i="8"/>
  <c r="M413" i="8"/>
  <c r="T413" i="8"/>
  <c r="AB413" i="8"/>
  <c r="AJ413" i="8"/>
  <c r="AL415" i="8"/>
  <c r="AH415" i="8"/>
  <c r="Z415" i="8"/>
  <c r="AA415" i="8" s="1"/>
  <c r="AG415" i="8" s="1"/>
  <c r="V415" i="8"/>
  <c r="R415" i="8"/>
  <c r="N415" i="8"/>
  <c r="AK415" i="8"/>
  <c r="AC415" i="8"/>
  <c r="AE415" i="8" s="1"/>
  <c r="Y415" i="8"/>
  <c r="U415" i="8"/>
  <c r="AF415" i="8" s="1"/>
  <c r="Q415" i="8"/>
  <c r="M415" i="8"/>
  <c r="T415" i="8"/>
  <c r="AB415" i="8"/>
  <c r="AJ415" i="8"/>
  <c r="AL417" i="8"/>
  <c r="AH417" i="8"/>
  <c r="Z417" i="8"/>
  <c r="AA417" i="8" s="1"/>
  <c r="AG417" i="8" s="1"/>
  <c r="V417" i="8"/>
  <c r="AB417" i="8" s="1"/>
  <c r="R417" i="8"/>
  <c r="N417" i="8"/>
  <c r="AK417" i="8"/>
  <c r="AC417" i="8"/>
  <c r="AE417" i="8" s="1"/>
  <c r="Y417" i="8"/>
  <c r="U417" i="8"/>
  <c r="AF417" i="8" s="1"/>
  <c r="Q417" i="8"/>
  <c r="M417" i="8"/>
  <c r="T417" i="8"/>
  <c r="AJ417" i="8"/>
  <c r="AL419" i="8"/>
  <c r="AH419" i="8"/>
  <c r="Z419" i="8"/>
  <c r="AA419" i="8" s="1"/>
  <c r="AG419" i="8" s="1"/>
  <c r="V419" i="8"/>
  <c r="AB419" i="8" s="1"/>
  <c r="R419" i="8"/>
  <c r="N419" i="8"/>
  <c r="AK419" i="8"/>
  <c r="AC419" i="8"/>
  <c r="AE419" i="8" s="1"/>
  <c r="Y419" i="8"/>
  <c r="U419" i="8"/>
  <c r="AF419" i="8" s="1"/>
  <c r="Q419" i="8"/>
  <c r="M419" i="8"/>
  <c r="T419" i="8"/>
  <c r="AJ419" i="8"/>
  <c r="AL421" i="8"/>
  <c r="AH421" i="8"/>
  <c r="Z421" i="8"/>
  <c r="AA421" i="8" s="1"/>
  <c r="AG421" i="8" s="1"/>
  <c r="V421" i="8"/>
  <c r="R421" i="8"/>
  <c r="N421" i="8"/>
  <c r="AK421" i="8"/>
  <c r="AC421" i="8"/>
  <c r="AE421" i="8" s="1"/>
  <c r="Y421" i="8"/>
  <c r="U421" i="8"/>
  <c r="AF421" i="8" s="1"/>
  <c r="Q421" i="8"/>
  <c r="M421" i="8"/>
  <c r="T421" i="8"/>
  <c r="AB421" i="8"/>
  <c r="AJ421" i="8"/>
  <c r="AL423" i="8"/>
  <c r="AH423" i="8"/>
  <c r="Z423" i="8"/>
  <c r="AA423" i="8" s="1"/>
  <c r="AG423" i="8" s="1"/>
  <c r="V423" i="8"/>
  <c r="R423" i="8"/>
  <c r="N423" i="8"/>
  <c r="AK423" i="8"/>
  <c r="AC423" i="8"/>
  <c r="AE423" i="8" s="1"/>
  <c r="Y423" i="8"/>
  <c r="U423" i="8"/>
  <c r="AF423" i="8" s="1"/>
  <c r="Q423" i="8"/>
  <c r="M423" i="8"/>
  <c r="T423" i="8"/>
  <c r="AB423" i="8"/>
  <c r="AJ423" i="8"/>
  <c r="AL425" i="8"/>
  <c r="AH425" i="8"/>
  <c r="Z425" i="8"/>
  <c r="AA425" i="8" s="1"/>
  <c r="AG425" i="8" s="1"/>
  <c r="V425" i="8"/>
  <c r="AB425" i="8" s="1"/>
  <c r="R425" i="8"/>
  <c r="N425" i="8"/>
  <c r="AK425" i="8"/>
  <c r="AC425" i="8"/>
  <c r="AE425" i="8" s="1"/>
  <c r="Y425" i="8"/>
  <c r="U425" i="8"/>
  <c r="AF425" i="8" s="1"/>
  <c r="Q425" i="8"/>
  <c r="M425" i="8"/>
  <c r="T425" i="8"/>
  <c r="AJ425" i="8"/>
  <c r="AL427" i="8"/>
  <c r="AH427" i="8"/>
  <c r="Z427" i="8"/>
  <c r="AA427" i="8" s="1"/>
  <c r="AG427" i="8" s="1"/>
  <c r="V427" i="8"/>
  <c r="AB427" i="8" s="1"/>
  <c r="R427" i="8"/>
  <c r="N427" i="8"/>
  <c r="AK427" i="8"/>
  <c r="AC427" i="8"/>
  <c r="AE427" i="8" s="1"/>
  <c r="Y427" i="8"/>
  <c r="U427" i="8"/>
  <c r="AF427" i="8" s="1"/>
  <c r="Q427" i="8"/>
  <c r="M427" i="8"/>
  <c r="T427" i="8"/>
  <c r="AJ427" i="8"/>
  <c r="AL429" i="8"/>
  <c r="AH429" i="8"/>
  <c r="Z429" i="8"/>
  <c r="AA429" i="8" s="1"/>
  <c r="AG429" i="8" s="1"/>
  <c r="V429" i="8"/>
  <c r="R429" i="8"/>
  <c r="N429" i="8"/>
  <c r="AK429" i="8"/>
  <c r="AC429" i="8"/>
  <c r="AE429" i="8" s="1"/>
  <c r="Y429" i="8"/>
  <c r="U429" i="8"/>
  <c r="AF429" i="8" s="1"/>
  <c r="Q429" i="8"/>
  <c r="M429" i="8"/>
  <c r="T429" i="8"/>
  <c r="AB429" i="8"/>
  <c r="AJ429" i="8"/>
  <c r="AL431" i="8"/>
  <c r="AH431" i="8"/>
  <c r="Z431" i="8"/>
  <c r="AA431" i="8" s="1"/>
  <c r="AG431" i="8" s="1"/>
  <c r="V431" i="8"/>
  <c r="R431" i="8"/>
  <c r="N431" i="8"/>
  <c r="AK431" i="8"/>
  <c r="AC431" i="8"/>
  <c r="AE431" i="8" s="1"/>
  <c r="Y431" i="8"/>
  <c r="U431" i="8"/>
  <c r="AF431" i="8" s="1"/>
  <c r="Q431" i="8"/>
  <c r="M431" i="8"/>
  <c r="T431" i="8"/>
  <c r="AB431" i="8"/>
  <c r="AJ431" i="8"/>
  <c r="AL433" i="8"/>
  <c r="AH433" i="8"/>
  <c r="Z433" i="8"/>
  <c r="AA433" i="8" s="1"/>
  <c r="AG433" i="8" s="1"/>
  <c r="V433" i="8"/>
  <c r="AB433" i="8" s="1"/>
  <c r="R433" i="8"/>
  <c r="N433" i="8"/>
  <c r="AK433" i="8"/>
  <c r="AC433" i="8"/>
  <c r="AE433" i="8" s="1"/>
  <c r="Y433" i="8"/>
  <c r="U433" i="8"/>
  <c r="AF433" i="8" s="1"/>
  <c r="Q433" i="8"/>
  <c r="M433" i="8"/>
  <c r="T433" i="8"/>
  <c r="AJ433" i="8"/>
  <c r="AL435" i="8"/>
  <c r="AH435" i="8"/>
  <c r="Z435" i="8"/>
  <c r="AA435" i="8" s="1"/>
  <c r="AG435" i="8" s="1"/>
  <c r="V435" i="8"/>
  <c r="AB435" i="8" s="1"/>
  <c r="R435" i="8"/>
  <c r="N435" i="8"/>
  <c r="AK435" i="8"/>
  <c r="AC435" i="8"/>
  <c r="AE435" i="8" s="1"/>
  <c r="Y435" i="8"/>
  <c r="U435" i="8"/>
  <c r="AF435" i="8" s="1"/>
  <c r="Q435" i="8"/>
  <c r="M435" i="8"/>
  <c r="T435" i="8"/>
  <c r="AJ435" i="8"/>
  <c r="AL437" i="8"/>
  <c r="AH437" i="8"/>
  <c r="Z437" i="8"/>
  <c r="AA437" i="8" s="1"/>
  <c r="AG437" i="8" s="1"/>
  <c r="V437" i="8"/>
  <c r="R437" i="8"/>
  <c r="N437" i="8"/>
  <c r="AK437" i="8"/>
  <c r="AC437" i="8"/>
  <c r="AE437" i="8" s="1"/>
  <c r="Y437" i="8"/>
  <c r="U437" i="8"/>
  <c r="AF437" i="8" s="1"/>
  <c r="Q437" i="8"/>
  <c r="M437" i="8"/>
  <c r="T437" i="8"/>
  <c r="AB437" i="8"/>
  <c r="AJ437" i="8"/>
  <c r="AL439" i="8"/>
  <c r="AH439" i="8"/>
  <c r="Z439" i="8"/>
  <c r="AA439" i="8" s="1"/>
  <c r="AG439" i="8" s="1"/>
  <c r="V439" i="8"/>
  <c r="R439" i="8"/>
  <c r="N439" i="8"/>
  <c r="AK439" i="8"/>
  <c r="AC439" i="8"/>
  <c r="AE439" i="8" s="1"/>
  <c r="Y439" i="8"/>
  <c r="U439" i="8"/>
  <c r="AF439" i="8" s="1"/>
  <c r="Q439" i="8"/>
  <c r="M439" i="8"/>
  <c r="T439" i="8"/>
  <c r="AB439" i="8"/>
  <c r="AJ439" i="8"/>
  <c r="AL441" i="8"/>
  <c r="AH441" i="8"/>
  <c r="Z441" i="8"/>
  <c r="AA441" i="8" s="1"/>
  <c r="AG441" i="8" s="1"/>
  <c r="V441" i="8"/>
  <c r="AB441" i="8" s="1"/>
  <c r="R441" i="8"/>
  <c r="N441" i="8"/>
  <c r="AK441" i="8"/>
  <c r="AC441" i="8"/>
  <c r="AE441" i="8" s="1"/>
  <c r="Y441" i="8"/>
  <c r="U441" i="8"/>
  <c r="AF441" i="8" s="1"/>
  <c r="Q441" i="8"/>
  <c r="M441" i="8"/>
  <c r="T441" i="8"/>
  <c r="AJ441" i="8"/>
  <c r="AL443" i="8"/>
  <c r="AH443" i="8"/>
  <c r="Z443" i="8"/>
  <c r="AA443" i="8" s="1"/>
  <c r="AG443" i="8" s="1"/>
  <c r="V443" i="8"/>
  <c r="AB443" i="8" s="1"/>
  <c r="R443" i="8"/>
  <c r="N443" i="8"/>
  <c r="AK443" i="8"/>
  <c r="AC443" i="8"/>
  <c r="AE443" i="8" s="1"/>
  <c r="Y443" i="8"/>
  <c r="U443" i="8"/>
  <c r="AF443" i="8" s="1"/>
  <c r="Q443" i="8"/>
  <c r="M443" i="8"/>
  <c r="T443" i="8"/>
  <c r="AJ443" i="8"/>
  <c r="AL445" i="8"/>
  <c r="AH445" i="8"/>
  <c r="Z445" i="8"/>
  <c r="AA445" i="8" s="1"/>
  <c r="AG445" i="8" s="1"/>
  <c r="V445" i="8"/>
  <c r="R445" i="8"/>
  <c r="N445" i="8"/>
  <c r="AK445" i="8"/>
  <c r="AC445" i="8"/>
  <c r="AE445" i="8" s="1"/>
  <c r="Y445" i="8"/>
  <c r="U445" i="8"/>
  <c r="AF445" i="8" s="1"/>
  <c r="Q445" i="8"/>
  <c r="M445" i="8"/>
  <c r="T445" i="8"/>
  <c r="AB445" i="8"/>
  <c r="AJ445" i="8"/>
  <c r="AL447" i="8"/>
  <c r="AH447" i="8"/>
  <c r="Z447" i="8"/>
  <c r="AA447" i="8" s="1"/>
  <c r="AG447" i="8" s="1"/>
  <c r="V447" i="8"/>
  <c r="R447" i="8"/>
  <c r="N447" i="8"/>
  <c r="AK447" i="8"/>
  <c r="AC447" i="8"/>
  <c r="AE447" i="8" s="1"/>
  <c r="Y447" i="8"/>
  <c r="U447" i="8"/>
  <c r="AF447" i="8" s="1"/>
  <c r="Q447" i="8"/>
  <c r="M447" i="8"/>
  <c r="T447" i="8"/>
  <c r="AB447" i="8"/>
  <c r="AJ447" i="8"/>
  <c r="AL449" i="8"/>
  <c r="AH449" i="8"/>
  <c r="Z449" i="8"/>
  <c r="AA449" i="8" s="1"/>
  <c r="AG449" i="8" s="1"/>
  <c r="V449" i="8"/>
  <c r="AB449" i="8" s="1"/>
  <c r="R449" i="8"/>
  <c r="N449" i="8"/>
  <c r="AK449" i="8"/>
  <c r="AC449" i="8"/>
  <c r="AE449" i="8" s="1"/>
  <c r="Y449" i="8"/>
  <c r="U449" i="8"/>
  <c r="AF449" i="8" s="1"/>
  <c r="Q449" i="8"/>
  <c r="M449" i="8"/>
  <c r="T449" i="8"/>
  <c r="AJ449" i="8"/>
  <c r="AL451" i="8"/>
  <c r="AH451" i="8"/>
  <c r="Z451" i="8"/>
  <c r="AA451" i="8" s="1"/>
  <c r="AG451" i="8" s="1"/>
  <c r="V451" i="8"/>
  <c r="AB451" i="8" s="1"/>
  <c r="R451" i="8"/>
  <c r="N451" i="8"/>
  <c r="AK451" i="8"/>
  <c r="AC451" i="8"/>
  <c r="AE451" i="8" s="1"/>
  <c r="Y451" i="8"/>
  <c r="U451" i="8"/>
  <c r="AF451" i="8" s="1"/>
  <c r="Q451" i="8"/>
  <c r="M451" i="8"/>
  <c r="T451" i="8"/>
  <c r="AJ451" i="8"/>
  <c r="AL453" i="8"/>
  <c r="AH453" i="8"/>
  <c r="Z453" i="8"/>
  <c r="AA453" i="8" s="1"/>
  <c r="AG453" i="8" s="1"/>
  <c r="V453" i="8"/>
  <c r="R453" i="8"/>
  <c r="N453" i="8"/>
  <c r="AK453" i="8"/>
  <c r="AC453" i="8"/>
  <c r="AE453" i="8" s="1"/>
  <c r="Y453" i="8"/>
  <c r="U453" i="8"/>
  <c r="AF453" i="8" s="1"/>
  <c r="Q453" i="8"/>
  <c r="M453" i="8"/>
  <c r="T453" i="8"/>
  <c r="AB453" i="8"/>
  <c r="AJ453" i="8"/>
  <c r="AL455" i="8"/>
  <c r="AH455" i="8"/>
  <c r="Z455" i="8"/>
  <c r="AA455" i="8" s="1"/>
  <c r="AG455" i="8" s="1"/>
  <c r="V455" i="8"/>
  <c r="R455" i="8"/>
  <c r="N455" i="8"/>
  <c r="AK455" i="8"/>
  <c r="AC455" i="8"/>
  <c r="AE455" i="8" s="1"/>
  <c r="Y455" i="8"/>
  <c r="U455" i="8"/>
  <c r="AF455" i="8" s="1"/>
  <c r="Q455" i="8"/>
  <c r="M455" i="8"/>
  <c r="T455" i="8"/>
  <c r="AB455" i="8"/>
  <c r="AJ455" i="8"/>
  <c r="AL457" i="8"/>
  <c r="AH457" i="8"/>
  <c r="Z457" i="8"/>
  <c r="AA457" i="8" s="1"/>
  <c r="AG457" i="8" s="1"/>
  <c r="V457" i="8"/>
  <c r="AB457" i="8" s="1"/>
  <c r="R457" i="8"/>
  <c r="N457" i="8"/>
  <c r="AK457" i="8"/>
  <c r="AC457" i="8"/>
  <c r="AE457" i="8" s="1"/>
  <c r="Y457" i="8"/>
  <c r="U457" i="8"/>
  <c r="AF457" i="8" s="1"/>
  <c r="Q457" i="8"/>
  <c r="M457" i="8"/>
  <c r="T457" i="8"/>
  <c r="AJ457" i="8"/>
  <c r="AL459" i="8"/>
  <c r="AH459" i="8"/>
  <c r="Z459" i="8"/>
  <c r="AA459" i="8" s="1"/>
  <c r="AG459" i="8" s="1"/>
  <c r="V459" i="8"/>
  <c r="AB459" i="8" s="1"/>
  <c r="R459" i="8"/>
  <c r="N459" i="8"/>
  <c r="AK459" i="8"/>
  <c r="AC459" i="8"/>
  <c r="AE459" i="8" s="1"/>
  <c r="Y459" i="8"/>
  <c r="U459" i="8"/>
  <c r="AF459" i="8" s="1"/>
  <c r="Q459" i="8"/>
  <c r="M459" i="8"/>
  <c r="T459" i="8"/>
  <c r="AJ459" i="8"/>
  <c r="AL461" i="8"/>
  <c r="AH461" i="8"/>
  <c r="Z461" i="8"/>
  <c r="AA461" i="8" s="1"/>
  <c r="AG461" i="8" s="1"/>
  <c r="V461" i="8"/>
  <c r="R461" i="8"/>
  <c r="N461" i="8"/>
  <c r="AK461" i="8"/>
  <c r="AC461" i="8"/>
  <c r="AE461" i="8" s="1"/>
  <c r="Y461" i="8"/>
  <c r="U461" i="8"/>
  <c r="AF461" i="8" s="1"/>
  <c r="Q461" i="8"/>
  <c r="M461" i="8"/>
  <c r="T461" i="8"/>
  <c r="AB461" i="8"/>
  <c r="AJ461" i="8"/>
  <c r="AL463" i="8"/>
  <c r="AH463" i="8"/>
  <c r="Z463" i="8"/>
  <c r="AA463" i="8" s="1"/>
  <c r="AG463" i="8" s="1"/>
  <c r="V463" i="8"/>
  <c r="R463" i="8"/>
  <c r="N463" i="8"/>
  <c r="AK463" i="8"/>
  <c r="AC463" i="8"/>
  <c r="AE463" i="8" s="1"/>
  <c r="Y463" i="8"/>
  <c r="U463" i="8"/>
  <c r="AF463" i="8" s="1"/>
  <c r="Q463" i="8"/>
  <c r="M463" i="8"/>
  <c r="T463" i="8"/>
  <c r="AB463" i="8"/>
  <c r="AJ463" i="8"/>
  <c r="AL465" i="8"/>
  <c r="AH465" i="8"/>
  <c r="Z465" i="8"/>
  <c r="AA465" i="8" s="1"/>
  <c r="AG465" i="8" s="1"/>
  <c r="V465" i="8"/>
  <c r="AB465" i="8" s="1"/>
  <c r="R465" i="8"/>
  <c r="N465" i="8"/>
  <c r="AK465" i="8"/>
  <c r="AC465" i="8"/>
  <c r="AE465" i="8" s="1"/>
  <c r="Y465" i="8"/>
  <c r="U465" i="8"/>
  <c r="AF465" i="8" s="1"/>
  <c r="Q465" i="8"/>
  <c r="M465" i="8"/>
  <c r="T465" i="8"/>
  <c r="AJ465" i="8"/>
  <c r="AL467" i="8"/>
  <c r="AH467" i="8"/>
  <c r="Z467" i="8"/>
  <c r="AA467" i="8" s="1"/>
  <c r="AG467" i="8" s="1"/>
  <c r="V467" i="8"/>
  <c r="AB467" i="8" s="1"/>
  <c r="R467" i="8"/>
  <c r="N467" i="8"/>
  <c r="AK467" i="8"/>
  <c r="AC467" i="8"/>
  <c r="AE467" i="8" s="1"/>
  <c r="Y467" i="8"/>
  <c r="U467" i="8"/>
  <c r="AF467" i="8" s="1"/>
  <c r="Q467" i="8"/>
  <c r="M467" i="8"/>
  <c r="T467" i="8"/>
  <c r="AJ467" i="8"/>
  <c r="AL469" i="8"/>
  <c r="AH469" i="8"/>
  <c r="Z469" i="8"/>
  <c r="AA469" i="8" s="1"/>
  <c r="AG469" i="8" s="1"/>
  <c r="V469" i="8"/>
  <c r="R469" i="8"/>
  <c r="N469" i="8"/>
  <c r="AK469" i="8"/>
  <c r="AC469" i="8"/>
  <c r="AE469" i="8" s="1"/>
  <c r="Y469" i="8"/>
  <c r="U469" i="8"/>
  <c r="AF469" i="8" s="1"/>
  <c r="Q469" i="8"/>
  <c r="M469" i="8"/>
  <c r="T469" i="8"/>
  <c r="AB469" i="8"/>
  <c r="AJ469" i="8"/>
  <c r="AL471" i="8"/>
  <c r="AH471" i="8"/>
  <c r="Z471" i="8"/>
  <c r="AA471" i="8" s="1"/>
  <c r="AG471" i="8" s="1"/>
  <c r="V471" i="8"/>
  <c r="R471" i="8"/>
  <c r="N471" i="8"/>
  <c r="AK471" i="8"/>
  <c r="AC471" i="8"/>
  <c r="AE471" i="8" s="1"/>
  <c r="Y471" i="8"/>
  <c r="U471" i="8"/>
  <c r="AF471" i="8" s="1"/>
  <c r="Q471" i="8"/>
  <c r="M471" i="8"/>
  <c r="T471" i="8"/>
  <c r="AB471" i="8"/>
  <c r="AJ471" i="8"/>
  <c r="AL473" i="8"/>
  <c r="AH473" i="8"/>
  <c r="Z473" i="8"/>
  <c r="AA473" i="8" s="1"/>
  <c r="AG473" i="8" s="1"/>
  <c r="V473" i="8"/>
  <c r="AB473" i="8" s="1"/>
  <c r="R473" i="8"/>
  <c r="N473" i="8"/>
  <c r="AK473" i="8"/>
  <c r="AC473" i="8"/>
  <c r="AE473" i="8" s="1"/>
  <c r="Y473" i="8"/>
  <c r="U473" i="8"/>
  <c r="AF473" i="8" s="1"/>
  <c r="Q473" i="8"/>
  <c r="M473" i="8"/>
  <c r="T473" i="8"/>
  <c r="AJ473" i="8"/>
  <c r="AL475" i="8"/>
  <c r="AH475" i="8"/>
  <c r="Z475" i="8"/>
  <c r="AA475" i="8" s="1"/>
  <c r="AG475" i="8" s="1"/>
  <c r="V475" i="8"/>
  <c r="AB475" i="8" s="1"/>
  <c r="R475" i="8"/>
  <c r="N475" i="8"/>
  <c r="AK475" i="8"/>
  <c r="AC475" i="8"/>
  <c r="AE475" i="8" s="1"/>
  <c r="Y475" i="8"/>
  <c r="U475" i="8"/>
  <c r="AF475" i="8" s="1"/>
  <c r="Q475" i="8"/>
  <c r="M475" i="8"/>
  <c r="T475" i="8"/>
  <c r="AJ475" i="8"/>
  <c r="AL477" i="8"/>
  <c r="AH477" i="8"/>
  <c r="Z477" i="8"/>
  <c r="AA477" i="8" s="1"/>
  <c r="AG477" i="8" s="1"/>
  <c r="V477" i="8"/>
  <c r="R477" i="8"/>
  <c r="N477" i="8"/>
  <c r="AK477" i="8"/>
  <c r="AC477" i="8"/>
  <c r="AE477" i="8" s="1"/>
  <c r="Y477" i="8"/>
  <c r="U477" i="8"/>
  <c r="AF477" i="8" s="1"/>
  <c r="Q477" i="8"/>
  <c r="M477" i="8"/>
  <c r="T477" i="8"/>
  <c r="AB477" i="8"/>
  <c r="AJ477" i="8"/>
  <c r="AL479" i="8"/>
  <c r="AH479" i="8"/>
  <c r="Z479" i="8"/>
  <c r="AA479" i="8" s="1"/>
  <c r="AG479" i="8" s="1"/>
  <c r="V479" i="8"/>
  <c r="R479" i="8"/>
  <c r="N479" i="8"/>
  <c r="AK479" i="8"/>
  <c r="AC479" i="8"/>
  <c r="AE479" i="8" s="1"/>
  <c r="Y479" i="8"/>
  <c r="U479" i="8"/>
  <c r="AF479" i="8" s="1"/>
  <c r="Q479" i="8"/>
  <c r="M479" i="8"/>
  <c r="T479" i="8"/>
  <c r="AB479" i="8"/>
  <c r="AJ479" i="8"/>
  <c r="AL481" i="8"/>
  <c r="AH481" i="8"/>
  <c r="Z481" i="8"/>
  <c r="AA481" i="8" s="1"/>
  <c r="AG481" i="8" s="1"/>
  <c r="V481" i="8"/>
  <c r="AB481" i="8" s="1"/>
  <c r="R481" i="8"/>
  <c r="N481" i="8"/>
  <c r="AK481" i="8"/>
  <c r="AC481" i="8"/>
  <c r="AE481" i="8" s="1"/>
  <c r="Y481" i="8"/>
  <c r="U481" i="8"/>
  <c r="AF481" i="8" s="1"/>
  <c r="Q481" i="8"/>
  <c r="M481" i="8"/>
  <c r="T481" i="8"/>
  <c r="AJ481" i="8"/>
  <c r="AL483" i="8"/>
  <c r="AH483" i="8"/>
  <c r="Z483" i="8"/>
  <c r="AA483" i="8" s="1"/>
  <c r="AG483" i="8" s="1"/>
  <c r="V483" i="8"/>
  <c r="AB483" i="8" s="1"/>
  <c r="R483" i="8"/>
  <c r="N483" i="8"/>
  <c r="AK483" i="8"/>
  <c r="AC483" i="8"/>
  <c r="AE483" i="8" s="1"/>
  <c r="Y483" i="8"/>
  <c r="U483" i="8"/>
  <c r="AF483" i="8" s="1"/>
  <c r="Q483" i="8"/>
  <c r="M483" i="8"/>
  <c r="T483" i="8"/>
  <c r="AJ483" i="8"/>
  <c r="AL485" i="8"/>
  <c r="AH485" i="8"/>
  <c r="Z485" i="8"/>
  <c r="AA485" i="8" s="1"/>
  <c r="AG485" i="8" s="1"/>
  <c r="V485" i="8"/>
  <c r="R485" i="8"/>
  <c r="N485" i="8"/>
  <c r="AK485" i="8"/>
  <c r="AC485" i="8"/>
  <c r="AE485" i="8" s="1"/>
  <c r="Y485" i="8"/>
  <c r="U485" i="8"/>
  <c r="AF485" i="8" s="1"/>
  <c r="Q485" i="8"/>
  <c r="M485" i="8"/>
  <c r="T485" i="8"/>
  <c r="AB485" i="8"/>
  <c r="AJ485" i="8"/>
  <c r="AL487" i="8"/>
  <c r="AH487" i="8"/>
  <c r="Z487" i="8"/>
  <c r="AA487" i="8" s="1"/>
  <c r="AG487" i="8" s="1"/>
  <c r="V487" i="8"/>
  <c r="R487" i="8"/>
  <c r="N487" i="8"/>
  <c r="AK487" i="8"/>
  <c r="AC487" i="8"/>
  <c r="AE487" i="8" s="1"/>
  <c r="Y487" i="8"/>
  <c r="U487" i="8"/>
  <c r="AF487" i="8" s="1"/>
  <c r="Q487" i="8"/>
  <c r="M487" i="8"/>
  <c r="T487" i="8"/>
  <c r="AB487" i="8"/>
  <c r="AJ487" i="8"/>
  <c r="AL489" i="8"/>
  <c r="AH489" i="8"/>
  <c r="Z489" i="8"/>
  <c r="AA489" i="8" s="1"/>
  <c r="AG489" i="8" s="1"/>
  <c r="V489" i="8"/>
  <c r="AB489" i="8" s="1"/>
  <c r="R489" i="8"/>
  <c r="N489" i="8"/>
  <c r="AK489" i="8"/>
  <c r="AC489" i="8"/>
  <c r="AE489" i="8" s="1"/>
  <c r="Y489" i="8"/>
  <c r="U489" i="8"/>
  <c r="AF489" i="8" s="1"/>
  <c r="Q489" i="8"/>
  <c r="M489" i="8"/>
  <c r="T489" i="8"/>
  <c r="AJ489" i="8"/>
  <c r="AL491" i="8"/>
  <c r="AH491" i="8"/>
  <c r="Z491" i="8"/>
  <c r="AA491" i="8" s="1"/>
  <c r="AG491" i="8" s="1"/>
  <c r="V491" i="8"/>
  <c r="AB491" i="8" s="1"/>
  <c r="R491" i="8"/>
  <c r="N491" i="8"/>
  <c r="AK491" i="8"/>
  <c r="AC491" i="8"/>
  <c r="AE491" i="8" s="1"/>
  <c r="Y491" i="8"/>
  <c r="U491" i="8"/>
  <c r="AF491" i="8" s="1"/>
  <c r="Q491" i="8"/>
  <c r="M491" i="8"/>
  <c r="T491" i="8"/>
  <c r="AJ491" i="8"/>
  <c r="AL493" i="8"/>
  <c r="AH493" i="8"/>
  <c r="Z493" i="8"/>
  <c r="AA493" i="8" s="1"/>
  <c r="AG493" i="8" s="1"/>
  <c r="V493" i="8"/>
  <c r="R493" i="8"/>
  <c r="N493" i="8"/>
  <c r="AK493" i="8"/>
  <c r="AC493" i="8"/>
  <c r="AE493" i="8" s="1"/>
  <c r="Y493" i="8"/>
  <c r="U493" i="8"/>
  <c r="AF493" i="8" s="1"/>
  <c r="Q493" i="8"/>
  <c r="M493" i="8"/>
  <c r="T493" i="8"/>
  <c r="AB493" i="8"/>
  <c r="AJ493" i="8"/>
  <c r="AL495" i="8"/>
  <c r="AH495" i="8"/>
  <c r="Z495" i="8"/>
  <c r="AA495" i="8" s="1"/>
  <c r="AG495" i="8" s="1"/>
  <c r="V495" i="8"/>
  <c r="R495" i="8"/>
  <c r="N495" i="8"/>
  <c r="AK495" i="8"/>
  <c r="AC495" i="8"/>
  <c r="AE495" i="8" s="1"/>
  <c r="Y495" i="8"/>
  <c r="U495" i="8"/>
  <c r="AF495" i="8" s="1"/>
  <c r="Q495" i="8"/>
  <c r="M495" i="8"/>
  <c r="T495" i="8"/>
  <c r="AB495" i="8"/>
  <c r="AJ495" i="8"/>
  <c r="AL497" i="8"/>
  <c r="AH497" i="8"/>
  <c r="Z497" i="8"/>
  <c r="AA497" i="8" s="1"/>
  <c r="AG497" i="8" s="1"/>
  <c r="V497" i="8"/>
  <c r="AB497" i="8" s="1"/>
  <c r="R497" i="8"/>
  <c r="N497" i="8"/>
  <c r="AK497" i="8"/>
  <c r="AC497" i="8"/>
  <c r="AE497" i="8" s="1"/>
  <c r="Y497" i="8"/>
  <c r="U497" i="8"/>
  <c r="AF497" i="8" s="1"/>
  <c r="Q497" i="8"/>
  <c r="M497" i="8"/>
  <c r="T497" i="8"/>
  <c r="AJ497" i="8"/>
  <c r="AL499" i="8"/>
  <c r="AH499" i="8"/>
  <c r="Z499" i="8"/>
  <c r="AA499" i="8" s="1"/>
  <c r="AG499" i="8" s="1"/>
  <c r="V499" i="8"/>
  <c r="AB499" i="8" s="1"/>
  <c r="R499" i="8"/>
  <c r="N499" i="8"/>
  <c r="AK499" i="8"/>
  <c r="AC499" i="8"/>
  <c r="AE499" i="8" s="1"/>
  <c r="Y499" i="8"/>
  <c r="U499" i="8"/>
  <c r="AF499" i="8" s="1"/>
  <c r="Q499" i="8"/>
  <c r="M499" i="8"/>
  <c r="T499" i="8"/>
  <c r="AJ499" i="8"/>
  <c r="AL501" i="8"/>
  <c r="AH501" i="8"/>
  <c r="Z501" i="8"/>
  <c r="AA501" i="8" s="1"/>
  <c r="AG501" i="8" s="1"/>
  <c r="V501" i="8"/>
  <c r="R501" i="8"/>
  <c r="N501" i="8"/>
  <c r="AK501" i="8"/>
  <c r="AC501" i="8"/>
  <c r="AE501" i="8" s="1"/>
  <c r="Y501" i="8"/>
  <c r="U501" i="8"/>
  <c r="AF501" i="8" s="1"/>
  <c r="Q501" i="8"/>
  <c r="M501" i="8"/>
  <c r="T501" i="8"/>
  <c r="AB501" i="8"/>
  <c r="AJ501" i="8"/>
  <c r="AI3" i="9"/>
  <c r="AA3" i="9"/>
  <c r="AG3" i="9" s="1"/>
  <c r="W3" i="9"/>
  <c r="AD3" i="9" s="1"/>
  <c r="S3" i="9"/>
  <c r="O3" i="9"/>
  <c r="K3" i="9"/>
  <c r="AL3" i="9"/>
  <c r="AH3" i="9"/>
  <c r="Z3" i="9"/>
  <c r="V3" i="9"/>
  <c r="R3" i="9"/>
  <c r="N3" i="9"/>
  <c r="T3" i="9"/>
  <c r="AB3" i="9"/>
  <c r="AJ3" i="9"/>
  <c r="AL4" i="9"/>
  <c r="AH4" i="9"/>
  <c r="Z4" i="9"/>
  <c r="AA4" i="9" s="1"/>
  <c r="AG4" i="9" s="1"/>
  <c r="V4" i="9"/>
  <c r="AB4" i="9" s="1"/>
  <c r="R4" i="9"/>
  <c r="N4" i="9"/>
  <c r="AK4" i="9"/>
  <c r="AC4" i="9"/>
  <c r="AE4" i="9" s="1"/>
  <c r="Y4" i="9"/>
  <c r="U4" i="9"/>
  <c r="AF4" i="9" s="1"/>
  <c r="Q4" i="9"/>
  <c r="M4" i="9"/>
  <c r="T4" i="9"/>
  <c r="AJ4" i="9"/>
  <c r="AL194" i="9"/>
  <c r="AH194" i="9"/>
  <c r="Z194" i="9"/>
  <c r="V194" i="9"/>
  <c r="AB194" i="9" s="1"/>
  <c r="R194" i="9"/>
  <c r="N194" i="9"/>
  <c r="AI194" i="9"/>
  <c r="AC194" i="9"/>
  <c r="AE194" i="9" s="1"/>
  <c r="X194" i="9"/>
  <c r="Y194" i="9" s="1"/>
  <c r="S194" i="9"/>
  <c r="M194" i="9"/>
  <c r="AK194" i="9"/>
  <c r="AA194" i="9"/>
  <c r="AG194" i="9" s="1"/>
  <c r="U194" i="9"/>
  <c r="AF194" i="9" s="1"/>
  <c r="P194" i="9"/>
  <c r="K194" i="9"/>
  <c r="AJ194" i="9"/>
  <c r="T194" i="9"/>
  <c r="O194" i="9"/>
  <c r="AL210" i="9"/>
  <c r="AH210" i="9"/>
  <c r="Z210" i="9"/>
  <c r="V210" i="9"/>
  <c r="AB210" i="9" s="1"/>
  <c r="R210" i="9"/>
  <c r="N210" i="9"/>
  <c r="AI210" i="9"/>
  <c r="AC210" i="9"/>
  <c r="AE210" i="9" s="1"/>
  <c r="X210" i="9"/>
  <c r="Y210" i="9" s="1"/>
  <c r="S210" i="9"/>
  <c r="M210" i="9"/>
  <c r="AK210" i="9"/>
  <c r="AA210" i="9"/>
  <c r="AG210" i="9" s="1"/>
  <c r="U210" i="9"/>
  <c r="AF210" i="9" s="1"/>
  <c r="P210" i="9"/>
  <c r="K210" i="9"/>
  <c r="AJ210" i="9"/>
  <c r="T210" i="9"/>
  <c r="O210" i="9"/>
  <c r="P5" i="9"/>
  <c r="T5" i="9"/>
  <c r="X5" i="9"/>
  <c r="AB5" i="9"/>
  <c r="AJ5" i="9"/>
  <c r="K6" i="9"/>
  <c r="O6" i="9"/>
  <c r="S6" i="9"/>
  <c r="W6" i="9"/>
  <c r="AD6" i="9" s="1"/>
  <c r="AA6" i="9"/>
  <c r="AG6" i="9" s="1"/>
  <c r="AI6" i="9"/>
  <c r="P9" i="9"/>
  <c r="T9" i="9"/>
  <c r="X9" i="9"/>
  <c r="Y9" i="9" s="1"/>
  <c r="AB9" i="9"/>
  <c r="AJ9" i="9"/>
  <c r="P10" i="9"/>
  <c r="T10" i="9"/>
  <c r="X10" i="9"/>
  <c r="AB10" i="9"/>
  <c r="AJ10" i="9"/>
  <c r="P11" i="9"/>
  <c r="T11" i="9"/>
  <c r="X11" i="9"/>
  <c r="AB11" i="9"/>
  <c r="AJ11" i="9"/>
  <c r="P12" i="9"/>
  <c r="T12" i="9"/>
  <c r="X12" i="9"/>
  <c r="Y12" i="9" s="1"/>
  <c r="AB12" i="9"/>
  <c r="AJ12" i="9"/>
  <c r="P13" i="9"/>
  <c r="T13" i="9"/>
  <c r="X13" i="9"/>
  <c r="Y13" i="9" s="1"/>
  <c r="AB13" i="9"/>
  <c r="AJ13" i="9"/>
  <c r="P14" i="9"/>
  <c r="T14" i="9"/>
  <c r="X14" i="9"/>
  <c r="AB14" i="9"/>
  <c r="AJ14" i="9"/>
  <c r="P15" i="9"/>
  <c r="T15" i="9"/>
  <c r="X15" i="9"/>
  <c r="AB15" i="9"/>
  <c r="AJ15" i="9"/>
  <c r="AL16" i="9"/>
  <c r="AH16" i="9"/>
  <c r="P16" i="9"/>
  <c r="T16" i="9"/>
  <c r="X16" i="9"/>
  <c r="AB16" i="9"/>
  <c r="K17" i="9"/>
  <c r="P17" i="9"/>
  <c r="U17" i="9"/>
  <c r="AF17" i="9" s="1"/>
  <c r="AL20" i="9"/>
  <c r="AH20" i="9"/>
  <c r="Z20" i="9"/>
  <c r="AA20" i="9" s="1"/>
  <c r="AG20" i="9" s="1"/>
  <c r="V20" i="9"/>
  <c r="R20" i="9"/>
  <c r="N20" i="9"/>
  <c r="Q20" i="9"/>
  <c r="W20" i="9"/>
  <c r="AD20" i="9" s="1"/>
  <c r="AB20" i="9"/>
  <c r="K21" i="9"/>
  <c r="P21" i="9"/>
  <c r="U21" i="9"/>
  <c r="AF21" i="9" s="1"/>
  <c r="AA21" i="9"/>
  <c r="AG21" i="9" s="1"/>
  <c r="AL24" i="9"/>
  <c r="AH24" i="9"/>
  <c r="Z24" i="9"/>
  <c r="AA24" i="9" s="1"/>
  <c r="AG24" i="9" s="1"/>
  <c r="V24" i="9"/>
  <c r="AB24" i="9" s="1"/>
  <c r="R24" i="9"/>
  <c r="N24" i="9"/>
  <c r="Q24" i="9"/>
  <c r="W24" i="9"/>
  <c r="AD24" i="9" s="1"/>
  <c r="K25" i="9"/>
  <c r="P25" i="9"/>
  <c r="U25" i="9"/>
  <c r="AF25" i="9" s="1"/>
  <c r="AL28" i="9"/>
  <c r="AH28" i="9"/>
  <c r="Z28" i="9"/>
  <c r="AA28" i="9" s="1"/>
  <c r="AG28" i="9" s="1"/>
  <c r="V28" i="9"/>
  <c r="AB28" i="9" s="1"/>
  <c r="R28" i="9"/>
  <c r="N28" i="9"/>
  <c r="Q28" i="9"/>
  <c r="W28" i="9"/>
  <c r="AD28" i="9" s="1"/>
  <c r="K29" i="9"/>
  <c r="P29" i="9"/>
  <c r="U29" i="9"/>
  <c r="AF29" i="9" s="1"/>
  <c r="AL32" i="9"/>
  <c r="AH32" i="9"/>
  <c r="Z32" i="9"/>
  <c r="AA32" i="9" s="1"/>
  <c r="AG32" i="9" s="1"/>
  <c r="V32" i="9"/>
  <c r="R32" i="9"/>
  <c r="N32" i="9"/>
  <c r="Q32" i="9"/>
  <c r="W32" i="9"/>
  <c r="AD32" i="9" s="1"/>
  <c r="AB32" i="9"/>
  <c r="K33" i="9"/>
  <c r="P33" i="9"/>
  <c r="U33" i="9"/>
  <c r="AF33" i="9" s="1"/>
  <c r="AL36" i="9"/>
  <c r="AH36" i="9"/>
  <c r="Z36" i="9"/>
  <c r="AA36" i="9" s="1"/>
  <c r="AG36" i="9" s="1"/>
  <c r="V36" i="9"/>
  <c r="R36" i="9"/>
  <c r="N36" i="9"/>
  <c r="Q36" i="9"/>
  <c r="W36" i="9"/>
  <c r="AD36" i="9" s="1"/>
  <c r="AB36" i="9"/>
  <c r="K37" i="9"/>
  <c r="P37" i="9"/>
  <c r="U37" i="9"/>
  <c r="AF37" i="9" s="1"/>
  <c r="AA37" i="9"/>
  <c r="AG37" i="9" s="1"/>
  <c r="AL40" i="9"/>
  <c r="AH40" i="9"/>
  <c r="Z40" i="9"/>
  <c r="AA40" i="9" s="1"/>
  <c r="AG40" i="9" s="1"/>
  <c r="V40" i="9"/>
  <c r="AB40" i="9" s="1"/>
  <c r="R40" i="9"/>
  <c r="N40" i="9"/>
  <c r="Q40" i="9"/>
  <c r="W40" i="9"/>
  <c r="AD40" i="9" s="1"/>
  <c r="K41" i="9"/>
  <c r="P41" i="9"/>
  <c r="U41" i="9"/>
  <c r="AF41" i="9" s="1"/>
  <c r="AL44" i="9"/>
  <c r="AH44" i="9"/>
  <c r="Z44" i="9"/>
  <c r="AA44" i="9" s="1"/>
  <c r="AG44" i="9" s="1"/>
  <c r="V44" i="9"/>
  <c r="AB44" i="9" s="1"/>
  <c r="R44" i="9"/>
  <c r="N44" i="9"/>
  <c r="Q44" i="9"/>
  <c r="W44" i="9"/>
  <c r="AD44" i="9" s="1"/>
  <c r="K45" i="9"/>
  <c r="P45" i="9"/>
  <c r="U45" i="9"/>
  <c r="AF45" i="9" s="1"/>
  <c r="AL48" i="9"/>
  <c r="AH48" i="9"/>
  <c r="Z48" i="9"/>
  <c r="AA48" i="9" s="1"/>
  <c r="AG48" i="9" s="1"/>
  <c r="V48" i="9"/>
  <c r="R48" i="9"/>
  <c r="N48" i="9"/>
  <c r="Q48" i="9"/>
  <c r="W48" i="9"/>
  <c r="AD48" i="9" s="1"/>
  <c r="AB48" i="9"/>
  <c r="K49" i="9"/>
  <c r="P49" i="9"/>
  <c r="U49" i="9"/>
  <c r="AF49" i="9" s="1"/>
  <c r="AL52" i="9"/>
  <c r="AH52" i="9"/>
  <c r="Z52" i="9"/>
  <c r="AA52" i="9" s="1"/>
  <c r="AG52" i="9" s="1"/>
  <c r="V52" i="9"/>
  <c r="R52" i="9"/>
  <c r="N52" i="9"/>
  <c r="Q52" i="9"/>
  <c r="W52" i="9"/>
  <c r="AD52" i="9" s="1"/>
  <c r="AB52" i="9"/>
  <c r="K53" i="9"/>
  <c r="P53" i="9"/>
  <c r="U53" i="9"/>
  <c r="AF53" i="9" s="1"/>
  <c r="AA53" i="9"/>
  <c r="AG53" i="9" s="1"/>
  <c r="AL56" i="9"/>
  <c r="AH56" i="9"/>
  <c r="Z56" i="9"/>
  <c r="AA56" i="9" s="1"/>
  <c r="AG56" i="9" s="1"/>
  <c r="V56" i="9"/>
  <c r="AB56" i="9" s="1"/>
  <c r="R56" i="9"/>
  <c r="N56" i="9"/>
  <c r="Q56" i="9"/>
  <c r="W56" i="9"/>
  <c r="AD56" i="9" s="1"/>
  <c r="K57" i="9"/>
  <c r="P57" i="9"/>
  <c r="U57" i="9"/>
  <c r="AF57" i="9" s="1"/>
  <c r="AL60" i="9"/>
  <c r="AH60" i="9"/>
  <c r="Z60" i="9"/>
  <c r="AA60" i="9" s="1"/>
  <c r="AG60" i="9" s="1"/>
  <c r="V60" i="9"/>
  <c r="AB60" i="9" s="1"/>
  <c r="R60" i="9"/>
  <c r="N60" i="9"/>
  <c r="Q60" i="9"/>
  <c r="W60" i="9"/>
  <c r="AD60" i="9" s="1"/>
  <c r="K61" i="9"/>
  <c r="P61" i="9"/>
  <c r="U61" i="9"/>
  <c r="AF61" i="9" s="1"/>
  <c r="AL64" i="9"/>
  <c r="AH64" i="9"/>
  <c r="Z64" i="9"/>
  <c r="AA64" i="9" s="1"/>
  <c r="AG64" i="9" s="1"/>
  <c r="V64" i="9"/>
  <c r="R64" i="9"/>
  <c r="N64" i="9"/>
  <c r="Q64" i="9"/>
  <c r="W64" i="9"/>
  <c r="AD64" i="9" s="1"/>
  <c r="AB64" i="9"/>
  <c r="K65" i="9"/>
  <c r="P65" i="9"/>
  <c r="U65" i="9"/>
  <c r="AF65" i="9" s="1"/>
  <c r="AL68" i="9"/>
  <c r="AH68" i="9"/>
  <c r="Z68" i="9"/>
  <c r="AA68" i="9" s="1"/>
  <c r="AG68" i="9" s="1"/>
  <c r="V68" i="9"/>
  <c r="R68" i="9"/>
  <c r="N68" i="9"/>
  <c r="Q68" i="9"/>
  <c r="W68" i="9"/>
  <c r="AD68" i="9" s="1"/>
  <c r="AB68" i="9"/>
  <c r="K69" i="9"/>
  <c r="P69" i="9"/>
  <c r="U69" i="9"/>
  <c r="AF69" i="9" s="1"/>
  <c r="AA69" i="9"/>
  <c r="AG69" i="9" s="1"/>
  <c r="AL72" i="9"/>
  <c r="AH72" i="9"/>
  <c r="Z72" i="9"/>
  <c r="AA72" i="9" s="1"/>
  <c r="AG72" i="9" s="1"/>
  <c r="V72" i="9"/>
  <c r="AB72" i="9" s="1"/>
  <c r="R72" i="9"/>
  <c r="N72" i="9"/>
  <c r="Q72" i="9"/>
  <c r="W72" i="9"/>
  <c r="AD72" i="9" s="1"/>
  <c r="K73" i="9"/>
  <c r="P73" i="9"/>
  <c r="U73" i="9"/>
  <c r="AF73" i="9" s="1"/>
  <c r="AL76" i="9"/>
  <c r="AH76" i="9"/>
  <c r="Z76" i="9"/>
  <c r="AA76" i="9" s="1"/>
  <c r="AG76" i="9" s="1"/>
  <c r="V76" i="9"/>
  <c r="AB76" i="9" s="1"/>
  <c r="R76" i="9"/>
  <c r="N76" i="9"/>
  <c r="Q76" i="9"/>
  <c r="W76" i="9"/>
  <c r="AD76" i="9" s="1"/>
  <c r="K77" i="9"/>
  <c r="P77" i="9"/>
  <c r="U77" i="9"/>
  <c r="AF77" i="9" s="1"/>
  <c r="AL80" i="9"/>
  <c r="AH80" i="9"/>
  <c r="Z80" i="9"/>
  <c r="AA80" i="9" s="1"/>
  <c r="AG80" i="9" s="1"/>
  <c r="V80" i="9"/>
  <c r="R80" i="9"/>
  <c r="N80" i="9"/>
  <c r="Q80" i="9"/>
  <c r="W80" i="9"/>
  <c r="AD80" i="9" s="1"/>
  <c r="AB80" i="9"/>
  <c r="K81" i="9"/>
  <c r="P81" i="9"/>
  <c r="U81" i="9"/>
  <c r="AF81" i="9" s="1"/>
  <c r="AL84" i="9"/>
  <c r="AH84" i="9"/>
  <c r="Z84" i="9"/>
  <c r="AA84" i="9" s="1"/>
  <c r="AG84" i="9" s="1"/>
  <c r="V84" i="9"/>
  <c r="R84" i="9"/>
  <c r="N84" i="9"/>
  <c r="Q84" i="9"/>
  <c r="W84" i="9"/>
  <c r="AD84" i="9" s="1"/>
  <c r="AB84" i="9"/>
  <c r="K85" i="9"/>
  <c r="P85" i="9"/>
  <c r="U85" i="9"/>
  <c r="AF85" i="9" s="1"/>
  <c r="AA85" i="9"/>
  <c r="AG85" i="9" s="1"/>
  <c r="AL88" i="9"/>
  <c r="AH88" i="9"/>
  <c r="Z88" i="9"/>
  <c r="AA88" i="9" s="1"/>
  <c r="AG88" i="9" s="1"/>
  <c r="V88" i="9"/>
  <c r="AB88" i="9" s="1"/>
  <c r="R88" i="9"/>
  <c r="N88" i="9"/>
  <c r="Q88" i="9"/>
  <c r="W88" i="9"/>
  <c r="AD88" i="9" s="1"/>
  <c r="K89" i="9"/>
  <c r="P89" i="9"/>
  <c r="U89" i="9"/>
  <c r="AF89" i="9" s="1"/>
  <c r="AL92" i="9"/>
  <c r="AH92" i="9"/>
  <c r="Z92" i="9"/>
  <c r="AA92" i="9" s="1"/>
  <c r="AG92" i="9" s="1"/>
  <c r="V92" i="9"/>
  <c r="AB92" i="9" s="1"/>
  <c r="R92" i="9"/>
  <c r="N92" i="9"/>
  <c r="Q92" i="9"/>
  <c r="W92" i="9"/>
  <c r="AD92" i="9" s="1"/>
  <c r="K93" i="9"/>
  <c r="P93" i="9"/>
  <c r="U93" i="9"/>
  <c r="AF93" i="9" s="1"/>
  <c r="AL96" i="9"/>
  <c r="AH96" i="9"/>
  <c r="Z96" i="9"/>
  <c r="AA96" i="9" s="1"/>
  <c r="AG96" i="9" s="1"/>
  <c r="V96" i="9"/>
  <c r="R96" i="9"/>
  <c r="N96" i="9"/>
  <c r="Q96" i="9"/>
  <c r="W96" i="9"/>
  <c r="AD96" i="9" s="1"/>
  <c r="AB96" i="9"/>
  <c r="K97" i="9"/>
  <c r="P97" i="9"/>
  <c r="U97" i="9"/>
  <c r="AF97" i="9" s="1"/>
  <c r="AL100" i="9"/>
  <c r="AH100" i="9"/>
  <c r="Z100" i="9"/>
  <c r="AA100" i="9" s="1"/>
  <c r="AG100" i="9" s="1"/>
  <c r="V100" i="9"/>
  <c r="R100" i="9"/>
  <c r="N100" i="9"/>
  <c r="Q100" i="9"/>
  <c r="W100" i="9"/>
  <c r="AD100" i="9" s="1"/>
  <c r="AB100" i="9"/>
  <c r="K101" i="9"/>
  <c r="P101" i="9"/>
  <c r="U101" i="9"/>
  <c r="AF101" i="9" s="1"/>
  <c r="AA101" i="9"/>
  <c r="AG101" i="9" s="1"/>
  <c r="AL104" i="9"/>
  <c r="AH104" i="9"/>
  <c r="Z104" i="9"/>
  <c r="AA104" i="9" s="1"/>
  <c r="AG104" i="9" s="1"/>
  <c r="V104" i="9"/>
  <c r="AB104" i="9" s="1"/>
  <c r="R104" i="9"/>
  <c r="N104" i="9"/>
  <c r="Q104" i="9"/>
  <c r="W104" i="9"/>
  <c r="AD104" i="9" s="1"/>
  <c r="K105" i="9"/>
  <c r="P105" i="9"/>
  <c r="U105" i="9"/>
  <c r="AF105" i="9" s="1"/>
  <c r="AL108" i="9"/>
  <c r="AH108" i="9"/>
  <c r="Z108" i="9"/>
  <c r="AA108" i="9" s="1"/>
  <c r="AG108" i="9" s="1"/>
  <c r="V108" i="9"/>
  <c r="AB108" i="9" s="1"/>
  <c r="R108" i="9"/>
  <c r="N108" i="9"/>
  <c r="Q108" i="9"/>
  <c r="W108" i="9"/>
  <c r="AD108" i="9" s="1"/>
  <c r="K109" i="9"/>
  <c r="P109" i="9"/>
  <c r="U109" i="9"/>
  <c r="AF109" i="9" s="1"/>
  <c r="AL112" i="9"/>
  <c r="AH112" i="9"/>
  <c r="Z112" i="9"/>
  <c r="AA112" i="9" s="1"/>
  <c r="AG112" i="9" s="1"/>
  <c r="V112" i="9"/>
  <c r="R112" i="9"/>
  <c r="N112" i="9"/>
  <c r="Q112" i="9"/>
  <c r="W112" i="9"/>
  <c r="AD112" i="9" s="1"/>
  <c r="AB112" i="9"/>
  <c r="K113" i="9"/>
  <c r="P113" i="9"/>
  <c r="U113" i="9"/>
  <c r="AF113" i="9" s="1"/>
  <c r="AL116" i="9"/>
  <c r="AH116" i="9"/>
  <c r="Z116" i="9"/>
  <c r="AA116" i="9" s="1"/>
  <c r="AG116" i="9" s="1"/>
  <c r="V116" i="9"/>
  <c r="R116" i="9"/>
  <c r="N116" i="9"/>
  <c r="Q116" i="9"/>
  <c r="W116" i="9"/>
  <c r="AD116" i="9" s="1"/>
  <c r="AB116" i="9"/>
  <c r="K117" i="9"/>
  <c r="P117" i="9"/>
  <c r="U117" i="9"/>
  <c r="AF117" i="9" s="1"/>
  <c r="AA117" i="9"/>
  <c r="AG117" i="9" s="1"/>
  <c r="AL120" i="9"/>
  <c r="AH120" i="9"/>
  <c r="Z120" i="9"/>
  <c r="AA120" i="9" s="1"/>
  <c r="AG120" i="9" s="1"/>
  <c r="V120" i="9"/>
  <c r="AB120" i="9" s="1"/>
  <c r="R120" i="9"/>
  <c r="N120" i="9"/>
  <c r="Q120" i="9"/>
  <c r="W120" i="9"/>
  <c r="AD120" i="9" s="1"/>
  <c r="K121" i="9"/>
  <c r="P121" i="9"/>
  <c r="U121" i="9"/>
  <c r="AF121" i="9" s="1"/>
  <c r="AL124" i="9"/>
  <c r="AH124" i="9"/>
  <c r="Z124" i="9"/>
  <c r="AA124" i="9" s="1"/>
  <c r="AG124" i="9" s="1"/>
  <c r="V124" i="9"/>
  <c r="AB124" i="9" s="1"/>
  <c r="R124" i="9"/>
  <c r="N124" i="9"/>
  <c r="Q124" i="9"/>
  <c r="W124" i="9"/>
  <c r="AD124" i="9" s="1"/>
  <c r="K125" i="9"/>
  <c r="P125" i="9"/>
  <c r="U125" i="9"/>
  <c r="AF125" i="9" s="1"/>
  <c r="AL128" i="9"/>
  <c r="AH128" i="9"/>
  <c r="Z128" i="9"/>
  <c r="AA128" i="9" s="1"/>
  <c r="AG128" i="9" s="1"/>
  <c r="V128" i="9"/>
  <c r="R128" i="9"/>
  <c r="N128" i="9"/>
  <c r="Q128" i="9"/>
  <c r="W128" i="9"/>
  <c r="AD128" i="9" s="1"/>
  <c r="AB128" i="9"/>
  <c r="K129" i="9"/>
  <c r="P129" i="9"/>
  <c r="U129" i="9"/>
  <c r="AF129" i="9" s="1"/>
  <c r="AL132" i="9"/>
  <c r="AH132" i="9"/>
  <c r="Z132" i="9"/>
  <c r="AA132" i="9" s="1"/>
  <c r="AG132" i="9" s="1"/>
  <c r="V132" i="9"/>
  <c r="R132" i="9"/>
  <c r="N132" i="9"/>
  <c r="Q132" i="9"/>
  <c r="W132" i="9"/>
  <c r="AD132" i="9" s="1"/>
  <c r="AB132" i="9"/>
  <c r="K133" i="9"/>
  <c r="P133" i="9"/>
  <c r="U133" i="9"/>
  <c r="AF133" i="9" s="1"/>
  <c r="AA133" i="9"/>
  <c r="AG133" i="9" s="1"/>
  <c r="AL136" i="9"/>
  <c r="AH136" i="9"/>
  <c r="Z136" i="9"/>
  <c r="AA136" i="9" s="1"/>
  <c r="AG136" i="9" s="1"/>
  <c r="V136" i="9"/>
  <c r="AB136" i="9" s="1"/>
  <c r="R136" i="9"/>
  <c r="N136" i="9"/>
  <c r="Q136" i="9"/>
  <c r="W136" i="9"/>
  <c r="AD136" i="9" s="1"/>
  <c r="K137" i="9"/>
  <c r="P137" i="9"/>
  <c r="U137" i="9"/>
  <c r="AF137" i="9" s="1"/>
  <c r="AL140" i="9"/>
  <c r="AH140" i="9"/>
  <c r="Z140" i="9"/>
  <c r="AA140" i="9" s="1"/>
  <c r="AG140" i="9" s="1"/>
  <c r="V140" i="9"/>
  <c r="AB140" i="9" s="1"/>
  <c r="R140" i="9"/>
  <c r="N140" i="9"/>
  <c r="Q140" i="9"/>
  <c r="W140" i="9"/>
  <c r="AD140" i="9" s="1"/>
  <c r="K141" i="9"/>
  <c r="P141" i="9"/>
  <c r="U141" i="9"/>
  <c r="AF141" i="9" s="1"/>
  <c r="AL144" i="9"/>
  <c r="AH144" i="9"/>
  <c r="Z144" i="9"/>
  <c r="AA144" i="9" s="1"/>
  <c r="AG144" i="9" s="1"/>
  <c r="V144" i="9"/>
  <c r="R144" i="9"/>
  <c r="N144" i="9"/>
  <c r="Q144" i="9"/>
  <c r="W144" i="9"/>
  <c r="AD144" i="9" s="1"/>
  <c r="AB144" i="9"/>
  <c r="K145" i="9"/>
  <c r="P145" i="9"/>
  <c r="U145" i="9"/>
  <c r="AF145" i="9" s="1"/>
  <c r="AL148" i="9"/>
  <c r="AH148" i="9"/>
  <c r="Z148" i="9"/>
  <c r="AA148" i="9" s="1"/>
  <c r="AG148" i="9" s="1"/>
  <c r="V148" i="9"/>
  <c r="R148" i="9"/>
  <c r="N148" i="9"/>
  <c r="Q148" i="9"/>
  <c r="W148" i="9"/>
  <c r="AD148" i="9" s="1"/>
  <c r="AB148" i="9"/>
  <c r="K149" i="9"/>
  <c r="P149" i="9"/>
  <c r="U149" i="9"/>
  <c r="AF149" i="9" s="1"/>
  <c r="AA149" i="9"/>
  <c r="AG149" i="9" s="1"/>
  <c r="AL152" i="9"/>
  <c r="AH152" i="9"/>
  <c r="Z152" i="9"/>
  <c r="AA152" i="9" s="1"/>
  <c r="AG152" i="9" s="1"/>
  <c r="V152" i="9"/>
  <c r="AB152" i="9" s="1"/>
  <c r="R152" i="9"/>
  <c r="N152" i="9"/>
  <c r="Q152" i="9"/>
  <c r="W152" i="9"/>
  <c r="AD152" i="9" s="1"/>
  <c r="K153" i="9"/>
  <c r="P153" i="9"/>
  <c r="U153" i="9"/>
  <c r="AF153" i="9" s="1"/>
  <c r="AL156" i="9"/>
  <c r="AH156" i="9"/>
  <c r="Z156" i="9"/>
  <c r="AA156" i="9" s="1"/>
  <c r="AG156" i="9" s="1"/>
  <c r="V156" i="9"/>
  <c r="AB156" i="9" s="1"/>
  <c r="R156" i="9"/>
  <c r="N156" i="9"/>
  <c r="Q156" i="9"/>
  <c r="W156" i="9"/>
  <c r="AD156" i="9" s="1"/>
  <c r="K157" i="9"/>
  <c r="P157" i="9"/>
  <c r="U157" i="9"/>
  <c r="AF157" i="9" s="1"/>
  <c r="AL160" i="9"/>
  <c r="AH160" i="9"/>
  <c r="Z160" i="9"/>
  <c r="AA160" i="9" s="1"/>
  <c r="AG160" i="9" s="1"/>
  <c r="V160" i="9"/>
  <c r="R160" i="9"/>
  <c r="N160" i="9"/>
  <c r="Q160" i="9"/>
  <c r="W160" i="9"/>
  <c r="AD160" i="9" s="1"/>
  <c r="AB160" i="9"/>
  <c r="K161" i="9"/>
  <c r="P161" i="9"/>
  <c r="U161" i="9"/>
  <c r="AF161" i="9" s="1"/>
  <c r="AL164" i="9"/>
  <c r="AH164" i="9"/>
  <c r="Z164" i="9"/>
  <c r="AA164" i="9" s="1"/>
  <c r="AG164" i="9" s="1"/>
  <c r="V164" i="9"/>
  <c r="R164" i="9"/>
  <c r="N164" i="9"/>
  <c r="Q164" i="9"/>
  <c r="W164" i="9"/>
  <c r="AD164" i="9" s="1"/>
  <c r="AB164" i="9"/>
  <c r="K165" i="9"/>
  <c r="P165" i="9"/>
  <c r="U165" i="9"/>
  <c r="AF165" i="9" s="1"/>
  <c r="AA165" i="9"/>
  <c r="AG165" i="9" s="1"/>
  <c r="AL168" i="9"/>
  <c r="AH168" i="9"/>
  <c r="Z168" i="9"/>
  <c r="AA168" i="9" s="1"/>
  <c r="AG168" i="9" s="1"/>
  <c r="V168" i="9"/>
  <c r="AB168" i="9" s="1"/>
  <c r="R168" i="9"/>
  <c r="N168" i="9"/>
  <c r="Q168" i="9"/>
  <c r="W168" i="9"/>
  <c r="AD168" i="9" s="1"/>
  <c r="K169" i="9"/>
  <c r="P169" i="9"/>
  <c r="U169" i="9"/>
  <c r="AF169" i="9" s="1"/>
  <c r="AL172" i="9"/>
  <c r="AH172" i="9"/>
  <c r="Z172" i="9"/>
  <c r="AA172" i="9" s="1"/>
  <c r="AG172" i="9" s="1"/>
  <c r="V172" i="9"/>
  <c r="AB172" i="9" s="1"/>
  <c r="R172" i="9"/>
  <c r="N172" i="9"/>
  <c r="Q172" i="9"/>
  <c r="W172" i="9"/>
  <c r="AD172" i="9" s="1"/>
  <c r="K173" i="9"/>
  <c r="P173" i="9"/>
  <c r="U173" i="9"/>
  <c r="AF173" i="9" s="1"/>
  <c r="AL176" i="9"/>
  <c r="AH176" i="9"/>
  <c r="Z176" i="9"/>
  <c r="AA176" i="9" s="1"/>
  <c r="AG176" i="9" s="1"/>
  <c r="V176" i="9"/>
  <c r="R176" i="9"/>
  <c r="N176" i="9"/>
  <c r="Q176" i="9"/>
  <c r="W176" i="9"/>
  <c r="AD176" i="9" s="1"/>
  <c r="AB176" i="9"/>
  <c r="K177" i="9"/>
  <c r="P177" i="9"/>
  <c r="U177" i="9"/>
  <c r="AF177" i="9" s="1"/>
  <c r="AL180" i="9"/>
  <c r="AH180" i="9"/>
  <c r="Z180" i="9"/>
  <c r="AA180" i="9" s="1"/>
  <c r="AG180" i="9" s="1"/>
  <c r="V180" i="9"/>
  <c r="R180" i="9"/>
  <c r="N180" i="9"/>
  <c r="Q180" i="9"/>
  <c r="W180" i="9"/>
  <c r="AD180" i="9" s="1"/>
  <c r="AB180" i="9"/>
  <c r="K181" i="9"/>
  <c r="P181" i="9"/>
  <c r="U181" i="9"/>
  <c r="AF181" i="9" s="1"/>
  <c r="AA181" i="9"/>
  <c r="AG181" i="9" s="1"/>
  <c r="AL184" i="9"/>
  <c r="AH184" i="9"/>
  <c r="Z184" i="9"/>
  <c r="AA184" i="9" s="1"/>
  <c r="AG184" i="9" s="1"/>
  <c r="V184" i="9"/>
  <c r="AB184" i="9" s="1"/>
  <c r="R184" i="9"/>
  <c r="N184" i="9"/>
  <c r="Q184" i="9"/>
  <c r="W184" i="9"/>
  <c r="AD184" i="9" s="1"/>
  <c r="K185" i="9"/>
  <c r="P185" i="9"/>
  <c r="U185" i="9"/>
  <c r="AF185" i="9" s="1"/>
  <c r="M187" i="9"/>
  <c r="S187" i="9"/>
  <c r="X187" i="9"/>
  <c r="AC187" i="9"/>
  <c r="AE187" i="9" s="1"/>
  <c r="AI187" i="9"/>
  <c r="AL188" i="9"/>
  <c r="AH188" i="9"/>
  <c r="Z188" i="9"/>
  <c r="AA188" i="9" s="1"/>
  <c r="AG188" i="9" s="1"/>
  <c r="V188" i="9"/>
  <c r="R188" i="9"/>
  <c r="N188" i="9"/>
  <c r="Q188" i="9"/>
  <c r="W188" i="9"/>
  <c r="AD188" i="9" s="1"/>
  <c r="AB188" i="9"/>
  <c r="K189" i="9"/>
  <c r="P189" i="9"/>
  <c r="U189" i="9"/>
  <c r="AF189" i="9" s="1"/>
  <c r="M191" i="9"/>
  <c r="S191" i="9"/>
  <c r="X191" i="9"/>
  <c r="AC191" i="9"/>
  <c r="AE191" i="9" s="1"/>
  <c r="AI191" i="9"/>
  <c r="AL192" i="9"/>
  <c r="AH192" i="9"/>
  <c r="Z192" i="9"/>
  <c r="AA192" i="9" s="1"/>
  <c r="AG192" i="9" s="1"/>
  <c r="V192" i="9"/>
  <c r="AB192" i="9" s="1"/>
  <c r="R192" i="9"/>
  <c r="N192" i="9"/>
  <c r="Q192" i="9"/>
  <c r="W192" i="9"/>
  <c r="AD192" i="9" s="1"/>
  <c r="K193" i="9"/>
  <c r="P193" i="9"/>
  <c r="U193" i="9"/>
  <c r="AF193" i="9" s="1"/>
  <c r="M195" i="9"/>
  <c r="S195" i="9"/>
  <c r="X195" i="9"/>
  <c r="Y195" i="9" s="1"/>
  <c r="AC195" i="9"/>
  <c r="AE195" i="9" s="1"/>
  <c r="AI195" i="9"/>
  <c r="AL196" i="9"/>
  <c r="AH196" i="9"/>
  <c r="Z196" i="9"/>
  <c r="AA196" i="9" s="1"/>
  <c r="AG196" i="9" s="1"/>
  <c r="V196" i="9"/>
  <c r="R196" i="9"/>
  <c r="N196" i="9"/>
  <c r="Q196" i="9"/>
  <c r="W196" i="9"/>
  <c r="AD196" i="9" s="1"/>
  <c r="AB196" i="9"/>
  <c r="K197" i="9"/>
  <c r="P197" i="9"/>
  <c r="U197" i="9"/>
  <c r="AF197" i="9" s="1"/>
  <c r="M199" i="9"/>
  <c r="S199" i="9"/>
  <c r="X199" i="9"/>
  <c r="AC199" i="9"/>
  <c r="AE199" i="9" s="1"/>
  <c r="AI199" i="9"/>
  <c r="AL200" i="9"/>
  <c r="AH200" i="9"/>
  <c r="Z200" i="9"/>
  <c r="AA200" i="9" s="1"/>
  <c r="AG200" i="9" s="1"/>
  <c r="V200" i="9"/>
  <c r="AB200" i="9" s="1"/>
  <c r="R200" i="9"/>
  <c r="N200" i="9"/>
  <c r="Q200" i="9"/>
  <c r="W200" i="9"/>
  <c r="AD200" i="9" s="1"/>
  <c r="K201" i="9"/>
  <c r="P201" i="9"/>
  <c r="U201" i="9"/>
  <c r="AF201" i="9" s="1"/>
  <c r="M203" i="9"/>
  <c r="S203" i="9"/>
  <c r="X203" i="9"/>
  <c r="AC203" i="9"/>
  <c r="AE203" i="9" s="1"/>
  <c r="AI203" i="9"/>
  <c r="AL204" i="9"/>
  <c r="AH204" i="9"/>
  <c r="Z204" i="9"/>
  <c r="AA204" i="9" s="1"/>
  <c r="AG204" i="9" s="1"/>
  <c r="V204" i="9"/>
  <c r="R204" i="9"/>
  <c r="N204" i="9"/>
  <c r="Q204" i="9"/>
  <c r="W204" i="9"/>
  <c r="AD204" i="9" s="1"/>
  <c r="AB204" i="9"/>
  <c r="K205" i="9"/>
  <c r="P205" i="9"/>
  <c r="U205" i="9"/>
  <c r="AF205" i="9" s="1"/>
  <c r="M207" i="9"/>
  <c r="S207" i="9"/>
  <c r="X207" i="9"/>
  <c r="AC207" i="9"/>
  <c r="AE207" i="9" s="1"/>
  <c r="AI207" i="9"/>
  <c r="AL208" i="9"/>
  <c r="AH208" i="9"/>
  <c r="Z208" i="9"/>
  <c r="AA208" i="9" s="1"/>
  <c r="AG208" i="9" s="1"/>
  <c r="V208" i="9"/>
  <c r="AB208" i="9" s="1"/>
  <c r="R208" i="9"/>
  <c r="N208" i="9"/>
  <c r="Q208" i="9"/>
  <c r="W208" i="9"/>
  <c r="AD208" i="9" s="1"/>
  <c r="K209" i="9"/>
  <c r="P209" i="9"/>
  <c r="U209" i="9"/>
  <c r="AF209" i="9" s="1"/>
  <c r="M211" i="9"/>
  <c r="S211" i="9"/>
  <c r="X211" i="9"/>
  <c r="Y211" i="9" s="1"/>
  <c r="AC211" i="9"/>
  <c r="AE211" i="9" s="1"/>
  <c r="AI211" i="9"/>
  <c r="AL212" i="9"/>
  <c r="AH212" i="9"/>
  <c r="Z212" i="9"/>
  <c r="AA212" i="9" s="1"/>
  <c r="AG212" i="9" s="1"/>
  <c r="V212" i="9"/>
  <c r="R212" i="9"/>
  <c r="N212" i="9"/>
  <c r="Q212" i="9"/>
  <c r="W212" i="9"/>
  <c r="AD212" i="9" s="1"/>
  <c r="AB212" i="9"/>
  <c r="K213" i="9"/>
  <c r="P213" i="9"/>
  <c r="U213" i="9"/>
  <c r="AF213" i="9" s="1"/>
  <c r="M215" i="9"/>
  <c r="S215" i="9"/>
  <c r="X215" i="9"/>
  <c r="AC215" i="9"/>
  <c r="AE215" i="9" s="1"/>
  <c r="AI215" i="9"/>
  <c r="AL216" i="9"/>
  <c r="AH216" i="9"/>
  <c r="Z216" i="9"/>
  <c r="AA216" i="9" s="1"/>
  <c r="AG216" i="9" s="1"/>
  <c r="V216" i="9"/>
  <c r="AB216" i="9" s="1"/>
  <c r="R216" i="9"/>
  <c r="N216" i="9"/>
  <c r="Q216" i="9"/>
  <c r="W216" i="9"/>
  <c r="AD216" i="9" s="1"/>
  <c r="K217" i="9"/>
  <c r="P217" i="9"/>
  <c r="U217" i="9"/>
  <c r="AF217" i="9" s="1"/>
  <c r="M219" i="9"/>
  <c r="S219" i="9"/>
  <c r="X219" i="9"/>
  <c r="AC219" i="9"/>
  <c r="AE219" i="9" s="1"/>
  <c r="AI219" i="9"/>
  <c r="AL220" i="9"/>
  <c r="AH220" i="9"/>
  <c r="Z220" i="9"/>
  <c r="AA220" i="9" s="1"/>
  <c r="AG220" i="9" s="1"/>
  <c r="V220" i="9"/>
  <c r="R220" i="9"/>
  <c r="N220" i="9"/>
  <c r="Q220" i="9"/>
  <c r="W220" i="9"/>
  <c r="AD220" i="9" s="1"/>
  <c r="AB220" i="9"/>
  <c r="K221" i="9"/>
  <c r="P221" i="9"/>
  <c r="U221" i="9"/>
  <c r="AF221" i="9" s="1"/>
  <c r="M223" i="9"/>
  <c r="S223" i="9"/>
  <c r="X223" i="9"/>
  <c r="AC223" i="9"/>
  <c r="AE223" i="9" s="1"/>
  <c r="AI223" i="9"/>
  <c r="AL224" i="9"/>
  <c r="AH224" i="9"/>
  <c r="Z224" i="9"/>
  <c r="AA224" i="9" s="1"/>
  <c r="AG224" i="9" s="1"/>
  <c r="V224" i="9"/>
  <c r="AB224" i="9" s="1"/>
  <c r="R224" i="9"/>
  <c r="N224" i="9"/>
  <c r="Q224" i="9"/>
  <c r="W224" i="9"/>
  <c r="AD224" i="9" s="1"/>
  <c r="K225" i="9"/>
  <c r="P225" i="9"/>
  <c r="U225" i="9"/>
  <c r="AF225" i="9" s="1"/>
  <c r="O226" i="9"/>
  <c r="T226" i="9"/>
  <c r="AJ226" i="9"/>
  <c r="M227" i="9"/>
  <c r="S227" i="9"/>
  <c r="X227" i="9"/>
  <c r="Y227" i="9" s="1"/>
  <c r="AC227" i="9"/>
  <c r="AE227" i="9" s="1"/>
  <c r="AI227" i="9"/>
  <c r="AL228" i="9"/>
  <c r="AH228" i="9"/>
  <c r="Z228" i="9"/>
  <c r="AA228" i="9" s="1"/>
  <c r="AG228" i="9" s="1"/>
  <c r="V228" i="9"/>
  <c r="R228" i="9"/>
  <c r="N228" i="9"/>
  <c r="Q228" i="9"/>
  <c r="W228" i="9"/>
  <c r="AD228" i="9" s="1"/>
  <c r="AB228" i="9"/>
  <c r="K229" i="9"/>
  <c r="P229" i="9"/>
  <c r="U229" i="9"/>
  <c r="AF229" i="9" s="1"/>
  <c r="O230" i="9"/>
  <c r="T230" i="9"/>
  <c r="AJ230" i="9"/>
  <c r="M231" i="9"/>
  <c r="S231" i="9"/>
  <c r="X231" i="9"/>
  <c r="AC231" i="9"/>
  <c r="AE231" i="9" s="1"/>
  <c r="AI231" i="9"/>
  <c r="AL232" i="9"/>
  <c r="AH232" i="9"/>
  <c r="Z232" i="9"/>
  <c r="AA232" i="9" s="1"/>
  <c r="AG232" i="9" s="1"/>
  <c r="V232" i="9"/>
  <c r="AB232" i="9" s="1"/>
  <c r="R232" i="9"/>
  <c r="N232" i="9"/>
  <c r="Q232" i="9"/>
  <c r="W232" i="9"/>
  <c r="AD232" i="9" s="1"/>
  <c r="K233" i="9"/>
  <c r="P233" i="9"/>
  <c r="U233" i="9"/>
  <c r="AF233" i="9" s="1"/>
  <c r="O234" i="9"/>
  <c r="T234" i="9"/>
  <c r="AJ234" i="9"/>
  <c r="M235" i="9"/>
  <c r="S235" i="9"/>
  <c r="X235" i="9"/>
  <c r="AC235" i="9"/>
  <c r="AE235" i="9" s="1"/>
  <c r="AI235" i="9"/>
  <c r="AL236" i="9"/>
  <c r="AH236" i="9"/>
  <c r="Z236" i="9"/>
  <c r="AA236" i="9" s="1"/>
  <c r="AG236" i="9" s="1"/>
  <c r="V236" i="9"/>
  <c r="R236" i="9"/>
  <c r="N236" i="9"/>
  <c r="Q236" i="9"/>
  <c r="W236" i="9"/>
  <c r="AD236" i="9" s="1"/>
  <c r="AB236" i="9"/>
  <c r="K237" i="9"/>
  <c r="P237" i="9"/>
  <c r="U237" i="9"/>
  <c r="AF237" i="9" s="1"/>
  <c r="O238" i="9"/>
  <c r="T238" i="9"/>
  <c r="AJ238" i="9"/>
  <c r="M239" i="9"/>
  <c r="S239" i="9"/>
  <c r="X239" i="9"/>
  <c r="AC239" i="9"/>
  <c r="AE239" i="9" s="1"/>
  <c r="AI239" i="9"/>
  <c r="AL240" i="9"/>
  <c r="AH240" i="9"/>
  <c r="Z240" i="9"/>
  <c r="AA240" i="9" s="1"/>
  <c r="AG240" i="9" s="1"/>
  <c r="V240" i="9"/>
  <c r="AB240" i="9" s="1"/>
  <c r="R240" i="9"/>
  <c r="N240" i="9"/>
  <c r="Q240" i="9"/>
  <c r="W240" i="9"/>
  <c r="AD240" i="9" s="1"/>
  <c r="K241" i="9"/>
  <c r="P241" i="9"/>
  <c r="U241" i="9"/>
  <c r="AF241" i="9" s="1"/>
  <c r="O242" i="9"/>
  <c r="T242" i="9"/>
  <c r="AJ242" i="9"/>
  <c r="M243" i="9"/>
  <c r="S243" i="9"/>
  <c r="X243" i="9"/>
  <c r="Y243" i="9" s="1"/>
  <c r="AC243" i="9"/>
  <c r="AE243" i="9" s="1"/>
  <c r="AI243" i="9"/>
  <c r="AL244" i="9"/>
  <c r="AH244" i="9"/>
  <c r="Z244" i="9"/>
  <c r="AA244" i="9" s="1"/>
  <c r="AG244" i="9" s="1"/>
  <c r="V244" i="9"/>
  <c r="R244" i="9"/>
  <c r="N244" i="9"/>
  <c r="Q244" i="9"/>
  <c r="W244" i="9"/>
  <c r="AD244" i="9" s="1"/>
  <c r="AB244" i="9"/>
  <c r="K245" i="9"/>
  <c r="P245" i="9"/>
  <c r="U245" i="9"/>
  <c r="AF245" i="9" s="1"/>
  <c r="O246" i="9"/>
  <c r="T246" i="9"/>
  <c r="AJ246" i="9"/>
  <c r="M247" i="9"/>
  <c r="S247" i="9"/>
  <c r="X247" i="9"/>
  <c r="AC247" i="9"/>
  <c r="AE247" i="9" s="1"/>
  <c r="AI247" i="9"/>
  <c r="AL248" i="9"/>
  <c r="AH248" i="9"/>
  <c r="Z248" i="9"/>
  <c r="AA248" i="9" s="1"/>
  <c r="AG248" i="9" s="1"/>
  <c r="V248" i="9"/>
  <c r="AB248" i="9" s="1"/>
  <c r="R248" i="9"/>
  <c r="N248" i="9"/>
  <c r="Q248" i="9"/>
  <c r="W248" i="9"/>
  <c r="AD248" i="9" s="1"/>
  <c r="K249" i="9"/>
  <c r="P249" i="9"/>
  <c r="U249" i="9"/>
  <c r="AF249" i="9" s="1"/>
  <c r="O250" i="9"/>
  <c r="T250" i="9"/>
  <c r="AJ250" i="9"/>
  <c r="M251" i="9"/>
  <c r="S251" i="9"/>
  <c r="X251" i="9"/>
  <c r="AC251" i="9"/>
  <c r="AE251" i="9" s="1"/>
  <c r="AI251" i="9"/>
  <c r="AL252" i="9"/>
  <c r="AH252" i="9"/>
  <c r="Z252" i="9"/>
  <c r="AA252" i="9" s="1"/>
  <c r="AG252" i="9" s="1"/>
  <c r="V252" i="9"/>
  <c r="R252" i="9"/>
  <c r="N252" i="9"/>
  <c r="Q252" i="9"/>
  <c r="W252" i="9"/>
  <c r="AD252" i="9" s="1"/>
  <c r="AB252" i="9"/>
  <c r="K253" i="9"/>
  <c r="P253" i="9"/>
  <c r="U253" i="9"/>
  <c r="AF253" i="9" s="1"/>
  <c r="O254" i="9"/>
  <c r="T254" i="9"/>
  <c r="AJ254" i="9"/>
  <c r="M255" i="9"/>
  <c r="S255" i="9"/>
  <c r="X255" i="9"/>
  <c r="AC255" i="9"/>
  <c r="AE255" i="9" s="1"/>
  <c r="AI255" i="9"/>
  <c r="AL256" i="9"/>
  <c r="AH256" i="9"/>
  <c r="Z256" i="9"/>
  <c r="AA256" i="9" s="1"/>
  <c r="AG256" i="9" s="1"/>
  <c r="V256" i="9"/>
  <c r="AB256" i="9" s="1"/>
  <c r="R256" i="9"/>
  <c r="N256" i="9"/>
  <c r="Q256" i="9"/>
  <c r="W256" i="9"/>
  <c r="AD256" i="9" s="1"/>
  <c r="K257" i="9"/>
  <c r="P257" i="9"/>
  <c r="U257" i="9"/>
  <c r="AF257" i="9" s="1"/>
  <c r="O258" i="9"/>
  <c r="T258" i="9"/>
  <c r="AJ258" i="9"/>
  <c r="M259" i="9"/>
  <c r="S259" i="9"/>
  <c r="X259" i="9"/>
  <c r="Y259" i="9" s="1"/>
  <c r="AC259" i="9"/>
  <c r="AE259" i="9" s="1"/>
  <c r="AI259" i="9"/>
  <c r="AL260" i="9"/>
  <c r="AH260" i="9"/>
  <c r="Z260" i="9"/>
  <c r="AA260" i="9" s="1"/>
  <c r="AG260" i="9" s="1"/>
  <c r="V260" i="9"/>
  <c r="R260" i="9"/>
  <c r="N260" i="9"/>
  <c r="Q260" i="9"/>
  <c r="W260" i="9"/>
  <c r="AD260" i="9" s="1"/>
  <c r="AB260" i="9"/>
  <c r="K261" i="9"/>
  <c r="P261" i="9"/>
  <c r="U261" i="9"/>
  <c r="AF261" i="9" s="1"/>
  <c r="O262" i="9"/>
  <c r="T262" i="9"/>
  <c r="AJ262" i="9"/>
  <c r="M263" i="9"/>
  <c r="S263" i="9"/>
  <c r="X263" i="9"/>
  <c r="AC263" i="9"/>
  <c r="AE263" i="9" s="1"/>
  <c r="AI263" i="9"/>
  <c r="AL264" i="9"/>
  <c r="AH264" i="9"/>
  <c r="Z264" i="9"/>
  <c r="AA264" i="9" s="1"/>
  <c r="AG264" i="9" s="1"/>
  <c r="V264" i="9"/>
  <c r="AB264" i="9" s="1"/>
  <c r="R264" i="9"/>
  <c r="N264" i="9"/>
  <c r="Q264" i="9"/>
  <c r="W264" i="9"/>
  <c r="AD264" i="9" s="1"/>
  <c r="K265" i="9"/>
  <c r="P265" i="9"/>
  <c r="U265" i="9"/>
  <c r="AF265" i="9" s="1"/>
  <c r="O266" i="9"/>
  <c r="T266" i="9"/>
  <c r="AJ266" i="9"/>
  <c r="M267" i="9"/>
  <c r="S267" i="9"/>
  <c r="X267" i="9"/>
  <c r="AC267" i="9"/>
  <c r="AE267" i="9" s="1"/>
  <c r="AI267" i="9"/>
  <c r="AL268" i="9"/>
  <c r="AH268" i="9"/>
  <c r="Z268" i="9"/>
  <c r="AA268" i="9" s="1"/>
  <c r="AG268" i="9" s="1"/>
  <c r="V268" i="9"/>
  <c r="R268" i="9"/>
  <c r="N268" i="9"/>
  <c r="Q268" i="9"/>
  <c r="W268" i="9"/>
  <c r="AD268" i="9" s="1"/>
  <c r="AB268" i="9"/>
  <c r="K269" i="9"/>
  <c r="P269" i="9"/>
  <c r="U269" i="9"/>
  <c r="AF269" i="9" s="1"/>
  <c r="O270" i="9"/>
  <c r="T270" i="9"/>
  <c r="AJ270" i="9"/>
  <c r="M271" i="9"/>
  <c r="S271" i="9"/>
  <c r="X271" i="9"/>
  <c r="AC271" i="9"/>
  <c r="AE271" i="9" s="1"/>
  <c r="AI271" i="9"/>
  <c r="AL272" i="9"/>
  <c r="AH272" i="9"/>
  <c r="Z272" i="9"/>
  <c r="AA272" i="9" s="1"/>
  <c r="AG272" i="9" s="1"/>
  <c r="V272" i="9"/>
  <c r="AB272" i="9" s="1"/>
  <c r="R272" i="9"/>
  <c r="N272" i="9"/>
  <c r="Q272" i="9"/>
  <c r="W272" i="9"/>
  <c r="AD272" i="9" s="1"/>
  <c r="K273" i="9"/>
  <c r="P273" i="9"/>
  <c r="U273" i="9"/>
  <c r="AF273" i="9" s="1"/>
  <c r="O274" i="9"/>
  <c r="T274" i="9"/>
  <c r="AJ274" i="9"/>
  <c r="M275" i="9"/>
  <c r="S275" i="9"/>
  <c r="X275" i="9"/>
  <c r="Y275" i="9" s="1"/>
  <c r="AC275" i="9"/>
  <c r="AE275" i="9" s="1"/>
  <c r="AI275" i="9"/>
  <c r="AL276" i="9"/>
  <c r="AH276" i="9"/>
  <c r="Z276" i="9"/>
  <c r="AA276" i="9" s="1"/>
  <c r="AG276" i="9" s="1"/>
  <c r="V276" i="9"/>
  <c r="R276" i="9"/>
  <c r="N276" i="9"/>
  <c r="Q276" i="9"/>
  <c r="W276" i="9"/>
  <c r="AD276" i="9" s="1"/>
  <c r="AB276" i="9"/>
  <c r="K277" i="9"/>
  <c r="P277" i="9"/>
  <c r="U277" i="9"/>
  <c r="AF277" i="9" s="1"/>
  <c r="O278" i="9"/>
  <c r="T278" i="9"/>
  <c r="AJ278" i="9"/>
  <c r="M279" i="9"/>
  <c r="S279" i="9"/>
  <c r="X279" i="9"/>
  <c r="AC279" i="9"/>
  <c r="AE279" i="9" s="1"/>
  <c r="AI279" i="9"/>
  <c r="AL280" i="9"/>
  <c r="AH280" i="9"/>
  <c r="Z280" i="9"/>
  <c r="AA280" i="9" s="1"/>
  <c r="AG280" i="9" s="1"/>
  <c r="V280" i="9"/>
  <c r="AB280" i="9" s="1"/>
  <c r="R280" i="9"/>
  <c r="N280" i="9"/>
  <c r="Q280" i="9"/>
  <c r="W280" i="9"/>
  <c r="AD280" i="9" s="1"/>
  <c r="K281" i="9"/>
  <c r="P281" i="9"/>
  <c r="U281" i="9"/>
  <c r="AF281" i="9" s="1"/>
  <c r="O282" i="9"/>
  <c r="T282" i="9"/>
  <c r="AJ282" i="9"/>
  <c r="M283" i="9"/>
  <c r="S283" i="9"/>
  <c r="X283" i="9"/>
  <c r="AC283" i="9"/>
  <c r="AE283" i="9" s="1"/>
  <c r="AI283" i="9"/>
  <c r="AL284" i="9"/>
  <c r="AH284" i="9"/>
  <c r="Z284" i="9"/>
  <c r="AA284" i="9" s="1"/>
  <c r="AG284" i="9" s="1"/>
  <c r="V284" i="9"/>
  <c r="R284" i="9"/>
  <c r="N284" i="9"/>
  <c r="Q284" i="9"/>
  <c r="W284" i="9"/>
  <c r="AD284" i="9" s="1"/>
  <c r="AB284" i="9"/>
  <c r="K285" i="9"/>
  <c r="P285" i="9"/>
  <c r="U285" i="9"/>
  <c r="AF285" i="9" s="1"/>
  <c r="O286" i="9"/>
  <c r="T286" i="9"/>
  <c r="AJ286" i="9"/>
  <c r="M287" i="9"/>
  <c r="S287" i="9"/>
  <c r="X287" i="9"/>
  <c r="AC287" i="9"/>
  <c r="AE287" i="9" s="1"/>
  <c r="AI287" i="9"/>
  <c r="AL288" i="9"/>
  <c r="AH288" i="9"/>
  <c r="Z288" i="9"/>
  <c r="AA288" i="9" s="1"/>
  <c r="AG288" i="9" s="1"/>
  <c r="V288" i="9"/>
  <c r="AB288" i="9" s="1"/>
  <c r="R288" i="9"/>
  <c r="N288" i="9"/>
  <c r="Q288" i="9"/>
  <c r="W288" i="9"/>
  <c r="AD288" i="9" s="1"/>
  <c r="K289" i="9"/>
  <c r="P289" i="9"/>
  <c r="U289" i="9"/>
  <c r="AF289" i="9" s="1"/>
  <c r="O290" i="9"/>
  <c r="T290" i="9"/>
  <c r="AJ290" i="9"/>
  <c r="M291" i="9"/>
  <c r="S291" i="9"/>
  <c r="X291" i="9"/>
  <c r="Y291" i="9" s="1"/>
  <c r="AC291" i="9"/>
  <c r="AE291" i="9" s="1"/>
  <c r="AI291" i="9"/>
  <c r="AL292" i="9"/>
  <c r="AH292" i="9"/>
  <c r="Z292" i="9"/>
  <c r="AA292" i="9" s="1"/>
  <c r="AG292" i="9" s="1"/>
  <c r="V292" i="9"/>
  <c r="R292" i="9"/>
  <c r="N292" i="9"/>
  <c r="Q292" i="9"/>
  <c r="W292" i="9"/>
  <c r="AD292" i="9" s="1"/>
  <c r="AB292" i="9"/>
  <c r="K293" i="9"/>
  <c r="P293" i="9"/>
  <c r="U293" i="9"/>
  <c r="AF293" i="9" s="1"/>
  <c r="O294" i="9"/>
  <c r="T294" i="9"/>
  <c r="AJ294" i="9"/>
  <c r="M295" i="9"/>
  <c r="S295" i="9"/>
  <c r="X295" i="9"/>
  <c r="AC295" i="9"/>
  <c r="AE295" i="9" s="1"/>
  <c r="AI295" i="9"/>
  <c r="AL296" i="9"/>
  <c r="AH296" i="9"/>
  <c r="Z296" i="9"/>
  <c r="AA296" i="9" s="1"/>
  <c r="AG296" i="9" s="1"/>
  <c r="V296" i="9"/>
  <c r="AB296" i="9" s="1"/>
  <c r="R296" i="9"/>
  <c r="N296" i="9"/>
  <c r="Q296" i="9"/>
  <c r="W296" i="9"/>
  <c r="AD296" i="9" s="1"/>
  <c r="K297" i="9"/>
  <c r="P297" i="9"/>
  <c r="U297" i="9"/>
  <c r="AF297" i="9" s="1"/>
  <c r="O298" i="9"/>
  <c r="T298" i="9"/>
  <c r="AJ298" i="9"/>
  <c r="M299" i="9"/>
  <c r="S299" i="9"/>
  <c r="X299" i="9"/>
  <c r="AC299" i="9"/>
  <c r="AE299" i="9" s="1"/>
  <c r="AI299" i="9"/>
  <c r="AL300" i="9"/>
  <c r="AH300" i="9"/>
  <c r="Z300" i="9"/>
  <c r="AA300" i="9" s="1"/>
  <c r="AG300" i="9" s="1"/>
  <c r="V300" i="9"/>
  <c r="R300" i="9"/>
  <c r="N300" i="9"/>
  <c r="Q300" i="9"/>
  <c r="W300" i="9"/>
  <c r="AD300" i="9" s="1"/>
  <c r="AB300" i="9"/>
  <c r="K301" i="9"/>
  <c r="P301" i="9"/>
  <c r="U301" i="9"/>
  <c r="AF301" i="9" s="1"/>
  <c r="O302" i="9"/>
  <c r="T302" i="9"/>
  <c r="AJ302" i="9"/>
  <c r="M303" i="9"/>
  <c r="S303" i="9"/>
  <c r="X303" i="9"/>
  <c r="AC303" i="9"/>
  <c r="AE303" i="9" s="1"/>
  <c r="AI303" i="9"/>
  <c r="AL304" i="9"/>
  <c r="AH304" i="9"/>
  <c r="Z304" i="9"/>
  <c r="AA304" i="9" s="1"/>
  <c r="AG304" i="9" s="1"/>
  <c r="V304" i="9"/>
  <c r="AB304" i="9" s="1"/>
  <c r="R304" i="9"/>
  <c r="N304" i="9"/>
  <c r="Q304" i="9"/>
  <c r="W304" i="9"/>
  <c r="AD304" i="9" s="1"/>
  <c r="K305" i="9"/>
  <c r="P305" i="9"/>
  <c r="U305" i="9"/>
  <c r="AF305" i="9" s="1"/>
  <c r="O306" i="9"/>
  <c r="T306" i="9"/>
  <c r="AJ306" i="9"/>
  <c r="M307" i="9"/>
  <c r="S307" i="9"/>
  <c r="X307" i="9"/>
  <c r="Y307" i="9" s="1"/>
  <c r="AC307" i="9"/>
  <c r="AE307" i="9" s="1"/>
  <c r="AI307" i="9"/>
  <c r="AL308" i="9"/>
  <c r="AH308" i="9"/>
  <c r="Z308" i="9"/>
  <c r="AA308" i="9" s="1"/>
  <c r="AG308" i="9" s="1"/>
  <c r="V308" i="9"/>
  <c r="R308" i="9"/>
  <c r="N308" i="9"/>
  <c r="Q308" i="9"/>
  <c r="W308" i="9"/>
  <c r="AD308" i="9" s="1"/>
  <c r="AB308" i="9"/>
  <c r="K309" i="9"/>
  <c r="P309" i="9"/>
  <c r="U309" i="9"/>
  <c r="AF309" i="9" s="1"/>
  <c r="O310" i="9"/>
  <c r="T310" i="9"/>
  <c r="AJ310" i="9"/>
  <c r="M311" i="9"/>
  <c r="S311" i="9"/>
  <c r="X311" i="9"/>
  <c r="AC311" i="9"/>
  <c r="AE311" i="9" s="1"/>
  <c r="AI311" i="9"/>
  <c r="AL312" i="9"/>
  <c r="AH312" i="9"/>
  <c r="Z312" i="9"/>
  <c r="AA312" i="9" s="1"/>
  <c r="AG312" i="9" s="1"/>
  <c r="V312" i="9"/>
  <c r="AB312" i="9" s="1"/>
  <c r="R312" i="9"/>
  <c r="N312" i="9"/>
  <c r="Q312" i="9"/>
  <c r="W312" i="9"/>
  <c r="AD312" i="9" s="1"/>
  <c r="K313" i="9"/>
  <c r="P313" i="9"/>
  <c r="U313" i="9"/>
  <c r="AF313" i="9" s="1"/>
  <c r="AA313" i="9"/>
  <c r="AG313" i="9" s="1"/>
  <c r="O314" i="9"/>
  <c r="T314" i="9"/>
  <c r="AJ314" i="9"/>
  <c r="M315" i="9"/>
  <c r="S315" i="9"/>
  <c r="X315" i="9"/>
  <c r="Y315" i="9" s="1"/>
  <c r="AC315" i="9"/>
  <c r="AE315" i="9" s="1"/>
  <c r="AI315" i="9"/>
  <c r="AL316" i="9"/>
  <c r="AH316" i="9"/>
  <c r="Z316" i="9"/>
  <c r="AA316" i="9" s="1"/>
  <c r="AG316" i="9" s="1"/>
  <c r="V316" i="9"/>
  <c r="R316" i="9"/>
  <c r="N316" i="9"/>
  <c r="Q316" i="9"/>
  <c r="W316" i="9"/>
  <c r="AD316" i="9" s="1"/>
  <c r="AB316" i="9"/>
  <c r="K317" i="9"/>
  <c r="P317" i="9"/>
  <c r="U317" i="9"/>
  <c r="AF317" i="9" s="1"/>
  <c r="O318" i="9"/>
  <c r="T318" i="9"/>
  <c r="AJ318" i="9"/>
  <c r="M319" i="9"/>
  <c r="S319" i="9"/>
  <c r="X319" i="9"/>
  <c r="AC319" i="9"/>
  <c r="AE319" i="9" s="1"/>
  <c r="AI319" i="9"/>
  <c r="AL320" i="9"/>
  <c r="AH320" i="9"/>
  <c r="Z320" i="9"/>
  <c r="AA320" i="9" s="1"/>
  <c r="AG320" i="9" s="1"/>
  <c r="V320" i="9"/>
  <c r="AB320" i="9" s="1"/>
  <c r="R320" i="9"/>
  <c r="N320" i="9"/>
  <c r="Q320" i="9"/>
  <c r="W320" i="9"/>
  <c r="AD320" i="9" s="1"/>
  <c r="K321" i="9"/>
  <c r="P321" i="9"/>
  <c r="U321" i="9"/>
  <c r="AF321" i="9" s="1"/>
  <c r="O322" i="9"/>
  <c r="T322" i="9"/>
  <c r="AJ322" i="9"/>
  <c r="M323" i="9"/>
  <c r="S323" i="9"/>
  <c r="X323" i="9"/>
  <c r="Y323" i="9" s="1"/>
  <c r="AC323" i="9"/>
  <c r="AE323" i="9" s="1"/>
  <c r="AI323" i="9"/>
  <c r="AL324" i="9"/>
  <c r="AH324" i="9"/>
  <c r="Z324" i="9"/>
  <c r="AA324" i="9" s="1"/>
  <c r="AG324" i="9" s="1"/>
  <c r="V324" i="9"/>
  <c r="R324" i="9"/>
  <c r="N324" i="9"/>
  <c r="Q324" i="9"/>
  <c r="W324" i="9"/>
  <c r="AD324" i="9" s="1"/>
  <c r="AB324" i="9"/>
  <c r="K325" i="9"/>
  <c r="P325" i="9"/>
  <c r="U325" i="9"/>
  <c r="AF325" i="9" s="1"/>
  <c r="O326" i="9"/>
  <c r="T326" i="9"/>
  <c r="AJ326" i="9"/>
  <c r="M327" i="9"/>
  <c r="S327" i="9"/>
  <c r="X327" i="9"/>
  <c r="AC327" i="9"/>
  <c r="AE327" i="9" s="1"/>
  <c r="AI327" i="9"/>
  <c r="AL328" i="9"/>
  <c r="AH328" i="9"/>
  <c r="Z328" i="9"/>
  <c r="AA328" i="9" s="1"/>
  <c r="AG328" i="9" s="1"/>
  <c r="V328" i="9"/>
  <c r="AB328" i="9" s="1"/>
  <c r="R328" i="9"/>
  <c r="N328" i="9"/>
  <c r="Q328" i="9"/>
  <c r="W328" i="9"/>
  <c r="AD328" i="9" s="1"/>
  <c r="K329" i="9"/>
  <c r="P329" i="9"/>
  <c r="U329" i="9"/>
  <c r="AF329" i="9" s="1"/>
  <c r="AA329" i="9"/>
  <c r="AG329" i="9" s="1"/>
  <c r="O330" i="9"/>
  <c r="T330" i="9"/>
  <c r="AJ330" i="9"/>
  <c r="M331" i="9"/>
  <c r="S331" i="9"/>
  <c r="AA331" i="9"/>
  <c r="AG331" i="9" s="1"/>
  <c r="AI331" i="9"/>
  <c r="O332" i="9"/>
  <c r="W332" i="9"/>
  <c r="AD332" i="9" s="1"/>
  <c r="K333" i="9"/>
  <c r="S333" i="9"/>
  <c r="O334" i="9"/>
  <c r="W334" i="9"/>
  <c r="AD334" i="9" s="1"/>
  <c r="K335" i="9"/>
  <c r="S335" i="9"/>
  <c r="O336" i="9"/>
  <c r="W336" i="9"/>
  <c r="AD336" i="9" s="1"/>
  <c r="K337" i="9"/>
  <c r="S337" i="9"/>
  <c r="AA337" i="9"/>
  <c r="AG337" i="9" s="1"/>
  <c r="O338" i="9"/>
  <c r="W338" i="9"/>
  <c r="AD338" i="9" s="1"/>
  <c r="K339" i="9"/>
  <c r="S339" i="9"/>
  <c r="O340" i="9"/>
  <c r="W340" i="9"/>
  <c r="AD340" i="9" s="1"/>
  <c r="K341" i="9"/>
  <c r="S341" i="9"/>
  <c r="O342" i="9"/>
  <c r="W342" i="9"/>
  <c r="AD342" i="9" s="1"/>
  <c r="K343" i="9"/>
  <c r="S343" i="9"/>
  <c r="O344" i="9"/>
  <c r="W344" i="9"/>
  <c r="AD344" i="9" s="1"/>
  <c r="K345" i="9"/>
  <c r="S345" i="9"/>
  <c r="AA345" i="9"/>
  <c r="AG345" i="9" s="1"/>
  <c r="O346" i="9"/>
  <c r="W346" i="9"/>
  <c r="AD346" i="9" s="1"/>
  <c r="K347" i="9"/>
  <c r="S347" i="9"/>
  <c r="O348" i="9"/>
  <c r="W348" i="9"/>
  <c r="AD348" i="9" s="1"/>
  <c r="K349" i="9"/>
  <c r="S349" i="9"/>
  <c r="O350" i="9"/>
  <c r="W350" i="9"/>
  <c r="AD350" i="9" s="1"/>
  <c r="K351" i="9"/>
  <c r="S351" i="9"/>
  <c r="O352" i="9"/>
  <c r="W352" i="9"/>
  <c r="AD352" i="9" s="1"/>
  <c r="K353" i="9"/>
  <c r="S353" i="9"/>
  <c r="AA353" i="9"/>
  <c r="AG353" i="9" s="1"/>
  <c r="O354" i="9"/>
  <c r="W354" i="9"/>
  <c r="AD354" i="9" s="1"/>
  <c r="K355" i="9"/>
  <c r="S355" i="9"/>
  <c r="O356" i="9"/>
  <c r="W356" i="9"/>
  <c r="AD356" i="9" s="1"/>
  <c r="AK357" i="9"/>
  <c r="AC357" i="9"/>
  <c r="AE357" i="9" s="1"/>
  <c r="U357" i="9"/>
  <c r="AF357" i="9" s="1"/>
  <c r="Q357" i="9"/>
  <c r="M357" i="9"/>
  <c r="AL357" i="9"/>
  <c r="V357" i="9"/>
  <c r="AB357" i="9" s="1"/>
  <c r="P357" i="9"/>
  <c r="K357" i="9"/>
  <c r="AJ357" i="9"/>
  <c r="Z357" i="9"/>
  <c r="AA357" i="9" s="1"/>
  <c r="AG357" i="9" s="1"/>
  <c r="T357" i="9"/>
  <c r="O357" i="9"/>
  <c r="W357" i="9"/>
  <c r="AD357" i="9" s="1"/>
  <c r="AH357" i="9"/>
  <c r="P358" i="9"/>
  <c r="AL358" i="9"/>
  <c r="AK361" i="9"/>
  <c r="AC361" i="9"/>
  <c r="AE361" i="9" s="1"/>
  <c r="U361" i="9"/>
  <c r="AF361" i="9" s="1"/>
  <c r="Q361" i="9"/>
  <c r="M361" i="9"/>
  <c r="AL361" i="9"/>
  <c r="V361" i="9"/>
  <c r="AB361" i="9" s="1"/>
  <c r="P361" i="9"/>
  <c r="K361" i="9"/>
  <c r="AJ361" i="9"/>
  <c r="Z361" i="9"/>
  <c r="AA361" i="9" s="1"/>
  <c r="AG361" i="9" s="1"/>
  <c r="T361" i="9"/>
  <c r="O361" i="9"/>
  <c r="W361" i="9"/>
  <c r="AD361" i="9" s="1"/>
  <c r="AH361" i="9"/>
  <c r="P362" i="9"/>
  <c r="AL362" i="9"/>
  <c r="AK365" i="9"/>
  <c r="AC365" i="9"/>
  <c r="AE365" i="9" s="1"/>
  <c r="U365" i="9"/>
  <c r="AF365" i="9" s="1"/>
  <c r="Q365" i="9"/>
  <c r="M365" i="9"/>
  <c r="AL365" i="9"/>
  <c r="V365" i="9"/>
  <c r="AB365" i="9" s="1"/>
  <c r="P365" i="9"/>
  <c r="K365" i="9"/>
  <c r="AJ365" i="9"/>
  <c r="Z365" i="9"/>
  <c r="AA365" i="9" s="1"/>
  <c r="AG365" i="9" s="1"/>
  <c r="T365" i="9"/>
  <c r="O365" i="9"/>
  <c r="W365" i="9"/>
  <c r="AD365" i="9" s="1"/>
  <c r="AH365" i="9"/>
  <c r="P366" i="9"/>
  <c r="AL366" i="9"/>
  <c r="AK369" i="9"/>
  <c r="AC369" i="9"/>
  <c r="AE369" i="9" s="1"/>
  <c r="U369" i="9"/>
  <c r="AF369" i="9" s="1"/>
  <c r="Q369" i="9"/>
  <c r="M369" i="9"/>
  <c r="AL369" i="9"/>
  <c r="V369" i="9"/>
  <c r="AB369" i="9" s="1"/>
  <c r="P369" i="9"/>
  <c r="K369" i="9"/>
  <c r="AJ369" i="9"/>
  <c r="Z369" i="9"/>
  <c r="AA369" i="9" s="1"/>
  <c r="AG369" i="9" s="1"/>
  <c r="T369" i="9"/>
  <c r="O369" i="9"/>
  <c r="W369" i="9"/>
  <c r="AD369" i="9" s="1"/>
  <c r="AH369" i="9"/>
  <c r="P370" i="9"/>
  <c r="AL370" i="9"/>
  <c r="AK373" i="9"/>
  <c r="AC373" i="9"/>
  <c r="AE373" i="9" s="1"/>
  <c r="U373" i="9"/>
  <c r="AF373" i="9" s="1"/>
  <c r="Q373" i="9"/>
  <c r="M373" i="9"/>
  <c r="AL373" i="9"/>
  <c r="V373" i="9"/>
  <c r="AB373" i="9" s="1"/>
  <c r="P373" i="9"/>
  <c r="K373" i="9"/>
  <c r="AJ373" i="9"/>
  <c r="Z373" i="9"/>
  <c r="AA373" i="9" s="1"/>
  <c r="AG373" i="9" s="1"/>
  <c r="T373" i="9"/>
  <c r="O373" i="9"/>
  <c r="W373" i="9"/>
  <c r="AD373" i="9" s="1"/>
  <c r="AH373" i="9"/>
  <c r="P374" i="9"/>
  <c r="AL374" i="9"/>
  <c r="AK377" i="9"/>
  <c r="AC377" i="9"/>
  <c r="AE377" i="9" s="1"/>
  <c r="U377" i="9"/>
  <c r="AF377" i="9" s="1"/>
  <c r="Q377" i="9"/>
  <c r="M377" i="9"/>
  <c r="AL377" i="9"/>
  <c r="V377" i="9"/>
  <c r="AB377" i="9" s="1"/>
  <c r="P377" i="9"/>
  <c r="K377" i="9"/>
  <c r="AJ377" i="9"/>
  <c r="Z377" i="9"/>
  <c r="AA377" i="9" s="1"/>
  <c r="AG377" i="9" s="1"/>
  <c r="T377" i="9"/>
  <c r="O377" i="9"/>
  <c r="W377" i="9"/>
  <c r="AD377" i="9" s="1"/>
  <c r="AH377" i="9"/>
  <c r="P378" i="9"/>
  <c r="AL378" i="9"/>
  <c r="AK381" i="9"/>
  <c r="AC381" i="9"/>
  <c r="AE381" i="9" s="1"/>
  <c r="U381" i="9"/>
  <c r="AF381" i="9" s="1"/>
  <c r="Q381" i="9"/>
  <c r="M381" i="9"/>
  <c r="AL381" i="9"/>
  <c r="V381" i="9"/>
  <c r="AB381" i="9" s="1"/>
  <c r="P381" i="9"/>
  <c r="K381" i="9"/>
  <c r="AJ381" i="9"/>
  <c r="Z381" i="9"/>
  <c r="AA381" i="9" s="1"/>
  <c r="AG381" i="9" s="1"/>
  <c r="T381" i="9"/>
  <c r="O381" i="9"/>
  <c r="W381" i="9"/>
  <c r="AD381" i="9" s="1"/>
  <c r="AH381" i="9"/>
  <c r="P382" i="9"/>
  <c r="AL382" i="9"/>
  <c r="AK385" i="9"/>
  <c r="AC385" i="9"/>
  <c r="AE385" i="9" s="1"/>
  <c r="U385" i="9"/>
  <c r="AF385" i="9" s="1"/>
  <c r="Q385" i="9"/>
  <c r="M385" i="9"/>
  <c r="AL385" i="9"/>
  <c r="V385" i="9"/>
  <c r="AB385" i="9" s="1"/>
  <c r="P385" i="9"/>
  <c r="K385" i="9"/>
  <c r="AJ385" i="9"/>
  <c r="Z385" i="9"/>
  <c r="AA385" i="9" s="1"/>
  <c r="AG385" i="9" s="1"/>
  <c r="T385" i="9"/>
  <c r="O385" i="9"/>
  <c r="W385" i="9"/>
  <c r="AD385" i="9" s="1"/>
  <c r="AH385" i="9"/>
  <c r="P386" i="9"/>
  <c r="AL386" i="9"/>
  <c r="AK389" i="9"/>
  <c r="AC389" i="9"/>
  <c r="AE389" i="9" s="1"/>
  <c r="U389" i="9"/>
  <c r="AF389" i="9" s="1"/>
  <c r="Q389" i="9"/>
  <c r="M389" i="9"/>
  <c r="AL389" i="9"/>
  <c r="V389" i="9"/>
  <c r="AB389" i="9" s="1"/>
  <c r="P389" i="9"/>
  <c r="K389" i="9"/>
  <c r="AJ389" i="9"/>
  <c r="Z389" i="9"/>
  <c r="AA389" i="9" s="1"/>
  <c r="AG389" i="9" s="1"/>
  <c r="T389" i="9"/>
  <c r="O389" i="9"/>
  <c r="W389" i="9"/>
  <c r="AD389" i="9" s="1"/>
  <c r="AH389" i="9"/>
  <c r="P390" i="9"/>
  <c r="AL390" i="9"/>
  <c r="AK393" i="9"/>
  <c r="AC393" i="9"/>
  <c r="AE393" i="9" s="1"/>
  <c r="U393" i="9"/>
  <c r="AF393" i="9" s="1"/>
  <c r="Q393" i="9"/>
  <c r="M393" i="9"/>
  <c r="AL393" i="9"/>
  <c r="V393" i="9"/>
  <c r="AB393" i="9" s="1"/>
  <c r="P393" i="9"/>
  <c r="K393" i="9"/>
  <c r="AJ393" i="9"/>
  <c r="Z393" i="9"/>
  <c r="AA393" i="9" s="1"/>
  <c r="AG393" i="9" s="1"/>
  <c r="T393" i="9"/>
  <c r="O393" i="9"/>
  <c r="W393" i="9"/>
  <c r="AD393" i="9" s="1"/>
  <c r="AH393" i="9"/>
  <c r="P394" i="9"/>
  <c r="AL394" i="9"/>
  <c r="AK397" i="9"/>
  <c r="AC397" i="9"/>
  <c r="AE397" i="9" s="1"/>
  <c r="U397" i="9"/>
  <c r="AF397" i="9" s="1"/>
  <c r="Q397" i="9"/>
  <c r="M397" i="9"/>
  <c r="AL397" i="9"/>
  <c r="V397" i="9"/>
  <c r="AB397" i="9" s="1"/>
  <c r="P397" i="9"/>
  <c r="K397" i="9"/>
  <c r="AJ397" i="9"/>
  <c r="Z397" i="9"/>
  <c r="AA397" i="9" s="1"/>
  <c r="AG397" i="9" s="1"/>
  <c r="T397" i="9"/>
  <c r="O397" i="9"/>
  <c r="W397" i="9"/>
  <c r="AD397" i="9" s="1"/>
  <c r="AH397" i="9"/>
  <c r="P398" i="9"/>
  <c r="AL398" i="9"/>
  <c r="AK401" i="9"/>
  <c r="AC401" i="9"/>
  <c r="AE401" i="9" s="1"/>
  <c r="U401" i="9"/>
  <c r="AF401" i="9" s="1"/>
  <c r="Q401" i="9"/>
  <c r="M401" i="9"/>
  <c r="AL401" i="9"/>
  <c r="V401" i="9"/>
  <c r="AB401" i="9" s="1"/>
  <c r="P401" i="9"/>
  <c r="K401" i="9"/>
  <c r="AJ401" i="9"/>
  <c r="Z401" i="9"/>
  <c r="AA401" i="9" s="1"/>
  <c r="AG401" i="9" s="1"/>
  <c r="T401" i="9"/>
  <c r="O401" i="9"/>
  <c r="W401" i="9"/>
  <c r="AD401" i="9" s="1"/>
  <c r="AH401" i="9"/>
  <c r="P402" i="9"/>
  <c r="AL402" i="9"/>
  <c r="AK405" i="9"/>
  <c r="AC405" i="9"/>
  <c r="AE405" i="9" s="1"/>
  <c r="U405" i="9"/>
  <c r="AF405" i="9" s="1"/>
  <c r="Q405" i="9"/>
  <c r="M405" i="9"/>
  <c r="AL405" i="9"/>
  <c r="V405" i="9"/>
  <c r="AB405" i="9" s="1"/>
  <c r="P405" i="9"/>
  <c r="K405" i="9"/>
  <c r="AJ405" i="9"/>
  <c r="Z405" i="9"/>
  <c r="AA405" i="9" s="1"/>
  <c r="AG405" i="9" s="1"/>
  <c r="T405" i="9"/>
  <c r="O405" i="9"/>
  <c r="W405" i="9"/>
  <c r="AD405" i="9" s="1"/>
  <c r="AH405" i="9"/>
  <c r="P406" i="9"/>
  <c r="AL406" i="9"/>
  <c r="AK409" i="9"/>
  <c r="AC409" i="9"/>
  <c r="AE409" i="9" s="1"/>
  <c r="U409" i="9"/>
  <c r="AF409" i="9" s="1"/>
  <c r="Q409" i="9"/>
  <c r="M409" i="9"/>
  <c r="AL409" i="9"/>
  <c r="V409" i="9"/>
  <c r="AB409" i="9" s="1"/>
  <c r="P409" i="9"/>
  <c r="K409" i="9"/>
  <c r="AJ409" i="9"/>
  <c r="Z409" i="9"/>
  <c r="AA409" i="9" s="1"/>
  <c r="AG409" i="9" s="1"/>
  <c r="T409" i="9"/>
  <c r="O409" i="9"/>
  <c r="W409" i="9"/>
  <c r="AD409" i="9" s="1"/>
  <c r="AH409" i="9"/>
  <c r="P410" i="9"/>
  <c r="AL410" i="9"/>
  <c r="AK413" i="9"/>
  <c r="AC413" i="9"/>
  <c r="AE413" i="9" s="1"/>
  <c r="U413" i="9"/>
  <c r="AF413" i="9" s="1"/>
  <c r="Q413" i="9"/>
  <c r="M413" i="9"/>
  <c r="AL413" i="9"/>
  <c r="V413" i="9"/>
  <c r="AB413" i="9" s="1"/>
  <c r="P413" i="9"/>
  <c r="K413" i="9"/>
  <c r="AJ413" i="9"/>
  <c r="Z413" i="9"/>
  <c r="AA413" i="9" s="1"/>
  <c r="AG413" i="9" s="1"/>
  <c r="T413" i="9"/>
  <c r="O413" i="9"/>
  <c r="W413" i="9"/>
  <c r="AD413" i="9" s="1"/>
  <c r="AH413" i="9"/>
  <c r="P414" i="9"/>
  <c r="AL414" i="9"/>
  <c r="AK417" i="9"/>
  <c r="AC417" i="9"/>
  <c r="AE417" i="9" s="1"/>
  <c r="U417" i="9"/>
  <c r="AF417" i="9" s="1"/>
  <c r="Q417" i="9"/>
  <c r="M417" i="9"/>
  <c r="AL417" i="9"/>
  <c r="V417" i="9"/>
  <c r="AB417" i="9" s="1"/>
  <c r="P417" i="9"/>
  <c r="K417" i="9"/>
  <c r="AJ417" i="9"/>
  <c r="Z417" i="9"/>
  <c r="AA417" i="9" s="1"/>
  <c r="AG417" i="9" s="1"/>
  <c r="T417" i="9"/>
  <c r="O417" i="9"/>
  <c r="W417" i="9"/>
  <c r="AD417" i="9" s="1"/>
  <c r="AH417" i="9"/>
  <c r="P418" i="9"/>
  <c r="AL418" i="9"/>
  <c r="AK421" i="9"/>
  <c r="AC421" i="9"/>
  <c r="AE421" i="9" s="1"/>
  <c r="U421" i="9"/>
  <c r="AF421" i="9" s="1"/>
  <c r="Q421" i="9"/>
  <c r="M421" i="9"/>
  <c r="AL421" i="9"/>
  <c r="V421" i="9"/>
  <c r="AB421" i="9" s="1"/>
  <c r="P421" i="9"/>
  <c r="K421" i="9"/>
  <c r="AJ421" i="9"/>
  <c r="Z421" i="9"/>
  <c r="AA421" i="9" s="1"/>
  <c r="AG421" i="9" s="1"/>
  <c r="T421" i="9"/>
  <c r="O421" i="9"/>
  <c r="W421" i="9"/>
  <c r="AD421" i="9" s="1"/>
  <c r="AH421" i="9"/>
  <c r="P422" i="9"/>
  <c r="AL422" i="9"/>
  <c r="AK425" i="9"/>
  <c r="AC425" i="9"/>
  <c r="AE425" i="9" s="1"/>
  <c r="U425" i="9"/>
  <c r="AF425" i="9" s="1"/>
  <c r="Q425" i="9"/>
  <c r="M425" i="9"/>
  <c r="AL425" i="9"/>
  <c r="V425" i="9"/>
  <c r="AB425" i="9" s="1"/>
  <c r="P425" i="9"/>
  <c r="K425" i="9"/>
  <c r="AJ425" i="9"/>
  <c r="Z425" i="9"/>
  <c r="AA425" i="9" s="1"/>
  <c r="AG425" i="9" s="1"/>
  <c r="T425" i="9"/>
  <c r="O425" i="9"/>
  <c r="W425" i="9"/>
  <c r="AD425" i="9" s="1"/>
  <c r="AH425" i="9"/>
  <c r="P426" i="9"/>
  <c r="AL426" i="9"/>
  <c r="AK429" i="9"/>
  <c r="AC429" i="9"/>
  <c r="AE429" i="9" s="1"/>
  <c r="U429" i="9"/>
  <c r="AF429" i="9" s="1"/>
  <c r="Q429" i="9"/>
  <c r="M429" i="9"/>
  <c r="AL429" i="9"/>
  <c r="V429" i="9"/>
  <c r="AB429" i="9" s="1"/>
  <c r="P429" i="9"/>
  <c r="K429" i="9"/>
  <c r="AJ429" i="9"/>
  <c r="Z429" i="9"/>
  <c r="AA429" i="9" s="1"/>
  <c r="AG429" i="9" s="1"/>
  <c r="T429" i="9"/>
  <c r="O429" i="9"/>
  <c r="W429" i="9"/>
  <c r="AD429" i="9" s="1"/>
  <c r="AH429" i="9"/>
  <c r="P430" i="9"/>
  <c r="AL430" i="9"/>
  <c r="AK433" i="9"/>
  <c r="AC433" i="9"/>
  <c r="AE433" i="9" s="1"/>
  <c r="U433" i="9"/>
  <c r="AF433" i="9" s="1"/>
  <c r="Q433" i="9"/>
  <c r="M433" i="9"/>
  <c r="AL433" i="9"/>
  <c r="V433" i="9"/>
  <c r="AB433" i="9" s="1"/>
  <c r="P433" i="9"/>
  <c r="K433" i="9"/>
  <c r="AJ433" i="9"/>
  <c r="Z433" i="9"/>
  <c r="AA433" i="9" s="1"/>
  <c r="AG433" i="9" s="1"/>
  <c r="T433" i="9"/>
  <c r="O433" i="9"/>
  <c r="W433" i="9"/>
  <c r="AD433" i="9" s="1"/>
  <c r="AH433" i="9"/>
  <c r="P434" i="9"/>
  <c r="AL434" i="9"/>
  <c r="AK437" i="9"/>
  <c r="AC437" i="9"/>
  <c r="AE437" i="9" s="1"/>
  <c r="U437" i="9"/>
  <c r="AF437" i="9" s="1"/>
  <c r="Q437" i="9"/>
  <c r="M437" i="9"/>
  <c r="AL437" i="9"/>
  <c r="V437" i="9"/>
  <c r="AB437" i="9" s="1"/>
  <c r="P437" i="9"/>
  <c r="K437" i="9"/>
  <c r="AJ437" i="9"/>
  <c r="Z437" i="9"/>
  <c r="AA437" i="9" s="1"/>
  <c r="AG437" i="9" s="1"/>
  <c r="T437" i="9"/>
  <c r="O437" i="9"/>
  <c r="W437" i="9"/>
  <c r="AD437" i="9" s="1"/>
  <c r="AH437" i="9"/>
  <c r="P438" i="9"/>
  <c r="AL438" i="9"/>
  <c r="AK441" i="9"/>
  <c r="AC441" i="9"/>
  <c r="AE441" i="9" s="1"/>
  <c r="U441" i="9"/>
  <c r="AF441" i="9" s="1"/>
  <c r="Q441" i="9"/>
  <c r="M441" i="9"/>
  <c r="AL441" i="9"/>
  <c r="V441" i="9"/>
  <c r="AB441" i="9" s="1"/>
  <c r="P441" i="9"/>
  <c r="K441" i="9"/>
  <c r="AJ441" i="9"/>
  <c r="Z441" i="9"/>
  <c r="AA441" i="9" s="1"/>
  <c r="AG441" i="9" s="1"/>
  <c r="T441" i="9"/>
  <c r="O441" i="9"/>
  <c r="W441" i="9"/>
  <c r="AD441" i="9" s="1"/>
  <c r="AH441" i="9"/>
  <c r="P442" i="9"/>
  <c r="AL442" i="9"/>
  <c r="AK445" i="9"/>
  <c r="AC445" i="9"/>
  <c r="AE445" i="9" s="1"/>
  <c r="U445" i="9"/>
  <c r="AF445" i="9" s="1"/>
  <c r="Q445" i="9"/>
  <c r="M445" i="9"/>
  <c r="AL445" i="9"/>
  <c r="V445" i="9"/>
  <c r="AB445" i="9" s="1"/>
  <c r="P445" i="9"/>
  <c r="K445" i="9"/>
  <c r="AJ445" i="9"/>
  <c r="Z445" i="9"/>
  <c r="AA445" i="9" s="1"/>
  <c r="AG445" i="9" s="1"/>
  <c r="T445" i="9"/>
  <c r="O445" i="9"/>
  <c r="W445" i="9"/>
  <c r="AD445" i="9" s="1"/>
  <c r="AH445" i="9"/>
  <c r="P446" i="9"/>
  <c r="AL446" i="9"/>
  <c r="AK449" i="9"/>
  <c r="AC449" i="9"/>
  <c r="AE449" i="9" s="1"/>
  <c r="U449" i="9"/>
  <c r="AF449" i="9" s="1"/>
  <c r="Q449" i="9"/>
  <c r="M449" i="9"/>
  <c r="AL449" i="9"/>
  <c r="V449" i="9"/>
  <c r="AB449" i="9" s="1"/>
  <c r="P449" i="9"/>
  <c r="K449" i="9"/>
  <c r="AJ449" i="9"/>
  <c r="Z449" i="9"/>
  <c r="AA449" i="9" s="1"/>
  <c r="AG449" i="9" s="1"/>
  <c r="T449" i="9"/>
  <c r="O449" i="9"/>
  <c r="W449" i="9"/>
  <c r="AD449" i="9" s="1"/>
  <c r="AH449" i="9"/>
  <c r="P450" i="9"/>
  <c r="AL450" i="9"/>
  <c r="AK453" i="9"/>
  <c r="AC453" i="9"/>
  <c r="AE453" i="9" s="1"/>
  <c r="U453" i="9"/>
  <c r="AF453" i="9" s="1"/>
  <c r="Q453" i="9"/>
  <c r="M453" i="9"/>
  <c r="AL453" i="9"/>
  <c r="V453" i="9"/>
  <c r="AB453" i="9" s="1"/>
  <c r="P453" i="9"/>
  <c r="K453" i="9"/>
  <c r="AJ453" i="9"/>
  <c r="Z453" i="9"/>
  <c r="AA453" i="9" s="1"/>
  <c r="AG453" i="9" s="1"/>
  <c r="T453" i="9"/>
  <c r="O453" i="9"/>
  <c r="W453" i="9"/>
  <c r="AD453" i="9" s="1"/>
  <c r="AH453" i="9"/>
  <c r="P454" i="9"/>
  <c r="AL454" i="9"/>
  <c r="AK457" i="9"/>
  <c r="AC457" i="9"/>
  <c r="AE457" i="9" s="1"/>
  <c r="U457" i="9"/>
  <c r="AF457" i="9" s="1"/>
  <c r="Q457" i="9"/>
  <c r="M457" i="9"/>
  <c r="AL457" i="9"/>
  <c r="V457" i="9"/>
  <c r="AB457" i="9" s="1"/>
  <c r="P457" i="9"/>
  <c r="K457" i="9"/>
  <c r="AJ457" i="9"/>
  <c r="Z457" i="9"/>
  <c r="AA457" i="9" s="1"/>
  <c r="AG457" i="9" s="1"/>
  <c r="T457" i="9"/>
  <c r="O457" i="9"/>
  <c r="W457" i="9"/>
  <c r="AD457" i="9" s="1"/>
  <c r="AH457" i="9"/>
  <c r="P458" i="9"/>
  <c r="AL458" i="9"/>
  <c r="W3" i="10"/>
  <c r="AD3" i="10" s="1"/>
  <c r="P2" i="9"/>
  <c r="T2" i="9"/>
  <c r="X2" i="9"/>
  <c r="Y2" i="9" s="1"/>
  <c r="AB2" i="9"/>
  <c r="M5" i="9"/>
  <c r="Q5" i="9"/>
  <c r="U5" i="9"/>
  <c r="AF5" i="9" s="1"/>
  <c r="Y5" i="9"/>
  <c r="AC5" i="9"/>
  <c r="AE5" i="9" s="1"/>
  <c r="P6" i="9"/>
  <c r="T6" i="9"/>
  <c r="X6" i="9"/>
  <c r="Y6" i="9" s="1"/>
  <c r="AB6" i="9"/>
  <c r="M9" i="9"/>
  <c r="Q9" i="9"/>
  <c r="U9" i="9"/>
  <c r="AF9" i="9" s="1"/>
  <c r="AC9" i="9"/>
  <c r="AE9" i="9" s="1"/>
  <c r="M10" i="9"/>
  <c r="Q10" i="9"/>
  <c r="U10" i="9"/>
  <c r="AF10" i="9" s="1"/>
  <c r="Y10" i="9"/>
  <c r="AC10" i="9"/>
  <c r="AE10" i="9" s="1"/>
  <c r="M11" i="9"/>
  <c r="Q11" i="9"/>
  <c r="U11" i="9"/>
  <c r="AF11" i="9" s="1"/>
  <c r="Y11" i="9"/>
  <c r="AC11" i="9"/>
  <c r="AE11" i="9" s="1"/>
  <c r="M12" i="9"/>
  <c r="Q12" i="9"/>
  <c r="U12" i="9"/>
  <c r="AF12" i="9" s="1"/>
  <c r="AC12" i="9"/>
  <c r="AE12" i="9" s="1"/>
  <c r="M13" i="9"/>
  <c r="Q13" i="9"/>
  <c r="U13" i="9"/>
  <c r="AF13" i="9" s="1"/>
  <c r="AC13" i="9"/>
  <c r="AE13" i="9" s="1"/>
  <c r="M14" i="9"/>
  <c r="Q14" i="9"/>
  <c r="U14" i="9"/>
  <c r="AF14" i="9" s="1"/>
  <c r="Y14" i="9"/>
  <c r="AC14" i="9"/>
  <c r="AE14" i="9" s="1"/>
  <c r="M15" i="9"/>
  <c r="Q15" i="9"/>
  <c r="U15" i="9"/>
  <c r="AF15" i="9" s="1"/>
  <c r="Y15" i="9"/>
  <c r="AC15" i="9"/>
  <c r="AE15" i="9" s="1"/>
  <c r="M16" i="9"/>
  <c r="Q16" i="9"/>
  <c r="U16" i="9"/>
  <c r="AF16" i="9" s="1"/>
  <c r="Y16" i="9"/>
  <c r="AC16" i="9"/>
  <c r="AE16" i="9" s="1"/>
  <c r="AI16" i="9"/>
  <c r="AL17" i="9"/>
  <c r="AH17" i="9"/>
  <c r="Z17" i="9"/>
  <c r="AA17" i="9" s="1"/>
  <c r="AG17" i="9" s="1"/>
  <c r="V17" i="9"/>
  <c r="AB17" i="9" s="1"/>
  <c r="R17" i="9"/>
  <c r="N17" i="9"/>
  <c r="Q17" i="9"/>
  <c r="W17" i="9"/>
  <c r="AD17" i="9" s="1"/>
  <c r="M20" i="9"/>
  <c r="S20" i="9"/>
  <c r="X20" i="9"/>
  <c r="Y20" i="9" s="1"/>
  <c r="AC20" i="9"/>
  <c r="AE20" i="9" s="1"/>
  <c r="AI20" i="9"/>
  <c r="AL21" i="9"/>
  <c r="AH21" i="9"/>
  <c r="Z21" i="9"/>
  <c r="V21" i="9"/>
  <c r="R21" i="9"/>
  <c r="N21" i="9"/>
  <c r="Q21" i="9"/>
  <c r="W21" i="9"/>
  <c r="AD21" i="9" s="1"/>
  <c r="AB21" i="9"/>
  <c r="M24" i="9"/>
  <c r="S24" i="9"/>
  <c r="X24" i="9"/>
  <c r="Y24" i="9" s="1"/>
  <c r="AC24" i="9"/>
  <c r="AE24" i="9" s="1"/>
  <c r="AI24" i="9"/>
  <c r="AL25" i="9"/>
  <c r="AH25" i="9"/>
  <c r="Z25" i="9"/>
  <c r="AA25" i="9" s="1"/>
  <c r="AG25" i="9" s="1"/>
  <c r="V25" i="9"/>
  <c r="AB25" i="9" s="1"/>
  <c r="R25" i="9"/>
  <c r="N25" i="9"/>
  <c r="Q25" i="9"/>
  <c r="W25" i="9"/>
  <c r="AD25" i="9" s="1"/>
  <c r="M28" i="9"/>
  <c r="S28" i="9"/>
  <c r="X28" i="9"/>
  <c r="Y28" i="9" s="1"/>
  <c r="AC28" i="9"/>
  <c r="AE28" i="9" s="1"/>
  <c r="AI28" i="9"/>
  <c r="AL29" i="9"/>
  <c r="AH29" i="9"/>
  <c r="Z29" i="9"/>
  <c r="AA29" i="9" s="1"/>
  <c r="AG29" i="9" s="1"/>
  <c r="V29" i="9"/>
  <c r="R29" i="9"/>
  <c r="N29" i="9"/>
  <c r="Q29" i="9"/>
  <c r="W29" i="9"/>
  <c r="AD29" i="9" s="1"/>
  <c r="AB29" i="9"/>
  <c r="M32" i="9"/>
  <c r="S32" i="9"/>
  <c r="X32" i="9"/>
  <c r="Y32" i="9" s="1"/>
  <c r="AC32" i="9"/>
  <c r="AE32" i="9" s="1"/>
  <c r="AI32" i="9"/>
  <c r="AL33" i="9"/>
  <c r="AH33" i="9"/>
  <c r="Z33" i="9"/>
  <c r="AA33" i="9" s="1"/>
  <c r="AG33" i="9" s="1"/>
  <c r="V33" i="9"/>
  <c r="AB33" i="9" s="1"/>
  <c r="R33" i="9"/>
  <c r="N33" i="9"/>
  <c r="Q33" i="9"/>
  <c r="W33" i="9"/>
  <c r="AD33" i="9" s="1"/>
  <c r="M36" i="9"/>
  <c r="S36" i="9"/>
  <c r="X36" i="9"/>
  <c r="Y36" i="9" s="1"/>
  <c r="AC36" i="9"/>
  <c r="AE36" i="9" s="1"/>
  <c r="AI36" i="9"/>
  <c r="AL37" i="9"/>
  <c r="AH37" i="9"/>
  <c r="Z37" i="9"/>
  <c r="V37" i="9"/>
  <c r="R37" i="9"/>
  <c r="N37" i="9"/>
  <c r="Q37" i="9"/>
  <c r="W37" i="9"/>
  <c r="AD37" i="9" s="1"/>
  <c r="AB37" i="9"/>
  <c r="M40" i="9"/>
  <c r="S40" i="9"/>
  <c r="X40" i="9"/>
  <c r="Y40" i="9" s="1"/>
  <c r="AC40" i="9"/>
  <c r="AE40" i="9" s="1"/>
  <c r="AI40" i="9"/>
  <c r="AL41" i="9"/>
  <c r="AH41" i="9"/>
  <c r="Z41" i="9"/>
  <c r="AA41" i="9" s="1"/>
  <c r="AG41" i="9" s="1"/>
  <c r="V41" i="9"/>
  <c r="AB41" i="9" s="1"/>
  <c r="R41" i="9"/>
  <c r="N41" i="9"/>
  <c r="Q41" i="9"/>
  <c r="W41" i="9"/>
  <c r="AD41" i="9" s="1"/>
  <c r="M44" i="9"/>
  <c r="S44" i="9"/>
  <c r="X44" i="9"/>
  <c r="Y44" i="9" s="1"/>
  <c r="AC44" i="9"/>
  <c r="AE44" i="9" s="1"/>
  <c r="AI44" i="9"/>
  <c r="AL45" i="9"/>
  <c r="AH45" i="9"/>
  <c r="Z45" i="9"/>
  <c r="AA45" i="9" s="1"/>
  <c r="AG45" i="9" s="1"/>
  <c r="V45" i="9"/>
  <c r="R45" i="9"/>
  <c r="N45" i="9"/>
  <c r="Q45" i="9"/>
  <c r="W45" i="9"/>
  <c r="AD45" i="9" s="1"/>
  <c r="AB45" i="9"/>
  <c r="M48" i="9"/>
  <c r="S48" i="9"/>
  <c r="X48" i="9"/>
  <c r="Y48" i="9" s="1"/>
  <c r="AC48" i="9"/>
  <c r="AE48" i="9" s="1"/>
  <c r="AI48" i="9"/>
  <c r="AL49" i="9"/>
  <c r="AH49" i="9"/>
  <c r="Z49" i="9"/>
  <c r="AA49" i="9" s="1"/>
  <c r="AG49" i="9" s="1"/>
  <c r="V49" i="9"/>
  <c r="AB49" i="9" s="1"/>
  <c r="R49" i="9"/>
  <c r="N49" i="9"/>
  <c r="Q49" i="9"/>
  <c r="W49" i="9"/>
  <c r="AD49" i="9" s="1"/>
  <c r="M52" i="9"/>
  <c r="S52" i="9"/>
  <c r="X52" i="9"/>
  <c r="Y52" i="9" s="1"/>
  <c r="AC52" i="9"/>
  <c r="AE52" i="9" s="1"/>
  <c r="AI52" i="9"/>
  <c r="AL53" i="9"/>
  <c r="AH53" i="9"/>
  <c r="Z53" i="9"/>
  <c r="V53" i="9"/>
  <c r="R53" i="9"/>
  <c r="N53" i="9"/>
  <c r="Q53" i="9"/>
  <c r="W53" i="9"/>
  <c r="AD53" i="9" s="1"/>
  <c r="AB53" i="9"/>
  <c r="M56" i="9"/>
  <c r="S56" i="9"/>
  <c r="X56" i="9"/>
  <c r="Y56" i="9" s="1"/>
  <c r="AC56" i="9"/>
  <c r="AE56" i="9" s="1"/>
  <c r="AI56" i="9"/>
  <c r="AL57" i="9"/>
  <c r="AH57" i="9"/>
  <c r="Z57" i="9"/>
  <c r="AA57" i="9" s="1"/>
  <c r="AG57" i="9" s="1"/>
  <c r="V57" i="9"/>
  <c r="AB57" i="9" s="1"/>
  <c r="R57" i="9"/>
  <c r="N57" i="9"/>
  <c r="Q57" i="9"/>
  <c r="W57" i="9"/>
  <c r="AD57" i="9" s="1"/>
  <c r="M60" i="9"/>
  <c r="S60" i="9"/>
  <c r="X60" i="9"/>
  <c r="Y60" i="9" s="1"/>
  <c r="AC60" i="9"/>
  <c r="AE60" i="9" s="1"/>
  <c r="AI60" i="9"/>
  <c r="AL61" i="9"/>
  <c r="AH61" i="9"/>
  <c r="Z61" i="9"/>
  <c r="AA61" i="9" s="1"/>
  <c r="AG61" i="9" s="1"/>
  <c r="V61" i="9"/>
  <c r="R61" i="9"/>
  <c r="N61" i="9"/>
  <c r="Q61" i="9"/>
  <c r="W61" i="9"/>
  <c r="AD61" i="9" s="1"/>
  <c r="AB61" i="9"/>
  <c r="M64" i="9"/>
  <c r="S64" i="9"/>
  <c r="X64" i="9"/>
  <c r="Y64" i="9" s="1"/>
  <c r="AC64" i="9"/>
  <c r="AE64" i="9" s="1"/>
  <c r="AI64" i="9"/>
  <c r="AL65" i="9"/>
  <c r="AH65" i="9"/>
  <c r="Z65" i="9"/>
  <c r="AA65" i="9" s="1"/>
  <c r="AG65" i="9" s="1"/>
  <c r="V65" i="9"/>
  <c r="AB65" i="9" s="1"/>
  <c r="R65" i="9"/>
  <c r="N65" i="9"/>
  <c r="Q65" i="9"/>
  <c r="W65" i="9"/>
  <c r="AD65" i="9" s="1"/>
  <c r="M68" i="9"/>
  <c r="S68" i="9"/>
  <c r="X68" i="9"/>
  <c r="Y68" i="9" s="1"/>
  <c r="AC68" i="9"/>
  <c r="AE68" i="9" s="1"/>
  <c r="AI68" i="9"/>
  <c r="AL69" i="9"/>
  <c r="AH69" i="9"/>
  <c r="Z69" i="9"/>
  <c r="V69" i="9"/>
  <c r="R69" i="9"/>
  <c r="N69" i="9"/>
  <c r="Q69" i="9"/>
  <c r="W69" i="9"/>
  <c r="AD69" i="9" s="1"/>
  <c r="AB69" i="9"/>
  <c r="M72" i="9"/>
  <c r="S72" i="9"/>
  <c r="X72" i="9"/>
  <c r="Y72" i="9" s="1"/>
  <c r="AC72" i="9"/>
  <c r="AE72" i="9" s="1"/>
  <c r="AI72" i="9"/>
  <c r="AL73" i="9"/>
  <c r="AH73" i="9"/>
  <c r="Z73" i="9"/>
  <c r="AA73" i="9" s="1"/>
  <c r="AG73" i="9" s="1"/>
  <c r="V73" i="9"/>
  <c r="AB73" i="9" s="1"/>
  <c r="R73" i="9"/>
  <c r="N73" i="9"/>
  <c r="Q73" i="9"/>
  <c r="W73" i="9"/>
  <c r="AD73" i="9" s="1"/>
  <c r="M76" i="9"/>
  <c r="S76" i="9"/>
  <c r="X76" i="9"/>
  <c r="Y76" i="9" s="1"/>
  <c r="AC76" i="9"/>
  <c r="AE76" i="9" s="1"/>
  <c r="AI76" i="9"/>
  <c r="AL77" i="9"/>
  <c r="AH77" i="9"/>
  <c r="Z77" i="9"/>
  <c r="AA77" i="9" s="1"/>
  <c r="AG77" i="9" s="1"/>
  <c r="V77" i="9"/>
  <c r="R77" i="9"/>
  <c r="N77" i="9"/>
  <c r="Q77" i="9"/>
  <c r="W77" i="9"/>
  <c r="AD77" i="9" s="1"/>
  <c r="AB77" i="9"/>
  <c r="M80" i="9"/>
  <c r="S80" i="9"/>
  <c r="X80" i="9"/>
  <c r="Y80" i="9" s="1"/>
  <c r="AC80" i="9"/>
  <c r="AE80" i="9" s="1"/>
  <c r="AI80" i="9"/>
  <c r="AL81" i="9"/>
  <c r="AH81" i="9"/>
  <c r="Z81" i="9"/>
  <c r="AA81" i="9" s="1"/>
  <c r="AG81" i="9" s="1"/>
  <c r="V81" i="9"/>
  <c r="AB81" i="9" s="1"/>
  <c r="R81" i="9"/>
  <c r="N81" i="9"/>
  <c r="Q81" i="9"/>
  <c r="W81" i="9"/>
  <c r="AD81" i="9" s="1"/>
  <c r="M84" i="9"/>
  <c r="S84" i="9"/>
  <c r="X84" i="9"/>
  <c r="Y84" i="9" s="1"/>
  <c r="AC84" i="9"/>
  <c r="AE84" i="9" s="1"/>
  <c r="AI84" i="9"/>
  <c r="AL85" i="9"/>
  <c r="AH85" i="9"/>
  <c r="Z85" i="9"/>
  <c r="V85" i="9"/>
  <c r="R85" i="9"/>
  <c r="N85" i="9"/>
  <c r="Q85" i="9"/>
  <c r="W85" i="9"/>
  <c r="AD85" i="9" s="1"/>
  <c r="AB85" i="9"/>
  <c r="M88" i="9"/>
  <c r="S88" i="9"/>
  <c r="X88" i="9"/>
  <c r="Y88" i="9" s="1"/>
  <c r="AC88" i="9"/>
  <c r="AE88" i="9" s="1"/>
  <c r="AI88" i="9"/>
  <c r="AL89" i="9"/>
  <c r="AH89" i="9"/>
  <c r="Z89" i="9"/>
  <c r="AA89" i="9" s="1"/>
  <c r="AG89" i="9" s="1"/>
  <c r="V89" i="9"/>
  <c r="AB89" i="9" s="1"/>
  <c r="R89" i="9"/>
  <c r="N89" i="9"/>
  <c r="Q89" i="9"/>
  <c r="W89" i="9"/>
  <c r="AD89" i="9" s="1"/>
  <c r="M92" i="9"/>
  <c r="S92" i="9"/>
  <c r="X92" i="9"/>
  <c r="Y92" i="9" s="1"/>
  <c r="AC92" i="9"/>
  <c r="AE92" i="9" s="1"/>
  <c r="AI92" i="9"/>
  <c r="AL93" i="9"/>
  <c r="AH93" i="9"/>
  <c r="Z93" i="9"/>
  <c r="AA93" i="9" s="1"/>
  <c r="AG93" i="9" s="1"/>
  <c r="V93" i="9"/>
  <c r="R93" i="9"/>
  <c r="N93" i="9"/>
  <c r="Q93" i="9"/>
  <c r="W93" i="9"/>
  <c r="AD93" i="9" s="1"/>
  <c r="AB93" i="9"/>
  <c r="M96" i="9"/>
  <c r="S96" i="9"/>
  <c r="X96" i="9"/>
  <c r="Y96" i="9" s="1"/>
  <c r="AC96" i="9"/>
  <c r="AE96" i="9" s="1"/>
  <c r="AI96" i="9"/>
  <c r="AL97" i="9"/>
  <c r="AH97" i="9"/>
  <c r="Z97" i="9"/>
  <c r="AA97" i="9" s="1"/>
  <c r="AG97" i="9" s="1"/>
  <c r="V97" i="9"/>
  <c r="AB97" i="9" s="1"/>
  <c r="R97" i="9"/>
  <c r="N97" i="9"/>
  <c r="Q97" i="9"/>
  <c r="W97" i="9"/>
  <c r="AD97" i="9" s="1"/>
  <c r="M100" i="9"/>
  <c r="S100" i="9"/>
  <c r="X100" i="9"/>
  <c r="Y100" i="9" s="1"/>
  <c r="AC100" i="9"/>
  <c r="AE100" i="9" s="1"/>
  <c r="AI100" i="9"/>
  <c r="AL101" i="9"/>
  <c r="AH101" i="9"/>
  <c r="Z101" i="9"/>
  <c r="V101" i="9"/>
  <c r="R101" i="9"/>
  <c r="N101" i="9"/>
  <c r="Q101" i="9"/>
  <c r="W101" i="9"/>
  <c r="AD101" i="9" s="1"/>
  <c r="AB101" i="9"/>
  <c r="M104" i="9"/>
  <c r="S104" i="9"/>
  <c r="X104" i="9"/>
  <c r="Y104" i="9" s="1"/>
  <c r="AC104" i="9"/>
  <c r="AE104" i="9" s="1"/>
  <c r="AI104" i="9"/>
  <c r="AL105" i="9"/>
  <c r="AH105" i="9"/>
  <c r="Z105" i="9"/>
  <c r="AA105" i="9" s="1"/>
  <c r="AG105" i="9" s="1"/>
  <c r="V105" i="9"/>
  <c r="AB105" i="9" s="1"/>
  <c r="R105" i="9"/>
  <c r="N105" i="9"/>
  <c r="Q105" i="9"/>
  <c r="W105" i="9"/>
  <c r="AD105" i="9" s="1"/>
  <c r="M108" i="9"/>
  <c r="S108" i="9"/>
  <c r="X108" i="9"/>
  <c r="Y108" i="9" s="1"/>
  <c r="AC108" i="9"/>
  <c r="AE108" i="9" s="1"/>
  <c r="AI108" i="9"/>
  <c r="AL109" i="9"/>
  <c r="AH109" i="9"/>
  <c r="Z109" i="9"/>
  <c r="AA109" i="9" s="1"/>
  <c r="AG109" i="9" s="1"/>
  <c r="V109" i="9"/>
  <c r="R109" i="9"/>
  <c r="N109" i="9"/>
  <c r="Q109" i="9"/>
  <c r="W109" i="9"/>
  <c r="AD109" i="9" s="1"/>
  <c r="AB109" i="9"/>
  <c r="M112" i="9"/>
  <c r="S112" i="9"/>
  <c r="X112" i="9"/>
  <c r="Y112" i="9" s="1"/>
  <c r="AC112" i="9"/>
  <c r="AE112" i="9" s="1"/>
  <c r="AI112" i="9"/>
  <c r="AL113" i="9"/>
  <c r="AH113" i="9"/>
  <c r="Z113" i="9"/>
  <c r="AA113" i="9" s="1"/>
  <c r="AG113" i="9" s="1"/>
  <c r="V113" i="9"/>
  <c r="AB113" i="9" s="1"/>
  <c r="R113" i="9"/>
  <c r="N113" i="9"/>
  <c r="Q113" i="9"/>
  <c r="W113" i="9"/>
  <c r="AD113" i="9" s="1"/>
  <c r="M116" i="9"/>
  <c r="S116" i="9"/>
  <c r="X116" i="9"/>
  <c r="Y116" i="9" s="1"/>
  <c r="AC116" i="9"/>
  <c r="AE116" i="9" s="1"/>
  <c r="AI116" i="9"/>
  <c r="AL117" i="9"/>
  <c r="AH117" i="9"/>
  <c r="Z117" i="9"/>
  <c r="V117" i="9"/>
  <c r="R117" i="9"/>
  <c r="N117" i="9"/>
  <c r="Q117" i="9"/>
  <c r="W117" i="9"/>
  <c r="AD117" i="9" s="1"/>
  <c r="AB117" i="9"/>
  <c r="M120" i="9"/>
  <c r="S120" i="9"/>
  <c r="X120" i="9"/>
  <c r="Y120" i="9" s="1"/>
  <c r="AC120" i="9"/>
  <c r="AE120" i="9" s="1"/>
  <c r="AI120" i="9"/>
  <c r="AL121" i="9"/>
  <c r="AH121" i="9"/>
  <c r="Z121" i="9"/>
  <c r="AA121" i="9" s="1"/>
  <c r="AG121" i="9" s="1"/>
  <c r="V121" i="9"/>
  <c r="AB121" i="9" s="1"/>
  <c r="R121" i="9"/>
  <c r="N121" i="9"/>
  <c r="Q121" i="9"/>
  <c r="W121" i="9"/>
  <c r="AD121" i="9" s="1"/>
  <c r="M124" i="9"/>
  <c r="S124" i="9"/>
  <c r="X124" i="9"/>
  <c r="Y124" i="9" s="1"/>
  <c r="AC124" i="9"/>
  <c r="AE124" i="9" s="1"/>
  <c r="AI124" i="9"/>
  <c r="AL125" i="9"/>
  <c r="AH125" i="9"/>
  <c r="Z125" i="9"/>
  <c r="AA125" i="9" s="1"/>
  <c r="AG125" i="9" s="1"/>
  <c r="V125" i="9"/>
  <c r="R125" i="9"/>
  <c r="N125" i="9"/>
  <c r="Q125" i="9"/>
  <c r="W125" i="9"/>
  <c r="AD125" i="9" s="1"/>
  <c r="AB125" i="9"/>
  <c r="M128" i="9"/>
  <c r="S128" i="9"/>
  <c r="X128" i="9"/>
  <c r="Y128" i="9" s="1"/>
  <c r="AC128" i="9"/>
  <c r="AE128" i="9" s="1"/>
  <c r="AI128" i="9"/>
  <c r="AL129" i="9"/>
  <c r="AH129" i="9"/>
  <c r="Z129" i="9"/>
  <c r="AA129" i="9" s="1"/>
  <c r="AG129" i="9" s="1"/>
  <c r="V129" i="9"/>
  <c r="AB129" i="9" s="1"/>
  <c r="R129" i="9"/>
  <c r="N129" i="9"/>
  <c r="Q129" i="9"/>
  <c r="W129" i="9"/>
  <c r="AD129" i="9" s="1"/>
  <c r="M132" i="9"/>
  <c r="S132" i="9"/>
  <c r="X132" i="9"/>
  <c r="Y132" i="9" s="1"/>
  <c r="AC132" i="9"/>
  <c r="AE132" i="9" s="1"/>
  <c r="AI132" i="9"/>
  <c r="AL133" i="9"/>
  <c r="AH133" i="9"/>
  <c r="Z133" i="9"/>
  <c r="V133" i="9"/>
  <c r="R133" i="9"/>
  <c r="N133" i="9"/>
  <c r="Q133" i="9"/>
  <c r="W133" i="9"/>
  <c r="AD133" i="9" s="1"/>
  <c r="AB133" i="9"/>
  <c r="M136" i="9"/>
  <c r="S136" i="9"/>
  <c r="X136" i="9"/>
  <c r="Y136" i="9" s="1"/>
  <c r="AC136" i="9"/>
  <c r="AE136" i="9" s="1"/>
  <c r="AI136" i="9"/>
  <c r="AL137" i="9"/>
  <c r="AH137" i="9"/>
  <c r="Z137" i="9"/>
  <c r="AA137" i="9" s="1"/>
  <c r="AG137" i="9" s="1"/>
  <c r="V137" i="9"/>
  <c r="AB137" i="9" s="1"/>
  <c r="R137" i="9"/>
  <c r="N137" i="9"/>
  <c r="Q137" i="9"/>
  <c r="W137" i="9"/>
  <c r="AD137" i="9" s="1"/>
  <c r="M140" i="9"/>
  <c r="S140" i="9"/>
  <c r="X140" i="9"/>
  <c r="Y140" i="9" s="1"/>
  <c r="AC140" i="9"/>
  <c r="AE140" i="9" s="1"/>
  <c r="AI140" i="9"/>
  <c r="AL141" i="9"/>
  <c r="AH141" i="9"/>
  <c r="Z141" i="9"/>
  <c r="AA141" i="9" s="1"/>
  <c r="AG141" i="9" s="1"/>
  <c r="V141" i="9"/>
  <c r="R141" i="9"/>
  <c r="N141" i="9"/>
  <c r="Q141" i="9"/>
  <c r="W141" i="9"/>
  <c r="AD141" i="9" s="1"/>
  <c r="AB141" i="9"/>
  <c r="M144" i="9"/>
  <c r="S144" i="9"/>
  <c r="X144" i="9"/>
  <c r="Y144" i="9" s="1"/>
  <c r="AC144" i="9"/>
  <c r="AE144" i="9" s="1"/>
  <c r="AI144" i="9"/>
  <c r="AL145" i="9"/>
  <c r="AH145" i="9"/>
  <c r="Z145" i="9"/>
  <c r="AA145" i="9" s="1"/>
  <c r="AG145" i="9" s="1"/>
  <c r="V145" i="9"/>
  <c r="AB145" i="9" s="1"/>
  <c r="R145" i="9"/>
  <c r="N145" i="9"/>
  <c r="Q145" i="9"/>
  <c r="W145" i="9"/>
  <c r="AD145" i="9" s="1"/>
  <c r="M148" i="9"/>
  <c r="S148" i="9"/>
  <c r="X148" i="9"/>
  <c r="Y148" i="9" s="1"/>
  <c r="AC148" i="9"/>
  <c r="AE148" i="9" s="1"/>
  <c r="AI148" i="9"/>
  <c r="AL149" i="9"/>
  <c r="AH149" i="9"/>
  <c r="Z149" i="9"/>
  <c r="V149" i="9"/>
  <c r="R149" i="9"/>
  <c r="N149" i="9"/>
  <c r="Q149" i="9"/>
  <c r="W149" i="9"/>
  <c r="AD149" i="9" s="1"/>
  <c r="AB149" i="9"/>
  <c r="M152" i="9"/>
  <c r="S152" i="9"/>
  <c r="X152" i="9"/>
  <c r="Y152" i="9" s="1"/>
  <c r="AC152" i="9"/>
  <c r="AE152" i="9" s="1"/>
  <c r="AI152" i="9"/>
  <c r="AL153" i="9"/>
  <c r="AH153" i="9"/>
  <c r="Z153" i="9"/>
  <c r="AA153" i="9" s="1"/>
  <c r="AG153" i="9" s="1"/>
  <c r="V153" i="9"/>
  <c r="AB153" i="9" s="1"/>
  <c r="R153" i="9"/>
  <c r="N153" i="9"/>
  <c r="Q153" i="9"/>
  <c r="W153" i="9"/>
  <c r="AD153" i="9" s="1"/>
  <c r="M156" i="9"/>
  <c r="S156" i="9"/>
  <c r="X156" i="9"/>
  <c r="Y156" i="9" s="1"/>
  <c r="AC156" i="9"/>
  <c r="AE156" i="9" s="1"/>
  <c r="AI156" i="9"/>
  <c r="AL157" i="9"/>
  <c r="AH157" i="9"/>
  <c r="Z157" i="9"/>
  <c r="AA157" i="9" s="1"/>
  <c r="AG157" i="9" s="1"/>
  <c r="V157" i="9"/>
  <c r="R157" i="9"/>
  <c r="N157" i="9"/>
  <c r="Q157" i="9"/>
  <c r="W157" i="9"/>
  <c r="AD157" i="9" s="1"/>
  <c r="AB157" i="9"/>
  <c r="M160" i="9"/>
  <c r="S160" i="9"/>
  <c r="X160" i="9"/>
  <c r="Y160" i="9" s="1"/>
  <c r="AC160" i="9"/>
  <c r="AE160" i="9" s="1"/>
  <c r="AI160" i="9"/>
  <c r="AL161" i="9"/>
  <c r="AH161" i="9"/>
  <c r="Z161" i="9"/>
  <c r="AA161" i="9" s="1"/>
  <c r="AG161" i="9" s="1"/>
  <c r="V161" i="9"/>
  <c r="AB161" i="9" s="1"/>
  <c r="R161" i="9"/>
  <c r="N161" i="9"/>
  <c r="Q161" i="9"/>
  <c r="W161" i="9"/>
  <c r="AD161" i="9" s="1"/>
  <c r="M164" i="9"/>
  <c r="S164" i="9"/>
  <c r="X164" i="9"/>
  <c r="Y164" i="9" s="1"/>
  <c r="AC164" i="9"/>
  <c r="AE164" i="9" s="1"/>
  <c r="AI164" i="9"/>
  <c r="AL165" i="9"/>
  <c r="AH165" i="9"/>
  <c r="Z165" i="9"/>
  <c r="V165" i="9"/>
  <c r="R165" i="9"/>
  <c r="N165" i="9"/>
  <c r="Q165" i="9"/>
  <c r="W165" i="9"/>
  <c r="AD165" i="9" s="1"/>
  <c r="AB165" i="9"/>
  <c r="M168" i="9"/>
  <c r="S168" i="9"/>
  <c r="X168" i="9"/>
  <c r="Y168" i="9" s="1"/>
  <c r="AC168" i="9"/>
  <c r="AE168" i="9" s="1"/>
  <c r="AI168" i="9"/>
  <c r="AL169" i="9"/>
  <c r="AH169" i="9"/>
  <c r="Z169" i="9"/>
  <c r="AA169" i="9" s="1"/>
  <c r="AG169" i="9" s="1"/>
  <c r="V169" i="9"/>
  <c r="AB169" i="9" s="1"/>
  <c r="R169" i="9"/>
  <c r="N169" i="9"/>
  <c r="Q169" i="9"/>
  <c r="W169" i="9"/>
  <c r="AD169" i="9" s="1"/>
  <c r="M172" i="9"/>
  <c r="S172" i="9"/>
  <c r="X172" i="9"/>
  <c r="Y172" i="9" s="1"/>
  <c r="AC172" i="9"/>
  <c r="AE172" i="9" s="1"/>
  <c r="AI172" i="9"/>
  <c r="AL173" i="9"/>
  <c r="AH173" i="9"/>
  <c r="Z173" i="9"/>
  <c r="AA173" i="9" s="1"/>
  <c r="AG173" i="9" s="1"/>
  <c r="V173" i="9"/>
  <c r="R173" i="9"/>
  <c r="N173" i="9"/>
  <c r="Q173" i="9"/>
  <c r="W173" i="9"/>
  <c r="AD173" i="9" s="1"/>
  <c r="AB173" i="9"/>
  <c r="M176" i="9"/>
  <c r="S176" i="9"/>
  <c r="X176" i="9"/>
  <c r="Y176" i="9" s="1"/>
  <c r="AC176" i="9"/>
  <c r="AE176" i="9" s="1"/>
  <c r="AI176" i="9"/>
  <c r="AL177" i="9"/>
  <c r="AH177" i="9"/>
  <c r="Z177" i="9"/>
  <c r="AA177" i="9" s="1"/>
  <c r="AG177" i="9" s="1"/>
  <c r="V177" i="9"/>
  <c r="AB177" i="9" s="1"/>
  <c r="R177" i="9"/>
  <c r="N177" i="9"/>
  <c r="Q177" i="9"/>
  <c r="W177" i="9"/>
  <c r="AD177" i="9" s="1"/>
  <c r="M180" i="9"/>
  <c r="S180" i="9"/>
  <c r="X180" i="9"/>
  <c r="Y180" i="9" s="1"/>
  <c r="AC180" i="9"/>
  <c r="AE180" i="9" s="1"/>
  <c r="AI180" i="9"/>
  <c r="AL181" i="9"/>
  <c r="AH181" i="9"/>
  <c r="Z181" i="9"/>
  <c r="V181" i="9"/>
  <c r="R181" i="9"/>
  <c r="N181" i="9"/>
  <c r="Q181" i="9"/>
  <c r="W181" i="9"/>
  <c r="AD181" i="9" s="1"/>
  <c r="AB181" i="9"/>
  <c r="M184" i="9"/>
  <c r="S184" i="9"/>
  <c r="X184" i="9"/>
  <c r="Y184" i="9" s="1"/>
  <c r="AC184" i="9"/>
  <c r="AE184" i="9" s="1"/>
  <c r="AI184" i="9"/>
  <c r="AL185" i="9"/>
  <c r="AH185" i="9"/>
  <c r="Z185" i="9"/>
  <c r="AA185" i="9" s="1"/>
  <c r="AG185" i="9" s="1"/>
  <c r="V185" i="9"/>
  <c r="AB185" i="9" s="1"/>
  <c r="R185" i="9"/>
  <c r="N185" i="9"/>
  <c r="Q185" i="9"/>
  <c r="W185" i="9"/>
  <c r="AD185" i="9" s="1"/>
  <c r="O187" i="9"/>
  <c r="T187" i="9"/>
  <c r="Y187" i="9"/>
  <c r="M188" i="9"/>
  <c r="S188" i="9"/>
  <c r="X188" i="9"/>
  <c r="Y188" i="9" s="1"/>
  <c r="AC188" i="9"/>
  <c r="AE188" i="9" s="1"/>
  <c r="AI188" i="9"/>
  <c r="AL189" i="9"/>
  <c r="AH189" i="9"/>
  <c r="Z189" i="9"/>
  <c r="AA189" i="9" s="1"/>
  <c r="AG189" i="9" s="1"/>
  <c r="V189" i="9"/>
  <c r="AB189" i="9" s="1"/>
  <c r="R189" i="9"/>
  <c r="N189" i="9"/>
  <c r="Q189" i="9"/>
  <c r="W189" i="9"/>
  <c r="AD189" i="9" s="1"/>
  <c r="O191" i="9"/>
  <c r="T191" i="9"/>
  <c r="Y191" i="9"/>
  <c r="M192" i="9"/>
  <c r="S192" i="9"/>
  <c r="X192" i="9"/>
  <c r="Y192" i="9" s="1"/>
  <c r="AC192" i="9"/>
  <c r="AE192" i="9" s="1"/>
  <c r="AI192" i="9"/>
  <c r="AL193" i="9"/>
  <c r="AH193" i="9"/>
  <c r="Z193" i="9"/>
  <c r="AA193" i="9" s="1"/>
  <c r="AG193" i="9" s="1"/>
  <c r="V193" i="9"/>
  <c r="R193" i="9"/>
  <c r="N193" i="9"/>
  <c r="Q193" i="9"/>
  <c r="W193" i="9"/>
  <c r="AD193" i="9" s="1"/>
  <c r="AB193" i="9"/>
  <c r="O195" i="9"/>
  <c r="T195" i="9"/>
  <c r="M196" i="9"/>
  <c r="S196" i="9"/>
  <c r="X196" i="9"/>
  <c r="Y196" i="9" s="1"/>
  <c r="AC196" i="9"/>
  <c r="AE196" i="9" s="1"/>
  <c r="AI196" i="9"/>
  <c r="AL197" i="9"/>
  <c r="AH197" i="9"/>
  <c r="Z197" i="9"/>
  <c r="AA197" i="9" s="1"/>
  <c r="AG197" i="9" s="1"/>
  <c r="V197" i="9"/>
  <c r="R197" i="9"/>
  <c r="N197" i="9"/>
  <c r="Q197" i="9"/>
  <c r="W197" i="9"/>
  <c r="AD197" i="9" s="1"/>
  <c r="AB197" i="9"/>
  <c r="O199" i="9"/>
  <c r="T199" i="9"/>
  <c r="Y199" i="9"/>
  <c r="M200" i="9"/>
  <c r="S200" i="9"/>
  <c r="X200" i="9"/>
  <c r="Y200" i="9" s="1"/>
  <c r="AC200" i="9"/>
  <c r="AE200" i="9" s="1"/>
  <c r="AI200" i="9"/>
  <c r="AL201" i="9"/>
  <c r="AH201" i="9"/>
  <c r="Z201" i="9"/>
  <c r="AA201" i="9" s="1"/>
  <c r="AG201" i="9" s="1"/>
  <c r="V201" i="9"/>
  <c r="AB201" i="9" s="1"/>
  <c r="R201" i="9"/>
  <c r="N201" i="9"/>
  <c r="Q201" i="9"/>
  <c r="W201" i="9"/>
  <c r="AD201" i="9" s="1"/>
  <c r="O203" i="9"/>
  <c r="T203" i="9"/>
  <c r="Y203" i="9"/>
  <c r="M204" i="9"/>
  <c r="S204" i="9"/>
  <c r="X204" i="9"/>
  <c r="Y204" i="9" s="1"/>
  <c r="AC204" i="9"/>
  <c r="AE204" i="9" s="1"/>
  <c r="AI204" i="9"/>
  <c r="AL205" i="9"/>
  <c r="AH205" i="9"/>
  <c r="Z205" i="9"/>
  <c r="AA205" i="9" s="1"/>
  <c r="AG205" i="9" s="1"/>
  <c r="V205" i="9"/>
  <c r="AB205" i="9" s="1"/>
  <c r="R205" i="9"/>
  <c r="N205" i="9"/>
  <c r="Q205" i="9"/>
  <c r="W205" i="9"/>
  <c r="AD205" i="9" s="1"/>
  <c r="O207" i="9"/>
  <c r="T207" i="9"/>
  <c r="Y207" i="9"/>
  <c r="M208" i="9"/>
  <c r="S208" i="9"/>
  <c r="X208" i="9"/>
  <c r="Y208" i="9" s="1"/>
  <c r="AC208" i="9"/>
  <c r="AE208" i="9" s="1"/>
  <c r="AI208" i="9"/>
  <c r="AL209" i="9"/>
  <c r="AH209" i="9"/>
  <c r="Z209" i="9"/>
  <c r="AA209" i="9" s="1"/>
  <c r="AG209" i="9" s="1"/>
  <c r="V209" i="9"/>
  <c r="R209" i="9"/>
  <c r="N209" i="9"/>
  <c r="Q209" i="9"/>
  <c r="W209" i="9"/>
  <c r="AD209" i="9" s="1"/>
  <c r="AB209" i="9"/>
  <c r="O211" i="9"/>
  <c r="T211" i="9"/>
  <c r="M212" i="9"/>
  <c r="S212" i="9"/>
  <c r="X212" i="9"/>
  <c r="Y212" i="9" s="1"/>
  <c r="AC212" i="9"/>
  <c r="AE212" i="9" s="1"/>
  <c r="AI212" i="9"/>
  <c r="AL213" i="9"/>
  <c r="AH213" i="9"/>
  <c r="Z213" i="9"/>
  <c r="AA213" i="9" s="1"/>
  <c r="AG213" i="9" s="1"/>
  <c r="V213" i="9"/>
  <c r="R213" i="9"/>
  <c r="N213" i="9"/>
  <c r="Q213" i="9"/>
  <c r="W213" i="9"/>
  <c r="AD213" i="9" s="1"/>
  <c r="AB213" i="9"/>
  <c r="O215" i="9"/>
  <c r="T215" i="9"/>
  <c r="Y215" i="9"/>
  <c r="M216" i="9"/>
  <c r="S216" i="9"/>
  <c r="X216" i="9"/>
  <c r="Y216" i="9" s="1"/>
  <c r="AC216" i="9"/>
  <c r="AE216" i="9" s="1"/>
  <c r="AI216" i="9"/>
  <c r="AL217" i="9"/>
  <c r="AH217" i="9"/>
  <c r="Z217" i="9"/>
  <c r="AA217" i="9" s="1"/>
  <c r="AG217" i="9" s="1"/>
  <c r="V217" i="9"/>
  <c r="AB217" i="9" s="1"/>
  <c r="R217" i="9"/>
  <c r="N217" i="9"/>
  <c r="Q217" i="9"/>
  <c r="W217" i="9"/>
  <c r="AD217" i="9" s="1"/>
  <c r="O219" i="9"/>
  <c r="T219" i="9"/>
  <c r="Y219" i="9"/>
  <c r="M220" i="9"/>
  <c r="S220" i="9"/>
  <c r="X220" i="9"/>
  <c r="Y220" i="9" s="1"/>
  <c r="AC220" i="9"/>
  <c r="AE220" i="9" s="1"/>
  <c r="AI220" i="9"/>
  <c r="AL221" i="9"/>
  <c r="AH221" i="9"/>
  <c r="Z221" i="9"/>
  <c r="AA221" i="9" s="1"/>
  <c r="AG221" i="9" s="1"/>
  <c r="V221" i="9"/>
  <c r="AB221" i="9" s="1"/>
  <c r="R221" i="9"/>
  <c r="N221" i="9"/>
  <c r="Q221" i="9"/>
  <c r="W221" i="9"/>
  <c r="AD221" i="9" s="1"/>
  <c r="O223" i="9"/>
  <c r="T223" i="9"/>
  <c r="Y223" i="9"/>
  <c r="M224" i="9"/>
  <c r="S224" i="9"/>
  <c r="X224" i="9"/>
  <c r="Y224" i="9" s="1"/>
  <c r="AC224" i="9"/>
  <c r="AE224" i="9" s="1"/>
  <c r="AI224" i="9"/>
  <c r="AL225" i="9"/>
  <c r="AH225" i="9"/>
  <c r="Z225" i="9"/>
  <c r="AA225" i="9" s="1"/>
  <c r="AG225" i="9" s="1"/>
  <c r="V225" i="9"/>
  <c r="R225" i="9"/>
  <c r="N225" i="9"/>
  <c r="Q225" i="9"/>
  <c r="W225" i="9"/>
  <c r="AD225" i="9" s="1"/>
  <c r="AB225" i="9"/>
  <c r="K226" i="9"/>
  <c r="P226" i="9"/>
  <c r="U226" i="9"/>
  <c r="AF226" i="9" s="1"/>
  <c r="AA226" i="9"/>
  <c r="AG226" i="9" s="1"/>
  <c r="O227" i="9"/>
  <c r="T227" i="9"/>
  <c r="M228" i="9"/>
  <c r="S228" i="9"/>
  <c r="X228" i="9"/>
  <c r="Y228" i="9" s="1"/>
  <c r="AC228" i="9"/>
  <c r="AE228" i="9" s="1"/>
  <c r="AI228" i="9"/>
  <c r="AL229" i="9"/>
  <c r="AH229" i="9"/>
  <c r="Z229" i="9"/>
  <c r="AA229" i="9" s="1"/>
  <c r="AG229" i="9" s="1"/>
  <c r="V229" i="9"/>
  <c r="R229" i="9"/>
  <c r="N229" i="9"/>
  <c r="Q229" i="9"/>
  <c r="W229" i="9"/>
  <c r="AD229" i="9" s="1"/>
  <c r="AB229" i="9"/>
  <c r="K230" i="9"/>
  <c r="P230" i="9"/>
  <c r="U230" i="9"/>
  <c r="AF230" i="9" s="1"/>
  <c r="AA230" i="9"/>
  <c r="AG230" i="9" s="1"/>
  <c r="O231" i="9"/>
  <c r="T231" i="9"/>
  <c r="Y231" i="9"/>
  <c r="M232" i="9"/>
  <c r="S232" i="9"/>
  <c r="X232" i="9"/>
  <c r="Y232" i="9" s="1"/>
  <c r="AC232" i="9"/>
  <c r="AE232" i="9" s="1"/>
  <c r="AI232" i="9"/>
  <c r="AL233" i="9"/>
  <c r="AH233" i="9"/>
  <c r="Z233" i="9"/>
  <c r="AA233" i="9" s="1"/>
  <c r="AG233" i="9" s="1"/>
  <c r="V233" i="9"/>
  <c r="AB233" i="9" s="1"/>
  <c r="R233" i="9"/>
  <c r="N233" i="9"/>
  <c r="Q233" i="9"/>
  <c r="W233" i="9"/>
  <c r="AD233" i="9" s="1"/>
  <c r="K234" i="9"/>
  <c r="P234" i="9"/>
  <c r="U234" i="9"/>
  <c r="AF234" i="9" s="1"/>
  <c r="O235" i="9"/>
  <c r="T235" i="9"/>
  <c r="Y235" i="9"/>
  <c r="M236" i="9"/>
  <c r="S236" i="9"/>
  <c r="X236" i="9"/>
  <c r="Y236" i="9" s="1"/>
  <c r="AC236" i="9"/>
  <c r="AE236" i="9" s="1"/>
  <c r="AI236" i="9"/>
  <c r="AL237" i="9"/>
  <c r="AH237" i="9"/>
  <c r="Z237" i="9"/>
  <c r="AA237" i="9" s="1"/>
  <c r="AG237" i="9" s="1"/>
  <c r="V237" i="9"/>
  <c r="AB237" i="9" s="1"/>
  <c r="R237" i="9"/>
  <c r="N237" i="9"/>
  <c r="Q237" i="9"/>
  <c r="W237" i="9"/>
  <c r="AD237" i="9" s="1"/>
  <c r="K238" i="9"/>
  <c r="P238" i="9"/>
  <c r="U238" i="9"/>
  <c r="AF238" i="9" s="1"/>
  <c r="O239" i="9"/>
  <c r="T239" i="9"/>
  <c r="Y239" i="9"/>
  <c r="M240" i="9"/>
  <c r="S240" i="9"/>
  <c r="X240" i="9"/>
  <c r="Y240" i="9" s="1"/>
  <c r="AC240" i="9"/>
  <c r="AE240" i="9" s="1"/>
  <c r="AI240" i="9"/>
  <c r="AL241" i="9"/>
  <c r="AH241" i="9"/>
  <c r="Z241" i="9"/>
  <c r="AA241" i="9" s="1"/>
  <c r="AG241" i="9" s="1"/>
  <c r="V241" i="9"/>
  <c r="R241" i="9"/>
  <c r="N241" i="9"/>
  <c r="Q241" i="9"/>
  <c r="W241" i="9"/>
  <c r="AD241" i="9" s="1"/>
  <c r="AB241" i="9"/>
  <c r="K242" i="9"/>
  <c r="P242" i="9"/>
  <c r="U242" i="9"/>
  <c r="AF242" i="9" s="1"/>
  <c r="AA242" i="9"/>
  <c r="AG242" i="9" s="1"/>
  <c r="O243" i="9"/>
  <c r="T243" i="9"/>
  <c r="M244" i="9"/>
  <c r="S244" i="9"/>
  <c r="X244" i="9"/>
  <c r="Y244" i="9" s="1"/>
  <c r="AC244" i="9"/>
  <c r="AE244" i="9" s="1"/>
  <c r="AI244" i="9"/>
  <c r="AL245" i="9"/>
  <c r="AH245" i="9"/>
  <c r="Z245" i="9"/>
  <c r="AA245" i="9" s="1"/>
  <c r="AG245" i="9" s="1"/>
  <c r="V245" i="9"/>
  <c r="R245" i="9"/>
  <c r="N245" i="9"/>
  <c r="Q245" i="9"/>
  <c r="W245" i="9"/>
  <c r="AD245" i="9" s="1"/>
  <c r="AB245" i="9"/>
  <c r="K246" i="9"/>
  <c r="P246" i="9"/>
  <c r="U246" i="9"/>
  <c r="AF246" i="9" s="1"/>
  <c r="AA246" i="9"/>
  <c r="AG246" i="9" s="1"/>
  <c r="O247" i="9"/>
  <c r="T247" i="9"/>
  <c r="Y247" i="9"/>
  <c r="M248" i="9"/>
  <c r="S248" i="9"/>
  <c r="X248" i="9"/>
  <c r="Y248" i="9" s="1"/>
  <c r="AC248" i="9"/>
  <c r="AE248" i="9" s="1"/>
  <c r="AI248" i="9"/>
  <c r="AL249" i="9"/>
  <c r="AH249" i="9"/>
  <c r="Z249" i="9"/>
  <c r="AA249" i="9" s="1"/>
  <c r="AG249" i="9" s="1"/>
  <c r="V249" i="9"/>
  <c r="AB249" i="9" s="1"/>
  <c r="R249" i="9"/>
  <c r="N249" i="9"/>
  <c r="Q249" i="9"/>
  <c r="W249" i="9"/>
  <c r="AD249" i="9" s="1"/>
  <c r="K250" i="9"/>
  <c r="P250" i="9"/>
  <c r="U250" i="9"/>
  <c r="AF250" i="9" s="1"/>
  <c r="O251" i="9"/>
  <c r="T251" i="9"/>
  <c r="Y251" i="9"/>
  <c r="M252" i="9"/>
  <c r="S252" i="9"/>
  <c r="X252" i="9"/>
  <c r="Y252" i="9" s="1"/>
  <c r="AC252" i="9"/>
  <c r="AE252" i="9" s="1"/>
  <c r="AI252" i="9"/>
  <c r="AL253" i="9"/>
  <c r="AH253" i="9"/>
  <c r="Z253" i="9"/>
  <c r="AA253" i="9" s="1"/>
  <c r="AG253" i="9" s="1"/>
  <c r="V253" i="9"/>
  <c r="AB253" i="9" s="1"/>
  <c r="R253" i="9"/>
  <c r="N253" i="9"/>
  <c r="Q253" i="9"/>
  <c r="W253" i="9"/>
  <c r="AD253" i="9" s="1"/>
  <c r="K254" i="9"/>
  <c r="P254" i="9"/>
  <c r="U254" i="9"/>
  <c r="AF254" i="9" s="1"/>
  <c r="O255" i="9"/>
  <c r="T255" i="9"/>
  <c r="Y255" i="9"/>
  <c r="M256" i="9"/>
  <c r="S256" i="9"/>
  <c r="X256" i="9"/>
  <c r="Y256" i="9" s="1"/>
  <c r="AC256" i="9"/>
  <c r="AE256" i="9" s="1"/>
  <c r="AI256" i="9"/>
  <c r="AL257" i="9"/>
  <c r="AH257" i="9"/>
  <c r="Z257" i="9"/>
  <c r="AA257" i="9" s="1"/>
  <c r="AG257" i="9" s="1"/>
  <c r="V257" i="9"/>
  <c r="R257" i="9"/>
  <c r="N257" i="9"/>
  <c r="Q257" i="9"/>
  <c r="W257" i="9"/>
  <c r="AD257" i="9" s="1"/>
  <c r="AB257" i="9"/>
  <c r="K258" i="9"/>
  <c r="P258" i="9"/>
  <c r="U258" i="9"/>
  <c r="AF258" i="9" s="1"/>
  <c r="AA258" i="9"/>
  <c r="AG258" i="9" s="1"/>
  <c r="O259" i="9"/>
  <c r="T259" i="9"/>
  <c r="M260" i="9"/>
  <c r="S260" i="9"/>
  <c r="X260" i="9"/>
  <c r="Y260" i="9" s="1"/>
  <c r="AC260" i="9"/>
  <c r="AE260" i="9" s="1"/>
  <c r="AI260" i="9"/>
  <c r="AL261" i="9"/>
  <c r="AH261" i="9"/>
  <c r="Z261" i="9"/>
  <c r="AA261" i="9" s="1"/>
  <c r="AG261" i="9" s="1"/>
  <c r="V261" i="9"/>
  <c r="R261" i="9"/>
  <c r="N261" i="9"/>
  <c r="Q261" i="9"/>
  <c r="W261" i="9"/>
  <c r="AD261" i="9" s="1"/>
  <c r="AB261" i="9"/>
  <c r="K262" i="9"/>
  <c r="P262" i="9"/>
  <c r="U262" i="9"/>
  <c r="AF262" i="9" s="1"/>
  <c r="AA262" i="9"/>
  <c r="AG262" i="9" s="1"/>
  <c r="O263" i="9"/>
  <c r="T263" i="9"/>
  <c r="Y263" i="9"/>
  <c r="M264" i="9"/>
  <c r="S264" i="9"/>
  <c r="X264" i="9"/>
  <c r="Y264" i="9" s="1"/>
  <c r="AC264" i="9"/>
  <c r="AE264" i="9" s="1"/>
  <c r="AI264" i="9"/>
  <c r="AL265" i="9"/>
  <c r="AH265" i="9"/>
  <c r="Z265" i="9"/>
  <c r="AA265" i="9" s="1"/>
  <c r="AG265" i="9" s="1"/>
  <c r="V265" i="9"/>
  <c r="AB265" i="9" s="1"/>
  <c r="R265" i="9"/>
  <c r="N265" i="9"/>
  <c r="Q265" i="9"/>
  <c r="W265" i="9"/>
  <c r="AD265" i="9" s="1"/>
  <c r="K266" i="9"/>
  <c r="P266" i="9"/>
  <c r="U266" i="9"/>
  <c r="AF266" i="9" s="1"/>
  <c r="O267" i="9"/>
  <c r="T267" i="9"/>
  <c r="Y267" i="9"/>
  <c r="M268" i="9"/>
  <c r="S268" i="9"/>
  <c r="X268" i="9"/>
  <c r="Y268" i="9" s="1"/>
  <c r="AC268" i="9"/>
  <c r="AE268" i="9" s="1"/>
  <c r="AI268" i="9"/>
  <c r="AL269" i="9"/>
  <c r="AH269" i="9"/>
  <c r="Z269" i="9"/>
  <c r="AA269" i="9" s="1"/>
  <c r="AG269" i="9" s="1"/>
  <c r="V269" i="9"/>
  <c r="AB269" i="9" s="1"/>
  <c r="R269" i="9"/>
  <c r="N269" i="9"/>
  <c r="Q269" i="9"/>
  <c r="W269" i="9"/>
  <c r="AD269" i="9" s="1"/>
  <c r="K270" i="9"/>
  <c r="P270" i="9"/>
  <c r="U270" i="9"/>
  <c r="AF270" i="9" s="1"/>
  <c r="O271" i="9"/>
  <c r="T271" i="9"/>
  <c r="Y271" i="9"/>
  <c r="M272" i="9"/>
  <c r="S272" i="9"/>
  <c r="X272" i="9"/>
  <c r="Y272" i="9" s="1"/>
  <c r="AC272" i="9"/>
  <c r="AE272" i="9" s="1"/>
  <c r="AI272" i="9"/>
  <c r="AL273" i="9"/>
  <c r="AH273" i="9"/>
  <c r="Z273" i="9"/>
  <c r="AA273" i="9" s="1"/>
  <c r="AG273" i="9" s="1"/>
  <c r="V273" i="9"/>
  <c r="R273" i="9"/>
  <c r="N273" i="9"/>
  <c r="Q273" i="9"/>
  <c r="W273" i="9"/>
  <c r="AD273" i="9" s="1"/>
  <c r="AB273" i="9"/>
  <c r="K274" i="9"/>
  <c r="P274" i="9"/>
  <c r="U274" i="9"/>
  <c r="AF274" i="9" s="1"/>
  <c r="AA274" i="9"/>
  <c r="AG274" i="9" s="1"/>
  <c r="O275" i="9"/>
  <c r="T275" i="9"/>
  <c r="M276" i="9"/>
  <c r="S276" i="9"/>
  <c r="X276" i="9"/>
  <c r="Y276" i="9" s="1"/>
  <c r="AC276" i="9"/>
  <c r="AE276" i="9" s="1"/>
  <c r="AI276" i="9"/>
  <c r="AL277" i="9"/>
  <c r="AH277" i="9"/>
  <c r="Z277" i="9"/>
  <c r="AA277" i="9" s="1"/>
  <c r="AG277" i="9" s="1"/>
  <c r="V277" i="9"/>
  <c r="R277" i="9"/>
  <c r="N277" i="9"/>
  <c r="Q277" i="9"/>
  <c r="W277" i="9"/>
  <c r="AD277" i="9" s="1"/>
  <c r="AB277" i="9"/>
  <c r="K278" i="9"/>
  <c r="P278" i="9"/>
  <c r="U278" i="9"/>
  <c r="AF278" i="9" s="1"/>
  <c r="AA278" i="9"/>
  <c r="AG278" i="9" s="1"/>
  <c r="O279" i="9"/>
  <c r="T279" i="9"/>
  <c r="Y279" i="9"/>
  <c r="M280" i="9"/>
  <c r="S280" i="9"/>
  <c r="X280" i="9"/>
  <c r="Y280" i="9" s="1"/>
  <c r="AC280" i="9"/>
  <c r="AE280" i="9" s="1"/>
  <c r="AI280" i="9"/>
  <c r="AL281" i="9"/>
  <c r="AH281" i="9"/>
  <c r="Z281" i="9"/>
  <c r="AA281" i="9" s="1"/>
  <c r="AG281" i="9" s="1"/>
  <c r="V281" i="9"/>
  <c r="AB281" i="9" s="1"/>
  <c r="R281" i="9"/>
  <c r="N281" i="9"/>
  <c r="Q281" i="9"/>
  <c r="W281" i="9"/>
  <c r="AD281" i="9" s="1"/>
  <c r="K282" i="9"/>
  <c r="P282" i="9"/>
  <c r="U282" i="9"/>
  <c r="AF282" i="9" s="1"/>
  <c r="O283" i="9"/>
  <c r="T283" i="9"/>
  <c r="Y283" i="9"/>
  <c r="M284" i="9"/>
  <c r="S284" i="9"/>
  <c r="X284" i="9"/>
  <c r="Y284" i="9" s="1"/>
  <c r="AC284" i="9"/>
  <c r="AE284" i="9" s="1"/>
  <c r="AI284" i="9"/>
  <c r="AL285" i="9"/>
  <c r="AH285" i="9"/>
  <c r="Z285" i="9"/>
  <c r="AA285" i="9" s="1"/>
  <c r="AG285" i="9" s="1"/>
  <c r="V285" i="9"/>
  <c r="AB285" i="9" s="1"/>
  <c r="R285" i="9"/>
  <c r="N285" i="9"/>
  <c r="Q285" i="9"/>
  <c r="W285" i="9"/>
  <c r="AD285" i="9" s="1"/>
  <c r="K286" i="9"/>
  <c r="P286" i="9"/>
  <c r="U286" i="9"/>
  <c r="AF286" i="9" s="1"/>
  <c r="O287" i="9"/>
  <c r="T287" i="9"/>
  <c r="Y287" i="9"/>
  <c r="M288" i="9"/>
  <c r="S288" i="9"/>
  <c r="X288" i="9"/>
  <c r="Y288" i="9" s="1"/>
  <c r="AC288" i="9"/>
  <c r="AE288" i="9" s="1"/>
  <c r="AI288" i="9"/>
  <c r="AL289" i="9"/>
  <c r="AH289" i="9"/>
  <c r="Z289" i="9"/>
  <c r="AA289" i="9" s="1"/>
  <c r="AG289" i="9" s="1"/>
  <c r="V289" i="9"/>
  <c r="R289" i="9"/>
  <c r="N289" i="9"/>
  <c r="Q289" i="9"/>
  <c r="W289" i="9"/>
  <c r="AD289" i="9" s="1"/>
  <c r="AB289" i="9"/>
  <c r="K290" i="9"/>
  <c r="P290" i="9"/>
  <c r="U290" i="9"/>
  <c r="AF290" i="9" s="1"/>
  <c r="AA290" i="9"/>
  <c r="AG290" i="9" s="1"/>
  <c r="O291" i="9"/>
  <c r="T291" i="9"/>
  <c r="M292" i="9"/>
  <c r="S292" i="9"/>
  <c r="X292" i="9"/>
  <c r="Y292" i="9" s="1"/>
  <c r="AC292" i="9"/>
  <c r="AE292" i="9" s="1"/>
  <c r="AI292" i="9"/>
  <c r="AL293" i="9"/>
  <c r="AH293" i="9"/>
  <c r="Z293" i="9"/>
  <c r="AA293" i="9" s="1"/>
  <c r="AG293" i="9" s="1"/>
  <c r="V293" i="9"/>
  <c r="R293" i="9"/>
  <c r="N293" i="9"/>
  <c r="Q293" i="9"/>
  <c r="W293" i="9"/>
  <c r="AD293" i="9" s="1"/>
  <c r="AB293" i="9"/>
  <c r="K294" i="9"/>
  <c r="P294" i="9"/>
  <c r="U294" i="9"/>
  <c r="AF294" i="9" s="1"/>
  <c r="AA294" i="9"/>
  <c r="AG294" i="9" s="1"/>
  <c r="O295" i="9"/>
  <c r="T295" i="9"/>
  <c r="Y295" i="9"/>
  <c r="M296" i="9"/>
  <c r="S296" i="9"/>
  <c r="X296" i="9"/>
  <c r="Y296" i="9" s="1"/>
  <c r="AC296" i="9"/>
  <c r="AE296" i="9" s="1"/>
  <c r="AI296" i="9"/>
  <c r="AL297" i="9"/>
  <c r="AH297" i="9"/>
  <c r="Z297" i="9"/>
  <c r="AA297" i="9" s="1"/>
  <c r="AG297" i="9" s="1"/>
  <c r="V297" i="9"/>
  <c r="AB297" i="9" s="1"/>
  <c r="R297" i="9"/>
  <c r="N297" i="9"/>
  <c r="Q297" i="9"/>
  <c r="W297" i="9"/>
  <c r="AD297" i="9" s="1"/>
  <c r="K298" i="9"/>
  <c r="P298" i="9"/>
  <c r="U298" i="9"/>
  <c r="AF298" i="9" s="1"/>
  <c r="O299" i="9"/>
  <c r="T299" i="9"/>
  <c r="Y299" i="9"/>
  <c r="M300" i="9"/>
  <c r="S300" i="9"/>
  <c r="X300" i="9"/>
  <c r="Y300" i="9" s="1"/>
  <c r="AC300" i="9"/>
  <c r="AE300" i="9" s="1"/>
  <c r="AI300" i="9"/>
  <c r="AL301" i="9"/>
  <c r="AH301" i="9"/>
  <c r="Z301" i="9"/>
  <c r="AA301" i="9" s="1"/>
  <c r="AG301" i="9" s="1"/>
  <c r="V301" i="9"/>
  <c r="AB301" i="9" s="1"/>
  <c r="R301" i="9"/>
  <c r="N301" i="9"/>
  <c r="Q301" i="9"/>
  <c r="W301" i="9"/>
  <c r="AD301" i="9" s="1"/>
  <c r="K302" i="9"/>
  <c r="P302" i="9"/>
  <c r="U302" i="9"/>
  <c r="AF302" i="9" s="1"/>
  <c r="O303" i="9"/>
  <c r="T303" i="9"/>
  <c r="Y303" i="9"/>
  <c r="S304" i="9"/>
  <c r="X304" i="9"/>
  <c r="Y304" i="9" s="1"/>
  <c r="AC304" i="9"/>
  <c r="AE304" i="9" s="1"/>
  <c r="AI304" i="9"/>
  <c r="AL305" i="9"/>
  <c r="AH305" i="9"/>
  <c r="Z305" i="9"/>
  <c r="AA305" i="9" s="1"/>
  <c r="AG305" i="9" s="1"/>
  <c r="V305" i="9"/>
  <c r="AB305" i="9" s="1"/>
  <c r="R305" i="9"/>
  <c r="N305" i="9"/>
  <c r="Q305" i="9"/>
  <c r="W305" i="9"/>
  <c r="AD305" i="9" s="1"/>
  <c r="K306" i="9"/>
  <c r="P306" i="9"/>
  <c r="U306" i="9"/>
  <c r="AF306" i="9" s="1"/>
  <c r="O307" i="9"/>
  <c r="T307" i="9"/>
  <c r="M308" i="9"/>
  <c r="S308" i="9"/>
  <c r="X308" i="9"/>
  <c r="Y308" i="9" s="1"/>
  <c r="AC308" i="9"/>
  <c r="AE308" i="9" s="1"/>
  <c r="AI308" i="9"/>
  <c r="AL309" i="9"/>
  <c r="AH309" i="9"/>
  <c r="Z309" i="9"/>
  <c r="AA309" i="9" s="1"/>
  <c r="AG309" i="9" s="1"/>
  <c r="V309" i="9"/>
  <c r="R309" i="9"/>
  <c r="N309" i="9"/>
  <c r="Q309" i="9"/>
  <c r="W309" i="9"/>
  <c r="AD309" i="9" s="1"/>
  <c r="AB309" i="9"/>
  <c r="K310" i="9"/>
  <c r="P310" i="9"/>
  <c r="U310" i="9"/>
  <c r="AF310" i="9" s="1"/>
  <c r="O311" i="9"/>
  <c r="T311" i="9"/>
  <c r="Y311" i="9"/>
  <c r="M312" i="9"/>
  <c r="S312" i="9"/>
  <c r="X312" i="9"/>
  <c r="Y312" i="9" s="1"/>
  <c r="AC312" i="9"/>
  <c r="AE312" i="9" s="1"/>
  <c r="AI312" i="9"/>
  <c r="AL313" i="9"/>
  <c r="AH313" i="9"/>
  <c r="Z313" i="9"/>
  <c r="V313" i="9"/>
  <c r="R313" i="9"/>
  <c r="N313" i="9"/>
  <c r="Q313" i="9"/>
  <c r="W313" i="9"/>
  <c r="AD313" i="9" s="1"/>
  <c r="AB313" i="9"/>
  <c r="K314" i="9"/>
  <c r="P314" i="9"/>
  <c r="U314" i="9"/>
  <c r="AF314" i="9" s="1"/>
  <c r="O315" i="9"/>
  <c r="T315" i="9"/>
  <c r="M316" i="9"/>
  <c r="S316" i="9"/>
  <c r="X316" i="9"/>
  <c r="Y316" i="9" s="1"/>
  <c r="AC316" i="9"/>
  <c r="AE316" i="9" s="1"/>
  <c r="AI316" i="9"/>
  <c r="AL317" i="9"/>
  <c r="AH317" i="9"/>
  <c r="Z317" i="9"/>
  <c r="AA317" i="9" s="1"/>
  <c r="AG317" i="9" s="1"/>
  <c r="V317" i="9"/>
  <c r="AB317" i="9" s="1"/>
  <c r="R317" i="9"/>
  <c r="N317" i="9"/>
  <c r="Q317" i="9"/>
  <c r="W317" i="9"/>
  <c r="AD317" i="9" s="1"/>
  <c r="K318" i="9"/>
  <c r="P318" i="9"/>
  <c r="U318" i="9"/>
  <c r="AF318" i="9" s="1"/>
  <c r="O319" i="9"/>
  <c r="T319" i="9"/>
  <c r="Y319" i="9"/>
  <c r="M320" i="9"/>
  <c r="S320" i="9"/>
  <c r="X320" i="9"/>
  <c r="Y320" i="9" s="1"/>
  <c r="AC320" i="9"/>
  <c r="AE320" i="9" s="1"/>
  <c r="AI320" i="9"/>
  <c r="AL321" i="9"/>
  <c r="AH321" i="9"/>
  <c r="Z321" i="9"/>
  <c r="AA321" i="9" s="1"/>
  <c r="AG321" i="9" s="1"/>
  <c r="V321" i="9"/>
  <c r="AB321" i="9" s="1"/>
  <c r="R321" i="9"/>
  <c r="N321" i="9"/>
  <c r="Q321" i="9"/>
  <c r="W321" i="9"/>
  <c r="AD321" i="9" s="1"/>
  <c r="K322" i="9"/>
  <c r="P322" i="9"/>
  <c r="U322" i="9"/>
  <c r="AF322" i="9" s="1"/>
  <c r="O323" i="9"/>
  <c r="T323" i="9"/>
  <c r="M324" i="9"/>
  <c r="S324" i="9"/>
  <c r="X324" i="9"/>
  <c r="Y324" i="9" s="1"/>
  <c r="AC324" i="9"/>
  <c r="AE324" i="9" s="1"/>
  <c r="AI324" i="9"/>
  <c r="AL325" i="9"/>
  <c r="AH325" i="9"/>
  <c r="Z325" i="9"/>
  <c r="AA325" i="9" s="1"/>
  <c r="AG325" i="9" s="1"/>
  <c r="V325" i="9"/>
  <c r="R325" i="9"/>
  <c r="N325" i="9"/>
  <c r="Q325" i="9"/>
  <c r="W325" i="9"/>
  <c r="AD325" i="9" s="1"/>
  <c r="AB325" i="9"/>
  <c r="K326" i="9"/>
  <c r="P326" i="9"/>
  <c r="U326" i="9"/>
  <c r="AF326" i="9" s="1"/>
  <c r="O327" i="9"/>
  <c r="T327" i="9"/>
  <c r="Y327" i="9"/>
  <c r="M328" i="9"/>
  <c r="S328" i="9"/>
  <c r="X328" i="9"/>
  <c r="Y328" i="9" s="1"/>
  <c r="AC328" i="9"/>
  <c r="AE328" i="9" s="1"/>
  <c r="AI328" i="9"/>
  <c r="AL329" i="9"/>
  <c r="AH329" i="9"/>
  <c r="Z329" i="9"/>
  <c r="V329" i="9"/>
  <c r="R329" i="9"/>
  <c r="N329" i="9"/>
  <c r="Q329" i="9"/>
  <c r="W329" i="9"/>
  <c r="AD329" i="9" s="1"/>
  <c r="AB329" i="9"/>
  <c r="K330" i="9"/>
  <c r="P330" i="9"/>
  <c r="U330" i="9"/>
  <c r="AF330" i="9" s="1"/>
  <c r="O331" i="9"/>
  <c r="T331" i="9"/>
  <c r="AB331" i="9"/>
  <c r="P332" i="9"/>
  <c r="AL333" i="9"/>
  <c r="AH333" i="9"/>
  <c r="Z333" i="9"/>
  <c r="AA333" i="9" s="1"/>
  <c r="AG333" i="9" s="1"/>
  <c r="V333" i="9"/>
  <c r="AB333" i="9" s="1"/>
  <c r="R333" i="9"/>
  <c r="N333" i="9"/>
  <c r="AK333" i="9"/>
  <c r="AC333" i="9"/>
  <c r="AE333" i="9" s="1"/>
  <c r="Y333" i="9"/>
  <c r="U333" i="9"/>
  <c r="AF333" i="9" s="1"/>
  <c r="Q333" i="9"/>
  <c r="M333" i="9"/>
  <c r="T333" i="9"/>
  <c r="AJ333" i="9"/>
  <c r="P334" i="9"/>
  <c r="AL335" i="9"/>
  <c r="AH335" i="9"/>
  <c r="Z335" i="9"/>
  <c r="AA335" i="9" s="1"/>
  <c r="AG335" i="9" s="1"/>
  <c r="V335" i="9"/>
  <c r="AB335" i="9" s="1"/>
  <c r="R335" i="9"/>
  <c r="N335" i="9"/>
  <c r="AK335" i="9"/>
  <c r="AC335" i="9"/>
  <c r="AE335" i="9" s="1"/>
  <c r="Y335" i="9"/>
  <c r="U335" i="9"/>
  <c r="AF335" i="9" s="1"/>
  <c r="Q335" i="9"/>
  <c r="M335" i="9"/>
  <c r="T335" i="9"/>
  <c r="AJ335" i="9"/>
  <c r="P336" i="9"/>
  <c r="AL337" i="9"/>
  <c r="AH337" i="9"/>
  <c r="Z337" i="9"/>
  <c r="V337" i="9"/>
  <c r="AB337" i="9" s="1"/>
  <c r="R337" i="9"/>
  <c r="N337" i="9"/>
  <c r="AK337" i="9"/>
  <c r="AC337" i="9"/>
  <c r="AE337" i="9" s="1"/>
  <c r="Y337" i="9"/>
  <c r="U337" i="9"/>
  <c r="AF337" i="9" s="1"/>
  <c r="Q337" i="9"/>
  <c r="M337" i="9"/>
  <c r="T337" i="9"/>
  <c r="AJ337" i="9"/>
  <c r="P338" i="9"/>
  <c r="AL339" i="9"/>
  <c r="AH339" i="9"/>
  <c r="Z339" i="9"/>
  <c r="AA339" i="9" s="1"/>
  <c r="AG339" i="9" s="1"/>
  <c r="V339" i="9"/>
  <c r="AB339" i="9" s="1"/>
  <c r="R339" i="9"/>
  <c r="N339" i="9"/>
  <c r="AK339" i="9"/>
  <c r="AC339" i="9"/>
  <c r="AE339" i="9" s="1"/>
  <c r="Y339" i="9"/>
  <c r="U339" i="9"/>
  <c r="AF339" i="9" s="1"/>
  <c r="Q339" i="9"/>
  <c r="M339" i="9"/>
  <c r="T339" i="9"/>
  <c r="AJ339" i="9"/>
  <c r="P340" i="9"/>
  <c r="AL341" i="9"/>
  <c r="AH341" i="9"/>
  <c r="Z341" i="9"/>
  <c r="AA341" i="9" s="1"/>
  <c r="AG341" i="9" s="1"/>
  <c r="V341" i="9"/>
  <c r="AB341" i="9" s="1"/>
  <c r="R341" i="9"/>
  <c r="N341" i="9"/>
  <c r="AK341" i="9"/>
  <c r="AC341" i="9"/>
  <c r="AE341" i="9" s="1"/>
  <c r="Y341" i="9"/>
  <c r="U341" i="9"/>
  <c r="AF341" i="9" s="1"/>
  <c r="Q341" i="9"/>
  <c r="M341" i="9"/>
  <c r="T341" i="9"/>
  <c r="AJ341" i="9"/>
  <c r="P342" i="9"/>
  <c r="AL343" i="9"/>
  <c r="AH343" i="9"/>
  <c r="Z343" i="9"/>
  <c r="AA343" i="9" s="1"/>
  <c r="AG343" i="9" s="1"/>
  <c r="V343" i="9"/>
  <c r="AB343" i="9" s="1"/>
  <c r="R343" i="9"/>
  <c r="N343" i="9"/>
  <c r="AK343" i="9"/>
  <c r="AC343" i="9"/>
  <c r="AE343" i="9" s="1"/>
  <c r="Y343" i="9"/>
  <c r="U343" i="9"/>
  <c r="AF343" i="9" s="1"/>
  <c r="Q343" i="9"/>
  <c r="M343" i="9"/>
  <c r="T343" i="9"/>
  <c r="AJ343" i="9"/>
  <c r="P344" i="9"/>
  <c r="AL345" i="9"/>
  <c r="AH345" i="9"/>
  <c r="Z345" i="9"/>
  <c r="V345" i="9"/>
  <c r="AB345" i="9" s="1"/>
  <c r="R345" i="9"/>
  <c r="N345" i="9"/>
  <c r="AK345" i="9"/>
  <c r="AC345" i="9"/>
  <c r="AE345" i="9" s="1"/>
  <c r="Y345" i="9"/>
  <c r="U345" i="9"/>
  <c r="AF345" i="9" s="1"/>
  <c r="Q345" i="9"/>
  <c r="M345" i="9"/>
  <c r="T345" i="9"/>
  <c r="AJ345" i="9"/>
  <c r="P346" i="9"/>
  <c r="AL347" i="9"/>
  <c r="AH347" i="9"/>
  <c r="Z347" i="9"/>
  <c r="AA347" i="9" s="1"/>
  <c r="AG347" i="9" s="1"/>
  <c r="V347" i="9"/>
  <c r="AB347" i="9" s="1"/>
  <c r="R347" i="9"/>
  <c r="N347" i="9"/>
  <c r="AK347" i="9"/>
  <c r="AC347" i="9"/>
  <c r="AE347" i="9" s="1"/>
  <c r="Y347" i="9"/>
  <c r="U347" i="9"/>
  <c r="AF347" i="9" s="1"/>
  <c r="Q347" i="9"/>
  <c r="M347" i="9"/>
  <c r="T347" i="9"/>
  <c r="AJ347" i="9"/>
  <c r="P348" i="9"/>
  <c r="AL349" i="9"/>
  <c r="AH349" i="9"/>
  <c r="Z349" i="9"/>
  <c r="AA349" i="9" s="1"/>
  <c r="AG349" i="9" s="1"/>
  <c r="V349" i="9"/>
  <c r="AB349" i="9" s="1"/>
  <c r="R349" i="9"/>
  <c r="N349" i="9"/>
  <c r="AK349" i="9"/>
  <c r="AC349" i="9"/>
  <c r="AE349" i="9" s="1"/>
  <c r="Y349" i="9"/>
  <c r="U349" i="9"/>
  <c r="AF349" i="9" s="1"/>
  <c r="Q349" i="9"/>
  <c r="M349" i="9"/>
  <c r="T349" i="9"/>
  <c r="AJ349" i="9"/>
  <c r="P350" i="9"/>
  <c r="AL351" i="9"/>
  <c r="AH351" i="9"/>
  <c r="Z351" i="9"/>
  <c r="AA351" i="9" s="1"/>
  <c r="AG351" i="9" s="1"/>
  <c r="V351" i="9"/>
  <c r="AB351" i="9" s="1"/>
  <c r="R351" i="9"/>
  <c r="N351" i="9"/>
  <c r="AK351" i="9"/>
  <c r="AC351" i="9"/>
  <c r="AE351" i="9" s="1"/>
  <c r="Y351" i="9"/>
  <c r="U351" i="9"/>
  <c r="AF351" i="9" s="1"/>
  <c r="Q351" i="9"/>
  <c r="M351" i="9"/>
  <c r="T351" i="9"/>
  <c r="AJ351" i="9"/>
  <c r="P352" i="9"/>
  <c r="AL353" i="9"/>
  <c r="AH353" i="9"/>
  <c r="Z353" i="9"/>
  <c r="V353" i="9"/>
  <c r="AB353" i="9" s="1"/>
  <c r="R353" i="9"/>
  <c r="N353" i="9"/>
  <c r="AK353" i="9"/>
  <c r="AC353" i="9"/>
  <c r="AE353" i="9" s="1"/>
  <c r="Y353" i="9"/>
  <c r="U353" i="9"/>
  <c r="AF353" i="9" s="1"/>
  <c r="Q353" i="9"/>
  <c r="M353" i="9"/>
  <c r="T353" i="9"/>
  <c r="AJ353" i="9"/>
  <c r="P354" i="9"/>
  <c r="AL355" i="9"/>
  <c r="AH355" i="9"/>
  <c r="Z355" i="9"/>
  <c r="AA355" i="9" s="1"/>
  <c r="AG355" i="9" s="1"/>
  <c r="V355" i="9"/>
  <c r="AB355" i="9" s="1"/>
  <c r="R355" i="9"/>
  <c r="N355" i="9"/>
  <c r="AK355" i="9"/>
  <c r="AC355" i="9"/>
  <c r="AE355" i="9" s="1"/>
  <c r="Y355" i="9"/>
  <c r="U355" i="9"/>
  <c r="AF355" i="9" s="1"/>
  <c r="Q355" i="9"/>
  <c r="M355" i="9"/>
  <c r="T355" i="9"/>
  <c r="AJ355" i="9"/>
  <c r="P356" i="9"/>
  <c r="N357" i="9"/>
  <c r="X357" i="9"/>
  <c r="Y357" i="9" s="1"/>
  <c r="AI357" i="9"/>
  <c r="R358" i="9"/>
  <c r="N361" i="9"/>
  <c r="X361" i="9"/>
  <c r="Y361" i="9" s="1"/>
  <c r="AI361" i="9"/>
  <c r="R362" i="9"/>
  <c r="N365" i="9"/>
  <c r="X365" i="9"/>
  <c r="Y365" i="9" s="1"/>
  <c r="AI365" i="9"/>
  <c r="R366" i="9"/>
  <c r="N369" i="9"/>
  <c r="X369" i="9"/>
  <c r="Y369" i="9" s="1"/>
  <c r="AI369" i="9"/>
  <c r="R370" i="9"/>
  <c r="N373" i="9"/>
  <c r="X373" i="9"/>
  <c r="Y373" i="9" s="1"/>
  <c r="AI373" i="9"/>
  <c r="R374" i="9"/>
  <c r="N377" i="9"/>
  <c r="X377" i="9"/>
  <c r="Y377" i="9" s="1"/>
  <c r="AI377" i="9"/>
  <c r="R378" i="9"/>
  <c r="N381" i="9"/>
  <c r="X381" i="9"/>
  <c r="Y381" i="9" s="1"/>
  <c r="AI381" i="9"/>
  <c r="R382" i="9"/>
  <c r="N385" i="9"/>
  <c r="X385" i="9"/>
  <c r="Y385" i="9" s="1"/>
  <c r="AI385" i="9"/>
  <c r="R386" i="9"/>
  <c r="N389" i="9"/>
  <c r="X389" i="9"/>
  <c r="Y389" i="9" s="1"/>
  <c r="AI389" i="9"/>
  <c r="R390" i="9"/>
  <c r="N393" i="9"/>
  <c r="X393" i="9"/>
  <c r="Y393" i="9" s="1"/>
  <c r="AI393" i="9"/>
  <c r="R394" i="9"/>
  <c r="N397" i="9"/>
  <c r="X397" i="9"/>
  <c r="Y397" i="9" s="1"/>
  <c r="AI397" i="9"/>
  <c r="R398" i="9"/>
  <c r="N401" i="9"/>
  <c r="X401" i="9"/>
  <c r="Y401" i="9" s="1"/>
  <c r="AI401" i="9"/>
  <c r="R402" i="9"/>
  <c r="N405" i="9"/>
  <c r="X405" i="9"/>
  <c r="Y405" i="9" s="1"/>
  <c r="AI405" i="9"/>
  <c r="R406" i="9"/>
  <c r="N409" i="9"/>
  <c r="X409" i="9"/>
  <c r="Y409" i="9" s="1"/>
  <c r="AI409" i="9"/>
  <c r="R410" i="9"/>
  <c r="N413" i="9"/>
  <c r="X413" i="9"/>
  <c r="Y413" i="9" s="1"/>
  <c r="AI413" i="9"/>
  <c r="R414" i="9"/>
  <c r="N417" i="9"/>
  <c r="X417" i="9"/>
  <c r="Y417" i="9" s="1"/>
  <c r="AI417" i="9"/>
  <c r="R418" i="9"/>
  <c r="N421" i="9"/>
  <c r="X421" i="9"/>
  <c r="Y421" i="9" s="1"/>
  <c r="AI421" i="9"/>
  <c r="R422" i="9"/>
  <c r="N425" i="9"/>
  <c r="X425" i="9"/>
  <c r="Y425" i="9" s="1"/>
  <c r="AI425" i="9"/>
  <c r="R426" i="9"/>
  <c r="N429" i="9"/>
  <c r="X429" i="9"/>
  <c r="Y429" i="9" s="1"/>
  <c r="AI429" i="9"/>
  <c r="R430" i="9"/>
  <c r="N433" i="9"/>
  <c r="X433" i="9"/>
  <c r="Y433" i="9" s="1"/>
  <c r="AI433" i="9"/>
  <c r="R434" i="9"/>
  <c r="N437" i="9"/>
  <c r="X437" i="9"/>
  <c r="Y437" i="9" s="1"/>
  <c r="AI437" i="9"/>
  <c r="R438" i="9"/>
  <c r="N441" i="9"/>
  <c r="X441" i="9"/>
  <c r="Y441" i="9" s="1"/>
  <c r="AI441" i="9"/>
  <c r="R442" i="9"/>
  <c r="N445" i="9"/>
  <c r="X445" i="9"/>
  <c r="Y445" i="9" s="1"/>
  <c r="AI445" i="9"/>
  <c r="R446" i="9"/>
  <c r="N449" i="9"/>
  <c r="X449" i="9"/>
  <c r="Y449" i="9" s="1"/>
  <c r="AI449" i="9"/>
  <c r="R450" i="9"/>
  <c r="N453" i="9"/>
  <c r="X453" i="9"/>
  <c r="Y453" i="9" s="1"/>
  <c r="AI453" i="9"/>
  <c r="R454" i="9"/>
  <c r="N457" i="9"/>
  <c r="X457" i="9"/>
  <c r="Y457" i="9" s="1"/>
  <c r="AI457" i="9"/>
  <c r="R458" i="9"/>
  <c r="AK462" i="9"/>
  <c r="AC462" i="9"/>
  <c r="AE462" i="9" s="1"/>
  <c r="U462" i="9"/>
  <c r="AF462" i="9" s="1"/>
  <c r="Q462" i="9"/>
  <c r="M462" i="9"/>
  <c r="AL462" i="9"/>
  <c r="AA462" i="9"/>
  <c r="AG462" i="9" s="1"/>
  <c r="V462" i="9"/>
  <c r="AB462" i="9" s="1"/>
  <c r="P462" i="9"/>
  <c r="K462" i="9"/>
  <c r="AJ462" i="9"/>
  <c r="Z462" i="9"/>
  <c r="T462" i="9"/>
  <c r="O462" i="9"/>
  <c r="AI462" i="9"/>
  <c r="X462" i="9"/>
  <c r="Y462" i="9" s="1"/>
  <c r="S462" i="9"/>
  <c r="N462" i="9"/>
  <c r="AH462" i="9"/>
  <c r="AK466" i="9"/>
  <c r="AC466" i="9"/>
  <c r="AE466" i="9" s="1"/>
  <c r="U466" i="9"/>
  <c r="AF466" i="9" s="1"/>
  <c r="Q466" i="9"/>
  <c r="M466" i="9"/>
  <c r="AL466" i="9"/>
  <c r="AA466" i="9"/>
  <c r="AG466" i="9" s="1"/>
  <c r="V466" i="9"/>
  <c r="AB466" i="9" s="1"/>
  <c r="P466" i="9"/>
  <c r="K466" i="9"/>
  <c r="AJ466" i="9"/>
  <c r="Z466" i="9"/>
  <c r="T466" i="9"/>
  <c r="O466" i="9"/>
  <c r="AI466" i="9"/>
  <c r="X466" i="9"/>
  <c r="Y466" i="9" s="1"/>
  <c r="S466" i="9"/>
  <c r="N466" i="9"/>
  <c r="AH466" i="9"/>
  <c r="AK470" i="9"/>
  <c r="AC470" i="9"/>
  <c r="AE470" i="9" s="1"/>
  <c r="U470" i="9"/>
  <c r="AF470" i="9" s="1"/>
  <c r="Q470" i="9"/>
  <c r="M470" i="9"/>
  <c r="AL470" i="9"/>
  <c r="AA470" i="9"/>
  <c r="AG470" i="9" s="1"/>
  <c r="V470" i="9"/>
  <c r="AB470" i="9" s="1"/>
  <c r="P470" i="9"/>
  <c r="K470" i="9"/>
  <c r="AJ470" i="9"/>
  <c r="Z470" i="9"/>
  <c r="T470" i="9"/>
  <c r="O470" i="9"/>
  <c r="AI470" i="9"/>
  <c r="X470" i="9"/>
  <c r="Y470" i="9" s="1"/>
  <c r="S470" i="9"/>
  <c r="N470" i="9"/>
  <c r="AH470" i="9"/>
  <c r="AK474" i="9"/>
  <c r="AC474" i="9"/>
  <c r="AE474" i="9" s="1"/>
  <c r="U474" i="9"/>
  <c r="AF474" i="9" s="1"/>
  <c r="Q474" i="9"/>
  <c r="M474" i="9"/>
  <c r="AL474" i="9"/>
  <c r="AA474" i="9"/>
  <c r="AG474" i="9" s="1"/>
  <c r="V474" i="9"/>
  <c r="AB474" i="9" s="1"/>
  <c r="P474" i="9"/>
  <c r="K474" i="9"/>
  <c r="AJ474" i="9"/>
  <c r="Z474" i="9"/>
  <c r="T474" i="9"/>
  <c r="O474" i="9"/>
  <c r="AI474" i="9"/>
  <c r="X474" i="9"/>
  <c r="Y474" i="9" s="1"/>
  <c r="S474" i="9"/>
  <c r="N474" i="9"/>
  <c r="AH474" i="9"/>
  <c r="AK478" i="9"/>
  <c r="AC478" i="9"/>
  <c r="AE478" i="9" s="1"/>
  <c r="U478" i="9"/>
  <c r="AF478" i="9" s="1"/>
  <c r="Q478" i="9"/>
  <c r="M478" i="9"/>
  <c r="AL478" i="9"/>
  <c r="AA478" i="9"/>
  <c r="AG478" i="9" s="1"/>
  <c r="V478" i="9"/>
  <c r="AB478" i="9" s="1"/>
  <c r="P478" i="9"/>
  <c r="K478" i="9"/>
  <c r="AJ478" i="9"/>
  <c r="Z478" i="9"/>
  <c r="T478" i="9"/>
  <c r="O478" i="9"/>
  <c r="AI478" i="9"/>
  <c r="X478" i="9"/>
  <c r="Y478" i="9" s="1"/>
  <c r="S478" i="9"/>
  <c r="N478" i="9"/>
  <c r="AH478" i="9"/>
  <c r="AK482" i="9"/>
  <c r="AC482" i="9"/>
  <c r="AE482" i="9" s="1"/>
  <c r="U482" i="9"/>
  <c r="AF482" i="9" s="1"/>
  <c r="Q482" i="9"/>
  <c r="M482" i="9"/>
  <c r="AL482" i="9"/>
  <c r="AA482" i="9"/>
  <c r="AG482" i="9" s="1"/>
  <c r="V482" i="9"/>
  <c r="AB482" i="9" s="1"/>
  <c r="P482" i="9"/>
  <c r="K482" i="9"/>
  <c r="AJ482" i="9"/>
  <c r="Z482" i="9"/>
  <c r="T482" i="9"/>
  <c r="O482" i="9"/>
  <c r="AI482" i="9"/>
  <c r="X482" i="9"/>
  <c r="Y482" i="9" s="1"/>
  <c r="S482" i="9"/>
  <c r="N482" i="9"/>
  <c r="AH482" i="9"/>
  <c r="AK486" i="9"/>
  <c r="AC486" i="9"/>
  <c r="AE486" i="9" s="1"/>
  <c r="U486" i="9"/>
  <c r="AF486" i="9" s="1"/>
  <c r="Q486" i="9"/>
  <c r="M486" i="9"/>
  <c r="AL486" i="9"/>
  <c r="AA486" i="9"/>
  <c r="AG486" i="9" s="1"/>
  <c r="V486" i="9"/>
  <c r="AB486" i="9" s="1"/>
  <c r="P486" i="9"/>
  <c r="K486" i="9"/>
  <c r="AJ486" i="9"/>
  <c r="Z486" i="9"/>
  <c r="T486" i="9"/>
  <c r="O486" i="9"/>
  <c r="AI486" i="9"/>
  <c r="X486" i="9"/>
  <c r="Y486" i="9" s="1"/>
  <c r="S486" i="9"/>
  <c r="N486" i="9"/>
  <c r="AH486" i="9"/>
  <c r="AK490" i="9"/>
  <c r="AC490" i="9"/>
  <c r="AE490" i="9" s="1"/>
  <c r="U490" i="9"/>
  <c r="AF490" i="9" s="1"/>
  <c r="Q490" i="9"/>
  <c r="M490" i="9"/>
  <c r="AL490" i="9"/>
  <c r="AA490" i="9"/>
  <c r="AG490" i="9" s="1"/>
  <c r="V490" i="9"/>
  <c r="P490" i="9"/>
  <c r="K490" i="9"/>
  <c r="AJ490" i="9"/>
  <c r="Z490" i="9"/>
  <c r="T490" i="9"/>
  <c r="O490" i="9"/>
  <c r="AI490" i="9"/>
  <c r="X490" i="9"/>
  <c r="Y490" i="9" s="1"/>
  <c r="S490" i="9"/>
  <c r="N490" i="9"/>
  <c r="AH490" i="9"/>
  <c r="AK494" i="9"/>
  <c r="AC494" i="9"/>
  <c r="AE494" i="9" s="1"/>
  <c r="U494" i="9"/>
  <c r="AF494" i="9" s="1"/>
  <c r="Q494" i="9"/>
  <c r="M494" i="9"/>
  <c r="AL494" i="9"/>
  <c r="AA494" i="9"/>
  <c r="AG494" i="9" s="1"/>
  <c r="V494" i="9"/>
  <c r="AB494" i="9" s="1"/>
  <c r="P494" i="9"/>
  <c r="K494" i="9"/>
  <c r="AJ494" i="9"/>
  <c r="Z494" i="9"/>
  <c r="T494" i="9"/>
  <c r="O494" i="9"/>
  <c r="AI494" i="9"/>
  <c r="X494" i="9"/>
  <c r="Y494" i="9" s="1"/>
  <c r="S494" i="9"/>
  <c r="N494" i="9"/>
  <c r="AH494" i="9"/>
  <c r="AK498" i="9"/>
  <c r="AC498" i="9"/>
  <c r="AE498" i="9" s="1"/>
  <c r="U498" i="9"/>
  <c r="AF498" i="9" s="1"/>
  <c r="Q498" i="9"/>
  <c r="M498" i="9"/>
  <c r="AL498" i="9"/>
  <c r="AA498" i="9"/>
  <c r="AG498" i="9" s="1"/>
  <c r="V498" i="9"/>
  <c r="AB498" i="9" s="1"/>
  <c r="P498" i="9"/>
  <c r="K498" i="9"/>
  <c r="AJ498" i="9"/>
  <c r="Z498" i="9"/>
  <c r="T498" i="9"/>
  <c r="O498" i="9"/>
  <c r="AI498" i="9"/>
  <c r="X498" i="9"/>
  <c r="Y498" i="9" s="1"/>
  <c r="S498" i="9"/>
  <c r="N498" i="9"/>
  <c r="AH498" i="9"/>
  <c r="AJ2" i="13"/>
  <c r="AL226" i="9"/>
  <c r="AH226" i="9"/>
  <c r="Z226" i="9"/>
  <c r="V226" i="9"/>
  <c r="R226" i="9"/>
  <c r="N226" i="9"/>
  <c r="Q226" i="9"/>
  <c r="W226" i="9"/>
  <c r="AD226" i="9" s="1"/>
  <c r="AB226" i="9"/>
  <c r="AL230" i="9"/>
  <c r="AH230" i="9"/>
  <c r="Z230" i="9"/>
  <c r="V230" i="9"/>
  <c r="AB230" i="9" s="1"/>
  <c r="R230" i="9"/>
  <c r="N230" i="9"/>
  <c r="Q230" i="9"/>
  <c r="W230" i="9"/>
  <c r="AD230" i="9" s="1"/>
  <c r="AL234" i="9"/>
  <c r="AH234" i="9"/>
  <c r="Z234" i="9"/>
  <c r="AA234" i="9" s="1"/>
  <c r="AG234" i="9" s="1"/>
  <c r="V234" i="9"/>
  <c r="AB234" i="9" s="1"/>
  <c r="R234" i="9"/>
  <c r="N234" i="9"/>
  <c r="Q234" i="9"/>
  <c r="W234" i="9"/>
  <c r="AD234" i="9" s="1"/>
  <c r="AL238" i="9"/>
  <c r="AH238" i="9"/>
  <c r="Z238" i="9"/>
  <c r="AA238" i="9" s="1"/>
  <c r="AG238" i="9" s="1"/>
  <c r="V238" i="9"/>
  <c r="R238" i="9"/>
  <c r="N238" i="9"/>
  <c r="Q238" i="9"/>
  <c r="W238" i="9"/>
  <c r="AD238" i="9" s="1"/>
  <c r="AB238" i="9"/>
  <c r="AL242" i="9"/>
  <c r="AH242" i="9"/>
  <c r="Z242" i="9"/>
  <c r="V242" i="9"/>
  <c r="R242" i="9"/>
  <c r="N242" i="9"/>
  <c r="Q242" i="9"/>
  <c r="W242" i="9"/>
  <c r="AD242" i="9" s="1"/>
  <c r="AB242" i="9"/>
  <c r="AL246" i="9"/>
  <c r="AH246" i="9"/>
  <c r="Z246" i="9"/>
  <c r="V246" i="9"/>
  <c r="AB246" i="9" s="1"/>
  <c r="R246" i="9"/>
  <c r="N246" i="9"/>
  <c r="Q246" i="9"/>
  <c r="W246" i="9"/>
  <c r="AD246" i="9" s="1"/>
  <c r="AL250" i="9"/>
  <c r="AH250" i="9"/>
  <c r="Z250" i="9"/>
  <c r="AA250" i="9" s="1"/>
  <c r="AG250" i="9" s="1"/>
  <c r="V250" i="9"/>
  <c r="AB250" i="9" s="1"/>
  <c r="R250" i="9"/>
  <c r="N250" i="9"/>
  <c r="Q250" i="9"/>
  <c r="W250" i="9"/>
  <c r="AD250" i="9" s="1"/>
  <c r="AL254" i="9"/>
  <c r="AH254" i="9"/>
  <c r="Z254" i="9"/>
  <c r="AA254" i="9" s="1"/>
  <c r="AG254" i="9" s="1"/>
  <c r="V254" i="9"/>
  <c r="R254" i="9"/>
  <c r="N254" i="9"/>
  <c r="Q254" i="9"/>
  <c r="W254" i="9"/>
  <c r="AD254" i="9" s="1"/>
  <c r="AB254" i="9"/>
  <c r="AL258" i="9"/>
  <c r="AH258" i="9"/>
  <c r="Z258" i="9"/>
  <c r="V258" i="9"/>
  <c r="R258" i="9"/>
  <c r="N258" i="9"/>
  <c r="Q258" i="9"/>
  <c r="W258" i="9"/>
  <c r="AD258" i="9" s="1"/>
  <c r="AB258" i="9"/>
  <c r="AL262" i="9"/>
  <c r="AH262" i="9"/>
  <c r="Z262" i="9"/>
  <c r="V262" i="9"/>
  <c r="AB262" i="9" s="1"/>
  <c r="R262" i="9"/>
  <c r="N262" i="9"/>
  <c r="Q262" i="9"/>
  <c r="W262" i="9"/>
  <c r="AD262" i="9" s="1"/>
  <c r="AL266" i="9"/>
  <c r="AH266" i="9"/>
  <c r="Z266" i="9"/>
  <c r="AA266" i="9" s="1"/>
  <c r="AG266" i="9" s="1"/>
  <c r="V266" i="9"/>
  <c r="AB266" i="9" s="1"/>
  <c r="R266" i="9"/>
  <c r="N266" i="9"/>
  <c r="Q266" i="9"/>
  <c r="W266" i="9"/>
  <c r="AD266" i="9" s="1"/>
  <c r="AL270" i="9"/>
  <c r="AH270" i="9"/>
  <c r="Z270" i="9"/>
  <c r="AA270" i="9" s="1"/>
  <c r="AG270" i="9" s="1"/>
  <c r="V270" i="9"/>
  <c r="R270" i="9"/>
  <c r="N270" i="9"/>
  <c r="Q270" i="9"/>
  <c r="W270" i="9"/>
  <c r="AD270" i="9" s="1"/>
  <c r="AB270" i="9"/>
  <c r="AL274" i="9"/>
  <c r="AH274" i="9"/>
  <c r="Z274" i="9"/>
  <c r="V274" i="9"/>
  <c r="R274" i="9"/>
  <c r="N274" i="9"/>
  <c r="Q274" i="9"/>
  <c r="W274" i="9"/>
  <c r="AD274" i="9" s="1"/>
  <c r="AB274" i="9"/>
  <c r="AL278" i="9"/>
  <c r="AH278" i="9"/>
  <c r="Z278" i="9"/>
  <c r="V278" i="9"/>
  <c r="AB278" i="9" s="1"/>
  <c r="R278" i="9"/>
  <c r="N278" i="9"/>
  <c r="Q278" i="9"/>
  <c r="W278" i="9"/>
  <c r="AD278" i="9" s="1"/>
  <c r="AL282" i="9"/>
  <c r="AH282" i="9"/>
  <c r="Z282" i="9"/>
  <c r="AA282" i="9" s="1"/>
  <c r="AG282" i="9" s="1"/>
  <c r="V282" i="9"/>
  <c r="AB282" i="9" s="1"/>
  <c r="R282" i="9"/>
  <c r="N282" i="9"/>
  <c r="Q282" i="9"/>
  <c r="W282" i="9"/>
  <c r="AD282" i="9" s="1"/>
  <c r="AL286" i="9"/>
  <c r="AH286" i="9"/>
  <c r="Z286" i="9"/>
  <c r="AA286" i="9" s="1"/>
  <c r="AG286" i="9" s="1"/>
  <c r="V286" i="9"/>
  <c r="R286" i="9"/>
  <c r="N286" i="9"/>
  <c r="Q286" i="9"/>
  <c r="W286" i="9"/>
  <c r="AD286" i="9" s="1"/>
  <c r="AB286" i="9"/>
  <c r="AL290" i="9"/>
  <c r="AH290" i="9"/>
  <c r="Z290" i="9"/>
  <c r="V290" i="9"/>
  <c r="R290" i="9"/>
  <c r="N290" i="9"/>
  <c r="Q290" i="9"/>
  <c r="W290" i="9"/>
  <c r="AD290" i="9" s="1"/>
  <c r="AB290" i="9"/>
  <c r="AL294" i="9"/>
  <c r="AH294" i="9"/>
  <c r="Z294" i="9"/>
  <c r="V294" i="9"/>
  <c r="AB294" i="9" s="1"/>
  <c r="R294" i="9"/>
  <c r="N294" i="9"/>
  <c r="Q294" i="9"/>
  <c r="W294" i="9"/>
  <c r="AD294" i="9" s="1"/>
  <c r="AL298" i="9"/>
  <c r="AH298" i="9"/>
  <c r="Z298" i="9"/>
  <c r="AA298" i="9" s="1"/>
  <c r="AG298" i="9" s="1"/>
  <c r="V298" i="9"/>
  <c r="AB298" i="9" s="1"/>
  <c r="R298" i="9"/>
  <c r="N298" i="9"/>
  <c r="Q298" i="9"/>
  <c r="W298" i="9"/>
  <c r="AD298" i="9" s="1"/>
  <c r="AL302" i="9"/>
  <c r="AH302" i="9"/>
  <c r="Z302" i="9"/>
  <c r="AA302" i="9" s="1"/>
  <c r="AG302" i="9" s="1"/>
  <c r="V302" i="9"/>
  <c r="R302" i="9"/>
  <c r="N302" i="9"/>
  <c r="Q302" i="9"/>
  <c r="W302" i="9"/>
  <c r="AD302" i="9" s="1"/>
  <c r="AB302" i="9"/>
  <c r="AL306" i="9"/>
  <c r="AH306" i="9"/>
  <c r="Z306" i="9"/>
  <c r="AA306" i="9" s="1"/>
  <c r="AG306" i="9" s="1"/>
  <c r="V306" i="9"/>
  <c r="R306" i="9"/>
  <c r="N306" i="9"/>
  <c r="Q306" i="9"/>
  <c r="W306" i="9"/>
  <c r="AD306" i="9" s="1"/>
  <c r="AB306" i="9"/>
  <c r="AL310" i="9"/>
  <c r="AH310" i="9"/>
  <c r="Z310" i="9"/>
  <c r="AA310" i="9" s="1"/>
  <c r="AG310" i="9" s="1"/>
  <c r="V310" i="9"/>
  <c r="AB310" i="9" s="1"/>
  <c r="R310" i="9"/>
  <c r="N310" i="9"/>
  <c r="Q310" i="9"/>
  <c r="W310" i="9"/>
  <c r="AD310" i="9" s="1"/>
  <c r="AL314" i="9"/>
  <c r="AH314" i="9"/>
  <c r="Z314" i="9"/>
  <c r="AA314" i="9" s="1"/>
  <c r="AG314" i="9" s="1"/>
  <c r="V314" i="9"/>
  <c r="AB314" i="9" s="1"/>
  <c r="R314" i="9"/>
  <c r="N314" i="9"/>
  <c r="Q314" i="9"/>
  <c r="W314" i="9"/>
  <c r="AD314" i="9" s="1"/>
  <c r="AL318" i="9"/>
  <c r="AH318" i="9"/>
  <c r="Z318" i="9"/>
  <c r="AA318" i="9" s="1"/>
  <c r="AG318" i="9" s="1"/>
  <c r="V318" i="9"/>
  <c r="R318" i="9"/>
  <c r="N318" i="9"/>
  <c r="Q318" i="9"/>
  <c r="W318" i="9"/>
  <c r="AD318" i="9" s="1"/>
  <c r="AB318" i="9"/>
  <c r="AL322" i="9"/>
  <c r="AH322" i="9"/>
  <c r="Z322" i="9"/>
  <c r="AA322" i="9" s="1"/>
  <c r="AG322" i="9" s="1"/>
  <c r="V322" i="9"/>
  <c r="R322" i="9"/>
  <c r="N322" i="9"/>
  <c r="Q322" i="9"/>
  <c r="W322" i="9"/>
  <c r="AD322" i="9" s="1"/>
  <c r="AB322" i="9"/>
  <c r="AL326" i="9"/>
  <c r="AH326" i="9"/>
  <c r="Z326" i="9"/>
  <c r="AA326" i="9" s="1"/>
  <c r="AG326" i="9" s="1"/>
  <c r="V326" i="9"/>
  <c r="AB326" i="9" s="1"/>
  <c r="R326" i="9"/>
  <c r="N326" i="9"/>
  <c r="Q326" i="9"/>
  <c r="W326" i="9"/>
  <c r="AD326" i="9" s="1"/>
  <c r="AL330" i="9"/>
  <c r="AH330" i="9"/>
  <c r="Z330" i="9"/>
  <c r="AA330" i="9" s="1"/>
  <c r="AG330" i="9" s="1"/>
  <c r="V330" i="9"/>
  <c r="AB330" i="9" s="1"/>
  <c r="R330" i="9"/>
  <c r="N330" i="9"/>
  <c r="Q330" i="9"/>
  <c r="W330" i="9"/>
  <c r="AD330" i="9" s="1"/>
  <c r="AL3" i="10"/>
  <c r="AH3" i="10"/>
  <c r="Z3" i="10"/>
  <c r="AA3" i="10" s="1"/>
  <c r="AG3" i="10" s="1"/>
  <c r="V3" i="10"/>
  <c r="AB3" i="10" s="1"/>
  <c r="R3" i="10"/>
  <c r="N3" i="10"/>
  <c r="AK3" i="10"/>
  <c r="U3" i="10"/>
  <c r="AF3" i="10" s="1"/>
  <c r="P3" i="10"/>
  <c r="K3" i="10"/>
  <c r="AJ3" i="10"/>
  <c r="T3" i="10"/>
  <c r="O3" i="10"/>
  <c r="AI3" i="10"/>
  <c r="AC3" i="10"/>
  <c r="AE3" i="10" s="1"/>
  <c r="X3" i="10"/>
  <c r="Y3" i="10" s="1"/>
  <c r="S3" i="10"/>
  <c r="M3" i="10"/>
  <c r="AJ3" i="12"/>
  <c r="AH3" i="12"/>
  <c r="N10" i="13"/>
  <c r="AL187" i="9"/>
  <c r="AH187" i="9"/>
  <c r="Z187" i="9"/>
  <c r="AA187" i="9" s="1"/>
  <c r="AG187" i="9" s="1"/>
  <c r="V187" i="9"/>
  <c r="R187" i="9"/>
  <c r="N187" i="9"/>
  <c r="Q187" i="9"/>
  <c r="W187" i="9"/>
  <c r="AD187" i="9" s="1"/>
  <c r="AB187" i="9"/>
  <c r="AL191" i="9"/>
  <c r="AH191" i="9"/>
  <c r="Z191" i="9"/>
  <c r="AA191" i="9" s="1"/>
  <c r="AG191" i="9" s="1"/>
  <c r="V191" i="9"/>
  <c r="AB191" i="9" s="1"/>
  <c r="R191" i="9"/>
  <c r="N191" i="9"/>
  <c r="Q191" i="9"/>
  <c r="W191" i="9"/>
  <c r="AD191" i="9" s="1"/>
  <c r="AL195" i="9"/>
  <c r="AH195" i="9"/>
  <c r="Z195" i="9"/>
  <c r="AA195" i="9" s="1"/>
  <c r="AG195" i="9" s="1"/>
  <c r="V195" i="9"/>
  <c r="AB195" i="9" s="1"/>
  <c r="R195" i="9"/>
  <c r="N195" i="9"/>
  <c r="Q195" i="9"/>
  <c r="W195" i="9"/>
  <c r="AD195" i="9" s="1"/>
  <c r="AL199" i="9"/>
  <c r="AH199" i="9"/>
  <c r="Z199" i="9"/>
  <c r="AA199" i="9" s="1"/>
  <c r="AG199" i="9" s="1"/>
  <c r="V199" i="9"/>
  <c r="R199" i="9"/>
  <c r="N199" i="9"/>
  <c r="Q199" i="9"/>
  <c r="W199" i="9"/>
  <c r="AD199" i="9" s="1"/>
  <c r="AB199" i="9"/>
  <c r="AL203" i="9"/>
  <c r="AH203" i="9"/>
  <c r="Z203" i="9"/>
  <c r="AA203" i="9" s="1"/>
  <c r="AG203" i="9" s="1"/>
  <c r="V203" i="9"/>
  <c r="R203" i="9"/>
  <c r="N203" i="9"/>
  <c r="Q203" i="9"/>
  <c r="W203" i="9"/>
  <c r="AD203" i="9" s="1"/>
  <c r="AB203" i="9"/>
  <c r="AL207" i="9"/>
  <c r="AH207" i="9"/>
  <c r="Z207" i="9"/>
  <c r="AA207" i="9" s="1"/>
  <c r="AG207" i="9" s="1"/>
  <c r="V207" i="9"/>
  <c r="AB207" i="9" s="1"/>
  <c r="R207" i="9"/>
  <c r="N207" i="9"/>
  <c r="Q207" i="9"/>
  <c r="W207" i="9"/>
  <c r="AD207" i="9" s="1"/>
  <c r="AL211" i="9"/>
  <c r="AH211" i="9"/>
  <c r="Z211" i="9"/>
  <c r="AA211" i="9" s="1"/>
  <c r="AG211" i="9" s="1"/>
  <c r="V211" i="9"/>
  <c r="AB211" i="9" s="1"/>
  <c r="R211" i="9"/>
  <c r="N211" i="9"/>
  <c r="Q211" i="9"/>
  <c r="W211" i="9"/>
  <c r="AD211" i="9" s="1"/>
  <c r="AL215" i="9"/>
  <c r="AH215" i="9"/>
  <c r="Z215" i="9"/>
  <c r="AA215" i="9" s="1"/>
  <c r="AG215" i="9" s="1"/>
  <c r="V215" i="9"/>
  <c r="R215" i="9"/>
  <c r="N215" i="9"/>
  <c r="Q215" i="9"/>
  <c r="W215" i="9"/>
  <c r="AD215" i="9" s="1"/>
  <c r="AB215" i="9"/>
  <c r="AL219" i="9"/>
  <c r="AH219" i="9"/>
  <c r="Z219" i="9"/>
  <c r="AA219" i="9" s="1"/>
  <c r="AG219" i="9" s="1"/>
  <c r="V219" i="9"/>
  <c r="R219" i="9"/>
  <c r="N219" i="9"/>
  <c r="Q219" i="9"/>
  <c r="W219" i="9"/>
  <c r="AD219" i="9" s="1"/>
  <c r="AB219" i="9"/>
  <c r="AL223" i="9"/>
  <c r="AH223" i="9"/>
  <c r="Z223" i="9"/>
  <c r="AA223" i="9" s="1"/>
  <c r="AG223" i="9" s="1"/>
  <c r="V223" i="9"/>
  <c r="AB223" i="9" s="1"/>
  <c r="R223" i="9"/>
  <c r="N223" i="9"/>
  <c r="Q223" i="9"/>
  <c r="W223" i="9"/>
  <c r="AD223" i="9" s="1"/>
  <c r="M226" i="9"/>
  <c r="S226" i="9"/>
  <c r="X226" i="9"/>
  <c r="Y226" i="9" s="1"/>
  <c r="AC226" i="9"/>
  <c r="AE226" i="9" s="1"/>
  <c r="AI226" i="9"/>
  <c r="AL227" i="9"/>
  <c r="AH227" i="9"/>
  <c r="Z227" i="9"/>
  <c r="AA227" i="9" s="1"/>
  <c r="AG227" i="9" s="1"/>
  <c r="V227" i="9"/>
  <c r="R227" i="9"/>
  <c r="N227" i="9"/>
  <c r="Q227" i="9"/>
  <c r="W227" i="9"/>
  <c r="AD227" i="9" s="1"/>
  <c r="AB227" i="9"/>
  <c r="M230" i="9"/>
  <c r="S230" i="9"/>
  <c r="X230" i="9"/>
  <c r="Y230" i="9" s="1"/>
  <c r="AC230" i="9"/>
  <c r="AE230" i="9" s="1"/>
  <c r="AI230" i="9"/>
  <c r="AL231" i="9"/>
  <c r="AH231" i="9"/>
  <c r="Z231" i="9"/>
  <c r="AA231" i="9" s="1"/>
  <c r="AG231" i="9" s="1"/>
  <c r="V231" i="9"/>
  <c r="AB231" i="9" s="1"/>
  <c r="R231" i="9"/>
  <c r="N231" i="9"/>
  <c r="Q231" i="9"/>
  <c r="W231" i="9"/>
  <c r="AD231" i="9" s="1"/>
  <c r="M234" i="9"/>
  <c r="S234" i="9"/>
  <c r="X234" i="9"/>
  <c r="Y234" i="9" s="1"/>
  <c r="AC234" i="9"/>
  <c r="AE234" i="9" s="1"/>
  <c r="AI234" i="9"/>
  <c r="AL235" i="9"/>
  <c r="AH235" i="9"/>
  <c r="Z235" i="9"/>
  <c r="AA235" i="9" s="1"/>
  <c r="AG235" i="9" s="1"/>
  <c r="V235" i="9"/>
  <c r="R235" i="9"/>
  <c r="N235" i="9"/>
  <c r="Q235" i="9"/>
  <c r="W235" i="9"/>
  <c r="AD235" i="9" s="1"/>
  <c r="AB235" i="9"/>
  <c r="M238" i="9"/>
  <c r="S238" i="9"/>
  <c r="X238" i="9"/>
  <c r="Y238" i="9" s="1"/>
  <c r="AC238" i="9"/>
  <c r="AE238" i="9" s="1"/>
  <c r="AI238" i="9"/>
  <c r="AL239" i="9"/>
  <c r="AH239" i="9"/>
  <c r="Z239" i="9"/>
  <c r="AA239" i="9" s="1"/>
  <c r="AG239" i="9" s="1"/>
  <c r="V239" i="9"/>
  <c r="AB239" i="9" s="1"/>
  <c r="R239" i="9"/>
  <c r="N239" i="9"/>
  <c r="Q239" i="9"/>
  <c r="W239" i="9"/>
  <c r="AD239" i="9" s="1"/>
  <c r="M242" i="9"/>
  <c r="S242" i="9"/>
  <c r="X242" i="9"/>
  <c r="Y242" i="9" s="1"/>
  <c r="AC242" i="9"/>
  <c r="AE242" i="9" s="1"/>
  <c r="AI242" i="9"/>
  <c r="AL243" i="9"/>
  <c r="AH243" i="9"/>
  <c r="Z243" i="9"/>
  <c r="AA243" i="9" s="1"/>
  <c r="AG243" i="9" s="1"/>
  <c r="V243" i="9"/>
  <c r="R243" i="9"/>
  <c r="N243" i="9"/>
  <c r="Q243" i="9"/>
  <c r="W243" i="9"/>
  <c r="AD243" i="9" s="1"/>
  <c r="AB243" i="9"/>
  <c r="M246" i="9"/>
  <c r="S246" i="9"/>
  <c r="X246" i="9"/>
  <c r="Y246" i="9" s="1"/>
  <c r="AC246" i="9"/>
  <c r="AE246" i="9" s="1"/>
  <c r="AI246" i="9"/>
  <c r="AL247" i="9"/>
  <c r="AH247" i="9"/>
  <c r="Z247" i="9"/>
  <c r="AA247" i="9" s="1"/>
  <c r="AG247" i="9" s="1"/>
  <c r="V247" i="9"/>
  <c r="AB247" i="9" s="1"/>
  <c r="R247" i="9"/>
  <c r="N247" i="9"/>
  <c r="Q247" i="9"/>
  <c r="W247" i="9"/>
  <c r="AD247" i="9" s="1"/>
  <c r="M250" i="9"/>
  <c r="S250" i="9"/>
  <c r="X250" i="9"/>
  <c r="Y250" i="9" s="1"/>
  <c r="AC250" i="9"/>
  <c r="AE250" i="9" s="1"/>
  <c r="AI250" i="9"/>
  <c r="AL251" i="9"/>
  <c r="AH251" i="9"/>
  <c r="Z251" i="9"/>
  <c r="AA251" i="9" s="1"/>
  <c r="AG251" i="9" s="1"/>
  <c r="V251" i="9"/>
  <c r="R251" i="9"/>
  <c r="N251" i="9"/>
  <c r="Q251" i="9"/>
  <c r="W251" i="9"/>
  <c r="AD251" i="9" s="1"/>
  <c r="AB251" i="9"/>
  <c r="M254" i="9"/>
  <c r="S254" i="9"/>
  <c r="X254" i="9"/>
  <c r="Y254" i="9" s="1"/>
  <c r="AC254" i="9"/>
  <c r="AE254" i="9" s="1"/>
  <c r="AI254" i="9"/>
  <c r="AL255" i="9"/>
  <c r="AH255" i="9"/>
  <c r="Z255" i="9"/>
  <c r="AA255" i="9" s="1"/>
  <c r="AG255" i="9" s="1"/>
  <c r="V255" i="9"/>
  <c r="AB255" i="9" s="1"/>
  <c r="R255" i="9"/>
  <c r="N255" i="9"/>
  <c r="Q255" i="9"/>
  <c r="W255" i="9"/>
  <c r="AD255" i="9" s="1"/>
  <c r="M258" i="9"/>
  <c r="S258" i="9"/>
  <c r="X258" i="9"/>
  <c r="Y258" i="9" s="1"/>
  <c r="AC258" i="9"/>
  <c r="AE258" i="9" s="1"/>
  <c r="AI258" i="9"/>
  <c r="AL259" i="9"/>
  <c r="AH259" i="9"/>
  <c r="Z259" i="9"/>
  <c r="AA259" i="9" s="1"/>
  <c r="AG259" i="9" s="1"/>
  <c r="V259" i="9"/>
  <c r="R259" i="9"/>
  <c r="N259" i="9"/>
  <c r="Q259" i="9"/>
  <c r="W259" i="9"/>
  <c r="AD259" i="9" s="1"/>
  <c r="AB259" i="9"/>
  <c r="M262" i="9"/>
  <c r="S262" i="9"/>
  <c r="X262" i="9"/>
  <c r="Y262" i="9" s="1"/>
  <c r="AC262" i="9"/>
  <c r="AE262" i="9" s="1"/>
  <c r="AI262" i="9"/>
  <c r="AL263" i="9"/>
  <c r="AH263" i="9"/>
  <c r="Z263" i="9"/>
  <c r="AA263" i="9" s="1"/>
  <c r="AG263" i="9" s="1"/>
  <c r="V263" i="9"/>
  <c r="AB263" i="9" s="1"/>
  <c r="R263" i="9"/>
  <c r="N263" i="9"/>
  <c r="Q263" i="9"/>
  <c r="W263" i="9"/>
  <c r="AD263" i="9" s="1"/>
  <c r="M266" i="9"/>
  <c r="S266" i="9"/>
  <c r="X266" i="9"/>
  <c r="Y266" i="9" s="1"/>
  <c r="AC266" i="9"/>
  <c r="AE266" i="9" s="1"/>
  <c r="AI266" i="9"/>
  <c r="AL267" i="9"/>
  <c r="AH267" i="9"/>
  <c r="Z267" i="9"/>
  <c r="AA267" i="9" s="1"/>
  <c r="AG267" i="9" s="1"/>
  <c r="V267" i="9"/>
  <c r="R267" i="9"/>
  <c r="N267" i="9"/>
  <c r="Q267" i="9"/>
  <c r="W267" i="9"/>
  <c r="AD267" i="9" s="1"/>
  <c r="AB267" i="9"/>
  <c r="M270" i="9"/>
  <c r="S270" i="9"/>
  <c r="X270" i="9"/>
  <c r="Y270" i="9" s="1"/>
  <c r="AC270" i="9"/>
  <c r="AE270" i="9" s="1"/>
  <c r="AI270" i="9"/>
  <c r="AL271" i="9"/>
  <c r="AH271" i="9"/>
  <c r="Z271" i="9"/>
  <c r="AA271" i="9" s="1"/>
  <c r="AG271" i="9" s="1"/>
  <c r="V271" i="9"/>
  <c r="AB271" i="9" s="1"/>
  <c r="R271" i="9"/>
  <c r="N271" i="9"/>
  <c r="Q271" i="9"/>
  <c r="W271" i="9"/>
  <c r="AD271" i="9" s="1"/>
  <c r="M274" i="9"/>
  <c r="S274" i="9"/>
  <c r="X274" i="9"/>
  <c r="Y274" i="9" s="1"/>
  <c r="AC274" i="9"/>
  <c r="AE274" i="9" s="1"/>
  <c r="AI274" i="9"/>
  <c r="AL275" i="9"/>
  <c r="AH275" i="9"/>
  <c r="Z275" i="9"/>
  <c r="AA275" i="9" s="1"/>
  <c r="AG275" i="9" s="1"/>
  <c r="V275" i="9"/>
  <c r="R275" i="9"/>
  <c r="N275" i="9"/>
  <c r="Q275" i="9"/>
  <c r="W275" i="9"/>
  <c r="AD275" i="9" s="1"/>
  <c r="AB275" i="9"/>
  <c r="M278" i="9"/>
  <c r="S278" i="9"/>
  <c r="X278" i="9"/>
  <c r="Y278" i="9" s="1"/>
  <c r="AC278" i="9"/>
  <c r="AE278" i="9" s="1"/>
  <c r="AI278" i="9"/>
  <c r="AL279" i="9"/>
  <c r="AH279" i="9"/>
  <c r="Z279" i="9"/>
  <c r="AA279" i="9" s="1"/>
  <c r="AG279" i="9" s="1"/>
  <c r="V279" i="9"/>
  <c r="AB279" i="9" s="1"/>
  <c r="R279" i="9"/>
  <c r="N279" i="9"/>
  <c r="Q279" i="9"/>
  <c r="W279" i="9"/>
  <c r="AD279" i="9" s="1"/>
  <c r="M282" i="9"/>
  <c r="S282" i="9"/>
  <c r="X282" i="9"/>
  <c r="Y282" i="9" s="1"/>
  <c r="AC282" i="9"/>
  <c r="AE282" i="9" s="1"/>
  <c r="AI282" i="9"/>
  <c r="AL283" i="9"/>
  <c r="AH283" i="9"/>
  <c r="Z283" i="9"/>
  <c r="AA283" i="9" s="1"/>
  <c r="AG283" i="9" s="1"/>
  <c r="V283" i="9"/>
  <c r="R283" i="9"/>
  <c r="N283" i="9"/>
  <c r="Q283" i="9"/>
  <c r="W283" i="9"/>
  <c r="AD283" i="9" s="1"/>
  <c r="AB283" i="9"/>
  <c r="M286" i="9"/>
  <c r="S286" i="9"/>
  <c r="X286" i="9"/>
  <c r="Y286" i="9" s="1"/>
  <c r="AC286" i="9"/>
  <c r="AE286" i="9" s="1"/>
  <c r="AI286" i="9"/>
  <c r="AL287" i="9"/>
  <c r="AH287" i="9"/>
  <c r="Z287" i="9"/>
  <c r="AA287" i="9" s="1"/>
  <c r="AG287" i="9" s="1"/>
  <c r="V287" i="9"/>
  <c r="AB287" i="9" s="1"/>
  <c r="R287" i="9"/>
  <c r="N287" i="9"/>
  <c r="Q287" i="9"/>
  <c r="W287" i="9"/>
  <c r="AD287" i="9" s="1"/>
  <c r="M290" i="9"/>
  <c r="S290" i="9"/>
  <c r="X290" i="9"/>
  <c r="Y290" i="9" s="1"/>
  <c r="AC290" i="9"/>
  <c r="AE290" i="9" s="1"/>
  <c r="AI290" i="9"/>
  <c r="AL291" i="9"/>
  <c r="AH291" i="9"/>
  <c r="Z291" i="9"/>
  <c r="AA291" i="9" s="1"/>
  <c r="AG291" i="9" s="1"/>
  <c r="V291" i="9"/>
  <c r="R291" i="9"/>
  <c r="N291" i="9"/>
  <c r="Q291" i="9"/>
  <c r="W291" i="9"/>
  <c r="AD291" i="9" s="1"/>
  <c r="AB291" i="9"/>
  <c r="M294" i="9"/>
  <c r="S294" i="9"/>
  <c r="X294" i="9"/>
  <c r="Y294" i="9" s="1"/>
  <c r="AC294" i="9"/>
  <c r="AE294" i="9" s="1"/>
  <c r="AI294" i="9"/>
  <c r="AL295" i="9"/>
  <c r="AH295" i="9"/>
  <c r="Z295" i="9"/>
  <c r="AA295" i="9" s="1"/>
  <c r="AG295" i="9" s="1"/>
  <c r="V295" i="9"/>
  <c r="AB295" i="9" s="1"/>
  <c r="R295" i="9"/>
  <c r="N295" i="9"/>
  <c r="Q295" i="9"/>
  <c r="W295" i="9"/>
  <c r="AD295" i="9" s="1"/>
  <c r="M298" i="9"/>
  <c r="S298" i="9"/>
  <c r="X298" i="9"/>
  <c r="Y298" i="9" s="1"/>
  <c r="AC298" i="9"/>
  <c r="AE298" i="9" s="1"/>
  <c r="AI298" i="9"/>
  <c r="AL299" i="9"/>
  <c r="AH299" i="9"/>
  <c r="Z299" i="9"/>
  <c r="AA299" i="9" s="1"/>
  <c r="AG299" i="9" s="1"/>
  <c r="V299" i="9"/>
  <c r="R299" i="9"/>
  <c r="N299" i="9"/>
  <c r="Q299" i="9"/>
  <c r="W299" i="9"/>
  <c r="AD299" i="9" s="1"/>
  <c r="AB299" i="9"/>
  <c r="M302" i="9"/>
  <c r="S302" i="9"/>
  <c r="X302" i="9"/>
  <c r="Y302" i="9" s="1"/>
  <c r="AC302" i="9"/>
  <c r="AE302" i="9" s="1"/>
  <c r="AI302" i="9"/>
  <c r="AL303" i="9"/>
  <c r="AH303" i="9"/>
  <c r="Z303" i="9"/>
  <c r="AA303" i="9" s="1"/>
  <c r="AG303" i="9" s="1"/>
  <c r="V303" i="9"/>
  <c r="AB303" i="9" s="1"/>
  <c r="R303" i="9"/>
  <c r="N303" i="9"/>
  <c r="Q303" i="9"/>
  <c r="W303" i="9"/>
  <c r="AD303" i="9" s="1"/>
  <c r="M306" i="9"/>
  <c r="S306" i="9"/>
  <c r="X306" i="9"/>
  <c r="Y306" i="9" s="1"/>
  <c r="AC306" i="9"/>
  <c r="AE306" i="9" s="1"/>
  <c r="AI306" i="9"/>
  <c r="AL307" i="9"/>
  <c r="AH307" i="9"/>
  <c r="Z307" i="9"/>
  <c r="AA307" i="9" s="1"/>
  <c r="AG307" i="9" s="1"/>
  <c r="V307" i="9"/>
  <c r="R307" i="9"/>
  <c r="N307" i="9"/>
  <c r="Q307" i="9"/>
  <c r="W307" i="9"/>
  <c r="AD307" i="9" s="1"/>
  <c r="AB307" i="9"/>
  <c r="M310" i="9"/>
  <c r="S310" i="9"/>
  <c r="X310" i="9"/>
  <c r="Y310" i="9" s="1"/>
  <c r="AC310" i="9"/>
  <c r="AE310" i="9" s="1"/>
  <c r="AI310" i="9"/>
  <c r="AL311" i="9"/>
  <c r="AH311" i="9"/>
  <c r="Z311" i="9"/>
  <c r="AA311" i="9" s="1"/>
  <c r="AG311" i="9" s="1"/>
  <c r="V311" i="9"/>
  <c r="AB311" i="9" s="1"/>
  <c r="R311" i="9"/>
  <c r="N311" i="9"/>
  <c r="Q311" i="9"/>
  <c r="W311" i="9"/>
  <c r="AD311" i="9" s="1"/>
  <c r="M314" i="9"/>
  <c r="S314" i="9"/>
  <c r="X314" i="9"/>
  <c r="Y314" i="9" s="1"/>
  <c r="AC314" i="9"/>
  <c r="AE314" i="9" s="1"/>
  <c r="AI314" i="9"/>
  <c r="AL315" i="9"/>
  <c r="AH315" i="9"/>
  <c r="Z315" i="9"/>
  <c r="AA315" i="9" s="1"/>
  <c r="AG315" i="9" s="1"/>
  <c r="V315" i="9"/>
  <c r="R315" i="9"/>
  <c r="N315" i="9"/>
  <c r="Q315" i="9"/>
  <c r="W315" i="9"/>
  <c r="AD315" i="9" s="1"/>
  <c r="AB315" i="9"/>
  <c r="M318" i="9"/>
  <c r="S318" i="9"/>
  <c r="X318" i="9"/>
  <c r="Y318" i="9" s="1"/>
  <c r="AC318" i="9"/>
  <c r="AE318" i="9" s="1"/>
  <c r="AI318" i="9"/>
  <c r="AL319" i="9"/>
  <c r="AH319" i="9"/>
  <c r="Z319" i="9"/>
  <c r="AA319" i="9" s="1"/>
  <c r="AG319" i="9" s="1"/>
  <c r="V319" i="9"/>
  <c r="AB319" i="9" s="1"/>
  <c r="R319" i="9"/>
  <c r="N319" i="9"/>
  <c r="Q319" i="9"/>
  <c r="W319" i="9"/>
  <c r="AD319" i="9" s="1"/>
  <c r="M322" i="9"/>
  <c r="S322" i="9"/>
  <c r="X322" i="9"/>
  <c r="Y322" i="9" s="1"/>
  <c r="AC322" i="9"/>
  <c r="AE322" i="9" s="1"/>
  <c r="AI322" i="9"/>
  <c r="AL323" i="9"/>
  <c r="AH323" i="9"/>
  <c r="Z323" i="9"/>
  <c r="AA323" i="9" s="1"/>
  <c r="AG323" i="9" s="1"/>
  <c r="V323" i="9"/>
  <c r="R323" i="9"/>
  <c r="N323" i="9"/>
  <c r="Q323" i="9"/>
  <c r="W323" i="9"/>
  <c r="AD323" i="9" s="1"/>
  <c r="AB323" i="9"/>
  <c r="M326" i="9"/>
  <c r="S326" i="9"/>
  <c r="X326" i="9"/>
  <c r="Y326" i="9" s="1"/>
  <c r="AC326" i="9"/>
  <c r="AE326" i="9" s="1"/>
  <c r="AI326" i="9"/>
  <c r="AL327" i="9"/>
  <c r="AH327" i="9"/>
  <c r="Z327" i="9"/>
  <c r="AA327" i="9" s="1"/>
  <c r="AG327" i="9" s="1"/>
  <c r="V327" i="9"/>
  <c r="AB327" i="9" s="1"/>
  <c r="R327" i="9"/>
  <c r="N327" i="9"/>
  <c r="Q327" i="9"/>
  <c r="W327" i="9"/>
  <c r="AD327" i="9" s="1"/>
  <c r="M330" i="9"/>
  <c r="S330" i="9"/>
  <c r="X330" i="9"/>
  <c r="Y330" i="9" s="1"/>
  <c r="AC330" i="9"/>
  <c r="AE330" i="9" s="1"/>
  <c r="AI330" i="9"/>
  <c r="AL331" i="9"/>
  <c r="AH331" i="9"/>
  <c r="Z331" i="9"/>
  <c r="V331" i="9"/>
  <c r="R331" i="9"/>
  <c r="N331" i="9"/>
  <c r="AK331" i="9"/>
  <c r="AC331" i="9"/>
  <c r="AE331" i="9" s="1"/>
  <c r="Y331" i="9"/>
  <c r="U331" i="9"/>
  <c r="AF331" i="9" s="1"/>
  <c r="Q331" i="9"/>
  <c r="X331" i="9"/>
  <c r="AL332" i="9"/>
  <c r="AH332" i="9"/>
  <c r="Z332" i="9"/>
  <c r="AA332" i="9" s="1"/>
  <c r="AG332" i="9" s="1"/>
  <c r="V332" i="9"/>
  <c r="R332" i="9"/>
  <c r="N332" i="9"/>
  <c r="AK332" i="9"/>
  <c r="AC332" i="9"/>
  <c r="AE332" i="9" s="1"/>
  <c r="Y332" i="9"/>
  <c r="U332" i="9"/>
  <c r="AF332" i="9" s="1"/>
  <c r="Q332" i="9"/>
  <c r="M332" i="9"/>
  <c r="T332" i="9"/>
  <c r="AB332" i="9"/>
  <c r="AJ332" i="9"/>
  <c r="AL334" i="9"/>
  <c r="AH334" i="9"/>
  <c r="Z334" i="9"/>
  <c r="AA334" i="9" s="1"/>
  <c r="AG334" i="9" s="1"/>
  <c r="V334" i="9"/>
  <c r="AB334" i="9" s="1"/>
  <c r="R334" i="9"/>
  <c r="N334" i="9"/>
  <c r="AK334" i="9"/>
  <c r="AC334" i="9"/>
  <c r="AE334" i="9" s="1"/>
  <c r="Y334" i="9"/>
  <c r="U334" i="9"/>
  <c r="AF334" i="9" s="1"/>
  <c r="Q334" i="9"/>
  <c r="M334" i="9"/>
  <c r="T334" i="9"/>
  <c r="AJ334" i="9"/>
  <c r="AL336" i="9"/>
  <c r="AH336" i="9"/>
  <c r="Z336" i="9"/>
  <c r="AA336" i="9" s="1"/>
  <c r="AG336" i="9" s="1"/>
  <c r="V336" i="9"/>
  <c r="AB336" i="9" s="1"/>
  <c r="R336" i="9"/>
  <c r="N336" i="9"/>
  <c r="AK336" i="9"/>
  <c r="AC336" i="9"/>
  <c r="AE336" i="9" s="1"/>
  <c r="Y336" i="9"/>
  <c r="U336" i="9"/>
  <c r="AF336" i="9" s="1"/>
  <c r="Q336" i="9"/>
  <c r="M336" i="9"/>
  <c r="T336" i="9"/>
  <c r="AJ336" i="9"/>
  <c r="AL338" i="9"/>
  <c r="AH338" i="9"/>
  <c r="Z338" i="9"/>
  <c r="AA338" i="9" s="1"/>
  <c r="AG338" i="9" s="1"/>
  <c r="V338" i="9"/>
  <c r="R338" i="9"/>
  <c r="N338" i="9"/>
  <c r="AK338" i="9"/>
  <c r="AC338" i="9"/>
  <c r="AE338" i="9" s="1"/>
  <c r="Y338" i="9"/>
  <c r="U338" i="9"/>
  <c r="AF338" i="9" s="1"/>
  <c r="Q338" i="9"/>
  <c r="M338" i="9"/>
  <c r="T338" i="9"/>
  <c r="AB338" i="9"/>
  <c r="AJ338" i="9"/>
  <c r="AL340" i="9"/>
  <c r="AH340" i="9"/>
  <c r="Z340" i="9"/>
  <c r="AA340" i="9" s="1"/>
  <c r="AG340" i="9" s="1"/>
  <c r="V340" i="9"/>
  <c r="R340" i="9"/>
  <c r="N340" i="9"/>
  <c r="AK340" i="9"/>
  <c r="AC340" i="9"/>
  <c r="AE340" i="9" s="1"/>
  <c r="Y340" i="9"/>
  <c r="U340" i="9"/>
  <c r="AF340" i="9" s="1"/>
  <c r="Q340" i="9"/>
  <c r="M340" i="9"/>
  <c r="T340" i="9"/>
  <c r="AB340" i="9"/>
  <c r="AJ340" i="9"/>
  <c r="AL342" i="9"/>
  <c r="AH342" i="9"/>
  <c r="Z342" i="9"/>
  <c r="AA342" i="9" s="1"/>
  <c r="AG342" i="9" s="1"/>
  <c r="V342" i="9"/>
  <c r="AB342" i="9" s="1"/>
  <c r="R342" i="9"/>
  <c r="N342" i="9"/>
  <c r="AK342" i="9"/>
  <c r="AC342" i="9"/>
  <c r="AE342" i="9" s="1"/>
  <c r="Y342" i="9"/>
  <c r="U342" i="9"/>
  <c r="AF342" i="9" s="1"/>
  <c r="Q342" i="9"/>
  <c r="M342" i="9"/>
  <c r="T342" i="9"/>
  <c r="AJ342" i="9"/>
  <c r="AL344" i="9"/>
  <c r="AH344" i="9"/>
  <c r="Z344" i="9"/>
  <c r="AA344" i="9" s="1"/>
  <c r="AG344" i="9" s="1"/>
  <c r="V344" i="9"/>
  <c r="AB344" i="9" s="1"/>
  <c r="R344" i="9"/>
  <c r="N344" i="9"/>
  <c r="AK344" i="9"/>
  <c r="AC344" i="9"/>
  <c r="AE344" i="9" s="1"/>
  <c r="Y344" i="9"/>
  <c r="U344" i="9"/>
  <c r="AF344" i="9" s="1"/>
  <c r="Q344" i="9"/>
  <c r="M344" i="9"/>
  <c r="T344" i="9"/>
  <c r="AJ344" i="9"/>
  <c r="AL346" i="9"/>
  <c r="AH346" i="9"/>
  <c r="Z346" i="9"/>
  <c r="AA346" i="9" s="1"/>
  <c r="AG346" i="9" s="1"/>
  <c r="V346" i="9"/>
  <c r="R346" i="9"/>
  <c r="N346" i="9"/>
  <c r="AK346" i="9"/>
  <c r="AC346" i="9"/>
  <c r="AE346" i="9" s="1"/>
  <c r="Y346" i="9"/>
  <c r="U346" i="9"/>
  <c r="AF346" i="9" s="1"/>
  <c r="Q346" i="9"/>
  <c r="M346" i="9"/>
  <c r="T346" i="9"/>
  <c r="AB346" i="9"/>
  <c r="AJ346" i="9"/>
  <c r="AL348" i="9"/>
  <c r="AH348" i="9"/>
  <c r="Z348" i="9"/>
  <c r="AA348" i="9" s="1"/>
  <c r="AG348" i="9" s="1"/>
  <c r="V348" i="9"/>
  <c r="R348" i="9"/>
  <c r="N348" i="9"/>
  <c r="AK348" i="9"/>
  <c r="AC348" i="9"/>
  <c r="AE348" i="9" s="1"/>
  <c r="Y348" i="9"/>
  <c r="U348" i="9"/>
  <c r="AF348" i="9" s="1"/>
  <c r="Q348" i="9"/>
  <c r="M348" i="9"/>
  <c r="T348" i="9"/>
  <c r="AB348" i="9"/>
  <c r="AJ348" i="9"/>
  <c r="AL350" i="9"/>
  <c r="AH350" i="9"/>
  <c r="Z350" i="9"/>
  <c r="AA350" i="9" s="1"/>
  <c r="AG350" i="9" s="1"/>
  <c r="V350" i="9"/>
  <c r="AB350" i="9" s="1"/>
  <c r="R350" i="9"/>
  <c r="N350" i="9"/>
  <c r="AK350" i="9"/>
  <c r="AC350" i="9"/>
  <c r="AE350" i="9" s="1"/>
  <c r="Y350" i="9"/>
  <c r="U350" i="9"/>
  <c r="AF350" i="9" s="1"/>
  <c r="Q350" i="9"/>
  <c r="M350" i="9"/>
  <c r="T350" i="9"/>
  <c r="AJ350" i="9"/>
  <c r="AL352" i="9"/>
  <c r="AH352" i="9"/>
  <c r="Z352" i="9"/>
  <c r="AA352" i="9" s="1"/>
  <c r="AG352" i="9" s="1"/>
  <c r="V352" i="9"/>
  <c r="AB352" i="9" s="1"/>
  <c r="R352" i="9"/>
  <c r="N352" i="9"/>
  <c r="AK352" i="9"/>
  <c r="AC352" i="9"/>
  <c r="AE352" i="9" s="1"/>
  <c r="Y352" i="9"/>
  <c r="U352" i="9"/>
  <c r="AF352" i="9" s="1"/>
  <c r="Q352" i="9"/>
  <c r="M352" i="9"/>
  <c r="T352" i="9"/>
  <c r="AJ352" i="9"/>
  <c r="AL354" i="9"/>
  <c r="AH354" i="9"/>
  <c r="Z354" i="9"/>
  <c r="AA354" i="9" s="1"/>
  <c r="AG354" i="9" s="1"/>
  <c r="V354" i="9"/>
  <c r="R354" i="9"/>
  <c r="N354" i="9"/>
  <c r="AK354" i="9"/>
  <c r="AC354" i="9"/>
  <c r="AE354" i="9" s="1"/>
  <c r="Y354" i="9"/>
  <c r="U354" i="9"/>
  <c r="AF354" i="9" s="1"/>
  <c r="Q354" i="9"/>
  <c r="M354" i="9"/>
  <c r="T354" i="9"/>
  <c r="AB354" i="9"/>
  <c r="AJ354" i="9"/>
  <c r="AK356" i="9"/>
  <c r="AH356" i="9"/>
  <c r="Z356" i="9"/>
  <c r="AA356" i="9" s="1"/>
  <c r="AG356" i="9" s="1"/>
  <c r="V356" i="9"/>
  <c r="R356" i="9"/>
  <c r="N356" i="9"/>
  <c r="AL356" i="9"/>
  <c r="AC356" i="9"/>
  <c r="AE356" i="9" s="1"/>
  <c r="Y356" i="9"/>
  <c r="U356" i="9"/>
  <c r="AF356" i="9" s="1"/>
  <c r="Q356" i="9"/>
  <c r="M356" i="9"/>
  <c r="T356" i="9"/>
  <c r="AB356" i="9"/>
  <c r="AJ356" i="9"/>
  <c r="AK358" i="9"/>
  <c r="AC358" i="9"/>
  <c r="AE358" i="9" s="1"/>
  <c r="Y358" i="9"/>
  <c r="U358" i="9"/>
  <c r="AF358" i="9" s="1"/>
  <c r="Q358" i="9"/>
  <c r="M358" i="9"/>
  <c r="AJ358" i="9"/>
  <c r="Z358" i="9"/>
  <c r="AA358" i="9" s="1"/>
  <c r="AG358" i="9" s="1"/>
  <c r="T358" i="9"/>
  <c r="O358" i="9"/>
  <c r="AI358" i="9"/>
  <c r="X358" i="9"/>
  <c r="S358" i="9"/>
  <c r="N358" i="9"/>
  <c r="W358" i="9"/>
  <c r="AD358" i="9" s="1"/>
  <c r="AH358" i="9"/>
  <c r="AK362" i="9"/>
  <c r="AC362" i="9"/>
  <c r="AE362" i="9" s="1"/>
  <c r="Y362" i="9"/>
  <c r="U362" i="9"/>
  <c r="AF362" i="9" s="1"/>
  <c r="Q362" i="9"/>
  <c r="M362" i="9"/>
  <c r="AJ362" i="9"/>
  <c r="Z362" i="9"/>
  <c r="AA362" i="9" s="1"/>
  <c r="AG362" i="9" s="1"/>
  <c r="T362" i="9"/>
  <c r="O362" i="9"/>
  <c r="AI362" i="9"/>
  <c r="X362" i="9"/>
  <c r="S362" i="9"/>
  <c r="N362" i="9"/>
  <c r="W362" i="9"/>
  <c r="AD362" i="9" s="1"/>
  <c r="AH362" i="9"/>
  <c r="AK366" i="9"/>
  <c r="AC366" i="9"/>
  <c r="AE366" i="9" s="1"/>
  <c r="Y366" i="9"/>
  <c r="U366" i="9"/>
  <c r="AF366" i="9" s="1"/>
  <c r="Q366" i="9"/>
  <c r="M366" i="9"/>
  <c r="AJ366" i="9"/>
  <c r="Z366" i="9"/>
  <c r="AA366" i="9" s="1"/>
  <c r="AG366" i="9" s="1"/>
  <c r="T366" i="9"/>
  <c r="O366" i="9"/>
  <c r="AI366" i="9"/>
  <c r="X366" i="9"/>
  <c r="S366" i="9"/>
  <c r="N366" i="9"/>
  <c r="W366" i="9"/>
  <c r="AD366" i="9" s="1"/>
  <c r="AH366" i="9"/>
  <c r="AK370" i="9"/>
  <c r="AC370" i="9"/>
  <c r="AE370" i="9" s="1"/>
  <c r="Y370" i="9"/>
  <c r="U370" i="9"/>
  <c r="AF370" i="9" s="1"/>
  <c r="Q370" i="9"/>
  <c r="M370" i="9"/>
  <c r="AJ370" i="9"/>
  <c r="Z370" i="9"/>
  <c r="AA370" i="9" s="1"/>
  <c r="AG370" i="9" s="1"/>
  <c r="T370" i="9"/>
  <c r="O370" i="9"/>
  <c r="AI370" i="9"/>
  <c r="X370" i="9"/>
  <c r="S370" i="9"/>
  <c r="N370" i="9"/>
  <c r="W370" i="9"/>
  <c r="AD370" i="9" s="1"/>
  <c r="AH370" i="9"/>
  <c r="AK374" i="9"/>
  <c r="AC374" i="9"/>
  <c r="AE374" i="9" s="1"/>
  <c r="Y374" i="9"/>
  <c r="U374" i="9"/>
  <c r="AF374" i="9" s="1"/>
  <c r="Q374" i="9"/>
  <c r="M374" i="9"/>
  <c r="AJ374" i="9"/>
  <c r="Z374" i="9"/>
  <c r="AA374" i="9" s="1"/>
  <c r="AG374" i="9" s="1"/>
  <c r="T374" i="9"/>
  <c r="O374" i="9"/>
  <c r="AI374" i="9"/>
  <c r="X374" i="9"/>
  <c r="S374" i="9"/>
  <c r="N374" i="9"/>
  <c r="W374" i="9"/>
  <c r="AD374" i="9" s="1"/>
  <c r="AH374" i="9"/>
  <c r="AK378" i="9"/>
  <c r="AC378" i="9"/>
  <c r="AE378" i="9" s="1"/>
  <c r="Y378" i="9"/>
  <c r="U378" i="9"/>
  <c r="AF378" i="9" s="1"/>
  <c r="Q378" i="9"/>
  <c r="M378" i="9"/>
  <c r="AJ378" i="9"/>
  <c r="Z378" i="9"/>
  <c r="AA378" i="9" s="1"/>
  <c r="AG378" i="9" s="1"/>
  <c r="T378" i="9"/>
  <c r="O378" i="9"/>
  <c r="AI378" i="9"/>
  <c r="X378" i="9"/>
  <c r="S378" i="9"/>
  <c r="N378" i="9"/>
  <c r="W378" i="9"/>
  <c r="AD378" i="9" s="1"/>
  <c r="AH378" i="9"/>
  <c r="AK382" i="9"/>
  <c r="AC382" i="9"/>
  <c r="AE382" i="9" s="1"/>
  <c r="Y382" i="9"/>
  <c r="U382" i="9"/>
  <c r="AF382" i="9" s="1"/>
  <c r="Q382" i="9"/>
  <c r="M382" i="9"/>
  <c r="AJ382" i="9"/>
  <c r="Z382" i="9"/>
  <c r="AA382" i="9" s="1"/>
  <c r="AG382" i="9" s="1"/>
  <c r="T382" i="9"/>
  <c r="O382" i="9"/>
  <c r="AI382" i="9"/>
  <c r="X382" i="9"/>
  <c r="S382" i="9"/>
  <c r="N382" i="9"/>
  <c r="W382" i="9"/>
  <c r="AD382" i="9" s="1"/>
  <c r="AH382" i="9"/>
  <c r="AK386" i="9"/>
  <c r="AC386" i="9"/>
  <c r="AE386" i="9" s="1"/>
  <c r="Y386" i="9"/>
  <c r="U386" i="9"/>
  <c r="AF386" i="9" s="1"/>
  <c r="Q386" i="9"/>
  <c r="M386" i="9"/>
  <c r="AJ386" i="9"/>
  <c r="Z386" i="9"/>
  <c r="AA386" i="9" s="1"/>
  <c r="AG386" i="9" s="1"/>
  <c r="T386" i="9"/>
  <c r="O386" i="9"/>
  <c r="AI386" i="9"/>
  <c r="X386" i="9"/>
  <c r="S386" i="9"/>
  <c r="N386" i="9"/>
  <c r="W386" i="9"/>
  <c r="AD386" i="9" s="1"/>
  <c r="AH386" i="9"/>
  <c r="AK390" i="9"/>
  <c r="AC390" i="9"/>
  <c r="AE390" i="9" s="1"/>
  <c r="Y390" i="9"/>
  <c r="U390" i="9"/>
  <c r="AF390" i="9" s="1"/>
  <c r="Q390" i="9"/>
  <c r="M390" i="9"/>
  <c r="AJ390" i="9"/>
  <c r="Z390" i="9"/>
  <c r="AA390" i="9" s="1"/>
  <c r="AG390" i="9" s="1"/>
  <c r="T390" i="9"/>
  <c r="O390" i="9"/>
  <c r="AI390" i="9"/>
  <c r="X390" i="9"/>
  <c r="S390" i="9"/>
  <c r="N390" i="9"/>
  <c r="W390" i="9"/>
  <c r="AD390" i="9" s="1"/>
  <c r="AH390" i="9"/>
  <c r="AK394" i="9"/>
  <c r="AC394" i="9"/>
  <c r="AE394" i="9" s="1"/>
  <c r="Y394" i="9"/>
  <c r="U394" i="9"/>
  <c r="AF394" i="9" s="1"/>
  <c r="Q394" i="9"/>
  <c r="M394" i="9"/>
  <c r="AJ394" i="9"/>
  <c r="Z394" i="9"/>
  <c r="AA394" i="9" s="1"/>
  <c r="AG394" i="9" s="1"/>
  <c r="T394" i="9"/>
  <c r="O394" i="9"/>
  <c r="AI394" i="9"/>
  <c r="X394" i="9"/>
  <c r="S394" i="9"/>
  <c r="N394" i="9"/>
  <c r="W394" i="9"/>
  <c r="AD394" i="9" s="1"/>
  <c r="AH394" i="9"/>
  <c r="AK398" i="9"/>
  <c r="AC398" i="9"/>
  <c r="AE398" i="9" s="1"/>
  <c r="Y398" i="9"/>
  <c r="U398" i="9"/>
  <c r="AF398" i="9" s="1"/>
  <c r="Q398" i="9"/>
  <c r="M398" i="9"/>
  <c r="AJ398" i="9"/>
  <c r="Z398" i="9"/>
  <c r="AA398" i="9" s="1"/>
  <c r="AG398" i="9" s="1"/>
  <c r="T398" i="9"/>
  <c r="O398" i="9"/>
  <c r="AI398" i="9"/>
  <c r="X398" i="9"/>
  <c r="S398" i="9"/>
  <c r="N398" i="9"/>
  <c r="W398" i="9"/>
  <c r="AD398" i="9" s="1"/>
  <c r="AH398" i="9"/>
  <c r="AK402" i="9"/>
  <c r="AC402" i="9"/>
  <c r="AE402" i="9" s="1"/>
  <c r="Y402" i="9"/>
  <c r="U402" i="9"/>
  <c r="AF402" i="9" s="1"/>
  <c r="Q402" i="9"/>
  <c r="M402" i="9"/>
  <c r="AJ402" i="9"/>
  <c r="Z402" i="9"/>
  <c r="AA402" i="9" s="1"/>
  <c r="AG402" i="9" s="1"/>
  <c r="T402" i="9"/>
  <c r="O402" i="9"/>
  <c r="AI402" i="9"/>
  <c r="X402" i="9"/>
  <c r="S402" i="9"/>
  <c r="N402" i="9"/>
  <c r="W402" i="9"/>
  <c r="AD402" i="9" s="1"/>
  <c r="AH402" i="9"/>
  <c r="AK406" i="9"/>
  <c r="AC406" i="9"/>
  <c r="AE406" i="9" s="1"/>
  <c r="Y406" i="9"/>
  <c r="U406" i="9"/>
  <c r="AF406" i="9" s="1"/>
  <c r="Q406" i="9"/>
  <c r="M406" i="9"/>
  <c r="AJ406" i="9"/>
  <c r="Z406" i="9"/>
  <c r="AA406" i="9" s="1"/>
  <c r="AG406" i="9" s="1"/>
  <c r="T406" i="9"/>
  <c r="O406" i="9"/>
  <c r="AI406" i="9"/>
  <c r="X406" i="9"/>
  <c r="S406" i="9"/>
  <c r="N406" i="9"/>
  <c r="W406" i="9"/>
  <c r="AD406" i="9" s="1"/>
  <c r="AH406" i="9"/>
  <c r="AK410" i="9"/>
  <c r="AC410" i="9"/>
  <c r="AE410" i="9" s="1"/>
  <c r="Y410" i="9"/>
  <c r="U410" i="9"/>
  <c r="AF410" i="9" s="1"/>
  <c r="Q410" i="9"/>
  <c r="M410" i="9"/>
  <c r="AJ410" i="9"/>
  <c r="Z410" i="9"/>
  <c r="AA410" i="9" s="1"/>
  <c r="AG410" i="9" s="1"/>
  <c r="T410" i="9"/>
  <c r="O410" i="9"/>
  <c r="AI410" i="9"/>
  <c r="X410" i="9"/>
  <c r="S410" i="9"/>
  <c r="N410" i="9"/>
  <c r="W410" i="9"/>
  <c r="AD410" i="9" s="1"/>
  <c r="AH410" i="9"/>
  <c r="AK414" i="9"/>
  <c r="AC414" i="9"/>
  <c r="AE414" i="9" s="1"/>
  <c r="Y414" i="9"/>
  <c r="U414" i="9"/>
  <c r="AF414" i="9" s="1"/>
  <c r="Q414" i="9"/>
  <c r="M414" i="9"/>
  <c r="AJ414" i="9"/>
  <c r="Z414" i="9"/>
  <c r="AA414" i="9" s="1"/>
  <c r="AG414" i="9" s="1"/>
  <c r="T414" i="9"/>
  <c r="O414" i="9"/>
  <c r="AI414" i="9"/>
  <c r="X414" i="9"/>
  <c r="S414" i="9"/>
  <c r="N414" i="9"/>
  <c r="W414" i="9"/>
  <c r="AD414" i="9" s="1"/>
  <c r="AH414" i="9"/>
  <c r="AK418" i="9"/>
  <c r="AC418" i="9"/>
  <c r="AE418" i="9" s="1"/>
  <c r="Y418" i="9"/>
  <c r="U418" i="9"/>
  <c r="AF418" i="9" s="1"/>
  <c r="Q418" i="9"/>
  <c r="M418" i="9"/>
  <c r="AJ418" i="9"/>
  <c r="Z418" i="9"/>
  <c r="AA418" i="9" s="1"/>
  <c r="AG418" i="9" s="1"/>
  <c r="T418" i="9"/>
  <c r="O418" i="9"/>
  <c r="AI418" i="9"/>
  <c r="X418" i="9"/>
  <c r="S418" i="9"/>
  <c r="N418" i="9"/>
  <c r="W418" i="9"/>
  <c r="AD418" i="9" s="1"/>
  <c r="AH418" i="9"/>
  <c r="AK422" i="9"/>
  <c r="AC422" i="9"/>
  <c r="AE422" i="9" s="1"/>
  <c r="Y422" i="9"/>
  <c r="U422" i="9"/>
  <c r="AF422" i="9" s="1"/>
  <c r="Q422" i="9"/>
  <c r="M422" i="9"/>
  <c r="AJ422" i="9"/>
  <c r="Z422" i="9"/>
  <c r="AA422" i="9" s="1"/>
  <c r="AG422" i="9" s="1"/>
  <c r="T422" i="9"/>
  <c r="O422" i="9"/>
  <c r="AI422" i="9"/>
  <c r="X422" i="9"/>
  <c r="S422" i="9"/>
  <c r="N422" i="9"/>
  <c r="W422" i="9"/>
  <c r="AD422" i="9" s="1"/>
  <c r="AH422" i="9"/>
  <c r="AK426" i="9"/>
  <c r="AC426" i="9"/>
  <c r="AE426" i="9" s="1"/>
  <c r="Y426" i="9"/>
  <c r="U426" i="9"/>
  <c r="AF426" i="9" s="1"/>
  <c r="Q426" i="9"/>
  <c r="M426" i="9"/>
  <c r="AJ426" i="9"/>
  <c r="Z426" i="9"/>
  <c r="AA426" i="9" s="1"/>
  <c r="AG426" i="9" s="1"/>
  <c r="T426" i="9"/>
  <c r="O426" i="9"/>
  <c r="AI426" i="9"/>
  <c r="X426" i="9"/>
  <c r="S426" i="9"/>
  <c r="N426" i="9"/>
  <c r="W426" i="9"/>
  <c r="AD426" i="9" s="1"/>
  <c r="AH426" i="9"/>
  <c r="AK430" i="9"/>
  <c r="AC430" i="9"/>
  <c r="AE430" i="9" s="1"/>
  <c r="Y430" i="9"/>
  <c r="U430" i="9"/>
  <c r="AF430" i="9" s="1"/>
  <c r="Q430" i="9"/>
  <c r="M430" i="9"/>
  <c r="AJ430" i="9"/>
  <c r="Z430" i="9"/>
  <c r="AA430" i="9" s="1"/>
  <c r="AG430" i="9" s="1"/>
  <c r="T430" i="9"/>
  <c r="O430" i="9"/>
  <c r="AI430" i="9"/>
  <c r="X430" i="9"/>
  <c r="S430" i="9"/>
  <c r="N430" i="9"/>
  <c r="W430" i="9"/>
  <c r="AD430" i="9" s="1"/>
  <c r="AH430" i="9"/>
  <c r="AK434" i="9"/>
  <c r="AC434" i="9"/>
  <c r="AE434" i="9" s="1"/>
  <c r="Y434" i="9"/>
  <c r="U434" i="9"/>
  <c r="AF434" i="9" s="1"/>
  <c r="Q434" i="9"/>
  <c r="M434" i="9"/>
  <c r="AJ434" i="9"/>
  <c r="Z434" i="9"/>
  <c r="AA434" i="9" s="1"/>
  <c r="AG434" i="9" s="1"/>
  <c r="T434" i="9"/>
  <c r="O434" i="9"/>
  <c r="AI434" i="9"/>
  <c r="X434" i="9"/>
  <c r="S434" i="9"/>
  <c r="N434" i="9"/>
  <c r="W434" i="9"/>
  <c r="AD434" i="9" s="1"/>
  <c r="AH434" i="9"/>
  <c r="AK438" i="9"/>
  <c r="AC438" i="9"/>
  <c r="AE438" i="9" s="1"/>
  <c r="Y438" i="9"/>
  <c r="U438" i="9"/>
  <c r="AF438" i="9" s="1"/>
  <c r="Q438" i="9"/>
  <c r="M438" i="9"/>
  <c r="AJ438" i="9"/>
  <c r="Z438" i="9"/>
  <c r="AA438" i="9" s="1"/>
  <c r="AG438" i="9" s="1"/>
  <c r="T438" i="9"/>
  <c r="O438" i="9"/>
  <c r="AI438" i="9"/>
  <c r="X438" i="9"/>
  <c r="S438" i="9"/>
  <c r="N438" i="9"/>
  <c r="W438" i="9"/>
  <c r="AD438" i="9" s="1"/>
  <c r="AH438" i="9"/>
  <c r="AK442" i="9"/>
  <c r="AC442" i="9"/>
  <c r="AE442" i="9" s="1"/>
  <c r="Y442" i="9"/>
  <c r="U442" i="9"/>
  <c r="AF442" i="9" s="1"/>
  <c r="Q442" i="9"/>
  <c r="M442" i="9"/>
  <c r="AJ442" i="9"/>
  <c r="Z442" i="9"/>
  <c r="AA442" i="9" s="1"/>
  <c r="AG442" i="9" s="1"/>
  <c r="T442" i="9"/>
  <c r="O442" i="9"/>
  <c r="AI442" i="9"/>
  <c r="X442" i="9"/>
  <c r="S442" i="9"/>
  <c r="N442" i="9"/>
  <c r="W442" i="9"/>
  <c r="AD442" i="9" s="1"/>
  <c r="AH442" i="9"/>
  <c r="AK446" i="9"/>
  <c r="AC446" i="9"/>
  <c r="AE446" i="9" s="1"/>
  <c r="Y446" i="9"/>
  <c r="U446" i="9"/>
  <c r="AF446" i="9" s="1"/>
  <c r="Q446" i="9"/>
  <c r="M446" i="9"/>
  <c r="AJ446" i="9"/>
  <c r="Z446" i="9"/>
  <c r="AA446" i="9" s="1"/>
  <c r="AG446" i="9" s="1"/>
  <c r="T446" i="9"/>
  <c r="O446" i="9"/>
  <c r="AI446" i="9"/>
  <c r="X446" i="9"/>
  <c r="S446" i="9"/>
  <c r="N446" i="9"/>
  <c r="W446" i="9"/>
  <c r="AD446" i="9" s="1"/>
  <c r="AH446" i="9"/>
  <c r="AK450" i="9"/>
  <c r="AC450" i="9"/>
  <c r="AE450" i="9" s="1"/>
  <c r="Y450" i="9"/>
  <c r="U450" i="9"/>
  <c r="AF450" i="9" s="1"/>
  <c r="Q450" i="9"/>
  <c r="M450" i="9"/>
  <c r="AJ450" i="9"/>
  <c r="Z450" i="9"/>
  <c r="AA450" i="9" s="1"/>
  <c r="AG450" i="9" s="1"/>
  <c r="T450" i="9"/>
  <c r="O450" i="9"/>
  <c r="AI450" i="9"/>
  <c r="X450" i="9"/>
  <c r="S450" i="9"/>
  <c r="N450" i="9"/>
  <c r="W450" i="9"/>
  <c r="AD450" i="9" s="1"/>
  <c r="AH450" i="9"/>
  <c r="AK454" i="9"/>
  <c r="AC454" i="9"/>
  <c r="AE454" i="9" s="1"/>
  <c r="Y454" i="9"/>
  <c r="U454" i="9"/>
  <c r="AF454" i="9" s="1"/>
  <c r="Q454" i="9"/>
  <c r="M454" i="9"/>
  <c r="AJ454" i="9"/>
  <c r="Z454" i="9"/>
  <c r="AA454" i="9" s="1"/>
  <c r="AG454" i="9" s="1"/>
  <c r="T454" i="9"/>
  <c r="O454" i="9"/>
  <c r="AI454" i="9"/>
  <c r="X454" i="9"/>
  <c r="S454" i="9"/>
  <c r="N454" i="9"/>
  <c r="W454" i="9"/>
  <c r="AD454" i="9" s="1"/>
  <c r="AH454" i="9"/>
  <c r="AK458" i="9"/>
  <c r="AC458" i="9"/>
  <c r="AE458" i="9" s="1"/>
  <c r="Y458" i="9"/>
  <c r="U458" i="9"/>
  <c r="AF458" i="9" s="1"/>
  <c r="Q458" i="9"/>
  <c r="M458" i="9"/>
  <c r="AJ458" i="9"/>
  <c r="Z458" i="9"/>
  <c r="AA458" i="9" s="1"/>
  <c r="AG458" i="9" s="1"/>
  <c r="T458" i="9"/>
  <c r="O458" i="9"/>
  <c r="AI458" i="9"/>
  <c r="X458" i="9"/>
  <c r="S458" i="9"/>
  <c r="N458" i="9"/>
  <c r="W458" i="9"/>
  <c r="AD458" i="9" s="1"/>
  <c r="AH458" i="9"/>
  <c r="Q3" i="10"/>
  <c r="AK7" i="11"/>
  <c r="AC7" i="11"/>
  <c r="AE7" i="11" s="1"/>
  <c r="U7" i="11"/>
  <c r="AF7" i="11" s="1"/>
  <c r="Q7" i="11"/>
  <c r="M7" i="11"/>
  <c r="R7" i="11"/>
  <c r="W7" i="11"/>
  <c r="AD7" i="11" s="1"/>
  <c r="AH7" i="11"/>
  <c r="AI9" i="11"/>
  <c r="W9" i="11"/>
  <c r="AD9" i="11" s="1"/>
  <c r="S9" i="11"/>
  <c r="O9" i="11"/>
  <c r="K9" i="11"/>
  <c r="Q9" i="11"/>
  <c r="V9" i="11"/>
  <c r="AB9" i="11" s="1"/>
  <c r="AL9" i="11"/>
  <c r="AI13" i="11"/>
  <c r="W13" i="11"/>
  <c r="AD13" i="11" s="1"/>
  <c r="S13" i="11"/>
  <c r="O13" i="11"/>
  <c r="K13" i="11"/>
  <c r="Q13" i="11"/>
  <c r="V13" i="11"/>
  <c r="AB13" i="11"/>
  <c r="AL13" i="11"/>
  <c r="AI17" i="11"/>
  <c r="W17" i="11"/>
  <c r="AD17" i="11" s="1"/>
  <c r="S17" i="11"/>
  <c r="O17" i="11"/>
  <c r="K17" i="11"/>
  <c r="Q17" i="11"/>
  <c r="V17" i="11"/>
  <c r="AB17" i="11" s="1"/>
  <c r="AL17" i="11"/>
  <c r="AI21" i="11"/>
  <c r="W21" i="11"/>
  <c r="AD21" i="11" s="1"/>
  <c r="S21" i="11"/>
  <c r="O21" i="11"/>
  <c r="K21" i="11"/>
  <c r="Q21" i="11"/>
  <c r="V21" i="11"/>
  <c r="AB21" i="11"/>
  <c r="AL21" i="11"/>
  <c r="AI25" i="11"/>
  <c r="W25" i="11"/>
  <c r="AD25" i="11" s="1"/>
  <c r="S25" i="11"/>
  <c r="O25" i="11"/>
  <c r="K25" i="11"/>
  <c r="Q25" i="11"/>
  <c r="V25" i="11"/>
  <c r="AB25" i="11" s="1"/>
  <c r="AL25" i="11"/>
  <c r="AI29" i="11"/>
  <c r="W29" i="11"/>
  <c r="AD29" i="11" s="1"/>
  <c r="S29" i="11"/>
  <c r="O29" i="11"/>
  <c r="K29" i="11"/>
  <c r="Q29" i="11"/>
  <c r="V29" i="11"/>
  <c r="AB29" i="11"/>
  <c r="AL29" i="11"/>
  <c r="AI33" i="11"/>
  <c r="W33" i="11"/>
  <c r="AD33" i="11" s="1"/>
  <c r="S33" i="11"/>
  <c r="O33" i="11"/>
  <c r="K33" i="11"/>
  <c r="Q33" i="11"/>
  <c r="V33" i="11"/>
  <c r="AB33" i="11" s="1"/>
  <c r="AL33" i="11"/>
  <c r="AI37" i="11"/>
  <c r="W37" i="11"/>
  <c r="AD37" i="11" s="1"/>
  <c r="S37" i="11"/>
  <c r="O37" i="11"/>
  <c r="K37" i="11"/>
  <c r="Q37" i="11"/>
  <c r="V37" i="11"/>
  <c r="AB37" i="11"/>
  <c r="AL37" i="11"/>
  <c r="AI41" i="11"/>
  <c r="W41" i="11"/>
  <c r="AD41" i="11" s="1"/>
  <c r="S41" i="11"/>
  <c r="O41" i="11"/>
  <c r="K41" i="11"/>
  <c r="Q41" i="11"/>
  <c r="V41" i="11"/>
  <c r="AB41" i="11" s="1"/>
  <c r="AL41" i="11"/>
  <c r="AI45" i="11"/>
  <c r="W45" i="11"/>
  <c r="AD45" i="11" s="1"/>
  <c r="S45" i="11"/>
  <c r="O45" i="11"/>
  <c r="K45" i="11"/>
  <c r="Q45" i="11"/>
  <c r="V45" i="11"/>
  <c r="AB45" i="11"/>
  <c r="AL45" i="11"/>
  <c r="AI49" i="11"/>
  <c r="W49" i="11"/>
  <c r="AD49" i="11" s="1"/>
  <c r="S49" i="11"/>
  <c r="O49" i="11"/>
  <c r="K49" i="11"/>
  <c r="Q49" i="11"/>
  <c r="V49" i="11"/>
  <c r="AB49" i="11" s="1"/>
  <c r="AL49" i="11"/>
  <c r="AI53" i="11"/>
  <c r="W53" i="11"/>
  <c r="AD53" i="11" s="1"/>
  <c r="S53" i="11"/>
  <c r="O53" i="11"/>
  <c r="K53" i="11"/>
  <c r="Q53" i="11"/>
  <c r="V53" i="11"/>
  <c r="AB53" i="11"/>
  <c r="AL53" i="11"/>
  <c r="AI57" i="11"/>
  <c r="W57" i="11"/>
  <c r="AD57" i="11" s="1"/>
  <c r="S57" i="11"/>
  <c r="O57" i="11"/>
  <c r="K57" i="11"/>
  <c r="Q57" i="11"/>
  <c r="V57" i="11"/>
  <c r="AB57" i="11" s="1"/>
  <c r="AL57" i="11"/>
  <c r="AI61" i="11"/>
  <c r="W61" i="11"/>
  <c r="AD61" i="11" s="1"/>
  <c r="S61" i="11"/>
  <c r="O61" i="11"/>
  <c r="K61" i="11"/>
  <c r="Q61" i="11"/>
  <c r="V61" i="11"/>
  <c r="AB61" i="11"/>
  <c r="AL61" i="11"/>
  <c r="AI65" i="11"/>
  <c r="W65" i="11"/>
  <c r="AD65" i="11" s="1"/>
  <c r="S65" i="11"/>
  <c r="O65" i="11"/>
  <c r="K65" i="11"/>
  <c r="Q65" i="11"/>
  <c r="V65" i="11"/>
  <c r="AB65" i="11" s="1"/>
  <c r="AL65" i="11"/>
  <c r="AI69" i="11"/>
  <c r="W69" i="11"/>
  <c r="AD69" i="11" s="1"/>
  <c r="S69" i="11"/>
  <c r="O69" i="11"/>
  <c r="K69" i="11"/>
  <c r="Q69" i="11"/>
  <c r="V69" i="11"/>
  <c r="AB69" i="11"/>
  <c r="AL69" i="11"/>
  <c r="AI73" i="11"/>
  <c r="W73" i="11"/>
  <c r="AD73" i="11" s="1"/>
  <c r="S73" i="11"/>
  <c r="O73" i="11"/>
  <c r="K73" i="11"/>
  <c r="Q73" i="11"/>
  <c r="V73" i="11"/>
  <c r="AB73" i="11" s="1"/>
  <c r="AL73" i="11"/>
  <c r="AI77" i="11"/>
  <c r="W77" i="11"/>
  <c r="AD77" i="11" s="1"/>
  <c r="S77" i="11"/>
  <c r="O77" i="11"/>
  <c r="K77" i="11"/>
  <c r="Q77" i="11"/>
  <c r="V77" i="11"/>
  <c r="AB77" i="11"/>
  <c r="AL77" i="11"/>
  <c r="AI81" i="11"/>
  <c r="W81" i="11"/>
  <c r="AD81" i="11" s="1"/>
  <c r="S81" i="11"/>
  <c r="O81" i="11"/>
  <c r="K81" i="11"/>
  <c r="Q81" i="11"/>
  <c r="V81" i="11"/>
  <c r="AB81" i="11" s="1"/>
  <c r="AL81" i="11"/>
  <c r="AI85" i="11"/>
  <c r="W85" i="11"/>
  <c r="AD85" i="11" s="1"/>
  <c r="S85" i="11"/>
  <c r="O85" i="11"/>
  <c r="K85" i="11"/>
  <c r="Q85" i="11"/>
  <c r="V85" i="11"/>
  <c r="AB85" i="11"/>
  <c r="AL85" i="11"/>
  <c r="AI89" i="11"/>
  <c r="W89" i="11"/>
  <c r="AD89" i="11" s="1"/>
  <c r="S89" i="11"/>
  <c r="O89" i="11"/>
  <c r="K89" i="11"/>
  <c r="Q89" i="11"/>
  <c r="V89" i="11"/>
  <c r="AB89" i="11" s="1"/>
  <c r="AL89" i="11"/>
  <c r="AI93" i="11"/>
  <c r="W93" i="11"/>
  <c r="AD93" i="11" s="1"/>
  <c r="S93" i="11"/>
  <c r="O93" i="11"/>
  <c r="K93" i="11"/>
  <c r="Q93" i="11"/>
  <c r="V93" i="11"/>
  <c r="AB93" i="11"/>
  <c r="AL93" i="11"/>
  <c r="AI97" i="11"/>
  <c r="W97" i="11"/>
  <c r="AD97" i="11" s="1"/>
  <c r="S97" i="11"/>
  <c r="O97" i="11"/>
  <c r="K97" i="11"/>
  <c r="Q97" i="11"/>
  <c r="V97" i="11"/>
  <c r="AB97" i="11" s="1"/>
  <c r="AL97" i="11"/>
  <c r="AI101" i="11"/>
  <c r="W101" i="11"/>
  <c r="AD101" i="11" s="1"/>
  <c r="S101" i="11"/>
  <c r="O101" i="11"/>
  <c r="K101" i="11"/>
  <c r="Q101" i="11"/>
  <c r="V101" i="11"/>
  <c r="AB101" i="11"/>
  <c r="AL101" i="11"/>
  <c r="AI105" i="11"/>
  <c r="W105" i="11"/>
  <c r="AD105" i="11" s="1"/>
  <c r="S105" i="11"/>
  <c r="O105" i="11"/>
  <c r="K105" i="11"/>
  <c r="Q105" i="11"/>
  <c r="V105" i="11"/>
  <c r="AB105" i="11" s="1"/>
  <c r="AL105" i="11"/>
  <c r="AI109" i="11"/>
  <c r="W109" i="11"/>
  <c r="AD109" i="11" s="1"/>
  <c r="S109" i="11"/>
  <c r="O109" i="11"/>
  <c r="K109" i="11"/>
  <c r="Q109" i="11"/>
  <c r="V109" i="11"/>
  <c r="AB109" i="11"/>
  <c r="AL109" i="11"/>
  <c r="AI113" i="11"/>
  <c r="W113" i="11"/>
  <c r="AD113" i="11" s="1"/>
  <c r="S113" i="11"/>
  <c r="O113" i="11"/>
  <c r="K113" i="11"/>
  <c r="Q113" i="11"/>
  <c r="V113" i="11"/>
  <c r="AB113" i="11" s="1"/>
  <c r="AL113" i="11"/>
  <c r="AI117" i="11"/>
  <c r="W117" i="11"/>
  <c r="AD117" i="11" s="1"/>
  <c r="S117" i="11"/>
  <c r="O117" i="11"/>
  <c r="K117" i="11"/>
  <c r="Q117" i="11"/>
  <c r="V117" i="11"/>
  <c r="AB117" i="11"/>
  <c r="AL117" i="11"/>
  <c r="AI121" i="11"/>
  <c r="W121" i="11"/>
  <c r="AD121" i="11" s="1"/>
  <c r="S121" i="11"/>
  <c r="O121" i="11"/>
  <c r="K121" i="11"/>
  <c r="Q121" i="11"/>
  <c r="V121" i="11"/>
  <c r="AB121" i="11" s="1"/>
  <c r="AL121" i="11"/>
  <c r="AI125" i="11"/>
  <c r="W125" i="11"/>
  <c r="AD125" i="11" s="1"/>
  <c r="S125" i="11"/>
  <c r="O125" i="11"/>
  <c r="K125" i="11"/>
  <c r="Q125" i="11"/>
  <c r="V125" i="11"/>
  <c r="AB125" i="11"/>
  <c r="AL125" i="11"/>
  <c r="AI129" i="11"/>
  <c r="W129" i="11"/>
  <c r="AD129" i="11" s="1"/>
  <c r="S129" i="11"/>
  <c r="O129" i="11"/>
  <c r="K129" i="11"/>
  <c r="Q129" i="11"/>
  <c r="V129" i="11"/>
  <c r="AB129" i="11" s="1"/>
  <c r="AL129" i="11"/>
  <c r="AI133" i="11"/>
  <c r="W133" i="11"/>
  <c r="AD133" i="11" s="1"/>
  <c r="S133" i="11"/>
  <c r="O133" i="11"/>
  <c r="K133" i="11"/>
  <c r="Q133" i="11"/>
  <c r="V133" i="11"/>
  <c r="AB133" i="11"/>
  <c r="AL133" i="11"/>
  <c r="AI137" i="11"/>
  <c r="W137" i="11"/>
  <c r="AD137" i="11" s="1"/>
  <c r="S137" i="11"/>
  <c r="O137" i="11"/>
  <c r="K137" i="11"/>
  <c r="Q137" i="11"/>
  <c r="V137" i="11"/>
  <c r="AB137" i="11" s="1"/>
  <c r="AL137" i="11"/>
  <c r="AI141" i="11"/>
  <c r="W141" i="11"/>
  <c r="AD141" i="11" s="1"/>
  <c r="S141" i="11"/>
  <c r="O141" i="11"/>
  <c r="K141" i="11"/>
  <c r="Q141" i="11"/>
  <c r="V141" i="11"/>
  <c r="AB141" i="11"/>
  <c r="AL141" i="11"/>
  <c r="AI145" i="11"/>
  <c r="W145" i="11"/>
  <c r="AD145" i="11" s="1"/>
  <c r="S145" i="11"/>
  <c r="O145" i="11"/>
  <c r="K145" i="11"/>
  <c r="Q145" i="11"/>
  <c r="V145" i="11"/>
  <c r="AB145" i="11" s="1"/>
  <c r="AL145" i="11"/>
  <c r="AI149" i="11"/>
  <c r="W149" i="11"/>
  <c r="AD149" i="11" s="1"/>
  <c r="S149" i="11"/>
  <c r="O149" i="11"/>
  <c r="K149" i="11"/>
  <c r="Q149" i="11"/>
  <c r="V149" i="11"/>
  <c r="AB149" i="11"/>
  <c r="AL149" i="11"/>
  <c r="AI153" i="11"/>
  <c r="W153" i="11"/>
  <c r="AD153" i="11" s="1"/>
  <c r="S153" i="11"/>
  <c r="O153" i="11"/>
  <c r="K153" i="11"/>
  <c r="Q153" i="11"/>
  <c r="V153" i="11"/>
  <c r="AB153" i="11" s="1"/>
  <c r="AL153" i="11"/>
  <c r="AI157" i="11"/>
  <c r="W157" i="11"/>
  <c r="AD157" i="11" s="1"/>
  <c r="S157" i="11"/>
  <c r="O157" i="11"/>
  <c r="K157" i="11"/>
  <c r="Q157" i="11"/>
  <c r="V157" i="11"/>
  <c r="AB157" i="11"/>
  <c r="AL157" i="11"/>
  <c r="AI161" i="11"/>
  <c r="W161" i="11"/>
  <c r="AD161" i="11" s="1"/>
  <c r="S161" i="11"/>
  <c r="O161" i="11"/>
  <c r="K161" i="11"/>
  <c r="Q161" i="11"/>
  <c r="V161" i="11"/>
  <c r="AB161" i="11" s="1"/>
  <c r="AL161" i="11"/>
  <c r="AI165" i="11"/>
  <c r="W165" i="11"/>
  <c r="AD165" i="11" s="1"/>
  <c r="S165" i="11"/>
  <c r="O165" i="11"/>
  <c r="K165" i="11"/>
  <c r="Q165" i="11"/>
  <c r="V165" i="11"/>
  <c r="AB165" i="11"/>
  <c r="AL165" i="11"/>
  <c r="AI169" i="11"/>
  <c r="W169" i="11"/>
  <c r="AD169" i="11" s="1"/>
  <c r="S169" i="11"/>
  <c r="O169" i="11"/>
  <c r="K169" i="11"/>
  <c r="Q169" i="11"/>
  <c r="V169" i="11"/>
  <c r="AB169" i="11" s="1"/>
  <c r="AL169" i="11"/>
  <c r="AI173" i="11"/>
  <c r="W173" i="11"/>
  <c r="AD173" i="11" s="1"/>
  <c r="S173" i="11"/>
  <c r="O173" i="11"/>
  <c r="K173" i="11"/>
  <c r="Q173" i="11"/>
  <c r="V173" i="11"/>
  <c r="AB173" i="11"/>
  <c r="AL173" i="11"/>
  <c r="AI177" i="11"/>
  <c r="W177" i="11"/>
  <c r="AD177" i="11" s="1"/>
  <c r="S177" i="11"/>
  <c r="O177" i="11"/>
  <c r="K177" i="11"/>
  <c r="Q177" i="11"/>
  <c r="V177" i="11"/>
  <c r="AB177" i="11" s="1"/>
  <c r="AL177" i="11"/>
  <c r="AI181" i="11"/>
  <c r="W181" i="11"/>
  <c r="AD181" i="11" s="1"/>
  <c r="S181" i="11"/>
  <c r="O181" i="11"/>
  <c r="K181" i="11"/>
  <c r="Q181" i="11"/>
  <c r="V181" i="11"/>
  <c r="AB181" i="11"/>
  <c r="AL181" i="11"/>
  <c r="AI185" i="11"/>
  <c r="W185" i="11"/>
  <c r="AD185" i="11" s="1"/>
  <c r="S185" i="11"/>
  <c r="O185" i="11"/>
  <c r="K185" i="11"/>
  <c r="Q185" i="11"/>
  <c r="V185" i="11"/>
  <c r="AB185" i="11" s="1"/>
  <c r="AL185" i="11"/>
  <c r="AI189" i="11"/>
  <c r="W189" i="11"/>
  <c r="AD189" i="11" s="1"/>
  <c r="S189" i="11"/>
  <c r="O189" i="11"/>
  <c r="K189" i="11"/>
  <c r="Q189" i="11"/>
  <c r="V189" i="11"/>
  <c r="AB189" i="11"/>
  <c r="AL189" i="11"/>
  <c r="AI193" i="11"/>
  <c r="W193" i="11"/>
  <c r="AD193" i="11" s="1"/>
  <c r="S193" i="11"/>
  <c r="O193" i="11"/>
  <c r="K193" i="11"/>
  <c r="Q193" i="11"/>
  <c r="V193" i="11"/>
  <c r="AB193" i="11" s="1"/>
  <c r="AL193" i="11"/>
  <c r="AI197" i="11"/>
  <c r="W197" i="11"/>
  <c r="AD197" i="11" s="1"/>
  <c r="S197" i="11"/>
  <c r="O197" i="11"/>
  <c r="K197" i="11"/>
  <c r="Q197" i="11"/>
  <c r="V197" i="11"/>
  <c r="AB197" i="11"/>
  <c r="AL197" i="11"/>
  <c r="AI201" i="11"/>
  <c r="W201" i="11"/>
  <c r="AD201" i="11" s="1"/>
  <c r="S201" i="11"/>
  <c r="O201" i="11"/>
  <c r="K201" i="11"/>
  <c r="Q201" i="11"/>
  <c r="V201" i="11"/>
  <c r="AB201" i="11" s="1"/>
  <c r="AL201" i="11"/>
  <c r="AI205" i="11"/>
  <c r="W205" i="11"/>
  <c r="AD205" i="11" s="1"/>
  <c r="S205" i="11"/>
  <c r="O205" i="11"/>
  <c r="K205" i="11"/>
  <c r="Q205" i="11"/>
  <c r="V205" i="11"/>
  <c r="AB205" i="11"/>
  <c r="AL205" i="11"/>
  <c r="AI209" i="11"/>
  <c r="W209" i="11"/>
  <c r="AD209" i="11" s="1"/>
  <c r="S209" i="11"/>
  <c r="O209" i="11"/>
  <c r="K209" i="11"/>
  <c r="Q209" i="11"/>
  <c r="V209" i="11"/>
  <c r="AB209" i="11" s="1"/>
  <c r="AL209" i="11"/>
  <c r="AI213" i="11"/>
  <c r="W213" i="11"/>
  <c r="AD213" i="11" s="1"/>
  <c r="S213" i="11"/>
  <c r="O213" i="11"/>
  <c r="K213" i="11"/>
  <c r="Q213" i="11"/>
  <c r="V213" i="11"/>
  <c r="AB213" i="11"/>
  <c r="AL213" i="11"/>
  <c r="AI217" i="11"/>
  <c r="W217" i="11"/>
  <c r="AD217" i="11" s="1"/>
  <c r="S217" i="11"/>
  <c r="O217" i="11"/>
  <c r="K217" i="11"/>
  <c r="Q217" i="11"/>
  <c r="V217" i="11"/>
  <c r="AB217" i="11" s="1"/>
  <c r="AL217" i="11"/>
  <c r="AI221" i="11"/>
  <c r="W221" i="11"/>
  <c r="AD221" i="11" s="1"/>
  <c r="S221" i="11"/>
  <c r="O221" i="11"/>
  <c r="K221" i="11"/>
  <c r="Q221" i="11"/>
  <c r="V221" i="11"/>
  <c r="AB221" i="11"/>
  <c r="AL221" i="11"/>
  <c r="AI225" i="11"/>
  <c r="W225" i="11"/>
  <c r="AD225" i="11" s="1"/>
  <c r="S225" i="11"/>
  <c r="O225" i="11"/>
  <c r="K225" i="11"/>
  <c r="Q225" i="11"/>
  <c r="V225" i="11"/>
  <c r="AB225" i="11" s="1"/>
  <c r="AL225" i="11"/>
  <c r="AI229" i="11"/>
  <c r="W229" i="11"/>
  <c r="AD229" i="11" s="1"/>
  <c r="S229" i="11"/>
  <c r="O229" i="11"/>
  <c r="K229" i="11"/>
  <c r="Q229" i="11"/>
  <c r="V229" i="11"/>
  <c r="AB229" i="11"/>
  <c r="AL229" i="11"/>
  <c r="AI233" i="11"/>
  <c r="W233" i="11"/>
  <c r="AD233" i="11" s="1"/>
  <c r="S233" i="11"/>
  <c r="O233" i="11"/>
  <c r="K233" i="11"/>
  <c r="Q233" i="11"/>
  <c r="V233" i="11"/>
  <c r="AB233" i="11" s="1"/>
  <c r="AL233" i="11"/>
  <c r="AI237" i="11"/>
  <c r="W237" i="11"/>
  <c r="AD237" i="11" s="1"/>
  <c r="S237" i="11"/>
  <c r="O237" i="11"/>
  <c r="K237" i="11"/>
  <c r="Q237" i="11"/>
  <c r="V237" i="11"/>
  <c r="AB237" i="11"/>
  <c r="AL237" i="11"/>
  <c r="AI241" i="11"/>
  <c r="W241" i="11"/>
  <c r="AD241" i="11" s="1"/>
  <c r="S241" i="11"/>
  <c r="O241" i="11"/>
  <c r="K241" i="11"/>
  <c r="Q241" i="11"/>
  <c r="V241" i="11"/>
  <c r="AB241" i="11" s="1"/>
  <c r="AL241" i="11"/>
  <c r="AI245" i="11"/>
  <c r="W245" i="11"/>
  <c r="AD245" i="11" s="1"/>
  <c r="S245" i="11"/>
  <c r="O245" i="11"/>
  <c r="K245" i="11"/>
  <c r="Q245" i="11"/>
  <c r="V245" i="11"/>
  <c r="AB245" i="11"/>
  <c r="AL245" i="11"/>
  <c r="AI249" i="11"/>
  <c r="W249" i="11"/>
  <c r="AD249" i="11" s="1"/>
  <c r="S249" i="11"/>
  <c r="O249" i="11"/>
  <c r="K249" i="11"/>
  <c r="Q249" i="11"/>
  <c r="V249" i="11"/>
  <c r="AB249" i="11" s="1"/>
  <c r="AL249" i="11"/>
  <c r="AI253" i="11"/>
  <c r="W253" i="11"/>
  <c r="AD253" i="11" s="1"/>
  <c r="S253" i="11"/>
  <c r="O253" i="11"/>
  <c r="K253" i="11"/>
  <c r="Q253" i="11"/>
  <c r="V253" i="11"/>
  <c r="AB253" i="11"/>
  <c r="AL253" i="11"/>
  <c r="AI257" i="11"/>
  <c r="W257" i="11"/>
  <c r="AD257" i="11" s="1"/>
  <c r="S257" i="11"/>
  <c r="O257" i="11"/>
  <c r="K257" i="11"/>
  <c r="Q257" i="11"/>
  <c r="V257" i="11"/>
  <c r="AB257" i="11" s="1"/>
  <c r="AL257" i="11"/>
  <c r="AI261" i="11"/>
  <c r="W261" i="11"/>
  <c r="AD261" i="11" s="1"/>
  <c r="S261" i="11"/>
  <c r="O261" i="11"/>
  <c r="K261" i="11"/>
  <c r="Q261" i="11"/>
  <c r="V261" i="11"/>
  <c r="AB261" i="11"/>
  <c r="AL261" i="11"/>
  <c r="AI265" i="11"/>
  <c r="W265" i="11"/>
  <c r="AD265" i="11" s="1"/>
  <c r="S265" i="11"/>
  <c r="O265" i="11"/>
  <c r="K265" i="11"/>
  <c r="Q265" i="11"/>
  <c r="V265" i="11"/>
  <c r="AB265" i="11" s="1"/>
  <c r="AL265" i="11"/>
  <c r="AI269" i="11"/>
  <c r="W269" i="11"/>
  <c r="AD269" i="11" s="1"/>
  <c r="S269" i="11"/>
  <c r="O269" i="11"/>
  <c r="K269" i="11"/>
  <c r="Q269" i="11"/>
  <c r="V269" i="11"/>
  <c r="AB269" i="11"/>
  <c r="AL269" i="11"/>
  <c r="AI273" i="11"/>
  <c r="W273" i="11"/>
  <c r="AD273" i="11" s="1"/>
  <c r="S273" i="11"/>
  <c r="O273" i="11"/>
  <c r="K273" i="11"/>
  <c r="Q273" i="11"/>
  <c r="V273" i="11"/>
  <c r="AB273" i="11" s="1"/>
  <c r="AL273" i="11"/>
  <c r="AI277" i="11"/>
  <c r="W277" i="11"/>
  <c r="AD277" i="11" s="1"/>
  <c r="S277" i="11"/>
  <c r="O277" i="11"/>
  <c r="K277" i="11"/>
  <c r="Q277" i="11"/>
  <c r="V277" i="11"/>
  <c r="AB277" i="11"/>
  <c r="AL277" i="11"/>
  <c r="AI281" i="11"/>
  <c r="W281" i="11"/>
  <c r="AD281" i="11" s="1"/>
  <c r="S281" i="11"/>
  <c r="O281" i="11"/>
  <c r="K281" i="11"/>
  <c r="Q281" i="11"/>
  <c r="V281" i="11"/>
  <c r="AB281" i="11" s="1"/>
  <c r="AL281" i="11"/>
  <c r="AI285" i="11"/>
  <c r="W285" i="11"/>
  <c r="AD285" i="11" s="1"/>
  <c r="S285" i="11"/>
  <c r="O285" i="11"/>
  <c r="K285" i="11"/>
  <c r="Q285" i="11"/>
  <c r="V285" i="11"/>
  <c r="AB285" i="11"/>
  <c r="AL285" i="11"/>
  <c r="AI289" i="11"/>
  <c r="W289" i="11"/>
  <c r="AD289" i="11" s="1"/>
  <c r="S289" i="11"/>
  <c r="O289" i="11"/>
  <c r="K289" i="11"/>
  <c r="Q289" i="11"/>
  <c r="V289" i="11"/>
  <c r="AB289" i="11" s="1"/>
  <c r="AL289" i="11"/>
  <c r="AI293" i="11"/>
  <c r="W293" i="11"/>
  <c r="AD293" i="11" s="1"/>
  <c r="S293" i="11"/>
  <c r="O293" i="11"/>
  <c r="K293" i="11"/>
  <c r="Q293" i="11"/>
  <c r="V293" i="11"/>
  <c r="AB293" i="11"/>
  <c r="AL293" i="11"/>
  <c r="AI297" i="11"/>
  <c r="W297" i="11"/>
  <c r="AD297" i="11" s="1"/>
  <c r="S297" i="11"/>
  <c r="O297" i="11"/>
  <c r="K297" i="11"/>
  <c r="Q297" i="11"/>
  <c r="V297" i="11"/>
  <c r="AB297" i="11" s="1"/>
  <c r="AL297" i="11"/>
  <c r="AI301" i="11"/>
  <c r="W301" i="11"/>
  <c r="AD301" i="11" s="1"/>
  <c r="S301" i="11"/>
  <c r="O301" i="11"/>
  <c r="K301" i="11"/>
  <c r="Q301" i="11"/>
  <c r="V301" i="11"/>
  <c r="AB301" i="11"/>
  <c r="AL301" i="11"/>
  <c r="AI305" i="11"/>
  <c r="W305" i="11"/>
  <c r="AD305" i="11" s="1"/>
  <c r="S305" i="11"/>
  <c r="O305" i="11"/>
  <c r="K305" i="11"/>
  <c r="Q305" i="11"/>
  <c r="V305" i="11"/>
  <c r="AB305" i="11" s="1"/>
  <c r="AL305" i="11"/>
  <c r="AI309" i="11"/>
  <c r="W309" i="11"/>
  <c r="AD309" i="11" s="1"/>
  <c r="S309" i="11"/>
  <c r="O309" i="11"/>
  <c r="K309" i="11"/>
  <c r="Q309" i="11"/>
  <c r="V309" i="11"/>
  <c r="AB309" i="11"/>
  <c r="AL309" i="11"/>
  <c r="AI313" i="11"/>
  <c r="W313" i="11"/>
  <c r="AD313" i="11" s="1"/>
  <c r="S313" i="11"/>
  <c r="O313" i="11"/>
  <c r="K313" i="11"/>
  <c r="Q313" i="11"/>
  <c r="V313" i="11"/>
  <c r="AB313" i="11" s="1"/>
  <c r="AL313" i="11"/>
  <c r="AI317" i="11"/>
  <c r="W317" i="11"/>
  <c r="AD317" i="11" s="1"/>
  <c r="S317" i="11"/>
  <c r="O317" i="11"/>
  <c r="K317" i="11"/>
  <c r="Q317" i="11"/>
  <c r="V317" i="11"/>
  <c r="AB317" i="11"/>
  <c r="AL317" i="11"/>
  <c r="AI321" i="11"/>
  <c r="W321" i="11"/>
  <c r="AD321" i="11" s="1"/>
  <c r="S321" i="11"/>
  <c r="O321" i="11"/>
  <c r="K321" i="11"/>
  <c r="Q321" i="11"/>
  <c r="V321" i="11"/>
  <c r="AB321" i="11" s="1"/>
  <c r="AL321" i="11"/>
  <c r="AI325" i="11"/>
  <c r="W325" i="11"/>
  <c r="AD325" i="11" s="1"/>
  <c r="S325" i="11"/>
  <c r="O325" i="11"/>
  <c r="K325" i="11"/>
  <c r="Q325" i="11"/>
  <c r="V325" i="11"/>
  <c r="AB325" i="11"/>
  <c r="AL325" i="11"/>
  <c r="AI329" i="11"/>
  <c r="W329" i="11"/>
  <c r="AD329" i="11" s="1"/>
  <c r="S329" i="11"/>
  <c r="O329" i="11"/>
  <c r="K329" i="11"/>
  <c r="Q329" i="11"/>
  <c r="V329" i="11"/>
  <c r="AB329" i="11" s="1"/>
  <c r="AL329" i="11"/>
  <c r="AI333" i="11"/>
  <c r="W333" i="11"/>
  <c r="AD333" i="11" s="1"/>
  <c r="S333" i="11"/>
  <c r="O333" i="11"/>
  <c r="K333" i="11"/>
  <c r="Q333" i="11"/>
  <c r="V333" i="11"/>
  <c r="AB333" i="11"/>
  <c r="AL333" i="11"/>
  <c r="AI337" i="11"/>
  <c r="W337" i="11"/>
  <c r="AD337" i="11" s="1"/>
  <c r="S337" i="11"/>
  <c r="O337" i="11"/>
  <c r="K337" i="11"/>
  <c r="Q337" i="11"/>
  <c r="V337" i="11"/>
  <c r="AB337" i="11" s="1"/>
  <c r="AL337" i="11"/>
  <c r="AI341" i="11"/>
  <c r="W341" i="11"/>
  <c r="AD341" i="11" s="1"/>
  <c r="S341" i="11"/>
  <c r="O341" i="11"/>
  <c r="K341" i="11"/>
  <c r="Q341" i="11"/>
  <c r="V341" i="11"/>
  <c r="AB341" i="11"/>
  <c r="AL341" i="11"/>
  <c r="AI345" i="11"/>
  <c r="W345" i="11"/>
  <c r="AD345" i="11" s="1"/>
  <c r="S345" i="11"/>
  <c r="O345" i="11"/>
  <c r="K345" i="11"/>
  <c r="Q345" i="11"/>
  <c r="V345" i="11"/>
  <c r="AB345" i="11" s="1"/>
  <c r="AL345" i="11"/>
  <c r="AI349" i="11"/>
  <c r="W349" i="11"/>
  <c r="AD349" i="11" s="1"/>
  <c r="S349" i="11"/>
  <c r="O349" i="11"/>
  <c r="K349" i="11"/>
  <c r="Q349" i="11"/>
  <c r="V349" i="11"/>
  <c r="AB349" i="11"/>
  <c r="AL349" i="11"/>
  <c r="AI353" i="11"/>
  <c r="W353" i="11"/>
  <c r="AD353" i="11" s="1"/>
  <c r="S353" i="11"/>
  <c r="O353" i="11"/>
  <c r="K353" i="11"/>
  <c r="Q353" i="11"/>
  <c r="V353" i="11"/>
  <c r="AB353" i="11" s="1"/>
  <c r="AL353" i="11"/>
  <c r="AI357" i="11"/>
  <c r="W357" i="11"/>
  <c r="AD357" i="11" s="1"/>
  <c r="S357" i="11"/>
  <c r="O357" i="11"/>
  <c r="K357" i="11"/>
  <c r="Q357" i="11"/>
  <c r="V357" i="11"/>
  <c r="AB357" i="11"/>
  <c r="AL357" i="11"/>
  <c r="AI361" i="11"/>
  <c r="W361" i="11"/>
  <c r="AD361" i="11" s="1"/>
  <c r="S361" i="11"/>
  <c r="O361" i="11"/>
  <c r="K361" i="11"/>
  <c r="Q361" i="11"/>
  <c r="V361" i="11"/>
  <c r="AB361" i="11" s="1"/>
  <c r="AL361" i="11"/>
  <c r="AI365" i="11"/>
  <c r="W365" i="11"/>
  <c r="AD365" i="11" s="1"/>
  <c r="S365" i="11"/>
  <c r="O365" i="11"/>
  <c r="K365" i="11"/>
  <c r="Q365" i="11"/>
  <c r="V365" i="11"/>
  <c r="AB365" i="11"/>
  <c r="AL365" i="11"/>
  <c r="AI369" i="11"/>
  <c r="W369" i="11"/>
  <c r="AD369" i="11" s="1"/>
  <c r="S369" i="11"/>
  <c r="O369" i="11"/>
  <c r="K369" i="11"/>
  <c r="Q369" i="11"/>
  <c r="V369" i="11"/>
  <c r="AB369" i="11" s="1"/>
  <c r="AL369" i="11"/>
  <c r="AI373" i="11"/>
  <c r="W373" i="11"/>
  <c r="AD373" i="11" s="1"/>
  <c r="S373" i="11"/>
  <c r="O373" i="11"/>
  <c r="K373" i="11"/>
  <c r="Q373" i="11"/>
  <c r="V373" i="11"/>
  <c r="AB373" i="11"/>
  <c r="AL373" i="11"/>
  <c r="AI377" i="11"/>
  <c r="W377" i="11"/>
  <c r="AD377" i="11" s="1"/>
  <c r="S377" i="11"/>
  <c r="O377" i="11"/>
  <c r="K377" i="11"/>
  <c r="Q377" i="11"/>
  <c r="V377" i="11"/>
  <c r="AB377" i="11" s="1"/>
  <c r="AL377" i="11"/>
  <c r="AI381" i="11"/>
  <c r="W381" i="11"/>
  <c r="AD381" i="11" s="1"/>
  <c r="S381" i="11"/>
  <c r="O381" i="11"/>
  <c r="K381" i="11"/>
  <c r="Q381" i="11"/>
  <c r="V381" i="11"/>
  <c r="AB381" i="11"/>
  <c r="AL381" i="11"/>
  <c r="AI385" i="11"/>
  <c r="W385" i="11"/>
  <c r="AD385" i="11" s="1"/>
  <c r="S385" i="11"/>
  <c r="O385" i="11"/>
  <c r="K385" i="11"/>
  <c r="Q385" i="11"/>
  <c r="V385" i="11"/>
  <c r="AB385" i="11" s="1"/>
  <c r="AL385" i="11"/>
  <c r="AI389" i="11"/>
  <c r="W389" i="11"/>
  <c r="AD389" i="11" s="1"/>
  <c r="S389" i="11"/>
  <c r="O389" i="11"/>
  <c r="K389" i="11"/>
  <c r="Q389" i="11"/>
  <c r="V389" i="11"/>
  <c r="AB389" i="11"/>
  <c r="AL389" i="11"/>
  <c r="AI393" i="11"/>
  <c r="W393" i="11"/>
  <c r="AD393" i="11" s="1"/>
  <c r="S393" i="11"/>
  <c r="O393" i="11"/>
  <c r="K393" i="11"/>
  <c r="Q393" i="11"/>
  <c r="V393" i="11"/>
  <c r="AB393" i="11" s="1"/>
  <c r="AL393" i="11"/>
  <c r="AI397" i="11"/>
  <c r="W397" i="11"/>
  <c r="AD397" i="11" s="1"/>
  <c r="S397" i="11"/>
  <c r="O397" i="11"/>
  <c r="K397" i="11"/>
  <c r="Q397" i="11"/>
  <c r="V397" i="11"/>
  <c r="AB397" i="11"/>
  <c r="AL397" i="11"/>
  <c r="AI401" i="11"/>
  <c r="W401" i="11"/>
  <c r="AD401" i="11" s="1"/>
  <c r="S401" i="11"/>
  <c r="O401" i="11"/>
  <c r="K401" i="11"/>
  <c r="Q401" i="11"/>
  <c r="V401" i="11"/>
  <c r="AB401" i="11" s="1"/>
  <c r="AL401" i="11"/>
  <c r="AI405" i="11"/>
  <c r="W405" i="11"/>
  <c r="AD405" i="11" s="1"/>
  <c r="S405" i="11"/>
  <c r="O405" i="11"/>
  <c r="K405" i="11"/>
  <c r="Q405" i="11"/>
  <c r="V405" i="11"/>
  <c r="AB405" i="11"/>
  <c r="AL405" i="11"/>
  <c r="AI409" i="11"/>
  <c r="W409" i="11"/>
  <c r="AD409" i="11" s="1"/>
  <c r="S409" i="11"/>
  <c r="O409" i="11"/>
  <c r="K409" i="11"/>
  <c r="Q409" i="11"/>
  <c r="V409" i="11"/>
  <c r="AB409" i="11" s="1"/>
  <c r="AL409" i="11"/>
  <c r="AI413" i="11"/>
  <c r="W413" i="11"/>
  <c r="AD413" i="11" s="1"/>
  <c r="S413" i="11"/>
  <c r="O413" i="11"/>
  <c r="K413" i="11"/>
  <c r="Q413" i="11"/>
  <c r="V413" i="11"/>
  <c r="AB413" i="11"/>
  <c r="AL413" i="11"/>
  <c r="AI417" i="11"/>
  <c r="W417" i="11"/>
  <c r="AD417" i="11" s="1"/>
  <c r="S417" i="11"/>
  <c r="O417" i="11"/>
  <c r="K417" i="11"/>
  <c r="Q417" i="11"/>
  <c r="V417" i="11"/>
  <c r="AB417" i="11" s="1"/>
  <c r="AL417" i="11"/>
  <c r="AI421" i="11"/>
  <c r="W421" i="11"/>
  <c r="AD421" i="11" s="1"/>
  <c r="S421" i="11"/>
  <c r="O421" i="11"/>
  <c r="K421" i="11"/>
  <c r="Q421" i="11"/>
  <c r="V421" i="11"/>
  <c r="AB421" i="11"/>
  <c r="AL421" i="11"/>
  <c r="AI425" i="11"/>
  <c r="W425" i="11"/>
  <c r="AD425" i="11" s="1"/>
  <c r="S425" i="11"/>
  <c r="O425" i="11"/>
  <c r="K425" i="11"/>
  <c r="Q425" i="11"/>
  <c r="V425" i="11"/>
  <c r="AB425" i="11" s="1"/>
  <c r="AL425" i="11"/>
  <c r="AI429" i="11"/>
  <c r="W429" i="11"/>
  <c r="AD429" i="11" s="1"/>
  <c r="S429" i="11"/>
  <c r="O429" i="11"/>
  <c r="K429" i="11"/>
  <c r="Q429" i="11"/>
  <c r="V429" i="11"/>
  <c r="AB429" i="11"/>
  <c r="AL429" i="11"/>
  <c r="AI433" i="11"/>
  <c r="W433" i="11"/>
  <c r="AD433" i="11" s="1"/>
  <c r="S433" i="11"/>
  <c r="O433" i="11"/>
  <c r="K433" i="11"/>
  <c r="Q433" i="11"/>
  <c r="V433" i="11"/>
  <c r="AB433" i="11" s="1"/>
  <c r="AL433" i="11"/>
  <c r="AI437" i="11"/>
  <c r="W437" i="11"/>
  <c r="AD437" i="11" s="1"/>
  <c r="S437" i="11"/>
  <c r="O437" i="11"/>
  <c r="K437" i="11"/>
  <c r="Q437" i="11"/>
  <c r="V437" i="11"/>
  <c r="AB437" i="11"/>
  <c r="AL437" i="11"/>
  <c r="AI441" i="11"/>
  <c r="W441" i="11"/>
  <c r="AD441" i="11" s="1"/>
  <c r="S441" i="11"/>
  <c r="O441" i="11"/>
  <c r="K441" i="11"/>
  <c r="Q441" i="11"/>
  <c r="V441" i="11"/>
  <c r="AB441" i="11" s="1"/>
  <c r="AL441" i="11"/>
  <c r="AI445" i="11"/>
  <c r="W445" i="11"/>
  <c r="AD445" i="11" s="1"/>
  <c r="S445" i="11"/>
  <c r="O445" i="11"/>
  <c r="K445" i="11"/>
  <c r="Q445" i="11"/>
  <c r="V445" i="11"/>
  <c r="AB445" i="11"/>
  <c r="AL445" i="11"/>
  <c r="AI449" i="11"/>
  <c r="W449" i="11"/>
  <c r="AD449" i="11" s="1"/>
  <c r="S449" i="11"/>
  <c r="O449" i="11"/>
  <c r="K449" i="11"/>
  <c r="Q449" i="11"/>
  <c r="V449" i="11"/>
  <c r="AB449" i="11" s="1"/>
  <c r="AL449" i="11"/>
  <c r="AI453" i="11"/>
  <c r="W453" i="11"/>
  <c r="AD453" i="11" s="1"/>
  <c r="S453" i="11"/>
  <c r="O453" i="11"/>
  <c r="K453" i="11"/>
  <c r="Q453" i="11"/>
  <c r="V453" i="11"/>
  <c r="AB453" i="11"/>
  <c r="AL453" i="11"/>
  <c r="AI457" i="11"/>
  <c r="W457" i="11"/>
  <c r="AD457" i="11" s="1"/>
  <c r="S457" i="11"/>
  <c r="O457" i="11"/>
  <c r="K457" i="11"/>
  <c r="Q457" i="11"/>
  <c r="V457" i="11"/>
  <c r="AB457" i="11" s="1"/>
  <c r="AL457" i="11"/>
  <c r="AI461" i="11"/>
  <c r="W461" i="11"/>
  <c r="AD461" i="11" s="1"/>
  <c r="S461" i="11"/>
  <c r="O461" i="11"/>
  <c r="K461" i="11"/>
  <c r="Q461" i="11"/>
  <c r="V461" i="11"/>
  <c r="AB461" i="11"/>
  <c r="AL461" i="11"/>
  <c r="AI465" i="11"/>
  <c r="W465" i="11"/>
  <c r="AD465" i="11" s="1"/>
  <c r="S465" i="11"/>
  <c r="O465" i="11"/>
  <c r="K465" i="11"/>
  <c r="Q465" i="11"/>
  <c r="V465" i="11"/>
  <c r="AB465" i="11" s="1"/>
  <c r="AL465" i="11"/>
  <c r="AI469" i="11"/>
  <c r="W469" i="11"/>
  <c r="AD469" i="11" s="1"/>
  <c r="S469" i="11"/>
  <c r="O469" i="11"/>
  <c r="K469" i="11"/>
  <c r="Q469" i="11"/>
  <c r="V469" i="11"/>
  <c r="AB469" i="11"/>
  <c r="AL469" i="11"/>
  <c r="AI473" i="11"/>
  <c r="W473" i="11"/>
  <c r="AD473" i="11" s="1"/>
  <c r="S473" i="11"/>
  <c r="O473" i="11"/>
  <c r="K473" i="11"/>
  <c r="Q473" i="11"/>
  <c r="V473" i="11"/>
  <c r="AB473" i="11" s="1"/>
  <c r="AL473" i="11"/>
  <c r="AI477" i="11"/>
  <c r="W477" i="11"/>
  <c r="AD477" i="11" s="1"/>
  <c r="S477" i="11"/>
  <c r="O477" i="11"/>
  <c r="K477" i="11"/>
  <c r="Q477" i="11"/>
  <c r="V477" i="11"/>
  <c r="AB477" i="11"/>
  <c r="AL477" i="11"/>
  <c r="AI481" i="11"/>
  <c r="W481" i="11"/>
  <c r="AD481" i="11" s="1"/>
  <c r="S481" i="11"/>
  <c r="O481" i="11"/>
  <c r="K481" i="11"/>
  <c r="Q481" i="11"/>
  <c r="V481" i="11"/>
  <c r="AB481" i="11" s="1"/>
  <c r="AL481" i="11"/>
  <c r="AI485" i="11"/>
  <c r="W485" i="11"/>
  <c r="AD485" i="11" s="1"/>
  <c r="S485" i="11"/>
  <c r="O485" i="11"/>
  <c r="K485" i="11"/>
  <c r="Q485" i="11"/>
  <c r="V485" i="11"/>
  <c r="AB485" i="11"/>
  <c r="AL485" i="11"/>
  <c r="AL489" i="11"/>
  <c r="AH489" i="11"/>
  <c r="Z489" i="11"/>
  <c r="V489" i="11"/>
  <c r="R489" i="11"/>
  <c r="N489" i="11"/>
  <c r="AI489" i="11"/>
  <c r="AC489" i="11"/>
  <c r="AE489" i="11" s="1"/>
  <c r="X489" i="11"/>
  <c r="S489" i="11"/>
  <c r="M489" i="11"/>
  <c r="T489" i="11"/>
  <c r="AA489" i="11"/>
  <c r="AG489" i="11" s="1"/>
  <c r="AL491" i="11"/>
  <c r="AH491" i="11"/>
  <c r="Z491" i="11"/>
  <c r="AA491" i="11" s="1"/>
  <c r="AG491" i="11" s="1"/>
  <c r="V491" i="11"/>
  <c r="R491" i="11"/>
  <c r="N491" i="11"/>
  <c r="AK491" i="11"/>
  <c r="U491" i="11"/>
  <c r="AF491" i="11" s="1"/>
  <c r="P491" i="11"/>
  <c r="K491" i="11"/>
  <c r="S491" i="11"/>
  <c r="AL492" i="11"/>
  <c r="AH492" i="11"/>
  <c r="Z492" i="11"/>
  <c r="AA492" i="11" s="1"/>
  <c r="AG492" i="11" s="1"/>
  <c r="V492" i="11"/>
  <c r="R492" i="11"/>
  <c r="N492" i="11"/>
  <c r="AJ492" i="11"/>
  <c r="T492" i="11"/>
  <c r="O492" i="11"/>
  <c r="S492" i="11"/>
  <c r="AL493" i="11"/>
  <c r="AH493" i="11"/>
  <c r="Z493" i="11"/>
  <c r="AA493" i="11" s="1"/>
  <c r="AG493" i="11" s="1"/>
  <c r="V493" i="11"/>
  <c r="R493" i="11"/>
  <c r="N493" i="11"/>
  <c r="AI493" i="11"/>
  <c r="AC493" i="11"/>
  <c r="AE493" i="11" s="1"/>
  <c r="X493" i="11"/>
  <c r="S493" i="11"/>
  <c r="M493" i="11"/>
  <c r="T493" i="11"/>
  <c r="AL495" i="11"/>
  <c r="AH495" i="11"/>
  <c r="Z495" i="11"/>
  <c r="V495" i="11"/>
  <c r="R495" i="11"/>
  <c r="N495" i="11"/>
  <c r="AK495" i="11"/>
  <c r="AA495" i="11"/>
  <c r="AG495" i="11" s="1"/>
  <c r="U495" i="11"/>
  <c r="AF495" i="11" s="1"/>
  <c r="P495" i="11"/>
  <c r="K495" i="11"/>
  <c r="S495" i="11"/>
  <c r="AL496" i="11"/>
  <c r="AH496" i="11"/>
  <c r="Z496" i="11"/>
  <c r="V496" i="11"/>
  <c r="R496" i="11"/>
  <c r="N496" i="11"/>
  <c r="AJ496" i="11"/>
  <c r="T496" i="11"/>
  <c r="O496" i="11"/>
  <c r="S496" i="11"/>
  <c r="AA496" i="11"/>
  <c r="AG496" i="11" s="1"/>
  <c r="AL497" i="11"/>
  <c r="AH497" i="11"/>
  <c r="Z497" i="11"/>
  <c r="V497" i="11"/>
  <c r="R497" i="11"/>
  <c r="N497" i="11"/>
  <c r="AI497" i="11"/>
  <c r="AC497" i="11"/>
  <c r="AE497" i="11" s="1"/>
  <c r="X497" i="11"/>
  <c r="S497" i="11"/>
  <c r="M497" i="11"/>
  <c r="T497" i="11"/>
  <c r="AA497" i="11"/>
  <c r="AG497" i="11" s="1"/>
  <c r="AL499" i="11"/>
  <c r="AH499" i="11"/>
  <c r="Z499" i="11"/>
  <c r="AA499" i="11" s="1"/>
  <c r="AG499" i="11" s="1"/>
  <c r="V499" i="11"/>
  <c r="R499" i="11"/>
  <c r="N499" i="11"/>
  <c r="AK499" i="11"/>
  <c r="U499" i="11"/>
  <c r="AF499" i="11" s="1"/>
  <c r="P499" i="11"/>
  <c r="K499" i="11"/>
  <c r="S499" i="11"/>
  <c r="AL500" i="11"/>
  <c r="AH500" i="11"/>
  <c r="Z500" i="11"/>
  <c r="AA500" i="11" s="1"/>
  <c r="AG500" i="11" s="1"/>
  <c r="V500" i="11"/>
  <c r="R500" i="11"/>
  <c r="N500" i="11"/>
  <c r="AJ500" i="11"/>
  <c r="T500" i="11"/>
  <c r="O500" i="11"/>
  <c r="S500" i="11"/>
  <c r="AL501" i="11"/>
  <c r="AH501" i="11"/>
  <c r="Z501" i="11"/>
  <c r="AA501" i="11" s="1"/>
  <c r="AG501" i="11" s="1"/>
  <c r="V501" i="11"/>
  <c r="R501" i="11"/>
  <c r="N501" i="11"/>
  <c r="AI501" i="11"/>
  <c r="AC501" i="11"/>
  <c r="AE501" i="11" s="1"/>
  <c r="X501" i="11"/>
  <c r="S501" i="11"/>
  <c r="M501" i="11"/>
  <c r="T501" i="11"/>
  <c r="P7" i="12"/>
  <c r="AC9" i="12"/>
  <c r="AE9" i="12" s="1"/>
  <c r="M9" i="12"/>
  <c r="O9" i="12" s="1"/>
  <c r="AC10" i="12"/>
  <c r="AE10" i="12" s="1"/>
  <c r="M10" i="12"/>
  <c r="N10" i="12" s="1"/>
  <c r="AC12" i="12"/>
  <c r="AE12" i="12" s="1"/>
  <c r="M12" i="12"/>
  <c r="V12" i="12"/>
  <c r="Z12" i="12" s="1"/>
  <c r="AA12" i="12" s="1"/>
  <c r="AG12" i="12" s="1"/>
  <c r="P12" i="12"/>
  <c r="AC13" i="12"/>
  <c r="AE13" i="12" s="1"/>
  <c r="M13" i="12"/>
  <c r="O13" i="12" s="1"/>
  <c r="AC14" i="12"/>
  <c r="AE14" i="12" s="1"/>
  <c r="M14" i="12"/>
  <c r="N14" i="12"/>
  <c r="AC16" i="12"/>
  <c r="AE16" i="12" s="1"/>
  <c r="M16" i="12"/>
  <c r="V16" i="12"/>
  <c r="Z16" i="12" s="1"/>
  <c r="AA16" i="12" s="1"/>
  <c r="AG16" i="12" s="1"/>
  <c r="P16" i="12"/>
  <c r="AC17" i="12"/>
  <c r="AE17" i="12" s="1"/>
  <c r="M17" i="12"/>
  <c r="O17" i="12" s="1"/>
  <c r="AC18" i="12"/>
  <c r="AE18" i="12" s="1"/>
  <c r="M18" i="12"/>
  <c r="N18" i="12" s="1"/>
  <c r="AC20" i="12"/>
  <c r="AE20" i="12" s="1"/>
  <c r="M20" i="12"/>
  <c r="V20" i="12"/>
  <c r="Z20" i="12" s="1"/>
  <c r="AA20" i="12" s="1"/>
  <c r="AG20" i="12" s="1"/>
  <c r="P20" i="12"/>
  <c r="AC21" i="12"/>
  <c r="AE21" i="12" s="1"/>
  <c r="M21" i="12"/>
  <c r="O21" i="12" s="1"/>
  <c r="AC22" i="12"/>
  <c r="AE22" i="12" s="1"/>
  <c r="M22" i="12"/>
  <c r="N22" i="12" s="1"/>
  <c r="AC24" i="12"/>
  <c r="AE24" i="12" s="1"/>
  <c r="M24" i="12"/>
  <c r="V24" i="12"/>
  <c r="Z24" i="12" s="1"/>
  <c r="AA24" i="12" s="1"/>
  <c r="AG24" i="12" s="1"/>
  <c r="P24" i="12"/>
  <c r="AC25" i="12"/>
  <c r="AE25" i="12" s="1"/>
  <c r="M25" i="12"/>
  <c r="O25" i="12" s="1"/>
  <c r="AC26" i="12"/>
  <c r="AE26" i="12" s="1"/>
  <c r="M26" i="12"/>
  <c r="N26" i="12" s="1"/>
  <c r="AC28" i="12"/>
  <c r="AE28" i="12" s="1"/>
  <c r="M28" i="12"/>
  <c r="V28" i="12"/>
  <c r="Z28" i="12" s="1"/>
  <c r="AA28" i="12" s="1"/>
  <c r="AG28" i="12" s="1"/>
  <c r="P28" i="12"/>
  <c r="AC29" i="12"/>
  <c r="AE29" i="12" s="1"/>
  <c r="M29" i="12"/>
  <c r="O29" i="12" s="1"/>
  <c r="AC30" i="12"/>
  <c r="AE30" i="12" s="1"/>
  <c r="M30" i="12"/>
  <c r="N30" i="12"/>
  <c r="AC32" i="12"/>
  <c r="AE32" i="12" s="1"/>
  <c r="M32" i="12"/>
  <c r="V32" i="12"/>
  <c r="Z32" i="12" s="1"/>
  <c r="AA32" i="12" s="1"/>
  <c r="AG32" i="12" s="1"/>
  <c r="P32" i="12"/>
  <c r="AC33" i="12"/>
  <c r="AE33" i="12" s="1"/>
  <c r="M33" i="12"/>
  <c r="O33" i="12" s="1"/>
  <c r="AC34" i="12"/>
  <c r="AE34" i="12" s="1"/>
  <c r="M34" i="12"/>
  <c r="N34" i="12" s="1"/>
  <c r="AC36" i="12"/>
  <c r="AE36" i="12" s="1"/>
  <c r="M36" i="12"/>
  <c r="V36" i="12"/>
  <c r="Z36" i="12" s="1"/>
  <c r="AA36" i="12" s="1"/>
  <c r="AG36" i="12" s="1"/>
  <c r="P36" i="12"/>
  <c r="AC37" i="12"/>
  <c r="AE37" i="12" s="1"/>
  <c r="M37" i="12"/>
  <c r="O37" i="12" s="1"/>
  <c r="AC38" i="12"/>
  <c r="AE38" i="12" s="1"/>
  <c r="M38" i="12"/>
  <c r="N38" i="12" s="1"/>
  <c r="AC40" i="12"/>
  <c r="AE40" i="12" s="1"/>
  <c r="M40" i="12"/>
  <c r="V40" i="12"/>
  <c r="Z40" i="12" s="1"/>
  <c r="AA40" i="12" s="1"/>
  <c r="AG40" i="12" s="1"/>
  <c r="P40" i="12"/>
  <c r="AC41" i="12"/>
  <c r="AE41" i="12" s="1"/>
  <c r="M41" i="12"/>
  <c r="O41" i="12" s="1"/>
  <c r="AC42" i="12"/>
  <c r="AE42" i="12" s="1"/>
  <c r="M42" i="12"/>
  <c r="N42" i="12" s="1"/>
  <c r="AC44" i="12"/>
  <c r="AE44" i="12" s="1"/>
  <c r="M44" i="12"/>
  <c r="V44" i="12"/>
  <c r="Z44" i="12" s="1"/>
  <c r="AA44" i="12" s="1"/>
  <c r="AG44" i="12" s="1"/>
  <c r="P44" i="12"/>
  <c r="AC45" i="12"/>
  <c r="AE45" i="12" s="1"/>
  <c r="M45" i="12"/>
  <c r="O45" i="12" s="1"/>
  <c r="AC46" i="12"/>
  <c r="AE46" i="12" s="1"/>
  <c r="M46" i="12"/>
  <c r="N46" i="12"/>
  <c r="AC48" i="12"/>
  <c r="AE48" i="12" s="1"/>
  <c r="M48" i="12"/>
  <c r="V48" i="12"/>
  <c r="Z48" i="12" s="1"/>
  <c r="AA48" i="12" s="1"/>
  <c r="AG48" i="12" s="1"/>
  <c r="P48" i="12"/>
  <c r="AC49" i="12"/>
  <c r="AE49" i="12" s="1"/>
  <c r="M49" i="12"/>
  <c r="O49" i="12" s="1"/>
  <c r="AC50" i="12"/>
  <c r="AE50" i="12" s="1"/>
  <c r="M50" i="12"/>
  <c r="N50" i="12" s="1"/>
  <c r="AC52" i="12"/>
  <c r="AE52" i="12" s="1"/>
  <c r="M52" i="12"/>
  <c r="V52" i="12"/>
  <c r="P52" i="12"/>
  <c r="Z52" i="12"/>
  <c r="AA52" i="12" s="1"/>
  <c r="AG52" i="12" s="1"/>
  <c r="AC53" i="12"/>
  <c r="AE53" i="12" s="1"/>
  <c r="M53" i="12"/>
  <c r="O53" i="12" s="1"/>
  <c r="AC54" i="12"/>
  <c r="AE54" i="12" s="1"/>
  <c r="M54" i="12"/>
  <c r="N54" i="12" s="1"/>
  <c r="AC56" i="12"/>
  <c r="AE56" i="12" s="1"/>
  <c r="M56" i="12"/>
  <c r="V56" i="12"/>
  <c r="Z56" i="12" s="1"/>
  <c r="AA56" i="12" s="1"/>
  <c r="AG56" i="12" s="1"/>
  <c r="P56" i="12"/>
  <c r="AC57" i="12"/>
  <c r="AE57" i="12" s="1"/>
  <c r="M57" i="12"/>
  <c r="O57" i="12" s="1"/>
  <c r="AC58" i="12"/>
  <c r="AE58" i="12" s="1"/>
  <c r="M58" i="12"/>
  <c r="N58" i="12" s="1"/>
  <c r="AC60" i="12"/>
  <c r="AE60" i="12" s="1"/>
  <c r="M60" i="12"/>
  <c r="V60" i="12"/>
  <c r="Z60" i="12" s="1"/>
  <c r="AA60" i="12" s="1"/>
  <c r="AG60" i="12" s="1"/>
  <c r="P60" i="12"/>
  <c r="AC61" i="12"/>
  <c r="AE61" i="12" s="1"/>
  <c r="M61" i="12"/>
  <c r="O61" i="12" s="1"/>
  <c r="AC62" i="12"/>
  <c r="AE62" i="12" s="1"/>
  <c r="M62" i="12"/>
  <c r="N62" i="12" s="1"/>
  <c r="AC64" i="12"/>
  <c r="AE64" i="12" s="1"/>
  <c r="M64" i="12"/>
  <c r="V64" i="12"/>
  <c r="Z64" i="12" s="1"/>
  <c r="AA64" i="12" s="1"/>
  <c r="AG64" i="12" s="1"/>
  <c r="P64" i="12"/>
  <c r="AC65" i="12"/>
  <c r="AE65" i="12" s="1"/>
  <c r="M65" i="12"/>
  <c r="O65" i="12" s="1"/>
  <c r="AC66" i="12"/>
  <c r="AE66" i="12" s="1"/>
  <c r="M66" i="12"/>
  <c r="N66" i="12"/>
  <c r="AC68" i="12"/>
  <c r="AE68" i="12" s="1"/>
  <c r="M68" i="12"/>
  <c r="V68" i="12"/>
  <c r="P68" i="12"/>
  <c r="Z68" i="12"/>
  <c r="AA68" i="12" s="1"/>
  <c r="AG68" i="12" s="1"/>
  <c r="AC69" i="12"/>
  <c r="AE69" i="12" s="1"/>
  <c r="M69" i="12"/>
  <c r="O69" i="12"/>
  <c r="AC70" i="12"/>
  <c r="AE70" i="12" s="1"/>
  <c r="M70" i="12"/>
  <c r="N70" i="12" s="1"/>
  <c r="AC72" i="12"/>
  <c r="AE72" i="12" s="1"/>
  <c r="M72" i="12"/>
  <c r="V72" i="12"/>
  <c r="P72" i="12"/>
  <c r="Z72" i="12"/>
  <c r="AA72" i="12" s="1"/>
  <c r="AG72" i="12" s="1"/>
  <c r="AC73" i="12"/>
  <c r="AE73" i="12" s="1"/>
  <c r="M73" i="12"/>
  <c r="O73" i="12" s="1"/>
  <c r="AC74" i="12"/>
  <c r="AE74" i="12" s="1"/>
  <c r="M74" i="12"/>
  <c r="N74" i="12" s="1"/>
  <c r="AC76" i="12"/>
  <c r="AE76" i="12" s="1"/>
  <c r="M76" i="12"/>
  <c r="V76" i="12"/>
  <c r="Z76" i="12" s="1"/>
  <c r="AA76" i="12" s="1"/>
  <c r="AG76" i="12" s="1"/>
  <c r="P76" i="12"/>
  <c r="AC77" i="12"/>
  <c r="AE77" i="12" s="1"/>
  <c r="M77" i="12"/>
  <c r="O77" i="12" s="1"/>
  <c r="AC78" i="12"/>
  <c r="AE78" i="12" s="1"/>
  <c r="M78" i="12"/>
  <c r="N78" i="12" s="1"/>
  <c r="AC80" i="12"/>
  <c r="AE80" i="12" s="1"/>
  <c r="M80" i="12"/>
  <c r="V80" i="12"/>
  <c r="Z80" i="12" s="1"/>
  <c r="AA80" i="12" s="1"/>
  <c r="AG80" i="12" s="1"/>
  <c r="P80" i="12"/>
  <c r="AC81" i="12"/>
  <c r="AE81" i="12" s="1"/>
  <c r="M81" i="12"/>
  <c r="O81" i="12" s="1"/>
  <c r="AC82" i="12"/>
  <c r="AE82" i="12" s="1"/>
  <c r="M82" i="12"/>
  <c r="N82" i="12" s="1"/>
  <c r="AC84" i="12"/>
  <c r="AE84" i="12" s="1"/>
  <c r="M84" i="12"/>
  <c r="V84" i="12"/>
  <c r="Z84" i="12" s="1"/>
  <c r="AA84" i="12" s="1"/>
  <c r="AG84" i="12" s="1"/>
  <c r="P84" i="12"/>
  <c r="AC85" i="12"/>
  <c r="AE85" i="12" s="1"/>
  <c r="M85" i="12"/>
  <c r="O85" i="12" s="1"/>
  <c r="AC86" i="12"/>
  <c r="AE86" i="12" s="1"/>
  <c r="M86" i="12"/>
  <c r="N86" i="12"/>
  <c r="AC88" i="12"/>
  <c r="AE88" i="12" s="1"/>
  <c r="M88" i="12"/>
  <c r="V88" i="12"/>
  <c r="Z88" i="12" s="1"/>
  <c r="AA88" i="12" s="1"/>
  <c r="AG88" i="12" s="1"/>
  <c r="P88" i="12"/>
  <c r="AC89" i="12"/>
  <c r="AE89" i="12" s="1"/>
  <c r="M89" i="12"/>
  <c r="O89" i="12"/>
  <c r="AC90" i="12"/>
  <c r="AE90" i="12" s="1"/>
  <c r="M90" i="12"/>
  <c r="N90" i="12" s="1"/>
  <c r="AC92" i="12"/>
  <c r="AE92" i="12" s="1"/>
  <c r="M92" i="12"/>
  <c r="V92" i="12"/>
  <c r="P92" i="12"/>
  <c r="Z92" i="12"/>
  <c r="AA92" i="12" s="1"/>
  <c r="AG92" i="12" s="1"/>
  <c r="AC93" i="12"/>
  <c r="AE93" i="12" s="1"/>
  <c r="M93" i="12"/>
  <c r="O93" i="12" s="1"/>
  <c r="AC94" i="12"/>
  <c r="AE94" i="12" s="1"/>
  <c r="M94" i="12"/>
  <c r="N94" i="12" s="1"/>
  <c r="AC96" i="12"/>
  <c r="AE96" i="12" s="1"/>
  <c r="M96" i="12"/>
  <c r="V96" i="12"/>
  <c r="Z96" i="12" s="1"/>
  <c r="AA96" i="12" s="1"/>
  <c r="AG96" i="12" s="1"/>
  <c r="P96" i="12"/>
  <c r="AC97" i="12"/>
  <c r="AE97" i="12" s="1"/>
  <c r="M97" i="12"/>
  <c r="O97" i="12" s="1"/>
  <c r="AC98" i="12"/>
  <c r="AE98" i="12" s="1"/>
  <c r="M98" i="12"/>
  <c r="N98" i="12" s="1"/>
  <c r="AC100" i="12"/>
  <c r="AE100" i="12" s="1"/>
  <c r="M100" i="12"/>
  <c r="V100" i="12"/>
  <c r="Z100" i="12" s="1"/>
  <c r="AA100" i="12" s="1"/>
  <c r="AG100" i="12" s="1"/>
  <c r="P100" i="12"/>
  <c r="AC101" i="12"/>
  <c r="AE101" i="12" s="1"/>
  <c r="M101" i="12"/>
  <c r="O101" i="12" s="1"/>
  <c r="AC102" i="12"/>
  <c r="AE102" i="12" s="1"/>
  <c r="M102" i="12"/>
  <c r="N102" i="12" s="1"/>
  <c r="AC104" i="12"/>
  <c r="AE104" i="12" s="1"/>
  <c r="M104" i="12"/>
  <c r="V104" i="12"/>
  <c r="Z104" i="12" s="1"/>
  <c r="AA104" i="12" s="1"/>
  <c r="AG104" i="12" s="1"/>
  <c r="P104" i="12"/>
  <c r="AC105" i="12"/>
  <c r="AE105" i="12" s="1"/>
  <c r="M105" i="12"/>
  <c r="O105" i="12" s="1"/>
  <c r="AC106" i="12"/>
  <c r="AE106" i="12" s="1"/>
  <c r="M106" i="12"/>
  <c r="N106" i="12" s="1"/>
  <c r="AC108" i="12"/>
  <c r="AE108" i="12" s="1"/>
  <c r="M108" i="12"/>
  <c r="V108" i="12"/>
  <c r="P108" i="12"/>
  <c r="Z108" i="12"/>
  <c r="AA108" i="12" s="1"/>
  <c r="AG108" i="12" s="1"/>
  <c r="AC109" i="12"/>
  <c r="AE109" i="12" s="1"/>
  <c r="M109" i="12"/>
  <c r="O109" i="12" s="1"/>
  <c r="AC110" i="12"/>
  <c r="AE110" i="12" s="1"/>
  <c r="M110" i="12"/>
  <c r="N110" i="12" s="1"/>
  <c r="AC112" i="12"/>
  <c r="AE112" i="12" s="1"/>
  <c r="M112" i="12"/>
  <c r="V112" i="12"/>
  <c r="P112" i="12"/>
  <c r="Z112" i="12"/>
  <c r="AA112" i="12" s="1"/>
  <c r="AG112" i="12" s="1"/>
  <c r="AC113" i="12"/>
  <c r="AE113" i="12" s="1"/>
  <c r="M113" i="12"/>
  <c r="O113" i="12" s="1"/>
  <c r="AC114" i="12"/>
  <c r="AE114" i="12" s="1"/>
  <c r="M114" i="12"/>
  <c r="N114" i="12" s="1"/>
  <c r="AC116" i="12"/>
  <c r="AE116" i="12" s="1"/>
  <c r="M116" i="12"/>
  <c r="V116" i="12"/>
  <c r="Z116" i="12" s="1"/>
  <c r="AA116" i="12" s="1"/>
  <c r="AG116" i="12" s="1"/>
  <c r="P116" i="12"/>
  <c r="AC117" i="12"/>
  <c r="AE117" i="12" s="1"/>
  <c r="M117" i="12"/>
  <c r="O117" i="12" s="1"/>
  <c r="AC118" i="12"/>
  <c r="AE118" i="12" s="1"/>
  <c r="M118" i="12"/>
  <c r="O118" i="12" s="1"/>
  <c r="AC120" i="12"/>
  <c r="AE120" i="12" s="1"/>
  <c r="M120" i="12"/>
  <c r="V120" i="12"/>
  <c r="Z120" i="12" s="1"/>
  <c r="AA120" i="12" s="1"/>
  <c r="AG120" i="12" s="1"/>
  <c r="P120" i="12"/>
  <c r="AC121" i="12"/>
  <c r="AE121" i="12" s="1"/>
  <c r="M121" i="12"/>
  <c r="O121" i="12" s="1"/>
  <c r="AC122" i="12"/>
  <c r="AE122" i="12" s="1"/>
  <c r="M122" i="12"/>
  <c r="O122" i="12" s="1"/>
  <c r="AC124" i="12"/>
  <c r="AE124" i="12" s="1"/>
  <c r="M124" i="12"/>
  <c r="V124" i="12"/>
  <c r="Z124" i="12" s="1"/>
  <c r="AA124" i="12" s="1"/>
  <c r="AG124" i="12" s="1"/>
  <c r="P124" i="12"/>
  <c r="AC125" i="12"/>
  <c r="AE125" i="12" s="1"/>
  <c r="M125" i="12"/>
  <c r="O125" i="12"/>
  <c r="AC126" i="12"/>
  <c r="AE126" i="12" s="1"/>
  <c r="M126" i="12"/>
  <c r="O126" i="12" s="1"/>
  <c r="AC128" i="12"/>
  <c r="AE128" i="12" s="1"/>
  <c r="M128" i="12"/>
  <c r="V128" i="12"/>
  <c r="Z128" i="12" s="1"/>
  <c r="AA128" i="12" s="1"/>
  <c r="AG128" i="12" s="1"/>
  <c r="P128" i="12"/>
  <c r="AC129" i="12"/>
  <c r="AE129" i="12" s="1"/>
  <c r="M129" i="12"/>
  <c r="O129" i="12" s="1"/>
  <c r="AC130" i="12"/>
  <c r="AE130" i="12" s="1"/>
  <c r="M130" i="12"/>
  <c r="O130" i="12" s="1"/>
  <c r="AC132" i="12"/>
  <c r="AE132" i="12" s="1"/>
  <c r="M132" i="12"/>
  <c r="V132" i="12"/>
  <c r="Z132" i="12" s="1"/>
  <c r="AA132" i="12" s="1"/>
  <c r="AG132" i="12" s="1"/>
  <c r="P132" i="12"/>
  <c r="AC133" i="12"/>
  <c r="AE133" i="12" s="1"/>
  <c r="M133" i="12"/>
  <c r="O133" i="12" s="1"/>
  <c r="AC134" i="12"/>
  <c r="AE134" i="12" s="1"/>
  <c r="M134" i="12"/>
  <c r="O134" i="12" s="1"/>
  <c r="AC136" i="12"/>
  <c r="AE136" i="12" s="1"/>
  <c r="M136" i="12"/>
  <c r="V136" i="12"/>
  <c r="Z136" i="12" s="1"/>
  <c r="AA136" i="12" s="1"/>
  <c r="AG136" i="12" s="1"/>
  <c r="P136" i="12"/>
  <c r="AC137" i="12"/>
  <c r="AE137" i="12" s="1"/>
  <c r="M137" i="12"/>
  <c r="O137" i="12" s="1"/>
  <c r="AC138" i="12"/>
  <c r="AE138" i="12" s="1"/>
  <c r="M138" i="12"/>
  <c r="O138" i="12" s="1"/>
  <c r="AC140" i="12"/>
  <c r="AE140" i="12" s="1"/>
  <c r="M140" i="12"/>
  <c r="V140" i="12"/>
  <c r="Z140" i="12" s="1"/>
  <c r="AA140" i="12" s="1"/>
  <c r="AG140" i="12" s="1"/>
  <c r="P140" i="12"/>
  <c r="AC141" i="12"/>
  <c r="AE141" i="12" s="1"/>
  <c r="M141" i="12"/>
  <c r="O141" i="12"/>
  <c r="AC142" i="12"/>
  <c r="AE142" i="12" s="1"/>
  <c r="M142" i="12"/>
  <c r="O142" i="12" s="1"/>
  <c r="AC144" i="12"/>
  <c r="AE144" i="12" s="1"/>
  <c r="M144" i="12"/>
  <c r="V144" i="12"/>
  <c r="Z144" i="12" s="1"/>
  <c r="AA144" i="12" s="1"/>
  <c r="AG144" i="12" s="1"/>
  <c r="P144" i="12"/>
  <c r="AC145" i="12"/>
  <c r="AE145" i="12" s="1"/>
  <c r="M145" i="12"/>
  <c r="O145" i="12" s="1"/>
  <c r="AC147" i="12"/>
  <c r="AE147" i="12" s="1"/>
  <c r="M147" i="12"/>
  <c r="V147" i="12"/>
  <c r="Z147" i="12" s="1"/>
  <c r="AA147" i="12" s="1"/>
  <c r="AG147" i="12" s="1"/>
  <c r="P147" i="12"/>
  <c r="AC148" i="12"/>
  <c r="AE148" i="12" s="1"/>
  <c r="M148" i="12"/>
  <c r="O148" i="12" s="1"/>
  <c r="AC149" i="12"/>
  <c r="AE149" i="12" s="1"/>
  <c r="M149" i="12"/>
  <c r="O149" i="12" s="1"/>
  <c r="AC151" i="12"/>
  <c r="AE151" i="12" s="1"/>
  <c r="M151" i="12"/>
  <c r="V151" i="12"/>
  <c r="P151" i="12"/>
  <c r="Z151" i="12"/>
  <c r="AA151" i="12" s="1"/>
  <c r="AG151" i="12" s="1"/>
  <c r="AC152" i="12"/>
  <c r="AE152" i="12" s="1"/>
  <c r="M152" i="12"/>
  <c r="O152" i="12" s="1"/>
  <c r="AC153" i="12"/>
  <c r="AE153" i="12" s="1"/>
  <c r="M153" i="12"/>
  <c r="O153" i="12" s="1"/>
  <c r="AC155" i="12"/>
  <c r="AE155" i="12" s="1"/>
  <c r="M155" i="12"/>
  <c r="V155" i="12"/>
  <c r="Z155" i="12" s="1"/>
  <c r="AA155" i="12" s="1"/>
  <c r="AG155" i="12" s="1"/>
  <c r="P155" i="12"/>
  <c r="AC156" i="12"/>
  <c r="AE156" i="12" s="1"/>
  <c r="M156" i="12"/>
  <c r="O156" i="12" s="1"/>
  <c r="AC157" i="12"/>
  <c r="AE157" i="12" s="1"/>
  <c r="M157" i="12"/>
  <c r="O157" i="12" s="1"/>
  <c r="AC159" i="12"/>
  <c r="AE159" i="12" s="1"/>
  <c r="M159" i="12"/>
  <c r="V159" i="12"/>
  <c r="Z159" i="12" s="1"/>
  <c r="AA159" i="12" s="1"/>
  <c r="AG159" i="12" s="1"/>
  <c r="P159" i="12"/>
  <c r="AC160" i="12"/>
  <c r="AE160" i="12" s="1"/>
  <c r="M160" i="12"/>
  <c r="O160" i="12" s="1"/>
  <c r="AC161" i="12"/>
  <c r="AE161" i="12" s="1"/>
  <c r="M161" i="12"/>
  <c r="O161" i="12" s="1"/>
  <c r="AC163" i="12"/>
  <c r="AE163" i="12" s="1"/>
  <c r="M163" i="12"/>
  <c r="V163" i="12"/>
  <c r="P163" i="12"/>
  <c r="Z163" i="12"/>
  <c r="AA163" i="12" s="1"/>
  <c r="AG163" i="12" s="1"/>
  <c r="AC164" i="12"/>
  <c r="AE164" i="12" s="1"/>
  <c r="M164" i="12"/>
  <c r="O164" i="12" s="1"/>
  <c r="AC165" i="12"/>
  <c r="AE165" i="12" s="1"/>
  <c r="M165" i="12"/>
  <c r="O165" i="12" s="1"/>
  <c r="AC167" i="12"/>
  <c r="AE167" i="12" s="1"/>
  <c r="M167" i="12"/>
  <c r="V167" i="12"/>
  <c r="W167" i="12" s="1"/>
  <c r="AD167" i="12" s="1"/>
  <c r="P167" i="12"/>
  <c r="AC168" i="12"/>
  <c r="AE168" i="12" s="1"/>
  <c r="M168" i="12"/>
  <c r="O168" i="12" s="1"/>
  <c r="AC169" i="12"/>
  <c r="AE169" i="12" s="1"/>
  <c r="M169" i="12"/>
  <c r="O169" i="12" s="1"/>
  <c r="AC171" i="12"/>
  <c r="AE171" i="12" s="1"/>
  <c r="M171" i="12"/>
  <c r="V171" i="12"/>
  <c r="P171" i="12"/>
  <c r="Z171" i="12"/>
  <c r="AA171" i="12" s="1"/>
  <c r="AG171" i="12" s="1"/>
  <c r="AC172" i="12"/>
  <c r="AE172" i="12" s="1"/>
  <c r="M172" i="12"/>
  <c r="N172" i="12" s="1"/>
  <c r="AC173" i="12"/>
  <c r="AE173" i="12" s="1"/>
  <c r="M173" i="12"/>
  <c r="O173" i="12" s="1"/>
  <c r="AC175" i="12"/>
  <c r="AE175" i="12" s="1"/>
  <c r="M175" i="12"/>
  <c r="V175" i="12"/>
  <c r="Z175" i="12" s="1"/>
  <c r="AA175" i="12" s="1"/>
  <c r="AG175" i="12" s="1"/>
  <c r="P175" i="12"/>
  <c r="AC176" i="12"/>
  <c r="AE176" i="12" s="1"/>
  <c r="M176" i="12"/>
  <c r="N176" i="12" s="1"/>
  <c r="AC177" i="12"/>
  <c r="AE177" i="12" s="1"/>
  <c r="M177" i="12"/>
  <c r="O177" i="12" s="1"/>
  <c r="AC179" i="12"/>
  <c r="AE179" i="12" s="1"/>
  <c r="M179" i="12"/>
  <c r="V179" i="12"/>
  <c r="P179" i="12"/>
  <c r="Z179" i="12"/>
  <c r="AA179" i="12" s="1"/>
  <c r="AG179" i="12" s="1"/>
  <c r="AC180" i="12"/>
  <c r="AE180" i="12" s="1"/>
  <c r="M180" i="12"/>
  <c r="N180" i="12" s="1"/>
  <c r="AC181" i="12"/>
  <c r="AE181" i="12" s="1"/>
  <c r="M181" i="12"/>
  <c r="O181" i="12" s="1"/>
  <c r="AC183" i="12"/>
  <c r="AE183" i="12" s="1"/>
  <c r="M183" i="12"/>
  <c r="V183" i="12"/>
  <c r="W183" i="12" s="1"/>
  <c r="AD183" i="12" s="1"/>
  <c r="P183" i="12"/>
  <c r="AC184" i="12"/>
  <c r="AE184" i="12" s="1"/>
  <c r="M184" i="12"/>
  <c r="N184" i="12" s="1"/>
  <c r="AC186" i="12"/>
  <c r="AE186" i="12" s="1"/>
  <c r="M186" i="12"/>
  <c r="V186" i="12"/>
  <c r="Z186" i="12" s="1"/>
  <c r="AA186" i="12" s="1"/>
  <c r="AG186" i="12" s="1"/>
  <c r="P186" i="12"/>
  <c r="AC187" i="12"/>
  <c r="AE187" i="12" s="1"/>
  <c r="M187" i="12"/>
  <c r="N187" i="12" s="1"/>
  <c r="AC188" i="12"/>
  <c r="AE188" i="12" s="1"/>
  <c r="M188" i="12"/>
  <c r="O188" i="12" s="1"/>
  <c r="AC190" i="12"/>
  <c r="AE190" i="12" s="1"/>
  <c r="M190" i="12"/>
  <c r="V190" i="12"/>
  <c r="P190" i="12"/>
  <c r="Z190" i="12"/>
  <c r="AA190" i="12" s="1"/>
  <c r="AG190" i="12" s="1"/>
  <c r="AC191" i="12"/>
  <c r="AE191" i="12" s="1"/>
  <c r="M191" i="12"/>
  <c r="N191" i="12" s="1"/>
  <c r="AC192" i="12"/>
  <c r="AE192" i="12" s="1"/>
  <c r="M192" i="12"/>
  <c r="O192" i="12" s="1"/>
  <c r="AC194" i="12"/>
  <c r="AE194" i="12" s="1"/>
  <c r="M194" i="12"/>
  <c r="V194" i="12"/>
  <c r="Z194" i="12" s="1"/>
  <c r="AA194" i="12" s="1"/>
  <c r="AG194" i="12" s="1"/>
  <c r="P194" i="12"/>
  <c r="AC195" i="12"/>
  <c r="AE195" i="12" s="1"/>
  <c r="M195" i="12"/>
  <c r="N195" i="12" s="1"/>
  <c r="AC196" i="12"/>
  <c r="AE196" i="12" s="1"/>
  <c r="M196" i="12"/>
  <c r="O196" i="12" s="1"/>
  <c r="AC198" i="12"/>
  <c r="AE198" i="12" s="1"/>
  <c r="M198" i="12"/>
  <c r="V198" i="12"/>
  <c r="W198" i="12" s="1"/>
  <c r="AD198" i="12" s="1"/>
  <c r="P198" i="12"/>
  <c r="Z198" i="12"/>
  <c r="AA198" i="12" s="1"/>
  <c r="AG198" i="12" s="1"/>
  <c r="AC199" i="12"/>
  <c r="AE199" i="12" s="1"/>
  <c r="M199" i="12"/>
  <c r="N199" i="12" s="1"/>
  <c r="AC200" i="12"/>
  <c r="AE200" i="12" s="1"/>
  <c r="M200" i="12"/>
  <c r="O200" i="12" s="1"/>
  <c r="AC202" i="12"/>
  <c r="AE202" i="12" s="1"/>
  <c r="M202" i="12"/>
  <c r="V202" i="12"/>
  <c r="X202" i="12" s="1"/>
  <c r="Y202" i="12" s="1"/>
  <c r="P202" i="12"/>
  <c r="AC203" i="12"/>
  <c r="AE203" i="12" s="1"/>
  <c r="M203" i="12"/>
  <c r="N203" i="12" s="1"/>
  <c r="AC204" i="12"/>
  <c r="AE204" i="12" s="1"/>
  <c r="M204" i="12"/>
  <c r="O204" i="12" s="1"/>
  <c r="N204" i="12"/>
  <c r="U204" i="12" s="1"/>
  <c r="AC206" i="12"/>
  <c r="AE206" i="12" s="1"/>
  <c r="M206" i="12"/>
  <c r="N206" i="12" s="1"/>
  <c r="V206" i="12"/>
  <c r="X206" i="12" s="1"/>
  <c r="Y206" i="12" s="1"/>
  <c r="P206" i="12"/>
  <c r="AC207" i="12"/>
  <c r="AE207" i="12" s="1"/>
  <c r="M207" i="12"/>
  <c r="N207" i="12" s="1"/>
  <c r="O207" i="12"/>
  <c r="AC208" i="12"/>
  <c r="AE208" i="12" s="1"/>
  <c r="M208" i="12"/>
  <c r="O208" i="12" s="1"/>
  <c r="AC210" i="12"/>
  <c r="AE210" i="12" s="1"/>
  <c r="M210" i="12"/>
  <c r="N210" i="12" s="1"/>
  <c r="V210" i="12"/>
  <c r="X210" i="12" s="1"/>
  <c r="Y210" i="12" s="1"/>
  <c r="P210" i="12"/>
  <c r="AC211" i="12"/>
  <c r="AE211" i="12" s="1"/>
  <c r="M211" i="12"/>
  <c r="N211" i="12" s="1"/>
  <c r="AC212" i="12"/>
  <c r="AE212" i="12" s="1"/>
  <c r="M212" i="12"/>
  <c r="O212" i="12" s="1"/>
  <c r="AC214" i="12"/>
  <c r="AE214" i="12" s="1"/>
  <c r="M214" i="12"/>
  <c r="N214" i="12" s="1"/>
  <c r="V214" i="12"/>
  <c r="W214" i="12" s="1"/>
  <c r="AD214" i="12" s="1"/>
  <c r="P214" i="12"/>
  <c r="AC215" i="12"/>
  <c r="AE215" i="12" s="1"/>
  <c r="M215" i="12"/>
  <c r="N215" i="12" s="1"/>
  <c r="AC216" i="12"/>
  <c r="AE216" i="12" s="1"/>
  <c r="M216" i="12"/>
  <c r="O216" i="12" s="1"/>
  <c r="AC218" i="12"/>
  <c r="AE218" i="12" s="1"/>
  <c r="M218" i="12"/>
  <c r="N218" i="12" s="1"/>
  <c r="V218" i="12"/>
  <c r="X218" i="12" s="1"/>
  <c r="Y218" i="12" s="1"/>
  <c r="P218" i="12"/>
  <c r="AC219" i="12"/>
  <c r="AE219" i="12" s="1"/>
  <c r="M219" i="12"/>
  <c r="N219" i="12" s="1"/>
  <c r="AC220" i="12"/>
  <c r="AE220" i="12" s="1"/>
  <c r="M220" i="12"/>
  <c r="O220" i="12" s="1"/>
  <c r="N220" i="12"/>
  <c r="U220" i="12" s="1"/>
  <c r="AC222" i="12"/>
  <c r="AE222" i="12" s="1"/>
  <c r="M222" i="12"/>
  <c r="N222" i="12" s="1"/>
  <c r="V222" i="12"/>
  <c r="X222" i="12" s="1"/>
  <c r="Y222" i="12" s="1"/>
  <c r="P222" i="12"/>
  <c r="AC223" i="12"/>
  <c r="AE223" i="12" s="1"/>
  <c r="M223" i="12"/>
  <c r="N223" i="12" s="1"/>
  <c r="O223" i="12"/>
  <c r="AC224" i="12"/>
  <c r="AE224" i="12" s="1"/>
  <c r="M224" i="12"/>
  <c r="O224" i="12" s="1"/>
  <c r="AC226" i="12"/>
  <c r="AE226" i="12" s="1"/>
  <c r="M226" i="12"/>
  <c r="N226" i="12" s="1"/>
  <c r="V226" i="12"/>
  <c r="X226" i="12" s="1"/>
  <c r="Y226" i="12" s="1"/>
  <c r="P226" i="12"/>
  <c r="Z226" i="12"/>
  <c r="AA226" i="12" s="1"/>
  <c r="AG226" i="12" s="1"/>
  <c r="AC227" i="12"/>
  <c r="AE227" i="12" s="1"/>
  <c r="M227" i="12"/>
  <c r="N227" i="12" s="1"/>
  <c r="AC228" i="12"/>
  <c r="AE228" i="12" s="1"/>
  <c r="M228" i="12"/>
  <c r="O228" i="12" s="1"/>
  <c r="AC230" i="12"/>
  <c r="AE230" i="12" s="1"/>
  <c r="M230" i="12"/>
  <c r="N230" i="12" s="1"/>
  <c r="V230" i="12"/>
  <c r="W230" i="12" s="1"/>
  <c r="AD230" i="12" s="1"/>
  <c r="P230" i="12"/>
  <c r="AC231" i="12"/>
  <c r="AE231" i="12" s="1"/>
  <c r="M231" i="12"/>
  <c r="N231" i="12" s="1"/>
  <c r="AC232" i="12"/>
  <c r="AE232" i="12" s="1"/>
  <c r="M232" i="12"/>
  <c r="O232" i="12" s="1"/>
  <c r="AC234" i="12"/>
  <c r="AE234" i="12" s="1"/>
  <c r="M234" i="12"/>
  <c r="N234" i="12" s="1"/>
  <c r="V234" i="12"/>
  <c r="X234" i="12" s="1"/>
  <c r="Y234" i="12" s="1"/>
  <c r="P234" i="12"/>
  <c r="AC235" i="12"/>
  <c r="AE235" i="12" s="1"/>
  <c r="M235" i="12"/>
  <c r="N235" i="12" s="1"/>
  <c r="AC236" i="12"/>
  <c r="AE236" i="12" s="1"/>
  <c r="M236" i="12"/>
  <c r="O236" i="12" s="1"/>
  <c r="N236" i="12"/>
  <c r="U236" i="12" s="1"/>
  <c r="AK238" i="12"/>
  <c r="AC238" i="12"/>
  <c r="AE238" i="12" s="1"/>
  <c r="U238" i="12"/>
  <c r="AF238" i="12" s="1"/>
  <c r="Q238" i="12"/>
  <c r="M238" i="12"/>
  <c r="AL238" i="12"/>
  <c r="V238" i="12"/>
  <c r="P238" i="12"/>
  <c r="K238" i="12"/>
  <c r="S238" i="12"/>
  <c r="Z238" i="12"/>
  <c r="AA238" i="12" s="1"/>
  <c r="AG238" i="12" s="1"/>
  <c r="AH238" i="12"/>
  <c r="AK239" i="12"/>
  <c r="AC239" i="12"/>
  <c r="AE239" i="12" s="1"/>
  <c r="U239" i="12"/>
  <c r="AF239" i="12" s="1"/>
  <c r="Q239" i="12"/>
  <c r="M239" i="12"/>
  <c r="AJ239" i="12"/>
  <c r="Z239" i="12"/>
  <c r="T239" i="12"/>
  <c r="O239" i="12"/>
  <c r="S239" i="12"/>
  <c r="AA239" i="12"/>
  <c r="AG239" i="12" s="1"/>
  <c r="AH239" i="12"/>
  <c r="AK240" i="12"/>
  <c r="AC240" i="12"/>
  <c r="AE240" i="12" s="1"/>
  <c r="U240" i="12"/>
  <c r="AF240" i="12" s="1"/>
  <c r="Q240" i="12"/>
  <c r="M240" i="12"/>
  <c r="AI240" i="12"/>
  <c r="X240" i="12"/>
  <c r="Y240" i="12" s="1"/>
  <c r="S240" i="12"/>
  <c r="N240" i="12"/>
  <c r="T240" i="12"/>
  <c r="AH240" i="12"/>
  <c r="AK242" i="12"/>
  <c r="AC242" i="12"/>
  <c r="AE242" i="12" s="1"/>
  <c r="U242" i="12"/>
  <c r="AF242" i="12" s="1"/>
  <c r="Q242" i="12"/>
  <c r="M242" i="12"/>
  <c r="AL242" i="12"/>
  <c r="V242" i="12"/>
  <c r="P242" i="12"/>
  <c r="K242" i="12"/>
  <c r="S242" i="12"/>
  <c r="Z242" i="12"/>
  <c r="AA242" i="12" s="1"/>
  <c r="AG242" i="12" s="1"/>
  <c r="AH242" i="12"/>
  <c r="AK243" i="12"/>
  <c r="AC243" i="12"/>
  <c r="AE243" i="12" s="1"/>
  <c r="U243" i="12"/>
  <c r="AF243" i="12" s="1"/>
  <c r="Q243" i="12"/>
  <c r="M243" i="12"/>
  <c r="AJ243" i="12"/>
  <c r="Z243" i="12"/>
  <c r="T243" i="12"/>
  <c r="O243" i="12"/>
  <c r="S243" i="12"/>
  <c r="AA243" i="12"/>
  <c r="AG243" i="12" s="1"/>
  <c r="AH243" i="12"/>
  <c r="AK244" i="12"/>
  <c r="AC244" i="12"/>
  <c r="AE244" i="12" s="1"/>
  <c r="U244" i="12"/>
  <c r="AF244" i="12" s="1"/>
  <c r="Q244" i="12"/>
  <c r="M244" i="12"/>
  <c r="AI244" i="12"/>
  <c r="X244" i="12"/>
  <c r="Y244" i="12" s="1"/>
  <c r="S244" i="12"/>
  <c r="N244" i="12"/>
  <c r="T244" i="12"/>
  <c r="AH244" i="12"/>
  <c r="AK246" i="12"/>
  <c r="AC246" i="12"/>
  <c r="AE246" i="12" s="1"/>
  <c r="U246" i="12"/>
  <c r="AF246" i="12" s="1"/>
  <c r="Q246" i="12"/>
  <c r="M246" i="12"/>
  <c r="AL246" i="12"/>
  <c r="V246" i="12"/>
  <c r="P246" i="12"/>
  <c r="K246" i="12"/>
  <c r="S246" i="12"/>
  <c r="Z246" i="12"/>
  <c r="AA246" i="12" s="1"/>
  <c r="AG246" i="12" s="1"/>
  <c r="AH246" i="12"/>
  <c r="AK247" i="12"/>
  <c r="AC247" i="12"/>
  <c r="AE247" i="12" s="1"/>
  <c r="U247" i="12"/>
  <c r="AF247" i="12" s="1"/>
  <c r="Q247" i="12"/>
  <c r="M247" i="12"/>
  <c r="AJ247" i="12"/>
  <c r="Z247" i="12"/>
  <c r="T247" i="12"/>
  <c r="O247" i="12"/>
  <c r="S247" i="12"/>
  <c r="AA247" i="12"/>
  <c r="AG247" i="12" s="1"/>
  <c r="AH247" i="12"/>
  <c r="AK248" i="12"/>
  <c r="AC248" i="12"/>
  <c r="AE248" i="12" s="1"/>
  <c r="U248" i="12"/>
  <c r="AF248" i="12" s="1"/>
  <c r="Q248" i="12"/>
  <c r="M248" i="12"/>
  <c r="AI248" i="12"/>
  <c r="X248" i="12"/>
  <c r="Y248" i="12" s="1"/>
  <c r="S248" i="12"/>
  <c r="N248" i="12"/>
  <c r="T248" i="12"/>
  <c r="AH248" i="12"/>
  <c r="AK250" i="12"/>
  <c r="AC250" i="12"/>
  <c r="AE250" i="12" s="1"/>
  <c r="U250" i="12"/>
  <c r="AF250" i="12" s="1"/>
  <c r="Q250" i="12"/>
  <c r="M250" i="12"/>
  <c r="AL250" i="12"/>
  <c r="V250" i="12"/>
  <c r="P250" i="12"/>
  <c r="K250" i="12"/>
  <c r="S250" i="12"/>
  <c r="Z250" i="12"/>
  <c r="AA250" i="12" s="1"/>
  <c r="AG250" i="12" s="1"/>
  <c r="AH250" i="12"/>
  <c r="AK251" i="12"/>
  <c r="AC251" i="12"/>
  <c r="AE251" i="12" s="1"/>
  <c r="U251" i="12"/>
  <c r="AF251" i="12" s="1"/>
  <c r="Q251" i="12"/>
  <c r="M251" i="12"/>
  <c r="AJ251" i="12"/>
  <c r="Z251" i="12"/>
  <c r="T251" i="12"/>
  <c r="O251" i="12"/>
  <c r="S251" i="12"/>
  <c r="AA251" i="12"/>
  <c r="AG251" i="12" s="1"/>
  <c r="AH251" i="12"/>
  <c r="AK252" i="12"/>
  <c r="AC252" i="12"/>
  <c r="AE252" i="12" s="1"/>
  <c r="U252" i="12"/>
  <c r="AF252" i="12" s="1"/>
  <c r="Q252" i="12"/>
  <c r="M252" i="12"/>
  <c r="AI252" i="12"/>
  <c r="X252" i="12"/>
  <c r="Y252" i="12" s="1"/>
  <c r="S252" i="12"/>
  <c r="N252" i="12"/>
  <c r="T252" i="12"/>
  <c r="AH252" i="12"/>
  <c r="AK254" i="12"/>
  <c r="AC254" i="12"/>
  <c r="AE254" i="12" s="1"/>
  <c r="U254" i="12"/>
  <c r="AF254" i="12" s="1"/>
  <c r="Q254" i="12"/>
  <c r="M254" i="12"/>
  <c r="AL254" i="12"/>
  <c r="V254" i="12"/>
  <c r="P254" i="12"/>
  <c r="K254" i="12"/>
  <c r="S254" i="12"/>
  <c r="Z254" i="12"/>
  <c r="AA254" i="12" s="1"/>
  <c r="AG254" i="12" s="1"/>
  <c r="AH254" i="12"/>
  <c r="AK255" i="12"/>
  <c r="AC255" i="12"/>
  <c r="AE255" i="12" s="1"/>
  <c r="U255" i="12"/>
  <c r="AF255" i="12" s="1"/>
  <c r="Q255" i="12"/>
  <c r="M255" i="12"/>
  <c r="AJ255" i="12"/>
  <c r="Z255" i="12"/>
  <c r="T255" i="12"/>
  <c r="O255" i="12"/>
  <c r="S255" i="12"/>
  <c r="AA255" i="12"/>
  <c r="AG255" i="12" s="1"/>
  <c r="AH255" i="12"/>
  <c r="AK256" i="12"/>
  <c r="AC256" i="12"/>
  <c r="AE256" i="12" s="1"/>
  <c r="U256" i="12"/>
  <c r="AF256" i="12" s="1"/>
  <c r="Q256" i="12"/>
  <c r="M256" i="12"/>
  <c r="AI256" i="12"/>
  <c r="X256" i="12"/>
  <c r="Y256" i="12" s="1"/>
  <c r="S256" i="12"/>
  <c r="N256" i="12"/>
  <c r="T256" i="12"/>
  <c r="AH256" i="12"/>
  <c r="AK258" i="12"/>
  <c r="AC258" i="12"/>
  <c r="AE258" i="12" s="1"/>
  <c r="U258" i="12"/>
  <c r="AF258" i="12" s="1"/>
  <c r="Q258" i="12"/>
  <c r="M258" i="12"/>
  <c r="AL258" i="12"/>
  <c r="V258" i="12"/>
  <c r="P258" i="12"/>
  <c r="K258" i="12"/>
  <c r="S258" i="12"/>
  <c r="Z258" i="12"/>
  <c r="AA258" i="12" s="1"/>
  <c r="AG258" i="12" s="1"/>
  <c r="AH258" i="12"/>
  <c r="AK259" i="12"/>
  <c r="AC259" i="12"/>
  <c r="AE259" i="12" s="1"/>
  <c r="U259" i="12"/>
  <c r="AF259" i="12" s="1"/>
  <c r="Q259" i="12"/>
  <c r="M259" i="12"/>
  <c r="AJ259" i="12"/>
  <c r="Z259" i="12"/>
  <c r="T259" i="12"/>
  <c r="O259" i="12"/>
  <c r="S259" i="12"/>
  <c r="AA259" i="12"/>
  <c r="AG259" i="12" s="1"/>
  <c r="AH259" i="12"/>
  <c r="AK260" i="12"/>
  <c r="AC260" i="12"/>
  <c r="AE260" i="12" s="1"/>
  <c r="U260" i="12"/>
  <c r="AF260" i="12" s="1"/>
  <c r="Q260" i="12"/>
  <c r="M260" i="12"/>
  <c r="AI260" i="12"/>
  <c r="X260" i="12"/>
  <c r="Y260" i="12" s="1"/>
  <c r="S260" i="12"/>
  <c r="N260" i="12"/>
  <c r="T260" i="12"/>
  <c r="AH260" i="12"/>
  <c r="AK262" i="12"/>
  <c r="AC262" i="12"/>
  <c r="AE262" i="12" s="1"/>
  <c r="U262" i="12"/>
  <c r="AF262" i="12" s="1"/>
  <c r="Q262" i="12"/>
  <c r="M262" i="12"/>
  <c r="AL262" i="12"/>
  <c r="V262" i="12"/>
  <c r="P262" i="12"/>
  <c r="K262" i="12"/>
  <c r="S262" i="12"/>
  <c r="Z262" i="12"/>
  <c r="AA262" i="12" s="1"/>
  <c r="AG262" i="12" s="1"/>
  <c r="AH262" i="12"/>
  <c r="AK263" i="12"/>
  <c r="AC263" i="12"/>
  <c r="AE263" i="12" s="1"/>
  <c r="U263" i="12"/>
  <c r="AF263" i="12" s="1"/>
  <c r="Q263" i="12"/>
  <c r="M263" i="12"/>
  <c r="AJ263" i="12"/>
  <c r="Z263" i="12"/>
  <c r="T263" i="12"/>
  <c r="O263" i="12"/>
  <c r="S263" i="12"/>
  <c r="AA263" i="12"/>
  <c r="AG263" i="12" s="1"/>
  <c r="AH263" i="12"/>
  <c r="AK264" i="12"/>
  <c r="AC264" i="12"/>
  <c r="AE264" i="12" s="1"/>
  <c r="U264" i="12"/>
  <c r="AF264" i="12" s="1"/>
  <c r="Q264" i="12"/>
  <c r="M264" i="12"/>
  <c r="AI264" i="12"/>
  <c r="X264" i="12"/>
  <c r="Y264" i="12" s="1"/>
  <c r="S264" i="12"/>
  <c r="N264" i="12"/>
  <c r="T264" i="12"/>
  <c r="AH264" i="12"/>
  <c r="AK266" i="12"/>
  <c r="AC266" i="12"/>
  <c r="AE266" i="12" s="1"/>
  <c r="U266" i="12"/>
  <c r="AF266" i="12" s="1"/>
  <c r="Q266" i="12"/>
  <c r="M266" i="12"/>
  <c r="AL266" i="12"/>
  <c r="V266" i="12"/>
  <c r="P266" i="12"/>
  <c r="K266" i="12"/>
  <c r="S266" i="12"/>
  <c r="Z266" i="12"/>
  <c r="AA266" i="12" s="1"/>
  <c r="AG266" i="12" s="1"/>
  <c r="AH266" i="12"/>
  <c r="AK267" i="12"/>
  <c r="AC267" i="12"/>
  <c r="AE267" i="12" s="1"/>
  <c r="U267" i="12"/>
  <c r="AF267" i="12" s="1"/>
  <c r="Q267" i="12"/>
  <c r="M267" i="12"/>
  <c r="AJ267" i="12"/>
  <c r="Z267" i="12"/>
  <c r="T267" i="12"/>
  <c r="O267" i="12"/>
  <c r="S267" i="12"/>
  <c r="AA267" i="12"/>
  <c r="AG267" i="12" s="1"/>
  <c r="AH267" i="12"/>
  <c r="AK268" i="12"/>
  <c r="AC268" i="12"/>
  <c r="AE268" i="12" s="1"/>
  <c r="U268" i="12"/>
  <c r="AF268" i="12" s="1"/>
  <c r="Q268" i="12"/>
  <c r="M268" i="12"/>
  <c r="AI268" i="12"/>
  <c r="X268" i="12"/>
  <c r="Y268" i="12" s="1"/>
  <c r="S268" i="12"/>
  <c r="N268" i="12"/>
  <c r="T268" i="12"/>
  <c r="AH268" i="12"/>
  <c r="AK270" i="12"/>
  <c r="AC270" i="12"/>
  <c r="AE270" i="12" s="1"/>
  <c r="U270" i="12"/>
  <c r="AF270" i="12" s="1"/>
  <c r="Q270" i="12"/>
  <c r="M270" i="12"/>
  <c r="AL270" i="12"/>
  <c r="V270" i="12"/>
  <c r="P270" i="12"/>
  <c r="K270" i="12"/>
  <c r="S270" i="12"/>
  <c r="Z270" i="12"/>
  <c r="AA270" i="12" s="1"/>
  <c r="AG270" i="12" s="1"/>
  <c r="AH270" i="12"/>
  <c r="AK271" i="12"/>
  <c r="AC271" i="12"/>
  <c r="AE271" i="12" s="1"/>
  <c r="U271" i="12"/>
  <c r="AF271" i="12" s="1"/>
  <c r="Q271" i="12"/>
  <c r="M271" i="12"/>
  <c r="AJ271" i="12"/>
  <c r="Z271" i="12"/>
  <c r="T271" i="12"/>
  <c r="O271" i="12"/>
  <c r="S271" i="12"/>
  <c r="AA271" i="12"/>
  <c r="AG271" i="12" s="1"/>
  <c r="AH271" i="12"/>
  <c r="AK272" i="12"/>
  <c r="AC272" i="12"/>
  <c r="AE272" i="12" s="1"/>
  <c r="U272" i="12"/>
  <c r="AF272" i="12" s="1"/>
  <c r="Q272" i="12"/>
  <c r="M272" i="12"/>
  <c r="AI272" i="12"/>
  <c r="X272" i="12"/>
  <c r="Y272" i="12" s="1"/>
  <c r="S272" i="12"/>
  <c r="N272" i="12"/>
  <c r="T272" i="12"/>
  <c r="AH272" i="12"/>
  <c r="AK274" i="12"/>
  <c r="AC274" i="12"/>
  <c r="AE274" i="12" s="1"/>
  <c r="U274" i="12"/>
  <c r="AF274" i="12" s="1"/>
  <c r="Q274" i="12"/>
  <c r="M274" i="12"/>
  <c r="AL274" i="12"/>
  <c r="V274" i="12"/>
  <c r="P274" i="12"/>
  <c r="K274" i="12"/>
  <c r="S274" i="12"/>
  <c r="Z274" i="12"/>
  <c r="AA274" i="12" s="1"/>
  <c r="AG274" i="12" s="1"/>
  <c r="AH274" i="12"/>
  <c r="AK275" i="12"/>
  <c r="AC275" i="12"/>
  <c r="AE275" i="12" s="1"/>
  <c r="U275" i="12"/>
  <c r="AF275" i="12" s="1"/>
  <c r="Q275" i="12"/>
  <c r="M275" i="12"/>
  <c r="AJ275" i="12"/>
  <c r="Z275" i="12"/>
  <c r="T275" i="12"/>
  <c r="O275" i="12"/>
  <c r="S275" i="12"/>
  <c r="AA275" i="12"/>
  <c r="AG275" i="12" s="1"/>
  <c r="AH275" i="12"/>
  <c r="AK276" i="12"/>
  <c r="AC276" i="12"/>
  <c r="AE276" i="12" s="1"/>
  <c r="U276" i="12"/>
  <c r="AF276" i="12" s="1"/>
  <c r="Q276" i="12"/>
  <c r="M276" i="12"/>
  <c r="AI276" i="12"/>
  <c r="X276" i="12"/>
  <c r="Y276" i="12" s="1"/>
  <c r="S276" i="12"/>
  <c r="N276" i="12"/>
  <c r="T276" i="12"/>
  <c r="AH276" i="12"/>
  <c r="AK278" i="12"/>
  <c r="AC278" i="12"/>
  <c r="AE278" i="12" s="1"/>
  <c r="U278" i="12"/>
  <c r="AF278" i="12" s="1"/>
  <c r="Q278" i="12"/>
  <c r="M278" i="12"/>
  <c r="AL278" i="12"/>
  <c r="V278" i="12"/>
  <c r="P278" i="12"/>
  <c r="K278" i="12"/>
  <c r="S278" i="12"/>
  <c r="Z278" i="12"/>
  <c r="AA278" i="12" s="1"/>
  <c r="AG278" i="12" s="1"/>
  <c r="AH278" i="12"/>
  <c r="AK279" i="12"/>
  <c r="AC279" i="12"/>
  <c r="AE279" i="12" s="1"/>
  <c r="U279" i="12"/>
  <c r="AF279" i="12" s="1"/>
  <c r="Q279" i="12"/>
  <c r="M279" i="12"/>
  <c r="AJ279" i="12"/>
  <c r="Z279" i="12"/>
  <c r="T279" i="12"/>
  <c r="O279" i="12"/>
  <c r="S279" i="12"/>
  <c r="AA279" i="12"/>
  <c r="AG279" i="12" s="1"/>
  <c r="AH279" i="12"/>
  <c r="AK280" i="12"/>
  <c r="AC280" i="12"/>
  <c r="AE280" i="12" s="1"/>
  <c r="U280" i="12"/>
  <c r="AF280" i="12" s="1"/>
  <c r="Q280" i="12"/>
  <c r="M280" i="12"/>
  <c r="AI280" i="12"/>
  <c r="X280" i="12"/>
  <c r="Y280" i="12" s="1"/>
  <c r="S280" i="12"/>
  <c r="N280" i="12"/>
  <c r="T280" i="12"/>
  <c r="AH280" i="12"/>
  <c r="AK282" i="12"/>
  <c r="AC282" i="12"/>
  <c r="AE282" i="12" s="1"/>
  <c r="U282" i="12"/>
  <c r="AF282" i="12" s="1"/>
  <c r="Q282" i="12"/>
  <c r="M282" i="12"/>
  <c r="AL282" i="12"/>
  <c r="V282" i="12"/>
  <c r="P282" i="12"/>
  <c r="K282" i="12"/>
  <c r="S282" i="12"/>
  <c r="Z282" i="12"/>
  <c r="AA282" i="12" s="1"/>
  <c r="AG282" i="12" s="1"/>
  <c r="AH282" i="12"/>
  <c r="AK283" i="12"/>
  <c r="AC283" i="12"/>
  <c r="AE283" i="12" s="1"/>
  <c r="U283" i="12"/>
  <c r="AF283" i="12" s="1"/>
  <c r="Q283" i="12"/>
  <c r="M283" i="12"/>
  <c r="AJ283" i="12"/>
  <c r="Z283" i="12"/>
  <c r="T283" i="12"/>
  <c r="O283" i="12"/>
  <c r="S283" i="12"/>
  <c r="AA283" i="12"/>
  <c r="AG283" i="12" s="1"/>
  <c r="AH283" i="12"/>
  <c r="AK284" i="12"/>
  <c r="AC284" i="12"/>
  <c r="AE284" i="12" s="1"/>
  <c r="U284" i="12"/>
  <c r="AF284" i="12" s="1"/>
  <c r="Q284" i="12"/>
  <c r="M284" i="12"/>
  <c r="AI284" i="12"/>
  <c r="X284" i="12"/>
  <c r="Y284" i="12" s="1"/>
  <c r="S284" i="12"/>
  <c r="N284" i="12"/>
  <c r="T284" i="12"/>
  <c r="AH284" i="12"/>
  <c r="AK286" i="12"/>
  <c r="AC286" i="12"/>
  <c r="AE286" i="12" s="1"/>
  <c r="U286" i="12"/>
  <c r="AF286" i="12" s="1"/>
  <c r="Q286" i="12"/>
  <c r="M286" i="12"/>
  <c r="AL286" i="12"/>
  <c r="V286" i="12"/>
  <c r="P286" i="12"/>
  <c r="K286" i="12"/>
  <c r="S286" i="12"/>
  <c r="Z286" i="12"/>
  <c r="AA286" i="12" s="1"/>
  <c r="AG286" i="12" s="1"/>
  <c r="AH286" i="12"/>
  <c r="AK287" i="12"/>
  <c r="AC287" i="12"/>
  <c r="AE287" i="12" s="1"/>
  <c r="U287" i="12"/>
  <c r="AF287" i="12" s="1"/>
  <c r="Q287" i="12"/>
  <c r="M287" i="12"/>
  <c r="AJ287" i="12"/>
  <c r="Z287" i="12"/>
  <c r="T287" i="12"/>
  <c r="O287" i="12"/>
  <c r="S287" i="12"/>
  <c r="AA287" i="12"/>
  <c r="AG287" i="12" s="1"/>
  <c r="AH287" i="12"/>
  <c r="AK288" i="12"/>
  <c r="AC288" i="12"/>
  <c r="AE288" i="12" s="1"/>
  <c r="U288" i="12"/>
  <c r="AF288" i="12" s="1"/>
  <c r="Q288" i="12"/>
  <c r="M288" i="12"/>
  <c r="AI288" i="12"/>
  <c r="X288" i="12"/>
  <c r="Y288" i="12" s="1"/>
  <c r="S288" i="12"/>
  <c r="N288" i="12"/>
  <c r="T288" i="12"/>
  <c r="AH288" i="12"/>
  <c r="AK290" i="12"/>
  <c r="AC290" i="12"/>
  <c r="AE290" i="12" s="1"/>
  <c r="U290" i="12"/>
  <c r="AF290" i="12" s="1"/>
  <c r="Q290" i="12"/>
  <c r="M290" i="12"/>
  <c r="AL290" i="12"/>
  <c r="V290" i="12"/>
  <c r="P290" i="12"/>
  <c r="K290" i="12"/>
  <c r="S290" i="12"/>
  <c r="Z290" i="12"/>
  <c r="AA290" i="12" s="1"/>
  <c r="AG290" i="12" s="1"/>
  <c r="AH290" i="12"/>
  <c r="AK291" i="12"/>
  <c r="AC291" i="12"/>
  <c r="AE291" i="12" s="1"/>
  <c r="U291" i="12"/>
  <c r="AF291" i="12" s="1"/>
  <c r="Q291" i="12"/>
  <c r="M291" i="12"/>
  <c r="AJ291" i="12"/>
  <c r="Z291" i="12"/>
  <c r="T291" i="12"/>
  <c r="O291" i="12"/>
  <c r="S291" i="12"/>
  <c r="AA291" i="12"/>
  <c r="AG291" i="12" s="1"/>
  <c r="AH291" i="12"/>
  <c r="AK292" i="12"/>
  <c r="AC292" i="12"/>
  <c r="AE292" i="12" s="1"/>
  <c r="U292" i="12"/>
  <c r="AF292" i="12" s="1"/>
  <c r="Q292" i="12"/>
  <c r="M292" i="12"/>
  <c r="AI292" i="12"/>
  <c r="X292" i="12"/>
  <c r="Y292" i="12" s="1"/>
  <c r="S292" i="12"/>
  <c r="N292" i="12"/>
  <c r="T292" i="12"/>
  <c r="AH292" i="12"/>
  <c r="AK294" i="12"/>
  <c r="AC294" i="12"/>
  <c r="AE294" i="12" s="1"/>
  <c r="U294" i="12"/>
  <c r="AF294" i="12" s="1"/>
  <c r="Q294" i="12"/>
  <c r="M294" i="12"/>
  <c r="AL294" i="12"/>
  <c r="V294" i="12"/>
  <c r="P294" i="12"/>
  <c r="K294" i="12"/>
  <c r="S294" i="12"/>
  <c r="Z294" i="12"/>
  <c r="AA294" i="12" s="1"/>
  <c r="AG294" i="12" s="1"/>
  <c r="AH294" i="12"/>
  <c r="AK295" i="12"/>
  <c r="AC295" i="12"/>
  <c r="AE295" i="12" s="1"/>
  <c r="U295" i="12"/>
  <c r="AF295" i="12" s="1"/>
  <c r="Q295" i="12"/>
  <c r="M295" i="12"/>
  <c r="AJ295" i="12"/>
  <c r="Z295" i="12"/>
  <c r="T295" i="12"/>
  <c r="O295" i="12"/>
  <c r="S295" i="12"/>
  <c r="AA295" i="12"/>
  <c r="AG295" i="12" s="1"/>
  <c r="AH295" i="12"/>
  <c r="AK296" i="12"/>
  <c r="AC296" i="12"/>
  <c r="AE296" i="12" s="1"/>
  <c r="U296" i="12"/>
  <c r="AF296" i="12" s="1"/>
  <c r="Q296" i="12"/>
  <c r="M296" i="12"/>
  <c r="AI296" i="12"/>
  <c r="X296" i="12"/>
  <c r="Y296" i="12" s="1"/>
  <c r="S296" i="12"/>
  <c r="N296" i="12"/>
  <c r="T296" i="12"/>
  <c r="AH296" i="12"/>
  <c r="AK298" i="12"/>
  <c r="AC298" i="12"/>
  <c r="AE298" i="12" s="1"/>
  <c r="U298" i="12"/>
  <c r="AF298" i="12" s="1"/>
  <c r="Q298" i="12"/>
  <c r="M298" i="12"/>
  <c r="AL298" i="12"/>
  <c r="V298" i="12"/>
  <c r="P298" i="12"/>
  <c r="K298" i="12"/>
  <c r="S298" i="12"/>
  <c r="Z298" i="12"/>
  <c r="AA298" i="12" s="1"/>
  <c r="AG298" i="12" s="1"/>
  <c r="AH298" i="12"/>
  <c r="AK299" i="12"/>
  <c r="AC299" i="12"/>
  <c r="AE299" i="12" s="1"/>
  <c r="U299" i="12"/>
  <c r="AF299" i="12" s="1"/>
  <c r="Q299" i="12"/>
  <c r="M299" i="12"/>
  <c r="AJ299" i="12"/>
  <c r="Z299" i="12"/>
  <c r="T299" i="12"/>
  <c r="O299" i="12"/>
  <c r="S299" i="12"/>
  <c r="AA299" i="12"/>
  <c r="AG299" i="12" s="1"/>
  <c r="AH299" i="12"/>
  <c r="AK300" i="12"/>
  <c r="AC300" i="12"/>
  <c r="AE300" i="12" s="1"/>
  <c r="U300" i="12"/>
  <c r="AF300" i="12" s="1"/>
  <c r="Q300" i="12"/>
  <c r="M300" i="12"/>
  <c r="AI300" i="12"/>
  <c r="X300" i="12"/>
  <c r="Y300" i="12" s="1"/>
  <c r="S300" i="12"/>
  <c r="N300" i="12"/>
  <c r="T300" i="12"/>
  <c r="AH300" i="12"/>
  <c r="AK302" i="12"/>
  <c r="AC302" i="12"/>
  <c r="AE302" i="12" s="1"/>
  <c r="U302" i="12"/>
  <c r="AF302" i="12" s="1"/>
  <c r="Q302" i="12"/>
  <c r="M302" i="12"/>
  <c r="AL302" i="12"/>
  <c r="V302" i="12"/>
  <c r="P302" i="12"/>
  <c r="K302" i="12"/>
  <c r="S302" i="12"/>
  <c r="Z302" i="12"/>
  <c r="AA302" i="12" s="1"/>
  <c r="AG302" i="12" s="1"/>
  <c r="AH302" i="12"/>
  <c r="AK303" i="12"/>
  <c r="AC303" i="12"/>
  <c r="AE303" i="12" s="1"/>
  <c r="U303" i="12"/>
  <c r="AF303" i="12" s="1"/>
  <c r="Q303" i="12"/>
  <c r="M303" i="12"/>
  <c r="AJ303" i="12"/>
  <c r="Z303" i="12"/>
  <c r="T303" i="12"/>
  <c r="O303" i="12"/>
  <c r="S303" i="12"/>
  <c r="AA303" i="12"/>
  <c r="AG303" i="12" s="1"/>
  <c r="AH303" i="12"/>
  <c r="AK304" i="12"/>
  <c r="AC304" i="12"/>
  <c r="AE304" i="12" s="1"/>
  <c r="U304" i="12"/>
  <c r="AF304" i="12" s="1"/>
  <c r="Q304" i="12"/>
  <c r="M304" i="12"/>
  <c r="AI304" i="12"/>
  <c r="X304" i="12"/>
  <c r="Y304" i="12" s="1"/>
  <c r="S304" i="12"/>
  <c r="N304" i="12"/>
  <c r="T304" i="12"/>
  <c r="AH304" i="12"/>
  <c r="AK306" i="12"/>
  <c r="AC306" i="12"/>
  <c r="AE306" i="12" s="1"/>
  <c r="U306" i="12"/>
  <c r="AF306" i="12" s="1"/>
  <c r="Q306" i="12"/>
  <c r="M306" i="12"/>
  <c r="AL306" i="12"/>
  <c r="V306" i="12"/>
  <c r="P306" i="12"/>
  <c r="K306" i="12"/>
  <c r="S306" i="12"/>
  <c r="Z306" i="12"/>
  <c r="AA306" i="12" s="1"/>
  <c r="AG306" i="12" s="1"/>
  <c r="AH306" i="12"/>
  <c r="AK307" i="12"/>
  <c r="AC307" i="12"/>
  <c r="AE307" i="12" s="1"/>
  <c r="U307" i="12"/>
  <c r="AF307" i="12" s="1"/>
  <c r="Q307" i="12"/>
  <c r="M307" i="12"/>
  <c r="AJ307" i="12"/>
  <c r="Z307" i="12"/>
  <c r="T307" i="12"/>
  <c r="O307" i="12"/>
  <c r="S307" i="12"/>
  <c r="AA307" i="12"/>
  <c r="AG307" i="12" s="1"/>
  <c r="AH307" i="12"/>
  <c r="AK308" i="12"/>
  <c r="AC308" i="12"/>
  <c r="AE308" i="12" s="1"/>
  <c r="U308" i="12"/>
  <c r="AF308" i="12" s="1"/>
  <c r="Q308" i="12"/>
  <c r="M308" i="12"/>
  <c r="AI308" i="12"/>
  <c r="X308" i="12"/>
  <c r="Y308" i="12" s="1"/>
  <c r="S308" i="12"/>
  <c r="N308" i="12"/>
  <c r="T308" i="12"/>
  <c r="AH308" i="12"/>
  <c r="AK310" i="12"/>
  <c r="AC310" i="12"/>
  <c r="AE310" i="12" s="1"/>
  <c r="U310" i="12"/>
  <c r="AF310" i="12" s="1"/>
  <c r="Q310" i="12"/>
  <c r="M310" i="12"/>
  <c r="AL310" i="12"/>
  <c r="V310" i="12"/>
  <c r="P310" i="12"/>
  <c r="K310" i="12"/>
  <c r="S310" i="12"/>
  <c r="Z310" i="12"/>
  <c r="AA310" i="12" s="1"/>
  <c r="AG310" i="12" s="1"/>
  <c r="AH310" i="12"/>
  <c r="AK311" i="12"/>
  <c r="AC311" i="12"/>
  <c r="AE311" i="12" s="1"/>
  <c r="U311" i="12"/>
  <c r="AF311" i="12" s="1"/>
  <c r="Q311" i="12"/>
  <c r="M311" i="12"/>
  <c r="AJ311" i="12"/>
  <c r="Z311" i="12"/>
  <c r="T311" i="12"/>
  <c r="O311" i="12"/>
  <c r="S311" i="12"/>
  <c r="AA311" i="12"/>
  <c r="AG311" i="12" s="1"/>
  <c r="AH311" i="12"/>
  <c r="AK312" i="12"/>
  <c r="AC312" i="12"/>
  <c r="AE312" i="12" s="1"/>
  <c r="U312" i="12"/>
  <c r="AF312" i="12" s="1"/>
  <c r="Q312" i="12"/>
  <c r="M312" i="12"/>
  <c r="AI312" i="12"/>
  <c r="X312" i="12"/>
  <c r="Y312" i="12" s="1"/>
  <c r="S312" i="12"/>
  <c r="N312" i="12"/>
  <c r="T312" i="12"/>
  <c r="AH312" i="12"/>
  <c r="AK314" i="12"/>
  <c r="AC314" i="12"/>
  <c r="AE314" i="12" s="1"/>
  <c r="U314" i="12"/>
  <c r="AF314" i="12" s="1"/>
  <c r="Q314" i="12"/>
  <c r="M314" i="12"/>
  <c r="AL314" i="12"/>
  <c r="V314" i="12"/>
  <c r="P314" i="12"/>
  <c r="K314" i="12"/>
  <c r="S314" i="12"/>
  <c r="Z314" i="12"/>
  <c r="AA314" i="12" s="1"/>
  <c r="AG314" i="12" s="1"/>
  <c r="AH314" i="12"/>
  <c r="AK315" i="12"/>
  <c r="AC315" i="12"/>
  <c r="AE315" i="12" s="1"/>
  <c r="U315" i="12"/>
  <c r="AF315" i="12" s="1"/>
  <c r="Q315" i="12"/>
  <c r="M315" i="12"/>
  <c r="AJ315" i="12"/>
  <c r="Z315" i="12"/>
  <c r="T315" i="12"/>
  <c r="O315" i="12"/>
  <c r="S315" i="12"/>
  <c r="AA315" i="12"/>
  <c r="AG315" i="12" s="1"/>
  <c r="AH315" i="12"/>
  <c r="AK316" i="12"/>
  <c r="AC316" i="12"/>
  <c r="AE316" i="12" s="1"/>
  <c r="U316" i="12"/>
  <c r="AF316" i="12" s="1"/>
  <c r="Q316" i="12"/>
  <c r="M316" i="12"/>
  <c r="AI316" i="12"/>
  <c r="X316" i="12"/>
  <c r="Y316" i="12" s="1"/>
  <c r="S316" i="12"/>
  <c r="N316" i="12"/>
  <c r="T316" i="12"/>
  <c r="AH316" i="12"/>
  <c r="AK318" i="12"/>
  <c r="AC318" i="12"/>
  <c r="AE318" i="12" s="1"/>
  <c r="U318" i="12"/>
  <c r="AF318" i="12" s="1"/>
  <c r="Q318" i="12"/>
  <c r="M318" i="12"/>
  <c r="AL318" i="12"/>
  <c r="V318" i="12"/>
  <c r="P318" i="12"/>
  <c r="K318" i="12"/>
  <c r="S318" i="12"/>
  <c r="Z318" i="12"/>
  <c r="AA318" i="12" s="1"/>
  <c r="AG318" i="12" s="1"/>
  <c r="AH318" i="12"/>
  <c r="AK319" i="12"/>
  <c r="AC319" i="12"/>
  <c r="AE319" i="12" s="1"/>
  <c r="U319" i="12"/>
  <c r="AF319" i="12" s="1"/>
  <c r="Q319" i="12"/>
  <c r="M319" i="12"/>
  <c r="AJ319" i="12"/>
  <c r="Z319" i="12"/>
  <c r="T319" i="12"/>
  <c r="O319" i="12"/>
  <c r="S319" i="12"/>
  <c r="AA319" i="12"/>
  <c r="AG319" i="12" s="1"/>
  <c r="AH319" i="12"/>
  <c r="AK320" i="12"/>
  <c r="AC320" i="12"/>
  <c r="AE320" i="12" s="1"/>
  <c r="U320" i="12"/>
  <c r="AF320" i="12" s="1"/>
  <c r="Q320" i="12"/>
  <c r="M320" i="12"/>
  <c r="AI320" i="12"/>
  <c r="X320" i="12"/>
  <c r="Y320" i="12" s="1"/>
  <c r="S320" i="12"/>
  <c r="N320" i="12"/>
  <c r="T320" i="12"/>
  <c r="AH320" i="12"/>
  <c r="AK322" i="12"/>
  <c r="AC322" i="12"/>
  <c r="AE322" i="12" s="1"/>
  <c r="U322" i="12"/>
  <c r="AF322" i="12" s="1"/>
  <c r="Q322" i="12"/>
  <c r="M322" i="12"/>
  <c r="AL322" i="12"/>
  <c r="V322" i="12"/>
  <c r="P322" i="12"/>
  <c r="K322" i="12"/>
  <c r="S322" i="12"/>
  <c r="Z322" i="12"/>
  <c r="AA322" i="12" s="1"/>
  <c r="AG322" i="12" s="1"/>
  <c r="AH322" i="12"/>
  <c r="AK323" i="12"/>
  <c r="AC323" i="12"/>
  <c r="AE323" i="12" s="1"/>
  <c r="U323" i="12"/>
  <c r="AF323" i="12" s="1"/>
  <c r="Q323" i="12"/>
  <c r="M323" i="12"/>
  <c r="AJ323" i="12"/>
  <c r="Z323" i="12"/>
  <c r="T323" i="12"/>
  <c r="O323" i="12"/>
  <c r="S323" i="12"/>
  <c r="AA323" i="12"/>
  <c r="AG323" i="12" s="1"/>
  <c r="AH323" i="12"/>
  <c r="AK324" i="12"/>
  <c r="AC324" i="12"/>
  <c r="AE324" i="12" s="1"/>
  <c r="U324" i="12"/>
  <c r="AF324" i="12" s="1"/>
  <c r="Q324" i="12"/>
  <c r="M324" i="12"/>
  <c r="AI324" i="12"/>
  <c r="X324" i="12"/>
  <c r="Y324" i="12" s="1"/>
  <c r="S324" i="12"/>
  <c r="N324" i="12"/>
  <c r="T324" i="12"/>
  <c r="AH324" i="12"/>
  <c r="AK326" i="12"/>
  <c r="AC326" i="12"/>
  <c r="AE326" i="12" s="1"/>
  <c r="U326" i="12"/>
  <c r="AF326" i="12" s="1"/>
  <c r="Q326" i="12"/>
  <c r="M326" i="12"/>
  <c r="AL326" i="12"/>
  <c r="V326" i="12"/>
  <c r="P326" i="12"/>
  <c r="K326" i="12"/>
  <c r="S326" i="12"/>
  <c r="Z326" i="12"/>
  <c r="AA326" i="12" s="1"/>
  <c r="AG326" i="12" s="1"/>
  <c r="AH326" i="12"/>
  <c r="AK327" i="12"/>
  <c r="AC327" i="12"/>
  <c r="AE327" i="12" s="1"/>
  <c r="U327" i="12"/>
  <c r="AF327" i="12" s="1"/>
  <c r="Q327" i="12"/>
  <c r="M327" i="12"/>
  <c r="AJ327" i="12"/>
  <c r="Z327" i="12"/>
  <c r="T327" i="12"/>
  <c r="O327" i="12"/>
  <c r="S327" i="12"/>
  <c r="AA327" i="12"/>
  <c r="AG327" i="12" s="1"/>
  <c r="AH327" i="12"/>
  <c r="AK328" i="12"/>
  <c r="AC328" i="12"/>
  <c r="AE328" i="12" s="1"/>
  <c r="U328" i="12"/>
  <c r="AF328" i="12" s="1"/>
  <c r="Q328" i="12"/>
  <c r="M328" i="12"/>
  <c r="AI328" i="12"/>
  <c r="X328" i="12"/>
  <c r="Y328" i="12" s="1"/>
  <c r="S328" i="12"/>
  <c r="N328" i="12"/>
  <c r="T328" i="12"/>
  <c r="AH328" i="12"/>
  <c r="AK330" i="12"/>
  <c r="AC330" i="12"/>
  <c r="AE330" i="12" s="1"/>
  <c r="U330" i="12"/>
  <c r="AF330" i="12" s="1"/>
  <c r="Q330" i="12"/>
  <c r="M330" i="12"/>
  <c r="AL330" i="12"/>
  <c r="V330" i="12"/>
  <c r="P330" i="12"/>
  <c r="K330" i="12"/>
  <c r="S330" i="12"/>
  <c r="Z330" i="12"/>
  <c r="AA330" i="12" s="1"/>
  <c r="AG330" i="12" s="1"/>
  <c r="AH330" i="12"/>
  <c r="AK331" i="12"/>
  <c r="AC331" i="12"/>
  <c r="AE331" i="12" s="1"/>
  <c r="U331" i="12"/>
  <c r="AF331" i="12" s="1"/>
  <c r="Q331" i="12"/>
  <c r="M331" i="12"/>
  <c r="AJ331" i="12"/>
  <c r="Z331" i="12"/>
  <c r="T331" i="12"/>
  <c r="O331" i="12"/>
  <c r="S331" i="12"/>
  <c r="AA331" i="12"/>
  <c r="AG331" i="12" s="1"/>
  <c r="AH331" i="12"/>
  <c r="AK332" i="12"/>
  <c r="AC332" i="12"/>
  <c r="AE332" i="12" s="1"/>
  <c r="U332" i="12"/>
  <c r="AF332" i="12" s="1"/>
  <c r="Q332" i="12"/>
  <c r="M332" i="12"/>
  <c r="AI332" i="12"/>
  <c r="X332" i="12"/>
  <c r="Y332" i="12" s="1"/>
  <c r="S332" i="12"/>
  <c r="N332" i="12"/>
  <c r="T332" i="12"/>
  <c r="AH332" i="12"/>
  <c r="AK334" i="12"/>
  <c r="AC334" i="12"/>
  <c r="AE334" i="12" s="1"/>
  <c r="U334" i="12"/>
  <c r="AF334" i="12" s="1"/>
  <c r="Q334" i="12"/>
  <c r="M334" i="12"/>
  <c r="AL334" i="12"/>
  <c r="V334" i="12"/>
  <c r="P334" i="12"/>
  <c r="K334" i="12"/>
  <c r="S334" i="12"/>
  <c r="Z334" i="12"/>
  <c r="AA334" i="12" s="1"/>
  <c r="AG334" i="12" s="1"/>
  <c r="AH334" i="12"/>
  <c r="AK335" i="12"/>
  <c r="AC335" i="12"/>
  <c r="AE335" i="12" s="1"/>
  <c r="U335" i="12"/>
  <c r="AF335" i="12" s="1"/>
  <c r="Q335" i="12"/>
  <c r="M335" i="12"/>
  <c r="AJ335" i="12"/>
  <c r="Z335" i="12"/>
  <c r="T335" i="12"/>
  <c r="O335" i="12"/>
  <c r="S335" i="12"/>
  <c r="AA335" i="12"/>
  <c r="AG335" i="12" s="1"/>
  <c r="AH335" i="12"/>
  <c r="AK336" i="12"/>
  <c r="AC336" i="12"/>
  <c r="AE336" i="12" s="1"/>
  <c r="U336" i="12"/>
  <c r="AF336" i="12" s="1"/>
  <c r="Q336" i="12"/>
  <c r="M336" i="12"/>
  <c r="AI336" i="12"/>
  <c r="X336" i="12"/>
  <c r="Y336" i="12" s="1"/>
  <c r="S336" i="12"/>
  <c r="N336" i="12"/>
  <c r="T336" i="12"/>
  <c r="AH336" i="12"/>
  <c r="AK338" i="12"/>
  <c r="AC338" i="12"/>
  <c r="AE338" i="12" s="1"/>
  <c r="U338" i="12"/>
  <c r="AF338" i="12" s="1"/>
  <c r="Q338" i="12"/>
  <c r="M338" i="12"/>
  <c r="AL338" i="12"/>
  <c r="V338" i="12"/>
  <c r="P338" i="12"/>
  <c r="K338" i="12"/>
  <c r="S338" i="12"/>
  <c r="Z338" i="12"/>
  <c r="AA338" i="12" s="1"/>
  <c r="AG338" i="12" s="1"/>
  <c r="AH338" i="12"/>
  <c r="AK339" i="12"/>
  <c r="AC339" i="12"/>
  <c r="AE339" i="12" s="1"/>
  <c r="U339" i="12"/>
  <c r="AF339" i="12" s="1"/>
  <c r="Q339" i="12"/>
  <c r="M339" i="12"/>
  <c r="AJ339" i="12"/>
  <c r="Z339" i="12"/>
  <c r="T339" i="12"/>
  <c r="O339" i="12"/>
  <c r="S339" i="12"/>
  <c r="AA339" i="12"/>
  <c r="AG339" i="12" s="1"/>
  <c r="AH339" i="12"/>
  <c r="AK340" i="12"/>
  <c r="AC340" i="12"/>
  <c r="AE340" i="12" s="1"/>
  <c r="Y340" i="12"/>
  <c r="U340" i="12"/>
  <c r="AF340" i="12" s="1"/>
  <c r="Q340" i="12"/>
  <c r="M340" i="12"/>
  <c r="AI340" i="12"/>
  <c r="X340" i="12"/>
  <c r="S340" i="12"/>
  <c r="N340" i="12"/>
  <c r="T340" i="12"/>
  <c r="AH340" i="12"/>
  <c r="AK342" i="12"/>
  <c r="AC342" i="12"/>
  <c r="AE342" i="12" s="1"/>
  <c r="U342" i="12"/>
  <c r="AF342" i="12" s="1"/>
  <c r="Q342" i="12"/>
  <c r="M342" i="12"/>
  <c r="AL342" i="12"/>
  <c r="AA342" i="12"/>
  <c r="AG342" i="12" s="1"/>
  <c r="V342" i="12"/>
  <c r="P342" i="12"/>
  <c r="K342" i="12"/>
  <c r="S342" i="12"/>
  <c r="Z342" i="12"/>
  <c r="AH342" i="12"/>
  <c r="AK343" i="12"/>
  <c r="AC343" i="12"/>
  <c r="AE343" i="12" s="1"/>
  <c r="U343" i="12"/>
  <c r="AF343" i="12" s="1"/>
  <c r="Q343" i="12"/>
  <c r="M343" i="12"/>
  <c r="AJ343" i="12"/>
  <c r="Z343" i="12"/>
  <c r="T343" i="12"/>
  <c r="O343" i="12"/>
  <c r="S343" i="12"/>
  <c r="AA343" i="12"/>
  <c r="AG343" i="12" s="1"/>
  <c r="AH343" i="12"/>
  <c r="AK344" i="12"/>
  <c r="AC344" i="12"/>
  <c r="AE344" i="12" s="1"/>
  <c r="U344" i="12"/>
  <c r="AF344" i="12" s="1"/>
  <c r="Q344" i="12"/>
  <c r="M344" i="12"/>
  <c r="AI344" i="12"/>
  <c r="X344" i="12"/>
  <c r="Y344" i="12" s="1"/>
  <c r="S344" i="12"/>
  <c r="N344" i="12"/>
  <c r="T344" i="12"/>
  <c r="AH344" i="12"/>
  <c r="AK346" i="12"/>
  <c r="AC346" i="12"/>
  <c r="AE346" i="12" s="1"/>
  <c r="U346" i="12"/>
  <c r="AF346" i="12" s="1"/>
  <c r="Q346" i="12"/>
  <c r="M346" i="12"/>
  <c r="AL346" i="12"/>
  <c r="V346" i="12"/>
  <c r="P346" i="12"/>
  <c r="K346" i="12"/>
  <c r="S346" i="12"/>
  <c r="Z346" i="12"/>
  <c r="AA346" i="12" s="1"/>
  <c r="AG346" i="12" s="1"/>
  <c r="AH346" i="12"/>
  <c r="AK347" i="12"/>
  <c r="AC347" i="12"/>
  <c r="AE347" i="12" s="1"/>
  <c r="U347" i="12"/>
  <c r="AF347" i="12" s="1"/>
  <c r="Q347" i="12"/>
  <c r="M347" i="12"/>
  <c r="AJ347" i="12"/>
  <c r="Z347" i="12"/>
  <c r="T347" i="12"/>
  <c r="O347" i="12"/>
  <c r="S347" i="12"/>
  <c r="AA347" i="12"/>
  <c r="AG347" i="12" s="1"/>
  <c r="AH347" i="12"/>
  <c r="AK348" i="12"/>
  <c r="AC348" i="12"/>
  <c r="AE348" i="12" s="1"/>
  <c r="U348" i="12"/>
  <c r="AF348" i="12" s="1"/>
  <c r="Q348" i="12"/>
  <c r="M348" i="12"/>
  <c r="AI348" i="12"/>
  <c r="X348" i="12"/>
  <c r="Y348" i="12" s="1"/>
  <c r="S348" i="12"/>
  <c r="N348" i="12"/>
  <c r="T348" i="12"/>
  <c r="AH348" i="12"/>
  <c r="AK350" i="12"/>
  <c r="AC350" i="12"/>
  <c r="AE350" i="12" s="1"/>
  <c r="U350" i="12"/>
  <c r="AF350" i="12" s="1"/>
  <c r="Q350" i="12"/>
  <c r="M350" i="12"/>
  <c r="AL350" i="12"/>
  <c r="V350" i="12"/>
  <c r="P350" i="12"/>
  <c r="K350" i="12"/>
  <c r="S350" i="12"/>
  <c r="Z350" i="12"/>
  <c r="AA350" i="12" s="1"/>
  <c r="AG350" i="12" s="1"/>
  <c r="AH350" i="12"/>
  <c r="AK351" i="12"/>
  <c r="AC351" i="12"/>
  <c r="AE351" i="12" s="1"/>
  <c r="U351" i="12"/>
  <c r="AF351" i="12" s="1"/>
  <c r="Q351" i="12"/>
  <c r="M351" i="12"/>
  <c r="AJ351" i="12"/>
  <c r="Z351" i="12"/>
  <c r="T351" i="12"/>
  <c r="O351" i="12"/>
  <c r="S351" i="12"/>
  <c r="AA351" i="12"/>
  <c r="AG351" i="12" s="1"/>
  <c r="AH351" i="12"/>
  <c r="AK352" i="12"/>
  <c r="AC352" i="12"/>
  <c r="AE352" i="12" s="1"/>
  <c r="U352" i="12"/>
  <c r="AF352" i="12" s="1"/>
  <c r="Q352" i="12"/>
  <c r="M352" i="12"/>
  <c r="AI352" i="12"/>
  <c r="X352" i="12"/>
  <c r="Y352" i="12" s="1"/>
  <c r="S352" i="12"/>
  <c r="N352" i="12"/>
  <c r="T352" i="12"/>
  <c r="AH352" i="12"/>
  <c r="AK354" i="12"/>
  <c r="AC354" i="12"/>
  <c r="AE354" i="12" s="1"/>
  <c r="U354" i="12"/>
  <c r="AF354" i="12" s="1"/>
  <c r="Q354" i="12"/>
  <c r="M354" i="12"/>
  <c r="AL354" i="12"/>
  <c r="V354" i="12"/>
  <c r="P354" i="12"/>
  <c r="K354" i="12"/>
  <c r="S354" i="12"/>
  <c r="Z354" i="12"/>
  <c r="AA354" i="12" s="1"/>
  <c r="AG354" i="12" s="1"/>
  <c r="AH354" i="12"/>
  <c r="AK355" i="12"/>
  <c r="AC355" i="12"/>
  <c r="AE355" i="12" s="1"/>
  <c r="U355" i="12"/>
  <c r="AF355" i="12" s="1"/>
  <c r="Q355" i="12"/>
  <c r="M355" i="12"/>
  <c r="AJ355" i="12"/>
  <c r="Z355" i="12"/>
  <c r="T355" i="12"/>
  <c r="O355" i="12"/>
  <c r="S355" i="12"/>
  <c r="AA355" i="12"/>
  <c r="AG355" i="12" s="1"/>
  <c r="AH355" i="12"/>
  <c r="AK356" i="12"/>
  <c r="AC356" i="12"/>
  <c r="AE356" i="12" s="1"/>
  <c r="Y356" i="12"/>
  <c r="U356" i="12"/>
  <c r="AF356" i="12" s="1"/>
  <c r="Q356" i="12"/>
  <c r="M356" i="12"/>
  <c r="AI356" i="12"/>
  <c r="X356" i="12"/>
  <c r="S356" i="12"/>
  <c r="N356" i="12"/>
  <c r="T356" i="12"/>
  <c r="AH356" i="12"/>
  <c r="AK358" i="12"/>
  <c r="AC358" i="12"/>
  <c r="AE358" i="12" s="1"/>
  <c r="U358" i="12"/>
  <c r="AF358" i="12" s="1"/>
  <c r="Q358" i="12"/>
  <c r="M358" i="12"/>
  <c r="AL358" i="12"/>
  <c r="AA358" i="12"/>
  <c r="AG358" i="12" s="1"/>
  <c r="V358" i="12"/>
  <c r="P358" i="12"/>
  <c r="K358" i="12"/>
  <c r="S358" i="12"/>
  <c r="Z358" i="12"/>
  <c r="AH358" i="12"/>
  <c r="AK359" i="12"/>
  <c r="AC359" i="12"/>
  <c r="AE359" i="12" s="1"/>
  <c r="U359" i="12"/>
  <c r="AF359" i="12" s="1"/>
  <c r="Q359" i="12"/>
  <c r="M359" i="12"/>
  <c r="AJ359" i="12"/>
  <c r="Z359" i="12"/>
  <c r="T359" i="12"/>
  <c r="O359" i="12"/>
  <c r="S359" i="12"/>
  <c r="AA359" i="12"/>
  <c r="AG359" i="12" s="1"/>
  <c r="AH359" i="12"/>
  <c r="AK360" i="12"/>
  <c r="AC360" i="12"/>
  <c r="AE360" i="12" s="1"/>
  <c r="U360" i="12"/>
  <c r="AF360" i="12" s="1"/>
  <c r="Q360" i="12"/>
  <c r="M360" i="12"/>
  <c r="AI360" i="12"/>
  <c r="X360" i="12"/>
  <c r="Y360" i="12" s="1"/>
  <c r="S360" i="12"/>
  <c r="N360" i="12"/>
  <c r="T360" i="12"/>
  <c r="AH360" i="12"/>
  <c r="AK362" i="12"/>
  <c r="AC362" i="12"/>
  <c r="AE362" i="12" s="1"/>
  <c r="U362" i="12"/>
  <c r="AF362" i="12" s="1"/>
  <c r="Q362" i="12"/>
  <c r="M362" i="12"/>
  <c r="AL362" i="12"/>
  <c r="V362" i="12"/>
  <c r="P362" i="12"/>
  <c r="K362" i="12"/>
  <c r="S362" i="12"/>
  <c r="Z362" i="12"/>
  <c r="AA362" i="12" s="1"/>
  <c r="AG362" i="12" s="1"/>
  <c r="AH362" i="12"/>
  <c r="AK363" i="12"/>
  <c r="AC363" i="12"/>
  <c r="AE363" i="12" s="1"/>
  <c r="U363" i="12"/>
  <c r="AF363" i="12" s="1"/>
  <c r="Q363" i="12"/>
  <c r="M363" i="12"/>
  <c r="AJ363" i="12"/>
  <c r="Z363" i="12"/>
  <c r="T363" i="12"/>
  <c r="O363" i="12"/>
  <c r="S363" i="12"/>
  <c r="AA363" i="12"/>
  <c r="AG363" i="12" s="1"/>
  <c r="AH363" i="12"/>
  <c r="AK364" i="12"/>
  <c r="AC364" i="12"/>
  <c r="AE364" i="12" s="1"/>
  <c r="U364" i="12"/>
  <c r="AF364" i="12" s="1"/>
  <c r="Q364" i="12"/>
  <c r="M364" i="12"/>
  <c r="AI364" i="12"/>
  <c r="X364" i="12"/>
  <c r="Y364" i="12" s="1"/>
  <c r="S364" i="12"/>
  <c r="N364" i="12"/>
  <c r="T364" i="12"/>
  <c r="AH364" i="12"/>
  <c r="AK366" i="12"/>
  <c r="AC366" i="12"/>
  <c r="AE366" i="12" s="1"/>
  <c r="U366" i="12"/>
  <c r="AF366" i="12" s="1"/>
  <c r="Q366" i="12"/>
  <c r="M366" i="12"/>
  <c r="AL366" i="12"/>
  <c r="V366" i="12"/>
  <c r="P366" i="12"/>
  <c r="K366" i="12"/>
  <c r="S366" i="12"/>
  <c r="Z366" i="12"/>
  <c r="AA366" i="12" s="1"/>
  <c r="AG366" i="12" s="1"/>
  <c r="AH366" i="12"/>
  <c r="AK367" i="12"/>
  <c r="AC367" i="12"/>
  <c r="AE367" i="12" s="1"/>
  <c r="U367" i="12"/>
  <c r="AF367" i="12" s="1"/>
  <c r="Q367" i="12"/>
  <c r="M367" i="12"/>
  <c r="AJ367" i="12"/>
  <c r="Z367" i="12"/>
  <c r="T367" i="12"/>
  <c r="O367" i="12"/>
  <c r="S367" i="12"/>
  <c r="AA367" i="12"/>
  <c r="AG367" i="12" s="1"/>
  <c r="AH367" i="12"/>
  <c r="AK368" i="12"/>
  <c r="AC368" i="12"/>
  <c r="AE368" i="12" s="1"/>
  <c r="U368" i="12"/>
  <c r="AF368" i="12" s="1"/>
  <c r="Q368" i="12"/>
  <c r="M368" i="12"/>
  <c r="AI368" i="12"/>
  <c r="X368" i="12"/>
  <c r="Y368" i="12" s="1"/>
  <c r="S368" i="12"/>
  <c r="N368" i="12"/>
  <c r="T368" i="12"/>
  <c r="AH368" i="12"/>
  <c r="AK370" i="12"/>
  <c r="AC370" i="12"/>
  <c r="AE370" i="12" s="1"/>
  <c r="U370" i="12"/>
  <c r="AF370" i="12" s="1"/>
  <c r="Q370" i="12"/>
  <c r="M370" i="12"/>
  <c r="AL370" i="12"/>
  <c r="V370" i="12"/>
  <c r="P370" i="12"/>
  <c r="K370" i="12"/>
  <c r="S370" i="12"/>
  <c r="Z370" i="12"/>
  <c r="AA370" i="12" s="1"/>
  <c r="AG370" i="12" s="1"/>
  <c r="AH370" i="12"/>
  <c r="AK371" i="12"/>
  <c r="AC371" i="12"/>
  <c r="AE371" i="12" s="1"/>
  <c r="U371" i="12"/>
  <c r="AF371" i="12" s="1"/>
  <c r="Q371" i="12"/>
  <c r="M371" i="12"/>
  <c r="AJ371" i="12"/>
  <c r="Z371" i="12"/>
  <c r="T371" i="12"/>
  <c r="O371" i="12"/>
  <c r="S371" i="12"/>
  <c r="AA371" i="12"/>
  <c r="AG371" i="12" s="1"/>
  <c r="AH371" i="12"/>
  <c r="AK372" i="12"/>
  <c r="AC372" i="12"/>
  <c r="AE372" i="12" s="1"/>
  <c r="Y372" i="12"/>
  <c r="U372" i="12"/>
  <c r="AF372" i="12" s="1"/>
  <c r="Q372" i="12"/>
  <c r="M372" i="12"/>
  <c r="AI372" i="12"/>
  <c r="X372" i="12"/>
  <c r="S372" i="12"/>
  <c r="N372" i="12"/>
  <c r="T372" i="12"/>
  <c r="AH372" i="12"/>
  <c r="AK374" i="12"/>
  <c r="AC374" i="12"/>
  <c r="AE374" i="12" s="1"/>
  <c r="U374" i="12"/>
  <c r="AF374" i="12" s="1"/>
  <c r="Q374" i="12"/>
  <c r="M374" i="12"/>
  <c r="AL374" i="12"/>
  <c r="AA374" i="12"/>
  <c r="AG374" i="12" s="1"/>
  <c r="V374" i="12"/>
  <c r="P374" i="12"/>
  <c r="K374" i="12"/>
  <c r="S374" i="12"/>
  <c r="Z374" i="12"/>
  <c r="AH374" i="12"/>
  <c r="AK375" i="12"/>
  <c r="AC375" i="12"/>
  <c r="AE375" i="12" s="1"/>
  <c r="U375" i="12"/>
  <c r="AF375" i="12" s="1"/>
  <c r="Q375" i="12"/>
  <c r="M375" i="12"/>
  <c r="AJ375" i="12"/>
  <c r="Z375" i="12"/>
  <c r="T375" i="12"/>
  <c r="O375" i="12"/>
  <c r="S375" i="12"/>
  <c r="AA375" i="12"/>
  <c r="AG375" i="12" s="1"/>
  <c r="AH375" i="12"/>
  <c r="AK376" i="12"/>
  <c r="AC376" i="12"/>
  <c r="AE376" i="12" s="1"/>
  <c r="U376" i="12"/>
  <c r="AF376" i="12" s="1"/>
  <c r="Q376" i="12"/>
  <c r="M376" i="12"/>
  <c r="AI376" i="12"/>
  <c r="X376" i="12"/>
  <c r="Y376" i="12" s="1"/>
  <c r="S376" i="12"/>
  <c r="N376" i="12"/>
  <c r="T376" i="12"/>
  <c r="AH376" i="12"/>
  <c r="AK378" i="12"/>
  <c r="AC378" i="12"/>
  <c r="AE378" i="12" s="1"/>
  <c r="U378" i="12"/>
  <c r="AF378" i="12" s="1"/>
  <c r="Q378" i="12"/>
  <c r="M378" i="12"/>
  <c r="AL378" i="12"/>
  <c r="V378" i="12"/>
  <c r="P378" i="12"/>
  <c r="K378" i="12"/>
  <c r="S378" i="12"/>
  <c r="Z378" i="12"/>
  <c r="AA378" i="12" s="1"/>
  <c r="AG378" i="12" s="1"/>
  <c r="AH378" i="12"/>
  <c r="AK379" i="12"/>
  <c r="AC379" i="12"/>
  <c r="AE379" i="12" s="1"/>
  <c r="U379" i="12"/>
  <c r="AF379" i="12" s="1"/>
  <c r="Q379" i="12"/>
  <c r="M379" i="12"/>
  <c r="AJ379" i="12"/>
  <c r="Z379" i="12"/>
  <c r="T379" i="12"/>
  <c r="O379" i="12"/>
  <c r="S379" i="12"/>
  <c r="AA379" i="12"/>
  <c r="AG379" i="12" s="1"/>
  <c r="AH379" i="12"/>
  <c r="AK380" i="12"/>
  <c r="AC380" i="12"/>
  <c r="AE380" i="12" s="1"/>
  <c r="U380" i="12"/>
  <c r="AF380" i="12" s="1"/>
  <c r="Q380" i="12"/>
  <c r="M380" i="12"/>
  <c r="AI380" i="12"/>
  <c r="X380" i="12"/>
  <c r="Y380" i="12" s="1"/>
  <c r="S380" i="12"/>
  <c r="N380" i="12"/>
  <c r="T380" i="12"/>
  <c r="AH380" i="12"/>
  <c r="AK382" i="12"/>
  <c r="AC382" i="12"/>
  <c r="AE382" i="12" s="1"/>
  <c r="U382" i="12"/>
  <c r="AF382" i="12" s="1"/>
  <c r="Q382" i="12"/>
  <c r="M382" i="12"/>
  <c r="AL382" i="12"/>
  <c r="V382" i="12"/>
  <c r="P382" i="12"/>
  <c r="K382" i="12"/>
  <c r="S382" i="12"/>
  <c r="Z382" i="12"/>
  <c r="AA382" i="12" s="1"/>
  <c r="AG382" i="12" s="1"/>
  <c r="AH382" i="12"/>
  <c r="AK383" i="12"/>
  <c r="AC383" i="12"/>
  <c r="AE383" i="12" s="1"/>
  <c r="U383" i="12"/>
  <c r="AF383" i="12" s="1"/>
  <c r="Q383" i="12"/>
  <c r="M383" i="12"/>
  <c r="AJ383" i="12"/>
  <c r="Z383" i="12"/>
  <c r="T383" i="12"/>
  <c r="O383" i="12"/>
  <c r="S383" i="12"/>
  <c r="AA383" i="12"/>
  <c r="AG383" i="12" s="1"/>
  <c r="AH383" i="12"/>
  <c r="AK384" i="12"/>
  <c r="AC384" i="12"/>
  <c r="AE384" i="12" s="1"/>
  <c r="U384" i="12"/>
  <c r="AF384" i="12" s="1"/>
  <c r="Q384" i="12"/>
  <c r="M384" i="12"/>
  <c r="AI384" i="12"/>
  <c r="X384" i="12"/>
  <c r="Y384" i="12" s="1"/>
  <c r="S384" i="12"/>
  <c r="N384" i="12"/>
  <c r="T384" i="12"/>
  <c r="AH384" i="12"/>
  <c r="AK386" i="12"/>
  <c r="AC386" i="12"/>
  <c r="AE386" i="12" s="1"/>
  <c r="U386" i="12"/>
  <c r="AF386" i="12" s="1"/>
  <c r="Q386" i="12"/>
  <c r="M386" i="12"/>
  <c r="AL386" i="12"/>
  <c r="V386" i="12"/>
  <c r="P386" i="12"/>
  <c r="K386" i="12"/>
  <c r="S386" i="12"/>
  <c r="Z386" i="12"/>
  <c r="AA386" i="12" s="1"/>
  <c r="AG386" i="12" s="1"/>
  <c r="AH386" i="12"/>
  <c r="AK387" i="12"/>
  <c r="AC387" i="12"/>
  <c r="AE387" i="12" s="1"/>
  <c r="U387" i="12"/>
  <c r="AF387" i="12" s="1"/>
  <c r="Q387" i="12"/>
  <c r="M387" i="12"/>
  <c r="AJ387" i="12"/>
  <c r="Z387" i="12"/>
  <c r="T387" i="12"/>
  <c r="O387" i="12"/>
  <c r="S387" i="12"/>
  <c r="AA387" i="12"/>
  <c r="AG387" i="12" s="1"/>
  <c r="AH387" i="12"/>
  <c r="AK388" i="12"/>
  <c r="AC388" i="12"/>
  <c r="AE388" i="12" s="1"/>
  <c r="Y388" i="12"/>
  <c r="U388" i="12"/>
  <c r="AF388" i="12" s="1"/>
  <c r="Q388" i="12"/>
  <c r="M388" i="12"/>
  <c r="AI388" i="12"/>
  <c r="X388" i="12"/>
  <c r="S388" i="12"/>
  <c r="N388" i="12"/>
  <c r="T388" i="12"/>
  <c r="AH388" i="12"/>
  <c r="AK390" i="12"/>
  <c r="AC390" i="12"/>
  <c r="AE390" i="12" s="1"/>
  <c r="U390" i="12"/>
  <c r="AF390" i="12" s="1"/>
  <c r="Q390" i="12"/>
  <c r="M390" i="12"/>
  <c r="AL390" i="12"/>
  <c r="AA390" i="12"/>
  <c r="AG390" i="12" s="1"/>
  <c r="V390" i="12"/>
  <c r="P390" i="12"/>
  <c r="K390" i="12"/>
  <c r="S390" i="12"/>
  <c r="Z390" i="12"/>
  <c r="AH390" i="12"/>
  <c r="AK391" i="12"/>
  <c r="AC391" i="12"/>
  <c r="AE391" i="12" s="1"/>
  <c r="U391" i="12"/>
  <c r="AF391" i="12" s="1"/>
  <c r="Q391" i="12"/>
  <c r="M391" i="12"/>
  <c r="AJ391" i="12"/>
  <c r="Z391" i="12"/>
  <c r="T391" i="12"/>
  <c r="O391" i="12"/>
  <c r="S391" i="12"/>
  <c r="AA391" i="12"/>
  <c r="AG391" i="12" s="1"/>
  <c r="AH391" i="12"/>
  <c r="AK392" i="12"/>
  <c r="AC392" i="12"/>
  <c r="AE392" i="12" s="1"/>
  <c r="U392" i="12"/>
  <c r="AF392" i="12" s="1"/>
  <c r="Q392" i="12"/>
  <c r="M392" i="12"/>
  <c r="AI392" i="12"/>
  <c r="X392" i="12"/>
  <c r="Y392" i="12" s="1"/>
  <c r="S392" i="12"/>
  <c r="N392" i="12"/>
  <c r="T392" i="12"/>
  <c r="AH392" i="12"/>
  <c r="AK394" i="12"/>
  <c r="AC394" i="12"/>
  <c r="AE394" i="12" s="1"/>
  <c r="U394" i="12"/>
  <c r="AF394" i="12" s="1"/>
  <c r="Q394" i="12"/>
  <c r="M394" i="12"/>
  <c r="AL394" i="12"/>
  <c r="V394" i="12"/>
  <c r="P394" i="12"/>
  <c r="K394" i="12"/>
  <c r="S394" i="12"/>
  <c r="Z394" i="12"/>
  <c r="AA394" i="12" s="1"/>
  <c r="AG394" i="12" s="1"/>
  <c r="AH394" i="12"/>
  <c r="AK395" i="12"/>
  <c r="AC395" i="12"/>
  <c r="AE395" i="12" s="1"/>
  <c r="U395" i="12"/>
  <c r="AF395" i="12" s="1"/>
  <c r="Q395" i="12"/>
  <c r="M395" i="12"/>
  <c r="AJ395" i="12"/>
  <c r="Z395" i="12"/>
  <c r="T395" i="12"/>
  <c r="O395" i="12"/>
  <c r="S395" i="12"/>
  <c r="AA395" i="12"/>
  <c r="AG395" i="12" s="1"/>
  <c r="AH395" i="12"/>
  <c r="AK396" i="12"/>
  <c r="AC396" i="12"/>
  <c r="AE396" i="12" s="1"/>
  <c r="U396" i="12"/>
  <c r="AF396" i="12" s="1"/>
  <c r="Q396" i="12"/>
  <c r="M396" i="12"/>
  <c r="AI396" i="12"/>
  <c r="X396" i="12"/>
  <c r="Y396" i="12" s="1"/>
  <c r="S396" i="12"/>
  <c r="N396" i="12"/>
  <c r="T396" i="12"/>
  <c r="AH396" i="12"/>
  <c r="AK398" i="12"/>
  <c r="AC398" i="12"/>
  <c r="AE398" i="12" s="1"/>
  <c r="U398" i="12"/>
  <c r="AF398" i="12" s="1"/>
  <c r="Q398" i="12"/>
  <c r="M398" i="12"/>
  <c r="AL398" i="12"/>
  <c r="V398" i="12"/>
  <c r="P398" i="12"/>
  <c r="K398" i="12"/>
  <c r="S398" i="12"/>
  <c r="Z398" i="12"/>
  <c r="AA398" i="12" s="1"/>
  <c r="AG398" i="12" s="1"/>
  <c r="AH398" i="12"/>
  <c r="AK399" i="12"/>
  <c r="AC399" i="12"/>
  <c r="AE399" i="12" s="1"/>
  <c r="U399" i="12"/>
  <c r="AF399" i="12" s="1"/>
  <c r="Q399" i="12"/>
  <c r="M399" i="12"/>
  <c r="AJ399" i="12"/>
  <c r="Z399" i="12"/>
  <c r="T399" i="12"/>
  <c r="O399" i="12"/>
  <c r="S399" i="12"/>
  <c r="AA399" i="12"/>
  <c r="AG399" i="12" s="1"/>
  <c r="AH399" i="12"/>
  <c r="AK400" i="12"/>
  <c r="AC400" i="12"/>
  <c r="AE400" i="12" s="1"/>
  <c r="U400" i="12"/>
  <c r="AF400" i="12" s="1"/>
  <c r="Q400" i="12"/>
  <c r="M400" i="12"/>
  <c r="AI400" i="12"/>
  <c r="X400" i="12"/>
  <c r="Y400" i="12" s="1"/>
  <c r="S400" i="12"/>
  <c r="N400" i="12"/>
  <c r="T400" i="12"/>
  <c r="AH400" i="12"/>
  <c r="AK402" i="12"/>
  <c r="AC402" i="12"/>
  <c r="AE402" i="12" s="1"/>
  <c r="U402" i="12"/>
  <c r="AF402" i="12" s="1"/>
  <c r="Q402" i="12"/>
  <c r="M402" i="12"/>
  <c r="AL402" i="12"/>
  <c r="V402" i="12"/>
  <c r="P402" i="12"/>
  <c r="K402" i="12"/>
  <c r="S402" i="12"/>
  <c r="Z402" i="12"/>
  <c r="AA402" i="12" s="1"/>
  <c r="AG402" i="12" s="1"/>
  <c r="AH402" i="12"/>
  <c r="AK403" i="12"/>
  <c r="AC403" i="12"/>
  <c r="AE403" i="12" s="1"/>
  <c r="U403" i="12"/>
  <c r="AF403" i="12" s="1"/>
  <c r="Q403" i="12"/>
  <c r="M403" i="12"/>
  <c r="AJ403" i="12"/>
  <c r="Z403" i="12"/>
  <c r="T403" i="12"/>
  <c r="O403" i="12"/>
  <c r="S403" i="12"/>
  <c r="AA403" i="12"/>
  <c r="AG403" i="12" s="1"/>
  <c r="AH403" i="12"/>
  <c r="AK404" i="12"/>
  <c r="AC404" i="12"/>
  <c r="AE404" i="12" s="1"/>
  <c r="Y404" i="12"/>
  <c r="U404" i="12"/>
  <c r="AF404" i="12" s="1"/>
  <c r="Q404" i="12"/>
  <c r="M404" i="12"/>
  <c r="AI404" i="12"/>
  <c r="X404" i="12"/>
  <c r="S404" i="12"/>
  <c r="N404" i="12"/>
  <c r="T404" i="12"/>
  <c r="AH404" i="12"/>
  <c r="AK406" i="12"/>
  <c r="AC406" i="12"/>
  <c r="AE406" i="12" s="1"/>
  <c r="U406" i="12"/>
  <c r="AF406" i="12" s="1"/>
  <c r="Q406" i="12"/>
  <c r="M406" i="12"/>
  <c r="AL406" i="12"/>
  <c r="AA406" i="12"/>
  <c r="AG406" i="12" s="1"/>
  <c r="V406" i="12"/>
  <c r="P406" i="12"/>
  <c r="K406" i="12"/>
  <c r="S406" i="12"/>
  <c r="Z406" i="12"/>
  <c r="AH406" i="12"/>
  <c r="AK407" i="12"/>
  <c r="AC407" i="12"/>
  <c r="AE407" i="12" s="1"/>
  <c r="U407" i="12"/>
  <c r="AF407" i="12" s="1"/>
  <c r="Q407" i="12"/>
  <c r="M407" i="12"/>
  <c r="AJ407" i="12"/>
  <c r="Z407" i="12"/>
  <c r="T407" i="12"/>
  <c r="O407" i="12"/>
  <c r="S407" i="12"/>
  <c r="AA407" i="12"/>
  <c r="AG407" i="12" s="1"/>
  <c r="AH407" i="12"/>
  <c r="AK408" i="12"/>
  <c r="AC408" i="12"/>
  <c r="AE408" i="12" s="1"/>
  <c r="U408" i="12"/>
  <c r="AF408" i="12" s="1"/>
  <c r="Q408" i="12"/>
  <c r="M408" i="12"/>
  <c r="AI408" i="12"/>
  <c r="X408" i="12"/>
  <c r="Y408" i="12" s="1"/>
  <c r="S408" i="12"/>
  <c r="N408" i="12"/>
  <c r="T408" i="12"/>
  <c r="AH408" i="12"/>
  <c r="AK410" i="12"/>
  <c r="AC410" i="12"/>
  <c r="AE410" i="12" s="1"/>
  <c r="U410" i="12"/>
  <c r="AF410" i="12" s="1"/>
  <c r="Q410" i="12"/>
  <c r="M410" i="12"/>
  <c r="AL410" i="12"/>
  <c r="V410" i="12"/>
  <c r="P410" i="12"/>
  <c r="K410" i="12"/>
  <c r="S410" i="12"/>
  <c r="Z410" i="12"/>
  <c r="AA410" i="12" s="1"/>
  <c r="AG410" i="12" s="1"/>
  <c r="AH410" i="12"/>
  <c r="AK411" i="12"/>
  <c r="AC411" i="12"/>
  <c r="AE411" i="12" s="1"/>
  <c r="U411" i="12"/>
  <c r="AF411" i="12" s="1"/>
  <c r="Q411" i="12"/>
  <c r="M411" i="12"/>
  <c r="AJ411" i="12"/>
  <c r="Z411" i="12"/>
  <c r="T411" i="12"/>
  <c r="O411" i="12"/>
  <c r="S411" i="12"/>
  <c r="AA411" i="12"/>
  <c r="AG411" i="12" s="1"/>
  <c r="AH411" i="12"/>
  <c r="AK412" i="12"/>
  <c r="AC412" i="12"/>
  <c r="AE412" i="12" s="1"/>
  <c r="U412" i="12"/>
  <c r="AF412" i="12" s="1"/>
  <c r="Q412" i="12"/>
  <c r="M412" i="12"/>
  <c r="AI412" i="12"/>
  <c r="X412" i="12"/>
  <c r="Y412" i="12" s="1"/>
  <c r="S412" i="12"/>
  <c r="N412" i="12"/>
  <c r="T412" i="12"/>
  <c r="AH412" i="12"/>
  <c r="AK414" i="12"/>
  <c r="AC414" i="12"/>
  <c r="AE414" i="12" s="1"/>
  <c r="U414" i="12"/>
  <c r="AF414" i="12" s="1"/>
  <c r="Q414" i="12"/>
  <c r="M414" i="12"/>
  <c r="AL414" i="12"/>
  <c r="V414" i="12"/>
  <c r="P414" i="12"/>
  <c r="K414" i="12"/>
  <c r="S414" i="12"/>
  <c r="Z414" i="12"/>
  <c r="AA414" i="12" s="1"/>
  <c r="AG414" i="12" s="1"/>
  <c r="AH414" i="12"/>
  <c r="AK415" i="12"/>
  <c r="AC415" i="12"/>
  <c r="AE415" i="12" s="1"/>
  <c r="U415" i="12"/>
  <c r="AF415" i="12" s="1"/>
  <c r="Q415" i="12"/>
  <c r="M415" i="12"/>
  <c r="AJ415" i="12"/>
  <c r="Z415" i="12"/>
  <c r="T415" i="12"/>
  <c r="O415" i="12"/>
  <c r="S415" i="12"/>
  <c r="AA415" i="12"/>
  <c r="AG415" i="12" s="1"/>
  <c r="AH415" i="12"/>
  <c r="AK416" i="12"/>
  <c r="AC416" i="12"/>
  <c r="AE416" i="12" s="1"/>
  <c r="U416" i="12"/>
  <c r="AF416" i="12" s="1"/>
  <c r="Q416" i="12"/>
  <c r="M416" i="12"/>
  <c r="AI416" i="12"/>
  <c r="X416" i="12"/>
  <c r="Y416" i="12" s="1"/>
  <c r="S416" i="12"/>
  <c r="N416" i="12"/>
  <c r="T416" i="12"/>
  <c r="AH416" i="12"/>
  <c r="AK418" i="12"/>
  <c r="AC418" i="12"/>
  <c r="AE418" i="12" s="1"/>
  <c r="U418" i="12"/>
  <c r="AF418" i="12" s="1"/>
  <c r="Q418" i="12"/>
  <c r="M418" i="12"/>
  <c r="AL418" i="12"/>
  <c r="V418" i="12"/>
  <c r="P418" i="12"/>
  <c r="K418" i="12"/>
  <c r="S418" i="12"/>
  <c r="Z418" i="12"/>
  <c r="AA418" i="12" s="1"/>
  <c r="AG418" i="12" s="1"/>
  <c r="AH418" i="12"/>
  <c r="AK419" i="12"/>
  <c r="AC419" i="12"/>
  <c r="AE419" i="12" s="1"/>
  <c r="U419" i="12"/>
  <c r="AF419" i="12" s="1"/>
  <c r="Q419" i="12"/>
  <c r="M419" i="12"/>
  <c r="AJ419" i="12"/>
  <c r="Z419" i="12"/>
  <c r="T419" i="12"/>
  <c r="O419" i="12"/>
  <c r="S419" i="12"/>
  <c r="AA419" i="12"/>
  <c r="AG419" i="12" s="1"/>
  <c r="AH419" i="12"/>
  <c r="AK420" i="12"/>
  <c r="AC420" i="12"/>
  <c r="AE420" i="12" s="1"/>
  <c r="Y420" i="12"/>
  <c r="U420" i="12"/>
  <c r="AF420" i="12" s="1"/>
  <c r="Q420" i="12"/>
  <c r="M420" i="12"/>
  <c r="AI420" i="12"/>
  <c r="X420" i="12"/>
  <c r="S420" i="12"/>
  <c r="N420" i="12"/>
  <c r="T420" i="12"/>
  <c r="AH420" i="12"/>
  <c r="AK422" i="12"/>
  <c r="AC422" i="12"/>
  <c r="AE422" i="12" s="1"/>
  <c r="U422" i="12"/>
  <c r="AF422" i="12" s="1"/>
  <c r="Q422" i="12"/>
  <c r="M422" i="12"/>
  <c r="AL422" i="12"/>
  <c r="AA422" i="12"/>
  <c r="AG422" i="12" s="1"/>
  <c r="V422" i="12"/>
  <c r="P422" i="12"/>
  <c r="K422" i="12"/>
  <c r="S422" i="12"/>
  <c r="Z422" i="12"/>
  <c r="AH422" i="12"/>
  <c r="AK423" i="12"/>
  <c r="AC423" i="12"/>
  <c r="AE423" i="12" s="1"/>
  <c r="U423" i="12"/>
  <c r="AF423" i="12" s="1"/>
  <c r="Q423" i="12"/>
  <c r="M423" i="12"/>
  <c r="AJ423" i="12"/>
  <c r="Z423" i="12"/>
  <c r="T423" i="12"/>
  <c r="O423" i="12"/>
  <c r="S423" i="12"/>
  <c r="AA423" i="12"/>
  <c r="AG423" i="12" s="1"/>
  <c r="AH423" i="12"/>
  <c r="AK424" i="12"/>
  <c r="AC424" i="12"/>
  <c r="AE424" i="12" s="1"/>
  <c r="U424" i="12"/>
  <c r="AF424" i="12" s="1"/>
  <c r="Q424" i="12"/>
  <c r="M424" i="12"/>
  <c r="AI424" i="12"/>
  <c r="X424" i="12"/>
  <c r="Y424" i="12" s="1"/>
  <c r="S424" i="12"/>
  <c r="N424" i="12"/>
  <c r="T424" i="12"/>
  <c r="AH424" i="12"/>
  <c r="AK426" i="12"/>
  <c r="AC426" i="12"/>
  <c r="AE426" i="12" s="1"/>
  <c r="U426" i="12"/>
  <c r="AF426" i="12" s="1"/>
  <c r="Q426" i="12"/>
  <c r="M426" i="12"/>
  <c r="AL426" i="12"/>
  <c r="V426" i="12"/>
  <c r="P426" i="12"/>
  <c r="K426" i="12"/>
  <c r="S426" i="12"/>
  <c r="Z426" i="12"/>
  <c r="AA426" i="12" s="1"/>
  <c r="AG426" i="12" s="1"/>
  <c r="AH426" i="12"/>
  <c r="AK427" i="12"/>
  <c r="AC427" i="12"/>
  <c r="AE427" i="12" s="1"/>
  <c r="U427" i="12"/>
  <c r="AF427" i="12" s="1"/>
  <c r="Q427" i="12"/>
  <c r="M427" i="12"/>
  <c r="AJ427" i="12"/>
  <c r="Z427" i="12"/>
  <c r="T427" i="12"/>
  <c r="O427" i="12"/>
  <c r="S427" i="12"/>
  <c r="AA427" i="12"/>
  <c r="AG427" i="12" s="1"/>
  <c r="AH427" i="12"/>
  <c r="AK428" i="12"/>
  <c r="AC428" i="12"/>
  <c r="AE428" i="12" s="1"/>
  <c r="U428" i="12"/>
  <c r="AF428" i="12" s="1"/>
  <c r="Q428" i="12"/>
  <c r="M428" i="12"/>
  <c r="AI428" i="12"/>
  <c r="X428" i="12"/>
  <c r="Y428" i="12" s="1"/>
  <c r="S428" i="12"/>
  <c r="N428" i="12"/>
  <c r="T428" i="12"/>
  <c r="AH428" i="12"/>
  <c r="AK430" i="12"/>
  <c r="AC430" i="12"/>
  <c r="AE430" i="12" s="1"/>
  <c r="U430" i="12"/>
  <c r="AF430" i="12" s="1"/>
  <c r="Q430" i="12"/>
  <c r="M430" i="12"/>
  <c r="AL430" i="12"/>
  <c r="V430" i="12"/>
  <c r="P430" i="12"/>
  <c r="K430" i="12"/>
  <c r="S430" i="12"/>
  <c r="Z430" i="12"/>
  <c r="AA430" i="12" s="1"/>
  <c r="AG430" i="12" s="1"/>
  <c r="AH430" i="12"/>
  <c r="AK431" i="12"/>
  <c r="AC431" i="12"/>
  <c r="AE431" i="12" s="1"/>
  <c r="U431" i="12"/>
  <c r="AF431" i="12" s="1"/>
  <c r="Q431" i="12"/>
  <c r="M431" i="12"/>
  <c r="AJ431" i="12"/>
  <c r="Z431" i="12"/>
  <c r="T431" i="12"/>
  <c r="O431" i="12"/>
  <c r="S431" i="12"/>
  <c r="AA431" i="12"/>
  <c r="AG431" i="12" s="1"/>
  <c r="AH431" i="12"/>
  <c r="AK432" i="12"/>
  <c r="AC432" i="12"/>
  <c r="AE432" i="12" s="1"/>
  <c r="U432" i="12"/>
  <c r="AF432" i="12" s="1"/>
  <c r="Q432" i="12"/>
  <c r="M432" i="12"/>
  <c r="AI432" i="12"/>
  <c r="X432" i="12"/>
  <c r="Y432" i="12" s="1"/>
  <c r="S432" i="12"/>
  <c r="N432" i="12"/>
  <c r="T432" i="12"/>
  <c r="AH432" i="12"/>
  <c r="AK434" i="12"/>
  <c r="AC434" i="12"/>
  <c r="AE434" i="12" s="1"/>
  <c r="U434" i="12"/>
  <c r="AF434" i="12" s="1"/>
  <c r="Q434" i="12"/>
  <c r="M434" i="12"/>
  <c r="AL434" i="12"/>
  <c r="V434" i="12"/>
  <c r="P434" i="12"/>
  <c r="K434" i="12"/>
  <c r="S434" i="12"/>
  <c r="Z434" i="12"/>
  <c r="AA434" i="12" s="1"/>
  <c r="AG434" i="12" s="1"/>
  <c r="AH434" i="12"/>
  <c r="AK435" i="12"/>
  <c r="AC435" i="12"/>
  <c r="AE435" i="12" s="1"/>
  <c r="U435" i="12"/>
  <c r="AF435" i="12" s="1"/>
  <c r="Q435" i="12"/>
  <c r="M435" i="12"/>
  <c r="AJ435" i="12"/>
  <c r="Z435" i="12"/>
  <c r="T435" i="12"/>
  <c r="O435" i="12"/>
  <c r="S435" i="12"/>
  <c r="AA435" i="12"/>
  <c r="AG435" i="12" s="1"/>
  <c r="AH435" i="12"/>
  <c r="AK436" i="12"/>
  <c r="AC436" i="12"/>
  <c r="AE436" i="12" s="1"/>
  <c r="Y436" i="12"/>
  <c r="U436" i="12"/>
  <c r="AF436" i="12" s="1"/>
  <c r="Q436" i="12"/>
  <c r="M436" i="12"/>
  <c r="AI436" i="12"/>
  <c r="X436" i="12"/>
  <c r="S436" i="12"/>
  <c r="N436" i="12"/>
  <c r="T436" i="12"/>
  <c r="AH436" i="12"/>
  <c r="AK438" i="12"/>
  <c r="AC438" i="12"/>
  <c r="AE438" i="12" s="1"/>
  <c r="U438" i="12"/>
  <c r="AF438" i="12" s="1"/>
  <c r="Q438" i="12"/>
  <c r="M438" i="12"/>
  <c r="AL438" i="12"/>
  <c r="AA438" i="12"/>
  <c r="AG438" i="12" s="1"/>
  <c r="V438" i="12"/>
  <c r="P438" i="12"/>
  <c r="K438" i="12"/>
  <c r="S438" i="12"/>
  <c r="Z438" i="12"/>
  <c r="AH438" i="12"/>
  <c r="AK439" i="12"/>
  <c r="AC439" i="12"/>
  <c r="AE439" i="12" s="1"/>
  <c r="U439" i="12"/>
  <c r="AF439" i="12" s="1"/>
  <c r="Q439" i="12"/>
  <c r="M439" i="12"/>
  <c r="AJ439" i="12"/>
  <c r="Z439" i="12"/>
  <c r="T439" i="12"/>
  <c r="O439" i="12"/>
  <c r="S439" i="12"/>
  <c r="AA439" i="12"/>
  <c r="AG439" i="12" s="1"/>
  <c r="AH439" i="12"/>
  <c r="AK440" i="12"/>
  <c r="AC440" i="12"/>
  <c r="AE440" i="12" s="1"/>
  <c r="U440" i="12"/>
  <c r="AF440" i="12" s="1"/>
  <c r="Q440" i="12"/>
  <c r="M440" i="12"/>
  <c r="AI440" i="12"/>
  <c r="X440" i="12"/>
  <c r="Y440" i="12" s="1"/>
  <c r="S440" i="12"/>
  <c r="N440" i="12"/>
  <c r="T440" i="12"/>
  <c r="AH440" i="12"/>
  <c r="AK442" i="12"/>
  <c r="AC442" i="12"/>
  <c r="AE442" i="12" s="1"/>
  <c r="U442" i="12"/>
  <c r="AF442" i="12" s="1"/>
  <c r="Q442" i="12"/>
  <c r="M442" i="12"/>
  <c r="AL442" i="12"/>
  <c r="V442" i="12"/>
  <c r="P442" i="12"/>
  <c r="K442" i="12"/>
  <c r="S442" i="12"/>
  <c r="Z442" i="12"/>
  <c r="AA442" i="12" s="1"/>
  <c r="AG442" i="12" s="1"/>
  <c r="AH442" i="12"/>
  <c r="AK443" i="12"/>
  <c r="AC443" i="12"/>
  <c r="AE443" i="12" s="1"/>
  <c r="U443" i="12"/>
  <c r="AF443" i="12" s="1"/>
  <c r="Q443" i="12"/>
  <c r="M443" i="12"/>
  <c r="AJ443" i="12"/>
  <c r="Z443" i="12"/>
  <c r="T443" i="12"/>
  <c r="O443" i="12"/>
  <c r="S443" i="12"/>
  <c r="AA443" i="12"/>
  <c r="AG443" i="12" s="1"/>
  <c r="AH443" i="12"/>
  <c r="AK444" i="12"/>
  <c r="AC444" i="12"/>
  <c r="AE444" i="12" s="1"/>
  <c r="U444" i="12"/>
  <c r="AF444" i="12" s="1"/>
  <c r="Q444" i="12"/>
  <c r="M444" i="12"/>
  <c r="AI444" i="12"/>
  <c r="X444" i="12"/>
  <c r="Y444" i="12" s="1"/>
  <c r="S444" i="12"/>
  <c r="N444" i="12"/>
  <c r="T444" i="12"/>
  <c r="AH444" i="12"/>
  <c r="AK446" i="12"/>
  <c r="AC446" i="12"/>
  <c r="AE446" i="12" s="1"/>
  <c r="U446" i="12"/>
  <c r="AF446" i="12" s="1"/>
  <c r="Q446" i="12"/>
  <c r="M446" i="12"/>
  <c r="AL446" i="12"/>
  <c r="V446" i="12"/>
  <c r="P446" i="12"/>
  <c r="K446" i="12"/>
  <c r="S446" i="12"/>
  <c r="Z446" i="12"/>
  <c r="AA446" i="12" s="1"/>
  <c r="AG446" i="12" s="1"/>
  <c r="AH446" i="12"/>
  <c r="AK447" i="12"/>
  <c r="AC447" i="12"/>
  <c r="AE447" i="12" s="1"/>
  <c r="U447" i="12"/>
  <c r="AF447" i="12" s="1"/>
  <c r="Q447" i="12"/>
  <c r="M447" i="12"/>
  <c r="AJ447" i="12"/>
  <c r="Z447" i="12"/>
  <c r="T447" i="12"/>
  <c r="O447" i="12"/>
  <c r="S447" i="12"/>
  <c r="AA447" i="12"/>
  <c r="AG447" i="12" s="1"/>
  <c r="AH447" i="12"/>
  <c r="AK448" i="12"/>
  <c r="AC448" i="12"/>
  <c r="AE448" i="12" s="1"/>
  <c r="U448" i="12"/>
  <c r="AF448" i="12" s="1"/>
  <c r="Q448" i="12"/>
  <c r="M448" i="12"/>
  <c r="AI448" i="12"/>
  <c r="X448" i="12"/>
  <c r="Y448" i="12" s="1"/>
  <c r="S448" i="12"/>
  <c r="N448" i="12"/>
  <c r="T448" i="12"/>
  <c r="AH448" i="12"/>
  <c r="AK450" i="12"/>
  <c r="AC450" i="12"/>
  <c r="AE450" i="12" s="1"/>
  <c r="U450" i="12"/>
  <c r="AF450" i="12" s="1"/>
  <c r="Q450" i="12"/>
  <c r="M450" i="12"/>
  <c r="AL450" i="12"/>
  <c r="V450" i="12"/>
  <c r="P450" i="12"/>
  <c r="K450" i="12"/>
  <c r="S450" i="12"/>
  <c r="Z450" i="12"/>
  <c r="AA450" i="12" s="1"/>
  <c r="AG450" i="12" s="1"/>
  <c r="AH450" i="12"/>
  <c r="AK451" i="12"/>
  <c r="AC451" i="12"/>
  <c r="AE451" i="12" s="1"/>
  <c r="U451" i="12"/>
  <c r="AF451" i="12" s="1"/>
  <c r="Q451" i="12"/>
  <c r="M451" i="12"/>
  <c r="AJ451" i="12"/>
  <c r="Z451" i="12"/>
  <c r="T451" i="12"/>
  <c r="O451" i="12"/>
  <c r="S451" i="12"/>
  <c r="AA451" i="12"/>
  <c r="AG451" i="12" s="1"/>
  <c r="AH451" i="12"/>
  <c r="AK452" i="12"/>
  <c r="AC452" i="12"/>
  <c r="AE452" i="12" s="1"/>
  <c r="Y452" i="12"/>
  <c r="U452" i="12"/>
  <c r="AF452" i="12" s="1"/>
  <c r="Q452" i="12"/>
  <c r="M452" i="12"/>
  <c r="AI452" i="12"/>
  <c r="X452" i="12"/>
  <c r="S452" i="12"/>
  <c r="N452" i="12"/>
  <c r="T452" i="12"/>
  <c r="AH452" i="12"/>
  <c r="AK454" i="12"/>
  <c r="AC454" i="12"/>
  <c r="AE454" i="12" s="1"/>
  <c r="U454" i="12"/>
  <c r="AF454" i="12" s="1"/>
  <c r="Q454" i="12"/>
  <c r="M454" i="12"/>
  <c r="AL454" i="12"/>
  <c r="AA454" i="12"/>
  <c r="AG454" i="12" s="1"/>
  <c r="V454" i="12"/>
  <c r="P454" i="12"/>
  <c r="K454" i="12"/>
  <c r="S454" i="12"/>
  <c r="Z454" i="12"/>
  <c r="AH454" i="12"/>
  <c r="AK455" i="12"/>
  <c r="AC455" i="12"/>
  <c r="AE455" i="12" s="1"/>
  <c r="U455" i="12"/>
  <c r="AF455" i="12" s="1"/>
  <c r="Q455" i="12"/>
  <c r="M455" i="12"/>
  <c r="AJ455" i="12"/>
  <c r="Z455" i="12"/>
  <c r="T455" i="12"/>
  <c r="O455" i="12"/>
  <c r="S455" i="12"/>
  <c r="AA455" i="12"/>
  <c r="AG455" i="12" s="1"/>
  <c r="AH455" i="12"/>
  <c r="AK456" i="12"/>
  <c r="AC456" i="12"/>
  <c r="AE456" i="12" s="1"/>
  <c r="U456" i="12"/>
  <c r="AF456" i="12" s="1"/>
  <c r="Q456" i="12"/>
  <c r="M456" i="12"/>
  <c r="AI456" i="12"/>
  <c r="X456" i="12"/>
  <c r="Y456" i="12" s="1"/>
  <c r="S456" i="12"/>
  <c r="N456" i="12"/>
  <c r="T456" i="12"/>
  <c r="AH456" i="12"/>
  <c r="AK458" i="12"/>
  <c r="AC458" i="12"/>
  <c r="AE458" i="12" s="1"/>
  <c r="U458" i="12"/>
  <c r="AF458" i="12" s="1"/>
  <c r="Q458" i="12"/>
  <c r="M458" i="12"/>
  <c r="AL458" i="12"/>
  <c r="V458" i="12"/>
  <c r="P458" i="12"/>
  <c r="K458" i="12"/>
  <c r="S458" i="12"/>
  <c r="Z458" i="12"/>
  <c r="AA458" i="12" s="1"/>
  <c r="AG458" i="12" s="1"/>
  <c r="AH458" i="12"/>
  <c r="AK459" i="12"/>
  <c r="AC459" i="12"/>
  <c r="AE459" i="12" s="1"/>
  <c r="U459" i="12"/>
  <c r="AF459" i="12" s="1"/>
  <c r="Q459" i="12"/>
  <c r="M459" i="12"/>
  <c r="AJ459" i="12"/>
  <c r="Z459" i="12"/>
  <c r="T459" i="12"/>
  <c r="O459" i="12"/>
  <c r="S459" i="12"/>
  <c r="AA459" i="12"/>
  <c r="AG459" i="12" s="1"/>
  <c r="AH459" i="12"/>
  <c r="AK460" i="12"/>
  <c r="AC460" i="12"/>
  <c r="AE460" i="12" s="1"/>
  <c r="U460" i="12"/>
  <c r="AF460" i="12" s="1"/>
  <c r="Q460" i="12"/>
  <c r="M460" i="12"/>
  <c r="AI460" i="12"/>
  <c r="X460" i="12"/>
  <c r="Y460" i="12" s="1"/>
  <c r="S460" i="12"/>
  <c r="N460" i="12"/>
  <c r="T460" i="12"/>
  <c r="AH460" i="12"/>
  <c r="AK462" i="12"/>
  <c r="AC462" i="12"/>
  <c r="AE462" i="12" s="1"/>
  <c r="U462" i="12"/>
  <c r="AF462" i="12" s="1"/>
  <c r="Q462" i="12"/>
  <c r="M462" i="12"/>
  <c r="AL462" i="12"/>
  <c r="V462" i="12"/>
  <c r="P462" i="12"/>
  <c r="K462" i="12"/>
  <c r="S462" i="12"/>
  <c r="Z462" i="12"/>
  <c r="AA462" i="12" s="1"/>
  <c r="AG462" i="12" s="1"/>
  <c r="AH462" i="12"/>
  <c r="AK463" i="12"/>
  <c r="AC463" i="12"/>
  <c r="AE463" i="12" s="1"/>
  <c r="U463" i="12"/>
  <c r="AF463" i="12" s="1"/>
  <c r="Q463" i="12"/>
  <c r="M463" i="12"/>
  <c r="AJ463" i="12"/>
  <c r="Z463" i="12"/>
  <c r="T463" i="12"/>
  <c r="O463" i="12"/>
  <c r="S463" i="12"/>
  <c r="AA463" i="12"/>
  <c r="AG463" i="12" s="1"/>
  <c r="AH463" i="12"/>
  <c r="AK464" i="12"/>
  <c r="AC464" i="12"/>
  <c r="AE464" i="12" s="1"/>
  <c r="U464" i="12"/>
  <c r="AF464" i="12" s="1"/>
  <c r="Q464" i="12"/>
  <c r="M464" i="12"/>
  <c r="AI464" i="12"/>
  <c r="X464" i="12"/>
  <c r="Y464" i="12" s="1"/>
  <c r="S464" i="12"/>
  <c r="N464" i="12"/>
  <c r="T464" i="12"/>
  <c r="AH464" i="12"/>
  <c r="AK466" i="12"/>
  <c r="AC466" i="12"/>
  <c r="AE466" i="12" s="1"/>
  <c r="U466" i="12"/>
  <c r="AF466" i="12" s="1"/>
  <c r="Q466" i="12"/>
  <c r="M466" i="12"/>
  <c r="AL466" i="12"/>
  <c r="V466" i="12"/>
  <c r="P466" i="12"/>
  <c r="K466" i="12"/>
  <c r="S466" i="12"/>
  <c r="Z466" i="12"/>
  <c r="AA466" i="12" s="1"/>
  <c r="AG466" i="12" s="1"/>
  <c r="AH466" i="12"/>
  <c r="AK467" i="12"/>
  <c r="AC467" i="12"/>
  <c r="AE467" i="12" s="1"/>
  <c r="U467" i="12"/>
  <c r="AF467" i="12" s="1"/>
  <c r="Q467" i="12"/>
  <c r="M467" i="12"/>
  <c r="AJ467" i="12"/>
  <c r="Z467" i="12"/>
  <c r="T467" i="12"/>
  <c r="O467" i="12"/>
  <c r="S467" i="12"/>
  <c r="AA467" i="12"/>
  <c r="AG467" i="12" s="1"/>
  <c r="AH467" i="12"/>
  <c r="AK468" i="12"/>
  <c r="AC468" i="12"/>
  <c r="AE468" i="12" s="1"/>
  <c r="Y468" i="12"/>
  <c r="U468" i="12"/>
  <c r="AF468" i="12" s="1"/>
  <c r="Q468" i="12"/>
  <c r="M468" i="12"/>
  <c r="AI468" i="12"/>
  <c r="X468" i="12"/>
  <c r="S468" i="12"/>
  <c r="N468" i="12"/>
  <c r="T468" i="12"/>
  <c r="AH468" i="12"/>
  <c r="AK470" i="12"/>
  <c r="AC470" i="12"/>
  <c r="AE470" i="12" s="1"/>
  <c r="U470" i="12"/>
  <c r="AF470" i="12" s="1"/>
  <c r="Q470" i="12"/>
  <c r="M470" i="12"/>
  <c r="AL470" i="12"/>
  <c r="AA470" i="12"/>
  <c r="AG470" i="12" s="1"/>
  <c r="V470" i="12"/>
  <c r="P470" i="12"/>
  <c r="K470" i="12"/>
  <c r="S470" i="12"/>
  <c r="Z470" i="12"/>
  <c r="AH470" i="12"/>
  <c r="AK471" i="12"/>
  <c r="AC471" i="12"/>
  <c r="AE471" i="12" s="1"/>
  <c r="U471" i="12"/>
  <c r="AF471" i="12" s="1"/>
  <c r="Q471" i="12"/>
  <c r="M471" i="12"/>
  <c r="AJ471" i="12"/>
  <c r="Z471" i="12"/>
  <c r="T471" i="12"/>
  <c r="O471" i="12"/>
  <c r="S471" i="12"/>
  <c r="AA471" i="12"/>
  <c r="AG471" i="12" s="1"/>
  <c r="AH471" i="12"/>
  <c r="AK472" i="12"/>
  <c r="AC472" i="12"/>
  <c r="AE472" i="12" s="1"/>
  <c r="U472" i="12"/>
  <c r="AF472" i="12" s="1"/>
  <c r="Q472" i="12"/>
  <c r="M472" i="12"/>
  <c r="AI472" i="12"/>
  <c r="X472" i="12"/>
  <c r="Y472" i="12" s="1"/>
  <c r="S472" i="12"/>
  <c r="N472" i="12"/>
  <c r="T472" i="12"/>
  <c r="AH472" i="12"/>
  <c r="AK474" i="12"/>
  <c r="AC474" i="12"/>
  <c r="AE474" i="12" s="1"/>
  <c r="U474" i="12"/>
  <c r="AF474" i="12" s="1"/>
  <c r="Q474" i="12"/>
  <c r="M474" i="12"/>
  <c r="AL474" i="12"/>
  <c r="V474" i="12"/>
  <c r="P474" i="12"/>
  <c r="K474" i="12"/>
  <c r="S474" i="12"/>
  <c r="Z474" i="12"/>
  <c r="AA474" i="12" s="1"/>
  <c r="AG474" i="12" s="1"/>
  <c r="AH474" i="12"/>
  <c r="AK475" i="12"/>
  <c r="AC475" i="12"/>
  <c r="AE475" i="12" s="1"/>
  <c r="U475" i="12"/>
  <c r="AF475" i="12" s="1"/>
  <c r="Q475" i="12"/>
  <c r="M475" i="12"/>
  <c r="AJ475" i="12"/>
  <c r="Z475" i="12"/>
  <c r="T475" i="12"/>
  <c r="O475" i="12"/>
  <c r="S475" i="12"/>
  <c r="AA475" i="12"/>
  <c r="AG475" i="12" s="1"/>
  <c r="AH475" i="12"/>
  <c r="AK476" i="12"/>
  <c r="AC476" i="12"/>
  <c r="AE476" i="12" s="1"/>
  <c r="U476" i="12"/>
  <c r="AF476" i="12" s="1"/>
  <c r="Q476" i="12"/>
  <c r="M476" i="12"/>
  <c r="AI476" i="12"/>
  <c r="X476" i="12"/>
  <c r="Y476" i="12" s="1"/>
  <c r="S476" i="12"/>
  <c r="N476" i="12"/>
  <c r="T476" i="12"/>
  <c r="AH476" i="12"/>
  <c r="AK478" i="12"/>
  <c r="AC478" i="12"/>
  <c r="AE478" i="12" s="1"/>
  <c r="U478" i="12"/>
  <c r="AF478" i="12" s="1"/>
  <c r="Q478" i="12"/>
  <c r="M478" i="12"/>
  <c r="AL478" i="12"/>
  <c r="V478" i="12"/>
  <c r="P478" i="12"/>
  <c r="K478" i="12"/>
  <c r="S478" i="12"/>
  <c r="Z478" i="12"/>
  <c r="AA478" i="12" s="1"/>
  <c r="AG478" i="12" s="1"/>
  <c r="AH478" i="12"/>
  <c r="AK479" i="12"/>
  <c r="AC479" i="12"/>
  <c r="AE479" i="12" s="1"/>
  <c r="U479" i="12"/>
  <c r="AF479" i="12" s="1"/>
  <c r="Q479" i="12"/>
  <c r="M479" i="12"/>
  <c r="AJ479" i="12"/>
  <c r="Z479" i="12"/>
  <c r="T479" i="12"/>
  <c r="O479" i="12"/>
  <c r="S479" i="12"/>
  <c r="AA479" i="12"/>
  <c r="AG479" i="12" s="1"/>
  <c r="AH479" i="12"/>
  <c r="AK480" i="12"/>
  <c r="AC480" i="12"/>
  <c r="AE480" i="12" s="1"/>
  <c r="U480" i="12"/>
  <c r="AF480" i="12" s="1"/>
  <c r="Q480" i="12"/>
  <c r="M480" i="12"/>
  <c r="AI480" i="12"/>
  <c r="X480" i="12"/>
  <c r="Y480" i="12" s="1"/>
  <c r="S480" i="12"/>
  <c r="N480" i="12"/>
  <c r="T480" i="12"/>
  <c r="AH480" i="12"/>
  <c r="AK482" i="12"/>
  <c r="AC482" i="12"/>
  <c r="AE482" i="12" s="1"/>
  <c r="U482" i="12"/>
  <c r="AF482" i="12" s="1"/>
  <c r="Q482" i="12"/>
  <c r="M482" i="12"/>
  <c r="AL482" i="12"/>
  <c r="V482" i="12"/>
  <c r="P482" i="12"/>
  <c r="K482" i="12"/>
  <c r="S482" i="12"/>
  <c r="Z482" i="12"/>
  <c r="AA482" i="12" s="1"/>
  <c r="AG482" i="12" s="1"/>
  <c r="AH482" i="12"/>
  <c r="AK483" i="12"/>
  <c r="AC483" i="12"/>
  <c r="AE483" i="12" s="1"/>
  <c r="U483" i="12"/>
  <c r="AF483" i="12" s="1"/>
  <c r="Q483" i="12"/>
  <c r="M483" i="12"/>
  <c r="AJ483" i="12"/>
  <c r="Z483" i="12"/>
  <c r="T483" i="12"/>
  <c r="O483" i="12"/>
  <c r="S483" i="12"/>
  <c r="AA483" i="12"/>
  <c r="AG483" i="12" s="1"/>
  <c r="AH483" i="12"/>
  <c r="AK484" i="12"/>
  <c r="AC484" i="12"/>
  <c r="AE484" i="12" s="1"/>
  <c r="Y484" i="12"/>
  <c r="U484" i="12"/>
  <c r="AF484" i="12" s="1"/>
  <c r="Q484" i="12"/>
  <c r="M484" i="12"/>
  <c r="AI484" i="12"/>
  <c r="X484" i="12"/>
  <c r="S484" i="12"/>
  <c r="N484" i="12"/>
  <c r="T484" i="12"/>
  <c r="AH484" i="12"/>
  <c r="AK486" i="12"/>
  <c r="AC486" i="12"/>
  <c r="AE486" i="12" s="1"/>
  <c r="U486" i="12"/>
  <c r="AF486" i="12" s="1"/>
  <c r="Q486" i="12"/>
  <c r="M486" i="12"/>
  <c r="AL486" i="12"/>
  <c r="AA486" i="12"/>
  <c r="AG486" i="12" s="1"/>
  <c r="V486" i="12"/>
  <c r="P486" i="12"/>
  <c r="K486" i="12"/>
  <c r="S486" i="12"/>
  <c r="Z486" i="12"/>
  <c r="AH486" i="12"/>
  <c r="AK487" i="12"/>
  <c r="AC487" i="12"/>
  <c r="AE487" i="12" s="1"/>
  <c r="U487" i="12"/>
  <c r="AF487" i="12" s="1"/>
  <c r="Q487" i="12"/>
  <c r="M487" i="12"/>
  <c r="AJ487" i="12"/>
  <c r="Z487" i="12"/>
  <c r="T487" i="12"/>
  <c r="O487" i="12"/>
  <c r="S487" i="12"/>
  <c r="AA487" i="12"/>
  <c r="AG487" i="12" s="1"/>
  <c r="AH487" i="12"/>
  <c r="AK488" i="12"/>
  <c r="AC488" i="12"/>
  <c r="AE488" i="12" s="1"/>
  <c r="U488" i="12"/>
  <c r="AF488" i="12" s="1"/>
  <c r="Q488" i="12"/>
  <c r="M488" i="12"/>
  <c r="AI488" i="12"/>
  <c r="X488" i="12"/>
  <c r="Y488" i="12" s="1"/>
  <c r="S488" i="12"/>
  <c r="N488" i="12"/>
  <c r="T488" i="12"/>
  <c r="AH488" i="12"/>
  <c r="AK490" i="12"/>
  <c r="AC490" i="12"/>
  <c r="AE490" i="12" s="1"/>
  <c r="U490" i="12"/>
  <c r="AF490" i="12" s="1"/>
  <c r="Q490" i="12"/>
  <c r="M490" i="12"/>
  <c r="AL490" i="12"/>
  <c r="V490" i="12"/>
  <c r="P490" i="12"/>
  <c r="K490" i="12"/>
  <c r="S490" i="12"/>
  <c r="Z490" i="12"/>
  <c r="AA490" i="12" s="1"/>
  <c r="AG490" i="12" s="1"/>
  <c r="AH490" i="12"/>
  <c r="AK491" i="12"/>
  <c r="AC491" i="12"/>
  <c r="AE491" i="12" s="1"/>
  <c r="U491" i="12"/>
  <c r="AF491" i="12" s="1"/>
  <c r="Q491" i="12"/>
  <c r="M491" i="12"/>
  <c r="AJ491" i="12"/>
  <c r="Z491" i="12"/>
  <c r="T491" i="12"/>
  <c r="O491" i="12"/>
  <c r="S491" i="12"/>
  <c r="AA491" i="12"/>
  <c r="AG491" i="12" s="1"/>
  <c r="AH491" i="12"/>
  <c r="AK492" i="12"/>
  <c r="AC492" i="12"/>
  <c r="AE492" i="12" s="1"/>
  <c r="U492" i="12"/>
  <c r="AF492" i="12" s="1"/>
  <c r="Q492" i="12"/>
  <c r="M492" i="12"/>
  <c r="AI492" i="12"/>
  <c r="X492" i="12"/>
  <c r="Y492" i="12" s="1"/>
  <c r="S492" i="12"/>
  <c r="N492" i="12"/>
  <c r="T492" i="12"/>
  <c r="AH492" i="12"/>
  <c r="AK494" i="12"/>
  <c r="AC494" i="12"/>
  <c r="AE494" i="12" s="1"/>
  <c r="U494" i="12"/>
  <c r="AF494" i="12" s="1"/>
  <c r="Q494" i="12"/>
  <c r="M494" i="12"/>
  <c r="AL494" i="12"/>
  <c r="V494" i="12"/>
  <c r="P494" i="12"/>
  <c r="K494" i="12"/>
  <c r="S494" i="12"/>
  <c r="Z494" i="12"/>
  <c r="AA494" i="12" s="1"/>
  <c r="AG494" i="12" s="1"/>
  <c r="AH494" i="12"/>
  <c r="AK495" i="12"/>
  <c r="AC495" i="12"/>
  <c r="AE495" i="12" s="1"/>
  <c r="U495" i="12"/>
  <c r="AF495" i="12" s="1"/>
  <c r="Q495" i="12"/>
  <c r="M495" i="12"/>
  <c r="AJ495" i="12"/>
  <c r="Z495" i="12"/>
  <c r="T495" i="12"/>
  <c r="O495" i="12"/>
  <c r="S495" i="12"/>
  <c r="AA495" i="12"/>
  <c r="AG495" i="12" s="1"/>
  <c r="AH495" i="12"/>
  <c r="AK496" i="12"/>
  <c r="AC496" i="12"/>
  <c r="AE496" i="12" s="1"/>
  <c r="U496" i="12"/>
  <c r="AF496" i="12" s="1"/>
  <c r="Q496" i="12"/>
  <c r="M496" i="12"/>
  <c r="AI496" i="12"/>
  <c r="X496" i="12"/>
  <c r="Y496" i="12" s="1"/>
  <c r="S496" i="12"/>
  <c r="N496" i="12"/>
  <c r="T496" i="12"/>
  <c r="AH496" i="12"/>
  <c r="AK498" i="12"/>
  <c r="AC498" i="12"/>
  <c r="AE498" i="12" s="1"/>
  <c r="U498" i="12"/>
  <c r="AF498" i="12" s="1"/>
  <c r="Q498" i="12"/>
  <c r="M498" i="12"/>
  <c r="AL498" i="12"/>
  <c r="V498" i="12"/>
  <c r="P498" i="12"/>
  <c r="K498" i="12"/>
  <c r="S498" i="12"/>
  <c r="Z498" i="12"/>
  <c r="AA498" i="12" s="1"/>
  <c r="AG498" i="12" s="1"/>
  <c r="AH498" i="12"/>
  <c r="AK499" i="12"/>
  <c r="AC499" i="12"/>
  <c r="AE499" i="12" s="1"/>
  <c r="U499" i="12"/>
  <c r="AF499" i="12" s="1"/>
  <c r="Q499" i="12"/>
  <c r="M499" i="12"/>
  <c r="AJ499" i="12"/>
  <c r="Z499" i="12"/>
  <c r="T499" i="12"/>
  <c r="O499" i="12"/>
  <c r="S499" i="12"/>
  <c r="AA499" i="12"/>
  <c r="AG499" i="12" s="1"/>
  <c r="AH499" i="12"/>
  <c r="V202" i="13"/>
  <c r="V201" i="13"/>
  <c r="V199" i="13"/>
  <c r="AB199" i="13" s="1"/>
  <c r="V198" i="13"/>
  <c r="V197" i="13"/>
  <c r="V195" i="13"/>
  <c r="AB195" i="13" s="1"/>
  <c r="V194" i="13"/>
  <c r="V193" i="13"/>
  <c r="V191" i="13"/>
  <c r="AB191" i="13" s="1"/>
  <c r="V190" i="13"/>
  <c r="V189" i="13"/>
  <c r="V187" i="13"/>
  <c r="AB187" i="13" s="1"/>
  <c r="V186" i="13"/>
  <c r="V185" i="13"/>
  <c r="V183" i="13"/>
  <c r="AB183" i="13" s="1"/>
  <c r="V182" i="13"/>
  <c r="V181" i="13"/>
  <c r="V179" i="13"/>
  <c r="AB179" i="13" s="1"/>
  <c r="V178" i="13"/>
  <c r="V177" i="13"/>
  <c r="V175" i="13"/>
  <c r="AB175" i="13" s="1"/>
  <c r="V174" i="13"/>
  <c r="V173" i="13"/>
  <c r="V233" i="13"/>
  <c r="AB233" i="13" s="1"/>
  <c r="V229" i="13"/>
  <c r="AB229" i="13" s="1"/>
  <c r="V171" i="13"/>
  <c r="AB171" i="13" s="1"/>
  <c r="V167" i="13"/>
  <c r="AB167" i="13" s="1"/>
  <c r="V163" i="13"/>
  <c r="AB163" i="13" s="1"/>
  <c r="V159" i="13"/>
  <c r="AB159" i="13" s="1"/>
  <c r="V155" i="13"/>
  <c r="AB155" i="13" s="1"/>
  <c r="V151" i="13"/>
  <c r="AB151" i="13" s="1"/>
  <c r="V147" i="13"/>
  <c r="AB147" i="13" s="1"/>
  <c r="V143" i="13"/>
  <c r="AB143" i="13" s="1"/>
  <c r="V139" i="13"/>
  <c r="AB139" i="13" s="1"/>
  <c r="V135" i="13"/>
  <c r="AB135" i="13" s="1"/>
  <c r="V131" i="13"/>
  <c r="AB131" i="13" s="1"/>
  <c r="V120" i="13"/>
  <c r="V119" i="13"/>
  <c r="V116" i="13"/>
  <c r="V115" i="13"/>
  <c r="V112" i="13"/>
  <c r="V111" i="13"/>
  <c r="V108" i="13"/>
  <c r="V107" i="13"/>
  <c r="V104" i="13"/>
  <c r="V103" i="13"/>
  <c r="V100" i="13"/>
  <c r="V99" i="13"/>
  <c r="V96" i="13"/>
  <c r="V95" i="13"/>
  <c r="V92" i="13"/>
  <c r="W92" i="13" s="1"/>
  <c r="AD92" i="13" s="1"/>
  <c r="V91" i="13"/>
  <c r="V82" i="13"/>
  <c r="V81" i="13"/>
  <c r="V64" i="13"/>
  <c r="V63" i="13"/>
  <c r="V52" i="13"/>
  <c r="V51" i="13"/>
  <c r="V37" i="13"/>
  <c r="V36" i="13"/>
  <c r="W36" i="13" s="1"/>
  <c r="AD36" i="13" s="1"/>
  <c r="V23" i="13"/>
  <c r="V22" i="13"/>
  <c r="W22" i="13" s="1"/>
  <c r="AD22" i="13" s="1"/>
  <c r="V17" i="13"/>
  <c r="W17" i="13" s="1"/>
  <c r="AD17" i="13" s="1"/>
  <c r="V16" i="13"/>
  <c r="W16" i="13" s="1"/>
  <c r="AD16" i="13" s="1"/>
  <c r="V237" i="13"/>
  <c r="AB237" i="13" s="1"/>
  <c r="V209" i="13"/>
  <c r="AB209" i="13" s="1"/>
  <c r="V205" i="13"/>
  <c r="AB205" i="13" s="1"/>
  <c r="V170" i="13"/>
  <c r="V166" i="13"/>
  <c r="V162" i="13"/>
  <c r="V158" i="13"/>
  <c r="V154" i="13"/>
  <c r="V150" i="13"/>
  <c r="V146" i="13"/>
  <c r="V142" i="13"/>
  <c r="V138" i="13"/>
  <c r="V134" i="13"/>
  <c r="V130" i="13"/>
  <c r="V126" i="13"/>
  <c r="W126" i="13" s="1"/>
  <c r="AD126" i="13" s="1"/>
  <c r="V125" i="13"/>
  <c r="W125" i="13" s="1"/>
  <c r="AD125" i="13" s="1"/>
  <c r="V86" i="13"/>
  <c r="V85" i="13"/>
  <c r="W85" i="13" s="1"/>
  <c r="AD85" i="13" s="1"/>
  <c r="V80" i="13"/>
  <c r="W80" i="13" s="1"/>
  <c r="AD80" i="13" s="1"/>
  <c r="V79" i="13"/>
  <c r="V74" i="13"/>
  <c r="V73" i="13"/>
  <c r="V70" i="13"/>
  <c r="V69" i="13"/>
  <c r="V62" i="13"/>
  <c r="V61" i="13"/>
  <c r="V58" i="13"/>
  <c r="W58" i="13" s="1"/>
  <c r="AD58" i="13" s="1"/>
  <c r="V57" i="13"/>
  <c r="V50" i="13"/>
  <c r="V49" i="13"/>
  <c r="V46" i="13"/>
  <c r="W46" i="13" s="1"/>
  <c r="AD46" i="13" s="1"/>
  <c r="V45" i="13"/>
  <c r="W45" i="13" s="1"/>
  <c r="AD45" i="13" s="1"/>
  <c r="V42" i="13"/>
  <c r="V41" i="13"/>
  <c r="V35" i="13"/>
  <c r="V34" i="13"/>
  <c r="V31" i="13"/>
  <c r="W31" i="13" s="1"/>
  <c r="AD31" i="13" s="1"/>
  <c r="V30" i="13"/>
  <c r="W30" i="13" s="1"/>
  <c r="AD30" i="13" s="1"/>
  <c r="V27" i="13"/>
  <c r="W27" i="13" s="1"/>
  <c r="AD27" i="13" s="1"/>
  <c r="V26" i="13"/>
  <c r="V13" i="13"/>
  <c r="V11" i="13"/>
  <c r="W11" i="13" s="1"/>
  <c r="AD11" i="13" s="1"/>
  <c r="V9" i="13"/>
  <c r="W9" i="13" s="1"/>
  <c r="AD9" i="13" s="1"/>
  <c r="V169" i="13"/>
  <c r="V165" i="13"/>
  <c r="V161" i="13"/>
  <c r="V157" i="13"/>
  <c r="V153" i="13"/>
  <c r="V149" i="13"/>
  <c r="V145" i="13"/>
  <c r="V141" i="13"/>
  <c r="V137" i="13"/>
  <c r="V133" i="13"/>
  <c r="V129" i="13"/>
  <c r="V124" i="13"/>
  <c r="V123" i="13"/>
  <c r="V118" i="13"/>
  <c r="W118" i="13" s="1"/>
  <c r="AD118" i="13" s="1"/>
  <c r="V117" i="13"/>
  <c r="V114" i="13"/>
  <c r="V113" i="13"/>
  <c r="V110" i="13"/>
  <c r="V109" i="13"/>
  <c r="Z109" i="13" s="1"/>
  <c r="V106" i="13"/>
  <c r="W106" i="13" s="1"/>
  <c r="AD106" i="13" s="1"/>
  <c r="V105" i="13"/>
  <c r="V102" i="13"/>
  <c r="W102" i="13" s="1"/>
  <c r="AD102" i="13" s="1"/>
  <c r="V101" i="13"/>
  <c r="V98" i="13"/>
  <c r="V97" i="13"/>
  <c r="V94" i="13"/>
  <c r="V93" i="13"/>
  <c r="V90" i="13"/>
  <c r="W90" i="13" s="1"/>
  <c r="AD90" i="13" s="1"/>
  <c r="V89" i="13"/>
  <c r="V6" i="13"/>
  <c r="V19" i="13"/>
  <c r="M21" i="13"/>
  <c r="M27" i="13"/>
  <c r="V29" i="13"/>
  <c r="W29" i="13" s="1"/>
  <c r="AD29" i="13" s="1"/>
  <c r="O31" i="13"/>
  <c r="N31" i="13"/>
  <c r="V33" i="13"/>
  <c r="O35" i="13"/>
  <c r="N35" i="13"/>
  <c r="W37" i="13"/>
  <c r="AD37" i="13" s="1"/>
  <c r="M42" i="13"/>
  <c r="O58" i="13"/>
  <c r="N58" i="13"/>
  <c r="V67" i="13"/>
  <c r="W67" i="13" s="1"/>
  <c r="AD67" i="13" s="1"/>
  <c r="V75" i="13"/>
  <c r="W75" i="13" s="1"/>
  <c r="AD75" i="13" s="1"/>
  <c r="V78" i="13"/>
  <c r="V83" i="13"/>
  <c r="W83" i="13" s="1"/>
  <c r="AD83" i="13" s="1"/>
  <c r="M90" i="13"/>
  <c r="O106" i="13"/>
  <c r="N106" i="13"/>
  <c r="W108" i="13"/>
  <c r="AD108" i="13" s="1"/>
  <c r="AH132" i="13"/>
  <c r="AH136" i="13"/>
  <c r="AK359" i="9"/>
  <c r="AC359" i="9"/>
  <c r="AE359" i="9" s="1"/>
  <c r="Y359" i="9"/>
  <c r="U359" i="9"/>
  <c r="AF359" i="9" s="1"/>
  <c r="Q359" i="9"/>
  <c r="M359" i="9"/>
  <c r="R359" i="9"/>
  <c r="W359" i="9"/>
  <c r="AD359" i="9" s="1"/>
  <c r="AB359" i="9"/>
  <c r="AH359" i="9"/>
  <c r="AK363" i="9"/>
  <c r="AC363" i="9"/>
  <c r="AE363" i="9" s="1"/>
  <c r="U363" i="9"/>
  <c r="AF363" i="9" s="1"/>
  <c r="Q363" i="9"/>
  <c r="M363" i="9"/>
  <c r="R363" i="9"/>
  <c r="W363" i="9"/>
  <c r="AD363" i="9" s="1"/>
  <c r="AB363" i="9"/>
  <c r="AH363" i="9"/>
  <c r="AK367" i="9"/>
  <c r="AC367" i="9"/>
  <c r="AE367" i="9" s="1"/>
  <c r="Y367" i="9"/>
  <c r="U367" i="9"/>
  <c r="AF367" i="9" s="1"/>
  <c r="Q367" i="9"/>
  <c r="M367" i="9"/>
  <c r="R367" i="9"/>
  <c r="W367" i="9"/>
  <c r="AD367" i="9" s="1"/>
  <c r="AB367" i="9"/>
  <c r="AH367" i="9"/>
  <c r="AK371" i="9"/>
  <c r="AC371" i="9"/>
  <c r="AE371" i="9" s="1"/>
  <c r="U371" i="9"/>
  <c r="AF371" i="9" s="1"/>
  <c r="Q371" i="9"/>
  <c r="M371" i="9"/>
  <c r="R371" i="9"/>
  <c r="W371" i="9"/>
  <c r="AD371" i="9" s="1"/>
  <c r="AB371" i="9"/>
  <c r="AH371" i="9"/>
  <c r="AK375" i="9"/>
  <c r="AC375" i="9"/>
  <c r="AE375" i="9" s="1"/>
  <c r="Y375" i="9"/>
  <c r="U375" i="9"/>
  <c r="AF375" i="9" s="1"/>
  <c r="Q375" i="9"/>
  <c r="M375" i="9"/>
  <c r="R375" i="9"/>
  <c r="W375" i="9"/>
  <c r="AD375" i="9" s="1"/>
  <c r="AB375" i="9"/>
  <c r="AH375" i="9"/>
  <c r="AK379" i="9"/>
  <c r="AC379" i="9"/>
  <c r="AE379" i="9" s="1"/>
  <c r="U379" i="9"/>
  <c r="AF379" i="9" s="1"/>
  <c r="Q379" i="9"/>
  <c r="M379" i="9"/>
  <c r="R379" i="9"/>
  <c r="W379" i="9"/>
  <c r="AD379" i="9" s="1"/>
  <c r="AB379" i="9"/>
  <c r="AH379" i="9"/>
  <c r="AK383" i="9"/>
  <c r="AC383" i="9"/>
  <c r="AE383" i="9" s="1"/>
  <c r="Y383" i="9"/>
  <c r="U383" i="9"/>
  <c r="AF383" i="9" s="1"/>
  <c r="Q383" i="9"/>
  <c r="M383" i="9"/>
  <c r="R383" i="9"/>
  <c r="W383" i="9"/>
  <c r="AD383" i="9" s="1"/>
  <c r="AB383" i="9"/>
  <c r="AH383" i="9"/>
  <c r="AK387" i="9"/>
  <c r="AC387" i="9"/>
  <c r="AE387" i="9" s="1"/>
  <c r="U387" i="9"/>
  <c r="AF387" i="9" s="1"/>
  <c r="Q387" i="9"/>
  <c r="M387" i="9"/>
  <c r="R387" i="9"/>
  <c r="W387" i="9"/>
  <c r="AD387" i="9" s="1"/>
  <c r="AB387" i="9"/>
  <c r="AH387" i="9"/>
  <c r="AK391" i="9"/>
  <c r="AC391" i="9"/>
  <c r="AE391" i="9" s="1"/>
  <c r="Y391" i="9"/>
  <c r="U391" i="9"/>
  <c r="AF391" i="9" s="1"/>
  <c r="Q391" i="9"/>
  <c r="M391" i="9"/>
  <c r="R391" i="9"/>
  <c r="W391" i="9"/>
  <c r="AD391" i="9" s="1"/>
  <c r="AB391" i="9"/>
  <c r="AH391" i="9"/>
  <c r="AK395" i="9"/>
  <c r="AC395" i="9"/>
  <c r="AE395" i="9" s="1"/>
  <c r="U395" i="9"/>
  <c r="AF395" i="9" s="1"/>
  <c r="Q395" i="9"/>
  <c r="M395" i="9"/>
  <c r="R395" i="9"/>
  <c r="W395" i="9"/>
  <c r="AD395" i="9" s="1"/>
  <c r="AB395" i="9"/>
  <c r="AH395" i="9"/>
  <c r="AK399" i="9"/>
  <c r="AC399" i="9"/>
  <c r="AE399" i="9" s="1"/>
  <c r="Y399" i="9"/>
  <c r="U399" i="9"/>
  <c r="AF399" i="9" s="1"/>
  <c r="Q399" i="9"/>
  <c r="M399" i="9"/>
  <c r="R399" i="9"/>
  <c r="W399" i="9"/>
  <c r="AD399" i="9" s="1"/>
  <c r="AB399" i="9"/>
  <c r="AH399" i="9"/>
  <c r="AK403" i="9"/>
  <c r="AC403" i="9"/>
  <c r="AE403" i="9" s="1"/>
  <c r="U403" i="9"/>
  <c r="AF403" i="9" s="1"/>
  <c r="Q403" i="9"/>
  <c r="M403" i="9"/>
  <c r="R403" i="9"/>
  <c r="W403" i="9"/>
  <c r="AD403" i="9" s="1"/>
  <c r="AB403" i="9"/>
  <c r="AH403" i="9"/>
  <c r="AK407" i="9"/>
  <c r="AC407" i="9"/>
  <c r="AE407" i="9" s="1"/>
  <c r="Y407" i="9"/>
  <c r="U407" i="9"/>
  <c r="AF407" i="9" s="1"/>
  <c r="Q407" i="9"/>
  <c r="M407" i="9"/>
  <c r="R407" i="9"/>
  <c r="W407" i="9"/>
  <c r="AD407" i="9" s="1"/>
  <c r="AB407" i="9"/>
  <c r="AH407" i="9"/>
  <c r="AK411" i="9"/>
  <c r="AC411" i="9"/>
  <c r="AE411" i="9" s="1"/>
  <c r="U411" i="9"/>
  <c r="AF411" i="9" s="1"/>
  <c r="Q411" i="9"/>
  <c r="M411" i="9"/>
  <c r="R411" i="9"/>
  <c r="W411" i="9"/>
  <c r="AD411" i="9" s="1"/>
  <c r="AB411" i="9"/>
  <c r="AH411" i="9"/>
  <c r="AK415" i="9"/>
  <c r="AC415" i="9"/>
  <c r="AE415" i="9" s="1"/>
  <c r="Y415" i="9"/>
  <c r="U415" i="9"/>
  <c r="AF415" i="9" s="1"/>
  <c r="Q415" i="9"/>
  <c r="M415" i="9"/>
  <c r="R415" i="9"/>
  <c r="W415" i="9"/>
  <c r="AD415" i="9" s="1"/>
  <c r="AB415" i="9"/>
  <c r="AH415" i="9"/>
  <c r="AK419" i="9"/>
  <c r="AC419" i="9"/>
  <c r="AE419" i="9" s="1"/>
  <c r="U419" i="9"/>
  <c r="AF419" i="9" s="1"/>
  <c r="Q419" i="9"/>
  <c r="M419" i="9"/>
  <c r="R419" i="9"/>
  <c r="W419" i="9"/>
  <c r="AD419" i="9" s="1"/>
  <c r="AB419" i="9"/>
  <c r="AH419" i="9"/>
  <c r="AK423" i="9"/>
  <c r="AC423" i="9"/>
  <c r="AE423" i="9" s="1"/>
  <c r="Y423" i="9"/>
  <c r="U423" i="9"/>
  <c r="AF423" i="9" s="1"/>
  <c r="Q423" i="9"/>
  <c r="M423" i="9"/>
  <c r="R423" i="9"/>
  <c r="W423" i="9"/>
  <c r="AD423" i="9" s="1"/>
  <c r="AB423" i="9"/>
  <c r="AH423" i="9"/>
  <c r="AK427" i="9"/>
  <c r="AC427" i="9"/>
  <c r="AE427" i="9" s="1"/>
  <c r="U427" i="9"/>
  <c r="AF427" i="9" s="1"/>
  <c r="Q427" i="9"/>
  <c r="M427" i="9"/>
  <c r="R427" i="9"/>
  <c r="W427" i="9"/>
  <c r="AD427" i="9" s="1"/>
  <c r="AB427" i="9"/>
  <c r="AH427" i="9"/>
  <c r="AK431" i="9"/>
  <c r="AC431" i="9"/>
  <c r="AE431" i="9" s="1"/>
  <c r="Y431" i="9"/>
  <c r="U431" i="9"/>
  <c r="AF431" i="9" s="1"/>
  <c r="Q431" i="9"/>
  <c r="M431" i="9"/>
  <c r="R431" i="9"/>
  <c r="W431" i="9"/>
  <c r="AD431" i="9" s="1"/>
  <c r="AB431" i="9"/>
  <c r="AH431" i="9"/>
  <c r="AK435" i="9"/>
  <c r="AC435" i="9"/>
  <c r="AE435" i="9" s="1"/>
  <c r="U435" i="9"/>
  <c r="AF435" i="9" s="1"/>
  <c r="Q435" i="9"/>
  <c r="M435" i="9"/>
  <c r="R435" i="9"/>
  <c r="W435" i="9"/>
  <c r="AD435" i="9" s="1"/>
  <c r="AB435" i="9"/>
  <c r="AH435" i="9"/>
  <c r="AK439" i="9"/>
  <c r="AC439" i="9"/>
  <c r="AE439" i="9" s="1"/>
  <c r="Y439" i="9"/>
  <c r="U439" i="9"/>
  <c r="AF439" i="9" s="1"/>
  <c r="Q439" i="9"/>
  <c r="M439" i="9"/>
  <c r="R439" i="9"/>
  <c r="W439" i="9"/>
  <c r="AD439" i="9" s="1"/>
  <c r="AB439" i="9"/>
  <c r="AH439" i="9"/>
  <c r="AK443" i="9"/>
  <c r="AC443" i="9"/>
  <c r="AE443" i="9" s="1"/>
  <c r="U443" i="9"/>
  <c r="AF443" i="9" s="1"/>
  <c r="Q443" i="9"/>
  <c r="M443" i="9"/>
  <c r="R443" i="9"/>
  <c r="W443" i="9"/>
  <c r="AD443" i="9" s="1"/>
  <c r="AB443" i="9"/>
  <c r="AH443" i="9"/>
  <c r="AK447" i="9"/>
  <c r="AC447" i="9"/>
  <c r="AE447" i="9" s="1"/>
  <c r="Y447" i="9"/>
  <c r="U447" i="9"/>
  <c r="AF447" i="9" s="1"/>
  <c r="Q447" i="9"/>
  <c r="M447" i="9"/>
  <c r="R447" i="9"/>
  <c r="W447" i="9"/>
  <c r="AD447" i="9" s="1"/>
  <c r="AB447" i="9"/>
  <c r="AH447" i="9"/>
  <c r="AK451" i="9"/>
  <c r="AC451" i="9"/>
  <c r="AE451" i="9" s="1"/>
  <c r="U451" i="9"/>
  <c r="AF451" i="9" s="1"/>
  <c r="Q451" i="9"/>
  <c r="M451" i="9"/>
  <c r="R451" i="9"/>
  <c r="W451" i="9"/>
  <c r="AD451" i="9" s="1"/>
  <c r="AB451" i="9"/>
  <c r="AH451" i="9"/>
  <c r="AK455" i="9"/>
  <c r="AC455" i="9"/>
  <c r="AE455" i="9" s="1"/>
  <c r="Y455" i="9"/>
  <c r="U455" i="9"/>
  <c r="AF455" i="9" s="1"/>
  <c r="Q455" i="9"/>
  <c r="M455" i="9"/>
  <c r="R455" i="9"/>
  <c r="W455" i="9"/>
  <c r="AD455" i="9" s="1"/>
  <c r="AB455" i="9"/>
  <c r="AH455" i="9"/>
  <c r="AK459" i="9"/>
  <c r="AC459" i="9"/>
  <c r="AE459" i="9" s="1"/>
  <c r="U459" i="9"/>
  <c r="AF459" i="9" s="1"/>
  <c r="Q459" i="9"/>
  <c r="M459" i="9"/>
  <c r="R459" i="9"/>
  <c r="W459" i="9"/>
  <c r="AD459" i="9" s="1"/>
  <c r="AB459" i="9"/>
  <c r="AH459" i="9"/>
  <c r="O461" i="9"/>
  <c r="T461" i="9"/>
  <c r="Z461" i="9"/>
  <c r="AJ461" i="9"/>
  <c r="AK463" i="9"/>
  <c r="AC463" i="9"/>
  <c r="AE463" i="9" s="1"/>
  <c r="Y463" i="9"/>
  <c r="U463" i="9"/>
  <c r="AF463" i="9" s="1"/>
  <c r="Q463" i="9"/>
  <c r="M463" i="9"/>
  <c r="R463" i="9"/>
  <c r="W463" i="9"/>
  <c r="AD463" i="9" s="1"/>
  <c r="AB463" i="9"/>
  <c r="AH463" i="9"/>
  <c r="O465" i="9"/>
  <c r="T465" i="9"/>
  <c r="Z465" i="9"/>
  <c r="AJ465" i="9"/>
  <c r="AK467" i="9"/>
  <c r="AC467" i="9"/>
  <c r="AE467" i="9" s="1"/>
  <c r="U467" i="9"/>
  <c r="AF467" i="9" s="1"/>
  <c r="Q467" i="9"/>
  <c r="M467" i="9"/>
  <c r="R467" i="9"/>
  <c r="W467" i="9"/>
  <c r="AD467" i="9" s="1"/>
  <c r="AB467" i="9"/>
  <c r="AH467" i="9"/>
  <c r="O469" i="9"/>
  <c r="T469" i="9"/>
  <c r="Z469" i="9"/>
  <c r="AJ469" i="9"/>
  <c r="AK471" i="9"/>
  <c r="AC471" i="9"/>
  <c r="AE471" i="9" s="1"/>
  <c r="Y471" i="9"/>
  <c r="U471" i="9"/>
  <c r="AF471" i="9" s="1"/>
  <c r="Q471" i="9"/>
  <c r="M471" i="9"/>
  <c r="R471" i="9"/>
  <c r="W471" i="9"/>
  <c r="AD471" i="9" s="1"/>
  <c r="AB471" i="9"/>
  <c r="AH471" i="9"/>
  <c r="O473" i="9"/>
  <c r="T473" i="9"/>
  <c r="Z473" i="9"/>
  <c r="AJ473" i="9"/>
  <c r="AK475" i="9"/>
  <c r="AC475" i="9"/>
  <c r="AE475" i="9" s="1"/>
  <c r="U475" i="9"/>
  <c r="AF475" i="9" s="1"/>
  <c r="Q475" i="9"/>
  <c r="M475" i="9"/>
  <c r="R475" i="9"/>
  <c r="W475" i="9"/>
  <c r="AD475" i="9" s="1"/>
  <c r="AB475" i="9"/>
  <c r="AH475" i="9"/>
  <c r="O477" i="9"/>
  <c r="T477" i="9"/>
  <c r="Z477" i="9"/>
  <c r="AJ477" i="9"/>
  <c r="AK479" i="9"/>
  <c r="AC479" i="9"/>
  <c r="AE479" i="9" s="1"/>
  <c r="Y479" i="9"/>
  <c r="U479" i="9"/>
  <c r="AF479" i="9" s="1"/>
  <c r="Q479" i="9"/>
  <c r="M479" i="9"/>
  <c r="R479" i="9"/>
  <c r="W479" i="9"/>
  <c r="AD479" i="9" s="1"/>
  <c r="AB479" i="9"/>
  <c r="AH479" i="9"/>
  <c r="O481" i="9"/>
  <c r="T481" i="9"/>
  <c r="Z481" i="9"/>
  <c r="AJ481" i="9"/>
  <c r="AK483" i="9"/>
  <c r="AC483" i="9"/>
  <c r="AE483" i="9" s="1"/>
  <c r="U483" i="9"/>
  <c r="AF483" i="9" s="1"/>
  <c r="Q483" i="9"/>
  <c r="M483" i="9"/>
  <c r="R483" i="9"/>
  <c r="W483" i="9"/>
  <c r="AD483" i="9" s="1"/>
  <c r="AB483" i="9"/>
  <c r="AH483" i="9"/>
  <c r="O485" i="9"/>
  <c r="T485" i="9"/>
  <c r="Z485" i="9"/>
  <c r="AJ485" i="9"/>
  <c r="AK487" i="9"/>
  <c r="AC487" i="9"/>
  <c r="AE487" i="9" s="1"/>
  <c r="Y487" i="9"/>
  <c r="U487" i="9"/>
  <c r="AF487" i="9" s="1"/>
  <c r="Q487" i="9"/>
  <c r="M487" i="9"/>
  <c r="R487" i="9"/>
  <c r="W487" i="9"/>
  <c r="AD487" i="9" s="1"/>
  <c r="AB487" i="9"/>
  <c r="AH487" i="9"/>
  <c r="O489" i="9"/>
  <c r="T489" i="9"/>
  <c r="Z489" i="9"/>
  <c r="AJ489" i="9"/>
  <c r="AK491" i="9"/>
  <c r="AC491" i="9"/>
  <c r="AE491" i="9" s="1"/>
  <c r="U491" i="9"/>
  <c r="AF491" i="9" s="1"/>
  <c r="Q491" i="9"/>
  <c r="M491" i="9"/>
  <c r="R491" i="9"/>
  <c r="W491" i="9"/>
  <c r="AD491" i="9" s="1"/>
  <c r="AB491" i="9"/>
  <c r="AH491" i="9"/>
  <c r="AK495" i="9"/>
  <c r="AC495" i="9"/>
  <c r="AE495" i="9" s="1"/>
  <c r="Y495" i="9"/>
  <c r="U495" i="9"/>
  <c r="AF495" i="9" s="1"/>
  <c r="Q495" i="9"/>
  <c r="M495" i="9"/>
  <c r="R495" i="9"/>
  <c r="W495" i="9"/>
  <c r="AD495" i="9" s="1"/>
  <c r="AB495" i="9"/>
  <c r="AH495" i="9"/>
  <c r="AK499" i="9"/>
  <c r="AC499" i="9"/>
  <c r="AE499" i="9" s="1"/>
  <c r="U499" i="9"/>
  <c r="AF499" i="9" s="1"/>
  <c r="Q499" i="9"/>
  <c r="M499" i="9"/>
  <c r="R499" i="9"/>
  <c r="W499" i="9"/>
  <c r="AD499" i="9" s="1"/>
  <c r="AB499" i="9"/>
  <c r="AH499" i="9"/>
  <c r="AI2" i="10"/>
  <c r="AA2" i="10"/>
  <c r="AG2" i="10" s="1"/>
  <c r="W2" i="10"/>
  <c r="AD2" i="10" s="1"/>
  <c r="S2" i="10"/>
  <c r="O2" i="10"/>
  <c r="K2" i="10"/>
  <c r="Q2" i="10"/>
  <c r="V2" i="10"/>
  <c r="AB2" i="10" s="1"/>
  <c r="AL2" i="10"/>
  <c r="AL7" i="10"/>
  <c r="AH7" i="10"/>
  <c r="Z7" i="10"/>
  <c r="AA7" i="10" s="1"/>
  <c r="AG7" i="10" s="1"/>
  <c r="V7" i="10"/>
  <c r="R7" i="10"/>
  <c r="N7" i="10"/>
  <c r="Q7" i="10"/>
  <c r="W7" i="10"/>
  <c r="AD7" i="10" s="1"/>
  <c r="AB7" i="10"/>
  <c r="AL2" i="11"/>
  <c r="AH2" i="11"/>
  <c r="Z2" i="11"/>
  <c r="AA2" i="11" s="1"/>
  <c r="AG2" i="11" s="1"/>
  <c r="V2" i="11"/>
  <c r="R2" i="11"/>
  <c r="N2" i="11"/>
  <c r="Q2" i="11"/>
  <c r="W2" i="11"/>
  <c r="AD2" i="11" s="1"/>
  <c r="AB2" i="11"/>
  <c r="N7" i="11"/>
  <c r="S7" i="11"/>
  <c r="X7" i="11"/>
  <c r="Y7" i="11" s="1"/>
  <c r="AI7" i="11"/>
  <c r="M9" i="11"/>
  <c r="R9" i="11"/>
  <c r="X9" i="11"/>
  <c r="Y9" i="11" s="1"/>
  <c r="AC9" i="11"/>
  <c r="AE9" i="11" s="1"/>
  <c r="AH9" i="11"/>
  <c r="AI10" i="11"/>
  <c r="AA10" i="11"/>
  <c r="AG10" i="11" s="1"/>
  <c r="W10" i="11"/>
  <c r="AD10" i="11" s="1"/>
  <c r="S10" i="11"/>
  <c r="O10" i="11"/>
  <c r="K10" i="11"/>
  <c r="Q10" i="11"/>
  <c r="V10" i="11"/>
  <c r="AB10" i="11" s="1"/>
  <c r="AL10" i="11"/>
  <c r="M13" i="11"/>
  <c r="R13" i="11"/>
  <c r="X13" i="11"/>
  <c r="AC13" i="11"/>
  <c r="AE13" i="11" s="1"/>
  <c r="AH13" i="11"/>
  <c r="AI14" i="11"/>
  <c r="AA14" i="11"/>
  <c r="AG14" i="11" s="1"/>
  <c r="W14" i="11"/>
  <c r="AD14" i="11" s="1"/>
  <c r="S14" i="11"/>
  <c r="O14" i="11"/>
  <c r="K14" i="11"/>
  <c r="Q14" i="11"/>
  <c r="V14" i="11"/>
  <c r="AB14" i="11" s="1"/>
  <c r="AL14" i="11"/>
  <c r="M17" i="11"/>
  <c r="R17" i="11"/>
  <c r="X17" i="11"/>
  <c r="AC17" i="11"/>
  <c r="AE17" i="11" s="1"/>
  <c r="AH17" i="11"/>
  <c r="AI18" i="11"/>
  <c r="AA18" i="11"/>
  <c r="AG18" i="11" s="1"/>
  <c r="W18" i="11"/>
  <c r="AD18" i="11" s="1"/>
  <c r="S18" i="11"/>
  <c r="O18" i="11"/>
  <c r="K18" i="11"/>
  <c r="Q18" i="11"/>
  <c r="V18" i="11"/>
  <c r="AB18" i="11"/>
  <c r="AL18" i="11"/>
  <c r="M21" i="11"/>
  <c r="R21" i="11"/>
  <c r="X21" i="11"/>
  <c r="AC21" i="11"/>
  <c r="AE21" i="11" s="1"/>
  <c r="AH21" i="11"/>
  <c r="AI22" i="11"/>
  <c r="AA22" i="11"/>
  <c r="AG22" i="11" s="1"/>
  <c r="W22" i="11"/>
  <c r="AD22" i="11" s="1"/>
  <c r="S22" i="11"/>
  <c r="O22" i="11"/>
  <c r="K22" i="11"/>
  <c r="Q22" i="11"/>
  <c r="V22" i="11"/>
  <c r="AB22" i="11"/>
  <c r="AL22" i="11"/>
  <c r="M25" i="11"/>
  <c r="R25" i="11"/>
  <c r="X25" i="11"/>
  <c r="Y25" i="11" s="1"/>
  <c r="AC25" i="11"/>
  <c r="AE25" i="11" s="1"/>
  <c r="AH25" i="11"/>
  <c r="AI26" i="11"/>
  <c r="AA26" i="11"/>
  <c r="AG26" i="11" s="1"/>
  <c r="W26" i="11"/>
  <c r="AD26" i="11" s="1"/>
  <c r="S26" i="11"/>
  <c r="O26" i="11"/>
  <c r="K26" i="11"/>
  <c r="Q26" i="11"/>
  <c r="V26" i="11"/>
  <c r="AB26" i="11" s="1"/>
  <c r="AL26" i="11"/>
  <c r="M29" i="11"/>
  <c r="R29" i="11"/>
  <c r="X29" i="11"/>
  <c r="AC29" i="11"/>
  <c r="AE29" i="11" s="1"/>
  <c r="AH29" i="11"/>
  <c r="AI30" i="11"/>
  <c r="AA30" i="11"/>
  <c r="AG30" i="11" s="1"/>
  <c r="W30" i="11"/>
  <c r="AD30" i="11" s="1"/>
  <c r="S30" i="11"/>
  <c r="O30" i="11"/>
  <c r="K30" i="11"/>
  <c r="Q30" i="11"/>
  <c r="V30" i="11"/>
  <c r="AB30" i="11" s="1"/>
  <c r="AL30" i="11"/>
  <c r="M33" i="11"/>
  <c r="R33" i="11"/>
  <c r="X33" i="11"/>
  <c r="AC33" i="11"/>
  <c r="AE33" i="11" s="1"/>
  <c r="AH33" i="11"/>
  <c r="AI34" i="11"/>
  <c r="AA34" i="11"/>
  <c r="AG34" i="11" s="1"/>
  <c r="W34" i="11"/>
  <c r="AD34" i="11" s="1"/>
  <c r="S34" i="11"/>
  <c r="O34" i="11"/>
  <c r="K34" i="11"/>
  <c r="Q34" i="11"/>
  <c r="V34" i="11"/>
  <c r="AB34" i="11"/>
  <c r="AL34" i="11"/>
  <c r="M37" i="11"/>
  <c r="R37" i="11"/>
  <c r="X37" i="11"/>
  <c r="AC37" i="11"/>
  <c r="AE37" i="11" s="1"/>
  <c r="AH37" i="11"/>
  <c r="AI38" i="11"/>
  <c r="AA38" i="11"/>
  <c r="AG38" i="11" s="1"/>
  <c r="W38" i="11"/>
  <c r="AD38" i="11" s="1"/>
  <c r="S38" i="11"/>
  <c r="O38" i="11"/>
  <c r="K38" i="11"/>
  <c r="Q38" i="11"/>
  <c r="V38" i="11"/>
  <c r="AB38" i="11"/>
  <c r="AL38" i="11"/>
  <c r="M41" i="11"/>
  <c r="R41" i="11"/>
  <c r="X41" i="11"/>
  <c r="Y41" i="11" s="1"/>
  <c r="AC41" i="11"/>
  <c r="AE41" i="11" s="1"/>
  <c r="AH41" i="11"/>
  <c r="AI42" i="11"/>
  <c r="AA42" i="11"/>
  <c r="AG42" i="11" s="1"/>
  <c r="W42" i="11"/>
  <c r="AD42" i="11" s="1"/>
  <c r="S42" i="11"/>
  <c r="O42" i="11"/>
  <c r="K42" i="11"/>
  <c r="Q42" i="11"/>
  <c r="V42" i="11"/>
  <c r="AB42" i="11" s="1"/>
  <c r="AL42" i="11"/>
  <c r="M45" i="11"/>
  <c r="R45" i="11"/>
  <c r="X45" i="11"/>
  <c r="AC45" i="11"/>
  <c r="AE45" i="11" s="1"/>
  <c r="AH45" i="11"/>
  <c r="AI46" i="11"/>
  <c r="AA46" i="11"/>
  <c r="AG46" i="11" s="1"/>
  <c r="W46" i="11"/>
  <c r="AD46" i="11" s="1"/>
  <c r="S46" i="11"/>
  <c r="O46" i="11"/>
  <c r="K46" i="11"/>
  <c r="Q46" i="11"/>
  <c r="V46" i="11"/>
  <c r="AB46" i="11" s="1"/>
  <c r="AL46" i="11"/>
  <c r="M49" i="11"/>
  <c r="R49" i="11"/>
  <c r="X49" i="11"/>
  <c r="AC49" i="11"/>
  <c r="AE49" i="11" s="1"/>
  <c r="AH49" i="11"/>
  <c r="AI50" i="11"/>
  <c r="AA50" i="11"/>
  <c r="AG50" i="11" s="1"/>
  <c r="W50" i="11"/>
  <c r="AD50" i="11" s="1"/>
  <c r="S50" i="11"/>
  <c r="O50" i="11"/>
  <c r="K50" i="11"/>
  <c r="Q50" i="11"/>
  <c r="V50" i="11"/>
  <c r="AB50" i="11"/>
  <c r="AL50" i="11"/>
  <c r="M53" i="11"/>
  <c r="R53" i="11"/>
  <c r="X53" i="11"/>
  <c r="AC53" i="11"/>
  <c r="AE53" i="11" s="1"/>
  <c r="AH53" i="11"/>
  <c r="AI54" i="11"/>
  <c r="AA54" i="11"/>
  <c r="AG54" i="11" s="1"/>
  <c r="W54" i="11"/>
  <c r="AD54" i="11" s="1"/>
  <c r="S54" i="11"/>
  <c r="O54" i="11"/>
  <c r="K54" i="11"/>
  <c r="Q54" i="11"/>
  <c r="V54" i="11"/>
  <c r="AB54" i="11"/>
  <c r="AL54" i="11"/>
  <c r="M57" i="11"/>
  <c r="R57" i="11"/>
  <c r="X57" i="11"/>
  <c r="Y57" i="11" s="1"/>
  <c r="AC57" i="11"/>
  <c r="AE57" i="11" s="1"/>
  <c r="AH57" i="11"/>
  <c r="AI58" i="11"/>
  <c r="AA58" i="11"/>
  <c r="AG58" i="11" s="1"/>
  <c r="W58" i="11"/>
  <c r="AD58" i="11" s="1"/>
  <c r="S58" i="11"/>
  <c r="O58" i="11"/>
  <c r="K58" i="11"/>
  <c r="Q58" i="11"/>
  <c r="V58" i="11"/>
  <c r="AB58" i="11" s="1"/>
  <c r="AL58" i="11"/>
  <c r="M61" i="11"/>
  <c r="R61" i="11"/>
  <c r="X61" i="11"/>
  <c r="AC61" i="11"/>
  <c r="AE61" i="11" s="1"/>
  <c r="AH61" i="11"/>
  <c r="AI62" i="11"/>
  <c r="AA62" i="11"/>
  <c r="AG62" i="11" s="1"/>
  <c r="W62" i="11"/>
  <c r="AD62" i="11" s="1"/>
  <c r="S62" i="11"/>
  <c r="O62" i="11"/>
  <c r="K62" i="11"/>
  <c r="Q62" i="11"/>
  <c r="V62" i="11"/>
  <c r="AB62" i="11" s="1"/>
  <c r="AL62" i="11"/>
  <c r="M65" i="11"/>
  <c r="R65" i="11"/>
  <c r="X65" i="11"/>
  <c r="AC65" i="11"/>
  <c r="AE65" i="11" s="1"/>
  <c r="AH65" i="11"/>
  <c r="AI66" i="11"/>
  <c r="AA66" i="11"/>
  <c r="AG66" i="11" s="1"/>
  <c r="W66" i="11"/>
  <c r="AD66" i="11" s="1"/>
  <c r="S66" i="11"/>
  <c r="O66" i="11"/>
  <c r="K66" i="11"/>
  <c r="Q66" i="11"/>
  <c r="V66" i="11"/>
  <c r="AB66" i="11"/>
  <c r="AL66" i="11"/>
  <c r="M69" i="11"/>
  <c r="R69" i="11"/>
  <c r="X69" i="11"/>
  <c r="AC69" i="11"/>
  <c r="AE69" i="11" s="1"/>
  <c r="AH69" i="11"/>
  <c r="AI70" i="11"/>
  <c r="AA70" i="11"/>
  <c r="AG70" i="11" s="1"/>
  <c r="W70" i="11"/>
  <c r="AD70" i="11" s="1"/>
  <c r="S70" i="11"/>
  <c r="O70" i="11"/>
  <c r="K70" i="11"/>
  <c r="Q70" i="11"/>
  <c r="V70" i="11"/>
  <c r="AB70" i="11"/>
  <c r="AL70" i="11"/>
  <c r="M73" i="11"/>
  <c r="R73" i="11"/>
  <c r="X73" i="11"/>
  <c r="Y73" i="11" s="1"/>
  <c r="AC73" i="11"/>
  <c r="AE73" i="11" s="1"/>
  <c r="AH73" i="11"/>
  <c r="AI74" i="11"/>
  <c r="AA74" i="11"/>
  <c r="AG74" i="11" s="1"/>
  <c r="W74" i="11"/>
  <c r="AD74" i="11" s="1"/>
  <c r="S74" i="11"/>
  <c r="O74" i="11"/>
  <c r="K74" i="11"/>
  <c r="Q74" i="11"/>
  <c r="V74" i="11"/>
  <c r="AB74" i="11" s="1"/>
  <c r="AL74" i="11"/>
  <c r="M77" i="11"/>
  <c r="R77" i="11"/>
  <c r="X77" i="11"/>
  <c r="AC77" i="11"/>
  <c r="AE77" i="11" s="1"/>
  <c r="AH77" i="11"/>
  <c r="AI78" i="11"/>
  <c r="AA78" i="11"/>
  <c r="AG78" i="11" s="1"/>
  <c r="W78" i="11"/>
  <c r="AD78" i="11" s="1"/>
  <c r="S78" i="11"/>
  <c r="O78" i="11"/>
  <c r="K78" i="11"/>
  <c r="Q78" i="11"/>
  <c r="V78" i="11"/>
  <c r="AB78" i="11" s="1"/>
  <c r="AL78" i="11"/>
  <c r="M81" i="11"/>
  <c r="R81" i="11"/>
  <c r="X81" i="11"/>
  <c r="AC81" i="11"/>
  <c r="AE81" i="11" s="1"/>
  <c r="AH81" i="11"/>
  <c r="AI82" i="11"/>
  <c r="AA82" i="11"/>
  <c r="AG82" i="11" s="1"/>
  <c r="W82" i="11"/>
  <c r="AD82" i="11" s="1"/>
  <c r="S82" i="11"/>
  <c r="O82" i="11"/>
  <c r="K82" i="11"/>
  <c r="Q82" i="11"/>
  <c r="V82" i="11"/>
  <c r="AB82" i="11"/>
  <c r="AL82" i="11"/>
  <c r="M85" i="11"/>
  <c r="R85" i="11"/>
  <c r="X85" i="11"/>
  <c r="AC85" i="11"/>
  <c r="AE85" i="11" s="1"/>
  <c r="AH85" i="11"/>
  <c r="AI86" i="11"/>
  <c r="AA86" i="11"/>
  <c r="AG86" i="11" s="1"/>
  <c r="W86" i="11"/>
  <c r="AD86" i="11" s="1"/>
  <c r="S86" i="11"/>
  <c r="O86" i="11"/>
  <c r="K86" i="11"/>
  <c r="Q86" i="11"/>
  <c r="V86" i="11"/>
  <c r="AB86" i="11"/>
  <c r="AL86" i="11"/>
  <c r="M89" i="11"/>
  <c r="R89" i="11"/>
  <c r="X89" i="11"/>
  <c r="Y89" i="11" s="1"/>
  <c r="AC89" i="11"/>
  <c r="AE89" i="11" s="1"/>
  <c r="AH89" i="11"/>
  <c r="AI90" i="11"/>
  <c r="AA90" i="11"/>
  <c r="AG90" i="11" s="1"/>
  <c r="W90" i="11"/>
  <c r="AD90" i="11" s="1"/>
  <c r="S90" i="11"/>
  <c r="O90" i="11"/>
  <c r="K90" i="11"/>
  <c r="Q90" i="11"/>
  <c r="V90" i="11"/>
  <c r="AB90" i="11" s="1"/>
  <c r="AL90" i="11"/>
  <c r="M93" i="11"/>
  <c r="R93" i="11"/>
  <c r="X93" i="11"/>
  <c r="AC93" i="11"/>
  <c r="AE93" i="11" s="1"/>
  <c r="AH93" i="11"/>
  <c r="AI94" i="11"/>
  <c r="AA94" i="11"/>
  <c r="AG94" i="11" s="1"/>
  <c r="W94" i="11"/>
  <c r="AD94" i="11" s="1"/>
  <c r="S94" i="11"/>
  <c r="O94" i="11"/>
  <c r="K94" i="11"/>
  <c r="Q94" i="11"/>
  <c r="V94" i="11"/>
  <c r="AB94" i="11" s="1"/>
  <c r="AL94" i="11"/>
  <c r="M97" i="11"/>
  <c r="R97" i="11"/>
  <c r="X97" i="11"/>
  <c r="AC97" i="11"/>
  <c r="AE97" i="11" s="1"/>
  <c r="AH97" i="11"/>
  <c r="AI98" i="11"/>
  <c r="AA98" i="11"/>
  <c r="AG98" i="11" s="1"/>
  <c r="W98" i="11"/>
  <c r="AD98" i="11" s="1"/>
  <c r="S98" i="11"/>
  <c r="O98" i="11"/>
  <c r="K98" i="11"/>
  <c r="Q98" i="11"/>
  <c r="V98" i="11"/>
  <c r="AB98" i="11"/>
  <c r="AL98" i="11"/>
  <c r="M101" i="11"/>
  <c r="R101" i="11"/>
  <c r="X101" i="11"/>
  <c r="AC101" i="11"/>
  <c r="AE101" i="11" s="1"/>
  <c r="AH101" i="11"/>
  <c r="AI102" i="11"/>
  <c r="AA102" i="11"/>
  <c r="AG102" i="11" s="1"/>
  <c r="W102" i="11"/>
  <c r="AD102" i="11" s="1"/>
  <c r="S102" i="11"/>
  <c r="O102" i="11"/>
  <c r="K102" i="11"/>
  <c r="Q102" i="11"/>
  <c r="V102" i="11"/>
  <c r="AB102" i="11"/>
  <c r="AL102" i="11"/>
  <c r="M105" i="11"/>
  <c r="R105" i="11"/>
  <c r="X105" i="11"/>
  <c r="Y105" i="11" s="1"/>
  <c r="AC105" i="11"/>
  <c r="AE105" i="11" s="1"/>
  <c r="AH105" i="11"/>
  <c r="AI106" i="11"/>
  <c r="AA106" i="11"/>
  <c r="AG106" i="11" s="1"/>
  <c r="W106" i="11"/>
  <c r="AD106" i="11" s="1"/>
  <c r="S106" i="11"/>
  <c r="O106" i="11"/>
  <c r="K106" i="11"/>
  <c r="Q106" i="11"/>
  <c r="V106" i="11"/>
  <c r="AB106" i="11" s="1"/>
  <c r="AL106" i="11"/>
  <c r="M109" i="11"/>
  <c r="R109" i="11"/>
  <c r="X109" i="11"/>
  <c r="AC109" i="11"/>
  <c r="AE109" i="11" s="1"/>
  <c r="AH109" i="11"/>
  <c r="AI110" i="11"/>
  <c r="AA110" i="11"/>
  <c r="AG110" i="11" s="1"/>
  <c r="W110" i="11"/>
  <c r="AD110" i="11" s="1"/>
  <c r="S110" i="11"/>
  <c r="O110" i="11"/>
  <c r="K110" i="11"/>
  <c r="Q110" i="11"/>
  <c r="V110" i="11"/>
  <c r="AB110" i="11" s="1"/>
  <c r="AL110" i="11"/>
  <c r="M113" i="11"/>
  <c r="R113" i="11"/>
  <c r="X113" i="11"/>
  <c r="AC113" i="11"/>
  <c r="AE113" i="11" s="1"/>
  <c r="AH113" i="11"/>
  <c r="AI114" i="11"/>
  <c r="AA114" i="11"/>
  <c r="AG114" i="11" s="1"/>
  <c r="W114" i="11"/>
  <c r="AD114" i="11" s="1"/>
  <c r="S114" i="11"/>
  <c r="O114" i="11"/>
  <c r="K114" i="11"/>
  <c r="Q114" i="11"/>
  <c r="V114" i="11"/>
  <c r="AB114" i="11"/>
  <c r="AL114" i="11"/>
  <c r="M117" i="11"/>
  <c r="R117" i="11"/>
  <c r="X117" i="11"/>
  <c r="AC117" i="11"/>
  <c r="AE117" i="11" s="1"/>
  <c r="AH117" i="11"/>
  <c r="AI118" i="11"/>
  <c r="AA118" i="11"/>
  <c r="AG118" i="11" s="1"/>
  <c r="W118" i="11"/>
  <c r="AD118" i="11" s="1"/>
  <c r="S118" i="11"/>
  <c r="O118" i="11"/>
  <c r="K118" i="11"/>
  <c r="Q118" i="11"/>
  <c r="V118" i="11"/>
  <c r="AB118" i="11"/>
  <c r="AL118" i="11"/>
  <c r="M121" i="11"/>
  <c r="R121" i="11"/>
  <c r="X121" i="11"/>
  <c r="Y121" i="11" s="1"/>
  <c r="AC121" i="11"/>
  <c r="AE121" i="11" s="1"/>
  <c r="AH121" i="11"/>
  <c r="AI122" i="11"/>
  <c r="AA122" i="11"/>
  <c r="AG122" i="11" s="1"/>
  <c r="W122" i="11"/>
  <c r="AD122" i="11" s="1"/>
  <c r="S122" i="11"/>
  <c r="O122" i="11"/>
  <c r="K122" i="11"/>
  <c r="Q122" i="11"/>
  <c r="V122" i="11"/>
  <c r="AB122" i="11" s="1"/>
  <c r="AL122" i="11"/>
  <c r="M125" i="11"/>
  <c r="R125" i="11"/>
  <c r="X125" i="11"/>
  <c r="AC125" i="11"/>
  <c r="AE125" i="11" s="1"/>
  <c r="AH125" i="11"/>
  <c r="AI126" i="11"/>
  <c r="AA126" i="11"/>
  <c r="AG126" i="11" s="1"/>
  <c r="W126" i="11"/>
  <c r="AD126" i="11" s="1"/>
  <c r="S126" i="11"/>
  <c r="O126" i="11"/>
  <c r="K126" i="11"/>
  <c r="Q126" i="11"/>
  <c r="V126" i="11"/>
  <c r="AB126" i="11" s="1"/>
  <c r="AL126" i="11"/>
  <c r="M129" i="11"/>
  <c r="R129" i="11"/>
  <c r="X129" i="11"/>
  <c r="AC129" i="11"/>
  <c r="AE129" i="11" s="1"/>
  <c r="AH129" i="11"/>
  <c r="AI130" i="11"/>
  <c r="AA130" i="11"/>
  <c r="AG130" i="11" s="1"/>
  <c r="W130" i="11"/>
  <c r="AD130" i="11" s="1"/>
  <c r="S130" i="11"/>
  <c r="O130" i="11"/>
  <c r="K130" i="11"/>
  <c r="Q130" i="11"/>
  <c r="V130" i="11"/>
  <c r="AB130" i="11"/>
  <c r="AL130" i="11"/>
  <c r="M133" i="11"/>
  <c r="R133" i="11"/>
  <c r="X133" i="11"/>
  <c r="AC133" i="11"/>
  <c r="AE133" i="11" s="1"/>
  <c r="AH133" i="11"/>
  <c r="AI134" i="11"/>
  <c r="AA134" i="11"/>
  <c r="AG134" i="11" s="1"/>
  <c r="W134" i="11"/>
  <c r="AD134" i="11" s="1"/>
  <c r="S134" i="11"/>
  <c r="O134" i="11"/>
  <c r="K134" i="11"/>
  <c r="Q134" i="11"/>
  <c r="V134" i="11"/>
  <c r="AB134" i="11"/>
  <c r="AL134" i="11"/>
  <c r="M137" i="11"/>
  <c r="R137" i="11"/>
  <c r="X137" i="11"/>
  <c r="Y137" i="11" s="1"/>
  <c r="AC137" i="11"/>
  <c r="AE137" i="11" s="1"/>
  <c r="AH137" i="11"/>
  <c r="AI138" i="11"/>
  <c r="AA138" i="11"/>
  <c r="AG138" i="11" s="1"/>
  <c r="W138" i="11"/>
  <c r="AD138" i="11" s="1"/>
  <c r="S138" i="11"/>
  <c r="O138" i="11"/>
  <c r="K138" i="11"/>
  <c r="Q138" i="11"/>
  <c r="V138" i="11"/>
  <c r="AB138" i="11" s="1"/>
  <c r="AL138" i="11"/>
  <c r="M141" i="11"/>
  <c r="R141" i="11"/>
  <c r="X141" i="11"/>
  <c r="AC141" i="11"/>
  <c r="AE141" i="11" s="1"/>
  <c r="AH141" i="11"/>
  <c r="AI142" i="11"/>
  <c r="AA142" i="11"/>
  <c r="AG142" i="11" s="1"/>
  <c r="W142" i="11"/>
  <c r="AD142" i="11" s="1"/>
  <c r="S142" i="11"/>
  <c r="O142" i="11"/>
  <c r="K142" i="11"/>
  <c r="Q142" i="11"/>
  <c r="V142" i="11"/>
  <c r="AB142" i="11" s="1"/>
  <c r="AL142" i="11"/>
  <c r="M145" i="11"/>
  <c r="R145" i="11"/>
  <c r="X145" i="11"/>
  <c r="AC145" i="11"/>
  <c r="AE145" i="11" s="1"/>
  <c r="AH145" i="11"/>
  <c r="AI146" i="11"/>
  <c r="AA146" i="11"/>
  <c r="AG146" i="11" s="1"/>
  <c r="W146" i="11"/>
  <c r="AD146" i="11" s="1"/>
  <c r="S146" i="11"/>
  <c r="O146" i="11"/>
  <c r="K146" i="11"/>
  <c r="Q146" i="11"/>
  <c r="V146" i="11"/>
  <c r="AB146" i="11"/>
  <c r="AL146" i="11"/>
  <c r="M149" i="11"/>
  <c r="R149" i="11"/>
  <c r="X149" i="11"/>
  <c r="AC149" i="11"/>
  <c r="AE149" i="11" s="1"/>
  <c r="AH149" i="11"/>
  <c r="AI150" i="11"/>
  <c r="AA150" i="11"/>
  <c r="AG150" i="11" s="1"/>
  <c r="W150" i="11"/>
  <c r="AD150" i="11" s="1"/>
  <c r="S150" i="11"/>
  <c r="O150" i="11"/>
  <c r="K150" i="11"/>
  <c r="Q150" i="11"/>
  <c r="V150" i="11"/>
  <c r="AB150" i="11"/>
  <c r="AL150" i="11"/>
  <c r="M153" i="11"/>
  <c r="R153" i="11"/>
  <c r="X153" i="11"/>
  <c r="Y153" i="11" s="1"/>
  <c r="AC153" i="11"/>
  <c r="AE153" i="11" s="1"/>
  <c r="AH153" i="11"/>
  <c r="AI154" i="11"/>
  <c r="AA154" i="11"/>
  <c r="AG154" i="11" s="1"/>
  <c r="W154" i="11"/>
  <c r="AD154" i="11" s="1"/>
  <c r="S154" i="11"/>
  <c r="O154" i="11"/>
  <c r="K154" i="11"/>
  <c r="Q154" i="11"/>
  <c r="V154" i="11"/>
  <c r="AB154" i="11" s="1"/>
  <c r="AL154" i="11"/>
  <c r="M157" i="11"/>
  <c r="R157" i="11"/>
  <c r="X157" i="11"/>
  <c r="AC157" i="11"/>
  <c r="AE157" i="11" s="1"/>
  <c r="AH157" i="11"/>
  <c r="AI158" i="11"/>
  <c r="AA158" i="11"/>
  <c r="AG158" i="11" s="1"/>
  <c r="W158" i="11"/>
  <c r="AD158" i="11" s="1"/>
  <c r="S158" i="11"/>
  <c r="O158" i="11"/>
  <c r="K158" i="11"/>
  <c r="Q158" i="11"/>
  <c r="V158" i="11"/>
  <c r="AB158" i="11" s="1"/>
  <c r="AL158" i="11"/>
  <c r="M161" i="11"/>
  <c r="R161" i="11"/>
  <c r="X161" i="11"/>
  <c r="AC161" i="11"/>
  <c r="AE161" i="11" s="1"/>
  <c r="AH161" i="11"/>
  <c r="AI162" i="11"/>
  <c r="AA162" i="11"/>
  <c r="AG162" i="11" s="1"/>
  <c r="W162" i="11"/>
  <c r="AD162" i="11" s="1"/>
  <c r="S162" i="11"/>
  <c r="O162" i="11"/>
  <c r="K162" i="11"/>
  <c r="Q162" i="11"/>
  <c r="V162" i="11"/>
  <c r="AB162" i="11"/>
  <c r="AL162" i="11"/>
  <c r="M165" i="11"/>
  <c r="R165" i="11"/>
  <c r="X165" i="11"/>
  <c r="AC165" i="11"/>
  <c r="AE165" i="11" s="1"/>
  <c r="AH165" i="11"/>
  <c r="AI166" i="11"/>
  <c r="AA166" i="11"/>
  <c r="AG166" i="11" s="1"/>
  <c r="W166" i="11"/>
  <c r="AD166" i="11" s="1"/>
  <c r="S166" i="11"/>
  <c r="O166" i="11"/>
  <c r="K166" i="11"/>
  <c r="Q166" i="11"/>
  <c r="V166" i="11"/>
  <c r="AB166" i="11"/>
  <c r="AL166" i="11"/>
  <c r="M169" i="11"/>
  <c r="R169" i="11"/>
  <c r="X169" i="11"/>
  <c r="Y169" i="11" s="1"/>
  <c r="AC169" i="11"/>
  <c r="AE169" i="11" s="1"/>
  <c r="AH169" i="11"/>
  <c r="AI170" i="11"/>
  <c r="AA170" i="11"/>
  <c r="AG170" i="11" s="1"/>
  <c r="W170" i="11"/>
  <c r="AD170" i="11" s="1"/>
  <c r="S170" i="11"/>
  <c r="O170" i="11"/>
  <c r="K170" i="11"/>
  <c r="Q170" i="11"/>
  <c r="V170" i="11"/>
  <c r="AB170" i="11" s="1"/>
  <c r="AL170" i="11"/>
  <c r="M173" i="11"/>
  <c r="R173" i="11"/>
  <c r="X173" i="11"/>
  <c r="AC173" i="11"/>
  <c r="AE173" i="11" s="1"/>
  <c r="AH173" i="11"/>
  <c r="AI174" i="11"/>
  <c r="AA174" i="11"/>
  <c r="AG174" i="11" s="1"/>
  <c r="W174" i="11"/>
  <c r="AD174" i="11" s="1"/>
  <c r="S174" i="11"/>
  <c r="O174" i="11"/>
  <c r="K174" i="11"/>
  <c r="Q174" i="11"/>
  <c r="V174" i="11"/>
  <c r="AB174" i="11" s="1"/>
  <c r="AL174" i="11"/>
  <c r="M177" i="11"/>
  <c r="R177" i="11"/>
  <c r="X177" i="11"/>
  <c r="AC177" i="11"/>
  <c r="AE177" i="11" s="1"/>
  <c r="AH177" i="11"/>
  <c r="AI178" i="11"/>
  <c r="AA178" i="11"/>
  <c r="AG178" i="11" s="1"/>
  <c r="W178" i="11"/>
  <c r="AD178" i="11" s="1"/>
  <c r="S178" i="11"/>
  <c r="O178" i="11"/>
  <c r="K178" i="11"/>
  <c r="Q178" i="11"/>
  <c r="V178" i="11"/>
  <c r="AB178" i="11"/>
  <c r="AL178" i="11"/>
  <c r="M181" i="11"/>
  <c r="R181" i="11"/>
  <c r="X181" i="11"/>
  <c r="AC181" i="11"/>
  <c r="AE181" i="11" s="1"/>
  <c r="AH181" i="11"/>
  <c r="AI182" i="11"/>
  <c r="AA182" i="11"/>
  <c r="AG182" i="11" s="1"/>
  <c r="W182" i="11"/>
  <c r="AD182" i="11" s="1"/>
  <c r="S182" i="11"/>
  <c r="O182" i="11"/>
  <c r="K182" i="11"/>
  <c r="Q182" i="11"/>
  <c r="V182" i="11"/>
  <c r="AB182" i="11"/>
  <c r="AL182" i="11"/>
  <c r="M185" i="11"/>
  <c r="R185" i="11"/>
  <c r="X185" i="11"/>
  <c r="Y185" i="11" s="1"/>
  <c r="AC185" i="11"/>
  <c r="AE185" i="11" s="1"/>
  <c r="AH185" i="11"/>
  <c r="AI186" i="11"/>
  <c r="AA186" i="11"/>
  <c r="AG186" i="11" s="1"/>
  <c r="W186" i="11"/>
  <c r="AD186" i="11" s="1"/>
  <c r="S186" i="11"/>
  <c r="O186" i="11"/>
  <c r="K186" i="11"/>
  <c r="Q186" i="11"/>
  <c r="V186" i="11"/>
  <c r="AB186" i="11" s="1"/>
  <c r="AL186" i="11"/>
  <c r="M189" i="11"/>
  <c r="R189" i="11"/>
  <c r="X189" i="11"/>
  <c r="AC189" i="11"/>
  <c r="AE189" i="11" s="1"/>
  <c r="AH189" i="11"/>
  <c r="AI190" i="11"/>
  <c r="AA190" i="11"/>
  <c r="AG190" i="11" s="1"/>
  <c r="W190" i="11"/>
  <c r="AD190" i="11" s="1"/>
  <c r="S190" i="11"/>
  <c r="O190" i="11"/>
  <c r="K190" i="11"/>
  <c r="Q190" i="11"/>
  <c r="V190" i="11"/>
  <c r="AB190" i="11" s="1"/>
  <c r="AL190" i="11"/>
  <c r="M193" i="11"/>
  <c r="R193" i="11"/>
  <c r="X193" i="11"/>
  <c r="AC193" i="11"/>
  <c r="AE193" i="11" s="1"/>
  <c r="AH193" i="11"/>
  <c r="AI194" i="11"/>
  <c r="AA194" i="11"/>
  <c r="AG194" i="11" s="1"/>
  <c r="W194" i="11"/>
  <c r="AD194" i="11" s="1"/>
  <c r="S194" i="11"/>
  <c r="O194" i="11"/>
  <c r="K194" i="11"/>
  <c r="Q194" i="11"/>
  <c r="V194" i="11"/>
  <c r="AB194" i="11"/>
  <c r="AL194" i="11"/>
  <c r="M197" i="11"/>
  <c r="R197" i="11"/>
  <c r="X197" i="11"/>
  <c r="AC197" i="11"/>
  <c r="AE197" i="11" s="1"/>
  <c r="AH197" i="11"/>
  <c r="AI198" i="11"/>
  <c r="AA198" i="11"/>
  <c r="AG198" i="11" s="1"/>
  <c r="W198" i="11"/>
  <c r="AD198" i="11" s="1"/>
  <c r="S198" i="11"/>
  <c r="O198" i="11"/>
  <c r="K198" i="11"/>
  <c r="Q198" i="11"/>
  <c r="V198" i="11"/>
  <c r="AB198" i="11"/>
  <c r="AL198" i="11"/>
  <c r="M201" i="11"/>
  <c r="R201" i="11"/>
  <c r="X201" i="11"/>
  <c r="Y201" i="11" s="1"/>
  <c r="AC201" i="11"/>
  <c r="AE201" i="11" s="1"/>
  <c r="AH201" i="11"/>
  <c r="AI202" i="11"/>
  <c r="AA202" i="11"/>
  <c r="AG202" i="11" s="1"/>
  <c r="W202" i="11"/>
  <c r="AD202" i="11" s="1"/>
  <c r="S202" i="11"/>
  <c r="O202" i="11"/>
  <c r="K202" i="11"/>
  <c r="Q202" i="11"/>
  <c r="V202" i="11"/>
  <c r="AB202" i="11" s="1"/>
  <c r="AL202" i="11"/>
  <c r="M205" i="11"/>
  <c r="R205" i="11"/>
  <c r="X205" i="11"/>
  <c r="AC205" i="11"/>
  <c r="AE205" i="11" s="1"/>
  <c r="AH205" i="11"/>
  <c r="AI206" i="11"/>
  <c r="AA206" i="11"/>
  <c r="AG206" i="11" s="1"/>
  <c r="W206" i="11"/>
  <c r="AD206" i="11" s="1"/>
  <c r="S206" i="11"/>
  <c r="O206" i="11"/>
  <c r="K206" i="11"/>
  <c r="Q206" i="11"/>
  <c r="V206" i="11"/>
  <c r="AB206" i="11" s="1"/>
  <c r="AL206" i="11"/>
  <c r="M209" i="11"/>
  <c r="R209" i="11"/>
  <c r="X209" i="11"/>
  <c r="AC209" i="11"/>
  <c r="AE209" i="11" s="1"/>
  <c r="AH209" i="11"/>
  <c r="AI210" i="11"/>
  <c r="AA210" i="11"/>
  <c r="AG210" i="11" s="1"/>
  <c r="W210" i="11"/>
  <c r="AD210" i="11" s="1"/>
  <c r="S210" i="11"/>
  <c r="O210" i="11"/>
  <c r="K210" i="11"/>
  <c r="Q210" i="11"/>
  <c r="V210" i="11"/>
  <c r="AB210" i="11"/>
  <c r="AL210" i="11"/>
  <c r="M213" i="11"/>
  <c r="R213" i="11"/>
  <c r="X213" i="11"/>
  <c r="AC213" i="11"/>
  <c r="AE213" i="11" s="1"/>
  <c r="AH213" i="11"/>
  <c r="AI214" i="11"/>
  <c r="AA214" i="11"/>
  <c r="AG214" i="11" s="1"/>
  <c r="W214" i="11"/>
  <c r="AD214" i="11" s="1"/>
  <c r="S214" i="11"/>
  <c r="O214" i="11"/>
  <c r="K214" i="11"/>
  <c r="Q214" i="11"/>
  <c r="V214" i="11"/>
  <c r="AB214" i="11"/>
  <c r="AL214" i="11"/>
  <c r="M217" i="11"/>
  <c r="R217" i="11"/>
  <c r="X217" i="11"/>
  <c r="Y217" i="11" s="1"/>
  <c r="AC217" i="11"/>
  <c r="AE217" i="11" s="1"/>
  <c r="AH217" i="11"/>
  <c r="AI218" i="11"/>
  <c r="AA218" i="11"/>
  <c r="AG218" i="11" s="1"/>
  <c r="W218" i="11"/>
  <c r="AD218" i="11" s="1"/>
  <c r="S218" i="11"/>
  <c r="O218" i="11"/>
  <c r="K218" i="11"/>
  <c r="Q218" i="11"/>
  <c r="V218" i="11"/>
  <c r="AB218" i="11" s="1"/>
  <c r="AL218" i="11"/>
  <c r="M221" i="11"/>
  <c r="R221" i="11"/>
  <c r="X221" i="11"/>
  <c r="AC221" i="11"/>
  <c r="AE221" i="11" s="1"/>
  <c r="AH221" i="11"/>
  <c r="AI222" i="11"/>
  <c r="AA222" i="11"/>
  <c r="AG222" i="11" s="1"/>
  <c r="W222" i="11"/>
  <c r="AD222" i="11" s="1"/>
  <c r="S222" i="11"/>
  <c r="O222" i="11"/>
  <c r="K222" i="11"/>
  <c r="Q222" i="11"/>
  <c r="V222" i="11"/>
  <c r="AB222" i="11" s="1"/>
  <c r="AL222" i="11"/>
  <c r="M225" i="11"/>
  <c r="R225" i="11"/>
  <c r="X225" i="11"/>
  <c r="AC225" i="11"/>
  <c r="AE225" i="11" s="1"/>
  <c r="AH225" i="11"/>
  <c r="AI226" i="11"/>
  <c r="AA226" i="11"/>
  <c r="AG226" i="11" s="1"/>
  <c r="W226" i="11"/>
  <c r="AD226" i="11" s="1"/>
  <c r="S226" i="11"/>
  <c r="O226" i="11"/>
  <c r="K226" i="11"/>
  <c r="Q226" i="11"/>
  <c r="V226" i="11"/>
  <c r="AB226" i="11"/>
  <c r="AL226" i="11"/>
  <c r="M229" i="11"/>
  <c r="R229" i="11"/>
  <c r="X229" i="11"/>
  <c r="AC229" i="11"/>
  <c r="AE229" i="11" s="1"/>
  <c r="AH229" i="11"/>
  <c r="AI230" i="11"/>
  <c r="AA230" i="11"/>
  <c r="AG230" i="11" s="1"/>
  <c r="W230" i="11"/>
  <c r="AD230" i="11" s="1"/>
  <c r="S230" i="11"/>
  <c r="O230" i="11"/>
  <c r="K230" i="11"/>
  <c r="Q230" i="11"/>
  <c r="V230" i="11"/>
  <c r="AB230" i="11"/>
  <c r="AL230" i="11"/>
  <c r="M233" i="11"/>
  <c r="R233" i="11"/>
  <c r="X233" i="11"/>
  <c r="Y233" i="11" s="1"/>
  <c r="AC233" i="11"/>
  <c r="AE233" i="11" s="1"/>
  <c r="AH233" i="11"/>
  <c r="AI234" i="11"/>
  <c r="AA234" i="11"/>
  <c r="AG234" i="11" s="1"/>
  <c r="W234" i="11"/>
  <c r="AD234" i="11" s="1"/>
  <c r="S234" i="11"/>
  <c r="O234" i="11"/>
  <c r="K234" i="11"/>
  <c r="Q234" i="11"/>
  <c r="V234" i="11"/>
  <c r="AB234" i="11" s="1"/>
  <c r="AL234" i="11"/>
  <c r="M237" i="11"/>
  <c r="R237" i="11"/>
  <c r="X237" i="11"/>
  <c r="AC237" i="11"/>
  <c r="AE237" i="11" s="1"/>
  <c r="AH237" i="11"/>
  <c r="AI238" i="11"/>
  <c r="AA238" i="11"/>
  <c r="AG238" i="11" s="1"/>
  <c r="W238" i="11"/>
  <c r="AD238" i="11" s="1"/>
  <c r="S238" i="11"/>
  <c r="O238" i="11"/>
  <c r="K238" i="11"/>
  <c r="Q238" i="11"/>
  <c r="V238" i="11"/>
  <c r="AB238" i="11" s="1"/>
  <c r="AL238" i="11"/>
  <c r="M241" i="11"/>
  <c r="R241" i="11"/>
  <c r="X241" i="11"/>
  <c r="AC241" i="11"/>
  <c r="AE241" i="11" s="1"/>
  <c r="AH241" i="11"/>
  <c r="AI242" i="11"/>
  <c r="AA242" i="11"/>
  <c r="AG242" i="11" s="1"/>
  <c r="W242" i="11"/>
  <c r="AD242" i="11" s="1"/>
  <c r="S242" i="11"/>
  <c r="O242" i="11"/>
  <c r="K242" i="11"/>
  <c r="Q242" i="11"/>
  <c r="V242" i="11"/>
  <c r="AB242" i="11"/>
  <c r="AL242" i="11"/>
  <c r="M245" i="11"/>
  <c r="R245" i="11"/>
  <c r="X245" i="11"/>
  <c r="AC245" i="11"/>
  <c r="AE245" i="11" s="1"/>
  <c r="AH245" i="11"/>
  <c r="AI246" i="11"/>
  <c r="AA246" i="11"/>
  <c r="AG246" i="11" s="1"/>
  <c r="W246" i="11"/>
  <c r="AD246" i="11" s="1"/>
  <c r="S246" i="11"/>
  <c r="O246" i="11"/>
  <c r="K246" i="11"/>
  <c r="Q246" i="11"/>
  <c r="V246" i="11"/>
  <c r="AB246" i="11"/>
  <c r="AL246" i="11"/>
  <c r="M249" i="11"/>
  <c r="R249" i="11"/>
  <c r="X249" i="11"/>
  <c r="Y249" i="11" s="1"/>
  <c r="AC249" i="11"/>
  <c r="AE249" i="11" s="1"/>
  <c r="AH249" i="11"/>
  <c r="AI250" i="11"/>
  <c r="AA250" i="11"/>
  <c r="AG250" i="11" s="1"/>
  <c r="W250" i="11"/>
  <c r="AD250" i="11" s="1"/>
  <c r="S250" i="11"/>
  <c r="O250" i="11"/>
  <c r="K250" i="11"/>
  <c r="Q250" i="11"/>
  <c r="V250" i="11"/>
  <c r="AB250" i="11" s="1"/>
  <c r="AL250" i="11"/>
  <c r="M253" i="11"/>
  <c r="R253" i="11"/>
  <c r="X253" i="11"/>
  <c r="AC253" i="11"/>
  <c r="AE253" i="11" s="1"/>
  <c r="AH253" i="11"/>
  <c r="AI254" i="11"/>
  <c r="AA254" i="11"/>
  <c r="AG254" i="11" s="1"/>
  <c r="W254" i="11"/>
  <c r="AD254" i="11" s="1"/>
  <c r="S254" i="11"/>
  <c r="O254" i="11"/>
  <c r="K254" i="11"/>
  <c r="Q254" i="11"/>
  <c r="V254" i="11"/>
  <c r="AB254" i="11" s="1"/>
  <c r="AL254" i="11"/>
  <c r="M257" i="11"/>
  <c r="R257" i="11"/>
  <c r="X257" i="11"/>
  <c r="AC257" i="11"/>
  <c r="AE257" i="11" s="1"/>
  <c r="AH257" i="11"/>
  <c r="AI258" i="11"/>
  <c r="AA258" i="11"/>
  <c r="AG258" i="11" s="1"/>
  <c r="W258" i="11"/>
  <c r="AD258" i="11" s="1"/>
  <c r="S258" i="11"/>
  <c r="O258" i="11"/>
  <c r="K258" i="11"/>
  <c r="Q258" i="11"/>
  <c r="V258" i="11"/>
  <c r="AB258" i="11"/>
  <c r="AL258" i="11"/>
  <c r="M261" i="11"/>
  <c r="R261" i="11"/>
  <c r="X261" i="11"/>
  <c r="AC261" i="11"/>
  <c r="AE261" i="11" s="1"/>
  <c r="AH261" i="11"/>
  <c r="AI262" i="11"/>
  <c r="AA262" i="11"/>
  <c r="AG262" i="11" s="1"/>
  <c r="W262" i="11"/>
  <c r="AD262" i="11" s="1"/>
  <c r="S262" i="11"/>
  <c r="O262" i="11"/>
  <c r="K262" i="11"/>
  <c r="Q262" i="11"/>
  <c r="V262" i="11"/>
  <c r="AB262" i="11"/>
  <c r="AL262" i="11"/>
  <c r="M265" i="11"/>
  <c r="R265" i="11"/>
  <c r="X265" i="11"/>
  <c r="Y265" i="11" s="1"/>
  <c r="AC265" i="11"/>
  <c r="AE265" i="11" s="1"/>
  <c r="AH265" i="11"/>
  <c r="AI266" i="11"/>
  <c r="AA266" i="11"/>
  <c r="AG266" i="11" s="1"/>
  <c r="W266" i="11"/>
  <c r="AD266" i="11" s="1"/>
  <c r="S266" i="11"/>
  <c r="O266" i="11"/>
  <c r="K266" i="11"/>
  <c r="Q266" i="11"/>
  <c r="V266" i="11"/>
  <c r="AB266" i="11" s="1"/>
  <c r="AL266" i="11"/>
  <c r="M269" i="11"/>
  <c r="R269" i="11"/>
  <c r="X269" i="11"/>
  <c r="AC269" i="11"/>
  <c r="AE269" i="11" s="1"/>
  <c r="AH269" i="11"/>
  <c r="AI270" i="11"/>
  <c r="AA270" i="11"/>
  <c r="AG270" i="11" s="1"/>
  <c r="W270" i="11"/>
  <c r="AD270" i="11" s="1"/>
  <c r="S270" i="11"/>
  <c r="O270" i="11"/>
  <c r="K270" i="11"/>
  <c r="Q270" i="11"/>
  <c r="V270" i="11"/>
  <c r="AB270" i="11" s="1"/>
  <c r="AL270" i="11"/>
  <c r="M273" i="11"/>
  <c r="R273" i="11"/>
  <c r="X273" i="11"/>
  <c r="AC273" i="11"/>
  <c r="AE273" i="11" s="1"/>
  <c r="AH273" i="11"/>
  <c r="AI274" i="11"/>
  <c r="AA274" i="11"/>
  <c r="AG274" i="11" s="1"/>
  <c r="W274" i="11"/>
  <c r="AD274" i="11" s="1"/>
  <c r="S274" i="11"/>
  <c r="O274" i="11"/>
  <c r="K274" i="11"/>
  <c r="Q274" i="11"/>
  <c r="V274" i="11"/>
  <c r="AB274" i="11"/>
  <c r="AL274" i="11"/>
  <c r="M277" i="11"/>
  <c r="R277" i="11"/>
  <c r="X277" i="11"/>
  <c r="AC277" i="11"/>
  <c r="AE277" i="11" s="1"/>
  <c r="AH277" i="11"/>
  <c r="AI278" i="11"/>
  <c r="AA278" i="11"/>
  <c r="AG278" i="11" s="1"/>
  <c r="W278" i="11"/>
  <c r="AD278" i="11" s="1"/>
  <c r="S278" i="11"/>
  <c r="O278" i="11"/>
  <c r="K278" i="11"/>
  <c r="Q278" i="11"/>
  <c r="V278" i="11"/>
  <c r="AB278" i="11"/>
  <c r="AL278" i="11"/>
  <c r="M281" i="11"/>
  <c r="R281" i="11"/>
  <c r="X281" i="11"/>
  <c r="Y281" i="11" s="1"/>
  <c r="AC281" i="11"/>
  <c r="AE281" i="11" s="1"/>
  <c r="AH281" i="11"/>
  <c r="AI282" i="11"/>
  <c r="AA282" i="11"/>
  <c r="AG282" i="11" s="1"/>
  <c r="W282" i="11"/>
  <c r="AD282" i="11" s="1"/>
  <c r="S282" i="11"/>
  <c r="O282" i="11"/>
  <c r="K282" i="11"/>
  <c r="Q282" i="11"/>
  <c r="V282" i="11"/>
  <c r="AB282" i="11" s="1"/>
  <c r="AL282" i="11"/>
  <c r="M285" i="11"/>
  <c r="R285" i="11"/>
  <c r="X285" i="11"/>
  <c r="AC285" i="11"/>
  <c r="AE285" i="11" s="1"/>
  <c r="AH285" i="11"/>
  <c r="AI286" i="11"/>
  <c r="AA286" i="11"/>
  <c r="AG286" i="11" s="1"/>
  <c r="W286" i="11"/>
  <c r="AD286" i="11" s="1"/>
  <c r="S286" i="11"/>
  <c r="O286" i="11"/>
  <c r="K286" i="11"/>
  <c r="Q286" i="11"/>
  <c r="V286" i="11"/>
  <c r="AB286" i="11" s="1"/>
  <c r="AL286" i="11"/>
  <c r="M289" i="11"/>
  <c r="R289" i="11"/>
  <c r="X289" i="11"/>
  <c r="AC289" i="11"/>
  <c r="AE289" i="11" s="1"/>
  <c r="AH289" i="11"/>
  <c r="AI290" i="11"/>
  <c r="AA290" i="11"/>
  <c r="AG290" i="11" s="1"/>
  <c r="W290" i="11"/>
  <c r="AD290" i="11" s="1"/>
  <c r="S290" i="11"/>
  <c r="O290" i="11"/>
  <c r="K290" i="11"/>
  <c r="Q290" i="11"/>
  <c r="V290" i="11"/>
  <c r="AB290" i="11"/>
  <c r="AL290" i="11"/>
  <c r="M293" i="11"/>
  <c r="R293" i="11"/>
  <c r="X293" i="11"/>
  <c r="AC293" i="11"/>
  <c r="AE293" i="11" s="1"/>
  <c r="AH293" i="11"/>
  <c r="AI294" i="11"/>
  <c r="AA294" i="11"/>
  <c r="AG294" i="11" s="1"/>
  <c r="W294" i="11"/>
  <c r="AD294" i="11" s="1"/>
  <c r="S294" i="11"/>
  <c r="O294" i="11"/>
  <c r="K294" i="11"/>
  <c r="Q294" i="11"/>
  <c r="V294" i="11"/>
  <c r="AB294" i="11"/>
  <c r="AL294" i="11"/>
  <c r="M297" i="11"/>
  <c r="R297" i="11"/>
  <c r="X297" i="11"/>
  <c r="Y297" i="11" s="1"/>
  <c r="AC297" i="11"/>
  <c r="AE297" i="11" s="1"/>
  <c r="AH297" i="11"/>
  <c r="AI298" i="11"/>
  <c r="AA298" i="11"/>
  <c r="AG298" i="11" s="1"/>
  <c r="W298" i="11"/>
  <c r="AD298" i="11" s="1"/>
  <c r="S298" i="11"/>
  <c r="O298" i="11"/>
  <c r="K298" i="11"/>
  <c r="Q298" i="11"/>
  <c r="V298" i="11"/>
  <c r="AB298" i="11" s="1"/>
  <c r="AL298" i="11"/>
  <c r="M301" i="11"/>
  <c r="R301" i="11"/>
  <c r="X301" i="11"/>
  <c r="AC301" i="11"/>
  <c r="AE301" i="11" s="1"/>
  <c r="AH301" i="11"/>
  <c r="AI302" i="11"/>
  <c r="AA302" i="11"/>
  <c r="AG302" i="11" s="1"/>
  <c r="W302" i="11"/>
  <c r="AD302" i="11" s="1"/>
  <c r="S302" i="11"/>
  <c r="O302" i="11"/>
  <c r="K302" i="11"/>
  <c r="Q302" i="11"/>
  <c r="V302" i="11"/>
  <c r="AB302" i="11" s="1"/>
  <c r="AL302" i="11"/>
  <c r="M305" i="11"/>
  <c r="R305" i="11"/>
  <c r="X305" i="11"/>
  <c r="AC305" i="11"/>
  <c r="AE305" i="11" s="1"/>
  <c r="AH305" i="11"/>
  <c r="AI306" i="11"/>
  <c r="AA306" i="11"/>
  <c r="AG306" i="11" s="1"/>
  <c r="W306" i="11"/>
  <c r="AD306" i="11" s="1"/>
  <c r="S306" i="11"/>
  <c r="O306" i="11"/>
  <c r="K306" i="11"/>
  <c r="Q306" i="11"/>
  <c r="V306" i="11"/>
  <c r="AB306" i="11"/>
  <c r="AL306" i="11"/>
  <c r="M309" i="11"/>
  <c r="R309" i="11"/>
  <c r="X309" i="11"/>
  <c r="AC309" i="11"/>
  <c r="AE309" i="11" s="1"/>
  <c r="AH309" i="11"/>
  <c r="AI310" i="11"/>
  <c r="AA310" i="11"/>
  <c r="AG310" i="11" s="1"/>
  <c r="W310" i="11"/>
  <c r="AD310" i="11" s="1"/>
  <c r="S310" i="11"/>
  <c r="O310" i="11"/>
  <c r="K310" i="11"/>
  <c r="Q310" i="11"/>
  <c r="V310" i="11"/>
  <c r="AB310" i="11"/>
  <c r="AL310" i="11"/>
  <c r="M313" i="11"/>
  <c r="R313" i="11"/>
  <c r="X313" i="11"/>
  <c r="Y313" i="11" s="1"/>
  <c r="AC313" i="11"/>
  <c r="AE313" i="11" s="1"/>
  <c r="AH313" i="11"/>
  <c r="AI314" i="11"/>
  <c r="AA314" i="11"/>
  <c r="AG314" i="11" s="1"/>
  <c r="W314" i="11"/>
  <c r="AD314" i="11" s="1"/>
  <c r="S314" i="11"/>
  <c r="O314" i="11"/>
  <c r="K314" i="11"/>
  <c r="Q314" i="11"/>
  <c r="V314" i="11"/>
  <c r="AB314" i="11" s="1"/>
  <c r="AL314" i="11"/>
  <c r="M317" i="11"/>
  <c r="R317" i="11"/>
  <c r="X317" i="11"/>
  <c r="AC317" i="11"/>
  <c r="AE317" i="11" s="1"/>
  <c r="AH317" i="11"/>
  <c r="AI318" i="11"/>
  <c r="AA318" i="11"/>
  <c r="AG318" i="11" s="1"/>
  <c r="W318" i="11"/>
  <c r="AD318" i="11" s="1"/>
  <c r="S318" i="11"/>
  <c r="O318" i="11"/>
  <c r="K318" i="11"/>
  <c r="Q318" i="11"/>
  <c r="V318" i="11"/>
  <c r="AB318" i="11" s="1"/>
  <c r="AL318" i="11"/>
  <c r="M321" i="11"/>
  <c r="R321" i="11"/>
  <c r="X321" i="11"/>
  <c r="AC321" i="11"/>
  <c r="AE321" i="11" s="1"/>
  <c r="AH321" i="11"/>
  <c r="AI322" i="11"/>
  <c r="AA322" i="11"/>
  <c r="AG322" i="11" s="1"/>
  <c r="W322" i="11"/>
  <c r="AD322" i="11" s="1"/>
  <c r="S322" i="11"/>
  <c r="O322" i="11"/>
  <c r="K322" i="11"/>
  <c r="Q322" i="11"/>
  <c r="V322" i="11"/>
  <c r="AB322" i="11"/>
  <c r="AL322" i="11"/>
  <c r="M325" i="11"/>
  <c r="R325" i="11"/>
  <c r="X325" i="11"/>
  <c r="AC325" i="11"/>
  <c r="AE325" i="11" s="1"/>
  <c r="AH325" i="11"/>
  <c r="AI326" i="11"/>
  <c r="AA326" i="11"/>
  <c r="AG326" i="11" s="1"/>
  <c r="W326" i="11"/>
  <c r="AD326" i="11" s="1"/>
  <c r="S326" i="11"/>
  <c r="O326" i="11"/>
  <c r="K326" i="11"/>
  <c r="Q326" i="11"/>
  <c r="V326" i="11"/>
  <c r="AB326" i="11"/>
  <c r="AL326" i="11"/>
  <c r="M329" i="11"/>
  <c r="R329" i="11"/>
  <c r="X329" i="11"/>
  <c r="Y329" i="11" s="1"/>
  <c r="AC329" i="11"/>
  <c r="AE329" i="11" s="1"/>
  <c r="AH329" i="11"/>
  <c r="AI330" i="11"/>
  <c r="AA330" i="11"/>
  <c r="AG330" i="11" s="1"/>
  <c r="W330" i="11"/>
  <c r="AD330" i="11" s="1"/>
  <c r="S330" i="11"/>
  <c r="O330" i="11"/>
  <c r="K330" i="11"/>
  <c r="Q330" i="11"/>
  <c r="V330" i="11"/>
  <c r="AB330" i="11" s="1"/>
  <c r="AL330" i="11"/>
  <c r="M333" i="11"/>
  <c r="R333" i="11"/>
  <c r="X333" i="11"/>
  <c r="AC333" i="11"/>
  <c r="AE333" i="11" s="1"/>
  <c r="AH333" i="11"/>
  <c r="AI334" i="11"/>
  <c r="AA334" i="11"/>
  <c r="AG334" i="11" s="1"/>
  <c r="W334" i="11"/>
  <c r="AD334" i="11" s="1"/>
  <c r="S334" i="11"/>
  <c r="O334" i="11"/>
  <c r="K334" i="11"/>
  <c r="Q334" i="11"/>
  <c r="V334" i="11"/>
  <c r="AB334" i="11" s="1"/>
  <c r="AL334" i="11"/>
  <c r="M337" i="11"/>
  <c r="R337" i="11"/>
  <c r="X337" i="11"/>
  <c r="AC337" i="11"/>
  <c r="AE337" i="11" s="1"/>
  <c r="AH337" i="11"/>
  <c r="AI338" i="11"/>
  <c r="AA338" i="11"/>
  <c r="AG338" i="11" s="1"/>
  <c r="W338" i="11"/>
  <c r="AD338" i="11" s="1"/>
  <c r="S338" i="11"/>
  <c r="O338" i="11"/>
  <c r="K338" i="11"/>
  <c r="Q338" i="11"/>
  <c r="V338" i="11"/>
  <c r="AB338" i="11"/>
  <c r="AL338" i="11"/>
  <c r="M341" i="11"/>
  <c r="R341" i="11"/>
  <c r="X341" i="11"/>
  <c r="AC341" i="11"/>
  <c r="AE341" i="11" s="1"/>
  <c r="AH341" i="11"/>
  <c r="AI342" i="11"/>
  <c r="AA342" i="11"/>
  <c r="AG342" i="11" s="1"/>
  <c r="W342" i="11"/>
  <c r="AD342" i="11" s="1"/>
  <c r="S342" i="11"/>
  <c r="O342" i="11"/>
  <c r="K342" i="11"/>
  <c r="Q342" i="11"/>
  <c r="V342" i="11"/>
  <c r="AB342" i="11"/>
  <c r="AL342" i="11"/>
  <c r="M345" i="11"/>
  <c r="R345" i="11"/>
  <c r="X345" i="11"/>
  <c r="Y345" i="11" s="1"/>
  <c r="AC345" i="11"/>
  <c r="AE345" i="11" s="1"/>
  <c r="AH345" i="11"/>
  <c r="AI346" i="11"/>
  <c r="AA346" i="11"/>
  <c r="AG346" i="11" s="1"/>
  <c r="W346" i="11"/>
  <c r="AD346" i="11" s="1"/>
  <c r="S346" i="11"/>
  <c r="O346" i="11"/>
  <c r="K346" i="11"/>
  <c r="Q346" i="11"/>
  <c r="V346" i="11"/>
  <c r="AB346" i="11" s="1"/>
  <c r="AL346" i="11"/>
  <c r="M349" i="11"/>
  <c r="R349" i="11"/>
  <c r="X349" i="11"/>
  <c r="AC349" i="11"/>
  <c r="AE349" i="11" s="1"/>
  <c r="AH349" i="11"/>
  <c r="AI350" i="11"/>
  <c r="AA350" i="11"/>
  <c r="AG350" i="11" s="1"/>
  <c r="W350" i="11"/>
  <c r="AD350" i="11" s="1"/>
  <c r="S350" i="11"/>
  <c r="O350" i="11"/>
  <c r="K350" i="11"/>
  <c r="Q350" i="11"/>
  <c r="V350" i="11"/>
  <c r="AB350" i="11" s="1"/>
  <c r="AL350" i="11"/>
  <c r="M353" i="11"/>
  <c r="R353" i="11"/>
  <c r="X353" i="11"/>
  <c r="AC353" i="11"/>
  <c r="AE353" i="11" s="1"/>
  <c r="AH353" i="11"/>
  <c r="AI354" i="11"/>
  <c r="AA354" i="11"/>
  <c r="AG354" i="11" s="1"/>
  <c r="W354" i="11"/>
  <c r="AD354" i="11" s="1"/>
  <c r="S354" i="11"/>
  <c r="O354" i="11"/>
  <c r="K354" i="11"/>
  <c r="Q354" i="11"/>
  <c r="V354" i="11"/>
  <c r="AB354" i="11"/>
  <c r="AL354" i="11"/>
  <c r="M357" i="11"/>
  <c r="R357" i="11"/>
  <c r="X357" i="11"/>
  <c r="AC357" i="11"/>
  <c r="AE357" i="11" s="1"/>
  <c r="AH357" i="11"/>
  <c r="AI358" i="11"/>
  <c r="AA358" i="11"/>
  <c r="AG358" i="11" s="1"/>
  <c r="W358" i="11"/>
  <c r="AD358" i="11" s="1"/>
  <c r="S358" i="11"/>
  <c r="O358" i="11"/>
  <c r="K358" i="11"/>
  <c r="Q358" i="11"/>
  <c r="V358" i="11"/>
  <c r="AB358" i="11"/>
  <c r="AL358" i="11"/>
  <c r="M361" i="11"/>
  <c r="R361" i="11"/>
  <c r="X361" i="11"/>
  <c r="Y361" i="11" s="1"/>
  <c r="AC361" i="11"/>
  <c r="AE361" i="11" s="1"/>
  <c r="AH361" i="11"/>
  <c r="AI362" i="11"/>
  <c r="AA362" i="11"/>
  <c r="AG362" i="11" s="1"/>
  <c r="W362" i="11"/>
  <c r="AD362" i="11" s="1"/>
  <c r="S362" i="11"/>
  <c r="O362" i="11"/>
  <c r="K362" i="11"/>
  <c r="Q362" i="11"/>
  <c r="V362" i="11"/>
  <c r="AB362" i="11" s="1"/>
  <c r="AL362" i="11"/>
  <c r="M365" i="11"/>
  <c r="R365" i="11"/>
  <c r="X365" i="11"/>
  <c r="AC365" i="11"/>
  <c r="AE365" i="11" s="1"/>
  <c r="AH365" i="11"/>
  <c r="AI366" i="11"/>
  <c r="AA366" i="11"/>
  <c r="AG366" i="11" s="1"/>
  <c r="W366" i="11"/>
  <c r="AD366" i="11" s="1"/>
  <c r="S366" i="11"/>
  <c r="O366" i="11"/>
  <c r="K366" i="11"/>
  <c r="Q366" i="11"/>
  <c r="V366" i="11"/>
  <c r="AB366" i="11" s="1"/>
  <c r="AL366" i="11"/>
  <c r="M369" i="11"/>
  <c r="R369" i="11"/>
  <c r="X369" i="11"/>
  <c r="AC369" i="11"/>
  <c r="AE369" i="11" s="1"/>
  <c r="AH369" i="11"/>
  <c r="AI370" i="11"/>
  <c r="AA370" i="11"/>
  <c r="AG370" i="11" s="1"/>
  <c r="W370" i="11"/>
  <c r="AD370" i="11" s="1"/>
  <c r="S370" i="11"/>
  <c r="O370" i="11"/>
  <c r="K370" i="11"/>
  <c r="Q370" i="11"/>
  <c r="V370" i="11"/>
  <c r="AB370" i="11"/>
  <c r="AL370" i="11"/>
  <c r="M373" i="11"/>
  <c r="R373" i="11"/>
  <c r="X373" i="11"/>
  <c r="AC373" i="11"/>
  <c r="AE373" i="11" s="1"/>
  <c r="AH373" i="11"/>
  <c r="AI374" i="11"/>
  <c r="AA374" i="11"/>
  <c r="AG374" i="11" s="1"/>
  <c r="W374" i="11"/>
  <c r="AD374" i="11" s="1"/>
  <c r="S374" i="11"/>
  <c r="O374" i="11"/>
  <c r="K374" i="11"/>
  <c r="Q374" i="11"/>
  <c r="V374" i="11"/>
  <c r="AB374" i="11"/>
  <c r="AL374" i="11"/>
  <c r="M377" i="11"/>
  <c r="R377" i="11"/>
  <c r="X377" i="11"/>
  <c r="Y377" i="11" s="1"/>
  <c r="AC377" i="11"/>
  <c r="AE377" i="11" s="1"/>
  <c r="AH377" i="11"/>
  <c r="AI378" i="11"/>
  <c r="AA378" i="11"/>
  <c r="AG378" i="11" s="1"/>
  <c r="W378" i="11"/>
  <c r="AD378" i="11" s="1"/>
  <c r="S378" i="11"/>
  <c r="O378" i="11"/>
  <c r="K378" i="11"/>
  <c r="Q378" i="11"/>
  <c r="V378" i="11"/>
  <c r="AB378" i="11" s="1"/>
  <c r="AL378" i="11"/>
  <c r="M381" i="11"/>
  <c r="R381" i="11"/>
  <c r="X381" i="11"/>
  <c r="AC381" i="11"/>
  <c r="AE381" i="11" s="1"/>
  <c r="AH381" i="11"/>
  <c r="AI382" i="11"/>
  <c r="AA382" i="11"/>
  <c r="AG382" i="11" s="1"/>
  <c r="W382" i="11"/>
  <c r="AD382" i="11" s="1"/>
  <c r="S382" i="11"/>
  <c r="O382" i="11"/>
  <c r="K382" i="11"/>
  <c r="Q382" i="11"/>
  <c r="V382" i="11"/>
  <c r="AB382" i="11" s="1"/>
  <c r="AL382" i="11"/>
  <c r="M385" i="11"/>
  <c r="R385" i="11"/>
  <c r="X385" i="11"/>
  <c r="AC385" i="11"/>
  <c r="AE385" i="11" s="1"/>
  <c r="AH385" i="11"/>
  <c r="AI386" i="11"/>
  <c r="AA386" i="11"/>
  <c r="AG386" i="11" s="1"/>
  <c r="W386" i="11"/>
  <c r="AD386" i="11" s="1"/>
  <c r="S386" i="11"/>
  <c r="O386" i="11"/>
  <c r="K386" i="11"/>
  <c r="Q386" i="11"/>
  <c r="V386" i="11"/>
  <c r="AB386" i="11"/>
  <c r="AL386" i="11"/>
  <c r="M389" i="11"/>
  <c r="R389" i="11"/>
  <c r="X389" i="11"/>
  <c r="AC389" i="11"/>
  <c r="AE389" i="11" s="1"/>
  <c r="AH389" i="11"/>
  <c r="AI390" i="11"/>
  <c r="AA390" i="11"/>
  <c r="AG390" i="11" s="1"/>
  <c r="W390" i="11"/>
  <c r="AD390" i="11" s="1"/>
  <c r="S390" i="11"/>
  <c r="O390" i="11"/>
  <c r="K390" i="11"/>
  <c r="Q390" i="11"/>
  <c r="V390" i="11"/>
  <c r="AB390" i="11"/>
  <c r="AL390" i="11"/>
  <c r="M393" i="11"/>
  <c r="R393" i="11"/>
  <c r="X393" i="11"/>
  <c r="Y393" i="11" s="1"/>
  <c r="AC393" i="11"/>
  <c r="AE393" i="11" s="1"/>
  <c r="AH393" i="11"/>
  <c r="AI394" i="11"/>
  <c r="AA394" i="11"/>
  <c r="AG394" i="11" s="1"/>
  <c r="W394" i="11"/>
  <c r="AD394" i="11" s="1"/>
  <c r="S394" i="11"/>
  <c r="O394" i="11"/>
  <c r="K394" i="11"/>
  <c r="Q394" i="11"/>
  <c r="V394" i="11"/>
  <c r="AB394" i="11" s="1"/>
  <c r="AL394" i="11"/>
  <c r="M397" i="11"/>
  <c r="R397" i="11"/>
  <c r="X397" i="11"/>
  <c r="AC397" i="11"/>
  <c r="AE397" i="11" s="1"/>
  <c r="AH397" i="11"/>
  <c r="AI398" i="11"/>
  <c r="AA398" i="11"/>
  <c r="AG398" i="11" s="1"/>
  <c r="W398" i="11"/>
  <c r="AD398" i="11" s="1"/>
  <c r="S398" i="11"/>
  <c r="O398" i="11"/>
  <c r="K398" i="11"/>
  <c r="Q398" i="11"/>
  <c r="V398" i="11"/>
  <c r="AB398" i="11" s="1"/>
  <c r="AL398" i="11"/>
  <c r="M401" i="11"/>
  <c r="R401" i="11"/>
  <c r="X401" i="11"/>
  <c r="AC401" i="11"/>
  <c r="AE401" i="11" s="1"/>
  <c r="AH401" i="11"/>
  <c r="AI402" i="11"/>
  <c r="AA402" i="11"/>
  <c r="AG402" i="11" s="1"/>
  <c r="W402" i="11"/>
  <c r="AD402" i="11" s="1"/>
  <c r="S402" i="11"/>
  <c r="O402" i="11"/>
  <c r="K402" i="11"/>
  <c r="Q402" i="11"/>
  <c r="V402" i="11"/>
  <c r="AB402" i="11"/>
  <c r="AL402" i="11"/>
  <c r="M405" i="11"/>
  <c r="R405" i="11"/>
  <c r="X405" i="11"/>
  <c r="AC405" i="11"/>
  <c r="AE405" i="11" s="1"/>
  <c r="AH405" i="11"/>
  <c r="AI406" i="11"/>
  <c r="AA406" i="11"/>
  <c r="AG406" i="11" s="1"/>
  <c r="W406" i="11"/>
  <c r="AD406" i="11" s="1"/>
  <c r="S406" i="11"/>
  <c r="O406" i="11"/>
  <c r="K406" i="11"/>
  <c r="Q406" i="11"/>
  <c r="V406" i="11"/>
  <c r="AB406" i="11"/>
  <c r="AL406" i="11"/>
  <c r="M409" i="11"/>
  <c r="R409" i="11"/>
  <c r="X409" i="11"/>
  <c r="Y409" i="11" s="1"/>
  <c r="AC409" i="11"/>
  <c r="AE409" i="11" s="1"/>
  <c r="AH409" i="11"/>
  <c r="AI410" i="11"/>
  <c r="AA410" i="11"/>
  <c r="AG410" i="11" s="1"/>
  <c r="W410" i="11"/>
  <c r="AD410" i="11" s="1"/>
  <c r="S410" i="11"/>
  <c r="O410" i="11"/>
  <c r="K410" i="11"/>
  <c r="Q410" i="11"/>
  <c r="V410" i="11"/>
  <c r="AB410" i="11" s="1"/>
  <c r="AL410" i="11"/>
  <c r="M413" i="11"/>
  <c r="R413" i="11"/>
  <c r="X413" i="11"/>
  <c r="AC413" i="11"/>
  <c r="AE413" i="11" s="1"/>
  <c r="AH413" i="11"/>
  <c r="AI414" i="11"/>
  <c r="AA414" i="11"/>
  <c r="AG414" i="11" s="1"/>
  <c r="W414" i="11"/>
  <c r="AD414" i="11" s="1"/>
  <c r="S414" i="11"/>
  <c r="O414" i="11"/>
  <c r="K414" i="11"/>
  <c r="Q414" i="11"/>
  <c r="V414" i="11"/>
  <c r="AB414" i="11" s="1"/>
  <c r="AL414" i="11"/>
  <c r="M417" i="11"/>
  <c r="R417" i="11"/>
  <c r="X417" i="11"/>
  <c r="AC417" i="11"/>
  <c r="AE417" i="11" s="1"/>
  <c r="AH417" i="11"/>
  <c r="AI418" i="11"/>
  <c r="AA418" i="11"/>
  <c r="AG418" i="11" s="1"/>
  <c r="W418" i="11"/>
  <c r="AD418" i="11" s="1"/>
  <c r="S418" i="11"/>
  <c r="O418" i="11"/>
  <c r="K418" i="11"/>
  <c r="Q418" i="11"/>
  <c r="V418" i="11"/>
  <c r="AB418" i="11"/>
  <c r="AL418" i="11"/>
  <c r="M421" i="11"/>
  <c r="R421" i="11"/>
  <c r="X421" i="11"/>
  <c r="Y421" i="11" s="1"/>
  <c r="AC421" i="11"/>
  <c r="AE421" i="11" s="1"/>
  <c r="AH421" i="11"/>
  <c r="AI422" i="11"/>
  <c r="AA422" i="11"/>
  <c r="AG422" i="11" s="1"/>
  <c r="W422" i="11"/>
  <c r="AD422" i="11" s="1"/>
  <c r="S422" i="11"/>
  <c r="O422" i="11"/>
  <c r="K422" i="11"/>
  <c r="Q422" i="11"/>
  <c r="V422" i="11"/>
  <c r="AB422" i="11"/>
  <c r="AL422" i="11"/>
  <c r="M425" i="11"/>
  <c r="R425" i="11"/>
  <c r="X425" i="11"/>
  <c r="AC425" i="11"/>
  <c r="AE425" i="11" s="1"/>
  <c r="AH425" i="11"/>
  <c r="AI426" i="11"/>
  <c r="AA426" i="11"/>
  <c r="AG426" i="11" s="1"/>
  <c r="W426" i="11"/>
  <c r="AD426" i="11" s="1"/>
  <c r="S426" i="11"/>
  <c r="O426" i="11"/>
  <c r="K426" i="11"/>
  <c r="Q426" i="11"/>
  <c r="V426" i="11"/>
  <c r="AB426" i="11" s="1"/>
  <c r="AL426" i="11"/>
  <c r="M429" i="11"/>
  <c r="R429" i="11"/>
  <c r="X429" i="11"/>
  <c r="AC429" i="11"/>
  <c r="AE429" i="11" s="1"/>
  <c r="AH429" i="11"/>
  <c r="AI430" i="11"/>
  <c r="AA430" i="11"/>
  <c r="AG430" i="11" s="1"/>
  <c r="W430" i="11"/>
  <c r="AD430" i="11" s="1"/>
  <c r="S430" i="11"/>
  <c r="O430" i="11"/>
  <c r="K430" i="11"/>
  <c r="Q430" i="11"/>
  <c r="V430" i="11"/>
  <c r="AB430" i="11" s="1"/>
  <c r="AL430" i="11"/>
  <c r="M433" i="11"/>
  <c r="R433" i="11"/>
  <c r="X433" i="11"/>
  <c r="AC433" i="11"/>
  <c r="AE433" i="11" s="1"/>
  <c r="AH433" i="11"/>
  <c r="AI434" i="11"/>
  <c r="AA434" i="11"/>
  <c r="AG434" i="11" s="1"/>
  <c r="W434" i="11"/>
  <c r="AD434" i="11" s="1"/>
  <c r="S434" i="11"/>
  <c r="O434" i="11"/>
  <c r="K434" i="11"/>
  <c r="Q434" i="11"/>
  <c r="V434" i="11"/>
  <c r="AB434" i="11"/>
  <c r="AL434" i="11"/>
  <c r="M437" i="11"/>
  <c r="R437" i="11"/>
  <c r="X437" i="11"/>
  <c r="Y437" i="11" s="1"/>
  <c r="AC437" i="11"/>
  <c r="AE437" i="11" s="1"/>
  <c r="AH437" i="11"/>
  <c r="AI438" i="11"/>
  <c r="AA438" i="11"/>
  <c r="AG438" i="11" s="1"/>
  <c r="W438" i="11"/>
  <c r="AD438" i="11" s="1"/>
  <c r="S438" i="11"/>
  <c r="O438" i="11"/>
  <c r="K438" i="11"/>
  <c r="Q438" i="11"/>
  <c r="V438" i="11"/>
  <c r="AB438" i="11"/>
  <c r="AL438" i="11"/>
  <c r="M441" i="11"/>
  <c r="R441" i="11"/>
  <c r="X441" i="11"/>
  <c r="AC441" i="11"/>
  <c r="AE441" i="11" s="1"/>
  <c r="AH441" i="11"/>
  <c r="AI442" i="11"/>
  <c r="AA442" i="11"/>
  <c r="AG442" i="11" s="1"/>
  <c r="W442" i="11"/>
  <c r="AD442" i="11" s="1"/>
  <c r="S442" i="11"/>
  <c r="O442" i="11"/>
  <c r="K442" i="11"/>
  <c r="Q442" i="11"/>
  <c r="V442" i="11"/>
  <c r="AB442" i="11" s="1"/>
  <c r="AL442" i="11"/>
  <c r="M445" i="11"/>
  <c r="R445" i="11"/>
  <c r="X445" i="11"/>
  <c r="AC445" i="11"/>
  <c r="AE445" i="11" s="1"/>
  <c r="AH445" i="11"/>
  <c r="AI446" i="11"/>
  <c r="AA446" i="11"/>
  <c r="AG446" i="11" s="1"/>
  <c r="W446" i="11"/>
  <c r="AD446" i="11" s="1"/>
  <c r="S446" i="11"/>
  <c r="O446" i="11"/>
  <c r="K446" i="11"/>
  <c r="Q446" i="11"/>
  <c r="V446" i="11"/>
  <c r="AB446" i="11" s="1"/>
  <c r="AL446" i="11"/>
  <c r="M449" i="11"/>
  <c r="R449" i="11"/>
  <c r="X449" i="11"/>
  <c r="AC449" i="11"/>
  <c r="AE449" i="11" s="1"/>
  <c r="AH449" i="11"/>
  <c r="AI450" i="11"/>
  <c r="AA450" i="11"/>
  <c r="AG450" i="11" s="1"/>
  <c r="W450" i="11"/>
  <c r="AD450" i="11" s="1"/>
  <c r="S450" i="11"/>
  <c r="O450" i="11"/>
  <c r="K450" i="11"/>
  <c r="Q450" i="11"/>
  <c r="V450" i="11"/>
  <c r="AB450" i="11"/>
  <c r="AL450" i="11"/>
  <c r="M453" i="11"/>
  <c r="R453" i="11"/>
  <c r="X453" i="11"/>
  <c r="AC453" i="11"/>
  <c r="AE453" i="11" s="1"/>
  <c r="AH453" i="11"/>
  <c r="AI454" i="11"/>
  <c r="AA454" i="11"/>
  <c r="AG454" i="11" s="1"/>
  <c r="W454" i="11"/>
  <c r="AD454" i="11" s="1"/>
  <c r="S454" i="11"/>
  <c r="O454" i="11"/>
  <c r="K454" i="11"/>
  <c r="Q454" i="11"/>
  <c r="V454" i="11"/>
  <c r="AB454" i="11"/>
  <c r="AL454" i="11"/>
  <c r="M457" i="11"/>
  <c r="R457" i="11"/>
  <c r="X457" i="11"/>
  <c r="Y457" i="11" s="1"/>
  <c r="AC457" i="11"/>
  <c r="AE457" i="11" s="1"/>
  <c r="AH457" i="11"/>
  <c r="AI458" i="11"/>
  <c r="AA458" i="11"/>
  <c r="AG458" i="11" s="1"/>
  <c r="W458" i="11"/>
  <c r="AD458" i="11" s="1"/>
  <c r="S458" i="11"/>
  <c r="O458" i="11"/>
  <c r="K458" i="11"/>
  <c r="Q458" i="11"/>
  <c r="V458" i="11"/>
  <c r="AB458" i="11" s="1"/>
  <c r="AL458" i="11"/>
  <c r="M461" i="11"/>
  <c r="R461" i="11"/>
  <c r="X461" i="11"/>
  <c r="AC461" i="11"/>
  <c r="AE461" i="11" s="1"/>
  <c r="AH461" i="11"/>
  <c r="AI462" i="11"/>
  <c r="AA462" i="11"/>
  <c r="AG462" i="11" s="1"/>
  <c r="W462" i="11"/>
  <c r="AD462" i="11" s="1"/>
  <c r="S462" i="11"/>
  <c r="O462" i="11"/>
  <c r="K462" i="11"/>
  <c r="Q462" i="11"/>
  <c r="V462" i="11"/>
  <c r="AB462" i="11" s="1"/>
  <c r="AL462" i="11"/>
  <c r="M465" i="11"/>
  <c r="R465" i="11"/>
  <c r="X465" i="11"/>
  <c r="AC465" i="11"/>
  <c r="AE465" i="11" s="1"/>
  <c r="AH465" i="11"/>
  <c r="AI466" i="11"/>
  <c r="AA466" i="11"/>
  <c r="AG466" i="11" s="1"/>
  <c r="W466" i="11"/>
  <c r="AD466" i="11" s="1"/>
  <c r="S466" i="11"/>
  <c r="O466" i="11"/>
  <c r="K466" i="11"/>
  <c r="Q466" i="11"/>
  <c r="V466" i="11"/>
  <c r="AB466" i="11"/>
  <c r="AL466" i="11"/>
  <c r="M469" i="11"/>
  <c r="R469" i="11"/>
  <c r="X469" i="11"/>
  <c r="AC469" i="11"/>
  <c r="AE469" i="11" s="1"/>
  <c r="AH469" i="11"/>
  <c r="AI470" i="11"/>
  <c r="AA470" i="11"/>
  <c r="AG470" i="11" s="1"/>
  <c r="W470" i="11"/>
  <c r="AD470" i="11" s="1"/>
  <c r="S470" i="11"/>
  <c r="O470" i="11"/>
  <c r="K470" i="11"/>
  <c r="Q470" i="11"/>
  <c r="V470" i="11"/>
  <c r="AB470" i="11"/>
  <c r="AL470" i="11"/>
  <c r="M473" i="11"/>
  <c r="R473" i="11"/>
  <c r="X473" i="11"/>
  <c r="Y473" i="11" s="1"/>
  <c r="AC473" i="11"/>
  <c r="AE473" i="11" s="1"/>
  <c r="AH473" i="11"/>
  <c r="AI474" i="11"/>
  <c r="AA474" i="11"/>
  <c r="AG474" i="11" s="1"/>
  <c r="W474" i="11"/>
  <c r="AD474" i="11" s="1"/>
  <c r="S474" i="11"/>
  <c r="O474" i="11"/>
  <c r="K474" i="11"/>
  <c r="Q474" i="11"/>
  <c r="V474" i="11"/>
  <c r="AB474" i="11" s="1"/>
  <c r="AL474" i="11"/>
  <c r="M477" i="11"/>
  <c r="R477" i="11"/>
  <c r="X477" i="11"/>
  <c r="AC477" i="11"/>
  <c r="AE477" i="11" s="1"/>
  <c r="AH477" i="11"/>
  <c r="AI478" i="11"/>
  <c r="AA478" i="11"/>
  <c r="AG478" i="11" s="1"/>
  <c r="W478" i="11"/>
  <c r="AD478" i="11" s="1"/>
  <c r="S478" i="11"/>
  <c r="O478" i="11"/>
  <c r="K478" i="11"/>
  <c r="Q478" i="11"/>
  <c r="V478" i="11"/>
  <c r="AB478" i="11" s="1"/>
  <c r="AL478" i="11"/>
  <c r="M481" i="11"/>
  <c r="R481" i="11"/>
  <c r="X481" i="11"/>
  <c r="Y481" i="11" s="1"/>
  <c r="AC481" i="11"/>
  <c r="AE481" i="11" s="1"/>
  <c r="AH481" i="11"/>
  <c r="AI482" i="11"/>
  <c r="AA482" i="11"/>
  <c r="AG482" i="11" s="1"/>
  <c r="W482" i="11"/>
  <c r="AD482" i="11" s="1"/>
  <c r="S482" i="11"/>
  <c r="O482" i="11"/>
  <c r="K482" i="11"/>
  <c r="Q482" i="11"/>
  <c r="V482" i="11"/>
  <c r="AB482" i="11"/>
  <c r="AL482" i="11"/>
  <c r="M485" i="11"/>
  <c r="R485" i="11"/>
  <c r="X485" i="11"/>
  <c r="Y485" i="11" s="1"/>
  <c r="AC485" i="11"/>
  <c r="AE485" i="11" s="1"/>
  <c r="AH485" i="11"/>
  <c r="AI486" i="11"/>
  <c r="AA486" i="11"/>
  <c r="AG486" i="11" s="1"/>
  <c r="W486" i="11"/>
  <c r="AD486" i="11" s="1"/>
  <c r="S486" i="11"/>
  <c r="O486" i="11"/>
  <c r="K486" i="11"/>
  <c r="Q486" i="11"/>
  <c r="V486" i="11"/>
  <c r="AB486" i="11"/>
  <c r="AL486" i="11"/>
  <c r="O489" i="11"/>
  <c r="U489" i="11"/>
  <c r="AF489" i="11" s="1"/>
  <c r="AB489" i="11"/>
  <c r="AJ489" i="11"/>
  <c r="M491" i="11"/>
  <c r="T491" i="11"/>
  <c r="AB491" i="11"/>
  <c r="AI491" i="11"/>
  <c r="M492" i="11"/>
  <c r="U492" i="11"/>
  <c r="AF492" i="11" s="1"/>
  <c r="AB492" i="11"/>
  <c r="AI492" i="11"/>
  <c r="O493" i="11"/>
  <c r="U493" i="11"/>
  <c r="AF493" i="11" s="1"/>
  <c r="AB493" i="11"/>
  <c r="AJ493" i="11"/>
  <c r="M495" i="11"/>
  <c r="T495" i="11"/>
  <c r="AB495" i="11"/>
  <c r="AI495" i="11"/>
  <c r="M496" i="11"/>
  <c r="U496" i="11"/>
  <c r="AF496" i="11" s="1"/>
  <c r="AB496" i="11"/>
  <c r="AI496" i="11"/>
  <c r="O497" i="11"/>
  <c r="U497" i="11"/>
  <c r="AF497" i="11" s="1"/>
  <c r="AB497" i="11"/>
  <c r="AJ497" i="11"/>
  <c r="M499" i="11"/>
  <c r="T499" i="11"/>
  <c r="AB499" i="11"/>
  <c r="AI499" i="11"/>
  <c r="M500" i="11"/>
  <c r="U500" i="11"/>
  <c r="AF500" i="11" s="1"/>
  <c r="AB500" i="11"/>
  <c r="AI500" i="11"/>
  <c r="O501" i="11"/>
  <c r="U501" i="11"/>
  <c r="AF501" i="11" s="1"/>
  <c r="AB501" i="11"/>
  <c r="AJ501" i="11"/>
  <c r="W2" i="12"/>
  <c r="AD2" i="12" s="1"/>
  <c r="V4" i="12"/>
  <c r="AB4" i="12" s="1"/>
  <c r="AC4" i="12"/>
  <c r="AE4" i="12" s="1"/>
  <c r="M4" i="12"/>
  <c r="O4" i="12" s="1"/>
  <c r="AC5" i="12"/>
  <c r="AE5" i="12" s="1"/>
  <c r="M5" i="12"/>
  <c r="V5" i="12"/>
  <c r="P5" i="12"/>
  <c r="M7" i="12"/>
  <c r="N9" i="12"/>
  <c r="U9" i="12" s="1"/>
  <c r="V9" i="12"/>
  <c r="O10" i="12"/>
  <c r="V10" i="12"/>
  <c r="AB10" i="12"/>
  <c r="N12" i="12"/>
  <c r="AB12" i="12"/>
  <c r="AI12" i="12"/>
  <c r="N13" i="12"/>
  <c r="U13" i="12" s="1"/>
  <c r="V13" i="12"/>
  <c r="W13" i="12" s="1"/>
  <c r="AD13" i="12" s="1"/>
  <c r="O14" i="12"/>
  <c r="V14" i="12"/>
  <c r="Z14" i="12" s="1"/>
  <c r="AA14" i="12" s="1"/>
  <c r="AG14" i="12" s="1"/>
  <c r="N16" i="12"/>
  <c r="AI16" i="12" s="1"/>
  <c r="AB16" i="12"/>
  <c r="N17" i="12"/>
  <c r="U17" i="12" s="1"/>
  <c r="V17" i="12"/>
  <c r="O18" i="12"/>
  <c r="V18" i="12"/>
  <c r="X18" i="12" s="1"/>
  <c r="Y18" i="12" s="1"/>
  <c r="N20" i="12"/>
  <c r="AB20" i="12"/>
  <c r="N21" i="12"/>
  <c r="U21" i="12" s="1"/>
  <c r="V21" i="12"/>
  <c r="O22" i="12"/>
  <c r="V22" i="12"/>
  <c r="X22" i="12" s="1"/>
  <c r="Y22" i="12" s="1"/>
  <c r="AB22" i="12"/>
  <c r="N24" i="12"/>
  <c r="AI24" i="12" s="1"/>
  <c r="AB24" i="12"/>
  <c r="N25" i="12"/>
  <c r="V25" i="12"/>
  <c r="O26" i="12"/>
  <c r="V26" i="12"/>
  <c r="X26" i="12" s="1"/>
  <c r="Y26" i="12" s="1"/>
  <c r="N28" i="12"/>
  <c r="AJ28" i="12" s="1"/>
  <c r="AB28" i="12"/>
  <c r="N29" i="12"/>
  <c r="V29" i="12"/>
  <c r="W29" i="12" s="1"/>
  <c r="AD29" i="12" s="1"/>
  <c r="O30" i="12"/>
  <c r="V30" i="12"/>
  <c r="X30" i="12" s="1"/>
  <c r="Y30" i="12" s="1"/>
  <c r="AB30" i="12"/>
  <c r="N32" i="12"/>
  <c r="AB32" i="12"/>
  <c r="N33" i="12"/>
  <c r="V33" i="12"/>
  <c r="O34" i="12"/>
  <c r="V34" i="12"/>
  <c r="N36" i="12"/>
  <c r="AB36" i="12"/>
  <c r="AI36" i="12"/>
  <c r="N37" i="12"/>
  <c r="V37" i="12"/>
  <c r="Z37" i="12" s="1"/>
  <c r="AA37" i="12" s="1"/>
  <c r="AG37" i="12" s="1"/>
  <c r="AB37" i="12"/>
  <c r="O38" i="12"/>
  <c r="V38" i="12"/>
  <c r="X38" i="12" s="1"/>
  <c r="Y38" i="12" s="1"/>
  <c r="N40" i="12"/>
  <c r="AB40" i="12"/>
  <c r="N41" i="12"/>
  <c r="U41" i="12" s="1"/>
  <c r="V41" i="12"/>
  <c r="O42" i="12"/>
  <c r="V42" i="12"/>
  <c r="N44" i="12"/>
  <c r="AI44" i="12" s="1"/>
  <c r="AB44" i="12"/>
  <c r="N45" i="12"/>
  <c r="U45" i="12" s="1"/>
  <c r="V45" i="12"/>
  <c r="W45" i="12" s="1"/>
  <c r="AD45" i="12" s="1"/>
  <c r="O46" i="12"/>
  <c r="V46" i="12"/>
  <c r="N48" i="12"/>
  <c r="AJ48" i="12" s="1"/>
  <c r="AB48" i="12"/>
  <c r="N49" i="12"/>
  <c r="V49" i="12"/>
  <c r="Z49" i="12" s="1"/>
  <c r="AA49" i="12" s="1"/>
  <c r="AG49" i="12" s="1"/>
  <c r="AB49" i="12"/>
  <c r="O50" i="12"/>
  <c r="V50" i="12"/>
  <c r="X50" i="12" s="1"/>
  <c r="Y50" i="12" s="1"/>
  <c r="AB50" i="12"/>
  <c r="N52" i="12"/>
  <c r="AB52" i="12"/>
  <c r="N53" i="12"/>
  <c r="U53" i="12" s="1"/>
  <c r="V53" i="12"/>
  <c r="O54" i="12"/>
  <c r="V54" i="12"/>
  <c r="N56" i="12"/>
  <c r="AB56" i="12"/>
  <c r="AI56" i="12"/>
  <c r="N57" i="12"/>
  <c r="V57" i="12"/>
  <c r="Z57" i="12" s="1"/>
  <c r="AA57" i="12" s="1"/>
  <c r="AG57" i="12" s="1"/>
  <c r="AB57" i="12"/>
  <c r="O58" i="12"/>
  <c r="V58" i="12"/>
  <c r="X58" i="12" s="1"/>
  <c r="Y58" i="12" s="1"/>
  <c r="N60" i="12"/>
  <c r="AB60" i="12"/>
  <c r="N61" i="12"/>
  <c r="V61" i="12"/>
  <c r="W61" i="12" s="1"/>
  <c r="AD61" i="12" s="1"/>
  <c r="O62" i="12"/>
  <c r="V62" i="12"/>
  <c r="AB62" i="12"/>
  <c r="N64" i="12"/>
  <c r="AB64" i="12"/>
  <c r="N65" i="12"/>
  <c r="U65" i="12" s="1"/>
  <c r="V65" i="12"/>
  <c r="W65" i="12" s="1"/>
  <c r="AD65" i="12" s="1"/>
  <c r="O66" i="12"/>
  <c r="V66" i="12"/>
  <c r="N68" i="12"/>
  <c r="AI68" i="12" s="1"/>
  <c r="AB68" i="12"/>
  <c r="N69" i="12"/>
  <c r="U69" i="12" s="1"/>
  <c r="V69" i="12"/>
  <c r="Z69" i="12" s="1"/>
  <c r="AA69" i="12" s="1"/>
  <c r="AG69" i="12" s="1"/>
  <c r="AB69" i="12"/>
  <c r="O70" i="12"/>
  <c r="V70" i="12"/>
  <c r="X70" i="12" s="1"/>
  <c r="Y70" i="12" s="1"/>
  <c r="N72" i="12"/>
  <c r="AJ72" i="12" s="1"/>
  <c r="AB72" i="12"/>
  <c r="N73" i="12"/>
  <c r="U73" i="12" s="1"/>
  <c r="V73" i="12"/>
  <c r="O74" i="12"/>
  <c r="V74" i="12"/>
  <c r="X74" i="12" s="1"/>
  <c r="Y74" i="12" s="1"/>
  <c r="N76" i="12"/>
  <c r="AB76" i="12"/>
  <c r="AI76" i="12"/>
  <c r="N77" i="12"/>
  <c r="U77" i="12" s="1"/>
  <c r="V77" i="12"/>
  <c r="W77" i="12" s="1"/>
  <c r="AD77" i="12" s="1"/>
  <c r="O78" i="12"/>
  <c r="V78" i="12"/>
  <c r="N80" i="12"/>
  <c r="AB80" i="12"/>
  <c r="AI80" i="12"/>
  <c r="N81" i="12"/>
  <c r="V81" i="12"/>
  <c r="O82" i="12"/>
  <c r="V82" i="12"/>
  <c r="X82" i="12" s="1"/>
  <c r="Y82" i="12" s="1"/>
  <c r="AB82" i="12"/>
  <c r="N84" i="12"/>
  <c r="AB84" i="12"/>
  <c r="N85" i="12"/>
  <c r="U85" i="12" s="1"/>
  <c r="V85" i="12"/>
  <c r="W85" i="12" s="1"/>
  <c r="AD85" i="12" s="1"/>
  <c r="O86" i="12"/>
  <c r="V86" i="12"/>
  <c r="X86" i="12" s="1"/>
  <c r="Y86" i="12" s="1"/>
  <c r="N88" i="12"/>
  <c r="AJ88" i="12" s="1"/>
  <c r="AB88" i="12"/>
  <c r="N89" i="12"/>
  <c r="U89" i="12" s="1"/>
  <c r="V89" i="12"/>
  <c r="O90" i="12"/>
  <c r="V90" i="12"/>
  <c r="X90" i="12" s="1"/>
  <c r="Y90" i="12" s="1"/>
  <c r="N92" i="12"/>
  <c r="AB92" i="12"/>
  <c r="N93" i="12"/>
  <c r="V93" i="12"/>
  <c r="W93" i="12" s="1"/>
  <c r="AD93" i="12" s="1"/>
  <c r="O94" i="12"/>
  <c r="V94" i="12"/>
  <c r="X94" i="12" s="1"/>
  <c r="Y94" i="12" s="1"/>
  <c r="AB94" i="12"/>
  <c r="N96" i="12"/>
  <c r="AB96" i="12"/>
  <c r="N97" i="12"/>
  <c r="U97" i="12" s="1"/>
  <c r="V97" i="12"/>
  <c r="O98" i="12"/>
  <c r="V98" i="12"/>
  <c r="N100" i="12"/>
  <c r="AB100" i="12"/>
  <c r="AI100" i="12"/>
  <c r="N101" i="12"/>
  <c r="V101" i="12"/>
  <c r="Z101" i="12" s="1"/>
  <c r="AA101" i="12" s="1"/>
  <c r="AG101" i="12" s="1"/>
  <c r="AB101" i="12"/>
  <c r="O102" i="12"/>
  <c r="V102" i="12"/>
  <c r="N104" i="12"/>
  <c r="AB104" i="12"/>
  <c r="N105" i="12"/>
  <c r="U105" i="12" s="1"/>
  <c r="V105" i="12"/>
  <c r="O106" i="12"/>
  <c r="V106" i="12"/>
  <c r="X106" i="12" s="1"/>
  <c r="Y106" i="12" s="1"/>
  <c r="N108" i="12"/>
  <c r="AI108" i="12" s="1"/>
  <c r="AB108" i="12"/>
  <c r="N109" i="12"/>
  <c r="U109" i="12" s="1"/>
  <c r="V109" i="12"/>
  <c r="W109" i="12" s="1"/>
  <c r="AD109" i="12" s="1"/>
  <c r="O110" i="12"/>
  <c r="V110" i="12"/>
  <c r="N112" i="12"/>
  <c r="AI112" i="12" s="1"/>
  <c r="AB112" i="12"/>
  <c r="N113" i="12"/>
  <c r="V113" i="12"/>
  <c r="AB113" i="12" s="1"/>
  <c r="O114" i="12"/>
  <c r="V114" i="12"/>
  <c r="X114" i="12" s="1"/>
  <c r="Y114" i="12" s="1"/>
  <c r="AB114" i="12"/>
  <c r="N116" i="12"/>
  <c r="AB116" i="12"/>
  <c r="N117" i="12"/>
  <c r="U117" i="12" s="1"/>
  <c r="V117" i="12"/>
  <c r="W117" i="12" s="1"/>
  <c r="AD117" i="12" s="1"/>
  <c r="V118" i="12"/>
  <c r="X118" i="12" s="1"/>
  <c r="Y118" i="12" s="1"/>
  <c r="AB118" i="12"/>
  <c r="N120" i="12"/>
  <c r="AB120" i="12"/>
  <c r="AI120" i="12"/>
  <c r="N121" i="12"/>
  <c r="U121" i="12" s="1"/>
  <c r="V121" i="12"/>
  <c r="Z121" i="12" s="1"/>
  <c r="AA121" i="12" s="1"/>
  <c r="AG121" i="12" s="1"/>
  <c r="V122" i="12"/>
  <c r="X122" i="12" s="1"/>
  <c r="Y122" i="12" s="1"/>
  <c r="N124" i="12"/>
  <c r="AI124" i="12" s="1"/>
  <c r="AB124" i="12"/>
  <c r="N125" i="12"/>
  <c r="U125" i="12" s="1"/>
  <c r="V125" i="12"/>
  <c r="W125" i="12" s="1"/>
  <c r="AD125" i="12" s="1"/>
  <c r="V126" i="12"/>
  <c r="N128" i="12"/>
  <c r="AJ128" i="12" s="1"/>
  <c r="AB128" i="12"/>
  <c r="AI128" i="12"/>
  <c r="N129" i="12"/>
  <c r="V129" i="12"/>
  <c r="Z129" i="12" s="1"/>
  <c r="AA129" i="12" s="1"/>
  <c r="AG129" i="12" s="1"/>
  <c r="V130" i="12"/>
  <c r="N132" i="12"/>
  <c r="AI132" i="12" s="1"/>
  <c r="AB132" i="12"/>
  <c r="N133" i="12"/>
  <c r="U133" i="12" s="1"/>
  <c r="V133" i="12"/>
  <c r="V134" i="12"/>
  <c r="N136" i="12"/>
  <c r="AB136" i="12"/>
  <c r="N137" i="12"/>
  <c r="V137" i="12"/>
  <c r="Z137" i="12" s="1"/>
  <c r="AA137" i="12" s="1"/>
  <c r="AG137" i="12" s="1"/>
  <c r="V138" i="12"/>
  <c r="N140" i="12"/>
  <c r="AB140" i="12"/>
  <c r="N141" i="12"/>
  <c r="U141" i="12" s="1"/>
  <c r="V141" i="12"/>
  <c r="W141" i="12" s="1"/>
  <c r="AD141" i="12" s="1"/>
  <c r="V142" i="12"/>
  <c r="X142" i="12" s="1"/>
  <c r="Y142" i="12" s="1"/>
  <c r="N144" i="12"/>
  <c r="AB144" i="12"/>
  <c r="V145" i="12"/>
  <c r="X145" i="12" s="1"/>
  <c r="Y145" i="12" s="1"/>
  <c r="N147" i="12"/>
  <c r="AB147" i="12"/>
  <c r="N148" i="12"/>
  <c r="V148" i="12"/>
  <c r="V149" i="12"/>
  <c r="X149" i="12" s="1"/>
  <c r="Y149" i="12" s="1"/>
  <c r="AB149" i="12"/>
  <c r="N151" i="12"/>
  <c r="AJ151" i="12" s="1"/>
  <c r="AB151" i="12"/>
  <c r="N152" i="12"/>
  <c r="U152" i="12" s="1"/>
  <c r="V152" i="12"/>
  <c r="Z152" i="12" s="1"/>
  <c r="AA152" i="12" s="1"/>
  <c r="AG152" i="12" s="1"/>
  <c r="V153" i="12"/>
  <c r="N155" i="12"/>
  <c r="Q155" i="12" s="1"/>
  <c r="AK155" i="12" s="1"/>
  <c r="AB155" i="12"/>
  <c r="N156" i="12"/>
  <c r="U156" i="12" s="1"/>
  <c r="V156" i="12"/>
  <c r="W156" i="12" s="1"/>
  <c r="AD156" i="12" s="1"/>
  <c r="V157" i="12"/>
  <c r="X157" i="12" s="1"/>
  <c r="Y157" i="12" s="1"/>
  <c r="N159" i="12"/>
  <c r="Q159" i="12" s="1"/>
  <c r="AK159" i="12" s="1"/>
  <c r="AB159" i="12"/>
  <c r="AI159" i="12"/>
  <c r="N160" i="12"/>
  <c r="U160" i="12" s="1"/>
  <c r="V160" i="12"/>
  <c r="V161" i="12"/>
  <c r="N163" i="12"/>
  <c r="AI163" i="12" s="1"/>
  <c r="AB163" i="12"/>
  <c r="N164" i="12"/>
  <c r="V164" i="12"/>
  <c r="Z164" i="12" s="1"/>
  <c r="AA164" i="12" s="1"/>
  <c r="AG164" i="12" s="1"/>
  <c r="AB164" i="12"/>
  <c r="V165" i="12"/>
  <c r="W165" i="12" s="1"/>
  <c r="AD165" i="12" s="1"/>
  <c r="N167" i="12"/>
  <c r="AB167" i="12"/>
  <c r="N168" i="12"/>
  <c r="U168" i="12" s="1"/>
  <c r="V168" i="12"/>
  <c r="Z168" i="12" s="1"/>
  <c r="AA168" i="12" s="1"/>
  <c r="AG168" i="12" s="1"/>
  <c r="V169" i="12"/>
  <c r="X169" i="12" s="1"/>
  <c r="Y169" i="12" s="1"/>
  <c r="N171" i="12"/>
  <c r="AB171" i="12"/>
  <c r="V172" i="12"/>
  <c r="V173" i="12"/>
  <c r="N175" i="12"/>
  <c r="AB175" i="12"/>
  <c r="V176" i="12"/>
  <c r="Z176" i="12" s="1"/>
  <c r="AA176" i="12" s="1"/>
  <c r="AG176" i="12" s="1"/>
  <c r="V177" i="12"/>
  <c r="X177" i="12" s="1"/>
  <c r="Y177" i="12" s="1"/>
  <c r="N179" i="12"/>
  <c r="AH179" i="12" s="1"/>
  <c r="AB179" i="12"/>
  <c r="V180" i="12"/>
  <c r="W180" i="12" s="1"/>
  <c r="AD180" i="12" s="1"/>
  <c r="V181" i="12"/>
  <c r="N183" i="12"/>
  <c r="AB183" i="12"/>
  <c r="V184" i="12"/>
  <c r="N186" i="12"/>
  <c r="AB186" i="12"/>
  <c r="V187" i="12"/>
  <c r="W187" i="12" s="1"/>
  <c r="AD187" i="12" s="1"/>
  <c r="V188" i="12"/>
  <c r="X188" i="12" s="1"/>
  <c r="Y188" i="12" s="1"/>
  <c r="N190" i="12"/>
  <c r="AJ190" i="12" s="1"/>
  <c r="AB190" i="12"/>
  <c r="V191" i="12"/>
  <c r="W191" i="12" s="1"/>
  <c r="AD191" i="12" s="1"/>
  <c r="V192" i="12"/>
  <c r="N194" i="12"/>
  <c r="AJ194" i="12" s="1"/>
  <c r="AB194" i="12"/>
  <c r="V195" i="12"/>
  <c r="V196" i="12"/>
  <c r="X196" i="12" s="1"/>
  <c r="Y196" i="12" s="1"/>
  <c r="N198" i="12"/>
  <c r="AB198" i="12"/>
  <c r="V199" i="12"/>
  <c r="Z199" i="12" s="1"/>
  <c r="AA199" i="12" s="1"/>
  <c r="AG199" i="12" s="1"/>
  <c r="V200" i="12"/>
  <c r="X200" i="12" s="1"/>
  <c r="Y200" i="12" s="1"/>
  <c r="N202" i="12"/>
  <c r="AH202" i="12" s="1"/>
  <c r="AB202" i="12"/>
  <c r="AI202" i="12"/>
  <c r="V203" i="12"/>
  <c r="W203" i="12" s="1"/>
  <c r="AD203" i="12" s="1"/>
  <c r="V204" i="12"/>
  <c r="X204" i="12" s="1"/>
  <c r="Y204" i="12" s="1"/>
  <c r="AB206" i="12"/>
  <c r="V207" i="12"/>
  <c r="Z207" i="12" s="1"/>
  <c r="AA207" i="12" s="1"/>
  <c r="AG207" i="12" s="1"/>
  <c r="AB207" i="12"/>
  <c r="V208" i="12"/>
  <c r="AB210" i="12"/>
  <c r="V211" i="12"/>
  <c r="V212" i="12"/>
  <c r="X212" i="12" s="1"/>
  <c r="Y212" i="12" s="1"/>
  <c r="AB214" i="12"/>
  <c r="V215" i="12"/>
  <c r="Z215" i="12" s="1"/>
  <c r="AA215" i="12" s="1"/>
  <c r="AG215" i="12" s="1"/>
  <c r="V216" i="12"/>
  <c r="X216" i="12" s="1"/>
  <c r="Y216" i="12" s="1"/>
  <c r="AB216" i="12"/>
  <c r="AB218" i="12"/>
  <c r="V219" i="12"/>
  <c r="W219" i="12" s="1"/>
  <c r="AD219" i="12" s="1"/>
  <c r="V220" i="12"/>
  <c r="AB222" i="12"/>
  <c r="V223" i="12"/>
  <c r="Z223" i="12" s="1"/>
  <c r="AA223" i="12" s="1"/>
  <c r="AG223" i="12" s="1"/>
  <c r="V224" i="12"/>
  <c r="X224" i="12" s="1"/>
  <c r="Y224" i="12" s="1"/>
  <c r="AB226" i="12"/>
  <c r="V227" i="12"/>
  <c r="V228" i="12"/>
  <c r="X228" i="12" s="1"/>
  <c r="Y228" i="12" s="1"/>
  <c r="AB230" i="12"/>
  <c r="V231" i="12"/>
  <c r="Z231" i="12" s="1"/>
  <c r="AA231" i="12" s="1"/>
  <c r="AG231" i="12" s="1"/>
  <c r="AB231" i="12"/>
  <c r="V232" i="12"/>
  <c r="AB234" i="12"/>
  <c r="V235" i="12"/>
  <c r="W235" i="12" s="1"/>
  <c r="AD235" i="12" s="1"/>
  <c r="AB235" i="12"/>
  <c r="V236" i="12"/>
  <c r="X236" i="12" s="1"/>
  <c r="Y236" i="12" s="1"/>
  <c r="N238" i="12"/>
  <c r="T238" i="12"/>
  <c r="AB238" i="12"/>
  <c r="AI238" i="12"/>
  <c r="N239" i="12"/>
  <c r="V239" i="12"/>
  <c r="AB239" i="12" s="1"/>
  <c r="AI239" i="12"/>
  <c r="O240" i="12"/>
  <c r="V240" i="12"/>
  <c r="AB240" i="12" s="1"/>
  <c r="AJ240" i="12"/>
  <c r="N242" i="12"/>
  <c r="T242" i="12"/>
  <c r="AB242" i="12"/>
  <c r="AI242" i="12"/>
  <c r="N243" i="12"/>
  <c r="V243" i="12"/>
  <c r="AB243" i="12" s="1"/>
  <c r="AI243" i="12"/>
  <c r="O244" i="12"/>
  <c r="V244" i="12"/>
  <c r="AB244" i="12" s="1"/>
  <c r="AJ244" i="12"/>
  <c r="N246" i="12"/>
  <c r="T246" i="12"/>
  <c r="AB246" i="12"/>
  <c r="AI246" i="12"/>
  <c r="N247" i="12"/>
  <c r="V247" i="12"/>
  <c r="AB247" i="12" s="1"/>
  <c r="AI247" i="12"/>
  <c r="O248" i="12"/>
  <c r="V248" i="12"/>
  <c r="AB248" i="12" s="1"/>
  <c r="AJ248" i="12"/>
  <c r="N250" i="12"/>
  <c r="T250" i="12"/>
  <c r="AB250" i="12"/>
  <c r="AI250" i="12"/>
  <c r="N251" i="12"/>
  <c r="V251" i="12"/>
  <c r="AB251" i="12" s="1"/>
  <c r="AI251" i="12"/>
  <c r="O252" i="12"/>
  <c r="V252" i="12"/>
  <c r="AB252" i="12" s="1"/>
  <c r="AJ252" i="12"/>
  <c r="N254" i="12"/>
  <c r="T254" i="12"/>
  <c r="AB254" i="12"/>
  <c r="AI254" i="12"/>
  <c r="N255" i="12"/>
  <c r="V255" i="12"/>
  <c r="AB255" i="12" s="1"/>
  <c r="AI255" i="12"/>
  <c r="O256" i="12"/>
  <c r="V256" i="12"/>
  <c r="AB256" i="12" s="1"/>
  <c r="AJ256" i="12"/>
  <c r="N258" i="12"/>
  <c r="T258" i="12"/>
  <c r="AB258" i="12"/>
  <c r="AI258" i="12"/>
  <c r="N259" i="12"/>
  <c r="V259" i="12"/>
  <c r="AB259" i="12" s="1"/>
  <c r="AI259" i="12"/>
  <c r="O260" i="12"/>
  <c r="V260" i="12"/>
  <c r="AB260" i="12" s="1"/>
  <c r="AJ260" i="12"/>
  <c r="N262" i="12"/>
  <c r="T262" i="12"/>
  <c r="AB262" i="12"/>
  <c r="AI262" i="12"/>
  <c r="N263" i="12"/>
  <c r="V263" i="12"/>
  <c r="AB263" i="12" s="1"/>
  <c r="AI263" i="12"/>
  <c r="O264" i="12"/>
  <c r="V264" i="12"/>
  <c r="AB264" i="12" s="1"/>
  <c r="AJ264" i="12"/>
  <c r="N266" i="12"/>
  <c r="T266" i="12"/>
  <c r="AB266" i="12"/>
  <c r="AI266" i="12"/>
  <c r="N267" i="12"/>
  <c r="V267" i="12"/>
  <c r="AB267" i="12" s="1"/>
  <c r="AI267" i="12"/>
  <c r="O268" i="12"/>
  <c r="V268" i="12"/>
  <c r="AB268" i="12" s="1"/>
  <c r="AJ268" i="12"/>
  <c r="N270" i="12"/>
  <c r="T270" i="12"/>
  <c r="AB270" i="12"/>
  <c r="AI270" i="12"/>
  <c r="N271" i="12"/>
  <c r="V271" i="12"/>
  <c r="AB271" i="12" s="1"/>
  <c r="AI271" i="12"/>
  <c r="O272" i="12"/>
  <c r="V272" i="12"/>
  <c r="AB272" i="12" s="1"/>
  <c r="AJ272" i="12"/>
  <c r="N274" i="12"/>
  <c r="T274" i="12"/>
  <c r="AB274" i="12"/>
  <c r="AI274" i="12"/>
  <c r="N275" i="12"/>
  <c r="V275" i="12"/>
  <c r="AB275" i="12" s="1"/>
  <c r="AI275" i="12"/>
  <c r="O276" i="12"/>
  <c r="V276" i="12"/>
  <c r="AB276" i="12" s="1"/>
  <c r="AJ276" i="12"/>
  <c r="N278" i="12"/>
  <c r="T278" i="12"/>
  <c r="AB278" i="12"/>
  <c r="AI278" i="12"/>
  <c r="N279" i="12"/>
  <c r="V279" i="12"/>
  <c r="AB279" i="12" s="1"/>
  <c r="AI279" i="12"/>
  <c r="O280" i="12"/>
  <c r="V280" i="12"/>
  <c r="AB280" i="12" s="1"/>
  <c r="AJ280" i="12"/>
  <c r="N282" i="12"/>
  <c r="T282" i="12"/>
  <c r="AB282" i="12"/>
  <c r="AI282" i="12"/>
  <c r="N283" i="12"/>
  <c r="V283" i="12"/>
  <c r="AB283" i="12" s="1"/>
  <c r="AI283" i="12"/>
  <c r="O284" i="12"/>
  <c r="V284" i="12"/>
  <c r="AB284" i="12" s="1"/>
  <c r="AJ284" i="12"/>
  <c r="N286" i="12"/>
  <c r="T286" i="12"/>
  <c r="AB286" i="12"/>
  <c r="AI286" i="12"/>
  <c r="N287" i="12"/>
  <c r="V287" i="12"/>
  <c r="AB287" i="12" s="1"/>
  <c r="AI287" i="12"/>
  <c r="O288" i="12"/>
  <c r="V288" i="12"/>
  <c r="AB288" i="12" s="1"/>
  <c r="AJ288" i="12"/>
  <c r="N290" i="12"/>
  <c r="T290" i="12"/>
  <c r="AB290" i="12"/>
  <c r="AI290" i="12"/>
  <c r="N291" i="12"/>
  <c r="V291" i="12"/>
  <c r="AB291" i="12" s="1"/>
  <c r="AI291" i="12"/>
  <c r="O292" i="12"/>
  <c r="V292" i="12"/>
  <c r="AB292" i="12" s="1"/>
  <c r="AJ292" i="12"/>
  <c r="N294" i="12"/>
  <c r="T294" i="12"/>
  <c r="AB294" i="12"/>
  <c r="AI294" i="12"/>
  <c r="N295" i="12"/>
  <c r="V295" i="12"/>
  <c r="AB295" i="12" s="1"/>
  <c r="AI295" i="12"/>
  <c r="O296" i="12"/>
  <c r="V296" i="12"/>
  <c r="AB296" i="12" s="1"/>
  <c r="AJ296" i="12"/>
  <c r="N298" i="12"/>
  <c r="T298" i="12"/>
  <c r="AB298" i="12"/>
  <c r="AI298" i="12"/>
  <c r="N299" i="12"/>
  <c r="V299" i="12"/>
  <c r="AB299" i="12" s="1"/>
  <c r="AI299" i="12"/>
  <c r="O300" i="12"/>
  <c r="V300" i="12"/>
  <c r="AB300" i="12" s="1"/>
  <c r="AJ300" i="12"/>
  <c r="N302" i="12"/>
  <c r="T302" i="12"/>
  <c r="AB302" i="12"/>
  <c r="AI302" i="12"/>
  <c r="N303" i="12"/>
  <c r="V303" i="12"/>
  <c r="AB303" i="12" s="1"/>
  <c r="AI303" i="12"/>
  <c r="O304" i="12"/>
  <c r="V304" i="12"/>
  <c r="AB304" i="12" s="1"/>
  <c r="AJ304" i="12"/>
  <c r="N306" i="12"/>
  <c r="T306" i="12"/>
  <c r="AB306" i="12"/>
  <c r="AI306" i="12"/>
  <c r="N307" i="12"/>
  <c r="V307" i="12"/>
  <c r="AB307" i="12" s="1"/>
  <c r="AI307" i="12"/>
  <c r="O308" i="12"/>
  <c r="V308" i="12"/>
  <c r="AB308" i="12" s="1"/>
  <c r="AJ308" i="12"/>
  <c r="N310" i="12"/>
  <c r="T310" i="12"/>
  <c r="AB310" i="12"/>
  <c r="AI310" i="12"/>
  <c r="N311" i="12"/>
  <c r="V311" i="12"/>
  <c r="AB311" i="12" s="1"/>
  <c r="AI311" i="12"/>
  <c r="O312" i="12"/>
  <c r="V312" i="12"/>
  <c r="AB312" i="12" s="1"/>
  <c r="AJ312" i="12"/>
  <c r="N314" i="12"/>
  <c r="T314" i="12"/>
  <c r="AB314" i="12"/>
  <c r="AI314" i="12"/>
  <c r="N315" i="12"/>
  <c r="V315" i="12"/>
  <c r="AB315" i="12" s="1"/>
  <c r="AI315" i="12"/>
  <c r="O316" i="12"/>
  <c r="V316" i="12"/>
  <c r="AB316" i="12" s="1"/>
  <c r="AJ316" i="12"/>
  <c r="N318" i="12"/>
  <c r="T318" i="12"/>
  <c r="AB318" i="12"/>
  <c r="AI318" i="12"/>
  <c r="N319" i="12"/>
  <c r="V319" i="12"/>
  <c r="AB319" i="12" s="1"/>
  <c r="AI319" i="12"/>
  <c r="O320" i="12"/>
  <c r="V320" i="12"/>
  <c r="AB320" i="12" s="1"/>
  <c r="AJ320" i="12"/>
  <c r="N322" i="12"/>
  <c r="T322" i="12"/>
  <c r="AB322" i="12"/>
  <c r="AI322" i="12"/>
  <c r="N323" i="12"/>
  <c r="V323" i="12"/>
  <c r="AB323" i="12" s="1"/>
  <c r="AI323" i="12"/>
  <c r="O324" i="12"/>
  <c r="V324" i="12"/>
  <c r="AB324" i="12" s="1"/>
  <c r="AJ324" i="12"/>
  <c r="N326" i="12"/>
  <c r="T326" i="12"/>
  <c r="AB326" i="12"/>
  <c r="AI326" i="12"/>
  <c r="N327" i="12"/>
  <c r="V327" i="12"/>
  <c r="AB327" i="12" s="1"/>
  <c r="AI327" i="12"/>
  <c r="O328" i="12"/>
  <c r="V328" i="12"/>
  <c r="AB328" i="12" s="1"/>
  <c r="AJ328" i="12"/>
  <c r="N330" i="12"/>
  <c r="T330" i="12"/>
  <c r="AB330" i="12"/>
  <c r="AI330" i="12"/>
  <c r="N331" i="12"/>
  <c r="V331" i="12"/>
  <c r="AB331" i="12" s="1"/>
  <c r="AI331" i="12"/>
  <c r="O332" i="12"/>
  <c r="V332" i="12"/>
  <c r="AB332" i="12" s="1"/>
  <c r="AJ332" i="12"/>
  <c r="N334" i="12"/>
  <c r="T334" i="12"/>
  <c r="AB334" i="12"/>
  <c r="AI334" i="12"/>
  <c r="N335" i="12"/>
  <c r="V335" i="12"/>
  <c r="AB335" i="12" s="1"/>
  <c r="AI335" i="12"/>
  <c r="O336" i="12"/>
  <c r="V336" i="12"/>
  <c r="AB336" i="12" s="1"/>
  <c r="AJ336" i="12"/>
  <c r="N338" i="12"/>
  <c r="T338" i="12"/>
  <c r="AB338" i="12"/>
  <c r="AI338" i="12"/>
  <c r="N339" i="12"/>
  <c r="V339" i="12"/>
  <c r="AB339" i="12" s="1"/>
  <c r="AI339" i="12"/>
  <c r="O340" i="12"/>
  <c r="V340" i="12"/>
  <c r="AB340" i="12" s="1"/>
  <c r="AJ340" i="12"/>
  <c r="N342" i="12"/>
  <c r="T342" i="12"/>
  <c r="AB342" i="12"/>
  <c r="AI342" i="12"/>
  <c r="N343" i="12"/>
  <c r="V343" i="12"/>
  <c r="AB343" i="12" s="1"/>
  <c r="AI343" i="12"/>
  <c r="O344" i="12"/>
  <c r="V344" i="12"/>
  <c r="AB344" i="12" s="1"/>
  <c r="AJ344" i="12"/>
  <c r="N346" i="12"/>
  <c r="T346" i="12"/>
  <c r="AB346" i="12"/>
  <c r="AI346" i="12"/>
  <c r="N347" i="12"/>
  <c r="V347" i="12"/>
  <c r="AB347" i="12" s="1"/>
  <c r="AI347" i="12"/>
  <c r="O348" i="12"/>
  <c r="V348" i="12"/>
  <c r="AB348" i="12" s="1"/>
  <c r="AJ348" i="12"/>
  <c r="N350" i="12"/>
  <c r="T350" i="12"/>
  <c r="AB350" i="12"/>
  <c r="AI350" i="12"/>
  <c r="N351" i="12"/>
  <c r="V351" i="12"/>
  <c r="AB351" i="12" s="1"/>
  <c r="AI351" i="12"/>
  <c r="O352" i="12"/>
  <c r="V352" i="12"/>
  <c r="AB352" i="12" s="1"/>
  <c r="AJ352" i="12"/>
  <c r="N354" i="12"/>
  <c r="T354" i="12"/>
  <c r="AB354" i="12"/>
  <c r="AI354" i="12"/>
  <c r="N355" i="12"/>
  <c r="V355" i="12"/>
  <c r="AB355" i="12" s="1"/>
  <c r="AI355" i="12"/>
  <c r="O356" i="12"/>
  <c r="V356" i="12"/>
  <c r="AB356" i="12" s="1"/>
  <c r="AJ356" i="12"/>
  <c r="N358" i="12"/>
  <c r="T358" i="12"/>
  <c r="AB358" i="12"/>
  <c r="AI358" i="12"/>
  <c r="N359" i="12"/>
  <c r="V359" i="12"/>
  <c r="AB359" i="12" s="1"/>
  <c r="AI359" i="12"/>
  <c r="O360" i="12"/>
  <c r="V360" i="12"/>
  <c r="AB360" i="12" s="1"/>
  <c r="AJ360" i="12"/>
  <c r="N362" i="12"/>
  <c r="T362" i="12"/>
  <c r="AB362" i="12"/>
  <c r="AI362" i="12"/>
  <c r="N363" i="12"/>
  <c r="V363" i="12"/>
  <c r="AB363" i="12" s="1"/>
  <c r="AI363" i="12"/>
  <c r="O364" i="12"/>
  <c r="V364" i="12"/>
  <c r="AB364" i="12" s="1"/>
  <c r="AJ364" i="12"/>
  <c r="N366" i="12"/>
  <c r="T366" i="12"/>
  <c r="AB366" i="12"/>
  <c r="AI366" i="12"/>
  <c r="N367" i="12"/>
  <c r="V367" i="12"/>
  <c r="AB367" i="12" s="1"/>
  <c r="AI367" i="12"/>
  <c r="O368" i="12"/>
  <c r="V368" i="12"/>
  <c r="AB368" i="12" s="1"/>
  <c r="AJ368" i="12"/>
  <c r="N370" i="12"/>
  <c r="T370" i="12"/>
  <c r="AB370" i="12"/>
  <c r="AI370" i="12"/>
  <c r="N371" i="12"/>
  <c r="V371" i="12"/>
  <c r="AB371" i="12" s="1"/>
  <c r="AI371" i="12"/>
  <c r="O372" i="12"/>
  <c r="V372" i="12"/>
  <c r="AB372" i="12" s="1"/>
  <c r="AJ372" i="12"/>
  <c r="N374" i="12"/>
  <c r="T374" i="12"/>
  <c r="AB374" i="12"/>
  <c r="AI374" i="12"/>
  <c r="N375" i="12"/>
  <c r="V375" i="12"/>
  <c r="AB375" i="12" s="1"/>
  <c r="AI375" i="12"/>
  <c r="O376" i="12"/>
  <c r="V376" i="12"/>
  <c r="AB376" i="12" s="1"/>
  <c r="AJ376" i="12"/>
  <c r="N378" i="12"/>
  <c r="T378" i="12"/>
  <c r="AB378" i="12"/>
  <c r="AI378" i="12"/>
  <c r="N379" i="12"/>
  <c r="V379" i="12"/>
  <c r="AB379" i="12" s="1"/>
  <c r="AI379" i="12"/>
  <c r="O380" i="12"/>
  <c r="V380" i="12"/>
  <c r="AB380" i="12" s="1"/>
  <c r="AJ380" i="12"/>
  <c r="N382" i="12"/>
  <c r="T382" i="12"/>
  <c r="AB382" i="12"/>
  <c r="AI382" i="12"/>
  <c r="N383" i="12"/>
  <c r="V383" i="12"/>
  <c r="AB383" i="12" s="1"/>
  <c r="AI383" i="12"/>
  <c r="O384" i="12"/>
  <c r="V384" i="12"/>
  <c r="AB384" i="12" s="1"/>
  <c r="AJ384" i="12"/>
  <c r="N386" i="12"/>
  <c r="T386" i="12"/>
  <c r="AB386" i="12"/>
  <c r="AI386" i="12"/>
  <c r="N387" i="12"/>
  <c r="V387" i="12"/>
  <c r="AB387" i="12" s="1"/>
  <c r="AI387" i="12"/>
  <c r="O388" i="12"/>
  <c r="V388" i="12"/>
  <c r="AB388" i="12" s="1"/>
  <c r="AJ388" i="12"/>
  <c r="N390" i="12"/>
  <c r="T390" i="12"/>
  <c r="AB390" i="12"/>
  <c r="AI390" i="12"/>
  <c r="N391" i="12"/>
  <c r="V391" i="12"/>
  <c r="AB391" i="12" s="1"/>
  <c r="AI391" i="12"/>
  <c r="O392" i="12"/>
  <c r="V392" i="12"/>
  <c r="AB392" i="12" s="1"/>
  <c r="AJ392" i="12"/>
  <c r="N394" i="12"/>
  <c r="T394" i="12"/>
  <c r="AB394" i="12"/>
  <c r="AI394" i="12"/>
  <c r="N395" i="12"/>
  <c r="V395" i="12"/>
  <c r="AB395" i="12" s="1"/>
  <c r="AI395" i="12"/>
  <c r="O396" i="12"/>
  <c r="V396" i="12"/>
  <c r="AB396" i="12" s="1"/>
  <c r="AJ396" i="12"/>
  <c r="N398" i="12"/>
  <c r="T398" i="12"/>
  <c r="AB398" i="12"/>
  <c r="AI398" i="12"/>
  <c r="N399" i="12"/>
  <c r="V399" i="12"/>
  <c r="AB399" i="12" s="1"/>
  <c r="AI399" i="12"/>
  <c r="O400" i="12"/>
  <c r="V400" i="12"/>
  <c r="AB400" i="12" s="1"/>
  <c r="AJ400" i="12"/>
  <c r="N402" i="12"/>
  <c r="T402" i="12"/>
  <c r="AB402" i="12"/>
  <c r="AI402" i="12"/>
  <c r="N403" i="12"/>
  <c r="V403" i="12"/>
  <c r="AB403" i="12" s="1"/>
  <c r="AI403" i="12"/>
  <c r="O404" i="12"/>
  <c r="V404" i="12"/>
  <c r="AB404" i="12" s="1"/>
  <c r="AJ404" i="12"/>
  <c r="N406" i="12"/>
  <c r="T406" i="12"/>
  <c r="AB406" i="12"/>
  <c r="AI406" i="12"/>
  <c r="N407" i="12"/>
  <c r="V407" i="12"/>
  <c r="AB407" i="12" s="1"/>
  <c r="AI407" i="12"/>
  <c r="O408" i="12"/>
  <c r="V408" i="12"/>
  <c r="AB408" i="12" s="1"/>
  <c r="AJ408" i="12"/>
  <c r="N410" i="12"/>
  <c r="T410" i="12"/>
  <c r="AB410" i="12"/>
  <c r="AI410" i="12"/>
  <c r="N411" i="12"/>
  <c r="V411" i="12"/>
  <c r="AB411" i="12" s="1"/>
  <c r="AI411" i="12"/>
  <c r="O412" i="12"/>
  <c r="V412" i="12"/>
  <c r="AB412" i="12" s="1"/>
  <c r="AJ412" i="12"/>
  <c r="N414" i="12"/>
  <c r="T414" i="12"/>
  <c r="AB414" i="12"/>
  <c r="AI414" i="12"/>
  <c r="N415" i="12"/>
  <c r="V415" i="12"/>
  <c r="AB415" i="12" s="1"/>
  <c r="AI415" i="12"/>
  <c r="O416" i="12"/>
  <c r="V416" i="12"/>
  <c r="AB416" i="12" s="1"/>
  <c r="AJ416" i="12"/>
  <c r="N418" i="12"/>
  <c r="T418" i="12"/>
  <c r="AB418" i="12"/>
  <c r="AI418" i="12"/>
  <c r="N419" i="12"/>
  <c r="V419" i="12"/>
  <c r="AB419" i="12" s="1"/>
  <c r="AI419" i="12"/>
  <c r="O420" i="12"/>
  <c r="V420" i="12"/>
  <c r="AB420" i="12" s="1"/>
  <c r="AJ420" i="12"/>
  <c r="N422" i="12"/>
  <c r="T422" i="12"/>
  <c r="AB422" i="12"/>
  <c r="AI422" i="12"/>
  <c r="N423" i="12"/>
  <c r="V423" i="12"/>
  <c r="AB423" i="12" s="1"/>
  <c r="AI423" i="12"/>
  <c r="O424" i="12"/>
  <c r="V424" i="12"/>
  <c r="AB424" i="12" s="1"/>
  <c r="AJ424" i="12"/>
  <c r="N426" i="12"/>
  <c r="T426" i="12"/>
  <c r="AB426" i="12"/>
  <c r="AI426" i="12"/>
  <c r="N427" i="12"/>
  <c r="V427" i="12"/>
  <c r="AB427" i="12" s="1"/>
  <c r="AI427" i="12"/>
  <c r="O428" i="12"/>
  <c r="V428" i="12"/>
  <c r="AB428" i="12" s="1"/>
  <c r="AJ428" i="12"/>
  <c r="N430" i="12"/>
  <c r="T430" i="12"/>
  <c r="AB430" i="12"/>
  <c r="AI430" i="12"/>
  <c r="N431" i="12"/>
  <c r="V431" i="12"/>
  <c r="AB431" i="12" s="1"/>
  <c r="AI431" i="12"/>
  <c r="O432" i="12"/>
  <c r="V432" i="12"/>
  <c r="AB432" i="12" s="1"/>
  <c r="AJ432" i="12"/>
  <c r="N434" i="12"/>
  <c r="T434" i="12"/>
  <c r="AB434" i="12"/>
  <c r="AI434" i="12"/>
  <c r="N435" i="12"/>
  <c r="V435" i="12"/>
  <c r="AB435" i="12" s="1"/>
  <c r="AI435" i="12"/>
  <c r="O436" i="12"/>
  <c r="V436" i="12"/>
  <c r="AB436" i="12" s="1"/>
  <c r="AJ436" i="12"/>
  <c r="N438" i="12"/>
  <c r="T438" i="12"/>
  <c r="AB438" i="12"/>
  <c r="AI438" i="12"/>
  <c r="N439" i="12"/>
  <c r="V439" i="12"/>
  <c r="AB439" i="12" s="1"/>
  <c r="AI439" i="12"/>
  <c r="O440" i="12"/>
  <c r="V440" i="12"/>
  <c r="AB440" i="12" s="1"/>
  <c r="AJ440" i="12"/>
  <c r="N442" i="12"/>
  <c r="T442" i="12"/>
  <c r="AB442" i="12"/>
  <c r="AI442" i="12"/>
  <c r="N443" i="12"/>
  <c r="V443" i="12"/>
  <c r="AB443" i="12" s="1"/>
  <c r="AI443" i="12"/>
  <c r="O444" i="12"/>
  <c r="V444" i="12"/>
  <c r="AB444" i="12" s="1"/>
  <c r="AJ444" i="12"/>
  <c r="N446" i="12"/>
  <c r="T446" i="12"/>
  <c r="AB446" i="12"/>
  <c r="AI446" i="12"/>
  <c r="N447" i="12"/>
  <c r="V447" i="12"/>
  <c r="AB447" i="12" s="1"/>
  <c r="AI447" i="12"/>
  <c r="O448" i="12"/>
  <c r="V448" i="12"/>
  <c r="AB448" i="12" s="1"/>
  <c r="AJ448" i="12"/>
  <c r="N450" i="12"/>
  <c r="T450" i="12"/>
  <c r="AB450" i="12"/>
  <c r="AI450" i="12"/>
  <c r="N451" i="12"/>
  <c r="V451" i="12"/>
  <c r="AB451" i="12" s="1"/>
  <c r="AI451" i="12"/>
  <c r="O452" i="12"/>
  <c r="V452" i="12"/>
  <c r="AB452" i="12" s="1"/>
  <c r="AJ452" i="12"/>
  <c r="N454" i="12"/>
  <c r="T454" i="12"/>
  <c r="AB454" i="12"/>
  <c r="AI454" i="12"/>
  <c r="N455" i="12"/>
  <c r="V455" i="12"/>
  <c r="AB455" i="12" s="1"/>
  <c r="AI455" i="12"/>
  <c r="O456" i="12"/>
  <c r="V456" i="12"/>
  <c r="AB456" i="12" s="1"/>
  <c r="AJ456" i="12"/>
  <c r="N458" i="12"/>
  <c r="T458" i="12"/>
  <c r="AB458" i="12"/>
  <c r="AI458" i="12"/>
  <c r="N459" i="12"/>
  <c r="V459" i="12"/>
  <c r="AB459" i="12" s="1"/>
  <c r="AI459" i="12"/>
  <c r="O460" i="12"/>
  <c r="V460" i="12"/>
  <c r="AB460" i="12" s="1"/>
  <c r="AJ460" i="12"/>
  <c r="N462" i="12"/>
  <c r="T462" i="12"/>
  <c r="AB462" i="12"/>
  <c r="AI462" i="12"/>
  <c r="N463" i="12"/>
  <c r="V463" i="12"/>
  <c r="AB463" i="12" s="1"/>
  <c r="AI463" i="12"/>
  <c r="O464" i="12"/>
  <c r="V464" i="12"/>
  <c r="AB464" i="12" s="1"/>
  <c r="AJ464" i="12"/>
  <c r="N466" i="12"/>
  <c r="T466" i="12"/>
  <c r="AB466" i="12"/>
  <c r="AI466" i="12"/>
  <c r="N467" i="12"/>
  <c r="V467" i="12"/>
  <c r="AB467" i="12" s="1"/>
  <c r="AI467" i="12"/>
  <c r="O468" i="12"/>
  <c r="V468" i="12"/>
  <c r="AB468" i="12" s="1"/>
  <c r="AJ468" i="12"/>
  <c r="N470" i="12"/>
  <c r="T470" i="12"/>
  <c r="AB470" i="12"/>
  <c r="AI470" i="12"/>
  <c r="N471" i="12"/>
  <c r="V471" i="12"/>
  <c r="AB471" i="12" s="1"/>
  <c r="AI471" i="12"/>
  <c r="O472" i="12"/>
  <c r="V472" i="12"/>
  <c r="AB472" i="12" s="1"/>
  <c r="AJ472" i="12"/>
  <c r="N474" i="12"/>
  <c r="T474" i="12"/>
  <c r="AB474" i="12"/>
  <c r="AI474" i="12"/>
  <c r="N475" i="12"/>
  <c r="V475" i="12"/>
  <c r="AB475" i="12" s="1"/>
  <c r="AI475" i="12"/>
  <c r="O476" i="12"/>
  <c r="V476" i="12"/>
  <c r="AB476" i="12" s="1"/>
  <c r="AJ476" i="12"/>
  <c r="N478" i="12"/>
  <c r="T478" i="12"/>
  <c r="AB478" i="12"/>
  <c r="AI478" i="12"/>
  <c r="N479" i="12"/>
  <c r="V479" i="12"/>
  <c r="AB479" i="12" s="1"/>
  <c r="AI479" i="12"/>
  <c r="O480" i="12"/>
  <c r="V480" i="12"/>
  <c r="AB480" i="12" s="1"/>
  <c r="AJ480" i="12"/>
  <c r="N482" i="12"/>
  <c r="T482" i="12"/>
  <c r="AB482" i="12"/>
  <c r="AI482" i="12"/>
  <c r="N483" i="12"/>
  <c r="V483" i="12"/>
  <c r="AB483" i="12" s="1"/>
  <c r="AI483" i="12"/>
  <c r="O484" i="12"/>
  <c r="V484" i="12"/>
  <c r="AB484" i="12" s="1"/>
  <c r="AJ484" i="12"/>
  <c r="N486" i="12"/>
  <c r="T486" i="12"/>
  <c r="AB486" i="12"/>
  <c r="AI486" i="12"/>
  <c r="N487" i="12"/>
  <c r="V487" i="12"/>
  <c r="AB487" i="12" s="1"/>
  <c r="AI487" i="12"/>
  <c r="O488" i="12"/>
  <c r="V488" i="12"/>
  <c r="AB488" i="12" s="1"/>
  <c r="AJ488" i="12"/>
  <c r="N490" i="12"/>
  <c r="T490" i="12"/>
  <c r="AB490" i="12"/>
  <c r="AI490" i="12"/>
  <c r="N491" i="12"/>
  <c r="V491" i="12"/>
  <c r="AB491" i="12" s="1"/>
  <c r="AI491" i="12"/>
  <c r="O492" i="12"/>
  <c r="V492" i="12"/>
  <c r="AB492" i="12" s="1"/>
  <c r="AJ492" i="12"/>
  <c r="N494" i="12"/>
  <c r="T494" i="12"/>
  <c r="AB494" i="12"/>
  <c r="AI494" i="12"/>
  <c r="N495" i="12"/>
  <c r="V495" i="12"/>
  <c r="AB495" i="12" s="1"/>
  <c r="AI495" i="12"/>
  <c r="O496" i="12"/>
  <c r="V496" i="12"/>
  <c r="AB496" i="12" s="1"/>
  <c r="AJ496" i="12"/>
  <c r="N498" i="12"/>
  <c r="T498" i="12"/>
  <c r="AB498" i="12"/>
  <c r="AI498" i="12"/>
  <c r="N499" i="12"/>
  <c r="V499" i="12"/>
  <c r="AB499" i="12" s="1"/>
  <c r="AI499" i="12"/>
  <c r="M7" i="13"/>
  <c r="O7" i="13" s="1"/>
  <c r="R7" i="13" s="1"/>
  <c r="N9" i="13"/>
  <c r="V10" i="13"/>
  <c r="V12" i="13"/>
  <c r="W12" i="13" s="1"/>
  <c r="AD12" i="13" s="1"/>
  <c r="V14" i="13"/>
  <c r="W14" i="13" s="1"/>
  <c r="AD14" i="13" s="1"/>
  <c r="W19" i="13"/>
  <c r="AD19" i="13" s="1"/>
  <c r="W23" i="13"/>
  <c r="AD23" i="13" s="1"/>
  <c r="V24" i="13"/>
  <c r="W24" i="13" s="1"/>
  <c r="AD24" i="13" s="1"/>
  <c r="V39" i="13"/>
  <c r="V47" i="13"/>
  <c r="V53" i="13"/>
  <c r="V55" i="13"/>
  <c r="V65" i="13"/>
  <c r="V68" i="13"/>
  <c r="V71" i="13"/>
  <c r="V76" i="13"/>
  <c r="W76" i="13" s="1"/>
  <c r="AD76" i="13" s="1"/>
  <c r="O78" i="13"/>
  <c r="V84" i="13"/>
  <c r="V87" i="13"/>
  <c r="O102" i="13"/>
  <c r="N102" i="13"/>
  <c r="W104" i="13"/>
  <c r="AD104" i="13" s="1"/>
  <c r="O118" i="13"/>
  <c r="N118" i="13"/>
  <c r="W120" i="13"/>
  <c r="AD120" i="13" s="1"/>
  <c r="V122" i="13"/>
  <c r="V127" i="13"/>
  <c r="N359" i="9"/>
  <c r="S359" i="9"/>
  <c r="X359" i="9"/>
  <c r="AI359" i="9"/>
  <c r="AK360" i="9"/>
  <c r="AC360" i="9"/>
  <c r="AE360" i="9" s="1"/>
  <c r="Y360" i="9"/>
  <c r="U360" i="9"/>
  <c r="AF360" i="9" s="1"/>
  <c r="Q360" i="9"/>
  <c r="M360" i="9"/>
  <c r="R360" i="9"/>
  <c r="W360" i="9"/>
  <c r="AD360" i="9" s="1"/>
  <c r="AB360" i="9"/>
  <c r="AH360" i="9"/>
  <c r="N363" i="9"/>
  <c r="S363" i="9"/>
  <c r="X363" i="9"/>
  <c r="Y363" i="9" s="1"/>
  <c r="AI363" i="9"/>
  <c r="AK364" i="9"/>
  <c r="AC364" i="9"/>
  <c r="AE364" i="9" s="1"/>
  <c r="Y364" i="9"/>
  <c r="U364" i="9"/>
  <c r="AF364" i="9" s="1"/>
  <c r="Q364" i="9"/>
  <c r="M364" i="9"/>
  <c r="R364" i="9"/>
  <c r="W364" i="9"/>
  <c r="AD364" i="9" s="1"/>
  <c r="AB364" i="9"/>
  <c r="AH364" i="9"/>
  <c r="N367" i="9"/>
  <c r="S367" i="9"/>
  <c r="X367" i="9"/>
  <c r="AI367" i="9"/>
  <c r="AK368" i="9"/>
  <c r="AC368" i="9"/>
  <c r="AE368" i="9" s="1"/>
  <c r="Y368" i="9"/>
  <c r="U368" i="9"/>
  <c r="AF368" i="9" s="1"/>
  <c r="Q368" i="9"/>
  <c r="M368" i="9"/>
  <c r="R368" i="9"/>
  <c r="W368" i="9"/>
  <c r="AD368" i="9" s="1"/>
  <c r="AB368" i="9"/>
  <c r="AH368" i="9"/>
  <c r="N371" i="9"/>
  <c r="S371" i="9"/>
  <c r="X371" i="9"/>
  <c r="Y371" i="9" s="1"/>
  <c r="AI371" i="9"/>
  <c r="AK372" i="9"/>
  <c r="AC372" i="9"/>
  <c r="AE372" i="9" s="1"/>
  <c r="Y372" i="9"/>
  <c r="U372" i="9"/>
  <c r="AF372" i="9" s="1"/>
  <c r="Q372" i="9"/>
  <c r="M372" i="9"/>
  <c r="R372" i="9"/>
  <c r="W372" i="9"/>
  <c r="AD372" i="9" s="1"/>
  <c r="AB372" i="9"/>
  <c r="AH372" i="9"/>
  <c r="N375" i="9"/>
  <c r="S375" i="9"/>
  <c r="X375" i="9"/>
  <c r="AI375" i="9"/>
  <c r="AK376" i="9"/>
  <c r="AC376" i="9"/>
  <c r="AE376" i="9" s="1"/>
  <c r="Y376" i="9"/>
  <c r="U376" i="9"/>
  <c r="AF376" i="9" s="1"/>
  <c r="Q376" i="9"/>
  <c r="M376" i="9"/>
  <c r="R376" i="9"/>
  <c r="W376" i="9"/>
  <c r="AD376" i="9" s="1"/>
  <c r="AB376" i="9"/>
  <c r="AH376" i="9"/>
  <c r="N379" i="9"/>
  <c r="S379" i="9"/>
  <c r="X379" i="9"/>
  <c r="Y379" i="9" s="1"/>
  <c r="AI379" i="9"/>
  <c r="AK380" i="9"/>
  <c r="AC380" i="9"/>
  <c r="AE380" i="9" s="1"/>
  <c r="Y380" i="9"/>
  <c r="U380" i="9"/>
  <c r="AF380" i="9" s="1"/>
  <c r="Q380" i="9"/>
  <c r="M380" i="9"/>
  <c r="R380" i="9"/>
  <c r="W380" i="9"/>
  <c r="AD380" i="9" s="1"/>
  <c r="AB380" i="9"/>
  <c r="AH380" i="9"/>
  <c r="N383" i="9"/>
  <c r="S383" i="9"/>
  <c r="X383" i="9"/>
  <c r="AI383" i="9"/>
  <c r="AK384" i="9"/>
  <c r="AC384" i="9"/>
  <c r="AE384" i="9" s="1"/>
  <c r="Y384" i="9"/>
  <c r="U384" i="9"/>
  <c r="AF384" i="9" s="1"/>
  <c r="Q384" i="9"/>
  <c r="M384" i="9"/>
  <c r="R384" i="9"/>
  <c r="W384" i="9"/>
  <c r="AD384" i="9" s="1"/>
  <c r="AB384" i="9"/>
  <c r="AH384" i="9"/>
  <c r="N387" i="9"/>
  <c r="S387" i="9"/>
  <c r="X387" i="9"/>
  <c r="Y387" i="9" s="1"/>
  <c r="AI387" i="9"/>
  <c r="AK388" i="9"/>
  <c r="AC388" i="9"/>
  <c r="AE388" i="9" s="1"/>
  <c r="Y388" i="9"/>
  <c r="U388" i="9"/>
  <c r="AF388" i="9" s="1"/>
  <c r="Q388" i="9"/>
  <c r="M388" i="9"/>
  <c r="R388" i="9"/>
  <c r="W388" i="9"/>
  <c r="AD388" i="9" s="1"/>
  <c r="AB388" i="9"/>
  <c r="AH388" i="9"/>
  <c r="N391" i="9"/>
  <c r="S391" i="9"/>
  <c r="X391" i="9"/>
  <c r="AI391" i="9"/>
  <c r="AK392" i="9"/>
  <c r="AC392" i="9"/>
  <c r="AE392" i="9" s="1"/>
  <c r="Y392" i="9"/>
  <c r="U392" i="9"/>
  <c r="AF392" i="9" s="1"/>
  <c r="Q392" i="9"/>
  <c r="M392" i="9"/>
  <c r="R392" i="9"/>
  <c r="W392" i="9"/>
  <c r="AD392" i="9" s="1"/>
  <c r="AB392" i="9"/>
  <c r="AH392" i="9"/>
  <c r="N395" i="9"/>
  <c r="S395" i="9"/>
  <c r="X395" i="9"/>
  <c r="Y395" i="9" s="1"/>
  <c r="AI395" i="9"/>
  <c r="AK396" i="9"/>
  <c r="AC396" i="9"/>
  <c r="AE396" i="9" s="1"/>
  <c r="Y396" i="9"/>
  <c r="U396" i="9"/>
  <c r="AF396" i="9" s="1"/>
  <c r="Q396" i="9"/>
  <c r="M396" i="9"/>
  <c r="R396" i="9"/>
  <c r="W396" i="9"/>
  <c r="AD396" i="9" s="1"/>
  <c r="AB396" i="9"/>
  <c r="AH396" i="9"/>
  <c r="N399" i="9"/>
  <c r="S399" i="9"/>
  <c r="X399" i="9"/>
  <c r="AI399" i="9"/>
  <c r="AK400" i="9"/>
  <c r="AC400" i="9"/>
  <c r="AE400" i="9" s="1"/>
  <c r="Y400" i="9"/>
  <c r="U400" i="9"/>
  <c r="AF400" i="9" s="1"/>
  <c r="Q400" i="9"/>
  <c r="M400" i="9"/>
  <c r="R400" i="9"/>
  <c r="W400" i="9"/>
  <c r="AD400" i="9" s="1"/>
  <c r="AB400" i="9"/>
  <c r="AH400" i="9"/>
  <c r="N403" i="9"/>
  <c r="S403" i="9"/>
  <c r="X403" i="9"/>
  <c r="Y403" i="9" s="1"/>
  <c r="AI403" i="9"/>
  <c r="AK404" i="9"/>
  <c r="AC404" i="9"/>
  <c r="AE404" i="9" s="1"/>
  <c r="Y404" i="9"/>
  <c r="U404" i="9"/>
  <c r="AF404" i="9" s="1"/>
  <c r="Q404" i="9"/>
  <c r="M404" i="9"/>
  <c r="R404" i="9"/>
  <c r="W404" i="9"/>
  <c r="AD404" i="9" s="1"/>
  <c r="AB404" i="9"/>
  <c r="AH404" i="9"/>
  <c r="N407" i="9"/>
  <c r="S407" i="9"/>
  <c r="X407" i="9"/>
  <c r="AI407" i="9"/>
  <c r="AK408" i="9"/>
  <c r="AC408" i="9"/>
  <c r="AE408" i="9" s="1"/>
  <c r="Y408" i="9"/>
  <c r="U408" i="9"/>
  <c r="AF408" i="9" s="1"/>
  <c r="Q408" i="9"/>
  <c r="M408" i="9"/>
  <c r="R408" i="9"/>
  <c r="W408" i="9"/>
  <c r="AD408" i="9" s="1"/>
  <c r="AB408" i="9"/>
  <c r="AH408" i="9"/>
  <c r="N411" i="9"/>
  <c r="S411" i="9"/>
  <c r="X411" i="9"/>
  <c r="Y411" i="9" s="1"/>
  <c r="AI411" i="9"/>
  <c r="AK412" i="9"/>
  <c r="AC412" i="9"/>
  <c r="AE412" i="9" s="1"/>
  <c r="Y412" i="9"/>
  <c r="U412" i="9"/>
  <c r="AF412" i="9" s="1"/>
  <c r="Q412" i="9"/>
  <c r="M412" i="9"/>
  <c r="R412" i="9"/>
  <c r="W412" i="9"/>
  <c r="AD412" i="9" s="1"/>
  <c r="AB412" i="9"/>
  <c r="AH412" i="9"/>
  <c r="N415" i="9"/>
  <c r="S415" i="9"/>
  <c r="X415" i="9"/>
  <c r="AI415" i="9"/>
  <c r="AK416" i="9"/>
  <c r="AC416" i="9"/>
  <c r="AE416" i="9" s="1"/>
  <c r="Y416" i="9"/>
  <c r="U416" i="9"/>
  <c r="AF416" i="9" s="1"/>
  <c r="Q416" i="9"/>
  <c r="M416" i="9"/>
  <c r="R416" i="9"/>
  <c r="W416" i="9"/>
  <c r="AD416" i="9" s="1"/>
  <c r="AB416" i="9"/>
  <c r="AH416" i="9"/>
  <c r="N419" i="9"/>
  <c r="S419" i="9"/>
  <c r="X419" i="9"/>
  <c r="Y419" i="9" s="1"/>
  <c r="AI419" i="9"/>
  <c r="AK420" i="9"/>
  <c r="AC420" i="9"/>
  <c r="AE420" i="9" s="1"/>
  <c r="Y420" i="9"/>
  <c r="U420" i="9"/>
  <c r="AF420" i="9" s="1"/>
  <c r="Q420" i="9"/>
  <c r="M420" i="9"/>
  <c r="R420" i="9"/>
  <c r="W420" i="9"/>
  <c r="AD420" i="9" s="1"/>
  <c r="AB420" i="9"/>
  <c r="AH420" i="9"/>
  <c r="N423" i="9"/>
  <c r="S423" i="9"/>
  <c r="X423" i="9"/>
  <c r="AI423" i="9"/>
  <c r="AK424" i="9"/>
  <c r="AC424" i="9"/>
  <c r="AE424" i="9" s="1"/>
  <c r="Y424" i="9"/>
  <c r="U424" i="9"/>
  <c r="AF424" i="9" s="1"/>
  <c r="Q424" i="9"/>
  <c r="M424" i="9"/>
  <c r="R424" i="9"/>
  <c r="W424" i="9"/>
  <c r="AD424" i="9" s="1"/>
  <c r="AB424" i="9"/>
  <c r="AH424" i="9"/>
  <c r="N427" i="9"/>
  <c r="S427" i="9"/>
  <c r="X427" i="9"/>
  <c r="Y427" i="9" s="1"/>
  <c r="AI427" i="9"/>
  <c r="AK428" i="9"/>
  <c r="AC428" i="9"/>
  <c r="AE428" i="9" s="1"/>
  <c r="Y428" i="9"/>
  <c r="U428" i="9"/>
  <c r="AF428" i="9" s="1"/>
  <c r="Q428" i="9"/>
  <c r="M428" i="9"/>
  <c r="R428" i="9"/>
  <c r="W428" i="9"/>
  <c r="AD428" i="9" s="1"/>
  <c r="AB428" i="9"/>
  <c r="AH428" i="9"/>
  <c r="N431" i="9"/>
  <c r="S431" i="9"/>
  <c r="X431" i="9"/>
  <c r="AI431" i="9"/>
  <c r="AK432" i="9"/>
  <c r="AC432" i="9"/>
  <c r="AE432" i="9" s="1"/>
  <c r="Y432" i="9"/>
  <c r="U432" i="9"/>
  <c r="AF432" i="9" s="1"/>
  <c r="Q432" i="9"/>
  <c r="M432" i="9"/>
  <c r="R432" i="9"/>
  <c r="W432" i="9"/>
  <c r="AD432" i="9" s="1"/>
  <c r="AB432" i="9"/>
  <c r="AH432" i="9"/>
  <c r="N435" i="9"/>
  <c r="S435" i="9"/>
  <c r="X435" i="9"/>
  <c r="Y435" i="9" s="1"/>
  <c r="AI435" i="9"/>
  <c r="AK436" i="9"/>
  <c r="AC436" i="9"/>
  <c r="AE436" i="9" s="1"/>
  <c r="Y436" i="9"/>
  <c r="U436" i="9"/>
  <c r="AF436" i="9" s="1"/>
  <c r="Q436" i="9"/>
  <c r="M436" i="9"/>
  <c r="R436" i="9"/>
  <c r="W436" i="9"/>
  <c r="AD436" i="9" s="1"/>
  <c r="AB436" i="9"/>
  <c r="AH436" i="9"/>
  <c r="N439" i="9"/>
  <c r="S439" i="9"/>
  <c r="X439" i="9"/>
  <c r="AI439" i="9"/>
  <c r="AK440" i="9"/>
  <c r="AC440" i="9"/>
  <c r="AE440" i="9" s="1"/>
  <c r="Y440" i="9"/>
  <c r="U440" i="9"/>
  <c r="AF440" i="9" s="1"/>
  <c r="Q440" i="9"/>
  <c r="M440" i="9"/>
  <c r="R440" i="9"/>
  <c r="W440" i="9"/>
  <c r="AD440" i="9" s="1"/>
  <c r="AB440" i="9"/>
  <c r="AH440" i="9"/>
  <c r="N443" i="9"/>
  <c r="S443" i="9"/>
  <c r="X443" i="9"/>
  <c r="Y443" i="9" s="1"/>
  <c r="AI443" i="9"/>
  <c r="AK444" i="9"/>
  <c r="AC444" i="9"/>
  <c r="AE444" i="9" s="1"/>
  <c r="Y444" i="9"/>
  <c r="U444" i="9"/>
  <c r="AF444" i="9" s="1"/>
  <c r="Q444" i="9"/>
  <c r="M444" i="9"/>
  <c r="R444" i="9"/>
  <c r="W444" i="9"/>
  <c r="AD444" i="9" s="1"/>
  <c r="AB444" i="9"/>
  <c r="AH444" i="9"/>
  <c r="N447" i="9"/>
  <c r="S447" i="9"/>
  <c r="X447" i="9"/>
  <c r="AI447" i="9"/>
  <c r="AK448" i="9"/>
  <c r="AC448" i="9"/>
  <c r="AE448" i="9" s="1"/>
  <c r="Y448" i="9"/>
  <c r="U448" i="9"/>
  <c r="AF448" i="9" s="1"/>
  <c r="Q448" i="9"/>
  <c r="M448" i="9"/>
  <c r="R448" i="9"/>
  <c r="W448" i="9"/>
  <c r="AD448" i="9" s="1"/>
  <c r="AB448" i="9"/>
  <c r="AH448" i="9"/>
  <c r="N451" i="9"/>
  <c r="S451" i="9"/>
  <c r="X451" i="9"/>
  <c r="Y451" i="9" s="1"/>
  <c r="AI451" i="9"/>
  <c r="AK452" i="9"/>
  <c r="AC452" i="9"/>
  <c r="AE452" i="9" s="1"/>
  <c r="Y452" i="9"/>
  <c r="U452" i="9"/>
  <c r="AF452" i="9" s="1"/>
  <c r="Q452" i="9"/>
  <c r="M452" i="9"/>
  <c r="R452" i="9"/>
  <c r="W452" i="9"/>
  <c r="AD452" i="9" s="1"/>
  <c r="AB452" i="9"/>
  <c r="AH452" i="9"/>
  <c r="N455" i="9"/>
  <c r="S455" i="9"/>
  <c r="X455" i="9"/>
  <c r="AI455" i="9"/>
  <c r="AK456" i="9"/>
  <c r="AC456" i="9"/>
  <c r="AE456" i="9" s="1"/>
  <c r="Y456" i="9"/>
  <c r="U456" i="9"/>
  <c r="AF456" i="9" s="1"/>
  <c r="Q456" i="9"/>
  <c r="M456" i="9"/>
  <c r="R456" i="9"/>
  <c r="W456" i="9"/>
  <c r="AD456" i="9" s="1"/>
  <c r="AB456" i="9"/>
  <c r="AH456" i="9"/>
  <c r="N459" i="9"/>
  <c r="S459" i="9"/>
  <c r="X459" i="9"/>
  <c r="Y459" i="9" s="1"/>
  <c r="AI459" i="9"/>
  <c r="AK460" i="9"/>
  <c r="AC460" i="9"/>
  <c r="AE460" i="9" s="1"/>
  <c r="Y460" i="9"/>
  <c r="U460" i="9"/>
  <c r="AF460" i="9" s="1"/>
  <c r="Q460" i="9"/>
  <c r="M460" i="9"/>
  <c r="R460" i="9"/>
  <c r="W460" i="9"/>
  <c r="AD460" i="9" s="1"/>
  <c r="AB460" i="9"/>
  <c r="AH460" i="9"/>
  <c r="K461" i="9"/>
  <c r="P461" i="9"/>
  <c r="V461" i="9"/>
  <c r="AA461" i="9"/>
  <c r="AG461" i="9" s="1"/>
  <c r="N463" i="9"/>
  <c r="S463" i="9"/>
  <c r="X463" i="9"/>
  <c r="AI463" i="9"/>
  <c r="AK464" i="9"/>
  <c r="AC464" i="9"/>
  <c r="AE464" i="9" s="1"/>
  <c r="Y464" i="9"/>
  <c r="U464" i="9"/>
  <c r="AF464" i="9" s="1"/>
  <c r="Q464" i="9"/>
  <c r="M464" i="9"/>
  <c r="R464" i="9"/>
  <c r="W464" i="9"/>
  <c r="AD464" i="9" s="1"/>
  <c r="AB464" i="9"/>
  <c r="AH464" i="9"/>
  <c r="K465" i="9"/>
  <c r="P465" i="9"/>
  <c r="V465" i="9"/>
  <c r="AA465" i="9"/>
  <c r="AG465" i="9" s="1"/>
  <c r="N467" i="9"/>
  <c r="S467" i="9"/>
  <c r="X467" i="9"/>
  <c r="Y467" i="9" s="1"/>
  <c r="AI467" i="9"/>
  <c r="AK468" i="9"/>
  <c r="AC468" i="9"/>
  <c r="AE468" i="9" s="1"/>
  <c r="Y468" i="9"/>
  <c r="U468" i="9"/>
  <c r="AF468" i="9" s="1"/>
  <c r="Q468" i="9"/>
  <c r="M468" i="9"/>
  <c r="R468" i="9"/>
  <c r="W468" i="9"/>
  <c r="AD468" i="9" s="1"/>
  <c r="AB468" i="9"/>
  <c r="AH468" i="9"/>
  <c r="K469" i="9"/>
  <c r="P469" i="9"/>
  <c r="V469" i="9"/>
  <c r="AA469" i="9"/>
  <c r="AG469" i="9" s="1"/>
  <c r="N471" i="9"/>
  <c r="S471" i="9"/>
  <c r="X471" i="9"/>
  <c r="AI471" i="9"/>
  <c r="AK472" i="9"/>
  <c r="AC472" i="9"/>
  <c r="AE472" i="9" s="1"/>
  <c r="Y472" i="9"/>
  <c r="U472" i="9"/>
  <c r="AF472" i="9" s="1"/>
  <c r="Q472" i="9"/>
  <c r="M472" i="9"/>
  <c r="R472" i="9"/>
  <c r="W472" i="9"/>
  <c r="AD472" i="9" s="1"/>
  <c r="AB472" i="9"/>
  <c r="AH472" i="9"/>
  <c r="K473" i="9"/>
  <c r="P473" i="9"/>
  <c r="V473" i="9"/>
  <c r="AA473" i="9"/>
  <c r="AG473" i="9" s="1"/>
  <c r="N475" i="9"/>
  <c r="S475" i="9"/>
  <c r="X475" i="9"/>
  <c r="Y475" i="9" s="1"/>
  <c r="AI475" i="9"/>
  <c r="AK476" i="9"/>
  <c r="AC476" i="9"/>
  <c r="AE476" i="9" s="1"/>
  <c r="Y476" i="9"/>
  <c r="U476" i="9"/>
  <c r="AF476" i="9" s="1"/>
  <c r="Q476" i="9"/>
  <c r="M476" i="9"/>
  <c r="R476" i="9"/>
  <c r="W476" i="9"/>
  <c r="AD476" i="9" s="1"/>
  <c r="AB476" i="9"/>
  <c r="AH476" i="9"/>
  <c r="K477" i="9"/>
  <c r="P477" i="9"/>
  <c r="V477" i="9"/>
  <c r="AA477" i="9"/>
  <c r="AG477" i="9" s="1"/>
  <c r="N479" i="9"/>
  <c r="S479" i="9"/>
  <c r="X479" i="9"/>
  <c r="AI479" i="9"/>
  <c r="AK480" i="9"/>
  <c r="AC480" i="9"/>
  <c r="AE480" i="9" s="1"/>
  <c r="Y480" i="9"/>
  <c r="U480" i="9"/>
  <c r="AF480" i="9" s="1"/>
  <c r="Q480" i="9"/>
  <c r="M480" i="9"/>
  <c r="R480" i="9"/>
  <c r="W480" i="9"/>
  <c r="AD480" i="9" s="1"/>
  <c r="AB480" i="9"/>
  <c r="AH480" i="9"/>
  <c r="K481" i="9"/>
  <c r="P481" i="9"/>
  <c r="V481" i="9"/>
  <c r="AA481" i="9"/>
  <c r="AG481" i="9" s="1"/>
  <c r="N483" i="9"/>
  <c r="S483" i="9"/>
  <c r="X483" i="9"/>
  <c r="Y483" i="9" s="1"/>
  <c r="AI483" i="9"/>
  <c r="AK484" i="9"/>
  <c r="AC484" i="9"/>
  <c r="AE484" i="9" s="1"/>
  <c r="Y484" i="9"/>
  <c r="U484" i="9"/>
  <c r="AF484" i="9" s="1"/>
  <c r="Q484" i="9"/>
  <c r="M484" i="9"/>
  <c r="R484" i="9"/>
  <c r="W484" i="9"/>
  <c r="AD484" i="9" s="1"/>
  <c r="AB484" i="9"/>
  <c r="AH484" i="9"/>
  <c r="K485" i="9"/>
  <c r="P485" i="9"/>
  <c r="V485" i="9"/>
  <c r="AA485" i="9"/>
  <c r="AG485" i="9" s="1"/>
  <c r="N487" i="9"/>
  <c r="S487" i="9"/>
  <c r="X487" i="9"/>
  <c r="AI487" i="9"/>
  <c r="AK488" i="9"/>
  <c r="AC488" i="9"/>
  <c r="AE488" i="9" s="1"/>
  <c r="Y488" i="9"/>
  <c r="U488" i="9"/>
  <c r="AF488" i="9" s="1"/>
  <c r="Q488" i="9"/>
  <c r="M488" i="9"/>
  <c r="R488" i="9"/>
  <c r="W488" i="9"/>
  <c r="AD488" i="9" s="1"/>
  <c r="AB488" i="9"/>
  <c r="AH488" i="9"/>
  <c r="K489" i="9"/>
  <c r="P489" i="9"/>
  <c r="V489" i="9"/>
  <c r="AA489" i="9"/>
  <c r="AG489" i="9" s="1"/>
  <c r="N491" i="9"/>
  <c r="S491" i="9"/>
  <c r="X491" i="9"/>
  <c r="Y491" i="9" s="1"/>
  <c r="AI491" i="9"/>
  <c r="AK492" i="9"/>
  <c r="AC492" i="9"/>
  <c r="AE492" i="9" s="1"/>
  <c r="U492" i="9"/>
  <c r="AF492" i="9" s="1"/>
  <c r="Q492" i="9"/>
  <c r="M492" i="9"/>
  <c r="R492" i="9"/>
  <c r="W492" i="9"/>
  <c r="AD492" i="9" s="1"/>
  <c r="AB492" i="9"/>
  <c r="AH492" i="9"/>
  <c r="N495" i="9"/>
  <c r="S495" i="9"/>
  <c r="X495" i="9"/>
  <c r="AI495" i="9"/>
  <c r="AK496" i="9"/>
  <c r="AC496" i="9"/>
  <c r="AE496" i="9" s="1"/>
  <c r="U496" i="9"/>
  <c r="AF496" i="9" s="1"/>
  <c r="Q496" i="9"/>
  <c r="M496" i="9"/>
  <c r="R496" i="9"/>
  <c r="W496" i="9"/>
  <c r="AD496" i="9" s="1"/>
  <c r="AB496" i="9"/>
  <c r="AH496" i="9"/>
  <c r="N499" i="9"/>
  <c r="S499" i="9"/>
  <c r="X499" i="9"/>
  <c r="Y499" i="9" s="1"/>
  <c r="AI499" i="9"/>
  <c r="AK500" i="9"/>
  <c r="AC500" i="9"/>
  <c r="AE500" i="9" s="1"/>
  <c r="U500" i="9"/>
  <c r="AF500" i="9" s="1"/>
  <c r="Q500" i="9"/>
  <c r="M500" i="9"/>
  <c r="R500" i="9"/>
  <c r="W500" i="9"/>
  <c r="AD500" i="9" s="1"/>
  <c r="AB500" i="9"/>
  <c r="AH500" i="9"/>
  <c r="M2" i="10"/>
  <c r="R2" i="10"/>
  <c r="X2" i="10"/>
  <c r="AC2" i="10"/>
  <c r="AE2" i="10" s="1"/>
  <c r="AH2" i="10"/>
  <c r="AK4" i="10"/>
  <c r="AC4" i="10"/>
  <c r="AE4" i="10" s="1"/>
  <c r="Y4" i="10"/>
  <c r="U4" i="10"/>
  <c r="AF4" i="10" s="1"/>
  <c r="Q4" i="10"/>
  <c r="M4" i="10"/>
  <c r="R4" i="10"/>
  <c r="W4" i="10"/>
  <c r="AD4" i="10" s="1"/>
  <c r="AB4" i="10"/>
  <c r="AH4" i="10"/>
  <c r="AI6" i="10"/>
  <c r="AA6" i="10"/>
  <c r="AG6" i="10" s="1"/>
  <c r="W6" i="10"/>
  <c r="AD6" i="10" s="1"/>
  <c r="S6" i="10"/>
  <c r="O6" i="10"/>
  <c r="K6" i="10"/>
  <c r="Q6" i="10"/>
  <c r="V6" i="10"/>
  <c r="AB6" i="10"/>
  <c r="AL6" i="10"/>
  <c r="M7" i="10"/>
  <c r="S7" i="10"/>
  <c r="X7" i="10"/>
  <c r="Y7" i="10" s="1"/>
  <c r="AC7" i="10"/>
  <c r="AE7" i="10" s="1"/>
  <c r="AI7" i="10"/>
  <c r="M2" i="11"/>
  <c r="S2" i="11"/>
  <c r="X2" i="11"/>
  <c r="AC2" i="11"/>
  <c r="AE2" i="11" s="1"/>
  <c r="AI2" i="11"/>
  <c r="K3" i="11"/>
  <c r="P3" i="11"/>
  <c r="V3" i="11"/>
  <c r="AB3" i="11" s="1"/>
  <c r="AA3" i="11"/>
  <c r="AG3" i="11" s="1"/>
  <c r="P5" i="11"/>
  <c r="U5" i="11"/>
  <c r="AF5" i="11" s="1"/>
  <c r="Z5" i="11"/>
  <c r="AL6" i="11"/>
  <c r="AH6" i="11"/>
  <c r="Z6" i="11"/>
  <c r="AA6" i="11" s="1"/>
  <c r="AG6" i="11" s="1"/>
  <c r="V6" i="11"/>
  <c r="AB6" i="11" s="1"/>
  <c r="R6" i="11"/>
  <c r="N6" i="11"/>
  <c r="Q6" i="11"/>
  <c r="W6" i="11"/>
  <c r="AD6" i="11" s="1"/>
  <c r="O7" i="11"/>
  <c r="T7" i="11"/>
  <c r="Z7" i="11"/>
  <c r="AJ7" i="11"/>
  <c r="N9" i="11"/>
  <c r="T9" i="11"/>
  <c r="AJ9" i="11"/>
  <c r="M10" i="11"/>
  <c r="R10" i="11"/>
  <c r="X10" i="11"/>
  <c r="AC10" i="11"/>
  <c r="AE10" i="11" s="1"/>
  <c r="AH10" i="11"/>
  <c r="AI11" i="11"/>
  <c r="AA11" i="11"/>
  <c r="AG11" i="11" s="1"/>
  <c r="W11" i="11"/>
  <c r="AD11" i="11" s="1"/>
  <c r="S11" i="11"/>
  <c r="O11" i="11"/>
  <c r="K11" i="11"/>
  <c r="Q11" i="11"/>
  <c r="V11" i="11"/>
  <c r="AB11" i="11"/>
  <c r="AL11" i="11"/>
  <c r="P12" i="11"/>
  <c r="U12" i="11"/>
  <c r="AF12" i="11" s="1"/>
  <c r="Z12" i="11"/>
  <c r="N13" i="11"/>
  <c r="T13" i="11"/>
  <c r="Y13" i="11"/>
  <c r="AJ13" i="11"/>
  <c r="M14" i="11"/>
  <c r="R14" i="11"/>
  <c r="X14" i="11"/>
  <c r="AC14" i="11"/>
  <c r="AE14" i="11" s="1"/>
  <c r="AH14" i="11"/>
  <c r="AI15" i="11"/>
  <c r="AA15" i="11"/>
  <c r="AG15" i="11" s="1"/>
  <c r="W15" i="11"/>
  <c r="AD15" i="11" s="1"/>
  <c r="S15" i="11"/>
  <c r="O15" i="11"/>
  <c r="K15" i="11"/>
  <c r="Q15" i="11"/>
  <c r="V15" i="11"/>
  <c r="AB15" i="11" s="1"/>
  <c r="AL15" i="11"/>
  <c r="P16" i="11"/>
  <c r="U16" i="11"/>
  <c r="AF16" i="11" s="1"/>
  <c r="Z16" i="11"/>
  <c r="N17" i="11"/>
  <c r="T17" i="11"/>
  <c r="Y17" i="11"/>
  <c r="AJ17" i="11"/>
  <c r="M18" i="11"/>
  <c r="R18" i="11"/>
  <c r="X18" i="11"/>
  <c r="AC18" i="11"/>
  <c r="AE18" i="11" s="1"/>
  <c r="AH18" i="11"/>
  <c r="AI19" i="11"/>
  <c r="AA19" i="11"/>
  <c r="AG19" i="11" s="1"/>
  <c r="W19" i="11"/>
  <c r="AD19" i="11" s="1"/>
  <c r="S19" i="11"/>
  <c r="O19" i="11"/>
  <c r="K19" i="11"/>
  <c r="Q19" i="11"/>
  <c r="V19" i="11"/>
  <c r="AB19" i="11"/>
  <c r="AL19" i="11"/>
  <c r="P20" i="11"/>
  <c r="U20" i="11"/>
  <c r="AF20" i="11" s="1"/>
  <c r="Z20" i="11"/>
  <c r="N21" i="11"/>
  <c r="T21" i="11"/>
  <c r="Y21" i="11"/>
  <c r="AJ21" i="11"/>
  <c r="M22" i="11"/>
  <c r="R22" i="11"/>
  <c r="X22" i="11"/>
  <c r="AC22" i="11"/>
  <c r="AE22" i="11" s="1"/>
  <c r="AH22" i="11"/>
  <c r="AI23" i="11"/>
  <c r="AA23" i="11"/>
  <c r="AG23" i="11" s="1"/>
  <c r="W23" i="11"/>
  <c r="AD23" i="11" s="1"/>
  <c r="S23" i="11"/>
  <c r="O23" i="11"/>
  <c r="K23" i="11"/>
  <c r="Q23" i="11"/>
  <c r="V23" i="11"/>
  <c r="AB23" i="11" s="1"/>
  <c r="AL23" i="11"/>
  <c r="P24" i="11"/>
  <c r="U24" i="11"/>
  <c r="AF24" i="11" s="1"/>
  <c r="Z24" i="11"/>
  <c r="N25" i="11"/>
  <c r="T25" i="11"/>
  <c r="AJ25" i="11"/>
  <c r="M26" i="11"/>
  <c r="R26" i="11"/>
  <c r="X26" i="11"/>
  <c r="AC26" i="11"/>
  <c r="AE26" i="11" s="1"/>
  <c r="AH26" i="11"/>
  <c r="AI27" i="11"/>
  <c r="AA27" i="11"/>
  <c r="AG27" i="11" s="1"/>
  <c r="W27" i="11"/>
  <c r="AD27" i="11" s="1"/>
  <c r="S27" i="11"/>
  <c r="O27" i="11"/>
  <c r="K27" i="11"/>
  <c r="Q27" i="11"/>
  <c r="V27" i="11"/>
  <c r="AB27" i="11"/>
  <c r="AL27" i="11"/>
  <c r="P28" i="11"/>
  <c r="U28" i="11"/>
  <c r="AF28" i="11" s="1"/>
  <c r="Z28" i="11"/>
  <c r="N29" i="11"/>
  <c r="T29" i="11"/>
  <c r="Y29" i="11"/>
  <c r="AJ29" i="11"/>
  <c r="M30" i="11"/>
  <c r="R30" i="11"/>
  <c r="X30" i="11"/>
  <c r="AC30" i="11"/>
  <c r="AE30" i="11" s="1"/>
  <c r="AH30" i="11"/>
  <c r="AI31" i="11"/>
  <c r="AA31" i="11"/>
  <c r="AG31" i="11" s="1"/>
  <c r="W31" i="11"/>
  <c r="AD31" i="11" s="1"/>
  <c r="S31" i="11"/>
  <c r="O31" i="11"/>
  <c r="K31" i="11"/>
  <c r="Q31" i="11"/>
  <c r="V31" i="11"/>
  <c r="AB31" i="11" s="1"/>
  <c r="AL31" i="11"/>
  <c r="P32" i="11"/>
  <c r="U32" i="11"/>
  <c r="AF32" i="11" s="1"/>
  <c r="Z32" i="11"/>
  <c r="N33" i="11"/>
  <c r="T33" i="11"/>
  <c r="Y33" i="11"/>
  <c r="AJ33" i="11"/>
  <c r="M34" i="11"/>
  <c r="R34" i="11"/>
  <c r="X34" i="11"/>
  <c r="AC34" i="11"/>
  <c r="AE34" i="11" s="1"/>
  <c r="AH34" i="11"/>
  <c r="AI35" i="11"/>
  <c r="AA35" i="11"/>
  <c r="AG35" i="11" s="1"/>
  <c r="W35" i="11"/>
  <c r="AD35" i="11" s="1"/>
  <c r="S35" i="11"/>
  <c r="O35" i="11"/>
  <c r="K35" i="11"/>
  <c r="Q35" i="11"/>
  <c r="V35" i="11"/>
  <c r="AB35" i="11"/>
  <c r="AL35" i="11"/>
  <c r="P36" i="11"/>
  <c r="U36" i="11"/>
  <c r="AF36" i="11" s="1"/>
  <c r="Z36" i="11"/>
  <c r="N37" i="11"/>
  <c r="T37" i="11"/>
  <c r="Y37" i="11"/>
  <c r="AJ37" i="11"/>
  <c r="M38" i="11"/>
  <c r="R38" i="11"/>
  <c r="X38" i="11"/>
  <c r="AC38" i="11"/>
  <c r="AE38" i="11" s="1"/>
  <c r="AH38" i="11"/>
  <c r="AI39" i="11"/>
  <c r="AA39" i="11"/>
  <c r="AG39" i="11" s="1"/>
  <c r="W39" i="11"/>
  <c r="AD39" i="11" s="1"/>
  <c r="S39" i="11"/>
  <c r="O39" i="11"/>
  <c r="K39" i="11"/>
  <c r="Q39" i="11"/>
  <c r="V39" i="11"/>
  <c r="AB39" i="11" s="1"/>
  <c r="AL39" i="11"/>
  <c r="P40" i="11"/>
  <c r="U40" i="11"/>
  <c r="AF40" i="11" s="1"/>
  <c r="Z40" i="11"/>
  <c r="N41" i="11"/>
  <c r="T41" i="11"/>
  <c r="AJ41" i="11"/>
  <c r="M42" i="11"/>
  <c r="R42" i="11"/>
  <c r="X42" i="11"/>
  <c r="AC42" i="11"/>
  <c r="AE42" i="11" s="1"/>
  <c r="AH42" i="11"/>
  <c r="AI43" i="11"/>
  <c r="AA43" i="11"/>
  <c r="AG43" i="11" s="1"/>
  <c r="W43" i="11"/>
  <c r="AD43" i="11" s="1"/>
  <c r="S43" i="11"/>
  <c r="O43" i="11"/>
  <c r="K43" i="11"/>
  <c r="Q43" i="11"/>
  <c r="V43" i="11"/>
  <c r="AB43" i="11"/>
  <c r="AL43" i="11"/>
  <c r="P44" i="11"/>
  <c r="U44" i="11"/>
  <c r="AF44" i="11" s="1"/>
  <c r="Z44" i="11"/>
  <c r="N45" i="11"/>
  <c r="T45" i="11"/>
  <c r="Y45" i="11"/>
  <c r="AJ45" i="11"/>
  <c r="M46" i="11"/>
  <c r="R46" i="11"/>
  <c r="X46" i="11"/>
  <c r="AC46" i="11"/>
  <c r="AE46" i="11" s="1"/>
  <c r="AH46" i="11"/>
  <c r="AI47" i="11"/>
  <c r="AA47" i="11"/>
  <c r="AG47" i="11" s="1"/>
  <c r="W47" i="11"/>
  <c r="AD47" i="11" s="1"/>
  <c r="S47" i="11"/>
  <c r="O47" i="11"/>
  <c r="K47" i="11"/>
  <c r="Q47" i="11"/>
  <c r="V47" i="11"/>
  <c r="AB47" i="11" s="1"/>
  <c r="AL47" i="11"/>
  <c r="P48" i="11"/>
  <c r="U48" i="11"/>
  <c r="AF48" i="11" s="1"/>
  <c r="Z48" i="11"/>
  <c r="N49" i="11"/>
  <c r="T49" i="11"/>
  <c r="Y49" i="11"/>
  <c r="AJ49" i="11"/>
  <c r="M50" i="11"/>
  <c r="R50" i="11"/>
  <c r="X50" i="11"/>
  <c r="AC50" i="11"/>
  <c r="AE50" i="11" s="1"/>
  <c r="AH50" i="11"/>
  <c r="AI51" i="11"/>
  <c r="AA51" i="11"/>
  <c r="AG51" i="11" s="1"/>
  <c r="W51" i="11"/>
  <c r="AD51" i="11" s="1"/>
  <c r="S51" i="11"/>
  <c r="O51" i="11"/>
  <c r="K51" i="11"/>
  <c r="Q51" i="11"/>
  <c r="V51" i="11"/>
  <c r="AB51" i="11"/>
  <c r="AL51" i="11"/>
  <c r="P52" i="11"/>
  <c r="U52" i="11"/>
  <c r="AF52" i="11" s="1"/>
  <c r="Z52" i="11"/>
  <c r="N53" i="11"/>
  <c r="T53" i="11"/>
  <c r="Y53" i="11"/>
  <c r="AJ53" i="11"/>
  <c r="M54" i="11"/>
  <c r="R54" i="11"/>
  <c r="X54" i="11"/>
  <c r="AC54" i="11"/>
  <c r="AE54" i="11" s="1"/>
  <c r="AH54" i="11"/>
  <c r="AI55" i="11"/>
  <c r="AA55" i="11"/>
  <c r="AG55" i="11" s="1"/>
  <c r="W55" i="11"/>
  <c r="AD55" i="11" s="1"/>
  <c r="S55" i="11"/>
  <c r="O55" i="11"/>
  <c r="K55" i="11"/>
  <c r="Q55" i="11"/>
  <c r="V55" i="11"/>
  <c r="AB55" i="11" s="1"/>
  <c r="AL55" i="11"/>
  <c r="P56" i="11"/>
  <c r="U56" i="11"/>
  <c r="AF56" i="11" s="1"/>
  <c r="Z56" i="11"/>
  <c r="N57" i="11"/>
  <c r="T57" i="11"/>
  <c r="AJ57" i="11"/>
  <c r="M58" i="11"/>
  <c r="R58" i="11"/>
  <c r="X58" i="11"/>
  <c r="AC58" i="11"/>
  <c r="AE58" i="11" s="1"/>
  <c r="AH58" i="11"/>
  <c r="AI59" i="11"/>
  <c r="AA59" i="11"/>
  <c r="AG59" i="11" s="1"/>
  <c r="W59" i="11"/>
  <c r="AD59" i="11" s="1"/>
  <c r="S59" i="11"/>
  <c r="O59" i="11"/>
  <c r="K59" i="11"/>
  <c r="Q59" i="11"/>
  <c r="V59" i="11"/>
  <c r="AB59" i="11"/>
  <c r="AL59" i="11"/>
  <c r="P60" i="11"/>
  <c r="U60" i="11"/>
  <c r="AF60" i="11" s="1"/>
  <c r="Z60" i="11"/>
  <c r="N61" i="11"/>
  <c r="T61" i="11"/>
  <c r="Y61" i="11"/>
  <c r="AJ61" i="11"/>
  <c r="M62" i="11"/>
  <c r="R62" i="11"/>
  <c r="X62" i="11"/>
  <c r="AC62" i="11"/>
  <c r="AE62" i="11" s="1"/>
  <c r="AH62" i="11"/>
  <c r="AI63" i="11"/>
  <c r="AA63" i="11"/>
  <c r="AG63" i="11" s="1"/>
  <c r="W63" i="11"/>
  <c r="AD63" i="11" s="1"/>
  <c r="S63" i="11"/>
  <c r="O63" i="11"/>
  <c r="K63" i="11"/>
  <c r="Q63" i="11"/>
  <c r="V63" i="11"/>
  <c r="AB63" i="11" s="1"/>
  <c r="AL63" i="11"/>
  <c r="P64" i="11"/>
  <c r="U64" i="11"/>
  <c r="AF64" i="11" s="1"/>
  <c r="Z64" i="11"/>
  <c r="N65" i="11"/>
  <c r="T65" i="11"/>
  <c r="Y65" i="11"/>
  <c r="AJ65" i="11"/>
  <c r="M66" i="11"/>
  <c r="R66" i="11"/>
  <c r="X66" i="11"/>
  <c r="AC66" i="11"/>
  <c r="AE66" i="11" s="1"/>
  <c r="AH66" i="11"/>
  <c r="AI67" i="11"/>
  <c r="AA67" i="11"/>
  <c r="AG67" i="11" s="1"/>
  <c r="W67" i="11"/>
  <c r="AD67" i="11" s="1"/>
  <c r="S67" i="11"/>
  <c r="O67" i="11"/>
  <c r="K67" i="11"/>
  <c r="Q67" i="11"/>
  <c r="V67" i="11"/>
  <c r="AB67" i="11"/>
  <c r="AL67" i="11"/>
  <c r="P68" i="11"/>
  <c r="U68" i="11"/>
  <c r="AF68" i="11" s="1"/>
  <c r="Z68" i="11"/>
  <c r="N69" i="11"/>
  <c r="T69" i="11"/>
  <c r="Y69" i="11"/>
  <c r="AJ69" i="11"/>
  <c r="M70" i="11"/>
  <c r="R70" i="11"/>
  <c r="X70" i="11"/>
  <c r="AC70" i="11"/>
  <c r="AE70" i="11" s="1"/>
  <c r="AH70" i="11"/>
  <c r="AI71" i="11"/>
  <c r="AA71" i="11"/>
  <c r="AG71" i="11" s="1"/>
  <c r="W71" i="11"/>
  <c r="AD71" i="11" s="1"/>
  <c r="S71" i="11"/>
  <c r="O71" i="11"/>
  <c r="K71" i="11"/>
  <c r="Q71" i="11"/>
  <c r="V71" i="11"/>
  <c r="AB71" i="11" s="1"/>
  <c r="AL71" i="11"/>
  <c r="P72" i="11"/>
  <c r="U72" i="11"/>
  <c r="AF72" i="11" s="1"/>
  <c r="Z72" i="11"/>
  <c r="N73" i="11"/>
  <c r="T73" i="11"/>
  <c r="AJ73" i="11"/>
  <c r="M74" i="11"/>
  <c r="R74" i="11"/>
  <c r="X74" i="11"/>
  <c r="AC74" i="11"/>
  <c r="AE74" i="11" s="1"/>
  <c r="AH74" i="11"/>
  <c r="AI75" i="11"/>
  <c r="AA75" i="11"/>
  <c r="AG75" i="11" s="1"/>
  <c r="W75" i="11"/>
  <c r="AD75" i="11" s="1"/>
  <c r="S75" i="11"/>
  <c r="O75" i="11"/>
  <c r="K75" i="11"/>
  <c r="Q75" i="11"/>
  <c r="V75" i="11"/>
  <c r="AB75" i="11"/>
  <c r="AL75" i="11"/>
  <c r="P76" i="11"/>
  <c r="U76" i="11"/>
  <c r="AF76" i="11" s="1"/>
  <c r="Z76" i="11"/>
  <c r="N77" i="11"/>
  <c r="T77" i="11"/>
  <c r="Y77" i="11"/>
  <c r="AJ77" i="11"/>
  <c r="M78" i="11"/>
  <c r="R78" i="11"/>
  <c r="X78" i="11"/>
  <c r="AC78" i="11"/>
  <c r="AE78" i="11" s="1"/>
  <c r="AH78" i="11"/>
  <c r="AI79" i="11"/>
  <c r="AA79" i="11"/>
  <c r="AG79" i="11" s="1"/>
  <c r="W79" i="11"/>
  <c r="AD79" i="11" s="1"/>
  <c r="S79" i="11"/>
  <c r="O79" i="11"/>
  <c r="K79" i="11"/>
  <c r="Q79" i="11"/>
  <c r="V79" i="11"/>
  <c r="AB79" i="11" s="1"/>
  <c r="AL79" i="11"/>
  <c r="P80" i="11"/>
  <c r="U80" i="11"/>
  <c r="AF80" i="11" s="1"/>
  <c r="Z80" i="11"/>
  <c r="N81" i="11"/>
  <c r="T81" i="11"/>
  <c r="Y81" i="11"/>
  <c r="AJ81" i="11"/>
  <c r="M82" i="11"/>
  <c r="R82" i="11"/>
  <c r="X82" i="11"/>
  <c r="AC82" i="11"/>
  <c r="AE82" i="11" s="1"/>
  <c r="AH82" i="11"/>
  <c r="AI83" i="11"/>
  <c r="AA83" i="11"/>
  <c r="AG83" i="11" s="1"/>
  <c r="W83" i="11"/>
  <c r="AD83" i="11" s="1"/>
  <c r="S83" i="11"/>
  <c r="O83" i="11"/>
  <c r="K83" i="11"/>
  <c r="Q83" i="11"/>
  <c r="V83" i="11"/>
  <c r="AB83" i="11"/>
  <c r="AL83" i="11"/>
  <c r="P84" i="11"/>
  <c r="U84" i="11"/>
  <c r="AF84" i="11" s="1"/>
  <c r="Z84" i="11"/>
  <c r="N85" i="11"/>
  <c r="T85" i="11"/>
  <c r="Y85" i="11"/>
  <c r="AJ85" i="11"/>
  <c r="M86" i="11"/>
  <c r="R86" i="11"/>
  <c r="X86" i="11"/>
  <c r="AC86" i="11"/>
  <c r="AE86" i="11" s="1"/>
  <c r="AH86" i="11"/>
  <c r="AI87" i="11"/>
  <c r="AA87" i="11"/>
  <c r="AG87" i="11" s="1"/>
  <c r="W87" i="11"/>
  <c r="AD87" i="11" s="1"/>
  <c r="S87" i="11"/>
  <c r="O87" i="11"/>
  <c r="K87" i="11"/>
  <c r="Q87" i="11"/>
  <c r="V87" i="11"/>
  <c r="AB87" i="11" s="1"/>
  <c r="AL87" i="11"/>
  <c r="P88" i="11"/>
  <c r="U88" i="11"/>
  <c r="AF88" i="11" s="1"/>
  <c r="Z88" i="11"/>
  <c r="N89" i="11"/>
  <c r="T89" i="11"/>
  <c r="AJ89" i="11"/>
  <c r="M90" i="11"/>
  <c r="R90" i="11"/>
  <c r="X90" i="11"/>
  <c r="AC90" i="11"/>
  <c r="AE90" i="11" s="1"/>
  <c r="AH90" i="11"/>
  <c r="AI91" i="11"/>
  <c r="AA91" i="11"/>
  <c r="AG91" i="11" s="1"/>
  <c r="W91" i="11"/>
  <c r="AD91" i="11" s="1"/>
  <c r="S91" i="11"/>
  <c r="O91" i="11"/>
  <c r="K91" i="11"/>
  <c r="Q91" i="11"/>
  <c r="V91" i="11"/>
  <c r="AB91" i="11"/>
  <c r="AL91" i="11"/>
  <c r="P92" i="11"/>
  <c r="U92" i="11"/>
  <c r="AF92" i="11" s="1"/>
  <c r="Z92" i="11"/>
  <c r="N93" i="11"/>
  <c r="T93" i="11"/>
  <c r="Y93" i="11"/>
  <c r="AJ93" i="11"/>
  <c r="M94" i="11"/>
  <c r="R94" i="11"/>
  <c r="X94" i="11"/>
  <c r="AC94" i="11"/>
  <c r="AE94" i="11" s="1"/>
  <c r="AH94" i="11"/>
  <c r="AI95" i="11"/>
  <c r="AA95" i="11"/>
  <c r="AG95" i="11" s="1"/>
  <c r="W95" i="11"/>
  <c r="AD95" i="11" s="1"/>
  <c r="S95" i="11"/>
  <c r="O95" i="11"/>
  <c r="K95" i="11"/>
  <c r="Q95" i="11"/>
  <c r="V95" i="11"/>
  <c r="AB95" i="11" s="1"/>
  <c r="AL95" i="11"/>
  <c r="P96" i="11"/>
  <c r="U96" i="11"/>
  <c r="AF96" i="11" s="1"/>
  <c r="Z96" i="11"/>
  <c r="N97" i="11"/>
  <c r="T97" i="11"/>
  <c r="Y97" i="11"/>
  <c r="AJ97" i="11"/>
  <c r="M98" i="11"/>
  <c r="R98" i="11"/>
  <c r="X98" i="11"/>
  <c r="AC98" i="11"/>
  <c r="AE98" i="11" s="1"/>
  <c r="AH98" i="11"/>
  <c r="AI99" i="11"/>
  <c r="AA99" i="11"/>
  <c r="AG99" i="11" s="1"/>
  <c r="W99" i="11"/>
  <c r="AD99" i="11" s="1"/>
  <c r="S99" i="11"/>
  <c r="O99" i="11"/>
  <c r="K99" i="11"/>
  <c r="Q99" i="11"/>
  <c r="V99" i="11"/>
  <c r="AB99" i="11"/>
  <c r="AL99" i="11"/>
  <c r="P100" i="11"/>
  <c r="U100" i="11"/>
  <c r="AF100" i="11" s="1"/>
  <c r="Z100" i="11"/>
  <c r="N101" i="11"/>
  <c r="T101" i="11"/>
  <c r="Y101" i="11"/>
  <c r="AJ101" i="11"/>
  <c r="M102" i="11"/>
  <c r="R102" i="11"/>
  <c r="X102" i="11"/>
  <c r="AC102" i="11"/>
  <c r="AE102" i="11" s="1"/>
  <c r="AH102" i="11"/>
  <c r="AI103" i="11"/>
  <c r="AA103" i="11"/>
  <c r="AG103" i="11" s="1"/>
  <c r="W103" i="11"/>
  <c r="AD103" i="11" s="1"/>
  <c r="S103" i="11"/>
  <c r="O103" i="11"/>
  <c r="K103" i="11"/>
  <c r="Q103" i="11"/>
  <c r="V103" i="11"/>
  <c r="AB103" i="11" s="1"/>
  <c r="AL103" i="11"/>
  <c r="P104" i="11"/>
  <c r="U104" i="11"/>
  <c r="AF104" i="11" s="1"/>
  <c r="Z104" i="11"/>
  <c r="N105" i="11"/>
  <c r="T105" i="11"/>
  <c r="AJ105" i="11"/>
  <c r="M106" i="11"/>
  <c r="R106" i="11"/>
  <c r="X106" i="11"/>
  <c r="AC106" i="11"/>
  <c r="AE106" i="11" s="1"/>
  <c r="AH106" i="11"/>
  <c r="AI107" i="11"/>
  <c r="AA107" i="11"/>
  <c r="AG107" i="11" s="1"/>
  <c r="W107" i="11"/>
  <c r="AD107" i="11" s="1"/>
  <c r="S107" i="11"/>
  <c r="O107" i="11"/>
  <c r="K107" i="11"/>
  <c r="Q107" i="11"/>
  <c r="V107" i="11"/>
  <c r="AB107" i="11"/>
  <c r="AL107" i="11"/>
  <c r="P108" i="11"/>
  <c r="U108" i="11"/>
  <c r="AF108" i="11" s="1"/>
  <c r="Z108" i="11"/>
  <c r="N109" i="11"/>
  <c r="T109" i="11"/>
  <c r="Y109" i="11"/>
  <c r="AJ109" i="11"/>
  <c r="M110" i="11"/>
  <c r="R110" i="11"/>
  <c r="X110" i="11"/>
  <c r="AC110" i="11"/>
  <c r="AE110" i="11" s="1"/>
  <c r="AH110" i="11"/>
  <c r="AI111" i="11"/>
  <c r="AA111" i="11"/>
  <c r="AG111" i="11" s="1"/>
  <c r="W111" i="11"/>
  <c r="AD111" i="11" s="1"/>
  <c r="S111" i="11"/>
  <c r="O111" i="11"/>
  <c r="K111" i="11"/>
  <c r="Q111" i="11"/>
  <c r="V111" i="11"/>
  <c r="AB111" i="11" s="1"/>
  <c r="AL111" i="11"/>
  <c r="P112" i="11"/>
  <c r="U112" i="11"/>
  <c r="AF112" i="11" s="1"/>
  <c r="Z112" i="11"/>
  <c r="N113" i="11"/>
  <c r="T113" i="11"/>
  <c r="Y113" i="11"/>
  <c r="AJ113" i="11"/>
  <c r="M114" i="11"/>
  <c r="R114" i="11"/>
  <c r="X114" i="11"/>
  <c r="AC114" i="11"/>
  <c r="AE114" i="11" s="1"/>
  <c r="AH114" i="11"/>
  <c r="AI115" i="11"/>
  <c r="AA115" i="11"/>
  <c r="AG115" i="11" s="1"/>
  <c r="W115" i="11"/>
  <c r="AD115" i="11" s="1"/>
  <c r="S115" i="11"/>
  <c r="O115" i="11"/>
  <c r="K115" i="11"/>
  <c r="Q115" i="11"/>
  <c r="V115" i="11"/>
  <c r="AB115" i="11"/>
  <c r="AL115" i="11"/>
  <c r="P116" i="11"/>
  <c r="U116" i="11"/>
  <c r="AF116" i="11" s="1"/>
  <c r="Z116" i="11"/>
  <c r="N117" i="11"/>
  <c r="T117" i="11"/>
  <c r="Y117" i="11"/>
  <c r="AJ117" i="11"/>
  <c r="M118" i="11"/>
  <c r="R118" i="11"/>
  <c r="X118" i="11"/>
  <c r="AC118" i="11"/>
  <c r="AE118" i="11" s="1"/>
  <c r="AH118" i="11"/>
  <c r="AI119" i="11"/>
  <c r="AA119" i="11"/>
  <c r="AG119" i="11" s="1"/>
  <c r="W119" i="11"/>
  <c r="AD119" i="11" s="1"/>
  <c r="S119" i="11"/>
  <c r="O119" i="11"/>
  <c r="K119" i="11"/>
  <c r="Q119" i="11"/>
  <c r="V119" i="11"/>
  <c r="AB119" i="11" s="1"/>
  <c r="AL119" i="11"/>
  <c r="P120" i="11"/>
  <c r="U120" i="11"/>
  <c r="AF120" i="11" s="1"/>
  <c r="Z120" i="11"/>
  <c r="N121" i="11"/>
  <c r="T121" i="11"/>
  <c r="AJ121" i="11"/>
  <c r="M122" i="11"/>
  <c r="R122" i="11"/>
  <c r="X122" i="11"/>
  <c r="AC122" i="11"/>
  <c r="AE122" i="11" s="1"/>
  <c r="AH122" i="11"/>
  <c r="AI123" i="11"/>
  <c r="AA123" i="11"/>
  <c r="AG123" i="11" s="1"/>
  <c r="W123" i="11"/>
  <c r="AD123" i="11" s="1"/>
  <c r="S123" i="11"/>
  <c r="O123" i="11"/>
  <c r="K123" i="11"/>
  <c r="Q123" i="11"/>
  <c r="V123" i="11"/>
  <c r="AB123" i="11"/>
  <c r="AL123" i="11"/>
  <c r="P124" i="11"/>
  <c r="U124" i="11"/>
  <c r="AF124" i="11" s="1"/>
  <c r="Z124" i="11"/>
  <c r="N125" i="11"/>
  <c r="T125" i="11"/>
  <c r="Y125" i="11"/>
  <c r="AJ125" i="11"/>
  <c r="M126" i="11"/>
  <c r="R126" i="11"/>
  <c r="X126" i="11"/>
  <c r="AC126" i="11"/>
  <c r="AE126" i="11" s="1"/>
  <c r="AH126" i="11"/>
  <c r="AI127" i="11"/>
  <c r="AA127" i="11"/>
  <c r="AG127" i="11" s="1"/>
  <c r="W127" i="11"/>
  <c r="AD127" i="11" s="1"/>
  <c r="S127" i="11"/>
  <c r="O127" i="11"/>
  <c r="K127" i="11"/>
  <c r="Q127" i="11"/>
  <c r="V127" i="11"/>
  <c r="AB127" i="11" s="1"/>
  <c r="AL127" i="11"/>
  <c r="P128" i="11"/>
  <c r="U128" i="11"/>
  <c r="AF128" i="11" s="1"/>
  <c r="Z128" i="11"/>
  <c r="N129" i="11"/>
  <c r="T129" i="11"/>
  <c r="Y129" i="11"/>
  <c r="AJ129" i="11"/>
  <c r="M130" i="11"/>
  <c r="R130" i="11"/>
  <c r="X130" i="11"/>
  <c r="AC130" i="11"/>
  <c r="AE130" i="11" s="1"/>
  <c r="AH130" i="11"/>
  <c r="AI131" i="11"/>
  <c r="AA131" i="11"/>
  <c r="AG131" i="11" s="1"/>
  <c r="W131" i="11"/>
  <c r="AD131" i="11" s="1"/>
  <c r="S131" i="11"/>
  <c r="O131" i="11"/>
  <c r="K131" i="11"/>
  <c r="Q131" i="11"/>
  <c r="V131" i="11"/>
  <c r="AB131" i="11"/>
  <c r="AL131" i="11"/>
  <c r="P132" i="11"/>
  <c r="U132" i="11"/>
  <c r="AF132" i="11" s="1"/>
  <c r="Z132" i="11"/>
  <c r="N133" i="11"/>
  <c r="T133" i="11"/>
  <c r="Y133" i="11"/>
  <c r="AJ133" i="11"/>
  <c r="M134" i="11"/>
  <c r="R134" i="11"/>
  <c r="X134" i="11"/>
  <c r="AC134" i="11"/>
  <c r="AE134" i="11" s="1"/>
  <c r="AH134" i="11"/>
  <c r="AI135" i="11"/>
  <c r="AA135" i="11"/>
  <c r="AG135" i="11" s="1"/>
  <c r="W135" i="11"/>
  <c r="AD135" i="11" s="1"/>
  <c r="S135" i="11"/>
  <c r="O135" i="11"/>
  <c r="K135" i="11"/>
  <c r="Q135" i="11"/>
  <c r="V135" i="11"/>
  <c r="AB135" i="11" s="1"/>
  <c r="AL135" i="11"/>
  <c r="P136" i="11"/>
  <c r="U136" i="11"/>
  <c r="AF136" i="11" s="1"/>
  <c r="Z136" i="11"/>
  <c r="N137" i="11"/>
  <c r="T137" i="11"/>
  <c r="AJ137" i="11"/>
  <c r="M138" i="11"/>
  <c r="R138" i="11"/>
  <c r="X138" i="11"/>
  <c r="AC138" i="11"/>
  <c r="AE138" i="11" s="1"/>
  <c r="AH138" i="11"/>
  <c r="AI139" i="11"/>
  <c r="AA139" i="11"/>
  <c r="AG139" i="11" s="1"/>
  <c r="W139" i="11"/>
  <c r="AD139" i="11" s="1"/>
  <c r="S139" i="11"/>
  <c r="O139" i="11"/>
  <c r="K139" i="11"/>
  <c r="Q139" i="11"/>
  <c r="V139" i="11"/>
  <c r="AB139" i="11"/>
  <c r="AL139" i="11"/>
  <c r="P140" i="11"/>
  <c r="U140" i="11"/>
  <c r="AF140" i="11" s="1"/>
  <c r="Z140" i="11"/>
  <c r="N141" i="11"/>
  <c r="T141" i="11"/>
  <c r="Y141" i="11"/>
  <c r="AJ141" i="11"/>
  <c r="M142" i="11"/>
  <c r="R142" i="11"/>
  <c r="X142" i="11"/>
  <c r="AC142" i="11"/>
  <c r="AE142" i="11" s="1"/>
  <c r="AH142" i="11"/>
  <c r="AI143" i="11"/>
  <c r="AA143" i="11"/>
  <c r="AG143" i="11" s="1"/>
  <c r="W143" i="11"/>
  <c r="AD143" i="11" s="1"/>
  <c r="S143" i="11"/>
  <c r="O143" i="11"/>
  <c r="K143" i="11"/>
  <c r="Q143" i="11"/>
  <c r="V143" i="11"/>
  <c r="AB143" i="11" s="1"/>
  <c r="AL143" i="11"/>
  <c r="P144" i="11"/>
  <c r="U144" i="11"/>
  <c r="AF144" i="11" s="1"/>
  <c r="Z144" i="11"/>
  <c r="N145" i="11"/>
  <c r="T145" i="11"/>
  <c r="Y145" i="11"/>
  <c r="AJ145" i="11"/>
  <c r="M146" i="11"/>
  <c r="R146" i="11"/>
  <c r="X146" i="11"/>
  <c r="AC146" i="11"/>
  <c r="AE146" i="11" s="1"/>
  <c r="AH146" i="11"/>
  <c r="AI147" i="11"/>
  <c r="AA147" i="11"/>
  <c r="AG147" i="11" s="1"/>
  <c r="W147" i="11"/>
  <c r="AD147" i="11" s="1"/>
  <c r="S147" i="11"/>
  <c r="O147" i="11"/>
  <c r="K147" i="11"/>
  <c r="Q147" i="11"/>
  <c r="V147" i="11"/>
  <c r="AB147" i="11"/>
  <c r="AL147" i="11"/>
  <c r="P148" i="11"/>
  <c r="U148" i="11"/>
  <c r="AF148" i="11" s="1"/>
  <c r="Z148" i="11"/>
  <c r="N149" i="11"/>
  <c r="T149" i="11"/>
  <c r="Y149" i="11"/>
  <c r="AJ149" i="11"/>
  <c r="M150" i="11"/>
  <c r="R150" i="11"/>
  <c r="X150" i="11"/>
  <c r="AC150" i="11"/>
  <c r="AE150" i="11" s="1"/>
  <c r="AH150" i="11"/>
  <c r="AI151" i="11"/>
  <c r="AA151" i="11"/>
  <c r="AG151" i="11" s="1"/>
  <c r="W151" i="11"/>
  <c r="AD151" i="11" s="1"/>
  <c r="S151" i="11"/>
  <c r="O151" i="11"/>
  <c r="K151" i="11"/>
  <c r="Q151" i="11"/>
  <c r="V151" i="11"/>
  <c r="AB151" i="11" s="1"/>
  <c r="AL151" i="11"/>
  <c r="P152" i="11"/>
  <c r="U152" i="11"/>
  <c r="AF152" i="11" s="1"/>
  <c r="Z152" i="11"/>
  <c r="N153" i="11"/>
  <c r="T153" i="11"/>
  <c r="AJ153" i="11"/>
  <c r="M154" i="11"/>
  <c r="R154" i="11"/>
  <c r="X154" i="11"/>
  <c r="AC154" i="11"/>
  <c r="AE154" i="11" s="1"/>
  <c r="AH154" i="11"/>
  <c r="AI155" i="11"/>
  <c r="AA155" i="11"/>
  <c r="AG155" i="11" s="1"/>
  <c r="W155" i="11"/>
  <c r="AD155" i="11" s="1"/>
  <c r="S155" i="11"/>
  <c r="O155" i="11"/>
  <c r="K155" i="11"/>
  <c r="Q155" i="11"/>
  <c r="V155" i="11"/>
  <c r="AB155" i="11"/>
  <c r="AL155" i="11"/>
  <c r="P156" i="11"/>
  <c r="U156" i="11"/>
  <c r="AF156" i="11" s="1"/>
  <c r="Z156" i="11"/>
  <c r="N157" i="11"/>
  <c r="T157" i="11"/>
  <c r="Y157" i="11"/>
  <c r="AJ157" i="11"/>
  <c r="M158" i="11"/>
  <c r="R158" i="11"/>
  <c r="X158" i="11"/>
  <c r="AC158" i="11"/>
  <c r="AE158" i="11" s="1"/>
  <c r="AH158" i="11"/>
  <c r="AI159" i="11"/>
  <c r="AA159" i="11"/>
  <c r="AG159" i="11" s="1"/>
  <c r="W159" i="11"/>
  <c r="AD159" i="11" s="1"/>
  <c r="S159" i="11"/>
  <c r="O159" i="11"/>
  <c r="K159" i="11"/>
  <c r="Q159" i="11"/>
  <c r="V159" i="11"/>
  <c r="AB159" i="11" s="1"/>
  <c r="AL159" i="11"/>
  <c r="P160" i="11"/>
  <c r="U160" i="11"/>
  <c r="AF160" i="11" s="1"/>
  <c r="Z160" i="11"/>
  <c r="N161" i="11"/>
  <c r="T161" i="11"/>
  <c r="Y161" i="11"/>
  <c r="AJ161" i="11"/>
  <c r="M162" i="11"/>
  <c r="R162" i="11"/>
  <c r="X162" i="11"/>
  <c r="AC162" i="11"/>
  <c r="AE162" i="11" s="1"/>
  <c r="AH162" i="11"/>
  <c r="AI163" i="11"/>
  <c r="AA163" i="11"/>
  <c r="AG163" i="11" s="1"/>
  <c r="W163" i="11"/>
  <c r="AD163" i="11" s="1"/>
  <c r="S163" i="11"/>
  <c r="O163" i="11"/>
  <c r="K163" i="11"/>
  <c r="Q163" i="11"/>
  <c r="V163" i="11"/>
  <c r="AB163" i="11"/>
  <c r="AL163" i="11"/>
  <c r="P164" i="11"/>
  <c r="U164" i="11"/>
  <c r="AF164" i="11" s="1"/>
  <c r="Z164" i="11"/>
  <c r="N165" i="11"/>
  <c r="T165" i="11"/>
  <c r="Y165" i="11"/>
  <c r="AJ165" i="11"/>
  <c r="M166" i="11"/>
  <c r="R166" i="11"/>
  <c r="X166" i="11"/>
  <c r="AC166" i="11"/>
  <c r="AE166" i="11" s="1"/>
  <c r="AH166" i="11"/>
  <c r="AI167" i="11"/>
  <c r="AA167" i="11"/>
  <c r="AG167" i="11" s="1"/>
  <c r="W167" i="11"/>
  <c r="AD167" i="11" s="1"/>
  <c r="S167" i="11"/>
  <c r="O167" i="11"/>
  <c r="K167" i="11"/>
  <c r="Q167" i="11"/>
  <c r="V167" i="11"/>
  <c r="AB167" i="11" s="1"/>
  <c r="AL167" i="11"/>
  <c r="P168" i="11"/>
  <c r="U168" i="11"/>
  <c r="AF168" i="11" s="1"/>
  <c r="Z168" i="11"/>
  <c r="N169" i="11"/>
  <c r="T169" i="11"/>
  <c r="AJ169" i="11"/>
  <c r="M170" i="11"/>
  <c r="R170" i="11"/>
  <c r="X170" i="11"/>
  <c r="AC170" i="11"/>
  <c r="AE170" i="11" s="1"/>
  <c r="AH170" i="11"/>
  <c r="AI171" i="11"/>
  <c r="AA171" i="11"/>
  <c r="AG171" i="11" s="1"/>
  <c r="W171" i="11"/>
  <c r="AD171" i="11" s="1"/>
  <c r="S171" i="11"/>
  <c r="O171" i="11"/>
  <c r="K171" i="11"/>
  <c r="Q171" i="11"/>
  <c r="V171" i="11"/>
  <c r="AB171" i="11"/>
  <c r="AL171" i="11"/>
  <c r="P172" i="11"/>
  <c r="U172" i="11"/>
  <c r="AF172" i="11" s="1"/>
  <c r="Z172" i="11"/>
  <c r="N173" i="11"/>
  <c r="T173" i="11"/>
  <c r="Y173" i="11"/>
  <c r="AJ173" i="11"/>
  <c r="M174" i="11"/>
  <c r="R174" i="11"/>
  <c r="X174" i="11"/>
  <c r="AC174" i="11"/>
  <c r="AE174" i="11" s="1"/>
  <c r="AH174" i="11"/>
  <c r="AI175" i="11"/>
  <c r="AA175" i="11"/>
  <c r="AG175" i="11" s="1"/>
  <c r="W175" i="11"/>
  <c r="AD175" i="11" s="1"/>
  <c r="S175" i="11"/>
  <c r="O175" i="11"/>
  <c r="K175" i="11"/>
  <c r="Q175" i="11"/>
  <c r="V175" i="11"/>
  <c r="AB175" i="11" s="1"/>
  <c r="AL175" i="11"/>
  <c r="P176" i="11"/>
  <c r="U176" i="11"/>
  <c r="AF176" i="11" s="1"/>
  <c r="Z176" i="11"/>
  <c r="N177" i="11"/>
  <c r="T177" i="11"/>
  <c r="Y177" i="11"/>
  <c r="AJ177" i="11"/>
  <c r="M178" i="11"/>
  <c r="R178" i="11"/>
  <c r="X178" i="11"/>
  <c r="AC178" i="11"/>
  <c r="AE178" i="11" s="1"/>
  <c r="AH178" i="11"/>
  <c r="AI179" i="11"/>
  <c r="AA179" i="11"/>
  <c r="AG179" i="11" s="1"/>
  <c r="W179" i="11"/>
  <c r="AD179" i="11" s="1"/>
  <c r="S179" i="11"/>
  <c r="O179" i="11"/>
  <c r="K179" i="11"/>
  <c r="Q179" i="11"/>
  <c r="V179" i="11"/>
  <c r="AB179" i="11"/>
  <c r="AL179" i="11"/>
  <c r="P180" i="11"/>
  <c r="U180" i="11"/>
  <c r="AF180" i="11" s="1"/>
  <c r="Z180" i="11"/>
  <c r="N181" i="11"/>
  <c r="T181" i="11"/>
  <c r="Y181" i="11"/>
  <c r="AJ181" i="11"/>
  <c r="M182" i="11"/>
  <c r="R182" i="11"/>
  <c r="X182" i="11"/>
  <c r="AC182" i="11"/>
  <c r="AE182" i="11" s="1"/>
  <c r="AH182" i="11"/>
  <c r="AI183" i="11"/>
  <c r="AA183" i="11"/>
  <c r="AG183" i="11" s="1"/>
  <c r="W183" i="11"/>
  <c r="AD183" i="11" s="1"/>
  <c r="S183" i="11"/>
  <c r="O183" i="11"/>
  <c r="K183" i="11"/>
  <c r="Q183" i="11"/>
  <c r="V183" i="11"/>
  <c r="AB183" i="11" s="1"/>
  <c r="AL183" i="11"/>
  <c r="P184" i="11"/>
  <c r="U184" i="11"/>
  <c r="AF184" i="11" s="1"/>
  <c r="Z184" i="11"/>
  <c r="N185" i="11"/>
  <c r="T185" i="11"/>
  <c r="AJ185" i="11"/>
  <c r="M186" i="11"/>
  <c r="R186" i="11"/>
  <c r="X186" i="11"/>
  <c r="AC186" i="11"/>
  <c r="AE186" i="11" s="1"/>
  <c r="AH186" i="11"/>
  <c r="AI187" i="11"/>
  <c r="AA187" i="11"/>
  <c r="AG187" i="11" s="1"/>
  <c r="W187" i="11"/>
  <c r="AD187" i="11" s="1"/>
  <c r="S187" i="11"/>
  <c r="O187" i="11"/>
  <c r="K187" i="11"/>
  <c r="Q187" i="11"/>
  <c r="V187" i="11"/>
  <c r="AB187" i="11"/>
  <c r="AL187" i="11"/>
  <c r="P188" i="11"/>
  <c r="U188" i="11"/>
  <c r="AF188" i="11" s="1"/>
  <c r="Z188" i="11"/>
  <c r="N189" i="11"/>
  <c r="T189" i="11"/>
  <c r="Y189" i="11"/>
  <c r="AJ189" i="11"/>
  <c r="M190" i="11"/>
  <c r="R190" i="11"/>
  <c r="X190" i="11"/>
  <c r="AC190" i="11"/>
  <c r="AE190" i="11" s="1"/>
  <c r="AH190" i="11"/>
  <c r="AI191" i="11"/>
  <c r="AA191" i="11"/>
  <c r="AG191" i="11" s="1"/>
  <c r="W191" i="11"/>
  <c r="AD191" i="11" s="1"/>
  <c r="S191" i="11"/>
  <c r="O191" i="11"/>
  <c r="K191" i="11"/>
  <c r="Q191" i="11"/>
  <c r="V191" i="11"/>
  <c r="AB191" i="11" s="1"/>
  <c r="AL191" i="11"/>
  <c r="P192" i="11"/>
  <c r="U192" i="11"/>
  <c r="AF192" i="11" s="1"/>
  <c r="Z192" i="11"/>
  <c r="N193" i="11"/>
  <c r="T193" i="11"/>
  <c r="Y193" i="11"/>
  <c r="AJ193" i="11"/>
  <c r="M194" i="11"/>
  <c r="R194" i="11"/>
  <c r="X194" i="11"/>
  <c r="AC194" i="11"/>
  <c r="AE194" i="11" s="1"/>
  <c r="AH194" i="11"/>
  <c r="AI195" i="11"/>
  <c r="AA195" i="11"/>
  <c r="AG195" i="11" s="1"/>
  <c r="W195" i="11"/>
  <c r="AD195" i="11" s="1"/>
  <c r="S195" i="11"/>
  <c r="O195" i="11"/>
  <c r="K195" i="11"/>
  <c r="Q195" i="11"/>
  <c r="V195" i="11"/>
  <c r="AB195" i="11"/>
  <c r="AL195" i="11"/>
  <c r="P196" i="11"/>
  <c r="U196" i="11"/>
  <c r="AF196" i="11" s="1"/>
  <c r="Z196" i="11"/>
  <c r="N197" i="11"/>
  <c r="T197" i="11"/>
  <c r="Y197" i="11"/>
  <c r="AJ197" i="11"/>
  <c r="M198" i="11"/>
  <c r="R198" i="11"/>
  <c r="X198" i="11"/>
  <c r="AC198" i="11"/>
  <c r="AE198" i="11" s="1"/>
  <c r="AH198" i="11"/>
  <c r="AI199" i="11"/>
  <c r="AA199" i="11"/>
  <c r="AG199" i="11" s="1"/>
  <c r="W199" i="11"/>
  <c r="AD199" i="11" s="1"/>
  <c r="S199" i="11"/>
  <c r="O199" i="11"/>
  <c r="K199" i="11"/>
  <c r="Q199" i="11"/>
  <c r="V199" i="11"/>
  <c r="AB199" i="11" s="1"/>
  <c r="AL199" i="11"/>
  <c r="P200" i="11"/>
  <c r="U200" i="11"/>
  <c r="AF200" i="11" s="1"/>
  <c r="Z200" i="11"/>
  <c r="N201" i="11"/>
  <c r="T201" i="11"/>
  <c r="AJ201" i="11"/>
  <c r="M202" i="11"/>
  <c r="R202" i="11"/>
  <c r="X202" i="11"/>
  <c r="AC202" i="11"/>
  <c r="AE202" i="11" s="1"/>
  <c r="AH202" i="11"/>
  <c r="AI203" i="11"/>
  <c r="AA203" i="11"/>
  <c r="AG203" i="11" s="1"/>
  <c r="W203" i="11"/>
  <c r="AD203" i="11" s="1"/>
  <c r="S203" i="11"/>
  <c r="O203" i="11"/>
  <c r="K203" i="11"/>
  <c r="Q203" i="11"/>
  <c r="V203" i="11"/>
  <c r="AB203" i="11"/>
  <c r="AL203" i="11"/>
  <c r="P204" i="11"/>
  <c r="U204" i="11"/>
  <c r="AF204" i="11" s="1"/>
  <c r="Z204" i="11"/>
  <c r="N205" i="11"/>
  <c r="T205" i="11"/>
  <c r="Y205" i="11"/>
  <c r="AJ205" i="11"/>
  <c r="M206" i="11"/>
  <c r="R206" i="11"/>
  <c r="X206" i="11"/>
  <c r="AC206" i="11"/>
  <c r="AE206" i="11" s="1"/>
  <c r="AH206" i="11"/>
  <c r="AI207" i="11"/>
  <c r="AA207" i="11"/>
  <c r="AG207" i="11" s="1"/>
  <c r="W207" i="11"/>
  <c r="AD207" i="11" s="1"/>
  <c r="S207" i="11"/>
  <c r="O207" i="11"/>
  <c r="K207" i="11"/>
  <c r="Q207" i="11"/>
  <c r="V207" i="11"/>
  <c r="AB207" i="11" s="1"/>
  <c r="AL207" i="11"/>
  <c r="P208" i="11"/>
  <c r="U208" i="11"/>
  <c r="AF208" i="11" s="1"/>
  <c r="Z208" i="11"/>
  <c r="N209" i="11"/>
  <c r="T209" i="11"/>
  <c r="Y209" i="11"/>
  <c r="AJ209" i="11"/>
  <c r="M210" i="11"/>
  <c r="R210" i="11"/>
  <c r="X210" i="11"/>
  <c r="AC210" i="11"/>
  <c r="AE210" i="11" s="1"/>
  <c r="AH210" i="11"/>
  <c r="AI211" i="11"/>
  <c r="AA211" i="11"/>
  <c r="AG211" i="11" s="1"/>
  <c r="W211" i="11"/>
  <c r="AD211" i="11" s="1"/>
  <c r="S211" i="11"/>
  <c r="O211" i="11"/>
  <c r="K211" i="11"/>
  <c r="Q211" i="11"/>
  <c r="V211" i="11"/>
  <c r="AB211" i="11"/>
  <c r="AL211" i="11"/>
  <c r="P212" i="11"/>
  <c r="U212" i="11"/>
  <c r="AF212" i="11" s="1"/>
  <c r="Z212" i="11"/>
  <c r="N213" i="11"/>
  <c r="T213" i="11"/>
  <c r="Y213" i="11"/>
  <c r="AJ213" i="11"/>
  <c r="M214" i="11"/>
  <c r="R214" i="11"/>
  <c r="X214" i="11"/>
  <c r="AC214" i="11"/>
  <c r="AE214" i="11" s="1"/>
  <c r="AH214" i="11"/>
  <c r="AI215" i="11"/>
  <c r="AA215" i="11"/>
  <c r="AG215" i="11" s="1"/>
  <c r="W215" i="11"/>
  <c r="AD215" i="11" s="1"/>
  <c r="S215" i="11"/>
  <c r="O215" i="11"/>
  <c r="K215" i="11"/>
  <c r="Q215" i="11"/>
  <c r="V215" i="11"/>
  <c r="AB215" i="11" s="1"/>
  <c r="AL215" i="11"/>
  <c r="P216" i="11"/>
  <c r="U216" i="11"/>
  <c r="AF216" i="11" s="1"/>
  <c r="Z216" i="11"/>
  <c r="N217" i="11"/>
  <c r="T217" i="11"/>
  <c r="AJ217" i="11"/>
  <c r="M218" i="11"/>
  <c r="R218" i="11"/>
  <c r="X218" i="11"/>
  <c r="AC218" i="11"/>
  <c r="AE218" i="11" s="1"/>
  <c r="AH218" i="11"/>
  <c r="AI219" i="11"/>
  <c r="AA219" i="11"/>
  <c r="AG219" i="11" s="1"/>
  <c r="W219" i="11"/>
  <c r="AD219" i="11" s="1"/>
  <c r="S219" i="11"/>
  <c r="O219" i="11"/>
  <c r="K219" i="11"/>
  <c r="Q219" i="11"/>
  <c r="V219" i="11"/>
  <c r="AB219" i="11"/>
  <c r="AL219" i="11"/>
  <c r="P220" i="11"/>
  <c r="U220" i="11"/>
  <c r="AF220" i="11" s="1"/>
  <c r="Z220" i="11"/>
  <c r="N221" i="11"/>
  <c r="T221" i="11"/>
  <c r="Y221" i="11"/>
  <c r="AJ221" i="11"/>
  <c r="M222" i="11"/>
  <c r="R222" i="11"/>
  <c r="X222" i="11"/>
  <c r="AC222" i="11"/>
  <c r="AE222" i="11" s="1"/>
  <c r="AH222" i="11"/>
  <c r="AI223" i="11"/>
  <c r="AA223" i="11"/>
  <c r="AG223" i="11" s="1"/>
  <c r="W223" i="11"/>
  <c r="AD223" i="11" s="1"/>
  <c r="S223" i="11"/>
  <c r="O223" i="11"/>
  <c r="K223" i="11"/>
  <c r="Q223" i="11"/>
  <c r="V223" i="11"/>
  <c r="AB223" i="11" s="1"/>
  <c r="AL223" i="11"/>
  <c r="P224" i="11"/>
  <c r="U224" i="11"/>
  <c r="AF224" i="11" s="1"/>
  <c r="Z224" i="11"/>
  <c r="N225" i="11"/>
  <c r="T225" i="11"/>
  <c r="Y225" i="11"/>
  <c r="AJ225" i="11"/>
  <c r="M226" i="11"/>
  <c r="R226" i="11"/>
  <c r="X226" i="11"/>
  <c r="AC226" i="11"/>
  <c r="AE226" i="11" s="1"/>
  <c r="AH226" i="11"/>
  <c r="AI227" i="11"/>
  <c r="AA227" i="11"/>
  <c r="AG227" i="11" s="1"/>
  <c r="W227" i="11"/>
  <c r="AD227" i="11" s="1"/>
  <c r="S227" i="11"/>
  <c r="O227" i="11"/>
  <c r="K227" i="11"/>
  <c r="Q227" i="11"/>
  <c r="V227" i="11"/>
  <c r="AB227" i="11"/>
  <c r="AL227" i="11"/>
  <c r="P228" i="11"/>
  <c r="U228" i="11"/>
  <c r="AF228" i="11" s="1"/>
  <c r="Z228" i="11"/>
  <c r="N229" i="11"/>
  <c r="T229" i="11"/>
  <c r="Y229" i="11"/>
  <c r="AJ229" i="11"/>
  <c r="M230" i="11"/>
  <c r="R230" i="11"/>
  <c r="X230" i="11"/>
  <c r="AC230" i="11"/>
  <c r="AE230" i="11" s="1"/>
  <c r="AH230" i="11"/>
  <c r="AI231" i="11"/>
  <c r="AA231" i="11"/>
  <c r="AG231" i="11" s="1"/>
  <c r="W231" i="11"/>
  <c r="AD231" i="11" s="1"/>
  <c r="S231" i="11"/>
  <c r="O231" i="11"/>
  <c r="K231" i="11"/>
  <c r="Q231" i="11"/>
  <c r="V231" i="11"/>
  <c r="AB231" i="11" s="1"/>
  <c r="AL231" i="11"/>
  <c r="P232" i="11"/>
  <c r="U232" i="11"/>
  <c r="AF232" i="11" s="1"/>
  <c r="Z232" i="11"/>
  <c r="N233" i="11"/>
  <c r="T233" i="11"/>
  <c r="AJ233" i="11"/>
  <c r="M234" i="11"/>
  <c r="R234" i="11"/>
  <c r="X234" i="11"/>
  <c r="AC234" i="11"/>
  <c r="AE234" i="11" s="1"/>
  <c r="AH234" i="11"/>
  <c r="AI235" i="11"/>
  <c r="AA235" i="11"/>
  <c r="AG235" i="11" s="1"/>
  <c r="W235" i="11"/>
  <c r="AD235" i="11" s="1"/>
  <c r="S235" i="11"/>
  <c r="O235" i="11"/>
  <c r="K235" i="11"/>
  <c r="Q235" i="11"/>
  <c r="V235" i="11"/>
  <c r="AB235" i="11"/>
  <c r="AL235" i="11"/>
  <c r="P236" i="11"/>
  <c r="U236" i="11"/>
  <c r="AF236" i="11" s="1"/>
  <c r="Z236" i="11"/>
  <c r="N237" i="11"/>
  <c r="T237" i="11"/>
  <c r="Y237" i="11"/>
  <c r="AJ237" i="11"/>
  <c r="M238" i="11"/>
  <c r="R238" i="11"/>
  <c r="X238" i="11"/>
  <c r="AC238" i="11"/>
  <c r="AE238" i="11" s="1"/>
  <c r="AH238" i="11"/>
  <c r="AI239" i="11"/>
  <c r="AA239" i="11"/>
  <c r="AG239" i="11" s="1"/>
  <c r="W239" i="11"/>
  <c r="AD239" i="11" s="1"/>
  <c r="S239" i="11"/>
  <c r="O239" i="11"/>
  <c r="K239" i="11"/>
  <c r="Q239" i="11"/>
  <c r="V239" i="11"/>
  <c r="AB239" i="11" s="1"/>
  <c r="AL239" i="11"/>
  <c r="P240" i="11"/>
  <c r="U240" i="11"/>
  <c r="AF240" i="11" s="1"/>
  <c r="Z240" i="11"/>
  <c r="N241" i="11"/>
  <c r="T241" i="11"/>
  <c r="Y241" i="11"/>
  <c r="AJ241" i="11"/>
  <c r="M242" i="11"/>
  <c r="R242" i="11"/>
  <c r="X242" i="11"/>
  <c r="AC242" i="11"/>
  <c r="AE242" i="11" s="1"/>
  <c r="AH242" i="11"/>
  <c r="AI243" i="11"/>
  <c r="AA243" i="11"/>
  <c r="AG243" i="11" s="1"/>
  <c r="W243" i="11"/>
  <c r="AD243" i="11" s="1"/>
  <c r="S243" i="11"/>
  <c r="O243" i="11"/>
  <c r="K243" i="11"/>
  <c r="Q243" i="11"/>
  <c r="V243" i="11"/>
  <c r="AB243" i="11"/>
  <c r="AL243" i="11"/>
  <c r="P244" i="11"/>
  <c r="U244" i="11"/>
  <c r="AF244" i="11" s="1"/>
  <c r="Z244" i="11"/>
  <c r="N245" i="11"/>
  <c r="T245" i="11"/>
  <c r="Y245" i="11"/>
  <c r="AJ245" i="11"/>
  <c r="M246" i="11"/>
  <c r="R246" i="11"/>
  <c r="X246" i="11"/>
  <c r="AC246" i="11"/>
  <c r="AE246" i="11" s="1"/>
  <c r="AH246" i="11"/>
  <c r="AI247" i="11"/>
  <c r="AA247" i="11"/>
  <c r="AG247" i="11" s="1"/>
  <c r="W247" i="11"/>
  <c r="AD247" i="11" s="1"/>
  <c r="S247" i="11"/>
  <c r="O247" i="11"/>
  <c r="K247" i="11"/>
  <c r="Q247" i="11"/>
  <c r="V247" i="11"/>
  <c r="AB247" i="11" s="1"/>
  <c r="AL247" i="11"/>
  <c r="P248" i="11"/>
  <c r="U248" i="11"/>
  <c r="AF248" i="11" s="1"/>
  <c r="Z248" i="11"/>
  <c r="N249" i="11"/>
  <c r="T249" i="11"/>
  <c r="AJ249" i="11"/>
  <c r="M250" i="11"/>
  <c r="R250" i="11"/>
  <c r="X250" i="11"/>
  <c r="AC250" i="11"/>
  <c r="AE250" i="11" s="1"/>
  <c r="AH250" i="11"/>
  <c r="AI251" i="11"/>
  <c r="AA251" i="11"/>
  <c r="AG251" i="11" s="1"/>
  <c r="W251" i="11"/>
  <c r="AD251" i="11" s="1"/>
  <c r="S251" i="11"/>
  <c r="O251" i="11"/>
  <c r="K251" i="11"/>
  <c r="Q251" i="11"/>
  <c r="V251" i="11"/>
  <c r="AB251" i="11"/>
  <c r="AL251" i="11"/>
  <c r="P252" i="11"/>
  <c r="U252" i="11"/>
  <c r="AF252" i="11" s="1"/>
  <c r="Z252" i="11"/>
  <c r="N253" i="11"/>
  <c r="T253" i="11"/>
  <c r="Y253" i="11"/>
  <c r="AJ253" i="11"/>
  <c r="M254" i="11"/>
  <c r="R254" i="11"/>
  <c r="X254" i="11"/>
  <c r="AC254" i="11"/>
  <c r="AE254" i="11" s="1"/>
  <c r="AH254" i="11"/>
  <c r="AI255" i="11"/>
  <c r="AA255" i="11"/>
  <c r="AG255" i="11" s="1"/>
  <c r="W255" i="11"/>
  <c r="AD255" i="11" s="1"/>
  <c r="S255" i="11"/>
  <c r="O255" i="11"/>
  <c r="K255" i="11"/>
  <c r="Q255" i="11"/>
  <c r="V255" i="11"/>
  <c r="AB255" i="11" s="1"/>
  <c r="AL255" i="11"/>
  <c r="P256" i="11"/>
  <c r="U256" i="11"/>
  <c r="AF256" i="11" s="1"/>
  <c r="Z256" i="11"/>
  <c r="N257" i="11"/>
  <c r="T257" i="11"/>
  <c r="Y257" i="11"/>
  <c r="AJ257" i="11"/>
  <c r="M258" i="11"/>
  <c r="R258" i="11"/>
  <c r="X258" i="11"/>
  <c r="AC258" i="11"/>
  <c r="AE258" i="11" s="1"/>
  <c r="AH258" i="11"/>
  <c r="AI259" i="11"/>
  <c r="AA259" i="11"/>
  <c r="AG259" i="11" s="1"/>
  <c r="W259" i="11"/>
  <c r="AD259" i="11" s="1"/>
  <c r="S259" i="11"/>
  <c r="O259" i="11"/>
  <c r="K259" i="11"/>
  <c r="Q259" i="11"/>
  <c r="V259" i="11"/>
  <c r="AB259" i="11"/>
  <c r="AL259" i="11"/>
  <c r="P260" i="11"/>
  <c r="U260" i="11"/>
  <c r="AF260" i="11" s="1"/>
  <c r="Z260" i="11"/>
  <c r="N261" i="11"/>
  <c r="T261" i="11"/>
  <c r="Y261" i="11"/>
  <c r="AJ261" i="11"/>
  <c r="M262" i="11"/>
  <c r="R262" i="11"/>
  <c r="X262" i="11"/>
  <c r="AC262" i="11"/>
  <c r="AE262" i="11" s="1"/>
  <c r="AH262" i="11"/>
  <c r="AI263" i="11"/>
  <c r="AA263" i="11"/>
  <c r="AG263" i="11" s="1"/>
  <c r="W263" i="11"/>
  <c r="AD263" i="11" s="1"/>
  <c r="S263" i="11"/>
  <c r="O263" i="11"/>
  <c r="K263" i="11"/>
  <c r="Q263" i="11"/>
  <c r="V263" i="11"/>
  <c r="AB263" i="11" s="1"/>
  <c r="AL263" i="11"/>
  <c r="P264" i="11"/>
  <c r="U264" i="11"/>
  <c r="AF264" i="11" s="1"/>
  <c r="Z264" i="11"/>
  <c r="N265" i="11"/>
  <c r="T265" i="11"/>
  <c r="AJ265" i="11"/>
  <c r="M266" i="11"/>
  <c r="R266" i="11"/>
  <c r="X266" i="11"/>
  <c r="AC266" i="11"/>
  <c r="AE266" i="11" s="1"/>
  <c r="AH266" i="11"/>
  <c r="AI267" i="11"/>
  <c r="AA267" i="11"/>
  <c r="AG267" i="11" s="1"/>
  <c r="W267" i="11"/>
  <c r="AD267" i="11" s="1"/>
  <c r="S267" i="11"/>
  <c r="O267" i="11"/>
  <c r="K267" i="11"/>
  <c r="Q267" i="11"/>
  <c r="V267" i="11"/>
  <c r="AB267" i="11"/>
  <c r="AL267" i="11"/>
  <c r="P268" i="11"/>
  <c r="U268" i="11"/>
  <c r="AF268" i="11" s="1"/>
  <c r="Z268" i="11"/>
  <c r="N269" i="11"/>
  <c r="T269" i="11"/>
  <c r="Y269" i="11"/>
  <c r="AJ269" i="11"/>
  <c r="M270" i="11"/>
  <c r="R270" i="11"/>
  <c r="X270" i="11"/>
  <c r="AC270" i="11"/>
  <c r="AE270" i="11" s="1"/>
  <c r="AH270" i="11"/>
  <c r="AI271" i="11"/>
  <c r="AA271" i="11"/>
  <c r="AG271" i="11" s="1"/>
  <c r="W271" i="11"/>
  <c r="AD271" i="11" s="1"/>
  <c r="S271" i="11"/>
  <c r="O271" i="11"/>
  <c r="K271" i="11"/>
  <c r="Q271" i="11"/>
  <c r="V271" i="11"/>
  <c r="AB271" i="11" s="1"/>
  <c r="AL271" i="11"/>
  <c r="P272" i="11"/>
  <c r="U272" i="11"/>
  <c r="AF272" i="11" s="1"/>
  <c r="Z272" i="11"/>
  <c r="N273" i="11"/>
  <c r="T273" i="11"/>
  <c r="Y273" i="11"/>
  <c r="AJ273" i="11"/>
  <c r="M274" i="11"/>
  <c r="R274" i="11"/>
  <c r="X274" i="11"/>
  <c r="AC274" i="11"/>
  <c r="AE274" i="11" s="1"/>
  <c r="AH274" i="11"/>
  <c r="AI275" i="11"/>
  <c r="AA275" i="11"/>
  <c r="AG275" i="11" s="1"/>
  <c r="W275" i="11"/>
  <c r="AD275" i="11" s="1"/>
  <c r="S275" i="11"/>
  <c r="O275" i="11"/>
  <c r="K275" i="11"/>
  <c r="Q275" i="11"/>
  <c r="V275" i="11"/>
  <c r="AB275" i="11"/>
  <c r="AL275" i="11"/>
  <c r="P276" i="11"/>
  <c r="U276" i="11"/>
  <c r="AF276" i="11" s="1"/>
  <c r="Z276" i="11"/>
  <c r="N277" i="11"/>
  <c r="T277" i="11"/>
  <c r="Y277" i="11"/>
  <c r="AJ277" i="11"/>
  <c r="M278" i="11"/>
  <c r="R278" i="11"/>
  <c r="X278" i="11"/>
  <c r="AC278" i="11"/>
  <c r="AE278" i="11" s="1"/>
  <c r="AH278" i="11"/>
  <c r="AI279" i="11"/>
  <c r="AA279" i="11"/>
  <c r="AG279" i="11" s="1"/>
  <c r="W279" i="11"/>
  <c r="AD279" i="11" s="1"/>
  <c r="S279" i="11"/>
  <c r="O279" i="11"/>
  <c r="K279" i="11"/>
  <c r="Q279" i="11"/>
  <c r="V279" i="11"/>
  <c r="AB279" i="11" s="1"/>
  <c r="AL279" i="11"/>
  <c r="P280" i="11"/>
  <c r="U280" i="11"/>
  <c r="AF280" i="11" s="1"/>
  <c r="Z280" i="11"/>
  <c r="N281" i="11"/>
  <c r="T281" i="11"/>
  <c r="AJ281" i="11"/>
  <c r="M282" i="11"/>
  <c r="R282" i="11"/>
  <c r="X282" i="11"/>
  <c r="AC282" i="11"/>
  <c r="AE282" i="11" s="1"/>
  <c r="AH282" i="11"/>
  <c r="AI283" i="11"/>
  <c r="AA283" i="11"/>
  <c r="AG283" i="11" s="1"/>
  <c r="W283" i="11"/>
  <c r="AD283" i="11" s="1"/>
  <c r="S283" i="11"/>
  <c r="O283" i="11"/>
  <c r="K283" i="11"/>
  <c r="Q283" i="11"/>
  <c r="V283" i="11"/>
  <c r="AB283" i="11"/>
  <c r="AL283" i="11"/>
  <c r="P284" i="11"/>
  <c r="U284" i="11"/>
  <c r="AF284" i="11" s="1"/>
  <c r="Z284" i="11"/>
  <c r="N285" i="11"/>
  <c r="T285" i="11"/>
  <c r="Y285" i="11"/>
  <c r="AJ285" i="11"/>
  <c r="M286" i="11"/>
  <c r="R286" i="11"/>
  <c r="X286" i="11"/>
  <c r="AC286" i="11"/>
  <c r="AE286" i="11" s="1"/>
  <c r="AH286" i="11"/>
  <c r="AI287" i="11"/>
  <c r="AA287" i="11"/>
  <c r="AG287" i="11" s="1"/>
  <c r="W287" i="11"/>
  <c r="AD287" i="11" s="1"/>
  <c r="S287" i="11"/>
  <c r="O287" i="11"/>
  <c r="K287" i="11"/>
  <c r="Q287" i="11"/>
  <c r="V287" i="11"/>
  <c r="AB287" i="11" s="1"/>
  <c r="AL287" i="11"/>
  <c r="P288" i="11"/>
  <c r="U288" i="11"/>
  <c r="AF288" i="11" s="1"/>
  <c r="Z288" i="11"/>
  <c r="N289" i="11"/>
  <c r="T289" i="11"/>
  <c r="Y289" i="11"/>
  <c r="AJ289" i="11"/>
  <c r="M290" i="11"/>
  <c r="R290" i="11"/>
  <c r="X290" i="11"/>
  <c r="AC290" i="11"/>
  <c r="AE290" i="11" s="1"/>
  <c r="AH290" i="11"/>
  <c r="AI291" i="11"/>
  <c r="AA291" i="11"/>
  <c r="AG291" i="11" s="1"/>
  <c r="W291" i="11"/>
  <c r="AD291" i="11" s="1"/>
  <c r="S291" i="11"/>
  <c r="O291" i="11"/>
  <c r="K291" i="11"/>
  <c r="Q291" i="11"/>
  <c r="V291" i="11"/>
  <c r="AB291" i="11"/>
  <c r="AL291" i="11"/>
  <c r="P292" i="11"/>
  <c r="U292" i="11"/>
  <c r="AF292" i="11" s="1"/>
  <c r="Z292" i="11"/>
  <c r="N293" i="11"/>
  <c r="T293" i="11"/>
  <c r="Y293" i="11"/>
  <c r="AJ293" i="11"/>
  <c r="M294" i="11"/>
  <c r="R294" i="11"/>
  <c r="X294" i="11"/>
  <c r="AC294" i="11"/>
  <c r="AE294" i="11" s="1"/>
  <c r="AH294" i="11"/>
  <c r="AI295" i="11"/>
  <c r="AA295" i="11"/>
  <c r="AG295" i="11" s="1"/>
  <c r="W295" i="11"/>
  <c r="AD295" i="11" s="1"/>
  <c r="S295" i="11"/>
  <c r="O295" i="11"/>
  <c r="K295" i="11"/>
  <c r="Q295" i="11"/>
  <c r="V295" i="11"/>
  <c r="AB295" i="11" s="1"/>
  <c r="AL295" i="11"/>
  <c r="P296" i="11"/>
  <c r="U296" i="11"/>
  <c r="AF296" i="11" s="1"/>
  <c r="Z296" i="11"/>
  <c r="N297" i="11"/>
  <c r="T297" i="11"/>
  <c r="AJ297" i="11"/>
  <c r="M298" i="11"/>
  <c r="R298" i="11"/>
  <c r="X298" i="11"/>
  <c r="AC298" i="11"/>
  <c r="AE298" i="11" s="1"/>
  <c r="AH298" i="11"/>
  <c r="AI299" i="11"/>
  <c r="AA299" i="11"/>
  <c r="AG299" i="11" s="1"/>
  <c r="W299" i="11"/>
  <c r="AD299" i="11" s="1"/>
  <c r="S299" i="11"/>
  <c r="O299" i="11"/>
  <c r="K299" i="11"/>
  <c r="Q299" i="11"/>
  <c r="V299" i="11"/>
  <c r="AB299" i="11"/>
  <c r="AL299" i="11"/>
  <c r="P300" i="11"/>
  <c r="U300" i="11"/>
  <c r="AF300" i="11" s="1"/>
  <c r="Z300" i="11"/>
  <c r="N301" i="11"/>
  <c r="T301" i="11"/>
  <c r="Y301" i="11"/>
  <c r="AJ301" i="11"/>
  <c r="M302" i="11"/>
  <c r="R302" i="11"/>
  <c r="X302" i="11"/>
  <c r="AC302" i="11"/>
  <c r="AE302" i="11" s="1"/>
  <c r="AH302" i="11"/>
  <c r="AI303" i="11"/>
  <c r="AA303" i="11"/>
  <c r="AG303" i="11" s="1"/>
  <c r="W303" i="11"/>
  <c r="AD303" i="11" s="1"/>
  <c r="S303" i="11"/>
  <c r="O303" i="11"/>
  <c r="K303" i="11"/>
  <c r="Q303" i="11"/>
  <c r="V303" i="11"/>
  <c r="AB303" i="11" s="1"/>
  <c r="AL303" i="11"/>
  <c r="P304" i="11"/>
  <c r="U304" i="11"/>
  <c r="AF304" i="11" s="1"/>
  <c r="Z304" i="11"/>
  <c r="N305" i="11"/>
  <c r="T305" i="11"/>
  <c r="Y305" i="11"/>
  <c r="AJ305" i="11"/>
  <c r="M306" i="11"/>
  <c r="R306" i="11"/>
  <c r="X306" i="11"/>
  <c r="AC306" i="11"/>
  <c r="AE306" i="11" s="1"/>
  <c r="AH306" i="11"/>
  <c r="AI307" i="11"/>
  <c r="AA307" i="11"/>
  <c r="AG307" i="11" s="1"/>
  <c r="W307" i="11"/>
  <c r="AD307" i="11" s="1"/>
  <c r="S307" i="11"/>
  <c r="O307" i="11"/>
  <c r="K307" i="11"/>
  <c r="Q307" i="11"/>
  <c r="V307" i="11"/>
  <c r="AB307" i="11"/>
  <c r="AL307" i="11"/>
  <c r="P308" i="11"/>
  <c r="U308" i="11"/>
  <c r="AF308" i="11" s="1"/>
  <c r="Z308" i="11"/>
  <c r="N309" i="11"/>
  <c r="T309" i="11"/>
  <c r="Y309" i="11"/>
  <c r="AJ309" i="11"/>
  <c r="M310" i="11"/>
  <c r="R310" i="11"/>
  <c r="X310" i="11"/>
  <c r="AC310" i="11"/>
  <c r="AE310" i="11" s="1"/>
  <c r="AH310" i="11"/>
  <c r="AI311" i="11"/>
  <c r="AA311" i="11"/>
  <c r="AG311" i="11" s="1"/>
  <c r="W311" i="11"/>
  <c r="AD311" i="11" s="1"/>
  <c r="S311" i="11"/>
  <c r="O311" i="11"/>
  <c r="K311" i="11"/>
  <c r="Q311" i="11"/>
  <c r="V311" i="11"/>
  <c r="AB311" i="11" s="1"/>
  <c r="AL311" i="11"/>
  <c r="P312" i="11"/>
  <c r="U312" i="11"/>
  <c r="AF312" i="11" s="1"/>
  <c r="Z312" i="11"/>
  <c r="N313" i="11"/>
  <c r="T313" i="11"/>
  <c r="AJ313" i="11"/>
  <c r="M314" i="11"/>
  <c r="R314" i="11"/>
  <c r="X314" i="11"/>
  <c r="AC314" i="11"/>
  <c r="AE314" i="11" s="1"/>
  <c r="AH314" i="11"/>
  <c r="AI315" i="11"/>
  <c r="AA315" i="11"/>
  <c r="AG315" i="11" s="1"/>
  <c r="W315" i="11"/>
  <c r="AD315" i="11" s="1"/>
  <c r="S315" i="11"/>
  <c r="O315" i="11"/>
  <c r="K315" i="11"/>
  <c r="Q315" i="11"/>
  <c r="V315" i="11"/>
  <c r="AB315" i="11"/>
  <c r="AL315" i="11"/>
  <c r="P316" i="11"/>
  <c r="U316" i="11"/>
  <c r="AF316" i="11" s="1"/>
  <c r="Z316" i="11"/>
  <c r="N317" i="11"/>
  <c r="T317" i="11"/>
  <c r="Y317" i="11"/>
  <c r="AJ317" i="11"/>
  <c r="M318" i="11"/>
  <c r="R318" i="11"/>
  <c r="X318" i="11"/>
  <c r="AC318" i="11"/>
  <c r="AE318" i="11" s="1"/>
  <c r="AH318" i="11"/>
  <c r="AI319" i="11"/>
  <c r="AA319" i="11"/>
  <c r="AG319" i="11" s="1"/>
  <c r="W319" i="11"/>
  <c r="AD319" i="11" s="1"/>
  <c r="S319" i="11"/>
  <c r="O319" i="11"/>
  <c r="K319" i="11"/>
  <c r="Q319" i="11"/>
  <c r="V319" i="11"/>
  <c r="AB319" i="11" s="1"/>
  <c r="AL319" i="11"/>
  <c r="P320" i="11"/>
  <c r="U320" i="11"/>
  <c r="AF320" i="11" s="1"/>
  <c r="Z320" i="11"/>
  <c r="N321" i="11"/>
  <c r="T321" i="11"/>
  <c r="Y321" i="11"/>
  <c r="AJ321" i="11"/>
  <c r="M322" i="11"/>
  <c r="R322" i="11"/>
  <c r="X322" i="11"/>
  <c r="AC322" i="11"/>
  <c r="AE322" i="11" s="1"/>
  <c r="AH322" i="11"/>
  <c r="AI323" i="11"/>
  <c r="AA323" i="11"/>
  <c r="AG323" i="11" s="1"/>
  <c r="W323" i="11"/>
  <c r="AD323" i="11" s="1"/>
  <c r="S323" i="11"/>
  <c r="O323" i="11"/>
  <c r="K323" i="11"/>
  <c r="Q323" i="11"/>
  <c r="V323" i="11"/>
  <c r="AB323" i="11"/>
  <c r="AL323" i="11"/>
  <c r="P324" i="11"/>
  <c r="U324" i="11"/>
  <c r="AF324" i="11" s="1"/>
  <c r="Z324" i="11"/>
  <c r="N325" i="11"/>
  <c r="T325" i="11"/>
  <c r="Y325" i="11"/>
  <c r="AJ325" i="11"/>
  <c r="M326" i="11"/>
  <c r="R326" i="11"/>
  <c r="X326" i="11"/>
  <c r="AC326" i="11"/>
  <c r="AE326" i="11" s="1"/>
  <c r="AH326" i="11"/>
  <c r="AI327" i="11"/>
  <c r="AA327" i="11"/>
  <c r="AG327" i="11" s="1"/>
  <c r="W327" i="11"/>
  <c r="AD327" i="11" s="1"/>
  <c r="S327" i="11"/>
  <c r="O327" i="11"/>
  <c r="K327" i="11"/>
  <c r="Q327" i="11"/>
  <c r="V327" i="11"/>
  <c r="AB327" i="11" s="1"/>
  <c r="AL327" i="11"/>
  <c r="P328" i="11"/>
  <c r="U328" i="11"/>
  <c r="AF328" i="11" s="1"/>
  <c r="Z328" i="11"/>
  <c r="N329" i="11"/>
  <c r="T329" i="11"/>
  <c r="AJ329" i="11"/>
  <c r="M330" i="11"/>
  <c r="R330" i="11"/>
  <c r="X330" i="11"/>
  <c r="AC330" i="11"/>
  <c r="AE330" i="11" s="1"/>
  <c r="AH330" i="11"/>
  <c r="AI331" i="11"/>
  <c r="AA331" i="11"/>
  <c r="AG331" i="11" s="1"/>
  <c r="W331" i="11"/>
  <c r="AD331" i="11" s="1"/>
  <c r="S331" i="11"/>
  <c r="O331" i="11"/>
  <c r="K331" i="11"/>
  <c r="Q331" i="11"/>
  <c r="V331" i="11"/>
  <c r="AB331" i="11"/>
  <c r="AL331" i="11"/>
  <c r="P332" i="11"/>
  <c r="U332" i="11"/>
  <c r="AF332" i="11" s="1"/>
  <c r="Z332" i="11"/>
  <c r="N333" i="11"/>
  <c r="T333" i="11"/>
  <c r="Y333" i="11"/>
  <c r="AJ333" i="11"/>
  <c r="M334" i="11"/>
  <c r="R334" i="11"/>
  <c r="X334" i="11"/>
  <c r="AC334" i="11"/>
  <c r="AE334" i="11" s="1"/>
  <c r="AH334" i="11"/>
  <c r="AI335" i="11"/>
  <c r="AA335" i="11"/>
  <c r="AG335" i="11" s="1"/>
  <c r="W335" i="11"/>
  <c r="AD335" i="11" s="1"/>
  <c r="S335" i="11"/>
  <c r="O335" i="11"/>
  <c r="K335" i="11"/>
  <c r="Q335" i="11"/>
  <c r="V335" i="11"/>
  <c r="AB335" i="11" s="1"/>
  <c r="AL335" i="11"/>
  <c r="P336" i="11"/>
  <c r="U336" i="11"/>
  <c r="AF336" i="11" s="1"/>
  <c r="Z336" i="11"/>
  <c r="N337" i="11"/>
  <c r="T337" i="11"/>
  <c r="Y337" i="11"/>
  <c r="AJ337" i="11"/>
  <c r="M338" i="11"/>
  <c r="R338" i="11"/>
  <c r="X338" i="11"/>
  <c r="AC338" i="11"/>
  <c r="AE338" i="11" s="1"/>
  <c r="AH338" i="11"/>
  <c r="AI339" i="11"/>
  <c r="AA339" i="11"/>
  <c r="AG339" i="11" s="1"/>
  <c r="W339" i="11"/>
  <c r="AD339" i="11" s="1"/>
  <c r="S339" i="11"/>
  <c r="O339" i="11"/>
  <c r="K339" i="11"/>
  <c r="Q339" i="11"/>
  <c r="V339" i="11"/>
  <c r="AB339" i="11"/>
  <c r="AL339" i="11"/>
  <c r="P340" i="11"/>
  <c r="U340" i="11"/>
  <c r="AF340" i="11" s="1"/>
  <c r="Z340" i="11"/>
  <c r="N341" i="11"/>
  <c r="T341" i="11"/>
  <c r="Y341" i="11"/>
  <c r="AJ341" i="11"/>
  <c r="M342" i="11"/>
  <c r="R342" i="11"/>
  <c r="X342" i="11"/>
  <c r="AC342" i="11"/>
  <c r="AE342" i="11" s="1"/>
  <c r="AH342" i="11"/>
  <c r="AI343" i="11"/>
  <c r="AA343" i="11"/>
  <c r="AG343" i="11" s="1"/>
  <c r="W343" i="11"/>
  <c r="AD343" i="11" s="1"/>
  <c r="S343" i="11"/>
  <c r="O343" i="11"/>
  <c r="K343" i="11"/>
  <c r="Q343" i="11"/>
  <c r="V343" i="11"/>
  <c r="AB343" i="11" s="1"/>
  <c r="AL343" i="11"/>
  <c r="P344" i="11"/>
  <c r="U344" i="11"/>
  <c r="AF344" i="11" s="1"/>
  <c r="Z344" i="11"/>
  <c r="N345" i="11"/>
  <c r="T345" i="11"/>
  <c r="AJ345" i="11"/>
  <c r="M346" i="11"/>
  <c r="R346" i="11"/>
  <c r="X346" i="11"/>
  <c r="AC346" i="11"/>
  <c r="AE346" i="11" s="1"/>
  <c r="AH346" i="11"/>
  <c r="AI347" i="11"/>
  <c r="AA347" i="11"/>
  <c r="AG347" i="11" s="1"/>
  <c r="W347" i="11"/>
  <c r="AD347" i="11" s="1"/>
  <c r="S347" i="11"/>
  <c r="O347" i="11"/>
  <c r="K347" i="11"/>
  <c r="Q347" i="11"/>
  <c r="V347" i="11"/>
  <c r="AB347" i="11"/>
  <c r="AL347" i="11"/>
  <c r="P348" i="11"/>
  <c r="U348" i="11"/>
  <c r="AF348" i="11" s="1"/>
  <c r="Z348" i="11"/>
  <c r="N349" i="11"/>
  <c r="T349" i="11"/>
  <c r="Y349" i="11"/>
  <c r="AJ349" i="11"/>
  <c r="M350" i="11"/>
  <c r="R350" i="11"/>
  <c r="X350" i="11"/>
  <c r="AC350" i="11"/>
  <c r="AE350" i="11" s="1"/>
  <c r="AH350" i="11"/>
  <c r="AI351" i="11"/>
  <c r="AA351" i="11"/>
  <c r="AG351" i="11" s="1"/>
  <c r="W351" i="11"/>
  <c r="AD351" i="11" s="1"/>
  <c r="S351" i="11"/>
  <c r="O351" i="11"/>
  <c r="K351" i="11"/>
  <c r="Q351" i="11"/>
  <c r="V351" i="11"/>
  <c r="AB351" i="11" s="1"/>
  <c r="AL351" i="11"/>
  <c r="P352" i="11"/>
  <c r="U352" i="11"/>
  <c r="AF352" i="11" s="1"/>
  <c r="Z352" i="11"/>
  <c r="N353" i="11"/>
  <c r="T353" i="11"/>
  <c r="Y353" i="11"/>
  <c r="AJ353" i="11"/>
  <c r="M354" i="11"/>
  <c r="R354" i="11"/>
  <c r="X354" i="11"/>
  <c r="AC354" i="11"/>
  <c r="AE354" i="11" s="1"/>
  <c r="AH354" i="11"/>
  <c r="AI355" i="11"/>
  <c r="AA355" i="11"/>
  <c r="AG355" i="11" s="1"/>
  <c r="W355" i="11"/>
  <c r="AD355" i="11" s="1"/>
  <c r="S355" i="11"/>
  <c r="O355" i="11"/>
  <c r="K355" i="11"/>
  <c r="Q355" i="11"/>
  <c r="V355" i="11"/>
  <c r="AB355" i="11"/>
  <c r="AL355" i="11"/>
  <c r="P356" i="11"/>
  <c r="U356" i="11"/>
  <c r="AF356" i="11" s="1"/>
  <c r="Z356" i="11"/>
  <c r="N357" i="11"/>
  <c r="T357" i="11"/>
  <c r="Y357" i="11"/>
  <c r="AJ357" i="11"/>
  <c r="M358" i="11"/>
  <c r="R358" i="11"/>
  <c r="X358" i="11"/>
  <c r="AC358" i="11"/>
  <c r="AE358" i="11" s="1"/>
  <c r="AH358" i="11"/>
  <c r="AI359" i="11"/>
  <c r="AA359" i="11"/>
  <c r="AG359" i="11" s="1"/>
  <c r="W359" i="11"/>
  <c r="AD359" i="11" s="1"/>
  <c r="S359" i="11"/>
  <c r="O359" i="11"/>
  <c r="K359" i="11"/>
  <c r="Q359" i="11"/>
  <c r="V359" i="11"/>
  <c r="AB359" i="11" s="1"/>
  <c r="AL359" i="11"/>
  <c r="P360" i="11"/>
  <c r="U360" i="11"/>
  <c r="AF360" i="11" s="1"/>
  <c r="Z360" i="11"/>
  <c r="N361" i="11"/>
  <c r="T361" i="11"/>
  <c r="AJ361" i="11"/>
  <c r="M362" i="11"/>
  <c r="R362" i="11"/>
  <c r="X362" i="11"/>
  <c r="AC362" i="11"/>
  <c r="AE362" i="11" s="1"/>
  <c r="AH362" i="11"/>
  <c r="AI363" i="11"/>
  <c r="AA363" i="11"/>
  <c r="AG363" i="11" s="1"/>
  <c r="W363" i="11"/>
  <c r="AD363" i="11" s="1"/>
  <c r="S363" i="11"/>
  <c r="O363" i="11"/>
  <c r="K363" i="11"/>
  <c r="Q363" i="11"/>
  <c r="V363" i="11"/>
  <c r="AB363" i="11"/>
  <c r="AL363" i="11"/>
  <c r="P364" i="11"/>
  <c r="U364" i="11"/>
  <c r="AF364" i="11" s="1"/>
  <c r="Z364" i="11"/>
  <c r="N365" i="11"/>
  <c r="T365" i="11"/>
  <c r="Y365" i="11"/>
  <c r="AJ365" i="11"/>
  <c r="M366" i="11"/>
  <c r="R366" i="11"/>
  <c r="X366" i="11"/>
  <c r="AC366" i="11"/>
  <c r="AE366" i="11" s="1"/>
  <c r="AH366" i="11"/>
  <c r="AI367" i="11"/>
  <c r="AA367" i="11"/>
  <c r="AG367" i="11" s="1"/>
  <c r="W367" i="11"/>
  <c r="AD367" i="11" s="1"/>
  <c r="S367" i="11"/>
  <c r="O367" i="11"/>
  <c r="K367" i="11"/>
  <c r="Q367" i="11"/>
  <c r="V367" i="11"/>
  <c r="AB367" i="11" s="1"/>
  <c r="AL367" i="11"/>
  <c r="P368" i="11"/>
  <c r="U368" i="11"/>
  <c r="AF368" i="11" s="1"/>
  <c r="Z368" i="11"/>
  <c r="N369" i="11"/>
  <c r="T369" i="11"/>
  <c r="Y369" i="11"/>
  <c r="AJ369" i="11"/>
  <c r="M370" i="11"/>
  <c r="R370" i="11"/>
  <c r="X370" i="11"/>
  <c r="AC370" i="11"/>
  <c r="AE370" i="11" s="1"/>
  <c r="AH370" i="11"/>
  <c r="AI371" i="11"/>
  <c r="AA371" i="11"/>
  <c r="AG371" i="11" s="1"/>
  <c r="W371" i="11"/>
  <c r="AD371" i="11" s="1"/>
  <c r="S371" i="11"/>
  <c r="O371" i="11"/>
  <c r="K371" i="11"/>
  <c r="Q371" i="11"/>
  <c r="V371" i="11"/>
  <c r="AB371" i="11"/>
  <c r="AL371" i="11"/>
  <c r="P372" i="11"/>
  <c r="U372" i="11"/>
  <c r="AF372" i="11" s="1"/>
  <c r="Z372" i="11"/>
  <c r="N373" i="11"/>
  <c r="T373" i="11"/>
  <c r="Y373" i="11"/>
  <c r="AJ373" i="11"/>
  <c r="M374" i="11"/>
  <c r="R374" i="11"/>
  <c r="X374" i="11"/>
  <c r="AC374" i="11"/>
  <c r="AE374" i="11" s="1"/>
  <c r="AH374" i="11"/>
  <c r="AI375" i="11"/>
  <c r="AA375" i="11"/>
  <c r="AG375" i="11" s="1"/>
  <c r="W375" i="11"/>
  <c r="AD375" i="11" s="1"/>
  <c r="S375" i="11"/>
  <c r="O375" i="11"/>
  <c r="K375" i="11"/>
  <c r="Q375" i="11"/>
  <c r="V375" i="11"/>
  <c r="AB375" i="11" s="1"/>
  <c r="AL375" i="11"/>
  <c r="P376" i="11"/>
  <c r="U376" i="11"/>
  <c r="AF376" i="11" s="1"/>
  <c r="Z376" i="11"/>
  <c r="N377" i="11"/>
  <c r="T377" i="11"/>
  <c r="AJ377" i="11"/>
  <c r="M378" i="11"/>
  <c r="R378" i="11"/>
  <c r="X378" i="11"/>
  <c r="AC378" i="11"/>
  <c r="AE378" i="11" s="1"/>
  <c r="AH378" i="11"/>
  <c r="AI379" i="11"/>
  <c r="AA379" i="11"/>
  <c r="AG379" i="11" s="1"/>
  <c r="W379" i="11"/>
  <c r="AD379" i="11" s="1"/>
  <c r="S379" i="11"/>
  <c r="O379" i="11"/>
  <c r="K379" i="11"/>
  <c r="Q379" i="11"/>
  <c r="V379" i="11"/>
  <c r="AB379" i="11"/>
  <c r="AL379" i="11"/>
  <c r="P380" i="11"/>
  <c r="U380" i="11"/>
  <c r="AF380" i="11" s="1"/>
  <c r="Z380" i="11"/>
  <c r="AA380" i="11" s="1"/>
  <c r="AG380" i="11" s="1"/>
  <c r="N381" i="11"/>
  <c r="T381" i="11"/>
  <c r="Y381" i="11"/>
  <c r="AJ381" i="11"/>
  <c r="M382" i="11"/>
  <c r="R382" i="11"/>
  <c r="X382" i="11"/>
  <c r="AC382" i="11"/>
  <c r="AE382" i="11" s="1"/>
  <c r="AH382" i="11"/>
  <c r="AI383" i="11"/>
  <c r="AA383" i="11"/>
  <c r="AG383" i="11" s="1"/>
  <c r="W383" i="11"/>
  <c r="AD383" i="11" s="1"/>
  <c r="S383" i="11"/>
  <c r="O383" i="11"/>
  <c r="K383" i="11"/>
  <c r="Q383" i="11"/>
  <c r="V383" i="11"/>
  <c r="AB383" i="11" s="1"/>
  <c r="AL383" i="11"/>
  <c r="P384" i="11"/>
  <c r="U384" i="11"/>
  <c r="AF384" i="11" s="1"/>
  <c r="Z384" i="11"/>
  <c r="N385" i="11"/>
  <c r="T385" i="11"/>
  <c r="Y385" i="11"/>
  <c r="AJ385" i="11"/>
  <c r="M386" i="11"/>
  <c r="R386" i="11"/>
  <c r="X386" i="11"/>
  <c r="Y386" i="11" s="1"/>
  <c r="AC386" i="11"/>
  <c r="AE386" i="11" s="1"/>
  <c r="AH386" i="11"/>
  <c r="AI387" i="11"/>
  <c r="AA387" i="11"/>
  <c r="AG387" i="11" s="1"/>
  <c r="W387" i="11"/>
  <c r="AD387" i="11" s="1"/>
  <c r="S387" i="11"/>
  <c r="O387" i="11"/>
  <c r="K387" i="11"/>
  <c r="Q387" i="11"/>
  <c r="V387" i="11"/>
  <c r="AB387" i="11"/>
  <c r="AL387" i="11"/>
  <c r="P388" i="11"/>
  <c r="U388" i="11"/>
  <c r="AF388" i="11" s="1"/>
  <c r="Z388" i="11"/>
  <c r="AA388" i="11" s="1"/>
  <c r="AG388" i="11" s="1"/>
  <c r="N389" i="11"/>
  <c r="T389" i="11"/>
  <c r="Y389" i="11"/>
  <c r="AJ389" i="11"/>
  <c r="M390" i="11"/>
  <c r="R390" i="11"/>
  <c r="X390" i="11"/>
  <c r="AC390" i="11"/>
  <c r="AE390" i="11" s="1"/>
  <c r="AH390" i="11"/>
  <c r="AI391" i="11"/>
  <c r="AA391" i="11"/>
  <c r="AG391" i="11" s="1"/>
  <c r="W391" i="11"/>
  <c r="AD391" i="11" s="1"/>
  <c r="S391" i="11"/>
  <c r="O391" i="11"/>
  <c r="K391" i="11"/>
  <c r="Q391" i="11"/>
  <c r="V391" i="11"/>
  <c r="AB391" i="11" s="1"/>
  <c r="AL391" i="11"/>
  <c r="P392" i="11"/>
  <c r="U392" i="11"/>
  <c r="AF392" i="11" s="1"/>
  <c r="Z392" i="11"/>
  <c r="N393" i="11"/>
  <c r="T393" i="11"/>
  <c r="AJ393" i="11"/>
  <c r="M394" i="11"/>
  <c r="R394" i="11"/>
  <c r="X394" i="11"/>
  <c r="Y394" i="11" s="1"/>
  <c r="AC394" i="11"/>
  <c r="AE394" i="11" s="1"/>
  <c r="AH394" i="11"/>
  <c r="AI395" i="11"/>
  <c r="AA395" i="11"/>
  <c r="AG395" i="11" s="1"/>
  <c r="W395" i="11"/>
  <c r="AD395" i="11" s="1"/>
  <c r="S395" i="11"/>
  <c r="O395" i="11"/>
  <c r="K395" i="11"/>
  <c r="Q395" i="11"/>
  <c r="V395" i="11"/>
  <c r="AB395" i="11"/>
  <c r="AL395" i="11"/>
  <c r="P396" i="11"/>
  <c r="U396" i="11"/>
  <c r="AF396" i="11" s="1"/>
  <c r="Z396" i="11"/>
  <c r="AA396" i="11" s="1"/>
  <c r="AG396" i="11" s="1"/>
  <c r="N397" i="11"/>
  <c r="T397" i="11"/>
  <c r="Y397" i="11"/>
  <c r="AJ397" i="11"/>
  <c r="M398" i="11"/>
  <c r="R398" i="11"/>
  <c r="X398" i="11"/>
  <c r="AC398" i="11"/>
  <c r="AE398" i="11" s="1"/>
  <c r="AH398" i="11"/>
  <c r="AI399" i="11"/>
  <c r="AA399" i="11"/>
  <c r="AG399" i="11" s="1"/>
  <c r="W399" i="11"/>
  <c r="AD399" i="11" s="1"/>
  <c r="S399" i="11"/>
  <c r="O399" i="11"/>
  <c r="K399" i="11"/>
  <c r="Q399" i="11"/>
  <c r="V399" i="11"/>
  <c r="AB399" i="11" s="1"/>
  <c r="AL399" i="11"/>
  <c r="P400" i="11"/>
  <c r="U400" i="11"/>
  <c r="AF400" i="11" s="1"/>
  <c r="Z400" i="11"/>
  <c r="N401" i="11"/>
  <c r="T401" i="11"/>
  <c r="Y401" i="11"/>
  <c r="AJ401" i="11"/>
  <c r="M402" i="11"/>
  <c r="R402" i="11"/>
  <c r="X402" i="11"/>
  <c r="Y402" i="11" s="1"/>
  <c r="AC402" i="11"/>
  <c r="AE402" i="11" s="1"/>
  <c r="AH402" i="11"/>
  <c r="AI403" i="11"/>
  <c r="AA403" i="11"/>
  <c r="AG403" i="11" s="1"/>
  <c r="W403" i="11"/>
  <c r="AD403" i="11" s="1"/>
  <c r="S403" i="11"/>
  <c r="O403" i="11"/>
  <c r="K403" i="11"/>
  <c r="Q403" i="11"/>
  <c r="V403" i="11"/>
  <c r="AB403" i="11"/>
  <c r="AL403" i="11"/>
  <c r="P404" i="11"/>
  <c r="U404" i="11"/>
  <c r="AF404" i="11" s="1"/>
  <c r="Z404" i="11"/>
  <c r="AA404" i="11" s="1"/>
  <c r="AG404" i="11" s="1"/>
  <c r="N405" i="11"/>
  <c r="T405" i="11"/>
  <c r="Y405" i="11"/>
  <c r="AJ405" i="11"/>
  <c r="M406" i="11"/>
  <c r="R406" i="11"/>
  <c r="X406" i="11"/>
  <c r="AC406" i="11"/>
  <c r="AE406" i="11" s="1"/>
  <c r="AH406" i="11"/>
  <c r="AI407" i="11"/>
  <c r="AA407" i="11"/>
  <c r="AG407" i="11" s="1"/>
  <c r="W407" i="11"/>
  <c r="AD407" i="11" s="1"/>
  <c r="S407" i="11"/>
  <c r="O407" i="11"/>
  <c r="K407" i="11"/>
  <c r="Q407" i="11"/>
  <c r="V407" i="11"/>
  <c r="AB407" i="11" s="1"/>
  <c r="AL407" i="11"/>
  <c r="P408" i="11"/>
  <c r="U408" i="11"/>
  <c r="AF408" i="11" s="1"/>
  <c r="Z408" i="11"/>
  <c r="N409" i="11"/>
  <c r="T409" i="11"/>
  <c r="AJ409" i="11"/>
  <c r="M410" i="11"/>
  <c r="R410" i="11"/>
  <c r="X410" i="11"/>
  <c r="AC410" i="11"/>
  <c r="AE410" i="11" s="1"/>
  <c r="AH410" i="11"/>
  <c r="AI411" i="11"/>
  <c r="AA411" i="11"/>
  <c r="AG411" i="11" s="1"/>
  <c r="W411" i="11"/>
  <c r="AD411" i="11" s="1"/>
  <c r="S411" i="11"/>
  <c r="O411" i="11"/>
  <c r="K411" i="11"/>
  <c r="Q411" i="11"/>
  <c r="V411" i="11"/>
  <c r="AB411" i="11"/>
  <c r="AL411" i="11"/>
  <c r="Z412" i="11"/>
  <c r="N413" i="11"/>
  <c r="T413" i="11"/>
  <c r="Y413" i="11"/>
  <c r="AJ413" i="11"/>
  <c r="M414" i="11"/>
  <c r="R414" i="11"/>
  <c r="X414" i="11"/>
  <c r="Y414" i="11" s="1"/>
  <c r="AC414" i="11"/>
  <c r="AE414" i="11" s="1"/>
  <c r="AH414" i="11"/>
  <c r="AI415" i="11"/>
  <c r="AA415" i="11"/>
  <c r="AG415" i="11" s="1"/>
  <c r="W415" i="11"/>
  <c r="AD415" i="11" s="1"/>
  <c r="S415" i="11"/>
  <c r="O415" i="11"/>
  <c r="K415" i="11"/>
  <c r="Q415" i="11"/>
  <c r="V415" i="11"/>
  <c r="AB415" i="11"/>
  <c r="AL415" i="11"/>
  <c r="P416" i="11"/>
  <c r="U416" i="11"/>
  <c r="AF416" i="11" s="1"/>
  <c r="Z416" i="11"/>
  <c r="AA416" i="11" s="1"/>
  <c r="AG416" i="11" s="1"/>
  <c r="N417" i="11"/>
  <c r="T417" i="11"/>
  <c r="Y417" i="11"/>
  <c r="AJ417" i="11"/>
  <c r="M418" i="11"/>
  <c r="R418" i="11"/>
  <c r="X418" i="11"/>
  <c r="Y418" i="11" s="1"/>
  <c r="AC418" i="11"/>
  <c r="AE418" i="11" s="1"/>
  <c r="AH418" i="11"/>
  <c r="AI419" i="11"/>
  <c r="AA419" i="11"/>
  <c r="AG419" i="11" s="1"/>
  <c r="W419" i="11"/>
  <c r="AD419" i="11" s="1"/>
  <c r="S419" i="11"/>
  <c r="O419" i="11"/>
  <c r="K419" i="11"/>
  <c r="Q419" i="11"/>
  <c r="V419" i="11"/>
  <c r="AB419" i="11" s="1"/>
  <c r="AL419" i="11"/>
  <c r="P420" i="11"/>
  <c r="U420" i="11"/>
  <c r="AF420" i="11" s="1"/>
  <c r="Z420" i="11"/>
  <c r="N421" i="11"/>
  <c r="T421" i="11"/>
  <c r="AJ421" i="11"/>
  <c r="M422" i="11"/>
  <c r="R422" i="11"/>
  <c r="X422" i="11"/>
  <c r="AC422" i="11"/>
  <c r="AE422" i="11" s="1"/>
  <c r="AH422" i="11"/>
  <c r="AI423" i="11"/>
  <c r="AA423" i="11"/>
  <c r="AG423" i="11" s="1"/>
  <c r="W423" i="11"/>
  <c r="AD423" i="11" s="1"/>
  <c r="S423" i="11"/>
  <c r="O423" i="11"/>
  <c r="K423" i="11"/>
  <c r="Q423" i="11"/>
  <c r="V423" i="11"/>
  <c r="AB423" i="11"/>
  <c r="AL423" i="11"/>
  <c r="P424" i="11"/>
  <c r="U424" i="11"/>
  <c r="AF424" i="11" s="1"/>
  <c r="Z424" i="11"/>
  <c r="N425" i="11"/>
  <c r="T425" i="11"/>
  <c r="Y425" i="11"/>
  <c r="AJ425" i="11"/>
  <c r="M426" i="11"/>
  <c r="R426" i="11"/>
  <c r="X426" i="11"/>
  <c r="AC426" i="11"/>
  <c r="AE426" i="11" s="1"/>
  <c r="AH426" i="11"/>
  <c r="AI427" i="11"/>
  <c r="AA427" i="11"/>
  <c r="AG427" i="11" s="1"/>
  <c r="W427" i="11"/>
  <c r="AD427" i="11" s="1"/>
  <c r="S427" i="11"/>
  <c r="O427" i="11"/>
  <c r="K427" i="11"/>
  <c r="Q427" i="11"/>
  <c r="V427" i="11"/>
  <c r="AB427" i="11" s="1"/>
  <c r="AL427" i="11"/>
  <c r="P428" i="11"/>
  <c r="U428" i="11"/>
  <c r="AF428" i="11" s="1"/>
  <c r="Z428" i="11"/>
  <c r="N429" i="11"/>
  <c r="T429" i="11"/>
  <c r="Y429" i="11"/>
  <c r="AJ429" i="11"/>
  <c r="M430" i="11"/>
  <c r="R430" i="11"/>
  <c r="X430" i="11"/>
  <c r="Y430" i="11" s="1"/>
  <c r="AC430" i="11"/>
  <c r="AE430" i="11" s="1"/>
  <c r="AH430" i="11"/>
  <c r="AI431" i="11"/>
  <c r="AA431" i="11"/>
  <c r="AG431" i="11" s="1"/>
  <c r="W431" i="11"/>
  <c r="AD431" i="11" s="1"/>
  <c r="S431" i="11"/>
  <c r="O431" i="11"/>
  <c r="K431" i="11"/>
  <c r="Q431" i="11"/>
  <c r="V431" i="11"/>
  <c r="AB431" i="11"/>
  <c r="AL431" i="11"/>
  <c r="P432" i="11"/>
  <c r="U432" i="11"/>
  <c r="AF432" i="11" s="1"/>
  <c r="Z432" i="11"/>
  <c r="AA432" i="11" s="1"/>
  <c r="AG432" i="11" s="1"/>
  <c r="N433" i="11"/>
  <c r="T433" i="11"/>
  <c r="Y433" i="11"/>
  <c r="AJ433" i="11"/>
  <c r="M434" i="11"/>
  <c r="R434" i="11"/>
  <c r="X434" i="11"/>
  <c r="Y434" i="11" s="1"/>
  <c r="AC434" i="11"/>
  <c r="AE434" i="11" s="1"/>
  <c r="AH434" i="11"/>
  <c r="AI435" i="11"/>
  <c r="AA435" i="11"/>
  <c r="AG435" i="11" s="1"/>
  <c r="W435" i="11"/>
  <c r="AD435" i="11" s="1"/>
  <c r="S435" i="11"/>
  <c r="O435" i="11"/>
  <c r="K435" i="11"/>
  <c r="Q435" i="11"/>
  <c r="V435" i="11"/>
  <c r="AB435" i="11" s="1"/>
  <c r="AL435" i="11"/>
  <c r="P436" i="11"/>
  <c r="U436" i="11"/>
  <c r="AF436" i="11" s="1"/>
  <c r="Z436" i="11"/>
  <c r="N437" i="11"/>
  <c r="T437" i="11"/>
  <c r="AJ437" i="11"/>
  <c r="M438" i="11"/>
  <c r="R438" i="11"/>
  <c r="X438" i="11"/>
  <c r="AC438" i="11"/>
  <c r="AE438" i="11" s="1"/>
  <c r="AH438" i="11"/>
  <c r="AI439" i="11"/>
  <c r="AA439" i="11"/>
  <c r="AG439" i="11" s="1"/>
  <c r="W439" i="11"/>
  <c r="AD439" i="11" s="1"/>
  <c r="S439" i="11"/>
  <c r="O439" i="11"/>
  <c r="K439" i="11"/>
  <c r="Q439" i="11"/>
  <c r="V439" i="11"/>
  <c r="AB439" i="11"/>
  <c r="AL439" i="11"/>
  <c r="P440" i="11"/>
  <c r="U440" i="11"/>
  <c r="AF440" i="11" s="1"/>
  <c r="Z440" i="11"/>
  <c r="AA440" i="11" s="1"/>
  <c r="AG440" i="11" s="1"/>
  <c r="N441" i="11"/>
  <c r="T441" i="11"/>
  <c r="Y441" i="11"/>
  <c r="AJ441" i="11"/>
  <c r="M442" i="11"/>
  <c r="R442" i="11"/>
  <c r="X442" i="11"/>
  <c r="AC442" i="11"/>
  <c r="AE442" i="11" s="1"/>
  <c r="AH442" i="11"/>
  <c r="AI443" i="11"/>
  <c r="AA443" i="11"/>
  <c r="AG443" i="11" s="1"/>
  <c r="W443" i="11"/>
  <c r="AD443" i="11" s="1"/>
  <c r="S443" i="11"/>
  <c r="O443" i="11"/>
  <c r="K443" i="11"/>
  <c r="Q443" i="11"/>
  <c r="V443" i="11"/>
  <c r="AB443" i="11" s="1"/>
  <c r="AL443" i="11"/>
  <c r="N445" i="11"/>
  <c r="T445" i="11"/>
  <c r="Y445" i="11"/>
  <c r="AJ445" i="11"/>
  <c r="M446" i="11"/>
  <c r="R446" i="11"/>
  <c r="X446" i="11"/>
  <c r="AC446" i="11"/>
  <c r="AE446" i="11" s="1"/>
  <c r="AH446" i="11"/>
  <c r="AI447" i="11"/>
  <c r="AA447" i="11"/>
  <c r="AG447" i="11" s="1"/>
  <c r="W447" i="11"/>
  <c r="AD447" i="11" s="1"/>
  <c r="S447" i="11"/>
  <c r="O447" i="11"/>
  <c r="K447" i="11"/>
  <c r="Q447" i="11"/>
  <c r="V447" i="11"/>
  <c r="AB447" i="11" s="1"/>
  <c r="AL447" i="11"/>
  <c r="N449" i="11"/>
  <c r="T449" i="11"/>
  <c r="Y449" i="11"/>
  <c r="AJ449" i="11"/>
  <c r="M450" i="11"/>
  <c r="R450" i="11"/>
  <c r="X450" i="11"/>
  <c r="Y450" i="11" s="1"/>
  <c r="AC450" i="11"/>
  <c r="AE450" i="11" s="1"/>
  <c r="AH450" i="11"/>
  <c r="AI451" i="11"/>
  <c r="AA451" i="11"/>
  <c r="AG451" i="11" s="1"/>
  <c r="W451" i="11"/>
  <c r="AD451" i="11" s="1"/>
  <c r="S451" i="11"/>
  <c r="O451" i="11"/>
  <c r="K451" i="11"/>
  <c r="Q451" i="11"/>
  <c r="V451" i="11"/>
  <c r="AB451" i="11"/>
  <c r="AL451" i="11"/>
  <c r="P452" i="11"/>
  <c r="U452" i="11"/>
  <c r="AF452" i="11" s="1"/>
  <c r="Z452" i="11"/>
  <c r="AA452" i="11" s="1"/>
  <c r="AG452" i="11" s="1"/>
  <c r="N453" i="11"/>
  <c r="T453" i="11"/>
  <c r="Y453" i="11"/>
  <c r="AJ453" i="11"/>
  <c r="M454" i="11"/>
  <c r="R454" i="11"/>
  <c r="X454" i="11"/>
  <c r="Y454" i="11" s="1"/>
  <c r="AC454" i="11"/>
  <c r="AE454" i="11" s="1"/>
  <c r="AH454" i="11"/>
  <c r="AI455" i="11"/>
  <c r="AA455" i="11"/>
  <c r="AG455" i="11" s="1"/>
  <c r="W455" i="11"/>
  <c r="AD455" i="11" s="1"/>
  <c r="S455" i="11"/>
  <c r="O455" i="11"/>
  <c r="K455" i="11"/>
  <c r="Q455" i="11"/>
  <c r="V455" i="11"/>
  <c r="AB455" i="11" s="1"/>
  <c r="AL455" i="11"/>
  <c r="P456" i="11"/>
  <c r="U456" i="11"/>
  <c r="AF456" i="11" s="1"/>
  <c r="Z456" i="11"/>
  <c r="N457" i="11"/>
  <c r="T457" i="11"/>
  <c r="AJ457" i="11"/>
  <c r="M458" i="11"/>
  <c r="R458" i="11"/>
  <c r="X458" i="11"/>
  <c r="AC458" i="11"/>
  <c r="AE458" i="11" s="1"/>
  <c r="AH458" i="11"/>
  <c r="AI459" i="11"/>
  <c r="AA459" i="11"/>
  <c r="AG459" i="11" s="1"/>
  <c r="W459" i="11"/>
  <c r="AD459" i="11" s="1"/>
  <c r="S459" i="11"/>
  <c r="O459" i="11"/>
  <c r="K459" i="11"/>
  <c r="Q459" i="11"/>
  <c r="V459" i="11"/>
  <c r="AB459" i="11"/>
  <c r="AL459" i="11"/>
  <c r="P460" i="11"/>
  <c r="U460" i="11"/>
  <c r="AF460" i="11" s="1"/>
  <c r="Z460" i="11"/>
  <c r="N461" i="11"/>
  <c r="T461" i="11"/>
  <c r="Y461" i="11"/>
  <c r="AJ461" i="11"/>
  <c r="M462" i="11"/>
  <c r="R462" i="11"/>
  <c r="X462" i="11"/>
  <c r="AC462" i="11"/>
  <c r="AE462" i="11" s="1"/>
  <c r="AH462" i="11"/>
  <c r="AI463" i="11"/>
  <c r="AA463" i="11"/>
  <c r="AG463" i="11" s="1"/>
  <c r="W463" i="11"/>
  <c r="AD463" i="11" s="1"/>
  <c r="S463" i="11"/>
  <c r="O463" i="11"/>
  <c r="K463" i="11"/>
  <c r="Q463" i="11"/>
  <c r="V463" i="11"/>
  <c r="AB463" i="11" s="1"/>
  <c r="AL463" i="11"/>
  <c r="P464" i="11"/>
  <c r="U464" i="11"/>
  <c r="AF464" i="11" s="1"/>
  <c r="Z464" i="11"/>
  <c r="N465" i="11"/>
  <c r="T465" i="11"/>
  <c r="Y465" i="11"/>
  <c r="AJ465" i="11"/>
  <c r="M466" i="11"/>
  <c r="R466" i="11"/>
  <c r="X466" i="11"/>
  <c r="Y466" i="11" s="1"/>
  <c r="AC466" i="11"/>
  <c r="AE466" i="11" s="1"/>
  <c r="AH466" i="11"/>
  <c r="AI467" i="11"/>
  <c r="AA467" i="11"/>
  <c r="AG467" i="11" s="1"/>
  <c r="W467" i="11"/>
  <c r="AD467" i="11" s="1"/>
  <c r="S467" i="11"/>
  <c r="O467" i="11"/>
  <c r="K467" i="11"/>
  <c r="Q467" i="11"/>
  <c r="V467" i="11"/>
  <c r="AB467" i="11"/>
  <c r="AL467" i="11"/>
  <c r="P468" i="11"/>
  <c r="U468" i="11"/>
  <c r="AF468" i="11" s="1"/>
  <c r="Z468" i="11"/>
  <c r="AA468" i="11" s="1"/>
  <c r="AG468" i="11" s="1"/>
  <c r="N469" i="11"/>
  <c r="T469" i="11"/>
  <c r="Y469" i="11"/>
  <c r="AJ469" i="11"/>
  <c r="M470" i="11"/>
  <c r="R470" i="11"/>
  <c r="X470" i="11"/>
  <c r="Y470" i="11" s="1"/>
  <c r="AC470" i="11"/>
  <c r="AE470" i="11" s="1"/>
  <c r="AH470" i="11"/>
  <c r="AI471" i="11"/>
  <c r="AA471" i="11"/>
  <c r="AG471" i="11" s="1"/>
  <c r="W471" i="11"/>
  <c r="AD471" i="11" s="1"/>
  <c r="S471" i="11"/>
  <c r="O471" i="11"/>
  <c r="K471" i="11"/>
  <c r="Q471" i="11"/>
  <c r="V471" i="11"/>
  <c r="AB471" i="11" s="1"/>
  <c r="AL471" i="11"/>
  <c r="P472" i="11"/>
  <c r="U472" i="11"/>
  <c r="AF472" i="11" s="1"/>
  <c r="Z472" i="11"/>
  <c r="N473" i="11"/>
  <c r="T473" i="11"/>
  <c r="AJ473" i="11"/>
  <c r="M474" i="11"/>
  <c r="R474" i="11"/>
  <c r="X474" i="11"/>
  <c r="AC474" i="11"/>
  <c r="AE474" i="11" s="1"/>
  <c r="AH474" i="11"/>
  <c r="AI475" i="11"/>
  <c r="AA475" i="11"/>
  <c r="AG475" i="11" s="1"/>
  <c r="W475" i="11"/>
  <c r="AD475" i="11" s="1"/>
  <c r="S475" i="11"/>
  <c r="O475" i="11"/>
  <c r="K475" i="11"/>
  <c r="Q475" i="11"/>
  <c r="V475" i="11"/>
  <c r="AB475" i="11"/>
  <c r="AL475" i="11"/>
  <c r="P476" i="11"/>
  <c r="U476" i="11"/>
  <c r="AF476" i="11" s="1"/>
  <c r="Z476" i="11"/>
  <c r="N477" i="11"/>
  <c r="T477" i="11"/>
  <c r="Y477" i="11"/>
  <c r="AJ477" i="11"/>
  <c r="M478" i="11"/>
  <c r="R478" i="11"/>
  <c r="X478" i="11"/>
  <c r="Y478" i="11" s="1"/>
  <c r="AC478" i="11"/>
  <c r="AE478" i="11" s="1"/>
  <c r="AH478" i="11"/>
  <c r="AI479" i="11"/>
  <c r="AA479" i="11"/>
  <c r="AG479" i="11" s="1"/>
  <c r="W479" i="11"/>
  <c r="AD479" i="11" s="1"/>
  <c r="S479" i="11"/>
  <c r="O479" i="11"/>
  <c r="K479" i="11"/>
  <c r="Q479" i="11"/>
  <c r="V479" i="11"/>
  <c r="AB479" i="11" s="1"/>
  <c r="AL479" i="11"/>
  <c r="N481" i="11"/>
  <c r="T481" i="11"/>
  <c r="AJ481" i="11"/>
  <c r="M482" i="11"/>
  <c r="R482" i="11"/>
  <c r="X482" i="11"/>
  <c r="AC482" i="11"/>
  <c r="AE482" i="11" s="1"/>
  <c r="AH482" i="11"/>
  <c r="AI483" i="11"/>
  <c r="AA483" i="11"/>
  <c r="AG483" i="11" s="1"/>
  <c r="W483" i="11"/>
  <c r="AD483" i="11" s="1"/>
  <c r="S483" i="11"/>
  <c r="O483" i="11"/>
  <c r="K483" i="11"/>
  <c r="Q483" i="11"/>
  <c r="V483" i="11"/>
  <c r="AB483" i="11" s="1"/>
  <c r="AL483" i="11"/>
  <c r="N485" i="11"/>
  <c r="T485" i="11"/>
  <c r="AJ485" i="11"/>
  <c r="M486" i="11"/>
  <c r="R486" i="11"/>
  <c r="X486" i="11"/>
  <c r="AC486" i="11"/>
  <c r="AE486" i="11" s="1"/>
  <c r="AH486" i="11"/>
  <c r="AI487" i="11"/>
  <c r="AA487" i="11"/>
  <c r="AG487" i="11" s="1"/>
  <c r="W487" i="11"/>
  <c r="AD487" i="11" s="1"/>
  <c r="S487" i="11"/>
  <c r="O487" i="11"/>
  <c r="K487" i="11"/>
  <c r="Q487" i="11"/>
  <c r="V487" i="11"/>
  <c r="AB487" i="11"/>
  <c r="AL487" i="11"/>
  <c r="P488" i="11"/>
  <c r="W488" i="11"/>
  <c r="AD488" i="11" s="1"/>
  <c r="AC488" i="11"/>
  <c r="AE488" i="11" s="1"/>
  <c r="P489" i="11"/>
  <c r="W489" i="11"/>
  <c r="AD489" i="11" s="1"/>
  <c r="AK489" i="11"/>
  <c r="O491" i="11"/>
  <c r="W491" i="11"/>
  <c r="AD491" i="11" s="1"/>
  <c r="AC491" i="11"/>
  <c r="AE491" i="11" s="1"/>
  <c r="AJ491" i="11"/>
  <c r="P492" i="11"/>
  <c r="W492" i="11"/>
  <c r="AD492" i="11" s="1"/>
  <c r="AC492" i="11"/>
  <c r="AE492" i="11" s="1"/>
  <c r="AK492" i="11"/>
  <c r="P493" i="11"/>
  <c r="W493" i="11"/>
  <c r="AD493" i="11" s="1"/>
  <c r="AK493" i="11"/>
  <c r="O495" i="11"/>
  <c r="W495" i="11"/>
  <c r="AD495" i="11" s="1"/>
  <c r="AC495" i="11"/>
  <c r="AE495" i="11" s="1"/>
  <c r="AJ495" i="11"/>
  <c r="P496" i="11"/>
  <c r="W496" i="11"/>
  <c r="AD496" i="11" s="1"/>
  <c r="AC496" i="11"/>
  <c r="AE496" i="11" s="1"/>
  <c r="AK496" i="11"/>
  <c r="P497" i="11"/>
  <c r="W497" i="11"/>
  <c r="AD497" i="11" s="1"/>
  <c r="AK497" i="11"/>
  <c r="O499" i="11"/>
  <c r="W499" i="11"/>
  <c r="AD499" i="11" s="1"/>
  <c r="AC499" i="11"/>
  <c r="AE499" i="11" s="1"/>
  <c r="AJ499" i="11"/>
  <c r="P500" i="11"/>
  <c r="W500" i="11"/>
  <c r="AD500" i="11" s="1"/>
  <c r="AC500" i="11"/>
  <c r="AE500" i="11" s="1"/>
  <c r="AK500" i="11"/>
  <c r="P501" i="11"/>
  <c r="W501" i="11"/>
  <c r="AD501" i="11" s="1"/>
  <c r="AK501" i="11"/>
  <c r="AB5" i="12"/>
  <c r="V7" i="12"/>
  <c r="W7" i="12" s="1"/>
  <c r="AD7" i="12" s="1"/>
  <c r="AC7" i="12"/>
  <c r="AE7" i="12" s="1"/>
  <c r="P9" i="12"/>
  <c r="P10" i="12"/>
  <c r="Q10" i="12" s="1"/>
  <c r="AK10" i="12" s="1"/>
  <c r="W10" i="12"/>
  <c r="AD10" i="12" s="1"/>
  <c r="O12" i="12"/>
  <c r="W12" i="12"/>
  <c r="AD12" i="12" s="1"/>
  <c r="AJ12" i="12"/>
  <c r="P13" i="12"/>
  <c r="P14" i="12"/>
  <c r="Q14" i="12" s="1"/>
  <c r="AK14" i="12" s="1"/>
  <c r="O16" i="12"/>
  <c r="R16" i="12" s="1"/>
  <c r="W16" i="12"/>
  <c r="AD16" i="12" s="1"/>
  <c r="P17" i="12"/>
  <c r="Q17" i="12" s="1"/>
  <c r="AK17" i="12" s="1"/>
  <c r="P18" i="12"/>
  <c r="Q18" i="12" s="1"/>
  <c r="AK18" i="12" s="1"/>
  <c r="O20" i="12"/>
  <c r="R20" i="12" s="1"/>
  <c r="W20" i="12"/>
  <c r="AD20" i="12" s="1"/>
  <c r="AJ20" i="12"/>
  <c r="P21" i="12"/>
  <c r="W21" i="12"/>
  <c r="AD21" i="12" s="1"/>
  <c r="P22" i="12"/>
  <c r="W22" i="12"/>
  <c r="AD22" i="12" s="1"/>
  <c r="O24" i="12"/>
  <c r="W24" i="12"/>
  <c r="AD24" i="12" s="1"/>
  <c r="AJ24" i="12"/>
  <c r="P25" i="12"/>
  <c r="Q25" i="12" s="1"/>
  <c r="AK25" i="12" s="1"/>
  <c r="P26" i="12"/>
  <c r="Q26" i="12" s="1"/>
  <c r="AK26" i="12" s="1"/>
  <c r="W26" i="12"/>
  <c r="AD26" i="12" s="1"/>
  <c r="O28" i="12"/>
  <c r="R28" i="12" s="1"/>
  <c r="W28" i="12"/>
  <c r="AD28" i="12" s="1"/>
  <c r="P29" i="12"/>
  <c r="Q29" i="12" s="1"/>
  <c r="AK29" i="12" s="1"/>
  <c r="P30" i="12"/>
  <c r="Q30" i="12" s="1"/>
  <c r="AK30" i="12" s="1"/>
  <c r="O32" i="12"/>
  <c r="R32" i="12" s="1"/>
  <c r="W32" i="12"/>
  <c r="AD32" i="12" s="1"/>
  <c r="AJ32" i="12"/>
  <c r="P33" i="12"/>
  <c r="R33" i="12" s="1"/>
  <c r="P34" i="12"/>
  <c r="Q34" i="12" s="1"/>
  <c r="AK34" i="12" s="1"/>
  <c r="O36" i="12"/>
  <c r="R36" i="12" s="1"/>
  <c r="W36" i="12"/>
  <c r="AD36" i="12" s="1"/>
  <c r="AJ36" i="12"/>
  <c r="P37" i="12"/>
  <c r="W37" i="12"/>
  <c r="AD37" i="12" s="1"/>
  <c r="P38" i="12"/>
  <c r="Q38" i="12" s="1"/>
  <c r="AK38" i="12" s="1"/>
  <c r="O40" i="12"/>
  <c r="W40" i="12"/>
  <c r="AD40" i="12" s="1"/>
  <c r="AJ40" i="12"/>
  <c r="P41" i="12"/>
  <c r="P42" i="12"/>
  <c r="Q42" i="12" s="1"/>
  <c r="AK42" i="12" s="1"/>
  <c r="O44" i="12"/>
  <c r="W44" i="12"/>
  <c r="AD44" i="12" s="1"/>
  <c r="AJ44" i="12"/>
  <c r="P45" i="12"/>
  <c r="P46" i="12"/>
  <c r="Q46" i="12" s="1"/>
  <c r="AK46" i="12" s="1"/>
  <c r="O48" i="12"/>
  <c r="R48" i="12" s="1"/>
  <c r="W48" i="12"/>
  <c r="AD48" i="12" s="1"/>
  <c r="P49" i="12"/>
  <c r="Q49" i="12" s="1"/>
  <c r="AK49" i="12" s="1"/>
  <c r="W49" i="12"/>
  <c r="AD49" i="12" s="1"/>
  <c r="P50" i="12"/>
  <c r="O52" i="12"/>
  <c r="R52" i="12" s="1"/>
  <c r="W52" i="12"/>
  <c r="AD52" i="12" s="1"/>
  <c r="P53" i="12"/>
  <c r="Q53" i="12" s="1"/>
  <c r="AK53" i="12" s="1"/>
  <c r="W53" i="12"/>
  <c r="AD53" i="12" s="1"/>
  <c r="P54" i="12"/>
  <c r="W54" i="12"/>
  <c r="AD54" i="12" s="1"/>
  <c r="O56" i="12"/>
  <c r="W56" i="12"/>
  <c r="AD56" i="12" s="1"/>
  <c r="AJ56" i="12"/>
  <c r="P57" i="12"/>
  <c r="Q57" i="12" s="1"/>
  <c r="AK57" i="12" s="1"/>
  <c r="P58" i="12"/>
  <c r="W58" i="12"/>
  <c r="AD58" i="12" s="1"/>
  <c r="O60" i="12"/>
  <c r="R60" i="12" s="1"/>
  <c r="W60" i="12"/>
  <c r="AD60" i="12" s="1"/>
  <c r="AJ60" i="12"/>
  <c r="P61" i="12"/>
  <c r="Q61" i="12" s="1"/>
  <c r="AK61" i="12" s="1"/>
  <c r="P62" i="12"/>
  <c r="Q62" i="12" s="1"/>
  <c r="AK62" i="12" s="1"/>
  <c r="O64" i="12"/>
  <c r="R64" i="12" s="1"/>
  <c r="W64" i="12"/>
  <c r="AD64" i="12" s="1"/>
  <c r="AJ64" i="12"/>
  <c r="P65" i="12"/>
  <c r="P66" i="12"/>
  <c r="Q66" i="12" s="1"/>
  <c r="O68" i="12"/>
  <c r="R68" i="12" s="1"/>
  <c r="W68" i="12"/>
  <c r="AD68" i="12" s="1"/>
  <c r="AJ68" i="12"/>
  <c r="P69" i="12"/>
  <c r="Q69" i="12" s="1"/>
  <c r="W69" i="12"/>
  <c r="AD69" i="12" s="1"/>
  <c r="P70" i="12"/>
  <c r="W70" i="12"/>
  <c r="AD70" i="12" s="1"/>
  <c r="O72" i="12"/>
  <c r="W72" i="12"/>
  <c r="AD72" i="12" s="1"/>
  <c r="P73" i="12"/>
  <c r="P74" i="12"/>
  <c r="Q74" i="12" s="1"/>
  <c r="O76" i="12"/>
  <c r="W76" i="12"/>
  <c r="AD76" i="12" s="1"/>
  <c r="AJ76" i="12"/>
  <c r="P77" i="12"/>
  <c r="P78" i="12"/>
  <c r="Q78" i="12" s="1"/>
  <c r="O80" i="12"/>
  <c r="R80" i="12" s="1"/>
  <c r="W80" i="12"/>
  <c r="AD80" i="12" s="1"/>
  <c r="AJ80" i="12"/>
  <c r="P81" i="12"/>
  <c r="W81" i="12"/>
  <c r="AD81" i="12" s="1"/>
  <c r="P82" i="12"/>
  <c r="Q82" i="12" s="1"/>
  <c r="O84" i="12"/>
  <c r="R84" i="12" s="1"/>
  <c r="W84" i="12"/>
  <c r="AD84" i="12" s="1"/>
  <c r="AJ84" i="12"/>
  <c r="P85" i="12"/>
  <c r="R85" i="12" s="1"/>
  <c r="P86" i="12"/>
  <c r="O88" i="12"/>
  <c r="W88" i="12"/>
  <c r="AD88" i="12" s="1"/>
  <c r="P89" i="12"/>
  <c r="Q89" i="12" s="1"/>
  <c r="P90" i="12"/>
  <c r="Q90" i="12" s="1"/>
  <c r="W90" i="12"/>
  <c r="AD90" i="12" s="1"/>
  <c r="O92" i="12"/>
  <c r="R92" i="12" s="1"/>
  <c r="W92" i="12"/>
  <c r="AD92" i="12" s="1"/>
  <c r="AJ92" i="12"/>
  <c r="P93" i="12"/>
  <c r="Q93" i="12" s="1"/>
  <c r="P94" i="12"/>
  <c r="Q94" i="12" s="1"/>
  <c r="O96" i="12"/>
  <c r="R96" i="12" s="1"/>
  <c r="W96" i="12"/>
  <c r="AD96" i="12" s="1"/>
  <c r="AJ96" i="12"/>
  <c r="P97" i="12"/>
  <c r="P98" i="12"/>
  <c r="Q98" i="12" s="1"/>
  <c r="O100" i="12"/>
  <c r="R100" i="12" s="1"/>
  <c r="W100" i="12"/>
  <c r="AD100" i="12" s="1"/>
  <c r="AJ100" i="12"/>
  <c r="P101" i="12"/>
  <c r="Q101" i="12" s="1"/>
  <c r="W101" i="12"/>
  <c r="AD101" i="12" s="1"/>
  <c r="P102" i="12"/>
  <c r="Q102" i="12" s="1"/>
  <c r="O104" i="12"/>
  <c r="W104" i="12"/>
  <c r="AD104" i="12" s="1"/>
  <c r="AJ104" i="12"/>
  <c r="P105" i="12"/>
  <c r="P106" i="12"/>
  <c r="Q106" i="12" s="1"/>
  <c r="W106" i="12"/>
  <c r="AD106" i="12" s="1"/>
  <c r="O108" i="12"/>
  <c r="W108" i="12"/>
  <c r="AD108" i="12" s="1"/>
  <c r="AJ108" i="12"/>
  <c r="P109" i="12"/>
  <c r="Q109" i="12" s="1"/>
  <c r="AK109" i="12" s="1"/>
  <c r="P110" i="12"/>
  <c r="Q110" i="12" s="1"/>
  <c r="AK110" i="12" s="1"/>
  <c r="O112" i="12"/>
  <c r="R112" i="12" s="1"/>
  <c r="W112" i="12"/>
  <c r="AD112" i="12" s="1"/>
  <c r="AJ112" i="12"/>
  <c r="P113" i="12"/>
  <c r="Q113" i="12" s="1"/>
  <c r="AK113" i="12" s="1"/>
  <c r="P114" i="12"/>
  <c r="R114" i="12" s="1"/>
  <c r="O116" i="12"/>
  <c r="R116" i="12" s="1"/>
  <c r="W116" i="12"/>
  <c r="AD116" i="12" s="1"/>
  <c r="P117" i="12"/>
  <c r="Q117" i="12" s="1"/>
  <c r="P118" i="12"/>
  <c r="W118" i="12"/>
  <c r="AD118" i="12" s="1"/>
  <c r="O120" i="12"/>
  <c r="W120" i="12"/>
  <c r="AD120" i="12" s="1"/>
  <c r="AJ120" i="12"/>
  <c r="P121" i="12"/>
  <c r="Q121" i="12" s="1"/>
  <c r="AK121" i="12" s="1"/>
  <c r="P122" i="12"/>
  <c r="O124" i="12"/>
  <c r="R124" i="12" s="1"/>
  <c r="W124" i="12"/>
  <c r="AD124" i="12" s="1"/>
  <c r="AJ124" i="12"/>
  <c r="P125" i="12"/>
  <c r="P126" i="12"/>
  <c r="O128" i="12"/>
  <c r="R128" i="12" s="1"/>
  <c r="W128" i="12"/>
  <c r="AD128" i="12" s="1"/>
  <c r="P129" i="12"/>
  <c r="Q129" i="12" s="1"/>
  <c r="AK129" i="12" s="1"/>
  <c r="W129" i="12"/>
  <c r="AD129" i="12" s="1"/>
  <c r="P130" i="12"/>
  <c r="O132" i="12"/>
  <c r="R132" i="12" s="1"/>
  <c r="W132" i="12"/>
  <c r="AD132" i="12" s="1"/>
  <c r="P133" i="12"/>
  <c r="Q133" i="12" s="1"/>
  <c r="AK133" i="12" s="1"/>
  <c r="P134" i="12"/>
  <c r="W134" i="12"/>
  <c r="AD134" i="12" s="1"/>
  <c r="O136" i="12"/>
  <c r="W136" i="12"/>
  <c r="AD136" i="12" s="1"/>
  <c r="AJ136" i="12"/>
  <c r="P137" i="12"/>
  <c r="Q137" i="12" s="1"/>
  <c r="AK137" i="12" s="1"/>
  <c r="P138" i="12"/>
  <c r="O140" i="12"/>
  <c r="R140" i="12" s="1"/>
  <c r="W140" i="12"/>
  <c r="AD140" i="12" s="1"/>
  <c r="AJ140" i="12"/>
  <c r="P141" i="12"/>
  <c r="P142" i="12"/>
  <c r="O144" i="12"/>
  <c r="R144" i="12" s="1"/>
  <c r="W144" i="12"/>
  <c r="AD144" i="12" s="1"/>
  <c r="AJ144" i="12"/>
  <c r="P145" i="12"/>
  <c r="O147" i="12"/>
  <c r="R147" i="12" s="1"/>
  <c r="W147" i="12"/>
  <c r="AD147" i="12" s="1"/>
  <c r="AJ147" i="12"/>
  <c r="P148" i="12"/>
  <c r="Q148" i="12" s="1"/>
  <c r="AK148" i="12" s="1"/>
  <c r="W148" i="12"/>
  <c r="AD148" i="12" s="1"/>
  <c r="P149" i="12"/>
  <c r="W149" i="12"/>
  <c r="AD149" i="12" s="1"/>
  <c r="O151" i="12"/>
  <c r="R151" i="12" s="1"/>
  <c r="W151" i="12"/>
  <c r="AD151" i="12" s="1"/>
  <c r="P152" i="12"/>
  <c r="P153" i="12"/>
  <c r="W153" i="12"/>
  <c r="AD153" i="12" s="1"/>
  <c r="O155" i="12"/>
  <c r="W155" i="12"/>
  <c r="AD155" i="12" s="1"/>
  <c r="AJ155" i="12"/>
  <c r="P156" i="12"/>
  <c r="P157" i="12"/>
  <c r="O159" i="12"/>
  <c r="R159" i="12" s="1"/>
  <c r="W159" i="12"/>
  <c r="AD159" i="12" s="1"/>
  <c r="AJ159" i="12"/>
  <c r="P160" i="12"/>
  <c r="P161" i="12"/>
  <c r="O163" i="12"/>
  <c r="R163" i="12" s="1"/>
  <c r="W163" i="12"/>
  <c r="AD163" i="12" s="1"/>
  <c r="P164" i="12"/>
  <c r="Q164" i="12" s="1"/>
  <c r="AK164" i="12" s="1"/>
  <c r="W164" i="12"/>
  <c r="AD164" i="12" s="1"/>
  <c r="P165" i="12"/>
  <c r="O167" i="12"/>
  <c r="R167" i="12" s="1"/>
  <c r="AJ167" i="12"/>
  <c r="P168" i="12"/>
  <c r="P169" i="12"/>
  <c r="W169" i="12"/>
  <c r="AD169" i="12" s="1"/>
  <c r="O171" i="12"/>
  <c r="W171" i="12"/>
  <c r="AD171" i="12" s="1"/>
  <c r="P172" i="12"/>
  <c r="Q172" i="12" s="1"/>
  <c r="AK172" i="12" s="1"/>
  <c r="P173" i="12"/>
  <c r="O175" i="12"/>
  <c r="U175" i="12" s="1"/>
  <c r="W175" i="12"/>
  <c r="AD175" i="12" s="1"/>
  <c r="P176" i="12"/>
  <c r="Q176" i="12" s="1"/>
  <c r="AK176" i="12" s="1"/>
  <c r="W176" i="12"/>
  <c r="AD176" i="12" s="1"/>
  <c r="P177" i="12"/>
  <c r="O179" i="12"/>
  <c r="W179" i="12"/>
  <c r="AD179" i="12" s="1"/>
  <c r="AJ179" i="12"/>
  <c r="P180" i="12"/>
  <c r="Q180" i="12" s="1"/>
  <c r="AK180" i="12" s="1"/>
  <c r="P181" i="12"/>
  <c r="W181" i="12"/>
  <c r="AD181" i="12" s="1"/>
  <c r="O183" i="12"/>
  <c r="U183" i="12" s="1"/>
  <c r="P184" i="12"/>
  <c r="Q184" i="12" s="1"/>
  <c r="O186" i="12"/>
  <c r="W186" i="12"/>
  <c r="AD186" i="12" s="1"/>
  <c r="P187" i="12"/>
  <c r="Q187" i="12" s="1"/>
  <c r="P188" i="12"/>
  <c r="O190" i="12"/>
  <c r="W190" i="12"/>
  <c r="AD190" i="12" s="1"/>
  <c r="P191" i="12"/>
  <c r="Q191" i="12" s="1"/>
  <c r="P192" i="12"/>
  <c r="O194" i="12"/>
  <c r="W194" i="12"/>
  <c r="AD194" i="12" s="1"/>
  <c r="P195" i="12"/>
  <c r="Q195" i="12" s="1"/>
  <c r="P196" i="12"/>
  <c r="W196" i="12"/>
  <c r="AD196" i="12" s="1"/>
  <c r="O198" i="12"/>
  <c r="P199" i="12"/>
  <c r="Q199" i="12" s="1"/>
  <c r="AK199" i="12" s="1"/>
  <c r="P200" i="12"/>
  <c r="O202" i="12"/>
  <c r="R202" i="12" s="1"/>
  <c r="W202" i="12"/>
  <c r="AD202" i="12" s="1"/>
  <c r="AJ202" i="12"/>
  <c r="P203" i="12"/>
  <c r="Q203" i="12" s="1"/>
  <c r="AK203" i="12" s="1"/>
  <c r="P204" i="12"/>
  <c r="Q204" i="12" s="1"/>
  <c r="O206" i="12"/>
  <c r="R206" i="12" s="1"/>
  <c r="W206" i="12"/>
  <c r="AD206" i="12" s="1"/>
  <c r="P207" i="12"/>
  <c r="Q207" i="12" s="1"/>
  <c r="W207" i="12"/>
  <c r="AD207" i="12" s="1"/>
  <c r="P208" i="12"/>
  <c r="O210" i="12"/>
  <c r="R210" i="12" s="1"/>
  <c r="W210" i="12"/>
  <c r="AD210" i="12" s="1"/>
  <c r="P211" i="12"/>
  <c r="Q211" i="12" s="1"/>
  <c r="P212" i="12"/>
  <c r="O214" i="12"/>
  <c r="P215" i="12"/>
  <c r="Q215" i="12" s="1"/>
  <c r="AK215" i="12" s="1"/>
  <c r="P216" i="12"/>
  <c r="W216" i="12"/>
  <c r="AD216" i="12" s="1"/>
  <c r="O218" i="12"/>
  <c r="W218" i="12"/>
  <c r="AD218" i="12" s="1"/>
  <c r="P219" i="12"/>
  <c r="Q219" i="12" s="1"/>
  <c r="P220" i="12"/>
  <c r="Q220" i="12" s="1"/>
  <c r="AK220" i="12" s="1"/>
  <c r="O222" i="12"/>
  <c r="R222" i="12" s="1"/>
  <c r="W222" i="12"/>
  <c r="AD222" i="12" s="1"/>
  <c r="P223" i="12"/>
  <c r="Q223" i="12" s="1"/>
  <c r="W223" i="12"/>
  <c r="AD223" i="12" s="1"/>
  <c r="P224" i="12"/>
  <c r="O226" i="12"/>
  <c r="R226" i="12" s="1"/>
  <c r="W226" i="12"/>
  <c r="AD226" i="12" s="1"/>
  <c r="P227" i="12"/>
  <c r="Q227" i="12" s="1"/>
  <c r="AK227" i="12" s="1"/>
  <c r="W227" i="12"/>
  <c r="AD227" i="12" s="1"/>
  <c r="P228" i="12"/>
  <c r="O230" i="12"/>
  <c r="R230" i="12" s="1"/>
  <c r="P231" i="12"/>
  <c r="Q231" i="12" s="1"/>
  <c r="AK231" i="12" s="1"/>
  <c r="P232" i="12"/>
  <c r="W232" i="12"/>
  <c r="AD232" i="12" s="1"/>
  <c r="W234" i="12"/>
  <c r="AD234" i="12" s="1"/>
  <c r="P235" i="12"/>
  <c r="Q235" i="12" s="1"/>
  <c r="P236" i="12"/>
  <c r="Q236" i="12" s="1"/>
  <c r="AK236" i="12" s="1"/>
  <c r="O238" i="12"/>
  <c r="W238" i="12"/>
  <c r="AD238" i="12" s="1"/>
  <c r="AJ238" i="12"/>
  <c r="P239" i="12"/>
  <c r="W239" i="12"/>
  <c r="AD239" i="12" s="1"/>
  <c r="AL239" i="12"/>
  <c r="P240" i="12"/>
  <c r="W240" i="12"/>
  <c r="AD240" i="12" s="1"/>
  <c r="AL240" i="12"/>
  <c r="O242" i="12"/>
  <c r="W242" i="12"/>
  <c r="AD242" i="12" s="1"/>
  <c r="AJ242" i="12"/>
  <c r="P243" i="12"/>
  <c r="W243" i="12"/>
  <c r="AD243" i="12" s="1"/>
  <c r="AL243" i="12"/>
  <c r="P244" i="12"/>
  <c r="W244" i="12"/>
  <c r="AD244" i="12" s="1"/>
  <c r="AL244" i="12"/>
  <c r="O246" i="12"/>
  <c r="W246" i="12"/>
  <c r="AD246" i="12" s="1"/>
  <c r="AJ246" i="12"/>
  <c r="P247" i="12"/>
  <c r="W247" i="12"/>
  <c r="AD247" i="12" s="1"/>
  <c r="AL247" i="12"/>
  <c r="P248" i="12"/>
  <c r="W248" i="12"/>
  <c r="AD248" i="12" s="1"/>
  <c r="AL248" i="12"/>
  <c r="O250" i="12"/>
  <c r="W250" i="12"/>
  <c r="AD250" i="12" s="1"/>
  <c r="AJ250" i="12"/>
  <c r="P251" i="12"/>
  <c r="W251" i="12"/>
  <c r="AD251" i="12" s="1"/>
  <c r="AL251" i="12"/>
  <c r="P252" i="12"/>
  <c r="W252" i="12"/>
  <c r="AD252" i="12" s="1"/>
  <c r="AL252" i="12"/>
  <c r="O254" i="12"/>
  <c r="W254" i="12"/>
  <c r="AD254" i="12" s="1"/>
  <c r="AJ254" i="12"/>
  <c r="P255" i="12"/>
  <c r="W255" i="12"/>
  <c r="AD255" i="12" s="1"/>
  <c r="AL255" i="12"/>
  <c r="P256" i="12"/>
  <c r="W256" i="12"/>
  <c r="AD256" i="12" s="1"/>
  <c r="AL256" i="12"/>
  <c r="O258" i="12"/>
  <c r="W258" i="12"/>
  <c r="AD258" i="12" s="1"/>
  <c r="AJ258" i="12"/>
  <c r="P259" i="12"/>
  <c r="W259" i="12"/>
  <c r="AD259" i="12" s="1"/>
  <c r="AL259" i="12"/>
  <c r="P260" i="12"/>
  <c r="W260" i="12"/>
  <c r="AD260" i="12" s="1"/>
  <c r="AL260" i="12"/>
  <c r="O262" i="12"/>
  <c r="W262" i="12"/>
  <c r="AD262" i="12" s="1"/>
  <c r="AJ262" i="12"/>
  <c r="P263" i="12"/>
  <c r="W263" i="12"/>
  <c r="AD263" i="12" s="1"/>
  <c r="AL263" i="12"/>
  <c r="P264" i="12"/>
  <c r="W264" i="12"/>
  <c r="AD264" i="12" s="1"/>
  <c r="AL264" i="12"/>
  <c r="O266" i="12"/>
  <c r="W266" i="12"/>
  <c r="AD266" i="12" s="1"/>
  <c r="AJ266" i="12"/>
  <c r="P267" i="12"/>
  <c r="W267" i="12"/>
  <c r="AD267" i="12" s="1"/>
  <c r="AL267" i="12"/>
  <c r="P268" i="12"/>
  <c r="W268" i="12"/>
  <c r="AD268" i="12" s="1"/>
  <c r="AL268" i="12"/>
  <c r="O270" i="12"/>
  <c r="W270" i="12"/>
  <c r="AD270" i="12" s="1"/>
  <c r="AJ270" i="12"/>
  <c r="P271" i="12"/>
  <c r="W271" i="12"/>
  <c r="AD271" i="12" s="1"/>
  <c r="AL271" i="12"/>
  <c r="P272" i="12"/>
  <c r="W272" i="12"/>
  <c r="AD272" i="12" s="1"/>
  <c r="AL272" i="12"/>
  <c r="O274" i="12"/>
  <c r="W274" i="12"/>
  <c r="AD274" i="12" s="1"/>
  <c r="AJ274" i="12"/>
  <c r="P275" i="12"/>
  <c r="W275" i="12"/>
  <c r="AD275" i="12" s="1"/>
  <c r="AL275" i="12"/>
  <c r="P276" i="12"/>
  <c r="W276" i="12"/>
  <c r="AD276" i="12" s="1"/>
  <c r="AL276" i="12"/>
  <c r="O278" i="12"/>
  <c r="W278" i="12"/>
  <c r="AD278" i="12" s="1"/>
  <c r="AJ278" i="12"/>
  <c r="P279" i="12"/>
  <c r="W279" i="12"/>
  <c r="AD279" i="12" s="1"/>
  <c r="AL279" i="12"/>
  <c r="P280" i="12"/>
  <c r="W280" i="12"/>
  <c r="AD280" i="12" s="1"/>
  <c r="AL280" i="12"/>
  <c r="O282" i="12"/>
  <c r="W282" i="12"/>
  <c r="AD282" i="12" s="1"/>
  <c r="AJ282" i="12"/>
  <c r="P283" i="12"/>
  <c r="W283" i="12"/>
  <c r="AD283" i="12" s="1"/>
  <c r="AL283" i="12"/>
  <c r="P284" i="12"/>
  <c r="W284" i="12"/>
  <c r="AD284" i="12" s="1"/>
  <c r="AL284" i="12"/>
  <c r="O286" i="12"/>
  <c r="W286" i="12"/>
  <c r="AD286" i="12" s="1"/>
  <c r="AJ286" i="12"/>
  <c r="P287" i="12"/>
  <c r="W287" i="12"/>
  <c r="AD287" i="12" s="1"/>
  <c r="AL287" i="12"/>
  <c r="P288" i="12"/>
  <c r="W288" i="12"/>
  <c r="AD288" i="12" s="1"/>
  <c r="AL288" i="12"/>
  <c r="O290" i="12"/>
  <c r="W290" i="12"/>
  <c r="AD290" i="12" s="1"/>
  <c r="AJ290" i="12"/>
  <c r="P291" i="12"/>
  <c r="W291" i="12"/>
  <c r="AD291" i="12" s="1"/>
  <c r="AL291" i="12"/>
  <c r="P292" i="12"/>
  <c r="W292" i="12"/>
  <c r="AD292" i="12" s="1"/>
  <c r="AL292" i="12"/>
  <c r="O294" i="12"/>
  <c r="W294" i="12"/>
  <c r="AD294" i="12" s="1"/>
  <c r="AJ294" i="12"/>
  <c r="P295" i="12"/>
  <c r="W295" i="12"/>
  <c r="AD295" i="12" s="1"/>
  <c r="AL295" i="12"/>
  <c r="P296" i="12"/>
  <c r="W296" i="12"/>
  <c r="AD296" i="12" s="1"/>
  <c r="AL296" i="12"/>
  <c r="O298" i="12"/>
  <c r="W298" i="12"/>
  <c r="AD298" i="12" s="1"/>
  <c r="AJ298" i="12"/>
  <c r="P299" i="12"/>
  <c r="W299" i="12"/>
  <c r="AD299" i="12" s="1"/>
  <c r="AL299" i="12"/>
  <c r="P300" i="12"/>
  <c r="W300" i="12"/>
  <c r="AD300" i="12" s="1"/>
  <c r="AL300" i="12"/>
  <c r="O302" i="12"/>
  <c r="W302" i="12"/>
  <c r="AD302" i="12" s="1"/>
  <c r="AJ302" i="12"/>
  <c r="P303" i="12"/>
  <c r="W303" i="12"/>
  <c r="AD303" i="12" s="1"/>
  <c r="AL303" i="12"/>
  <c r="P304" i="12"/>
  <c r="W304" i="12"/>
  <c r="AD304" i="12" s="1"/>
  <c r="AL304" i="12"/>
  <c r="O306" i="12"/>
  <c r="W306" i="12"/>
  <c r="AD306" i="12" s="1"/>
  <c r="AJ306" i="12"/>
  <c r="P307" i="12"/>
  <c r="W307" i="12"/>
  <c r="AD307" i="12" s="1"/>
  <c r="AL307" i="12"/>
  <c r="P308" i="12"/>
  <c r="W308" i="12"/>
  <c r="AD308" i="12" s="1"/>
  <c r="AL308" i="12"/>
  <c r="O310" i="12"/>
  <c r="W310" i="12"/>
  <c r="AD310" i="12" s="1"/>
  <c r="AJ310" i="12"/>
  <c r="P311" i="12"/>
  <c r="W311" i="12"/>
  <c r="AD311" i="12" s="1"/>
  <c r="AL311" i="12"/>
  <c r="P312" i="12"/>
  <c r="W312" i="12"/>
  <c r="AD312" i="12" s="1"/>
  <c r="AL312" i="12"/>
  <c r="O314" i="12"/>
  <c r="W314" i="12"/>
  <c r="AD314" i="12" s="1"/>
  <c r="AJ314" i="12"/>
  <c r="P315" i="12"/>
  <c r="W315" i="12"/>
  <c r="AD315" i="12" s="1"/>
  <c r="AL315" i="12"/>
  <c r="P316" i="12"/>
  <c r="W316" i="12"/>
  <c r="AD316" i="12" s="1"/>
  <c r="AL316" i="12"/>
  <c r="O318" i="12"/>
  <c r="W318" i="12"/>
  <c r="AD318" i="12" s="1"/>
  <c r="AJ318" i="12"/>
  <c r="P319" i="12"/>
  <c r="W319" i="12"/>
  <c r="AD319" i="12" s="1"/>
  <c r="AL319" i="12"/>
  <c r="P320" i="12"/>
  <c r="W320" i="12"/>
  <c r="AD320" i="12" s="1"/>
  <c r="AL320" i="12"/>
  <c r="O322" i="12"/>
  <c r="W322" i="12"/>
  <c r="AD322" i="12" s="1"/>
  <c r="AJ322" i="12"/>
  <c r="P323" i="12"/>
  <c r="W323" i="12"/>
  <c r="AD323" i="12" s="1"/>
  <c r="AL323" i="12"/>
  <c r="P324" i="12"/>
  <c r="W324" i="12"/>
  <c r="AD324" i="12" s="1"/>
  <c r="AL324" i="12"/>
  <c r="O326" i="12"/>
  <c r="W326" i="12"/>
  <c r="AD326" i="12" s="1"/>
  <c r="AJ326" i="12"/>
  <c r="P327" i="12"/>
  <c r="W327" i="12"/>
  <c r="AD327" i="12" s="1"/>
  <c r="AL327" i="12"/>
  <c r="P328" i="12"/>
  <c r="W328" i="12"/>
  <c r="AD328" i="12" s="1"/>
  <c r="AL328" i="12"/>
  <c r="O330" i="12"/>
  <c r="W330" i="12"/>
  <c r="AD330" i="12" s="1"/>
  <c r="AJ330" i="12"/>
  <c r="P331" i="12"/>
  <c r="W331" i="12"/>
  <c r="AD331" i="12" s="1"/>
  <c r="AL331" i="12"/>
  <c r="P332" i="12"/>
  <c r="W332" i="12"/>
  <c r="AD332" i="12" s="1"/>
  <c r="AL332" i="12"/>
  <c r="O334" i="12"/>
  <c r="W334" i="12"/>
  <c r="AD334" i="12" s="1"/>
  <c r="AJ334" i="12"/>
  <c r="P335" i="12"/>
  <c r="W335" i="12"/>
  <c r="AD335" i="12" s="1"/>
  <c r="AL335" i="12"/>
  <c r="P336" i="12"/>
  <c r="W336" i="12"/>
  <c r="AD336" i="12" s="1"/>
  <c r="AL336" i="12"/>
  <c r="O338" i="12"/>
  <c r="W338" i="12"/>
  <c r="AD338" i="12" s="1"/>
  <c r="AJ338" i="12"/>
  <c r="P339" i="12"/>
  <c r="W339" i="12"/>
  <c r="AD339" i="12" s="1"/>
  <c r="AL339" i="12"/>
  <c r="P340" i="12"/>
  <c r="W340" i="12"/>
  <c r="AD340" i="12" s="1"/>
  <c r="AL340" i="12"/>
  <c r="O342" i="12"/>
  <c r="W342" i="12"/>
  <c r="AD342" i="12" s="1"/>
  <c r="AJ342" i="12"/>
  <c r="P343" i="12"/>
  <c r="W343" i="12"/>
  <c r="AD343" i="12" s="1"/>
  <c r="AL343" i="12"/>
  <c r="P344" i="12"/>
  <c r="W344" i="12"/>
  <c r="AD344" i="12" s="1"/>
  <c r="AL344" i="12"/>
  <c r="O346" i="12"/>
  <c r="W346" i="12"/>
  <c r="AD346" i="12" s="1"/>
  <c r="AJ346" i="12"/>
  <c r="P347" i="12"/>
  <c r="W347" i="12"/>
  <c r="AD347" i="12" s="1"/>
  <c r="AL347" i="12"/>
  <c r="P348" i="12"/>
  <c r="W348" i="12"/>
  <c r="AD348" i="12" s="1"/>
  <c r="AL348" i="12"/>
  <c r="O350" i="12"/>
  <c r="W350" i="12"/>
  <c r="AD350" i="12" s="1"/>
  <c r="AJ350" i="12"/>
  <c r="P351" i="12"/>
  <c r="W351" i="12"/>
  <c r="AD351" i="12" s="1"/>
  <c r="AL351" i="12"/>
  <c r="P352" i="12"/>
  <c r="W352" i="12"/>
  <c r="AD352" i="12" s="1"/>
  <c r="AL352" i="12"/>
  <c r="O354" i="12"/>
  <c r="W354" i="12"/>
  <c r="AD354" i="12" s="1"/>
  <c r="AJ354" i="12"/>
  <c r="P355" i="12"/>
  <c r="W355" i="12"/>
  <c r="AD355" i="12" s="1"/>
  <c r="AL355" i="12"/>
  <c r="P356" i="12"/>
  <c r="W356" i="12"/>
  <c r="AD356" i="12" s="1"/>
  <c r="AL356" i="12"/>
  <c r="O358" i="12"/>
  <c r="W358" i="12"/>
  <c r="AD358" i="12" s="1"/>
  <c r="AJ358" i="12"/>
  <c r="P359" i="12"/>
  <c r="W359" i="12"/>
  <c r="AD359" i="12" s="1"/>
  <c r="AL359" i="12"/>
  <c r="P360" i="12"/>
  <c r="W360" i="12"/>
  <c r="AD360" i="12" s="1"/>
  <c r="AL360" i="12"/>
  <c r="O362" i="12"/>
  <c r="W362" i="12"/>
  <c r="AD362" i="12" s="1"/>
  <c r="AJ362" i="12"/>
  <c r="P363" i="12"/>
  <c r="W363" i="12"/>
  <c r="AD363" i="12" s="1"/>
  <c r="AL363" i="12"/>
  <c r="P364" i="12"/>
  <c r="W364" i="12"/>
  <c r="AD364" i="12" s="1"/>
  <c r="AL364" i="12"/>
  <c r="O366" i="12"/>
  <c r="W366" i="12"/>
  <c r="AD366" i="12" s="1"/>
  <c r="AJ366" i="12"/>
  <c r="P367" i="12"/>
  <c r="W367" i="12"/>
  <c r="AD367" i="12" s="1"/>
  <c r="AL367" i="12"/>
  <c r="P368" i="12"/>
  <c r="W368" i="12"/>
  <c r="AD368" i="12" s="1"/>
  <c r="AL368" i="12"/>
  <c r="O370" i="12"/>
  <c r="W370" i="12"/>
  <c r="AD370" i="12" s="1"/>
  <c r="AJ370" i="12"/>
  <c r="P371" i="12"/>
  <c r="W371" i="12"/>
  <c r="AD371" i="12" s="1"/>
  <c r="AL371" i="12"/>
  <c r="P372" i="12"/>
  <c r="W372" i="12"/>
  <c r="AD372" i="12" s="1"/>
  <c r="AL372" i="12"/>
  <c r="O374" i="12"/>
  <c r="W374" i="12"/>
  <c r="AD374" i="12" s="1"/>
  <c r="AJ374" i="12"/>
  <c r="P375" i="12"/>
  <c r="W375" i="12"/>
  <c r="AD375" i="12" s="1"/>
  <c r="AL375" i="12"/>
  <c r="P376" i="12"/>
  <c r="W376" i="12"/>
  <c r="AD376" i="12" s="1"/>
  <c r="AL376" i="12"/>
  <c r="O378" i="12"/>
  <c r="W378" i="12"/>
  <c r="AD378" i="12" s="1"/>
  <c r="AJ378" i="12"/>
  <c r="P379" i="12"/>
  <c r="W379" i="12"/>
  <c r="AD379" i="12" s="1"/>
  <c r="AL379" i="12"/>
  <c r="P380" i="12"/>
  <c r="W380" i="12"/>
  <c r="AD380" i="12" s="1"/>
  <c r="AL380" i="12"/>
  <c r="O382" i="12"/>
  <c r="W382" i="12"/>
  <c r="AD382" i="12" s="1"/>
  <c r="AJ382" i="12"/>
  <c r="P383" i="12"/>
  <c r="W383" i="12"/>
  <c r="AD383" i="12" s="1"/>
  <c r="AL383" i="12"/>
  <c r="P384" i="12"/>
  <c r="W384" i="12"/>
  <c r="AD384" i="12" s="1"/>
  <c r="AL384" i="12"/>
  <c r="O386" i="12"/>
  <c r="W386" i="12"/>
  <c r="AD386" i="12" s="1"/>
  <c r="AJ386" i="12"/>
  <c r="P387" i="12"/>
  <c r="W387" i="12"/>
  <c r="AD387" i="12" s="1"/>
  <c r="AL387" i="12"/>
  <c r="P388" i="12"/>
  <c r="W388" i="12"/>
  <c r="AD388" i="12" s="1"/>
  <c r="AL388" i="12"/>
  <c r="O390" i="12"/>
  <c r="W390" i="12"/>
  <c r="AD390" i="12" s="1"/>
  <c r="AJ390" i="12"/>
  <c r="P391" i="12"/>
  <c r="W391" i="12"/>
  <c r="AD391" i="12" s="1"/>
  <c r="AL391" i="12"/>
  <c r="P392" i="12"/>
  <c r="W392" i="12"/>
  <c r="AD392" i="12" s="1"/>
  <c r="AL392" i="12"/>
  <c r="O394" i="12"/>
  <c r="W394" i="12"/>
  <c r="AD394" i="12" s="1"/>
  <c r="AJ394" i="12"/>
  <c r="P395" i="12"/>
  <c r="W395" i="12"/>
  <c r="AD395" i="12" s="1"/>
  <c r="AL395" i="12"/>
  <c r="P396" i="12"/>
  <c r="W396" i="12"/>
  <c r="AD396" i="12" s="1"/>
  <c r="AL396" i="12"/>
  <c r="O398" i="12"/>
  <c r="W398" i="12"/>
  <c r="AD398" i="12" s="1"/>
  <c r="AJ398" i="12"/>
  <c r="P399" i="12"/>
  <c r="W399" i="12"/>
  <c r="AD399" i="12" s="1"/>
  <c r="AL399" i="12"/>
  <c r="P400" i="12"/>
  <c r="W400" i="12"/>
  <c r="AD400" i="12" s="1"/>
  <c r="AL400" i="12"/>
  <c r="O402" i="12"/>
  <c r="W402" i="12"/>
  <c r="AD402" i="12" s="1"/>
  <c r="AJ402" i="12"/>
  <c r="P403" i="12"/>
  <c r="W403" i="12"/>
  <c r="AD403" i="12" s="1"/>
  <c r="AL403" i="12"/>
  <c r="P404" i="12"/>
  <c r="W404" i="12"/>
  <c r="AD404" i="12" s="1"/>
  <c r="AL404" i="12"/>
  <c r="O406" i="12"/>
  <c r="W406" i="12"/>
  <c r="AD406" i="12" s="1"/>
  <c r="AJ406" i="12"/>
  <c r="P407" i="12"/>
  <c r="W407" i="12"/>
  <c r="AD407" i="12" s="1"/>
  <c r="AL407" i="12"/>
  <c r="P408" i="12"/>
  <c r="W408" i="12"/>
  <c r="AD408" i="12" s="1"/>
  <c r="AL408" i="12"/>
  <c r="O410" i="12"/>
  <c r="W410" i="12"/>
  <c r="AD410" i="12" s="1"/>
  <c r="AJ410" i="12"/>
  <c r="P411" i="12"/>
  <c r="W411" i="12"/>
  <c r="AD411" i="12" s="1"/>
  <c r="AL411" i="12"/>
  <c r="P412" i="12"/>
  <c r="W412" i="12"/>
  <c r="AD412" i="12" s="1"/>
  <c r="AL412" i="12"/>
  <c r="O414" i="12"/>
  <c r="W414" i="12"/>
  <c r="AD414" i="12" s="1"/>
  <c r="AJ414" i="12"/>
  <c r="P415" i="12"/>
  <c r="W415" i="12"/>
  <c r="AD415" i="12" s="1"/>
  <c r="AL415" i="12"/>
  <c r="P416" i="12"/>
  <c r="W416" i="12"/>
  <c r="AD416" i="12" s="1"/>
  <c r="AL416" i="12"/>
  <c r="O418" i="12"/>
  <c r="W418" i="12"/>
  <c r="AD418" i="12" s="1"/>
  <c r="AJ418" i="12"/>
  <c r="P419" i="12"/>
  <c r="W419" i="12"/>
  <c r="AD419" i="12" s="1"/>
  <c r="AL419" i="12"/>
  <c r="P420" i="12"/>
  <c r="W420" i="12"/>
  <c r="AD420" i="12" s="1"/>
  <c r="AL420" i="12"/>
  <c r="O422" i="12"/>
  <c r="W422" i="12"/>
  <c r="AD422" i="12" s="1"/>
  <c r="AJ422" i="12"/>
  <c r="P423" i="12"/>
  <c r="W423" i="12"/>
  <c r="AD423" i="12" s="1"/>
  <c r="AL423" i="12"/>
  <c r="P424" i="12"/>
  <c r="W424" i="12"/>
  <c r="AD424" i="12" s="1"/>
  <c r="AL424" i="12"/>
  <c r="O426" i="12"/>
  <c r="W426" i="12"/>
  <c r="AD426" i="12" s="1"/>
  <c r="AJ426" i="12"/>
  <c r="P427" i="12"/>
  <c r="W427" i="12"/>
  <c r="AD427" i="12" s="1"/>
  <c r="AL427" i="12"/>
  <c r="P428" i="12"/>
  <c r="W428" i="12"/>
  <c r="AD428" i="12" s="1"/>
  <c r="AL428" i="12"/>
  <c r="O430" i="12"/>
  <c r="W430" i="12"/>
  <c r="AD430" i="12" s="1"/>
  <c r="AJ430" i="12"/>
  <c r="P431" i="12"/>
  <c r="W431" i="12"/>
  <c r="AD431" i="12" s="1"/>
  <c r="AL431" i="12"/>
  <c r="P432" i="12"/>
  <c r="W432" i="12"/>
  <c r="AD432" i="12" s="1"/>
  <c r="AL432" i="12"/>
  <c r="O434" i="12"/>
  <c r="W434" i="12"/>
  <c r="AD434" i="12" s="1"/>
  <c r="AJ434" i="12"/>
  <c r="P435" i="12"/>
  <c r="W435" i="12"/>
  <c r="AD435" i="12" s="1"/>
  <c r="AL435" i="12"/>
  <c r="P436" i="12"/>
  <c r="W436" i="12"/>
  <c r="AD436" i="12" s="1"/>
  <c r="AL436" i="12"/>
  <c r="O438" i="12"/>
  <c r="W438" i="12"/>
  <c r="AD438" i="12" s="1"/>
  <c r="AJ438" i="12"/>
  <c r="P439" i="12"/>
  <c r="W439" i="12"/>
  <c r="AD439" i="12" s="1"/>
  <c r="AL439" i="12"/>
  <c r="P440" i="12"/>
  <c r="W440" i="12"/>
  <c r="AD440" i="12" s="1"/>
  <c r="AL440" i="12"/>
  <c r="O442" i="12"/>
  <c r="W442" i="12"/>
  <c r="AD442" i="12" s="1"/>
  <c r="AJ442" i="12"/>
  <c r="P443" i="12"/>
  <c r="W443" i="12"/>
  <c r="AD443" i="12" s="1"/>
  <c r="AL443" i="12"/>
  <c r="P444" i="12"/>
  <c r="W444" i="12"/>
  <c r="AD444" i="12" s="1"/>
  <c r="AL444" i="12"/>
  <c r="O446" i="12"/>
  <c r="W446" i="12"/>
  <c r="AD446" i="12" s="1"/>
  <c r="AJ446" i="12"/>
  <c r="P447" i="12"/>
  <c r="W447" i="12"/>
  <c r="AD447" i="12" s="1"/>
  <c r="AL447" i="12"/>
  <c r="P448" i="12"/>
  <c r="W448" i="12"/>
  <c r="AD448" i="12" s="1"/>
  <c r="AL448" i="12"/>
  <c r="O450" i="12"/>
  <c r="W450" i="12"/>
  <c r="AD450" i="12" s="1"/>
  <c r="AJ450" i="12"/>
  <c r="P451" i="12"/>
  <c r="W451" i="12"/>
  <c r="AD451" i="12" s="1"/>
  <c r="AL451" i="12"/>
  <c r="P452" i="12"/>
  <c r="W452" i="12"/>
  <c r="AD452" i="12" s="1"/>
  <c r="AL452" i="12"/>
  <c r="O454" i="12"/>
  <c r="W454" i="12"/>
  <c r="AD454" i="12" s="1"/>
  <c r="AJ454" i="12"/>
  <c r="P455" i="12"/>
  <c r="W455" i="12"/>
  <c r="AD455" i="12" s="1"/>
  <c r="AL455" i="12"/>
  <c r="P456" i="12"/>
  <c r="W456" i="12"/>
  <c r="AD456" i="12" s="1"/>
  <c r="AL456" i="12"/>
  <c r="O458" i="12"/>
  <c r="W458" i="12"/>
  <c r="AD458" i="12" s="1"/>
  <c r="AJ458" i="12"/>
  <c r="P459" i="12"/>
  <c r="W459" i="12"/>
  <c r="AD459" i="12" s="1"/>
  <c r="AL459" i="12"/>
  <c r="P460" i="12"/>
  <c r="W460" i="12"/>
  <c r="AD460" i="12" s="1"/>
  <c r="AL460" i="12"/>
  <c r="O462" i="12"/>
  <c r="W462" i="12"/>
  <c r="AD462" i="12" s="1"/>
  <c r="AJ462" i="12"/>
  <c r="P463" i="12"/>
  <c r="W463" i="12"/>
  <c r="AD463" i="12" s="1"/>
  <c r="AL463" i="12"/>
  <c r="P464" i="12"/>
  <c r="W464" i="12"/>
  <c r="AD464" i="12" s="1"/>
  <c r="AL464" i="12"/>
  <c r="O466" i="12"/>
  <c r="W466" i="12"/>
  <c r="AD466" i="12" s="1"/>
  <c r="AJ466" i="12"/>
  <c r="P467" i="12"/>
  <c r="W467" i="12"/>
  <c r="AD467" i="12" s="1"/>
  <c r="AL467" i="12"/>
  <c r="P468" i="12"/>
  <c r="W468" i="12"/>
  <c r="AD468" i="12" s="1"/>
  <c r="AL468" i="12"/>
  <c r="O470" i="12"/>
  <c r="W470" i="12"/>
  <c r="AD470" i="12" s="1"/>
  <c r="AJ470" i="12"/>
  <c r="P471" i="12"/>
  <c r="W471" i="12"/>
  <c r="AD471" i="12" s="1"/>
  <c r="AL471" i="12"/>
  <c r="P472" i="12"/>
  <c r="W472" i="12"/>
  <c r="AD472" i="12" s="1"/>
  <c r="AL472" i="12"/>
  <c r="O474" i="12"/>
  <c r="W474" i="12"/>
  <c r="AD474" i="12" s="1"/>
  <c r="AJ474" i="12"/>
  <c r="P475" i="12"/>
  <c r="W475" i="12"/>
  <c r="AD475" i="12" s="1"/>
  <c r="AL475" i="12"/>
  <c r="P476" i="12"/>
  <c r="W476" i="12"/>
  <c r="AD476" i="12" s="1"/>
  <c r="AL476" i="12"/>
  <c r="O478" i="12"/>
  <c r="W478" i="12"/>
  <c r="AD478" i="12" s="1"/>
  <c r="AJ478" i="12"/>
  <c r="P479" i="12"/>
  <c r="W479" i="12"/>
  <c r="AD479" i="12" s="1"/>
  <c r="AL479" i="12"/>
  <c r="P480" i="12"/>
  <c r="W480" i="12"/>
  <c r="AD480" i="12" s="1"/>
  <c r="AL480" i="12"/>
  <c r="O482" i="12"/>
  <c r="W482" i="12"/>
  <c r="AD482" i="12" s="1"/>
  <c r="AJ482" i="12"/>
  <c r="P483" i="12"/>
  <c r="W483" i="12"/>
  <c r="AD483" i="12" s="1"/>
  <c r="AL483" i="12"/>
  <c r="P484" i="12"/>
  <c r="W484" i="12"/>
  <c r="AD484" i="12" s="1"/>
  <c r="AL484" i="12"/>
  <c r="O486" i="12"/>
  <c r="W486" i="12"/>
  <c r="AD486" i="12" s="1"/>
  <c r="AJ486" i="12"/>
  <c r="P487" i="12"/>
  <c r="W487" i="12"/>
  <c r="AD487" i="12" s="1"/>
  <c r="AL487" i="12"/>
  <c r="P488" i="12"/>
  <c r="W488" i="12"/>
  <c r="AD488" i="12" s="1"/>
  <c r="AL488" i="12"/>
  <c r="O490" i="12"/>
  <c r="W490" i="12"/>
  <c r="AD490" i="12" s="1"/>
  <c r="AJ490" i="12"/>
  <c r="P491" i="12"/>
  <c r="W491" i="12"/>
  <c r="AD491" i="12" s="1"/>
  <c r="AL491" i="12"/>
  <c r="P492" i="12"/>
  <c r="W492" i="12"/>
  <c r="AD492" i="12" s="1"/>
  <c r="AL492" i="12"/>
  <c r="O494" i="12"/>
  <c r="W494" i="12"/>
  <c r="AD494" i="12" s="1"/>
  <c r="AJ494" i="12"/>
  <c r="P495" i="12"/>
  <c r="W495" i="12"/>
  <c r="AD495" i="12" s="1"/>
  <c r="AL495" i="12"/>
  <c r="P496" i="12"/>
  <c r="W496" i="12"/>
  <c r="AD496" i="12" s="1"/>
  <c r="AL496" i="12"/>
  <c r="O498" i="12"/>
  <c r="W498" i="12"/>
  <c r="AD498" i="12" s="1"/>
  <c r="AJ498" i="12"/>
  <c r="P499" i="12"/>
  <c r="W499" i="12"/>
  <c r="AD499" i="12" s="1"/>
  <c r="AL499" i="12"/>
  <c r="AH2" i="13"/>
  <c r="M125" i="13"/>
  <c r="M123" i="13"/>
  <c r="M121" i="13"/>
  <c r="M89" i="13"/>
  <c r="M83" i="13"/>
  <c r="M81" i="13"/>
  <c r="M79" i="13"/>
  <c r="M77" i="13"/>
  <c r="M69" i="13"/>
  <c r="M67" i="13"/>
  <c r="M65" i="13"/>
  <c r="M63" i="13"/>
  <c r="M57" i="13"/>
  <c r="M55" i="13"/>
  <c r="M53" i="13"/>
  <c r="M51" i="13"/>
  <c r="M41" i="13"/>
  <c r="M39" i="13"/>
  <c r="M36" i="13"/>
  <c r="M26" i="13"/>
  <c r="M20" i="13"/>
  <c r="M18" i="13"/>
  <c r="M14" i="13"/>
  <c r="M200" i="13"/>
  <c r="N200" i="13" s="1"/>
  <c r="M190" i="13"/>
  <c r="M184" i="13"/>
  <c r="N184" i="13" s="1"/>
  <c r="M182" i="13"/>
  <c r="M84" i="13"/>
  <c r="M76" i="13"/>
  <c r="M72" i="13"/>
  <c r="M66" i="13"/>
  <c r="M60" i="13"/>
  <c r="M44" i="13"/>
  <c r="M38" i="13"/>
  <c r="M13" i="13"/>
  <c r="M11" i="13"/>
  <c r="M189" i="13"/>
  <c r="N189" i="13" s="1"/>
  <c r="M158" i="13"/>
  <c r="M154" i="13"/>
  <c r="M150" i="13"/>
  <c r="M142" i="13"/>
  <c r="O142" i="13" s="1"/>
  <c r="R142" i="13" s="1"/>
  <c r="M134" i="13"/>
  <c r="M82" i="13"/>
  <c r="M64" i="13"/>
  <c r="M52" i="13"/>
  <c r="M37" i="13"/>
  <c r="M23" i="13"/>
  <c r="M17" i="13"/>
  <c r="M5" i="13"/>
  <c r="M196" i="13"/>
  <c r="N196" i="13" s="1"/>
  <c r="AH196" i="13" s="1"/>
  <c r="M194" i="13"/>
  <c r="M188" i="13"/>
  <c r="N188" i="13" s="1"/>
  <c r="AH188" i="13" s="1"/>
  <c r="M186" i="13"/>
  <c r="M157" i="13"/>
  <c r="N157" i="13" s="1"/>
  <c r="M153" i="13"/>
  <c r="N153" i="13" s="1"/>
  <c r="M149" i="13"/>
  <c r="N149" i="13" s="1"/>
  <c r="M145" i="13"/>
  <c r="N145" i="13" s="1"/>
  <c r="M141" i="13"/>
  <c r="N141" i="13" s="1"/>
  <c r="M126" i="13"/>
  <c r="M80" i="13"/>
  <c r="M185" i="13"/>
  <c r="N185" i="13" s="1"/>
  <c r="M172" i="13"/>
  <c r="N172" i="13" s="1"/>
  <c r="AH172" i="13" s="1"/>
  <c r="M156" i="13"/>
  <c r="N156" i="13" s="1"/>
  <c r="AH156" i="13" s="1"/>
  <c r="M152" i="13"/>
  <c r="N152" i="13" s="1"/>
  <c r="AH152" i="13" s="1"/>
  <c r="M148" i="13"/>
  <c r="N148" i="13" s="1"/>
  <c r="AH148" i="13" s="1"/>
  <c r="M144" i="13"/>
  <c r="N144" i="13" s="1"/>
  <c r="M140" i="13"/>
  <c r="N140" i="13" s="1"/>
  <c r="V5" i="13"/>
  <c r="W6" i="13"/>
  <c r="AD6" i="13" s="1"/>
  <c r="O6" i="13"/>
  <c r="P6" i="13"/>
  <c r="AH6" i="13" s="1"/>
  <c r="AC8" i="13"/>
  <c r="AE8" i="13" s="1"/>
  <c r="M8" i="13"/>
  <c r="O8" i="13" s="1"/>
  <c r="R8" i="13" s="1"/>
  <c r="O12" i="13"/>
  <c r="N12" i="13"/>
  <c r="V15" i="13"/>
  <c r="W15" i="13" s="1"/>
  <c r="AD15" i="13" s="1"/>
  <c r="V18" i="13"/>
  <c r="V20" i="13"/>
  <c r="W20" i="13" s="1"/>
  <c r="AD20" i="13" s="1"/>
  <c r="V25" i="13"/>
  <c r="V28" i="13"/>
  <c r="W28" i="13" s="1"/>
  <c r="AD28" i="13" s="1"/>
  <c r="V32" i="13"/>
  <c r="V40" i="13"/>
  <c r="V43" i="13"/>
  <c r="W43" i="13" s="1"/>
  <c r="AD43" i="13" s="1"/>
  <c r="V56" i="13"/>
  <c r="V59" i="13"/>
  <c r="W59" i="13" s="1"/>
  <c r="AD59" i="13" s="1"/>
  <c r="V66" i="13"/>
  <c r="W66" i="13" s="1"/>
  <c r="AD66" i="13" s="1"/>
  <c r="M68" i="13"/>
  <c r="V72" i="13"/>
  <c r="M74" i="13"/>
  <c r="O98" i="13"/>
  <c r="N98" i="13"/>
  <c r="W100" i="13"/>
  <c r="AD100" i="13" s="1"/>
  <c r="O114" i="13"/>
  <c r="N114" i="13"/>
  <c r="W116" i="13"/>
  <c r="AD116" i="13" s="1"/>
  <c r="M124" i="13"/>
  <c r="AK461" i="9"/>
  <c r="AC461" i="9"/>
  <c r="AE461" i="9" s="1"/>
  <c r="Y461" i="9"/>
  <c r="U461" i="9"/>
  <c r="AF461" i="9" s="1"/>
  <c r="Q461" i="9"/>
  <c r="M461" i="9"/>
  <c r="R461" i="9"/>
  <c r="W461" i="9"/>
  <c r="AD461" i="9" s="1"/>
  <c r="AB461" i="9"/>
  <c r="AH461" i="9"/>
  <c r="AK465" i="9"/>
  <c r="AC465" i="9"/>
  <c r="AE465" i="9" s="1"/>
  <c r="Y465" i="9"/>
  <c r="U465" i="9"/>
  <c r="AF465" i="9" s="1"/>
  <c r="Q465" i="9"/>
  <c r="M465" i="9"/>
  <c r="R465" i="9"/>
  <c r="W465" i="9"/>
  <c r="AD465" i="9" s="1"/>
  <c r="AB465" i="9"/>
  <c r="AH465" i="9"/>
  <c r="AK469" i="9"/>
  <c r="AC469" i="9"/>
  <c r="AE469" i="9" s="1"/>
  <c r="Y469" i="9"/>
  <c r="U469" i="9"/>
  <c r="AF469" i="9" s="1"/>
  <c r="Q469" i="9"/>
  <c r="M469" i="9"/>
  <c r="R469" i="9"/>
  <c r="W469" i="9"/>
  <c r="AD469" i="9" s="1"/>
  <c r="AB469" i="9"/>
  <c r="AH469" i="9"/>
  <c r="AK473" i="9"/>
  <c r="AC473" i="9"/>
  <c r="AE473" i="9" s="1"/>
  <c r="Y473" i="9"/>
  <c r="U473" i="9"/>
  <c r="AF473" i="9" s="1"/>
  <c r="Q473" i="9"/>
  <c r="M473" i="9"/>
  <c r="R473" i="9"/>
  <c r="W473" i="9"/>
  <c r="AD473" i="9" s="1"/>
  <c r="AB473" i="9"/>
  <c r="AH473" i="9"/>
  <c r="AK477" i="9"/>
  <c r="AC477" i="9"/>
  <c r="AE477" i="9" s="1"/>
  <c r="Y477" i="9"/>
  <c r="U477" i="9"/>
  <c r="AF477" i="9" s="1"/>
  <c r="Q477" i="9"/>
  <c r="M477" i="9"/>
  <c r="R477" i="9"/>
  <c r="W477" i="9"/>
  <c r="AD477" i="9" s="1"/>
  <c r="AB477" i="9"/>
  <c r="AH477" i="9"/>
  <c r="AK481" i="9"/>
  <c r="AC481" i="9"/>
  <c r="AE481" i="9" s="1"/>
  <c r="Y481" i="9"/>
  <c r="U481" i="9"/>
  <c r="AF481" i="9" s="1"/>
  <c r="Q481" i="9"/>
  <c r="M481" i="9"/>
  <c r="R481" i="9"/>
  <c r="W481" i="9"/>
  <c r="AD481" i="9" s="1"/>
  <c r="AB481" i="9"/>
  <c r="AH481" i="9"/>
  <c r="AK485" i="9"/>
  <c r="AC485" i="9"/>
  <c r="AE485" i="9" s="1"/>
  <c r="Y485" i="9"/>
  <c r="U485" i="9"/>
  <c r="AF485" i="9" s="1"/>
  <c r="Q485" i="9"/>
  <c r="M485" i="9"/>
  <c r="R485" i="9"/>
  <c r="W485" i="9"/>
  <c r="AD485" i="9" s="1"/>
  <c r="AB485" i="9"/>
  <c r="AH485" i="9"/>
  <c r="AK489" i="9"/>
  <c r="AC489" i="9"/>
  <c r="AE489" i="9" s="1"/>
  <c r="Y489" i="9"/>
  <c r="U489" i="9"/>
  <c r="AF489" i="9" s="1"/>
  <c r="Q489" i="9"/>
  <c r="M489" i="9"/>
  <c r="R489" i="9"/>
  <c r="W489" i="9"/>
  <c r="AD489" i="9" s="1"/>
  <c r="AB489" i="9"/>
  <c r="AH489" i="9"/>
  <c r="O491" i="9"/>
  <c r="T491" i="9"/>
  <c r="Z491" i="9"/>
  <c r="AA491" i="9" s="1"/>
  <c r="AG491" i="9" s="1"/>
  <c r="AJ491" i="9"/>
  <c r="N492" i="9"/>
  <c r="S492" i="9"/>
  <c r="X492" i="9"/>
  <c r="Y492" i="9" s="1"/>
  <c r="AI492" i="9"/>
  <c r="AK493" i="9"/>
  <c r="AC493" i="9"/>
  <c r="AE493" i="9" s="1"/>
  <c r="Y493" i="9"/>
  <c r="U493" i="9"/>
  <c r="AF493" i="9" s="1"/>
  <c r="Q493" i="9"/>
  <c r="M493" i="9"/>
  <c r="R493" i="9"/>
  <c r="W493" i="9"/>
  <c r="AD493" i="9" s="1"/>
  <c r="AB493" i="9"/>
  <c r="AH493" i="9"/>
  <c r="O495" i="9"/>
  <c r="T495" i="9"/>
  <c r="Z495" i="9"/>
  <c r="AA495" i="9" s="1"/>
  <c r="AG495" i="9" s="1"/>
  <c r="AJ495" i="9"/>
  <c r="N496" i="9"/>
  <c r="S496" i="9"/>
  <c r="X496" i="9"/>
  <c r="Y496" i="9" s="1"/>
  <c r="AI496" i="9"/>
  <c r="AK497" i="9"/>
  <c r="AC497" i="9"/>
  <c r="AE497" i="9" s="1"/>
  <c r="Y497" i="9"/>
  <c r="U497" i="9"/>
  <c r="AF497" i="9" s="1"/>
  <c r="Q497" i="9"/>
  <c r="M497" i="9"/>
  <c r="R497" i="9"/>
  <c r="W497" i="9"/>
  <c r="AD497" i="9" s="1"/>
  <c r="AB497" i="9"/>
  <c r="AH497" i="9"/>
  <c r="O499" i="9"/>
  <c r="T499" i="9"/>
  <c r="Z499" i="9"/>
  <c r="AA499" i="9" s="1"/>
  <c r="AG499" i="9" s="1"/>
  <c r="AJ499" i="9"/>
  <c r="N500" i="9"/>
  <c r="S500" i="9"/>
  <c r="X500" i="9"/>
  <c r="Y500" i="9" s="1"/>
  <c r="AI500" i="9"/>
  <c r="AK501" i="9"/>
  <c r="AC501" i="9"/>
  <c r="AE501" i="9" s="1"/>
  <c r="Y501" i="9"/>
  <c r="U501" i="9"/>
  <c r="AF501" i="9" s="1"/>
  <c r="Q501" i="9"/>
  <c r="M501" i="9"/>
  <c r="R501" i="9"/>
  <c r="W501" i="9"/>
  <c r="AD501" i="9" s="1"/>
  <c r="AB501" i="9"/>
  <c r="AH501" i="9"/>
  <c r="N2" i="10"/>
  <c r="T2" i="10"/>
  <c r="Y2" i="10"/>
  <c r="AJ2" i="10"/>
  <c r="N4" i="10"/>
  <c r="S4" i="10"/>
  <c r="X4" i="10"/>
  <c r="AI4" i="10"/>
  <c r="M6" i="10"/>
  <c r="R6" i="10"/>
  <c r="X6" i="10"/>
  <c r="Y6" i="10" s="1"/>
  <c r="AC6" i="10"/>
  <c r="AE6" i="10" s="1"/>
  <c r="AH6" i="10"/>
  <c r="O7" i="10"/>
  <c r="T7" i="10"/>
  <c r="AJ7" i="10"/>
  <c r="AK8" i="10"/>
  <c r="AC8" i="10"/>
  <c r="AE8" i="10" s="1"/>
  <c r="Y8" i="10"/>
  <c r="U8" i="10"/>
  <c r="AF8" i="10" s="1"/>
  <c r="Q8" i="10"/>
  <c r="M8" i="10"/>
  <c r="R8" i="10"/>
  <c r="W8" i="10"/>
  <c r="AD8" i="10" s="1"/>
  <c r="AB8" i="10"/>
  <c r="AH8" i="10"/>
  <c r="O2" i="11"/>
  <c r="T2" i="11"/>
  <c r="Y2" i="11"/>
  <c r="AJ2" i="11"/>
  <c r="AK3" i="11"/>
  <c r="AC3" i="11"/>
  <c r="AE3" i="11" s="1"/>
  <c r="Y3" i="11"/>
  <c r="U3" i="11"/>
  <c r="AF3" i="11" s="1"/>
  <c r="Q3" i="11"/>
  <c r="M3" i="11"/>
  <c r="R3" i="11"/>
  <c r="W3" i="11"/>
  <c r="AD3" i="11" s="1"/>
  <c r="AH3" i="11"/>
  <c r="AI5" i="11"/>
  <c r="AA5" i="11"/>
  <c r="AG5" i="11" s="1"/>
  <c r="W5" i="11"/>
  <c r="AD5" i="11" s="1"/>
  <c r="S5" i="11"/>
  <c r="O5" i="11"/>
  <c r="K5" i="11"/>
  <c r="Q5" i="11"/>
  <c r="V5" i="11"/>
  <c r="AB5" i="11"/>
  <c r="AL5" i="11"/>
  <c r="K7" i="11"/>
  <c r="P7" i="11"/>
  <c r="V7" i="11"/>
  <c r="AB7" i="11" s="1"/>
  <c r="AA7" i="11"/>
  <c r="AG7" i="11" s="1"/>
  <c r="AL7" i="11"/>
  <c r="P9" i="11"/>
  <c r="U9" i="11"/>
  <c r="AF9" i="11" s="1"/>
  <c r="Z9" i="11"/>
  <c r="AA9" i="11" s="1"/>
  <c r="AG9" i="11" s="1"/>
  <c r="AK9" i="11"/>
  <c r="N10" i="11"/>
  <c r="T10" i="11"/>
  <c r="Y10" i="11"/>
  <c r="AJ10" i="11"/>
  <c r="AI12" i="11"/>
  <c r="AA12" i="11"/>
  <c r="AG12" i="11" s="1"/>
  <c r="W12" i="11"/>
  <c r="AD12" i="11" s="1"/>
  <c r="S12" i="11"/>
  <c r="O12" i="11"/>
  <c r="K12" i="11"/>
  <c r="Q12" i="11"/>
  <c r="V12" i="11"/>
  <c r="AB12" i="11"/>
  <c r="AL12" i="11"/>
  <c r="P13" i="11"/>
  <c r="U13" i="11"/>
  <c r="AF13" i="11" s="1"/>
  <c r="Z13" i="11"/>
  <c r="AA13" i="11" s="1"/>
  <c r="AG13" i="11" s="1"/>
  <c r="AK13" i="11"/>
  <c r="N14" i="11"/>
  <c r="T14" i="11"/>
  <c r="Y14" i="11"/>
  <c r="AJ14" i="11"/>
  <c r="AI16" i="11"/>
  <c r="AA16" i="11"/>
  <c r="AG16" i="11" s="1"/>
  <c r="W16" i="11"/>
  <c r="AD16" i="11" s="1"/>
  <c r="S16" i="11"/>
  <c r="O16" i="11"/>
  <c r="K16" i="11"/>
  <c r="Q16" i="11"/>
  <c r="V16" i="11"/>
  <c r="AB16" i="11" s="1"/>
  <c r="AL16" i="11"/>
  <c r="P17" i="11"/>
  <c r="U17" i="11"/>
  <c r="AF17" i="11" s="1"/>
  <c r="Z17" i="11"/>
  <c r="AA17" i="11" s="1"/>
  <c r="AG17" i="11" s="1"/>
  <c r="AK17" i="11"/>
  <c r="N18" i="11"/>
  <c r="T18" i="11"/>
  <c r="Y18" i="11"/>
  <c r="AJ18" i="11"/>
  <c r="AI20" i="11"/>
  <c r="AA20" i="11"/>
  <c r="AG20" i="11" s="1"/>
  <c r="W20" i="11"/>
  <c r="AD20" i="11" s="1"/>
  <c r="S20" i="11"/>
  <c r="O20" i="11"/>
  <c r="K20" i="11"/>
  <c r="Q20" i="11"/>
  <c r="V20" i="11"/>
  <c r="AB20" i="11"/>
  <c r="AL20" i="11"/>
  <c r="P21" i="11"/>
  <c r="U21" i="11"/>
  <c r="AF21" i="11" s="1"/>
  <c r="Z21" i="11"/>
  <c r="AA21" i="11" s="1"/>
  <c r="AG21" i="11" s="1"/>
  <c r="AK21" i="11"/>
  <c r="N22" i="11"/>
  <c r="T22" i="11"/>
  <c r="Y22" i="11"/>
  <c r="AJ22" i="11"/>
  <c r="AI24" i="11"/>
  <c r="AA24" i="11"/>
  <c r="AG24" i="11" s="1"/>
  <c r="W24" i="11"/>
  <c r="AD24" i="11" s="1"/>
  <c r="S24" i="11"/>
  <c r="O24" i="11"/>
  <c r="K24" i="11"/>
  <c r="Q24" i="11"/>
  <c r="V24" i="11"/>
  <c r="AB24" i="11" s="1"/>
  <c r="AL24" i="11"/>
  <c r="P25" i="11"/>
  <c r="U25" i="11"/>
  <c r="AF25" i="11" s="1"/>
  <c r="Z25" i="11"/>
  <c r="AA25" i="11" s="1"/>
  <c r="AG25" i="11" s="1"/>
  <c r="AK25" i="11"/>
  <c r="N26" i="11"/>
  <c r="T26" i="11"/>
  <c r="Y26" i="11"/>
  <c r="AJ26" i="11"/>
  <c r="AI28" i="11"/>
  <c r="AA28" i="11"/>
  <c r="AG28" i="11" s="1"/>
  <c r="W28" i="11"/>
  <c r="AD28" i="11" s="1"/>
  <c r="S28" i="11"/>
  <c r="O28" i="11"/>
  <c r="K28" i="11"/>
  <c r="Q28" i="11"/>
  <c r="V28" i="11"/>
  <c r="AB28" i="11"/>
  <c r="AL28" i="11"/>
  <c r="P29" i="11"/>
  <c r="U29" i="11"/>
  <c r="AF29" i="11" s="1"/>
  <c r="Z29" i="11"/>
  <c r="AA29" i="11" s="1"/>
  <c r="AG29" i="11" s="1"/>
  <c r="AK29" i="11"/>
  <c r="N30" i="11"/>
  <c r="T30" i="11"/>
  <c r="Y30" i="11"/>
  <c r="AJ30" i="11"/>
  <c r="AI32" i="11"/>
  <c r="AA32" i="11"/>
  <c r="AG32" i="11" s="1"/>
  <c r="W32" i="11"/>
  <c r="AD32" i="11" s="1"/>
  <c r="S32" i="11"/>
  <c r="O32" i="11"/>
  <c r="K32" i="11"/>
  <c r="Q32" i="11"/>
  <c r="V32" i="11"/>
  <c r="AB32" i="11" s="1"/>
  <c r="AL32" i="11"/>
  <c r="P33" i="11"/>
  <c r="U33" i="11"/>
  <c r="AF33" i="11" s="1"/>
  <c r="Z33" i="11"/>
  <c r="AA33" i="11" s="1"/>
  <c r="AG33" i="11" s="1"/>
  <c r="AK33" i="11"/>
  <c r="N34" i="11"/>
  <c r="T34" i="11"/>
  <c r="Y34" i="11"/>
  <c r="AJ34" i="11"/>
  <c r="AI36" i="11"/>
  <c r="AA36" i="11"/>
  <c r="AG36" i="11" s="1"/>
  <c r="W36" i="11"/>
  <c r="AD36" i="11" s="1"/>
  <c r="S36" i="11"/>
  <c r="O36" i="11"/>
  <c r="K36" i="11"/>
  <c r="Q36" i="11"/>
  <c r="V36" i="11"/>
  <c r="AB36" i="11"/>
  <c r="AL36" i="11"/>
  <c r="P37" i="11"/>
  <c r="U37" i="11"/>
  <c r="AF37" i="11" s="1"/>
  <c r="Z37" i="11"/>
  <c r="AA37" i="11" s="1"/>
  <c r="AG37" i="11" s="1"/>
  <c r="AK37" i="11"/>
  <c r="N38" i="11"/>
  <c r="T38" i="11"/>
  <c r="Y38" i="11"/>
  <c r="AJ38" i="11"/>
  <c r="AI40" i="11"/>
  <c r="AA40" i="11"/>
  <c r="AG40" i="11" s="1"/>
  <c r="W40" i="11"/>
  <c r="AD40" i="11" s="1"/>
  <c r="S40" i="11"/>
  <c r="O40" i="11"/>
  <c r="K40" i="11"/>
  <c r="Q40" i="11"/>
  <c r="V40" i="11"/>
  <c r="AB40" i="11" s="1"/>
  <c r="AL40" i="11"/>
  <c r="P41" i="11"/>
  <c r="U41" i="11"/>
  <c r="AF41" i="11" s="1"/>
  <c r="Z41" i="11"/>
  <c r="AA41" i="11" s="1"/>
  <c r="AG41" i="11" s="1"/>
  <c r="AK41" i="11"/>
  <c r="N42" i="11"/>
  <c r="T42" i="11"/>
  <c r="Y42" i="11"/>
  <c r="AJ42" i="11"/>
  <c r="AI44" i="11"/>
  <c r="AA44" i="11"/>
  <c r="AG44" i="11" s="1"/>
  <c r="W44" i="11"/>
  <c r="AD44" i="11" s="1"/>
  <c r="S44" i="11"/>
  <c r="O44" i="11"/>
  <c r="K44" i="11"/>
  <c r="Q44" i="11"/>
  <c r="V44" i="11"/>
  <c r="AB44" i="11"/>
  <c r="AL44" i="11"/>
  <c r="P45" i="11"/>
  <c r="U45" i="11"/>
  <c r="AF45" i="11" s="1"/>
  <c r="Z45" i="11"/>
  <c r="AA45" i="11" s="1"/>
  <c r="AG45" i="11" s="1"/>
  <c r="AK45" i="11"/>
  <c r="N46" i="11"/>
  <c r="T46" i="11"/>
  <c r="Y46" i="11"/>
  <c r="AJ46" i="11"/>
  <c r="AI48" i="11"/>
  <c r="AA48" i="11"/>
  <c r="AG48" i="11" s="1"/>
  <c r="W48" i="11"/>
  <c r="AD48" i="11" s="1"/>
  <c r="S48" i="11"/>
  <c r="O48" i="11"/>
  <c r="K48" i="11"/>
  <c r="Q48" i="11"/>
  <c r="V48" i="11"/>
  <c r="AB48" i="11" s="1"/>
  <c r="AL48" i="11"/>
  <c r="P49" i="11"/>
  <c r="U49" i="11"/>
  <c r="AF49" i="11" s="1"/>
  <c r="Z49" i="11"/>
  <c r="AA49" i="11" s="1"/>
  <c r="AG49" i="11" s="1"/>
  <c r="AK49" i="11"/>
  <c r="N50" i="11"/>
  <c r="T50" i="11"/>
  <c r="Y50" i="11"/>
  <c r="AJ50" i="11"/>
  <c r="AI52" i="11"/>
  <c r="AA52" i="11"/>
  <c r="AG52" i="11" s="1"/>
  <c r="W52" i="11"/>
  <c r="AD52" i="11" s="1"/>
  <c r="S52" i="11"/>
  <c r="O52" i="11"/>
  <c r="K52" i="11"/>
  <c r="Q52" i="11"/>
  <c r="V52" i="11"/>
  <c r="AB52" i="11"/>
  <c r="AL52" i="11"/>
  <c r="P53" i="11"/>
  <c r="U53" i="11"/>
  <c r="AF53" i="11" s="1"/>
  <c r="Z53" i="11"/>
  <c r="AA53" i="11" s="1"/>
  <c r="AG53" i="11" s="1"/>
  <c r="AK53" i="11"/>
  <c r="N54" i="11"/>
  <c r="T54" i="11"/>
  <c r="Y54" i="11"/>
  <c r="AJ54" i="11"/>
  <c r="AI56" i="11"/>
  <c r="AA56" i="11"/>
  <c r="AG56" i="11" s="1"/>
  <c r="W56" i="11"/>
  <c r="AD56" i="11" s="1"/>
  <c r="S56" i="11"/>
  <c r="O56" i="11"/>
  <c r="K56" i="11"/>
  <c r="Q56" i="11"/>
  <c r="V56" i="11"/>
  <c r="AB56" i="11" s="1"/>
  <c r="AL56" i="11"/>
  <c r="P57" i="11"/>
  <c r="U57" i="11"/>
  <c r="AF57" i="11" s="1"/>
  <c r="Z57" i="11"/>
  <c r="AA57" i="11" s="1"/>
  <c r="AG57" i="11" s="1"/>
  <c r="AK57" i="11"/>
  <c r="N58" i="11"/>
  <c r="T58" i="11"/>
  <c r="Y58" i="11"/>
  <c r="AJ58" i="11"/>
  <c r="AI60" i="11"/>
  <c r="AA60" i="11"/>
  <c r="AG60" i="11" s="1"/>
  <c r="W60" i="11"/>
  <c r="AD60" i="11" s="1"/>
  <c r="S60" i="11"/>
  <c r="O60" i="11"/>
  <c r="K60" i="11"/>
  <c r="Q60" i="11"/>
  <c r="V60" i="11"/>
  <c r="AB60" i="11"/>
  <c r="AL60" i="11"/>
  <c r="P61" i="11"/>
  <c r="U61" i="11"/>
  <c r="AF61" i="11" s="1"/>
  <c r="Z61" i="11"/>
  <c r="AA61" i="11" s="1"/>
  <c r="AG61" i="11" s="1"/>
  <c r="AK61" i="11"/>
  <c r="N62" i="11"/>
  <c r="T62" i="11"/>
  <c r="Y62" i="11"/>
  <c r="AJ62" i="11"/>
  <c r="AI64" i="11"/>
  <c r="AA64" i="11"/>
  <c r="AG64" i="11" s="1"/>
  <c r="W64" i="11"/>
  <c r="AD64" i="11" s="1"/>
  <c r="S64" i="11"/>
  <c r="O64" i="11"/>
  <c r="K64" i="11"/>
  <c r="Q64" i="11"/>
  <c r="V64" i="11"/>
  <c r="AB64" i="11" s="1"/>
  <c r="AL64" i="11"/>
  <c r="P65" i="11"/>
  <c r="U65" i="11"/>
  <c r="AF65" i="11" s="1"/>
  <c r="Z65" i="11"/>
  <c r="AA65" i="11" s="1"/>
  <c r="AG65" i="11" s="1"/>
  <c r="AK65" i="11"/>
  <c r="N66" i="11"/>
  <c r="T66" i="11"/>
  <c r="Y66" i="11"/>
  <c r="AJ66" i="11"/>
  <c r="AI68" i="11"/>
  <c r="AA68" i="11"/>
  <c r="AG68" i="11" s="1"/>
  <c r="W68" i="11"/>
  <c r="AD68" i="11" s="1"/>
  <c r="S68" i="11"/>
  <c r="O68" i="11"/>
  <c r="K68" i="11"/>
  <c r="Q68" i="11"/>
  <c r="V68" i="11"/>
  <c r="AB68" i="11"/>
  <c r="AL68" i="11"/>
  <c r="P69" i="11"/>
  <c r="U69" i="11"/>
  <c r="AF69" i="11" s="1"/>
  <c r="Z69" i="11"/>
  <c r="AA69" i="11" s="1"/>
  <c r="AG69" i="11" s="1"/>
  <c r="AK69" i="11"/>
  <c r="N70" i="11"/>
  <c r="T70" i="11"/>
  <c r="Y70" i="11"/>
  <c r="AJ70" i="11"/>
  <c r="AI72" i="11"/>
  <c r="AA72" i="11"/>
  <c r="AG72" i="11" s="1"/>
  <c r="W72" i="11"/>
  <c r="AD72" i="11" s="1"/>
  <c r="S72" i="11"/>
  <c r="O72" i="11"/>
  <c r="K72" i="11"/>
  <c r="Q72" i="11"/>
  <c r="V72" i="11"/>
  <c r="AB72" i="11" s="1"/>
  <c r="AL72" i="11"/>
  <c r="P73" i="11"/>
  <c r="U73" i="11"/>
  <c r="AF73" i="11" s="1"/>
  <c r="Z73" i="11"/>
  <c r="AA73" i="11" s="1"/>
  <c r="AG73" i="11" s="1"/>
  <c r="AK73" i="11"/>
  <c r="N74" i="11"/>
  <c r="T74" i="11"/>
  <c r="Y74" i="11"/>
  <c r="AJ74" i="11"/>
  <c r="AI76" i="11"/>
  <c r="AA76" i="11"/>
  <c r="AG76" i="11" s="1"/>
  <c r="W76" i="11"/>
  <c r="AD76" i="11" s="1"/>
  <c r="S76" i="11"/>
  <c r="O76" i="11"/>
  <c r="K76" i="11"/>
  <c r="Q76" i="11"/>
  <c r="V76" i="11"/>
  <c r="AB76" i="11"/>
  <c r="AL76" i="11"/>
  <c r="P77" i="11"/>
  <c r="U77" i="11"/>
  <c r="AF77" i="11" s="1"/>
  <c r="Z77" i="11"/>
  <c r="AA77" i="11" s="1"/>
  <c r="AG77" i="11" s="1"/>
  <c r="AK77" i="11"/>
  <c r="N78" i="11"/>
  <c r="T78" i="11"/>
  <c r="Y78" i="11"/>
  <c r="AJ78" i="11"/>
  <c r="AI80" i="11"/>
  <c r="AA80" i="11"/>
  <c r="AG80" i="11" s="1"/>
  <c r="W80" i="11"/>
  <c r="AD80" i="11" s="1"/>
  <c r="S80" i="11"/>
  <c r="O80" i="11"/>
  <c r="K80" i="11"/>
  <c r="Q80" i="11"/>
  <c r="V80" i="11"/>
  <c r="AB80" i="11" s="1"/>
  <c r="AL80" i="11"/>
  <c r="P81" i="11"/>
  <c r="U81" i="11"/>
  <c r="AF81" i="11" s="1"/>
  <c r="Z81" i="11"/>
  <c r="AA81" i="11" s="1"/>
  <c r="AG81" i="11" s="1"/>
  <c r="AK81" i="11"/>
  <c r="N82" i="11"/>
  <c r="T82" i="11"/>
  <c r="Y82" i="11"/>
  <c r="AJ82" i="11"/>
  <c r="AI84" i="11"/>
  <c r="AA84" i="11"/>
  <c r="AG84" i="11" s="1"/>
  <c r="W84" i="11"/>
  <c r="AD84" i="11" s="1"/>
  <c r="S84" i="11"/>
  <c r="O84" i="11"/>
  <c r="K84" i="11"/>
  <c r="Q84" i="11"/>
  <c r="V84" i="11"/>
  <c r="AB84" i="11"/>
  <c r="AL84" i="11"/>
  <c r="P85" i="11"/>
  <c r="U85" i="11"/>
  <c r="AF85" i="11" s="1"/>
  <c r="Z85" i="11"/>
  <c r="AA85" i="11" s="1"/>
  <c r="AG85" i="11" s="1"/>
  <c r="AK85" i="11"/>
  <c r="N86" i="11"/>
  <c r="T86" i="11"/>
  <c r="Y86" i="11"/>
  <c r="AJ86" i="11"/>
  <c r="AI88" i="11"/>
  <c r="AA88" i="11"/>
  <c r="AG88" i="11" s="1"/>
  <c r="W88" i="11"/>
  <c r="AD88" i="11" s="1"/>
  <c r="S88" i="11"/>
  <c r="O88" i="11"/>
  <c r="K88" i="11"/>
  <c r="Q88" i="11"/>
  <c r="V88" i="11"/>
  <c r="AB88" i="11" s="1"/>
  <c r="AL88" i="11"/>
  <c r="P89" i="11"/>
  <c r="U89" i="11"/>
  <c r="AF89" i="11" s="1"/>
  <c r="Z89" i="11"/>
  <c r="AA89" i="11" s="1"/>
  <c r="AG89" i="11" s="1"/>
  <c r="AK89" i="11"/>
  <c r="N90" i="11"/>
  <c r="T90" i="11"/>
  <c r="Y90" i="11"/>
  <c r="AJ90" i="11"/>
  <c r="AI92" i="11"/>
  <c r="AA92" i="11"/>
  <c r="AG92" i="11" s="1"/>
  <c r="W92" i="11"/>
  <c r="AD92" i="11" s="1"/>
  <c r="S92" i="11"/>
  <c r="O92" i="11"/>
  <c r="K92" i="11"/>
  <c r="Q92" i="11"/>
  <c r="V92" i="11"/>
  <c r="AB92" i="11"/>
  <c r="AL92" i="11"/>
  <c r="P93" i="11"/>
  <c r="U93" i="11"/>
  <c r="AF93" i="11" s="1"/>
  <c r="Z93" i="11"/>
  <c r="AA93" i="11" s="1"/>
  <c r="AG93" i="11" s="1"/>
  <c r="AK93" i="11"/>
  <c r="N94" i="11"/>
  <c r="T94" i="11"/>
  <c r="Y94" i="11"/>
  <c r="AJ94" i="11"/>
  <c r="AI96" i="11"/>
  <c r="AA96" i="11"/>
  <c r="AG96" i="11" s="1"/>
  <c r="W96" i="11"/>
  <c r="AD96" i="11" s="1"/>
  <c r="S96" i="11"/>
  <c r="O96" i="11"/>
  <c r="K96" i="11"/>
  <c r="Q96" i="11"/>
  <c r="V96" i="11"/>
  <c r="AB96" i="11" s="1"/>
  <c r="AL96" i="11"/>
  <c r="P97" i="11"/>
  <c r="U97" i="11"/>
  <c r="AF97" i="11" s="1"/>
  <c r="Z97" i="11"/>
  <c r="AA97" i="11" s="1"/>
  <c r="AG97" i="11" s="1"/>
  <c r="AK97" i="11"/>
  <c r="N98" i="11"/>
  <c r="T98" i="11"/>
  <c r="Y98" i="11"/>
  <c r="AJ98" i="11"/>
  <c r="AI100" i="11"/>
  <c r="AA100" i="11"/>
  <c r="AG100" i="11" s="1"/>
  <c r="W100" i="11"/>
  <c r="AD100" i="11" s="1"/>
  <c r="S100" i="11"/>
  <c r="O100" i="11"/>
  <c r="K100" i="11"/>
  <c r="Q100" i="11"/>
  <c r="V100" i="11"/>
  <c r="AB100" i="11"/>
  <c r="AL100" i="11"/>
  <c r="P101" i="11"/>
  <c r="U101" i="11"/>
  <c r="AF101" i="11" s="1"/>
  <c r="Z101" i="11"/>
  <c r="AA101" i="11" s="1"/>
  <c r="AG101" i="11" s="1"/>
  <c r="AK101" i="11"/>
  <c r="N102" i="11"/>
  <c r="T102" i="11"/>
  <c r="Y102" i="11"/>
  <c r="AJ102" i="11"/>
  <c r="AI104" i="11"/>
  <c r="AA104" i="11"/>
  <c r="AG104" i="11" s="1"/>
  <c r="W104" i="11"/>
  <c r="AD104" i="11" s="1"/>
  <c r="S104" i="11"/>
  <c r="O104" i="11"/>
  <c r="K104" i="11"/>
  <c r="Q104" i="11"/>
  <c r="V104" i="11"/>
  <c r="AB104" i="11" s="1"/>
  <c r="AL104" i="11"/>
  <c r="P105" i="11"/>
  <c r="U105" i="11"/>
  <c r="AF105" i="11" s="1"/>
  <c r="Z105" i="11"/>
  <c r="AA105" i="11" s="1"/>
  <c r="AG105" i="11" s="1"/>
  <c r="AK105" i="11"/>
  <c r="N106" i="11"/>
  <c r="T106" i="11"/>
  <c r="Y106" i="11"/>
  <c r="AJ106" i="11"/>
  <c r="AI108" i="11"/>
  <c r="AA108" i="11"/>
  <c r="AG108" i="11" s="1"/>
  <c r="W108" i="11"/>
  <c r="AD108" i="11" s="1"/>
  <c r="S108" i="11"/>
  <c r="O108" i="11"/>
  <c r="K108" i="11"/>
  <c r="Q108" i="11"/>
  <c r="V108" i="11"/>
  <c r="AB108" i="11"/>
  <c r="AL108" i="11"/>
  <c r="P109" i="11"/>
  <c r="U109" i="11"/>
  <c r="AF109" i="11" s="1"/>
  <c r="Z109" i="11"/>
  <c r="AA109" i="11" s="1"/>
  <c r="AG109" i="11" s="1"/>
  <c r="AK109" i="11"/>
  <c r="N110" i="11"/>
  <c r="T110" i="11"/>
  <c r="Y110" i="11"/>
  <c r="AJ110" i="11"/>
  <c r="AI112" i="11"/>
  <c r="AA112" i="11"/>
  <c r="AG112" i="11" s="1"/>
  <c r="W112" i="11"/>
  <c r="AD112" i="11" s="1"/>
  <c r="S112" i="11"/>
  <c r="O112" i="11"/>
  <c r="K112" i="11"/>
  <c r="Q112" i="11"/>
  <c r="V112" i="11"/>
  <c r="AB112" i="11" s="1"/>
  <c r="AL112" i="11"/>
  <c r="P113" i="11"/>
  <c r="U113" i="11"/>
  <c r="AF113" i="11" s="1"/>
  <c r="Z113" i="11"/>
  <c r="AA113" i="11" s="1"/>
  <c r="AG113" i="11" s="1"/>
  <c r="AK113" i="11"/>
  <c r="N114" i="11"/>
  <c r="T114" i="11"/>
  <c r="Y114" i="11"/>
  <c r="AJ114" i="11"/>
  <c r="AI116" i="11"/>
  <c r="AA116" i="11"/>
  <c r="AG116" i="11" s="1"/>
  <c r="W116" i="11"/>
  <c r="AD116" i="11" s="1"/>
  <c r="S116" i="11"/>
  <c r="O116" i="11"/>
  <c r="K116" i="11"/>
  <c r="Q116" i="11"/>
  <c r="V116" i="11"/>
  <c r="AB116" i="11"/>
  <c r="AL116" i="11"/>
  <c r="P117" i="11"/>
  <c r="U117" i="11"/>
  <c r="AF117" i="11" s="1"/>
  <c r="Z117" i="11"/>
  <c r="AA117" i="11" s="1"/>
  <c r="AG117" i="11" s="1"/>
  <c r="AK117" i="11"/>
  <c r="N118" i="11"/>
  <c r="T118" i="11"/>
  <c r="Y118" i="11"/>
  <c r="AJ118" i="11"/>
  <c r="AI120" i="11"/>
  <c r="AA120" i="11"/>
  <c r="AG120" i="11" s="1"/>
  <c r="W120" i="11"/>
  <c r="AD120" i="11" s="1"/>
  <c r="S120" i="11"/>
  <c r="O120" i="11"/>
  <c r="K120" i="11"/>
  <c r="Q120" i="11"/>
  <c r="V120" i="11"/>
  <c r="AB120" i="11" s="1"/>
  <c r="AL120" i="11"/>
  <c r="P121" i="11"/>
  <c r="U121" i="11"/>
  <c r="AF121" i="11" s="1"/>
  <c r="Z121" i="11"/>
  <c r="AA121" i="11" s="1"/>
  <c r="AG121" i="11" s="1"/>
  <c r="AK121" i="11"/>
  <c r="N122" i="11"/>
  <c r="T122" i="11"/>
  <c r="Y122" i="11"/>
  <c r="AJ122" i="11"/>
  <c r="AI124" i="11"/>
  <c r="AA124" i="11"/>
  <c r="AG124" i="11" s="1"/>
  <c r="W124" i="11"/>
  <c r="AD124" i="11" s="1"/>
  <c r="S124" i="11"/>
  <c r="O124" i="11"/>
  <c r="K124" i="11"/>
  <c r="Q124" i="11"/>
  <c r="V124" i="11"/>
  <c r="AB124" i="11"/>
  <c r="AL124" i="11"/>
  <c r="P125" i="11"/>
  <c r="U125" i="11"/>
  <c r="AF125" i="11" s="1"/>
  <c r="Z125" i="11"/>
  <c r="AA125" i="11" s="1"/>
  <c r="AG125" i="11" s="1"/>
  <c r="AK125" i="11"/>
  <c r="N126" i="11"/>
  <c r="T126" i="11"/>
  <c r="Y126" i="11"/>
  <c r="AJ126" i="11"/>
  <c r="AI128" i="11"/>
  <c r="AA128" i="11"/>
  <c r="AG128" i="11" s="1"/>
  <c r="W128" i="11"/>
  <c r="AD128" i="11" s="1"/>
  <c r="S128" i="11"/>
  <c r="O128" i="11"/>
  <c r="K128" i="11"/>
  <c r="Q128" i="11"/>
  <c r="V128" i="11"/>
  <c r="AB128" i="11" s="1"/>
  <c r="AL128" i="11"/>
  <c r="P129" i="11"/>
  <c r="U129" i="11"/>
  <c r="AF129" i="11" s="1"/>
  <c r="Z129" i="11"/>
  <c r="AA129" i="11" s="1"/>
  <c r="AG129" i="11" s="1"/>
  <c r="AK129" i="11"/>
  <c r="N130" i="11"/>
  <c r="T130" i="11"/>
  <c r="Y130" i="11"/>
  <c r="AJ130" i="11"/>
  <c r="AI132" i="11"/>
  <c r="AA132" i="11"/>
  <c r="AG132" i="11" s="1"/>
  <c r="W132" i="11"/>
  <c r="AD132" i="11" s="1"/>
  <c r="S132" i="11"/>
  <c r="O132" i="11"/>
  <c r="K132" i="11"/>
  <c r="Q132" i="11"/>
  <c r="V132" i="11"/>
  <c r="AB132" i="11"/>
  <c r="AL132" i="11"/>
  <c r="P133" i="11"/>
  <c r="U133" i="11"/>
  <c r="AF133" i="11" s="1"/>
  <c r="Z133" i="11"/>
  <c r="AA133" i="11" s="1"/>
  <c r="AG133" i="11" s="1"/>
  <c r="AK133" i="11"/>
  <c r="N134" i="11"/>
  <c r="T134" i="11"/>
  <c r="Y134" i="11"/>
  <c r="AJ134" i="11"/>
  <c r="AI136" i="11"/>
  <c r="AA136" i="11"/>
  <c r="AG136" i="11" s="1"/>
  <c r="W136" i="11"/>
  <c r="AD136" i="11" s="1"/>
  <c r="S136" i="11"/>
  <c r="O136" i="11"/>
  <c r="K136" i="11"/>
  <c r="Q136" i="11"/>
  <c r="V136" i="11"/>
  <c r="AB136" i="11" s="1"/>
  <c r="AL136" i="11"/>
  <c r="P137" i="11"/>
  <c r="U137" i="11"/>
  <c r="AF137" i="11" s="1"/>
  <c r="Z137" i="11"/>
  <c r="AA137" i="11" s="1"/>
  <c r="AG137" i="11" s="1"/>
  <c r="AK137" i="11"/>
  <c r="N138" i="11"/>
  <c r="T138" i="11"/>
  <c r="Y138" i="11"/>
  <c r="AJ138" i="11"/>
  <c r="AI140" i="11"/>
  <c r="AA140" i="11"/>
  <c r="AG140" i="11" s="1"/>
  <c r="W140" i="11"/>
  <c r="AD140" i="11" s="1"/>
  <c r="S140" i="11"/>
  <c r="O140" i="11"/>
  <c r="K140" i="11"/>
  <c r="Q140" i="11"/>
  <c r="V140" i="11"/>
  <c r="AB140" i="11"/>
  <c r="AL140" i="11"/>
  <c r="P141" i="11"/>
  <c r="U141" i="11"/>
  <c r="AF141" i="11" s="1"/>
  <c r="Z141" i="11"/>
  <c r="AA141" i="11" s="1"/>
  <c r="AG141" i="11" s="1"/>
  <c r="AK141" i="11"/>
  <c r="N142" i="11"/>
  <c r="T142" i="11"/>
  <c r="Y142" i="11"/>
  <c r="AJ142" i="11"/>
  <c r="AI144" i="11"/>
  <c r="AA144" i="11"/>
  <c r="AG144" i="11" s="1"/>
  <c r="W144" i="11"/>
  <c r="AD144" i="11" s="1"/>
  <c r="S144" i="11"/>
  <c r="O144" i="11"/>
  <c r="K144" i="11"/>
  <c r="Q144" i="11"/>
  <c r="V144" i="11"/>
  <c r="AB144" i="11" s="1"/>
  <c r="AL144" i="11"/>
  <c r="P145" i="11"/>
  <c r="U145" i="11"/>
  <c r="AF145" i="11" s="1"/>
  <c r="Z145" i="11"/>
  <c r="AA145" i="11" s="1"/>
  <c r="AG145" i="11" s="1"/>
  <c r="AK145" i="11"/>
  <c r="N146" i="11"/>
  <c r="T146" i="11"/>
  <c r="Y146" i="11"/>
  <c r="AJ146" i="11"/>
  <c r="AI148" i="11"/>
  <c r="AA148" i="11"/>
  <c r="AG148" i="11" s="1"/>
  <c r="W148" i="11"/>
  <c r="AD148" i="11" s="1"/>
  <c r="S148" i="11"/>
  <c r="O148" i="11"/>
  <c r="K148" i="11"/>
  <c r="Q148" i="11"/>
  <c r="V148" i="11"/>
  <c r="AB148" i="11"/>
  <c r="AL148" i="11"/>
  <c r="P149" i="11"/>
  <c r="U149" i="11"/>
  <c r="AF149" i="11" s="1"/>
  <c r="Z149" i="11"/>
  <c r="AA149" i="11" s="1"/>
  <c r="AG149" i="11" s="1"/>
  <c r="AK149" i="11"/>
  <c r="N150" i="11"/>
  <c r="T150" i="11"/>
  <c r="Y150" i="11"/>
  <c r="AJ150" i="11"/>
  <c r="AI152" i="11"/>
  <c r="AA152" i="11"/>
  <c r="AG152" i="11" s="1"/>
  <c r="W152" i="11"/>
  <c r="AD152" i="11" s="1"/>
  <c r="S152" i="11"/>
  <c r="O152" i="11"/>
  <c r="K152" i="11"/>
  <c r="Q152" i="11"/>
  <c r="V152" i="11"/>
  <c r="AB152" i="11" s="1"/>
  <c r="AL152" i="11"/>
  <c r="P153" i="11"/>
  <c r="U153" i="11"/>
  <c r="AF153" i="11" s="1"/>
  <c r="Z153" i="11"/>
  <c r="AA153" i="11" s="1"/>
  <c r="AG153" i="11" s="1"/>
  <c r="AK153" i="11"/>
  <c r="N154" i="11"/>
  <c r="T154" i="11"/>
  <c r="Y154" i="11"/>
  <c r="AJ154" i="11"/>
  <c r="AI156" i="11"/>
  <c r="AA156" i="11"/>
  <c r="AG156" i="11" s="1"/>
  <c r="W156" i="11"/>
  <c r="AD156" i="11" s="1"/>
  <c r="S156" i="11"/>
  <c r="O156" i="11"/>
  <c r="K156" i="11"/>
  <c r="Q156" i="11"/>
  <c r="V156" i="11"/>
  <c r="AB156" i="11"/>
  <c r="AL156" i="11"/>
  <c r="P157" i="11"/>
  <c r="U157" i="11"/>
  <c r="AF157" i="11" s="1"/>
  <c r="Z157" i="11"/>
  <c r="AA157" i="11" s="1"/>
  <c r="AG157" i="11" s="1"/>
  <c r="AK157" i="11"/>
  <c r="N158" i="11"/>
  <c r="T158" i="11"/>
  <c r="Y158" i="11"/>
  <c r="AJ158" i="11"/>
  <c r="AI160" i="11"/>
  <c r="AA160" i="11"/>
  <c r="AG160" i="11" s="1"/>
  <c r="W160" i="11"/>
  <c r="AD160" i="11" s="1"/>
  <c r="S160" i="11"/>
  <c r="O160" i="11"/>
  <c r="K160" i="11"/>
  <c r="Q160" i="11"/>
  <c r="V160" i="11"/>
  <c r="AB160" i="11" s="1"/>
  <c r="AL160" i="11"/>
  <c r="P161" i="11"/>
  <c r="U161" i="11"/>
  <c r="AF161" i="11" s="1"/>
  <c r="Z161" i="11"/>
  <c r="AA161" i="11" s="1"/>
  <c r="AG161" i="11" s="1"/>
  <c r="AK161" i="11"/>
  <c r="N162" i="11"/>
  <c r="T162" i="11"/>
  <c r="Y162" i="11"/>
  <c r="AJ162" i="11"/>
  <c r="AI164" i="11"/>
  <c r="AA164" i="11"/>
  <c r="AG164" i="11" s="1"/>
  <c r="W164" i="11"/>
  <c r="AD164" i="11" s="1"/>
  <c r="S164" i="11"/>
  <c r="O164" i="11"/>
  <c r="K164" i="11"/>
  <c r="Q164" i="11"/>
  <c r="V164" i="11"/>
  <c r="AB164" i="11"/>
  <c r="AL164" i="11"/>
  <c r="P165" i="11"/>
  <c r="U165" i="11"/>
  <c r="AF165" i="11" s="1"/>
  <c r="Z165" i="11"/>
  <c r="AA165" i="11" s="1"/>
  <c r="AG165" i="11" s="1"/>
  <c r="AK165" i="11"/>
  <c r="N166" i="11"/>
  <c r="T166" i="11"/>
  <c r="Y166" i="11"/>
  <c r="AJ166" i="11"/>
  <c r="AI168" i="11"/>
  <c r="AA168" i="11"/>
  <c r="AG168" i="11" s="1"/>
  <c r="W168" i="11"/>
  <c r="AD168" i="11" s="1"/>
  <c r="S168" i="11"/>
  <c r="O168" i="11"/>
  <c r="K168" i="11"/>
  <c r="Q168" i="11"/>
  <c r="V168" i="11"/>
  <c r="AB168" i="11" s="1"/>
  <c r="AL168" i="11"/>
  <c r="P169" i="11"/>
  <c r="U169" i="11"/>
  <c r="AF169" i="11" s="1"/>
  <c r="Z169" i="11"/>
  <c r="AA169" i="11" s="1"/>
  <c r="AG169" i="11" s="1"/>
  <c r="AK169" i="11"/>
  <c r="N170" i="11"/>
  <c r="T170" i="11"/>
  <c r="Y170" i="11"/>
  <c r="AJ170" i="11"/>
  <c r="AI172" i="11"/>
  <c r="AA172" i="11"/>
  <c r="AG172" i="11" s="1"/>
  <c r="W172" i="11"/>
  <c r="AD172" i="11" s="1"/>
  <c r="S172" i="11"/>
  <c r="O172" i="11"/>
  <c r="K172" i="11"/>
  <c r="Q172" i="11"/>
  <c r="V172" i="11"/>
  <c r="AB172" i="11"/>
  <c r="AL172" i="11"/>
  <c r="P173" i="11"/>
  <c r="U173" i="11"/>
  <c r="AF173" i="11" s="1"/>
  <c r="Z173" i="11"/>
  <c r="AA173" i="11" s="1"/>
  <c r="AG173" i="11" s="1"/>
  <c r="AK173" i="11"/>
  <c r="N174" i="11"/>
  <c r="T174" i="11"/>
  <c r="Y174" i="11"/>
  <c r="AJ174" i="11"/>
  <c r="AI176" i="11"/>
  <c r="AA176" i="11"/>
  <c r="AG176" i="11" s="1"/>
  <c r="W176" i="11"/>
  <c r="AD176" i="11" s="1"/>
  <c r="S176" i="11"/>
  <c r="O176" i="11"/>
  <c r="K176" i="11"/>
  <c r="Q176" i="11"/>
  <c r="V176" i="11"/>
  <c r="AB176" i="11" s="1"/>
  <c r="AL176" i="11"/>
  <c r="P177" i="11"/>
  <c r="U177" i="11"/>
  <c r="AF177" i="11" s="1"/>
  <c r="Z177" i="11"/>
  <c r="AA177" i="11" s="1"/>
  <c r="AG177" i="11" s="1"/>
  <c r="AK177" i="11"/>
  <c r="N178" i="11"/>
  <c r="T178" i="11"/>
  <c r="Y178" i="11"/>
  <c r="AJ178" i="11"/>
  <c r="AI180" i="11"/>
  <c r="AA180" i="11"/>
  <c r="AG180" i="11" s="1"/>
  <c r="W180" i="11"/>
  <c r="AD180" i="11" s="1"/>
  <c r="S180" i="11"/>
  <c r="O180" i="11"/>
  <c r="K180" i="11"/>
  <c r="Q180" i="11"/>
  <c r="V180" i="11"/>
  <c r="AB180" i="11"/>
  <c r="AL180" i="11"/>
  <c r="P181" i="11"/>
  <c r="U181" i="11"/>
  <c r="AF181" i="11" s="1"/>
  <c r="Z181" i="11"/>
  <c r="AA181" i="11" s="1"/>
  <c r="AG181" i="11" s="1"/>
  <c r="AK181" i="11"/>
  <c r="N182" i="11"/>
  <c r="T182" i="11"/>
  <c r="Y182" i="11"/>
  <c r="AJ182" i="11"/>
  <c r="AI184" i="11"/>
  <c r="AA184" i="11"/>
  <c r="AG184" i="11" s="1"/>
  <c r="W184" i="11"/>
  <c r="AD184" i="11" s="1"/>
  <c r="S184" i="11"/>
  <c r="O184" i="11"/>
  <c r="K184" i="11"/>
  <c r="Q184" i="11"/>
  <c r="V184" i="11"/>
  <c r="AB184" i="11" s="1"/>
  <c r="AL184" i="11"/>
  <c r="P185" i="11"/>
  <c r="U185" i="11"/>
  <c r="AF185" i="11" s="1"/>
  <c r="Z185" i="11"/>
  <c r="AA185" i="11" s="1"/>
  <c r="AG185" i="11" s="1"/>
  <c r="AK185" i="11"/>
  <c r="N186" i="11"/>
  <c r="T186" i="11"/>
  <c r="Y186" i="11"/>
  <c r="AJ186" i="11"/>
  <c r="AI188" i="11"/>
  <c r="AA188" i="11"/>
  <c r="AG188" i="11" s="1"/>
  <c r="W188" i="11"/>
  <c r="AD188" i="11" s="1"/>
  <c r="S188" i="11"/>
  <c r="O188" i="11"/>
  <c r="K188" i="11"/>
  <c r="Q188" i="11"/>
  <c r="V188" i="11"/>
  <c r="AB188" i="11"/>
  <c r="AL188" i="11"/>
  <c r="P189" i="11"/>
  <c r="U189" i="11"/>
  <c r="AF189" i="11" s="1"/>
  <c r="Z189" i="11"/>
  <c r="AA189" i="11" s="1"/>
  <c r="AG189" i="11" s="1"/>
  <c r="AK189" i="11"/>
  <c r="N190" i="11"/>
  <c r="T190" i="11"/>
  <c r="Y190" i="11"/>
  <c r="AJ190" i="11"/>
  <c r="AI192" i="11"/>
  <c r="AA192" i="11"/>
  <c r="AG192" i="11" s="1"/>
  <c r="W192" i="11"/>
  <c r="AD192" i="11" s="1"/>
  <c r="S192" i="11"/>
  <c r="O192" i="11"/>
  <c r="K192" i="11"/>
  <c r="Q192" i="11"/>
  <c r="V192" i="11"/>
  <c r="AB192" i="11" s="1"/>
  <c r="AL192" i="11"/>
  <c r="P193" i="11"/>
  <c r="U193" i="11"/>
  <c r="AF193" i="11" s="1"/>
  <c r="Z193" i="11"/>
  <c r="AA193" i="11" s="1"/>
  <c r="AG193" i="11" s="1"/>
  <c r="AK193" i="11"/>
  <c r="N194" i="11"/>
  <c r="T194" i="11"/>
  <c r="Y194" i="11"/>
  <c r="AJ194" i="11"/>
  <c r="AI196" i="11"/>
  <c r="AA196" i="11"/>
  <c r="AG196" i="11" s="1"/>
  <c r="W196" i="11"/>
  <c r="AD196" i="11" s="1"/>
  <c r="S196" i="11"/>
  <c r="O196" i="11"/>
  <c r="K196" i="11"/>
  <c r="Q196" i="11"/>
  <c r="V196" i="11"/>
  <c r="AB196" i="11"/>
  <c r="AL196" i="11"/>
  <c r="P197" i="11"/>
  <c r="U197" i="11"/>
  <c r="AF197" i="11" s="1"/>
  <c r="Z197" i="11"/>
  <c r="AA197" i="11" s="1"/>
  <c r="AG197" i="11" s="1"/>
  <c r="AK197" i="11"/>
  <c r="N198" i="11"/>
  <c r="T198" i="11"/>
  <c r="Y198" i="11"/>
  <c r="AJ198" i="11"/>
  <c r="AI200" i="11"/>
  <c r="AA200" i="11"/>
  <c r="AG200" i="11" s="1"/>
  <c r="W200" i="11"/>
  <c r="AD200" i="11" s="1"/>
  <c r="S200" i="11"/>
  <c r="O200" i="11"/>
  <c r="K200" i="11"/>
  <c r="Q200" i="11"/>
  <c r="V200" i="11"/>
  <c r="AB200" i="11" s="1"/>
  <c r="AL200" i="11"/>
  <c r="P201" i="11"/>
  <c r="U201" i="11"/>
  <c r="AF201" i="11" s="1"/>
  <c r="Z201" i="11"/>
  <c r="AA201" i="11" s="1"/>
  <c r="AG201" i="11" s="1"/>
  <c r="AK201" i="11"/>
  <c r="N202" i="11"/>
  <c r="T202" i="11"/>
  <c r="Y202" i="11"/>
  <c r="AJ202" i="11"/>
  <c r="AI204" i="11"/>
  <c r="AA204" i="11"/>
  <c r="AG204" i="11" s="1"/>
  <c r="W204" i="11"/>
  <c r="AD204" i="11" s="1"/>
  <c r="S204" i="11"/>
  <c r="O204" i="11"/>
  <c r="K204" i="11"/>
  <c r="Q204" i="11"/>
  <c r="V204" i="11"/>
  <c r="AB204" i="11"/>
  <c r="AL204" i="11"/>
  <c r="P205" i="11"/>
  <c r="U205" i="11"/>
  <c r="AF205" i="11" s="1"/>
  <c r="Z205" i="11"/>
  <c r="AA205" i="11" s="1"/>
  <c r="AG205" i="11" s="1"/>
  <c r="AK205" i="11"/>
  <c r="N206" i="11"/>
  <c r="T206" i="11"/>
  <c r="Y206" i="11"/>
  <c r="AJ206" i="11"/>
  <c r="AI208" i="11"/>
  <c r="AA208" i="11"/>
  <c r="AG208" i="11" s="1"/>
  <c r="W208" i="11"/>
  <c r="AD208" i="11" s="1"/>
  <c r="S208" i="11"/>
  <c r="O208" i="11"/>
  <c r="K208" i="11"/>
  <c r="Q208" i="11"/>
  <c r="V208" i="11"/>
  <c r="AB208" i="11" s="1"/>
  <c r="AL208" i="11"/>
  <c r="P209" i="11"/>
  <c r="U209" i="11"/>
  <c r="AF209" i="11" s="1"/>
  <c r="Z209" i="11"/>
  <c r="AA209" i="11" s="1"/>
  <c r="AG209" i="11" s="1"/>
  <c r="AK209" i="11"/>
  <c r="N210" i="11"/>
  <c r="T210" i="11"/>
  <c r="Y210" i="11"/>
  <c r="AJ210" i="11"/>
  <c r="AI212" i="11"/>
  <c r="AA212" i="11"/>
  <c r="AG212" i="11" s="1"/>
  <c r="W212" i="11"/>
  <c r="AD212" i="11" s="1"/>
  <c r="S212" i="11"/>
  <c r="O212" i="11"/>
  <c r="K212" i="11"/>
  <c r="Q212" i="11"/>
  <c r="V212" i="11"/>
  <c r="AB212" i="11"/>
  <c r="AL212" i="11"/>
  <c r="P213" i="11"/>
  <c r="U213" i="11"/>
  <c r="AF213" i="11" s="1"/>
  <c r="Z213" i="11"/>
  <c r="AA213" i="11" s="1"/>
  <c r="AG213" i="11" s="1"/>
  <c r="AK213" i="11"/>
  <c r="N214" i="11"/>
  <c r="T214" i="11"/>
  <c r="Y214" i="11"/>
  <c r="AJ214" i="11"/>
  <c r="AI216" i="11"/>
  <c r="AA216" i="11"/>
  <c r="AG216" i="11" s="1"/>
  <c r="W216" i="11"/>
  <c r="AD216" i="11" s="1"/>
  <c r="S216" i="11"/>
  <c r="O216" i="11"/>
  <c r="K216" i="11"/>
  <c r="Q216" i="11"/>
  <c r="V216" i="11"/>
  <c r="AB216" i="11" s="1"/>
  <c r="AL216" i="11"/>
  <c r="P217" i="11"/>
  <c r="U217" i="11"/>
  <c r="AF217" i="11" s="1"/>
  <c r="Z217" i="11"/>
  <c r="AA217" i="11" s="1"/>
  <c r="AG217" i="11" s="1"/>
  <c r="AK217" i="11"/>
  <c r="N218" i="11"/>
  <c r="T218" i="11"/>
  <c r="Y218" i="11"/>
  <c r="AJ218" i="11"/>
  <c r="AI220" i="11"/>
  <c r="AA220" i="11"/>
  <c r="AG220" i="11" s="1"/>
  <c r="W220" i="11"/>
  <c r="AD220" i="11" s="1"/>
  <c r="S220" i="11"/>
  <c r="O220" i="11"/>
  <c r="K220" i="11"/>
  <c r="Q220" i="11"/>
  <c r="V220" i="11"/>
  <c r="AB220" i="11"/>
  <c r="AL220" i="11"/>
  <c r="P221" i="11"/>
  <c r="U221" i="11"/>
  <c r="AF221" i="11" s="1"/>
  <c r="Z221" i="11"/>
  <c r="AA221" i="11" s="1"/>
  <c r="AG221" i="11" s="1"/>
  <c r="AK221" i="11"/>
  <c r="N222" i="11"/>
  <c r="T222" i="11"/>
  <c r="Y222" i="11"/>
  <c r="AJ222" i="11"/>
  <c r="AI224" i="11"/>
  <c r="AA224" i="11"/>
  <c r="AG224" i="11" s="1"/>
  <c r="W224" i="11"/>
  <c r="AD224" i="11" s="1"/>
  <c r="S224" i="11"/>
  <c r="O224" i="11"/>
  <c r="K224" i="11"/>
  <c r="Q224" i="11"/>
  <c r="V224" i="11"/>
  <c r="AB224" i="11" s="1"/>
  <c r="AL224" i="11"/>
  <c r="P225" i="11"/>
  <c r="U225" i="11"/>
  <c r="AF225" i="11" s="1"/>
  <c r="Z225" i="11"/>
  <c r="AA225" i="11" s="1"/>
  <c r="AG225" i="11" s="1"/>
  <c r="AK225" i="11"/>
  <c r="N226" i="11"/>
  <c r="T226" i="11"/>
  <c r="Y226" i="11"/>
  <c r="AJ226" i="11"/>
  <c r="AI228" i="11"/>
  <c r="AA228" i="11"/>
  <c r="AG228" i="11" s="1"/>
  <c r="W228" i="11"/>
  <c r="AD228" i="11" s="1"/>
  <c r="S228" i="11"/>
  <c r="O228" i="11"/>
  <c r="K228" i="11"/>
  <c r="Q228" i="11"/>
  <c r="V228" i="11"/>
  <c r="AB228" i="11"/>
  <c r="AL228" i="11"/>
  <c r="P229" i="11"/>
  <c r="U229" i="11"/>
  <c r="AF229" i="11" s="1"/>
  <c r="Z229" i="11"/>
  <c r="AA229" i="11" s="1"/>
  <c r="AG229" i="11" s="1"/>
  <c r="AK229" i="11"/>
  <c r="N230" i="11"/>
  <c r="T230" i="11"/>
  <c r="Y230" i="11"/>
  <c r="AJ230" i="11"/>
  <c r="AI232" i="11"/>
  <c r="AA232" i="11"/>
  <c r="AG232" i="11" s="1"/>
  <c r="W232" i="11"/>
  <c r="AD232" i="11" s="1"/>
  <c r="S232" i="11"/>
  <c r="O232" i="11"/>
  <c r="K232" i="11"/>
  <c r="Q232" i="11"/>
  <c r="V232" i="11"/>
  <c r="AB232" i="11" s="1"/>
  <c r="AL232" i="11"/>
  <c r="P233" i="11"/>
  <c r="U233" i="11"/>
  <c r="AF233" i="11" s="1"/>
  <c r="Z233" i="11"/>
  <c r="AA233" i="11" s="1"/>
  <c r="AG233" i="11" s="1"/>
  <c r="AK233" i="11"/>
  <c r="N234" i="11"/>
  <c r="T234" i="11"/>
  <c r="Y234" i="11"/>
  <c r="AJ234" i="11"/>
  <c r="AI236" i="11"/>
  <c r="AA236" i="11"/>
  <c r="AG236" i="11" s="1"/>
  <c r="W236" i="11"/>
  <c r="AD236" i="11" s="1"/>
  <c r="S236" i="11"/>
  <c r="O236" i="11"/>
  <c r="K236" i="11"/>
  <c r="Q236" i="11"/>
  <c r="V236" i="11"/>
  <c r="AB236" i="11"/>
  <c r="AL236" i="11"/>
  <c r="P237" i="11"/>
  <c r="U237" i="11"/>
  <c r="AF237" i="11" s="1"/>
  <c r="Z237" i="11"/>
  <c r="AA237" i="11" s="1"/>
  <c r="AG237" i="11" s="1"/>
  <c r="AK237" i="11"/>
  <c r="N238" i="11"/>
  <c r="T238" i="11"/>
  <c r="Y238" i="11"/>
  <c r="AJ238" i="11"/>
  <c r="AI240" i="11"/>
  <c r="AA240" i="11"/>
  <c r="AG240" i="11" s="1"/>
  <c r="W240" i="11"/>
  <c r="AD240" i="11" s="1"/>
  <c r="S240" i="11"/>
  <c r="O240" i="11"/>
  <c r="K240" i="11"/>
  <c r="Q240" i="11"/>
  <c r="V240" i="11"/>
  <c r="AB240" i="11" s="1"/>
  <c r="AL240" i="11"/>
  <c r="P241" i="11"/>
  <c r="U241" i="11"/>
  <c r="AF241" i="11" s="1"/>
  <c r="Z241" i="11"/>
  <c r="AA241" i="11" s="1"/>
  <c r="AG241" i="11" s="1"/>
  <c r="AK241" i="11"/>
  <c r="N242" i="11"/>
  <c r="T242" i="11"/>
  <c r="Y242" i="11"/>
  <c r="AJ242" i="11"/>
  <c r="AI244" i="11"/>
  <c r="AA244" i="11"/>
  <c r="AG244" i="11" s="1"/>
  <c r="W244" i="11"/>
  <c r="AD244" i="11" s="1"/>
  <c r="S244" i="11"/>
  <c r="O244" i="11"/>
  <c r="K244" i="11"/>
  <c r="Q244" i="11"/>
  <c r="V244" i="11"/>
  <c r="AB244" i="11"/>
  <c r="AL244" i="11"/>
  <c r="P245" i="11"/>
  <c r="U245" i="11"/>
  <c r="AF245" i="11" s="1"/>
  <c r="Z245" i="11"/>
  <c r="AA245" i="11" s="1"/>
  <c r="AG245" i="11" s="1"/>
  <c r="AK245" i="11"/>
  <c r="N246" i="11"/>
  <c r="T246" i="11"/>
  <c r="Y246" i="11"/>
  <c r="AJ246" i="11"/>
  <c r="AI248" i="11"/>
  <c r="AA248" i="11"/>
  <c r="AG248" i="11" s="1"/>
  <c r="W248" i="11"/>
  <c r="AD248" i="11" s="1"/>
  <c r="S248" i="11"/>
  <c r="O248" i="11"/>
  <c r="K248" i="11"/>
  <c r="Q248" i="11"/>
  <c r="V248" i="11"/>
  <c r="AB248" i="11" s="1"/>
  <c r="AL248" i="11"/>
  <c r="P249" i="11"/>
  <c r="U249" i="11"/>
  <c r="AF249" i="11" s="1"/>
  <c r="Z249" i="11"/>
  <c r="AA249" i="11" s="1"/>
  <c r="AG249" i="11" s="1"/>
  <c r="AK249" i="11"/>
  <c r="N250" i="11"/>
  <c r="T250" i="11"/>
  <c r="Y250" i="11"/>
  <c r="AJ250" i="11"/>
  <c r="AI252" i="11"/>
  <c r="AA252" i="11"/>
  <c r="AG252" i="11" s="1"/>
  <c r="W252" i="11"/>
  <c r="AD252" i="11" s="1"/>
  <c r="S252" i="11"/>
  <c r="O252" i="11"/>
  <c r="K252" i="11"/>
  <c r="Q252" i="11"/>
  <c r="V252" i="11"/>
  <c r="AB252" i="11"/>
  <c r="AL252" i="11"/>
  <c r="P253" i="11"/>
  <c r="U253" i="11"/>
  <c r="AF253" i="11" s="1"/>
  <c r="Z253" i="11"/>
  <c r="AA253" i="11" s="1"/>
  <c r="AG253" i="11" s="1"/>
  <c r="AK253" i="11"/>
  <c r="N254" i="11"/>
  <c r="T254" i="11"/>
  <c r="Y254" i="11"/>
  <c r="AJ254" i="11"/>
  <c r="AI256" i="11"/>
  <c r="AA256" i="11"/>
  <c r="AG256" i="11" s="1"/>
  <c r="W256" i="11"/>
  <c r="AD256" i="11" s="1"/>
  <c r="S256" i="11"/>
  <c r="O256" i="11"/>
  <c r="K256" i="11"/>
  <c r="Q256" i="11"/>
  <c r="V256" i="11"/>
  <c r="AB256" i="11" s="1"/>
  <c r="AL256" i="11"/>
  <c r="P257" i="11"/>
  <c r="U257" i="11"/>
  <c r="AF257" i="11" s="1"/>
  <c r="Z257" i="11"/>
  <c r="AA257" i="11" s="1"/>
  <c r="AG257" i="11" s="1"/>
  <c r="AK257" i="11"/>
  <c r="N258" i="11"/>
  <c r="T258" i="11"/>
  <c r="Y258" i="11"/>
  <c r="AJ258" i="11"/>
  <c r="AI260" i="11"/>
  <c r="AA260" i="11"/>
  <c r="AG260" i="11" s="1"/>
  <c r="W260" i="11"/>
  <c r="AD260" i="11" s="1"/>
  <c r="S260" i="11"/>
  <c r="O260" i="11"/>
  <c r="K260" i="11"/>
  <c r="Q260" i="11"/>
  <c r="V260" i="11"/>
  <c r="AB260" i="11"/>
  <c r="AL260" i="11"/>
  <c r="P261" i="11"/>
  <c r="U261" i="11"/>
  <c r="AF261" i="11" s="1"/>
  <c r="Z261" i="11"/>
  <c r="AA261" i="11" s="1"/>
  <c r="AG261" i="11" s="1"/>
  <c r="AK261" i="11"/>
  <c r="N262" i="11"/>
  <c r="T262" i="11"/>
  <c r="Y262" i="11"/>
  <c r="AJ262" i="11"/>
  <c r="AI264" i="11"/>
  <c r="AA264" i="11"/>
  <c r="AG264" i="11" s="1"/>
  <c r="W264" i="11"/>
  <c r="AD264" i="11" s="1"/>
  <c r="S264" i="11"/>
  <c r="O264" i="11"/>
  <c r="K264" i="11"/>
  <c r="Q264" i="11"/>
  <c r="V264" i="11"/>
  <c r="AB264" i="11" s="1"/>
  <c r="AL264" i="11"/>
  <c r="P265" i="11"/>
  <c r="U265" i="11"/>
  <c r="AF265" i="11" s="1"/>
  <c r="Z265" i="11"/>
  <c r="AA265" i="11" s="1"/>
  <c r="AG265" i="11" s="1"/>
  <c r="AK265" i="11"/>
  <c r="N266" i="11"/>
  <c r="T266" i="11"/>
  <c r="Y266" i="11"/>
  <c r="AJ266" i="11"/>
  <c r="AI268" i="11"/>
  <c r="AA268" i="11"/>
  <c r="AG268" i="11" s="1"/>
  <c r="W268" i="11"/>
  <c r="AD268" i="11" s="1"/>
  <c r="S268" i="11"/>
  <c r="O268" i="11"/>
  <c r="K268" i="11"/>
  <c r="Q268" i="11"/>
  <c r="V268" i="11"/>
  <c r="AB268" i="11"/>
  <c r="AL268" i="11"/>
  <c r="P269" i="11"/>
  <c r="U269" i="11"/>
  <c r="AF269" i="11" s="1"/>
  <c r="Z269" i="11"/>
  <c r="AA269" i="11" s="1"/>
  <c r="AG269" i="11" s="1"/>
  <c r="AK269" i="11"/>
  <c r="N270" i="11"/>
  <c r="T270" i="11"/>
  <c r="Y270" i="11"/>
  <c r="AJ270" i="11"/>
  <c r="AI272" i="11"/>
  <c r="AA272" i="11"/>
  <c r="AG272" i="11" s="1"/>
  <c r="W272" i="11"/>
  <c r="AD272" i="11" s="1"/>
  <c r="S272" i="11"/>
  <c r="O272" i="11"/>
  <c r="K272" i="11"/>
  <c r="Q272" i="11"/>
  <c r="V272" i="11"/>
  <c r="AB272" i="11" s="1"/>
  <c r="AL272" i="11"/>
  <c r="P273" i="11"/>
  <c r="U273" i="11"/>
  <c r="AF273" i="11" s="1"/>
  <c r="Z273" i="11"/>
  <c r="AA273" i="11" s="1"/>
  <c r="AG273" i="11" s="1"/>
  <c r="AK273" i="11"/>
  <c r="N274" i="11"/>
  <c r="T274" i="11"/>
  <c r="Y274" i="11"/>
  <c r="AJ274" i="11"/>
  <c r="AI276" i="11"/>
  <c r="AA276" i="11"/>
  <c r="AG276" i="11" s="1"/>
  <c r="W276" i="11"/>
  <c r="AD276" i="11" s="1"/>
  <c r="S276" i="11"/>
  <c r="O276" i="11"/>
  <c r="K276" i="11"/>
  <c r="Q276" i="11"/>
  <c r="V276" i="11"/>
  <c r="AB276" i="11"/>
  <c r="AL276" i="11"/>
  <c r="P277" i="11"/>
  <c r="U277" i="11"/>
  <c r="AF277" i="11" s="1"/>
  <c r="Z277" i="11"/>
  <c r="AA277" i="11" s="1"/>
  <c r="AG277" i="11" s="1"/>
  <c r="AK277" i="11"/>
  <c r="N278" i="11"/>
  <c r="T278" i="11"/>
  <c r="Y278" i="11"/>
  <c r="AJ278" i="11"/>
  <c r="AI280" i="11"/>
  <c r="AA280" i="11"/>
  <c r="AG280" i="11" s="1"/>
  <c r="W280" i="11"/>
  <c r="AD280" i="11" s="1"/>
  <c r="S280" i="11"/>
  <c r="O280" i="11"/>
  <c r="K280" i="11"/>
  <c r="Q280" i="11"/>
  <c r="V280" i="11"/>
  <c r="AB280" i="11" s="1"/>
  <c r="AL280" i="11"/>
  <c r="P281" i="11"/>
  <c r="U281" i="11"/>
  <c r="AF281" i="11" s="1"/>
  <c r="Z281" i="11"/>
  <c r="AA281" i="11" s="1"/>
  <c r="AG281" i="11" s="1"/>
  <c r="AK281" i="11"/>
  <c r="N282" i="11"/>
  <c r="T282" i="11"/>
  <c r="Y282" i="11"/>
  <c r="AJ282" i="11"/>
  <c r="AI284" i="11"/>
  <c r="AA284" i="11"/>
  <c r="AG284" i="11" s="1"/>
  <c r="W284" i="11"/>
  <c r="AD284" i="11" s="1"/>
  <c r="S284" i="11"/>
  <c r="O284" i="11"/>
  <c r="K284" i="11"/>
  <c r="Q284" i="11"/>
  <c r="V284" i="11"/>
  <c r="AB284" i="11"/>
  <c r="AL284" i="11"/>
  <c r="P285" i="11"/>
  <c r="U285" i="11"/>
  <c r="AF285" i="11" s="1"/>
  <c r="Z285" i="11"/>
  <c r="AA285" i="11" s="1"/>
  <c r="AG285" i="11" s="1"/>
  <c r="AK285" i="11"/>
  <c r="N286" i="11"/>
  <c r="T286" i="11"/>
  <c r="Y286" i="11"/>
  <c r="AJ286" i="11"/>
  <c r="AI288" i="11"/>
  <c r="AA288" i="11"/>
  <c r="AG288" i="11" s="1"/>
  <c r="W288" i="11"/>
  <c r="AD288" i="11" s="1"/>
  <c r="S288" i="11"/>
  <c r="O288" i="11"/>
  <c r="K288" i="11"/>
  <c r="Q288" i="11"/>
  <c r="V288" i="11"/>
  <c r="AB288" i="11" s="1"/>
  <c r="AL288" i="11"/>
  <c r="P289" i="11"/>
  <c r="U289" i="11"/>
  <c r="AF289" i="11" s="1"/>
  <c r="Z289" i="11"/>
  <c r="AA289" i="11" s="1"/>
  <c r="AG289" i="11" s="1"/>
  <c r="AK289" i="11"/>
  <c r="N290" i="11"/>
  <c r="T290" i="11"/>
  <c r="Y290" i="11"/>
  <c r="AJ290" i="11"/>
  <c r="AI292" i="11"/>
  <c r="AA292" i="11"/>
  <c r="AG292" i="11" s="1"/>
  <c r="W292" i="11"/>
  <c r="AD292" i="11" s="1"/>
  <c r="S292" i="11"/>
  <c r="O292" i="11"/>
  <c r="K292" i="11"/>
  <c r="Q292" i="11"/>
  <c r="V292" i="11"/>
  <c r="AB292" i="11"/>
  <c r="AL292" i="11"/>
  <c r="P293" i="11"/>
  <c r="U293" i="11"/>
  <c r="AF293" i="11" s="1"/>
  <c r="Z293" i="11"/>
  <c r="AA293" i="11" s="1"/>
  <c r="AG293" i="11" s="1"/>
  <c r="AK293" i="11"/>
  <c r="N294" i="11"/>
  <c r="T294" i="11"/>
  <c r="Y294" i="11"/>
  <c r="AJ294" i="11"/>
  <c r="AI296" i="11"/>
  <c r="AA296" i="11"/>
  <c r="AG296" i="11" s="1"/>
  <c r="W296" i="11"/>
  <c r="AD296" i="11" s="1"/>
  <c r="S296" i="11"/>
  <c r="O296" i="11"/>
  <c r="K296" i="11"/>
  <c r="Q296" i="11"/>
  <c r="V296" i="11"/>
  <c r="AB296" i="11" s="1"/>
  <c r="AL296" i="11"/>
  <c r="P297" i="11"/>
  <c r="U297" i="11"/>
  <c r="AF297" i="11" s="1"/>
  <c r="Z297" i="11"/>
  <c r="AA297" i="11" s="1"/>
  <c r="AG297" i="11" s="1"/>
  <c r="AK297" i="11"/>
  <c r="N298" i="11"/>
  <c r="T298" i="11"/>
  <c r="Y298" i="11"/>
  <c r="AJ298" i="11"/>
  <c r="AI300" i="11"/>
  <c r="AA300" i="11"/>
  <c r="AG300" i="11" s="1"/>
  <c r="W300" i="11"/>
  <c r="AD300" i="11" s="1"/>
  <c r="S300" i="11"/>
  <c r="O300" i="11"/>
  <c r="K300" i="11"/>
  <c r="Q300" i="11"/>
  <c r="V300" i="11"/>
  <c r="AB300" i="11"/>
  <c r="AL300" i="11"/>
  <c r="P301" i="11"/>
  <c r="U301" i="11"/>
  <c r="AF301" i="11" s="1"/>
  <c r="Z301" i="11"/>
  <c r="AA301" i="11" s="1"/>
  <c r="AG301" i="11" s="1"/>
  <c r="AK301" i="11"/>
  <c r="N302" i="11"/>
  <c r="T302" i="11"/>
  <c r="Y302" i="11"/>
  <c r="AJ302" i="11"/>
  <c r="AI304" i="11"/>
  <c r="AA304" i="11"/>
  <c r="AG304" i="11" s="1"/>
  <c r="W304" i="11"/>
  <c r="AD304" i="11" s="1"/>
  <c r="S304" i="11"/>
  <c r="O304" i="11"/>
  <c r="K304" i="11"/>
  <c r="Q304" i="11"/>
  <c r="V304" i="11"/>
  <c r="AB304" i="11" s="1"/>
  <c r="AL304" i="11"/>
  <c r="P305" i="11"/>
  <c r="U305" i="11"/>
  <c r="AF305" i="11" s="1"/>
  <c r="Z305" i="11"/>
  <c r="AA305" i="11" s="1"/>
  <c r="AG305" i="11" s="1"/>
  <c r="AK305" i="11"/>
  <c r="N306" i="11"/>
  <c r="T306" i="11"/>
  <c r="Y306" i="11"/>
  <c r="AJ306" i="11"/>
  <c r="AI308" i="11"/>
  <c r="AA308" i="11"/>
  <c r="AG308" i="11" s="1"/>
  <c r="W308" i="11"/>
  <c r="AD308" i="11" s="1"/>
  <c r="S308" i="11"/>
  <c r="O308" i="11"/>
  <c r="K308" i="11"/>
  <c r="Q308" i="11"/>
  <c r="V308" i="11"/>
  <c r="AB308" i="11"/>
  <c r="AL308" i="11"/>
  <c r="P309" i="11"/>
  <c r="U309" i="11"/>
  <c r="AF309" i="11" s="1"/>
  <c r="Z309" i="11"/>
  <c r="AA309" i="11" s="1"/>
  <c r="AG309" i="11" s="1"/>
  <c r="AK309" i="11"/>
  <c r="N310" i="11"/>
  <c r="T310" i="11"/>
  <c r="Y310" i="11"/>
  <c r="AJ310" i="11"/>
  <c r="AI312" i="11"/>
  <c r="AA312" i="11"/>
  <c r="AG312" i="11" s="1"/>
  <c r="W312" i="11"/>
  <c r="AD312" i="11" s="1"/>
  <c r="S312" i="11"/>
  <c r="O312" i="11"/>
  <c r="K312" i="11"/>
  <c r="Q312" i="11"/>
  <c r="V312" i="11"/>
  <c r="AB312" i="11" s="1"/>
  <c r="AL312" i="11"/>
  <c r="P313" i="11"/>
  <c r="U313" i="11"/>
  <c r="AF313" i="11" s="1"/>
  <c r="Z313" i="11"/>
  <c r="AA313" i="11" s="1"/>
  <c r="AG313" i="11" s="1"/>
  <c r="AK313" i="11"/>
  <c r="N314" i="11"/>
  <c r="T314" i="11"/>
  <c r="Y314" i="11"/>
  <c r="AJ314" i="11"/>
  <c r="AI316" i="11"/>
  <c r="AA316" i="11"/>
  <c r="AG316" i="11" s="1"/>
  <c r="W316" i="11"/>
  <c r="AD316" i="11" s="1"/>
  <c r="S316" i="11"/>
  <c r="O316" i="11"/>
  <c r="K316" i="11"/>
  <c r="Q316" i="11"/>
  <c r="V316" i="11"/>
  <c r="AB316" i="11"/>
  <c r="AL316" i="11"/>
  <c r="P317" i="11"/>
  <c r="U317" i="11"/>
  <c r="AF317" i="11" s="1"/>
  <c r="Z317" i="11"/>
  <c r="AA317" i="11" s="1"/>
  <c r="AG317" i="11" s="1"/>
  <c r="AK317" i="11"/>
  <c r="N318" i="11"/>
  <c r="T318" i="11"/>
  <c r="Y318" i="11"/>
  <c r="AJ318" i="11"/>
  <c r="AI320" i="11"/>
  <c r="AA320" i="11"/>
  <c r="AG320" i="11" s="1"/>
  <c r="W320" i="11"/>
  <c r="AD320" i="11" s="1"/>
  <c r="S320" i="11"/>
  <c r="O320" i="11"/>
  <c r="K320" i="11"/>
  <c r="Q320" i="11"/>
  <c r="V320" i="11"/>
  <c r="AB320" i="11" s="1"/>
  <c r="AL320" i="11"/>
  <c r="P321" i="11"/>
  <c r="U321" i="11"/>
  <c r="AF321" i="11" s="1"/>
  <c r="Z321" i="11"/>
  <c r="AA321" i="11" s="1"/>
  <c r="AG321" i="11" s="1"/>
  <c r="AK321" i="11"/>
  <c r="N322" i="11"/>
  <c r="T322" i="11"/>
  <c r="Y322" i="11"/>
  <c r="AJ322" i="11"/>
  <c r="AI324" i="11"/>
  <c r="AA324" i="11"/>
  <c r="AG324" i="11" s="1"/>
  <c r="W324" i="11"/>
  <c r="AD324" i="11" s="1"/>
  <c r="S324" i="11"/>
  <c r="O324" i="11"/>
  <c r="K324" i="11"/>
  <c r="Q324" i="11"/>
  <c r="V324" i="11"/>
  <c r="AB324" i="11"/>
  <c r="AL324" i="11"/>
  <c r="P325" i="11"/>
  <c r="U325" i="11"/>
  <c r="AF325" i="11" s="1"/>
  <c r="Z325" i="11"/>
  <c r="AA325" i="11" s="1"/>
  <c r="AG325" i="11" s="1"/>
  <c r="AK325" i="11"/>
  <c r="N326" i="11"/>
  <c r="T326" i="11"/>
  <c r="Y326" i="11"/>
  <c r="AJ326" i="11"/>
  <c r="AI328" i="11"/>
  <c r="AA328" i="11"/>
  <c r="AG328" i="11" s="1"/>
  <c r="W328" i="11"/>
  <c r="AD328" i="11" s="1"/>
  <c r="S328" i="11"/>
  <c r="O328" i="11"/>
  <c r="K328" i="11"/>
  <c r="Q328" i="11"/>
  <c r="V328" i="11"/>
  <c r="AB328" i="11" s="1"/>
  <c r="AL328" i="11"/>
  <c r="P329" i="11"/>
  <c r="U329" i="11"/>
  <c r="AF329" i="11" s="1"/>
  <c r="Z329" i="11"/>
  <c r="AA329" i="11" s="1"/>
  <c r="AG329" i="11" s="1"/>
  <c r="AK329" i="11"/>
  <c r="N330" i="11"/>
  <c r="T330" i="11"/>
  <c r="Y330" i="11"/>
  <c r="AJ330" i="11"/>
  <c r="AI332" i="11"/>
  <c r="AA332" i="11"/>
  <c r="AG332" i="11" s="1"/>
  <c r="W332" i="11"/>
  <c r="AD332" i="11" s="1"/>
  <c r="S332" i="11"/>
  <c r="O332" i="11"/>
  <c r="K332" i="11"/>
  <c r="Q332" i="11"/>
  <c r="V332" i="11"/>
  <c r="AB332" i="11"/>
  <c r="AL332" i="11"/>
  <c r="P333" i="11"/>
  <c r="U333" i="11"/>
  <c r="AF333" i="11" s="1"/>
  <c r="Z333" i="11"/>
  <c r="AA333" i="11" s="1"/>
  <c r="AG333" i="11" s="1"/>
  <c r="AK333" i="11"/>
  <c r="N334" i="11"/>
  <c r="T334" i="11"/>
  <c r="Y334" i="11"/>
  <c r="AJ334" i="11"/>
  <c r="AI336" i="11"/>
  <c r="AA336" i="11"/>
  <c r="AG336" i="11" s="1"/>
  <c r="W336" i="11"/>
  <c r="AD336" i="11" s="1"/>
  <c r="S336" i="11"/>
  <c r="O336" i="11"/>
  <c r="K336" i="11"/>
  <c r="Q336" i="11"/>
  <c r="V336" i="11"/>
  <c r="AB336" i="11" s="1"/>
  <c r="AL336" i="11"/>
  <c r="P337" i="11"/>
  <c r="U337" i="11"/>
  <c r="AF337" i="11" s="1"/>
  <c r="Z337" i="11"/>
  <c r="AA337" i="11" s="1"/>
  <c r="AG337" i="11" s="1"/>
  <c r="AK337" i="11"/>
  <c r="N338" i="11"/>
  <c r="T338" i="11"/>
  <c r="Y338" i="11"/>
  <c r="AJ338" i="11"/>
  <c r="AI340" i="11"/>
  <c r="AA340" i="11"/>
  <c r="AG340" i="11" s="1"/>
  <c r="W340" i="11"/>
  <c r="AD340" i="11" s="1"/>
  <c r="S340" i="11"/>
  <c r="O340" i="11"/>
  <c r="K340" i="11"/>
  <c r="Q340" i="11"/>
  <c r="V340" i="11"/>
  <c r="AB340" i="11"/>
  <c r="AL340" i="11"/>
  <c r="P341" i="11"/>
  <c r="U341" i="11"/>
  <c r="AF341" i="11" s="1"/>
  <c r="Z341" i="11"/>
  <c r="AA341" i="11" s="1"/>
  <c r="AG341" i="11" s="1"/>
  <c r="AK341" i="11"/>
  <c r="N342" i="11"/>
  <c r="T342" i="11"/>
  <c r="Y342" i="11"/>
  <c r="AJ342" i="11"/>
  <c r="AI344" i="11"/>
  <c r="AA344" i="11"/>
  <c r="AG344" i="11" s="1"/>
  <c r="W344" i="11"/>
  <c r="AD344" i="11" s="1"/>
  <c r="S344" i="11"/>
  <c r="O344" i="11"/>
  <c r="K344" i="11"/>
  <c r="Q344" i="11"/>
  <c r="V344" i="11"/>
  <c r="AB344" i="11" s="1"/>
  <c r="AL344" i="11"/>
  <c r="P345" i="11"/>
  <c r="U345" i="11"/>
  <c r="AF345" i="11" s="1"/>
  <c r="Z345" i="11"/>
  <c r="AA345" i="11" s="1"/>
  <c r="AG345" i="11" s="1"/>
  <c r="AK345" i="11"/>
  <c r="N346" i="11"/>
  <c r="T346" i="11"/>
  <c r="Y346" i="11"/>
  <c r="AJ346" i="11"/>
  <c r="AI348" i="11"/>
  <c r="AA348" i="11"/>
  <c r="AG348" i="11" s="1"/>
  <c r="W348" i="11"/>
  <c r="AD348" i="11" s="1"/>
  <c r="S348" i="11"/>
  <c r="O348" i="11"/>
  <c r="K348" i="11"/>
  <c r="Q348" i="11"/>
  <c r="V348" i="11"/>
  <c r="AB348" i="11"/>
  <c r="AL348" i="11"/>
  <c r="P349" i="11"/>
  <c r="U349" i="11"/>
  <c r="AF349" i="11" s="1"/>
  <c r="Z349" i="11"/>
  <c r="AA349" i="11" s="1"/>
  <c r="AG349" i="11" s="1"/>
  <c r="AK349" i="11"/>
  <c r="N350" i="11"/>
  <c r="T350" i="11"/>
  <c r="Y350" i="11"/>
  <c r="AJ350" i="11"/>
  <c r="AI352" i="11"/>
  <c r="AA352" i="11"/>
  <c r="AG352" i="11" s="1"/>
  <c r="W352" i="11"/>
  <c r="AD352" i="11" s="1"/>
  <c r="S352" i="11"/>
  <c r="O352" i="11"/>
  <c r="K352" i="11"/>
  <c r="Q352" i="11"/>
  <c r="V352" i="11"/>
  <c r="AB352" i="11" s="1"/>
  <c r="AL352" i="11"/>
  <c r="P353" i="11"/>
  <c r="U353" i="11"/>
  <c r="AF353" i="11" s="1"/>
  <c r="Z353" i="11"/>
  <c r="AA353" i="11" s="1"/>
  <c r="AG353" i="11" s="1"/>
  <c r="AK353" i="11"/>
  <c r="N354" i="11"/>
  <c r="T354" i="11"/>
  <c r="Y354" i="11"/>
  <c r="AJ354" i="11"/>
  <c r="AI356" i="11"/>
  <c r="AA356" i="11"/>
  <c r="AG356" i="11" s="1"/>
  <c r="W356" i="11"/>
  <c r="AD356" i="11" s="1"/>
  <c r="S356" i="11"/>
  <c r="O356" i="11"/>
  <c r="K356" i="11"/>
  <c r="Q356" i="11"/>
  <c r="V356" i="11"/>
  <c r="AB356" i="11"/>
  <c r="AL356" i="11"/>
  <c r="P357" i="11"/>
  <c r="U357" i="11"/>
  <c r="AF357" i="11" s="1"/>
  <c r="Z357" i="11"/>
  <c r="AA357" i="11" s="1"/>
  <c r="AG357" i="11" s="1"/>
  <c r="AK357" i="11"/>
  <c r="N358" i="11"/>
  <c r="T358" i="11"/>
  <c r="Y358" i="11"/>
  <c r="AJ358" i="11"/>
  <c r="AI360" i="11"/>
  <c r="AA360" i="11"/>
  <c r="AG360" i="11" s="1"/>
  <c r="W360" i="11"/>
  <c r="AD360" i="11" s="1"/>
  <c r="S360" i="11"/>
  <c r="O360" i="11"/>
  <c r="K360" i="11"/>
  <c r="Q360" i="11"/>
  <c r="V360" i="11"/>
  <c r="AB360" i="11" s="1"/>
  <c r="AL360" i="11"/>
  <c r="P361" i="11"/>
  <c r="U361" i="11"/>
  <c r="AF361" i="11" s="1"/>
  <c r="Z361" i="11"/>
  <c r="AA361" i="11" s="1"/>
  <c r="AG361" i="11" s="1"/>
  <c r="AK361" i="11"/>
  <c r="N362" i="11"/>
  <c r="T362" i="11"/>
  <c r="Y362" i="11"/>
  <c r="AJ362" i="11"/>
  <c r="AI364" i="11"/>
  <c r="AA364" i="11"/>
  <c r="AG364" i="11" s="1"/>
  <c r="W364" i="11"/>
  <c r="AD364" i="11" s="1"/>
  <c r="S364" i="11"/>
  <c r="O364" i="11"/>
  <c r="K364" i="11"/>
  <c r="Q364" i="11"/>
  <c r="V364" i="11"/>
  <c r="AB364" i="11"/>
  <c r="AL364" i="11"/>
  <c r="P365" i="11"/>
  <c r="U365" i="11"/>
  <c r="AF365" i="11" s="1"/>
  <c r="Z365" i="11"/>
  <c r="AA365" i="11" s="1"/>
  <c r="AG365" i="11" s="1"/>
  <c r="AK365" i="11"/>
  <c r="N366" i="11"/>
  <c r="T366" i="11"/>
  <c r="Y366" i="11"/>
  <c r="AJ366" i="11"/>
  <c r="AI368" i="11"/>
  <c r="AA368" i="11"/>
  <c r="AG368" i="11" s="1"/>
  <c r="W368" i="11"/>
  <c r="AD368" i="11" s="1"/>
  <c r="S368" i="11"/>
  <c r="O368" i="11"/>
  <c r="K368" i="11"/>
  <c r="Q368" i="11"/>
  <c r="V368" i="11"/>
  <c r="AB368" i="11" s="1"/>
  <c r="AL368" i="11"/>
  <c r="P369" i="11"/>
  <c r="U369" i="11"/>
  <c r="AF369" i="11" s="1"/>
  <c r="Z369" i="11"/>
  <c r="AA369" i="11" s="1"/>
  <c r="AG369" i="11" s="1"/>
  <c r="AK369" i="11"/>
  <c r="N370" i="11"/>
  <c r="T370" i="11"/>
  <c r="Y370" i="11"/>
  <c r="AJ370" i="11"/>
  <c r="AI372" i="11"/>
  <c r="AA372" i="11"/>
  <c r="AG372" i="11" s="1"/>
  <c r="W372" i="11"/>
  <c r="AD372" i="11" s="1"/>
  <c r="S372" i="11"/>
  <c r="O372" i="11"/>
  <c r="K372" i="11"/>
  <c r="Q372" i="11"/>
  <c r="V372" i="11"/>
  <c r="AB372" i="11"/>
  <c r="AL372" i="11"/>
  <c r="P373" i="11"/>
  <c r="U373" i="11"/>
  <c r="AF373" i="11" s="1"/>
  <c r="Z373" i="11"/>
  <c r="AA373" i="11" s="1"/>
  <c r="AG373" i="11" s="1"/>
  <c r="AK373" i="11"/>
  <c r="N374" i="11"/>
  <c r="T374" i="11"/>
  <c r="Y374" i="11"/>
  <c r="AJ374" i="11"/>
  <c r="AI376" i="11"/>
  <c r="AA376" i="11"/>
  <c r="AG376" i="11" s="1"/>
  <c r="W376" i="11"/>
  <c r="AD376" i="11" s="1"/>
  <c r="S376" i="11"/>
  <c r="O376" i="11"/>
  <c r="K376" i="11"/>
  <c r="Q376" i="11"/>
  <c r="V376" i="11"/>
  <c r="AB376" i="11" s="1"/>
  <c r="AL376" i="11"/>
  <c r="P377" i="11"/>
  <c r="U377" i="11"/>
  <c r="AF377" i="11" s="1"/>
  <c r="Z377" i="11"/>
  <c r="AA377" i="11" s="1"/>
  <c r="AG377" i="11" s="1"/>
  <c r="AK377" i="11"/>
  <c r="N378" i="11"/>
  <c r="T378" i="11"/>
  <c r="Y378" i="11"/>
  <c r="AJ378" i="11"/>
  <c r="AH379" i="11"/>
  <c r="AI380" i="11"/>
  <c r="W380" i="11"/>
  <c r="AD380" i="11" s="1"/>
  <c r="S380" i="11"/>
  <c r="O380" i="11"/>
  <c r="K380" i="11"/>
  <c r="Q380" i="11"/>
  <c r="V380" i="11"/>
  <c r="AB380" i="11"/>
  <c r="AL380" i="11"/>
  <c r="P381" i="11"/>
  <c r="U381" i="11"/>
  <c r="AF381" i="11" s="1"/>
  <c r="Z381" i="11"/>
  <c r="AA381" i="11" s="1"/>
  <c r="AG381" i="11" s="1"/>
  <c r="AK381" i="11"/>
  <c r="N382" i="11"/>
  <c r="T382" i="11"/>
  <c r="Y382" i="11"/>
  <c r="AJ382" i="11"/>
  <c r="AI384" i="11"/>
  <c r="AA384" i="11"/>
  <c r="AG384" i="11" s="1"/>
  <c r="W384" i="11"/>
  <c r="AD384" i="11" s="1"/>
  <c r="S384" i="11"/>
  <c r="O384" i="11"/>
  <c r="K384" i="11"/>
  <c r="Q384" i="11"/>
  <c r="V384" i="11"/>
  <c r="AB384" i="11" s="1"/>
  <c r="AL384" i="11"/>
  <c r="P385" i="11"/>
  <c r="U385" i="11"/>
  <c r="AF385" i="11" s="1"/>
  <c r="Z385" i="11"/>
  <c r="AA385" i="11" s="1"/>
  <c r="AG385" i="11" s="1"/>
  <c r="AK385" i="11"/>
  <c r="N386" i="11"/>
  <c r="T386" i="11"/>
  <c r="AJ386" i="11"/>
  <c r="AI388" i="11"/>
  <c r="W388" i="11"/>
  <c r="AD388" i="11" s="1"/>
  <c r="S388" i="11"/>
  <c r="O388" i="11"/>
  <c r="K388" i="11"/>
  <c r="Q388" i="11"/>
  <c r="V388" i="11"/>
  <c r="AB388" i="11"/>
  <c r="AL388" i="11"/>
  <c r="P389" i="11"/>
  <c r="U389" i="11"/>
  <c r="AF389" i="11" s="1"/>
  <c r="Z389" i="11"/>
  <c r="AA389" i="11" s="1"/>
  <c r="AG389" i="11" s="1"/>
  <c r="AK389" i="11"/>
  <c r="N390" i="11"/>
  <c r="T390" i="11"/>
  <c r="Y390" i="11"/>
  <c r="AJ390" i="11"/>
  <c r="AI392" i="11"/>
  <c r="AA392" i="11"/>
  <c r="AG392" i="11" s="1"/>
  <c r="W392" i="11"/>
  <c r="AD392" i="11" s="1"/>
  <c r="S392" i="11"/>
  <c r="O392" i="11"/>
  <c r="K392" i="11"/>
  <c r="Q392" i="11"/>
  <c r="V392" i="11"/>
  <c r="AB392" i="11" s="1"/>
  <c r="AL392" i="11"/>
  <c r="P393" i="11"/>
  <c r="U393" i="11"/>
  <c r="AF393" i="11" s="1"/>
  <c r="Z393" i="11"/>
  <c r="AA393" i="11" s="1"/>
  <c r="AG393" i="11" s="1"/>
  <c r="AK393" i="11"/>
  <c r="N394" i="11"/>
  <c r="T394" i="11"/>
  <c r="AJ394" i="11"/>
  <c r="AI396" i="11"/>
  <c r="W396" i="11"/>
  <c r="AD396" i="11" s="1"/>
  <c r="S396" i="11"/>
  <c r="O396" i="11"/>
  <c r="K396" i="11"/>
  <c r="Q396" i="11"/>
  <c r="V396" i="11"/>
  <c r="AB396" i="11"/>
  <c r="AL396" i="11"/>
  <c r="P397" i="11"/>
  <c r="U397" i="11"/>
  <c r="AF397" i="11" s="1"/>
  <c r="Z397" i="11"/>
  <c r="AA397" i="11" s="1"/>
  <c r="AG397" i="11" s="1"/>
  <c r="AK397" i="11"/>
  <c r="N398" i="11"/>
  <c r="T398" i="11"/>
  <c r="Y398" i="11"/>
  <c r="AJ398" i="11"/>
  <c r="AI400" i="11"/>
  <c r="AA400" i="11"/>
  <c r="AG400" i="11" s="1"/>
  <c r="W400" i="11"/>
  <c r="AD400" i="11" s="1"/>
  <c r="S400" i="11"/>
  <c r="O400" i="11"/>
  <c r="K400" i="11"/>
  <c r="Q400" i="11"/>
  <c r="V400" i="11"/>
  <c r="AB400" i="11" s="1"/>
  <c r="AL400" i="11"/>
  <c r="P401" i="11"/>
  <c r="U401" i="11"/>
  <c r="AF401" i="11" s="1"/>
  <c r="Z401" i="11"/>
  <c r="AA401" i="11" s="1"/>
  <c r="AG401" i="11" s="1"/>
  <c r="AK401" i="11"/>
  <c r="N402" i="11"/>
  <c r="T402" i="11"/>
  <c r="AJ402" i="11"/>
  <c r="AI404" i="11"/>
  <c r="W404" i="11"/>
  <c r="AD404" i="11" s="1"/>
  <c r="S404" i="11"/>
  <c r="O404" i="11"/>
  <c r="K404" i="11"/>
  <c r="Q404" i="11"/>
  <c r="V404" i="11"/>
  <c r="AB404" i="11"/>
  <c r="AL404" i="11"/>
  <c r="P405" i="11"/>
  <c r="U405" i="11"/>
  <c r="AF405" i="11" s="1"/>
  <c r="Z405" i="11"/>
  <c r="AA405" i="11" s="1"/>
  <c r="AG405" i="11" s="1"/>
  <c r="AK405" i="11"/>
  <c r="N406" i="11"/>
  <c r="T406" i="11"/>
  <c r="Y406" i="11"/>
  <c r="AJ406" i="11"/>
  <c r="M407" i="11"/>
  <c r="R407" i="11"/>
  <c r="X407" i="11"/>
  <c r="Y407" i="11" s="1"/>
  <c r="AC407" i="11"/>
  <c r="AE407" i="11" s="1"/>
  <c r="AH407" i="11"/>
  <c r="AI408" i="11"/>
  <c r="AA408" i="11"/>
  <c r="AG408" i="11" s="1"/>
  <c r="W408" i="11"/>
  <c r="AD408" i="11" s="1"/>
  <c r="S408" i="11"/>
  <c r="O408" i="11"/>
  <c r="K408" i="11"/>
  <c r="Q408" i="11"/>
  <c r="V408" i="11"/>
  <c r="AB408" i="11"/>
  <c r="AL408" i="11"/>
  <c r="P409" i="11"/>
  <c r="U409" i="11"/>
  <c r="AF409" i="11" s="1"/>
  <c r="Z409" i="11"/>
  <c r="AA409" i="11" s="1"/>
  <c r="AG409" i="11" s="1"/>
  <c r="AK409" i="11"/>
  <c r="N410" i="11"/>
  <c r="T410" i="11"/>
  <c r="Y410" i="11"/>
  <c r="AJ410" i="11"/>
  <c r="M411" i="11"/>
  <c r="R411" i="11"/>
  <c r="X411" i="11"/>
  <c r="Y411" i="11" s="1"/>
  <c r="AC411" i="11"/>
  <c r="AE411" i="11" s="1"/>
  <c r="AH411" i="11"/>
  <c r="AI412" i="11"/>
  <c r="AA412" i="11"/>
  <c r="AG412" i="11" s="1"/>
  <c r="W412" i="11"/>
  <c r="AD412" i="11" s="1"/>
  <c r="S412" i="11"/>
  <c r="O412" i="11"/>
  <c r="K412" i="11"/>
  <c r="Q412" i="11"/>
  <c r="V412" i="11"/>
  <c r="AB412" i="11" s="1"/>
  <c r="AL412" i="11"/>
  <c r="P413" i="11"/>
  <c r="U413" i="11"/>
  <c r="AF413" i="11" s="1"/>
  <c r="Z413" i="11"/>
  <c r="AA413" i="11" s="1"/>
  <c r="AG413" i="11" s="1"/>
  <c r="AK413" i="11"/>
  <c r="N414" i="11"/>
  <c r="T414" i="11"/>
  <c r="AJ414" i="11"/>
  <c r="M415" i="11"/>
  <c r="R415" i="11"/>
  <c r="X415" i="11"/>
  <c r="Y415" i="11" s="1"/>
  <c r="AC415" i="11"/>
  <c r="AE415" i="11" s="1"/>
  <c r="AH415" i="11"/>
  <c r="AI416" i="11"/>
  <c r="W416" i="11"/>
  <c r="AD416" i="11" s="1"/>
  <c r="S416" i="11"/>
  <c r="O416" i="11"/>
  <c r="K416" i="11"/>
  <c r="Q416" i="11"/>
  <c r="V416" i="11"/>
  <c r="AB416" i="11" s="1"/>
  <c r="AL416" i="11"/>
  <c r="P417" i="11"/>
  <c r="U417" i="11"/>
  <c r="AF417" i="11" s="1"/>
  <c r="Z417" i="11"/>
  <c r="AA417" i="11" s="1"/>
  <c r="AG417" i="11" s="1"/>
  <c r="AK417" i="11"/>
  <c r="N418" i="11"/>
  <c r="T418" i="11"/>
  <c r="AJ418" i="11"/>
  <c r="M419" i="11"/>
  <c r="R419" i="11"/>
  <c r="X419" i="11"/>
  <c r="Y419" i="11" s="1"/>
  <c r="AC419" i="11"/>
  <c r="AE419" i="11" s="1"/>
  <c r="AH419" i="11"/>
  <c r="AI420" i="11"/>
  <c r="AA420" i="11"/>
  <c r="AG420" i="11" s="1"/>
  <c r="W420" i="11"/>
  <c r="AD420" i="11" s="1"/>
  <c r="S420" i="11"/>
  <c r="O420" i="11"/>
  <c r="K420" i="11"/>
  <c r="Q420" i="11"/>
  <c r="V420" i="11"/>
  <c r="AB420" i="11"/>
  <c r="AL420" i="11"/>
  <c r="P421" i="11"/>
  <c r="U421" i="11"/>
  <c r="AF421" i="11" s="1"/>
  <c r="Z421" i="11"/>
  <c r="AA421" i="11" s="1"/>
  <c r="AG421" i="11" s="1"/>
  <c r="AK421" i="11"/>
  <c r="N422" i="11"/>
  <c r="T422" i="11"/>
  <c r="Y422" i="11"/>
  <c r="AJ422" i="11"/>
  <c r="M423" i="11"/>
  <c r="R423" i="11"/>
  <c r="X423" i="11"/>
  <c r="Y423" i="11" s="1"/>
  <c r="AC423" i="11"/>
  <c r="AE423" i="11" s="1"/>
  <c r="AH423" i="11"/>
  <c r="AI424" i="11"/>
  <c r="AA424" i="11"/>
  <c r="AG424" i="11" s="1"/>
  <c r="W424" i="11"/>
  <c r="AD424" i="11" s="1"/>
  <c r="S424" i="11"/>
  <c r="O424" i="11"/>
  <c r="K424" i="11"/>
  <c r="Q424" i="11"/>
  <c r="V424" i="11"/>
  <c r="AB424" i="11"/>
  <c r="AL424" i="11"/>
  <c r="P425" i="11"/>
  <c r="U425" i="11"/>
  <c r="AF425" i="11" s="1"/>
  <c r="Z425" i="11"/>
  <c r="AA425" i="11" s="1"/>
  <c r="AG425" i="11" s="1"/>
  <c r="AK425" i="11"/>
  <c r="N426" i="11"/>
  <c r="T426" i="11"/>
  <c r="Y426" i="11"/>
  <c r="AJ426" i="11"/>
  <c r="M427" i="11"/>
  <c r="R427" i="11"/>
  <c r="X427" i="11"/>
  <c r="Y427" i="11" s="1"/>
  <c r="AC427" i="11"/>
  <c r="AE427" i="11" s="1"/>
  <c r="AH427" i="11"/>
  <c r="AI428" i="11"/>
  <c r="AA428" i="11"/>
  <c r="AG428" i="11" s="1"/>
  <c r="W428" i="11"/>
  <c r="AD428" i="11" s="1"/>
  <c r="S428" i="11"/>
  <c r="O428" i="11"/>
  <c r="K428" i="11"/>
  <c r="Q428" i="11"/>
  <c r="V428" i="11"/>
  <c r="AB428" i="11" s="1"/>
  <c r="AL428" i="11"/>
  <c r="P429" i="11"/>
  <c r="U429" i="11"/>
  <c r="AF429" i="11" s="1"/>
  <c r="Z429" i="11"/>
  <c r="AA429" i="11" s="1"/>
  <c r="AG429" i="11" s="1"/>
  <c r="AK429" i="11"/>
  <c r="N430" i="11"/>
  <c r="T430" i="11"/>
  <c r="AJ430" i="11"/>
  <c r="M431" i="11"/>
  <c r="R431" i="11"/>
  <c r="X431" i="11"/>
  <c r="Y431" i="11" s="1"/>
  <c r="AC431" i="11"/>
  <c r="AE431" i="11" s="1"/>
  <c r="AH431" i="11"/>
  <c r="AI432" i="11"/>
  <c r="W432" i="11"/>
  <c r="AD432" i="11" s="1"/>
  <c r="S432" i="11"/>
  <c r="O432" i="11"/>
  <c r="K432" i="11"/>
  <c r="Q432" i="11"/>
  <c r="V432" i="11"/>
  <c r="AB432" i="11" s="1"/>
  <c r="AL432" i="11"/>
  <c r="P433" i="11"/>
  <c r="U433" i="11"/>
  <c r="AF433" i="11" s="1"/>
  <c r="Z433" i="11"/>
  <c r="AA433" i="11" s="1"/>
  <c r="AG433" i="11" s="1"/>
  <c r="AK433" i="11"/>
  <c r="N434" i="11"/>
  <c r="T434" i="11"/>
  <c r="AJ434" i="11"/>
  <c r="AC435" i="11"/>
  <c r="AE435" i="11" s="1"/>
  <c r="AH435" i="11"/>
  <c r="AI436" i="11"/>
  <c r="AA436" i="11"/>
  <c r="AG436" i="11" s="1"/>
  <c r="W436" i="11"/>
  <c r="AD436" i="11" s="1"/>
  <c r="S436" i="11"/>
  <c r="O436" i="11"/>
  <c r="K436" i="11"/>
  <c r="Q436" i="11"/>
  <c r="V436" i="11"/>
  <c r="AB436" i="11" s="1"/>
  <c r="AL436" i="11"/>
  <c r="P437" i="11"/>
  <c r="U437" i="11"/>
  <c r="AF437" i="11" s="1"/>
  <c r="Z437" i="11"/>
  <c r="AA437" i="11" s="1"/>
  <c r="AG437" i="11" s="1"/>
  <c r="AK437" i="11"/>
  <c r="N438" i="11"/>
  <c r="T438" i="11"/>
  <c r="Y438" i="11"/>
  <c r="AJ438" i="11"/>
  <c r="M439" i="11"/>
  <c r="R439" i="11"/>
  <c r="X439" i="11"/>
  <c r="Y439" i="11" s="1"/>
  <c r="AC439" i="11"/>
  <c r="AE439" i="11" s="1"/>
  <c r="AH439" i="11"/>
  <c r="AI440" i="11"/>
  <c r="W440" i="11"/>
  <c r="AD440" i="11" s="1"/>
  <c r="S440" i="11"/>
  <c r="O440" i="11"/>
  <c r="K440" i="11"/>
  <c r="Q440" i="11"/>
  <c r="V440" i="11"/>
  <c r="AB440" i="11"/>
  <c r="AL440" i="11"/>
  <c r="P441" i="11"/>
  <c r="U441" i="11"/>
  <c r="AF441" i="11" s="1"/>
  <c r="Z441" i="11"/>
  <c r="AA441" i="11" s="1"/>
  <c r="AG441" i="11" s="1"/>
  <c r="AK441" i="11"/>
  <c r="N442" i="11"/>
  <c r="T442" i="11"/>
  <c r="Y442" i="11"/>
  <c r="AJ442" i="11"/>
  <c r="M443" i="11"/>
  <c r="R443" i="11"/>
  <c r="X443" i="11"/>
  <c r="Y443" i="11" s="1"/>
  <c r="AC443" i="11"/>
  <c r="AE443" i="11" s="1"/>
  <c r="AH443" i="11"/>
  <c r="AI444" i="11"/>
  <c r="AA444" i="11"/>
  <c r="AG444" i="11" s="1"/>
  <c r="W444" i="11"/>
  <c r="AD444" i="11" s="1"/>
  <c r="S444" i="11"/>
  <c r="O444" i="11"/>
  <c r="K444" i="11"/>
  <c r="Q444" i="11"/>
  <c r="V444" i="11"/>
  <c r="AB444" i="11"/>
  <c r="AL444" i="11"/>
  <c r="P445" i="11"/>
  <c r="U445" i="11"/>
  <c r="AF445" i="11" s="1"/>
  <c r="Z445" i="11"/>
  <c r="AA445" i="11" s="1"/>
  <c r="AG445" i="11" s="1"/>
  <c r="AK445" i="11"/>
  <c r="N446" i="11"/>
  <c r="T446" i="11"/>
  <c r="Y446" i="11"/>
  <c r="AJ446" i="11"/>
  <c r="M447" i="11"/>
  <c r="R447" i="11"/>
  <c r="X447" i="11"/>
  <c r="Y447" i="11" s="1"/>
  <c r="AC447" i="11"/>
  <c r="AE447" i="11" s="1"/>
  <c r="AH447" i="11"/>
  <c r="AI448" i="11"/>
  <c r="AA448" i="11"/>
  <c r="AG448" i="11" s="1"/>
  <c r="W448" i="11"/>
  <c r="AD448" i="11" s="1"/>
  <c r="S448" i="11"/>
  <c r="O448" i="11"/>
  <c r="K448" i="11"/>
  <c r="Q448" i="11"/>
  <c r="V448" i="11"/>
  <c r="AB448" i="11" s="1"/>
  <c r="AL448" i="11"/>
  <c r="P449" i="11"/>
  <c r="U449" i="11"/>
  <c r="AF449" i="11" s="1"/>
  <c r="Z449" i="11"/>
  <c r="AA449" i="11" s="1"/>
  <c r="AG449" i="11" s="1"/>
  <c r="AK449" i="11"/>
  <c r="N450" i="11"/>
  <c r="T450" i="11"/>
  <c r="AJ450" i="11"/>
  <c r="M451" i="11"/>
  <c r="R451" i="11"/>
  <c r="X451" i="11"/>
  <c r="Y451" i="11" s="1"/>
  <c r="AC451" i="11"/>
  <c r="AE451" i="11" s="1"/>
  <c r="AH451" i="11"/>
  <c r="AI452" i="11"/>
  <c r="W452" i="11"/>
  <c r="AD452" i="11" s="1"/>
  <c r="S452" i="11"/>
  <c r="O452" i="11"/>
  <c r="K452" i="11"/>
  <c r="Q452" i="11"/>
  <c r="V452" i="11"/>
  <c r="AB452" i="11" s="1"/>
  <c r="AL452" i="11"/>
  <c r="P453" i="11"/>
  <c r="U453" i="11"/>
  <c r="AF453" i="11" s="1"/>
  <c r="Z453" i="11"/>
  <c r="AA453" i="11" s="1"/>
  <c r="AG453" i="11" s="1"/>
  <c r="AK453" i="11"/>
  <c r="N454" i="11"/>
  <c r="T454" i="11"/>
  <c r="AJ454" i="11"/>
  <c r="M455" i="11"/>
  <c r="R455" i="11"/>
  <c r="X455" i="11"/>
  <c r="Y455" i="11" s="1"/>
  <c r="AC455" i="11"/>
  <c r="AE455" i="11" s="1"/>
  <c r="AH455" i="11"/>
  <c r="AI456" i="11"/>
  <c r="AA456" i="11"/>
  <c r="AG456" i="11" s="1"/>
  <c r="W456" i="11"/>
  <c r="AD456" i="11" s="1"/>
  <c r="S456" i="11"/>
  <c r="O456" i="11"/>
  <c r="K456" i="11"/>
  <c r="Q456" i="11"/>
  <c r="V456" i="11"/>
  <c r="AB456" i="11"/>
  <c r="AL456" i="11"/>
  <c r="P457" i="11"/>
  <c r="U457" i="11"/>
  <c r="AF457" i="11" s="1"/>
  <c r="Z457" i="11"/>
  <c r="AA457" i="11" s="1"/>
  <c r="AG457" i="11" s="1"/>
  <c r="AK457" i="11"/>
  <c r="N458" i="11"/>
  <c r="T458" i="11"/>
  <c r="Y458" i="11"/>
  <c r="AJ458" i="11"/>
  <c r="M459" i="11"/>
  <c r="R459" i="11"/>
  <c r="X459" i="11"/>
  <c r="Y459" i="11" s="1"/>
  <c r="AC459" i="11"/>
  <c r="AE459" i="11" s="1"/>
  <c r="AH459" i="11"/>
  <c r="AI460" i="11"/>
  <c r="AA460" i="11"/>
  <c r="AG460" i="11" s="1"/>
  <c r="W460" i="11"/>
  <c r="AD460" i="11" s="1"/>
  <c r="S460" i="11"/>
  <c r="O460" i="11"/>
  <c r="K460" i="11"/>
  <c r="Q460" i="11"/>
  <c r="V460" i="11"/>
  <c r="AB460" i="11"/>
  <c r="AL460" i="11"/>
  <c r="P461" i="11"/>
  <c r="U461" i="11"/>
  <c r="AF461" i="11" s="1"/>
  <c r="Z461" i="11"/>
  <c r="AA461" i="11" s="1"/>
  <c r="AG461" i="11" s="1"/>
  <c r="AK461" i="11"/>
  <c r="N462" i="11"/>
  <c r="T462" i="11"/>
  <c r="Y462" i="11"/>
  <c r="AJ462" i="11"/>
  <c r="M463" i="11"/>
  <c r="R463" i="11"/>
  <c r="X463" i="11"/>
  <c r="Y463" i="11" s="1"/>
  <c r="AC463" i="11"/>
  <c r="AE463" i="11" s="1"/>
  <c r="AH463" i="11"/>
  <c r="AI464" i="11"/>
  <c r="AA464" i="11"/>
  <c r="AG464" i="11" s="1"/>
  <c r="W464" i="11"/>
  <c r="AD464" i="11" s="1"/>
  <c r="S464" i="11"/>
  <c r="O464" i="11"/>
  <c r="K464" i="11"/>
  <c r="Q464" i="11"/>
  <c r="V464" i="11"/>
  <c r="AB464" i="11" s="1"/>
  <c r="AL464" i="11"/>
  <c r="P465" i="11"/>
  <c r="U465" i="11"/>
  <c r="AF465" i="11" s="1"/>
  <c r="Z465" i="11"/>
  <c r="AA465" i="11" s="1"/>
  <c r="AG465" i="11" s="1"/>
  <c r="AK465" i="11"/>
  <c r="N466" i="11"/>
  <c r="T466" i="11"/>
  <c r="AJ466" i="11"/>
  <c r="M467" i="11"/>
  <c r="R467" i="11"/>
  <c r="X467" i="11"/>
  <c r="Y467" i="11" s="1"/>
  <c r="AC467" i="11"/>
  <c r="AE467" i="11" s="1"/>
  <c r="AH467" i="11"/>
  <c r="AI468" i="11"/>
  <c r="W468" i="11"/>
  <c r="AD468" i="11" s="1"/>
  <c r="S468" i="11"/>
  <c r="O468" i="11"/>
  <c r="K468" i="11"/>
  <c r="Q468" i="11"/>
  <c r="V468" i="11"/>
  <c r="AB468" i="11" s="1"/>
  <c r="AL468" i="11"/>
  <c r="P469" i="11"/>
  <c r="U469" i="11"/>
  <c r="AF469" i="11" s="1"/>
  <c r="Z469" i="11"/>
  <c r="AA469" i="11" s="1"/>
  <c r="AG469" i="11" s="1"/>
  <c r="AK469" i="11"/>
  <c r="N470" i="11"/>
  <c r="T470" i="11"/>
  <c r="AJ470" i="11"/>
  <c r="R471" i="11"/>
  <c r="X471" i="11"/>
  <c r="Y471" i="11" s="1"/>
  <c r="AC471" i="11"/>
  <c r="AE471" i="11" s="1"/>
  <c r="AH471" i="11"/>
  <c r="AI472" i="11"/>
  <c r="AA472" i="11"/>
  <c r="AG472" i="11" s="1"/>
  <c r="W472" i="11"/>
  <c r="AD472" i="11" s="1"/>
  <c r="S472" i="11"/>
  <c r="O472" i="11"/>
  <c r="K472" i="11"/>
  <c r="Q472" i="11"/>
  <c r="V472" i="11"/>
  <c r="AB472" i="11"/>
  <c r="AL472" i="11"/>
  <c r="P473" i="11"/>
  <c r="U473" i="11"/>
  <c r="AF473" i="11" s="1"/>
  <c r="Z473" i="11"/>
  <c r="AA473" i="11" s="1"/>
  <c r="AG473" i="11" s="1"/>
  <c r="AK473" i="11"/>
  <c r="N474" i="11"/>
  <c r="T474" i="11"/>
  <c r="Y474" i="11"/>
  <c r="AJ474" i="11"/>
  <c r="M475" i="11"/>
  <c r="R475" i="11"/>
  <c r="X475" i="11"/>
  <c r="Y475" i="11" s="1"/>
  <c r="AC475" i="11"/>
  <c r="AE475" i="11" s="1"/>
  <c r="AH475" i="11"/>
  <c r="AI476" i="11"/>
  <c r="AA476" i="11"/>
  <c r="AG476" i="11" s="1"/>
  <c r="W476" i="11"/>
  <c r="AD476" i="11" s="1"/>
  <c r="S476" i="11"/>
  <c r="O476" i="11"/>
  <c r="K476" i="11"/>
  <c r="Q476" i="11"/>
  <c r="V476" i="11"/>
  <c r="AB476" i="11" s="1"/>
  <c r="AL476" i="11"/>
  <c r="P477" i="11"/>
  <c r="U477" i="11"/>
  <c r="AF477" i="11" s="1"/>
  <c r="Z477" i="11"/>
  <c r="AA477" i="11" s="1"/>
  <c r="AG477" i="11" s="1"/>
  <c r="AK477" i="11"/>
  <c r="N478" i="11"/>
  <c r="T478" i="11"/>
  <c r="AJ478" i="11"/>
  <c r="M479" i="11"/>
  <c r="R479" i="11"/>
  <c r="X479" i="11"/>
  <c r="Y479" i="11" s="1"/>
  <c r="AC479" i="11"/>
  <c r="AE479" i="11" s="1"/>
  <c r="AH479" i="11"/>
  <c r="AI480" i="11"/>
  <c r="AA480" i="11"/>
  <c r="AG480" i="11" s="1"/>
  <c r="W480" i="11"/>
  <c r="AD480" i="11" s="1"/>
  <c r="S480" i="11"/>
  <c r="O480" i="11"/>
  <c r="K480" i="11"/>
  <c r="Q480" i="11"/>
  <c r="V480" i="11"/>
  <c r="AB480" i="11" s="1"/>
  <c r="AL480" i="11"/>
  <c r="P481" i="11"/>
  <c r="U481" i="11"/>
  <c r="AF481" i="11" s="1"/>
  <c r="Z481" i="11"/>
  <c r="AA481" i="11" s="1"/>
  <c r="AG481" i="11" s="1"/>
  <c r="AK481" i="11"/>
  <c r="N482" i="11"/>
  <c r="T482" i="11"/>
  <c r="Y482" i="11"/>
  <c r="AJ482" i="11"/>
  <c r="M483" i="11"/>
  <c r="R483" i="11"/>
  <c r="X483" i="11"/>
  <c r="Y483" i="11" s="1"/>
  <c r="AC483" i="11"/>
  <c r="AE483" i="11" s="1"/>
  <c r="AH483" i="11"/>
  <c r="AI484" i="11"/>
  <c r="AA484" i="11"/>
  <c r="AG484" i="11" s="1"/>
  <c r="W484" i="11"/>
  <c r="AD484" i="11" s="1"/>
  <c r="S484" i="11"/>
  <c r="O484" i="11"/>
  <c r="K484" i="11"/>
  <c r="Q484" i="11"/>
  <c r="V484" i="11"/>
  <c r="AB484" i="11"/>
  <c r="AL484" i="11"/>
  <c r="P485" i="11"/>
  <c r="U485" i="11"/>
  <c r="AF485" i="11" s="1"/>
  <c r="Z485" i="11"/>
  <c r="AA485" i="11" s="1"/>
  <c r="AG485" i="11" s="1"/>
  <c r="AK485" i="11"/>
  <c r="N486" i="11"/>
  <c r="T486" i="11"/>
  <c r="Y486" i="11"/>
  <c r="AJ486" i="11"/>
  <c r="M487" i="11"/>
  <c r="R487" i="11"/>
  <c r="X487" i="11"/>
  <c r="Y487" i="11" s="1"/>
  <c r="AC487" i="11"/>
  <c r="AE487" i="11" s="1"/>
  <c r="AH487" i="11"/>
  <c r="AL488" i="11"/>
  <c r="AH488" i="11"/>
  <c r="Z488" i="11"/>
  <c r="AA488" i="11" s="1"/>
  <c r="AG488" i="11" s="1"/>
  <c r="V488" i="11"/>
  <c r="AB488" i="11" s="1"/>
  <c r="R488" i="11"/>
  <c r="AJ488" i="11"/>
  <c r="Y488" i="11"/>
  <c r="T488" i="11"/>
  <c r="O488" i="11"/>
  <c r="K488" i="11"/>
  <c r="Q488" i="11"/>
  <c r="X488" i="11"/>
  <c r="K489" i="11"/>
  <c r="Q489" i="11"/>
  <c r="Y489" i="11"/>
  <c r="Q491" i="11"/>
  <c r="X491" i="11"/>
  <c r="Y491" i="11" s="1"/>
  <c r="K492" i="11"/>
  <c r="Q492" i="11"/>
  <c r="X492" i="11"/>
  <c r="Y492" i="11" s="1"/>
  <c r="K493" i="11"/>
  <c r="Q493" i="11"/>
  <c r="Y493" i="11"/>
  <c r="Q495" i="11"/>
  <c r="X495" i="11"/>
  <c r="Y495" i="11" s="1"/>
  <c r="K496" i="11"/>
  <c r="Q496" i="11"/>
  <c r="X496" i="11"/>
  <c r="Y496" i="11" s="1"/>
  <c r="K497" i="11"/>
  <c r="Q497" i="11"/>
  <c r="Y497" i="11"/>
  <c r="Q499" i="11"/>
  <c r="X499" i="11"/>
  <c r="Y499" i="11" s="1"/>
  <c r="K500" i="11"/>
  <c r="Q500" i="11"/>
  <c r="X500" i="11"/>
  <c r="Y500" i="11" s="1"/>
  <c r="K501" i="11"/>
  <c r="Q501" i="11"/>
  <c r="Y501" i="11"/>
  <c r="P4" i="12"/>
  <c r="W4" i="12"/>
  <c r="AD4" i="12" s="1"/>
  <c r="R9" i="12"/>
  <c r="R10" i="12"/>
  <c r="R12" i="12"/>
  <c r="X12" i="12"/>
  <c r="Y12" i="12" s="1"/>
  <c r="R13" i="12"/>
  <c r="X16" i="12"/>
  <c r="Y16" i="12" s="1"/>
  <c r="R18" i="12"/>
  <c r="Z18" i="12"/>
  <c r="AA18" i="12" s="1"/>
  <c r="AG18" i="12" s="1"/>
  <c r="X20" i="12"/>
  <c r="Y20" i="12" s="1"/>
  <c r="R21" i="12"/>
  <c r="Z22" i="12"/>
  <c r="AA22" i="12" s="1"/>
  <c r="AG22" i="12" s="1"/>
  <c r="R24" i="12"/>
  <c r="X24" i="12"/>
  <c r="Y24" i="12" s="1"/>
  <c r="R25" i="12"/>
  <c r="R26" i="12"/>
  <c r="Z26" i="12"/>
  <c r="AA26" i="12" s="1"/>
  <c r="AG26" i="12" s="1"/>
  <c r="X28" i="12"/>
  <c r="Y28" i="12" s="1"/>
  <c r="Z30" i="12"/>
  <c r="AA30" i="12" s="1"/>
  <c r="AG30" i="12" s="1"/>
  <c r="X32" i="12"/>
  <c r="Y32" i="12" s="1"/>
  <c r="R34" i="12"/>
  <c r="Z34" i="12"/>
  <c r="AA34" i="12" s="1"/>
  <c r="AG34" i="12" s="1"/>
  <c r="X36" i="12"/>
  <c r="Y36" i="12" s="1"/>
  <c r="Z38" i="12"/>
  <c r="AA38" i="12" s="1"/>
  <c r="AG38" i="12" s="1"/>
  <c r="R40" i="12"/>
  <c r="X40" i="12"/>
  <c r="Y40" i="12" s="1"/>
  <c r="R42" i="12"/>
  <c r="R44" i="12"/>
  <c r="X44" i="12"/>
  <c r="Y44" i="12" s="1"/>
  <c r="R45" i="12"/>
  <c r="Z46" i="12"/>
  <c r="AA46" i="12" s="1"/>
  <c r="AG46" i="12" s="1"/>
  <c r="X48" i="12"/>
  <c r="Y48" i="12" s="1"/>
  <c r="Z50" i="12"/>
  <c r="AA50" i="12" s="1"/>
  <c r="AG50" i="12" s="1"/>
  <c r="X52" i="12"/>
  <c r="Y52" i="12" s="1"/>
  <c r="R53" i="12"/>
  <c r="R56" i="12"/>
  <c r="X56" i="12"/>
  <c r="Y56" i="12" s="1"/>
  <c r="R57" i="12"/>
  <c r="Z58" i="12"/>
  <c r="AA58" i="12" s="1"/>
  <c r="AG58" i="12" s="1"/>
  <c r="X60" i="12"/>
  <c r="Y60" i="12" s="1"/>
  <c r="X64" i="12"/>
  <c r="Y64" i="12" s="1"/>
  <c r="R65" i="12"/>
  <c r="R66" i="12"/>
  <c r="X68" i="12"/>
  <c r="Y68" i="12" s="1"/>
  <c r="R69" i="12"/>
  <c r="Z70" i="12"/>
  <c r="AA70" i="12" s="1"/>
  <c r="AG70" i="12" s="1"/>
  <c r="R72" i="12"/>
  <c r="X72" i="12"/>
  <c r="Y72" i="12" s="1"/>
  <c r="R73" i="12"/>
  <c r="Z74" i="12"/>
  <c r="AA74" i="12" s="1"/>
  <c r="AG74" i="12" s="1"/>
  <c r="R76" i="12"/>
  <c r="X76" i="12"/>
  <c r="Y76" i="12" s="1"/>
  <c r="R77" i="12"/>
  <c r="Z78" i="12"/>
  <c r="AA78" i="12" s="1"/>
  <c r="AG78" i="12" s="1"/>
  <c r="X80" i="12"/>
  <c r="Y80" i="12" s="1"/>
  <c r="R82" i="12"/>
  <c r="Z82" i="12"/>
  <c r="AA82" i="12" s="1"/>
  <c r="AG82" i="12" s="1"/>
  <c r="X84" i="12"/>
  <c r="Y84" i="12" s="1"/>
  <c r="Z86" i="12"/>
  <c r="AA86" i="12" s="1"/>
  <c r="AG86" i="12" s="1"/>
  <c r="R88" i="12"/>
  <c r="X88" i="12"/>
  <c r="Y88" i="12" s="1"/>
  <c r="R89" i="12"/>
  <c r="R90" i="12"/>
  <c r="Z90" i="12"/>
  <c r="AA90" i="12" s="1"/>
  <c r="AG90" i="12" s="1"/>
  <c r="X92" i="12"/>
  <c r="Y92" i="12" s="1"/>
  <c r="R93" i="12"/>
  <c r="Z94" i="12"/>
  <c r="AA94" i="12" s="1"/>
  <c r="AG94" i="12" s="1"/>
  <c r="X96" i="12"/>
  <c r="Y96" i="12" s="1"/>
  <c r="R97" i="12"/>
  <c r="R98" i="12"/>
  <c r="Z98" i="12"/>
  <c r="AA98" i="12" s="1"/>
  <c r="AG98" i="12" s="1"/>
  <c r="X100" i="12"/>
  <c r="Y100" i="12" s="1"/>
  <c r="Z102" i="12"/>
  <c r="AA102" i="12" s="1"/>
  <c r="AG102" i="12" s="1"/>
  <c r="R104" i="12"/>
  <c r="X104" i="12"/>
  <c r="Y104" i="12" s="1"/>
  <c r="R105" i="12"/>
  <c r="R106" i="12"/>
  <c r="Z106" i="12"/>
  <c r="AA106" i="12" s="1"/>
  <c r="AG106" i="12" s="1"/>
  <c r="R108" i="12"/>
  <c r="X108" i="12"/>
  <c r="Y108" i="12" s="1"/>
  <c r="R109" i="12"/>
  <c r="Z110" i="12"/>
  <c r="AA110" i="12" s="1"/>
  <c r="AG110" i="12" s="1"/>
  <c r="X112" i="12"/>
  <c r="Y112" i="12" s="1"/>
  <c r="Z114" i="12"/>
  <c r="AA114" i="12" s="1"/>
  <c r="AG114" i="12" s="1"/>
  <c r="X116" i="12"/>
  <c r="Y116" i="12" s="1"/>
  <c r="R117" i="12"/>
  <c r="Z118" i="12"/>
  <c r="AA118" i="12" s="1"/>
  <c r="AG118" i="12" s="1"/>
  <c r="R120" i="12"/>
  <c r="X120" i="12"/>
  <c r="Y120" i="12" s="1"/>
  <c r="R121" i="12"/>
  <c r="X124" i="12"/>
  <c r="Y124" i="12" s="1"/>
  <c r="R125" i="12"/>
  <c r="Z126" i="12"/>
  <c r="AA126" i="12" s="1"/>
  <c r="AG126" i="12" s="1"/>
  <c r="X128" i="12"/>
  <c r="Y128" i="12" s="1"/>
  <c r="Z130" i="12"/>
  <c r="AA130" i="12" s="1"/>
  <c r="AG130" i="12" s="1"/>
  <c r="X132" i="12"/>
  <c r="Y132" i="12" s="1"/>
  <c r="R133" i="12"/>
  <c r="Z134" i="12"/>
  <c r="AA134" i="12" s="1"/>
  <c r="AG134" i="12" s="1"/>
  <c r="R136" i="12"/>
  <c r="X136" i="12"/>
  <c r="Y136" i="12" s="1"/>
  <c r="R137" i="12"/>
  <c r="Z138" i="12"/>
  <c r="AA138" i="12" s="1"/>
  <c r="AG138" i="12" s="1"/>
  <c r="X140" i="12"/>
  <c r="Y140" i="12" s="1"/>
  <c r="R141" i="12"/>
  <c r="Z142" i="12"/>
  <c r="AA142" i="12" s="1"/>
  <c r="AG142" i="12" s="1"/>
  <c r="X144" i="12"/>
  <c r="Y144" i="12" s="1"/>
  <c r="Z145" i="12"/>
  <c r="AA145" i="12" s="1"/>
  <c r="AG145" i="12" s="1"/>
  <c r="X147" i="12"/>
  <c r="Y147" i="12" s="1"/>
  <c r="Z149" i="12"/>
  <c r="AA149" i="12" s="1"/>
  <c r="AG149" i="12" s="1"/>
  <c r="X151" i="12"/>
  <c r="Y151" i="12" s="1"/>
  <c r="R152" i="12"/>
  <c r="Z153" i="12"/>
  <c r="AA153" i="12" s="1"/>
  <c r="AG153" i="12" s="1"/>
  <c r="R155" i="12"/>
  <c r="X155" i="12"/>
  <c r="Y155" i="12" s="1"/>
  <c r="R156" i="12"/>
  <c r="Z157" i="12"/>
  <c r="AA157" i="12" s="1"/>
  <c r="AG157" i="12" s="1"/>
  <c r="X159" i="12"/>
  <c r="Y159" i="12" s="1"/>
  <c r="R160" i="12"/>
  <c r="Z161" i="12"/>
  <c r="AA161" i="12" s="1"/>
  <c r="AG161" i="12" s="1"/>
  <c r="X163" i="12"/>
  <c r="Y163" i="12" s="1"/>
  <c r="Z165" i="12"/>
  <c r="AA165" i="12" s="1"/>
  <c r="AG165" i="12" s="1"/>
  <c r="X167" i="12"/>
  <c r="Y167" i="12" s="1"/>
  <c r="R168" i="12"/>
  <c r="Z169" i="12"/>
  <c r="AA169" i="12" s="1"/>
  <c r="AG169" i="12" s="1"/>
  <c r="R171" i="12"/>
  <c r="X171" i="12"/>
  <c r="Y171" i="12" s="1"/>
  <c r="Z173" i="12"/>
  <c r="AA173" i="12" s="1"/>
  <c r="AG173" i="12" s="1"/>
  <c r="X175" i="12"/>
  <c r="Y175" i="12" s="1"/>
  <c r="Z177" i="12"/>
  <c r="AA177" i="12" s="1"/>
  <c r="AG177" i="12" s="1"/>
  <c r="X179" i="12"/>
  <c r="Y179" i="12" s="1"/>
  <c r="Z181" i="12"/>
  <c r="AA181" i="12" s="1"/>
  <c r="AG181" i="12" s="1"/>
  <c r="X183" i="12"/>
  <c r="Y183" i="12" s="1"/>
  <c r="X186" i="12"/>
  <c r="Y186" i="12" s="1"/>
  <c r="Z188" i="12"/>
  <c r="AA188" i="12" s="1"/>
  <c r="AG188" i="12" s="1"/>
  <c r="X190" i="12"/>
  <c r="Y190" i="12" s="1"/>
  <c r="Z192" i="12"/>
  <c r="AA192" i="12" s="1"/>
  <c r="AG192" i="12" s="1"/>
  <c r="X194" i="12"/>
  <c r="Y194" i="12" s="1"/>
  <c r="Z196" i="12"/>
  <c r="AA196" i="12" s="1"/>
  <c r="AG196" i="12" s="1"/>
  <c r="R198" i="12"/>
  <c r="X198" i="12"/>
  <c r="Y198" i="12" s="1"/>
  <c r="Z200" i="12"/>
  <c r="AA200" i="12" s="1"/>
  <c r="AG200" i="12" s="1"/>
  <c r="Z204" i="12"/>
  <c r="AA204" i="12" s="1"/>
  <c r="AG204" i="12" s="1"/>
  <c r="R207" i="12"/>
  <c r="Z208" i="12"/>
  <c r="AA208" i="12" s="1"/>
  <c r="AG208" i="12" s="1"/>
  <c r="R214" i="12"/>
  <c r="Z216" i="12"/>
  <c r="AA216" i="12" s="1"/>
  <c r="AG216" i="12" s="1"/>
  <c r="R218" i="12"/>
  <c r="R223" i="12"/>
  <c r="Z224" i="12"/>
  <c r="AA224" i="12" s="1"/>
  <c r="AG224" i="12" s="1"/>
  <c r="Z228" i="12"/>
  <c r="AA228" i="12" s="1"/>
  <c r="AG228" i="12" s="1"/>
  <c r="Z232" i="12"/>
  <c r="AA232" i="12" s="1"/>
  <c r="AG232" i="12" s="1"/>
  <c r="Z236" i="12"/>
  <c r="AA236" i="12" s="1"/>
  <c r="AG236" i="12" s="1"/>
  <c r="R238" i="12"/>
  <c r="X238" i="12"/>
  <c r="Y238" i="12" s="1"/>
  <c r="K239" i="12"/>
  <c r="R239" i="12"/>
  <c r="X239" i="12"/>
  <c r="Y239" i="12" s="1"/>
  <c r="K240" i="12"/>
  <c r="R240" i="12"/>
  <c r="Z240" i="12"/>
  <c r="AA240" i="12" s="1"/>
  <c r="AG240" i="12" s="1"/>
  <c r="R242" i="12"/>
  <c r="X242" i="12"/>
  <c r="Y242" i="12" s="1"/>
  <c r="K243" i="12"/>
  <c r="R243" i="12"/>
  <c r="X243" i="12"/>
  <c r="Y243" i="12" s="1"/>
  <c r="K244" i="12"/>
  <c r="R244" i="12"/>
  <c r="Z244" i="12"/>
  <c r="AA244" i="12" s="1"/>
  <c r="AG244" i="12" s="1"/>
  <c r="R246" i="12"/>
  <c r="X246" i="12"/>
  <c r="Y246" i="12" s="1"/>
  <c r="K247" i="12"/>
  <c r="R247" i="12"/>
  <c r="X247" i="12"/>
  <c r="Y247" i="12" s="1"/>
  <c r="K248" i="12"/>
  <c r="R248" i="12"/>
  <c r="Z248" i="12"/>
  <c r="AA248" i="12" s="1"/>
  <c r="AG248" i="12" s="1"/>
  <c r="R250" i="12"/>
  <c r="X250" i="12"/>
  <c r="Y250" i="12" s="1"/>
  <c r="K251" i="12"/>
  <c r="R251" i="12"/>
  <c r="X251" i="12"/>
  <c r="Y251" i="12" s="1"/>
  <c r="K252" i="12"/>
  <c r="R252" i="12"/>
  <c r="Z252" i="12"/>
  <c r="AA252" i="12" s="1"/>
  <c r="AG252" i="12" s="1"/>
  <c r="R254" i="12"/>
  <c r="X254" i="12"/>
  <c r="Y254" i="12" s="1"/>
  <c r="K255" i="12"/>
  <c r="R255" i="12"/>
  <c r="X255" i="12"/>
  <c r="Y255" i="12" s="1"/>
  <c r="K256" i="12"/>
  <c r="R256" i="12"/>
  <c r="Z256" i="12"/>
  <c r="AA256" i="12" s="1"/>
  <c r="AG256" i="12" s="1"/>
  <c r="R258" i="12"/>
  <c r="X258" i="12"/>
  <c r="Y258" i="12" s="1"/>
  <c r="K259" i="12"/>
  <c r="R259" i="12"/>
  <c r="X259" i="12"/>
  <c r="Y259" i="12" s="1"/>
  <c r="K260" i="12"/>
  <c r="R260" i="12"/>
  <c r="Z260" i="12"/>
  <c r="AA260" i="12" s="1"/>
  <c r="AG260" i="12" s="1"/>
  <c r="R262" i="12"/>
  <c r="X262" i="12"/>
  <c r="Y262" i="12" s="1"/>
  <c r="K263" i="12"/>
  <c r="R263" i="12"/>
  <c r="X263" i="12"/>
  <c r="Y263" i="12" s="1"/>
  <c r="K264" i="12"/>
  <c r="R264" i="12"/>
  <c r="Z264" i="12"/>
  <c r="AA264" i="12" s="1"/>
  <c r="AG264" i="12" s="1"/>
  <c r="R266" i="12"/>
  <c r="X266" i="12"/>
  <c r="Y266" i="12" s="1"/>
  <c r="K267" i="12"/>
  <c r="R267" i="12"/>
  <c r="X267" i="12"/>
  <c r="Y267" i="12" s="1"/>
  <c r="K268" i="12"/>
  <c r="R268" i="12"/>
  <c r="Z268" i="12"/>
  <c r="AA268" i="12" s="1"/>
  <c r="AG268" i="12" s="1"/>
  <c r="R270" i="12"/>
  <c r="X270" i="12"/>
  <c r="Y270" i="12" s="1"/>
  <c r="K271" i="12"/>
  <c r="R271" i="12"/>
  <c r="X271" i="12"/>
  <c r="Y271" i="12" s="1"/>
  <c r="K272" i="12"/>
  <c r="R272" i="12"/>
  <c r="Z272" i="12"/>
  <c r="AA272" i="12" s="1"/>
  <c r="AG272" i="12" s="1"/>
  <c r="R274" i="12"/>
  <c r="X274" i="12"/>
  <c r="Y274" i="12" s="1"/>
  <c r="K275" i="12"/>
  <c r="R275" i="12"/>
  <c r="X275" i="12"/>
  <c r="Y275" i="12" s="1"/>
  <c r="K276" i="12"/>
  <c r="R276" i="12"/>
  <c r="Z276" i="12"/>
  <c r="AA276" i="12" s="1"/>
  <c r="AG276" i="12" s="1"/>
  <c r="R278" i="12"/>
  <c r="X278" i="12"/>
  <c r="Y278" i="12" s="1"/>
  <c r="K279" i="12"/>
  <c r="R279" i="12"/>
  <c r="X279" i="12"/>
  <c r="Y279" i="12" s="1"/>
  <c r="K280" i="12"/>
  <c r="R280" i="12"/>
  <c r="Z280" i="12"/>
  <c r="AA280" i="12" s="1"/>
  <c r="AG280" i="12" s="1"/>
  <c r="R282" i="12"/>
  <c r="X282" i="12"/>
  <c r="Y282" i="12" s="1"/>
  <c r="K283" i="12"/>
  <c r="R283" i="12"/>
  <c r="X283" i="12"/>
  <c r="Y283" i="12" s="1"/>
  <c r="K284" i="12"/>
  <c r="R284" i="12"/>
  <c r="Z284" i="12"/>
  <c r="AA284" i="12" s="1"/>
  <c r="AG284" i="12" s="1"/>
  <c r="R286" i="12"/>
  <c r="X286" i="12"/>
  <c r="Y286" i="12" s="1"/>
  <c r="K287" i="12"/>
  <c r="R287" i="12"/>
  <c r="X287" i="12"/>
  <c r="Y287" i="12" s="1"/>
  <c r="K288" i="12"/>
  <c r="R288" i="12"/>
  <c r="Z288" i="12"/>
  <c r="AA288" i="12" s="1"/>
  <c r="AG288" i="12" s="1"/>
  <c r="R290" i="12"/>
  <c r="X290" i="12"/>
  <c r="Y290" i="12" s="1"/>
  <c r="K291" i="12"/>
  <c r="R291" i="12"/>
  <c r="X291" i="12"/>
  <c r="Y291" i="12" s="1"/>
  <c r="K292" i="12"/>
  <c r="R292" i="12"/>
  <c r="Z292" i="12"/>
  <c r="AA292" i="12" s="1"/>
  <c r="AG292" i="12" s="1"/>
  <c r="R294" i="12"/>
  <c r="X294" i="12"/>
  <c r="Y294" i="12" s="1"/>
  <c r="K295" i="12"/>
  <c r="R295" i="12"/>
  <c r="X295" i="12"/>
  <c r="Y295" i="12" s="1"/>
  <c r="K296" i="12"/>
  <c r="R296" i="12"/>
  <c r="Z296" i="12"/>
  <c r="AA296" i="12" s="1"/>
  <c r="AG296" i="12" s="1"/>
  <c r="R298" i="12"/>
  <c r="X298" i="12"/>
  <c r="Y298" i="12" s="1"/>
  <c r="K299" i="12"/>
  <c r="R299" i="12"/>
  <c r="X299" i="12"/>
  <c r="Y299" i="12" s="1"/>
  <c r="K300" i="12"/>
  <c r="R300" i="12"/>
  <c r="Z300" i="12"/>
  <c r="AA300" i="12" s="1"/>
  <c r="AG300" i="12" s="1"/>
  <c r="R302" i="12"/>
  <c r="X302" i="12"/>
  <c r="Y302" i="12" s="1"/>
  <c r="K303" i="12"/>
  <c r="R303" i="12"/>
  <c r="X303" i="12"/>
  <c r="Y303" i="12" s="1"/>
  <c r="K304" i="12"/>
  <c r="R304" i="12"/>
  <c r="Z304" i="12"/>
  <c r="AA304" i="12" s="1"/>
  <c r="AG304" i="12" s="1"/>
  <c r="R306" i="12"/>
  <c r="X306" i="12"/>
  <c r="Y306" i="12" s="1"/>
  <c r="K307" i="12"/>
  <c r="R307" i="12"/>
  <c r="X307" i="12"/>
  <c r="Y307" i="12" s="1"/>
  <c r="K308" i="12"/>
  <c r="R308" i="12"/>
  <c r="Z308" i="12"/>
  <c r="AA308" i="12" s="1"/>
  <c r="AG308" i="12" s="1"/>
  <c r="R310" i="12"/>
  <c r="X310" i="12"/>
  <c r="Y310" i="12" s="1"/>
  <c r="K311" i="12"/>
  <c r="R311" i="12"/>
  <c r="X311" i="12"/>
  <c r="Y311" i="12" s="1"/>
  <c r="K312" i="12"/>
  <c r="R312" i="12"/>
  <c r="Z312" i="12"/>
  <c r="AA312" i="12" s="1"/>
  <c r="AG312" i="12" s="1"/>
  <c r="R314" i="12"/>
  <c r="X314" i="12"/>
  <c r="Y314" i="12" s="1"/>
  <c r="K315" i="12"/>
  <c r="R315" i="12"/>
  <c r="X315" i="12"/>
  <c r="Y315" i="12" s="1"/>
  <c r="K316" i="12"/>
  <c r="R316" i="12"/>
  <c r="Z316" i="12"/>
  <c r="AA316" i="12" s="1"/>
  <c r="AG316" i="12" s="1"/>
  <c r="R318" i="12"/>
  <c r="X318" i="12"/>
  <c r="Y318" i="12" s="1"/>
  <c r="K319" i="12"/>
  <c r="R319" i="12"/>
  <c r="X319" i="12"/>
  <c r="Y319" i="12" s="1"/>
  <c r="K320" i="12"/>
  <c r="R320" i="12"/>
  <c r="Z320" i="12"/>
  <c r="AA320" i="12" s="1"/>
  <c r="AG320" i="12" s="1"/>
  <c r="R322" i="12"/>
  <c r="X322" i="12"/>
  <c r="Y322" i="12" s="1"/>
  <c r="K323" i="12"/>
  <c r="R323" i="12"/>
  <c r="X323" i="12"/>
  <c r="Y323" i="12" s="1"/>
  <c r="K324" i="12"/>
  <c r="R324" i="12"/>
  <c r="Z324" i="12"/>
  <c r="AA324" i="12" s="1"/>
  <c r="AG324" i="12" s="1"/>
  <c r="R326" i="12"/>
  <c r="X326" i="12"/>
  <c r="Y326" i="12" s="1"/>
  <c r="K327" i="12"/>
  <c r="R327" i="12"/>
  <c r="X327" i="12"/>
  <c r="Y327" i="12" s="1"/>
  <c r="K328" i="12"/>
  <c r="R328" i="12"/>
  <c r="Z328" i="12"/>
  <c r="AA328" i="12" s="1"/>
  <c r="AG328" i="12" s="1"/>
  <c r="R330" i="12"/>
  <c r="X330" i="12"/>
  <c r="Y330" i="12" s="1"/>
  <c r="K331" i="12"/>
  <c r="R331" i="12"/>
  <c r="X331" i="12"/>
  <c r="Y331" i="12" s="1"/>
  <c r="K332" i="12"/>
  <c r="R332" i="12"/>
  <c r="Z332" i="12"/>
  <c r="AA332" i="12" s="1"/>
  <c r="AG332" i="12" s="1"/>
  <c r="R334" i="12"/>
  <c r="X334" i="12"/>
  <c r="Y334" i="12" s="1"/>
  <c r="K335" i="12"/>
  <c r="R335" i="12"/>
  <c r="X335" i="12"/>
  <c r="Y335" i="12" s="1"/>
  <c r="K336" i="12"/>
  <c r="R336" i="12"/>
  <c r="Z336" i="12"/>
  <c r="AA336" i="12" s="1"/>
  <c r="AG336" i="12" s="1"/>
  <c r="R338" i="12"/>
  <c r="X338" i="12"/>
  <c r="Y338" i="12" s="1"/>
  <c r="K339" i="12"/>
  <c r="R339" i="12"/>
  <c r="X339" i="12"/>
  <c r="Y339" i="12" s="1"/>
  <c r="K340" i="12"/>
  <c r="R340" i="12"/>
  <c r="Z340" i="12"/>
  <c r="AA340" i="12" s="1"/>
  <c r="AG340" i="12" s="1"/>
  <c r="R342" i="12"/>
  <c r="X342" i="12"/>
  <c r="Y342" i="12" s="1"/>
  <c r="K343" i="12"/>
  <c r="R343" i="12"/>
  <c r="X343" i="12"/>
  <c r="Y343" i="12" s="1"/>
  <c r="K344" i="12"/>
  <c r="R344" i="12"/>
  <c r="Z344" i="12"/>
  <c r="AA344" i="12" s="1"/>
  <c r="AG344" i="12" s="1"/>
  <c r="R346" i="12"/>
  <c r="X346" i="12"/>
  <c r="Y346" i="12" s="1"/>
  <c r="K347" i="12"/>
  <c r="R347" i="12"/>
  <c r="X347" i="12"/>
  <c r="Y347" i="12" s="1"/>
  <c r="K348" i="12"/>
  <c r="R348" i="12"/>
  <c r="Z348" i="12"/>
  <c r="AA348" i="12" s="1"/>
  <c r="AG348" i="12" s="1"/>
  <c r="R350" i="12"/>
  <c r="X350" i="12"/>
  <c r="Y350" i="12" s="1"/>
  <c r="K351" i="12"/>
  <c r="R351" i="12"/>
  <c r="X351" i="12"/>
  <c r="Y351" i="12" s="1"/>
  <c r="K352" i="12"/>
  <c r="R352" i="12"/>
  <c r="Z352" i="12"/>
  <c r="AA352" i="12" s="1"/>
  <c r="AG352" i="12" s="1"/>
  <c r="R354" i="12"/>
  <c r="X354" i="12"/>
  <c r="Y354" i="12" s="1"/>
  <c r="K355" i="12"/>
  <c r="R355" i="12"/>
  <c r="X355" i="12"/>
  <c r="Y355" i="12" s="1"/>
  <c r="K356" i="12"/>
  <c r="R356" i="12"/>
  <c r="Z356" i="12"/>
  <c r="AA356" i="12" s="1"/>
  <c r="AG356" i="12" s="1"/>
  <c r="R358" i="12"/>
  <c r="X358" i="12"/>
  <c r="Y358" i="12" s="1"/>
  <c r="K359" i="12"/>
  <c r="R359" i="12"/>
  <c r="X359" i="12"/>
  <c r="Y359" i="12" s="1"/>
  <c r="K360" i="12"/>
  <c r="R360" i="12"/>
  <c r="Z360" i="12"/>
  <c r="AA360" i="12" s="1"/>
  <c r="AG360" i="12" s="1"/>
  <c r="R362" i="12"/>
  <c r="X362" i="12"/>
  <c r="Y362" i="12" s="1"/>
  <c r="K363" i="12"/>
  <c r="R363" i="12"/>
  <c r="X363" i="12"/>
  <c r="Y363" i="12" s="1"/>
  <c r="K364" i="12"/>
  <c r="R364" i="12"/>
  <c r="Z364" i="12"/>
  <c r="AA364" i="12" s="1"/>
  <c r="AG364" i="12" s="1"/>
  <c r="R366" i="12"/>
  <c r="X366" i="12"/>
  <c r="Y366" i="12" s="1"/>
  <c r="K367" i="12"/>
  <c r="R367" i="12"/>
  <c r="X367" i="12"/>
  <c r="Y367" i="12" s="1"/>
  <c r="K368" i="12"/>
  <c r="R368" i="12"/>
  <c r="Z368" i="12"/>
  <c r="AA368" i="12" s="1"/>
  <c r="AG368" i="12" s="1"/>
  <c r="R370" i="12"/>
  <c r="X370" i="12"/>
  <c r="Y370" i="12" s="1"/>
  <c r="K371" i="12"/>
  <c r="R371" i="12"/>
  <c r="X371" i="12"/>
  <c r="Y371" i="12" s="1"/>
  <c r="K372" i="12"/>
  <c r="R372" i="12"/>
  <c r="Z372" i="12"/>
  <c r="AA372" i="12" s="1"/>
  <c r="AG372" i="12" s="1"/>
  <c r="R374" i="12"/>
  <c r="X374" i="12"/>
  <c r="Y374" i="12" s="1"/>
  <c r="K375" i="12"/>
  <c r="R375" i="12"/>
  <c r="X375" i="12"/>
  <c r="Y375" i="12" s="1"/>
  <c r="K376" i="12"/>
  <c r="R376" i="12"/>
  <c r="Z376" i="12"/>
  <c r="AA376" i="12" s="1"/>
  <c r="AG376" i="12" s="1"/>
  <c r="R378" i="12"/>
  <c r="X378" i="12"/>
  <c r="Y378" i="12" s="1"/>
  <c r="K379" i="12"/>
  <c r="R379" i="12"/>
  <c r="X379" i="12"/>
  <c r="Y379" i="12" s="1"/>
  <c r="K380" i="12"/>
  <c r="R380" i="12"/>
  <c r="Z380" i="12"/>
  <c r="AA380" i="12" s="1"/>
  <c r="AG380" i="12" s="1"/>
  <c r="R382" i="12"/>
  <c r="X382" i="12"/>
  <c r="Y382" i="12" s="1"/>
  <c r="K383" i="12"/>
  <c r="R383" i="12"/>
  <c r="X383" i="12"/>
  <c r="Y383" i="12" s="1"/>
  <c r="K384" i="12"/>
  <c r="R384" i="12"/>
  <c r="Z384" i="12"/>
  <c r="AA384" i="12" s="1"/>
  <c r="AG384" i="12" s="1"/>
  <c r="R386" i="12"/>
  <c r="X386" i="12"/>
  <c r="Y386" i="12" s="1"/>
  <c r="K387" i="12"/>
  <c r="R387" i="12"/>
  <c r="X387" i="12"/>
  <c r="Y387" i="12" s="1"/>
  <c r="K388" i="12"/>
  <c r="R388" i="12"/>
  <c r="Z388" i="12"/>
  <c r="AA388" i="12" s="1"/>
  <c r="AG388" i="12" s="1"/>
  <c r="R390" i="12"/>
  <c r="X390" i="12"/>
  <c r="Y390" i="12" s="1"/>
  <c r="K391" i="12"/>
  <c r="R391" i="12"/>
  <c r="X391" i="12"/>
  <c r="Y391" i="12" s="1"/>
  <c r="K392" i="12"/>
  <c r="R392" i="12"/>
  <c r="Z392" i="12"/>
  <c r="AA392" i="12" s="1"/>
  <c r="AG392" i="12" s="1"/>
  <c r="R394" i="12"/>
  <c r="X394" i="12"/>
  <c r="Y394" i="12" s="1"/>
  <c r="K395" i="12"/>
  <c r="R395" i="12"/>
  <c r="X395" i="12"/>
  <c r="Y395" i="12" s="1"/>
  <c r="K396" i="12"/>
  <c r="R396" i="12"/>
  <c r="Z396" i="12"/>
  <c r="AA396" i="12" s="1"/>
  <c r="AG396" i="12" s="1"/>
  <c r="R398" i="12"/>
  <c r="X398" i="12"/>
  <c r="Y398" i="12" s="1"/>
  <c r="K399" i="12"/>
  <c r="R399" i="12"/>
  <c r="X399" i="12"/>
  <c r="Y399" i="12" s="1"/>
  <c r="K400" i="12"/>
  <c r="R400" i="12"/>
  <c r="Z400" i="12"/>
  <c r="AA400" i="12" s="1"/>
  <c r="AG400" i="12" s="1"/>
  <c r="R402" i="12"/>
  <c r="X402" i="12"/>
  <c r="Y402" i="12" s="1"/>
  <c r="K403" i="12"/>
  <c r="R403" i="12"/>
  <c r="X403" i="12"/>
  <c r="Y403" i="12" s="1"/>
  <c r="K404" i="12"/>
  <c r="R404" i="12"/>
  <c r="Z404" i="12"/>
  <c r="AA404" i="12" s="1"/>
  <c r="AG404" i="12" s="1"/>
  <c r="R406" i="12"/>
  <c r="X406" i="12"/>
  <c r="Y406" i="12" s="1"/>
  <c r="K407" i="12"/>
  <c r="R407" i="12"/>
  <c r="X407" i="12"/>
  <c r="Y407" i="12" s="1"/>
  <c r="K408" i="12"/>
  <c r="R408" i="12"/>
  <c r="Z408" i="12"/>
  <c r="AA408" i="12" s="1"/>
  <c r="AG408" i="12" s="1"/>
  <c r="R410" i="12"/>
  <c r="X410" i="12"/>
  <c r="Y410" i="12" s="1"/>
  <c r="K411" i="12"/>
  <c r="R411" i="12"/>
  <c r="X411" i="12"/>
  <c r="Y411" i="12" s="1"/>
  <c r="K412" i="12"/>
  <c r="R412" i="12"/>
  <c r="Z412" i="12"/>
  <c r="AA412" i="12" s="1"/>
  <c r="AG412" i="12" s="1"/>
  <c r="R414" i="12"/>
  <c r="X414" i="12"/>
  <c r="Y414" i="12" s="1"/>
  <c r="K415" i="12"/>
  <c r="R415" i="12"/>
  <c r="X415" i="12"/>
  <c r="Y415" i="12" s="1"/>
  <c r="K416" i="12"/>
  <c r="R416" i="12"/>
  <c r="Z416" i="12"/>
  <c r="AA416" i="12" s="1"/>
  <c r="AG416" i="12" s="1"/>
  <c r="R418" i="12"/>
  <c r="X418" i="12"/>
  <c r="Y418" i="12" s="1"/>
  <c r="K419" i="12"/>
  <c r="R419" i="12"/>
  <c r="X419" i="12"/>
  <c r="Y419" i="12" s="1"/>
  <c r="K420" i="12"/>
  <c r="R420" i="12"/>
  <c r="Z420" i="12"/>
  <c r="AA420" i="12" s="1"/>
  <c r="AG420" i="12" s="1"/>
  <c r="R422" i="12"/>
  <c r="X422" i="12"/>
  <c r="Y422" i="12" s="1"/>
  <c r="K423" i="12"/>
  <c r="R423" i="12"/>
  <c r="X423" i="12"/>
  <c r="Y423" i="12" s="1"/>
  <c r="K424" i="12"/>
  <c r="R424" i="12"/>
  <c r="Z424" i="12"/>
  <c r="AA424" i="12" s="1"/>
  <c r="AG424" i="12" s="1"/>
  <c r="R426" i="12"/>
  <c r="X426" i="12"/>
  <c r="Y426" i="12" s="1"/>
  <c r="K427" i="12"/>
  <c r="R427" i="12"/>
  <c r="X427" i="12"/>
  <c r="Y427" i="12" s="1"/>
  <c r="K428" i="12"/>
  <c r="R428" i="12"/>
  <c r="Z428" i="12"/>
  <c r="AA428" i="12" s="1"/>
  <c r="AG428" i="12" s="1"/>
  <c r="R430" i="12"/>
  <c r="X430" i="12"/>
  <c r="Y430" i="12" s="1"/>
  <c r="K431" i="12"/>
  <c r="R431" i="12"/>
  <c r="X431" i="12"/>
  <c r="Y431" i="12" s="1"/>
  <c r="K432" i="12"/>
  <c r="R432" i="12"/>
  <c r="Z432" i="12"/>
  <c r="AA432" i="12" s="1"/>
  <c r="AG432" i="12" s="1"/>
  <c r="R434" i="12"/>
  <c r="X434" i="12"/>
  <c r="Y434" i="12" s="1"/>
  <c r="K435" i="12"/>
  <c r="R435" i="12"/>
  <c r="X435" i="12"/>
  <c r="Y435" i="12" s="1"/>
  <c r="K436" i="12"/>
  <c r="R436" i="12"/>
  <c r="Z436" i="12"/>
  <c r="AA436" i="12" s="1"/>
  <c r="AG436" i="12" s="1"/>
  <c r="R438" i="12"/>
  <c r="X438" i="12"/>
  <c r="Y438" i="12" s="1"/>
  <c r="K439" i="12"/>
  <c r="R439" i="12"/>
  <c r="X439" i="12"/>
  <c r="Y439" i="12" s="1"/>
  <c r="K440" i="12"/>
  <c r="R440" i="12"/>
  <c r="Z440" i="12"/>
  <c r="AA440" i="12" s="1"/>
  <c r="AG440" i="12" s="1"/>
  <c r="R442" i="12"/>
  <c r="X442" i="12"/>
  <c r="Y442" i="12" s="1"/>
  <c r="K443" i="12"/>
  <c r="R443" i="12"/>
  <c r="X443" i="12"/>
  <c r="Y443" i="12" s="1"/>
  <c r="K444" i="12"/>
  <c r="R444" i="12"/>
  <c r="Z444" i="12"/>
  <c r="AA444" i="12" s="1"/>
  <c r="AG444" i="12" s="1"/>
  <c r="R446" i="12"/>
  <c r="X446" i="12"/>
  <c r="Y446" i="12" s="1"/>
  <c r="K447" i="12"/>
  <c r="R447" i="12"/>
  <c r="X447" i="12"/>
  <c r="Y447" i="12" s="1"/>
  <c r="K448" i="12"/>
  <c r="R448" i="12"/>
  <c r="Z448" i="12"/>
  <c r="AA448" i="12" s="1"/>
  <c r="AG448" i="12" s="1"/>
  <c r="R450" i="12"/>
  <c r="X450" i="12"/>
  <c r="Y450" i="12" s="1"/>
  <c r="K451" i="12"/>
  <c r="R451" i="12"/>
  <c r="X451" i="12"/>
  <c r="Y451" i="12" s="1"/>
  <c r="K452" i="12"/>
  <c r="R452" i="12"/>
  <c r="Z452" i="12"/>
  <c r="AA452" i="12" s="1"/>
  <c r="AG452" i="12" s="1"/>
  <c r="R454" i="12"/>
  <c r="X454" i="12"/>
  <c r="Y454" i="12" s="1"/>
  <c r="K455" i="12"/>
  <c r="R455" i="12"/>
  <c r="X455" i="12"/>
  <c r="Y455" i="12" s="1"/>
  <c r="K456" i="12"/>
  <c r="R456" i="12"/>
  <c r="Z456" i="12"/>
  <c r="AA456" i="12" s="1"/>
  <c r="AG456" i="12" s="1"/>
  <c r="R458" i="12"/>
  <c r="X458" i="12"/>
  <c r="Y458" i="12" s="1"/>
  <c r="K459" i="12"/>
  <c r="R459" i="12"/>
  <c r="X459" i="12"/>
  <c r="Y459" i="12" s="1"/>
  <c r="K460" i="12"/>
  <c r="R460" i="12"/>
  <c r="Z460" i="12"/>
  <c r="AA460" i="12" s="1"/>
  <c r="AG460" i="12" s="1"/>
  <c r="R462" i="12"/>
  <c r="X462" i="12"/>
  <c r="Y462" i="12" s="1"/>
  <c r="K463" i="12"/>
  <c r="R463" i="12"/>
  <c r="X463" i="12"/>
  <c r="Y463" i="12" s="1"/>
  <c r="K464" i="12"/>
  <c r="R464" i="12"/>
  <c r="Z464" i="12"/>
  <c r="AA464" i="12" s="1"/>
  <c r="AG464" i="12" s="1"/>
  <c r="R466" i="12"/>
  <c r="X466" i="12"/>
  <c r="Y466" i="12" s="1"/>
  <c r="K467" i="12"/>
  <c r="R467" i="12"/>
  <c r="X467" i="12"/>
  <c r="Y467" i="12" s="1"/>
  <c r="K468" i="12"/>
  <c r="R468" i="12"/>
  <c r="Z468" i="12"/>
  <c r="AA468" i="12" s="1"/>
  <c r="AG468" i="12" s="1"/>
  <c r="R470" i="12"/>
  <c r="X470" i="12"/>
  <c r="Y470" i="12" s="1"/>
  <c r="K471" i="12"/>
  <c r="R471" i="12"/>
  <c r="X471" i="12"/>
  <c r="Y471" i="12" s="1"/>
  <c r="K472" i="12"/>
  <c r="R472" i="12"/>
  <c r="Z472" i="12"/>
  <c r="AA472" i="12" s="1"/>
  <c r="AG472" i="12" s="1"/>
  <c r="R474" i="12"/>
  <c r="X474" i="12"/>
  <c r="Y474" i="12" s="1"/>
  <c r="K475" i="12"/>
  <c r="R475" i="12"/>
  <c r="X475" i="12"/>
  <c r="Y475" i="12" s="1"/>
  <c r="K476" i="12"/>
  <c r="R476" i="12"/>
  <c r="Z476" i="12"/>
  <c r="AA476" i="12" s="1"/>
  <c r="AG476" i="12" s="1"/>
  <c r="R478" i="12"/>
  <c r="X478" i="12"/>
  <c r="Y478" i="12" s="1"/>
  <c r="K479" i="12"/>
  <c r="R479" i="12"/>
  <c r="X479" i="12"/>
  <c r="Y479" i="12" s="1"/>
  <c r="K480" i="12"/>
  <c r="R480" i="12"/>
  <c r="Z480" i="12"/>
  <c r="AA480" i="12" s="1"/>
  <c r="AG480" i="12" s="1"/>
  <c r="R482" i="12"/>
  <c r="X482" i="12"/>
  <c r="Y482" i="12" s="1"/>
  <c r="K483" i="12"/>
  <c r="R483" i="12"/>
  <c r="X483" i="12"/>
  <c r="Y483" i="12" s="1"/>
  <c r="K484" i="12"/>
  <c r="R484" i="12"/>
  <c r="Z484" i="12"/>
  <c r="AA484" i="12" s="1"/>
  <c r="AG484" i="12" s="1"/>
  <c r="R486" i="12"/>
  <c r="X486" i="12"/>
  <c r="Y486" i="12" s="1"/>
  <c r="K487" i="12"/>
  <c r="R487" i="12"/>
  <c r="X487" i="12"/>
  <c r="Y487" i="12" s="1"/>
  <c r="K488" i="12"/>
  <c r="R488" i="12"/>
  <c r="Z488" i="12"/>
  <c r="AA488" i="12" s="1"/>
  <c r="AG488" i="12" s="1"/>
  <c r="R490" i="12"/>
  <c r="X490" i="12"/>
  <c r="Y490" i="12" s="1"/>
  <c r="K491" i="12"/>
  <c r="R491" i="12"/>
  <c r="X491" i="12"/>
  <c r="Y491" i="12" s="1"/>
  <c r="K492" i="12"/>
  <c r="R492" i="12"/>
  <c r="Z492" i="12"/>
  <c r="AA492" i="12" s="1"/>
  <c r="AG492" i="12" s="1"/>
  <c r="R494" i="12"/>
  <c r="X494" i="12"/>
  <c r="Y494" i="12" s="1"/>
  <c r="K495" i="12"/>
  <c r="R495" i="12"/>
  <c r="X495" i="12"/>
  <c r="Y495" i="12" s="1"/>
  <c r="K496" i="12"/>
  <c r="R496" i="12"/>
  <c r="Z496" i="12"/>
  <c r="AA496" i="12" s="1"/>
  <c r="AG496" i="12" s="1"/>
  <c r="R498" i="12"/>
  <c r="X498" i="12"/>
  <c r="Y498" i="12" s="1"/>
  <c r="K499" i="12"/>
  <c r="R499" i="12"/>
  <c r="X499" i="12"/>
  <c r="Y499" i="12" s="1"/>
  <c r="V3" i="13"/>
  <c r="AB3" i="13" s="1"/>
  <c r="AC3" i="13"/>
  <c r="AE3" i="13" s="1"/>
  <c r="M3" i="13"/>
  <c r="O3" i="13" s="1"/>
  <c r="R3" i="13" s="1"/>
  <c r="AC4" i="13"/>
  <c r="AE4" i="13" s="1"/>
  <c r="M4" i="13"/>
  <c r="V4" i="13"/>
  <c r="P4" i="13"/>
  <c r="M6" i="13"/>
  <c r="N6" i="13" s="1"/>
  <c r="U6" i="13" s="1"/>
  <c r="AF6" i="13" s="1"/>
  <c r="AB6" i="13"/>
  <c r="V8" i="13"/>
  <c r="X8" i="13" s="1"/>
  <c r="Y8" i="13" s="1"/>
  <c r="M15" i="13"/>
  <c r="V21" i="13"/>
  <c r="M25" i="13"/>
  <c r="V38" i="13"/>
  <c r="W38" i="13" s="1"/>
  <c r="AD38" i="13" s="1"/>
  <c r="M40" i="13"/>
  <c r="V44" i="13"/>
  <c r="O46" i="13"/>
  <c r="N46" i="13"/>
  <c r="V48" i="13"/>
  <c r="W48" i="13" s="1"/>
  <c r="AD48" i="13" s="1"/>
  <c r="M50" i="13"/>
  <c r="W52" i="13"/>
  <c r="AD52" i="13" s="1"/>
  <c r="V54" i="13"/>
  <c r="W54" i="13" s="1"/>
  <c r="AD54" i="13" s="1"/>
  <c r="M56" i="13"/>
  <c r="V60" i="13"/>
  <c r="O62" i="13"/>
  <c r="N62" i="13"/>
  <c r="M70" i="13"/>
  <c r="V77" i="13"/>
  <c r="W77" i="13" s="1"/>
  <c r="AD77" i="13" s="1"/>
  <c r="V88" i="13"/>
  <c r="W88" i="13" s="1"/>
  <c r="AD88" i="13" s="1"/>
  <c r="O94" i="13"/>
  <c r="U94" i="13" s="1"/>
  <c r="N94" i="13"/>
  <c r="W96" i="13"/>
  <c r="AD96" i="13" s="1"/>
  <c r="O110" i="13"/>
  <c r="N110" i="13"/>
  <c r="W112" i="13"/>
  <c r="AD112" i="13" s="1"/>
  <c r="V121" i="13"/>
  <c r="V128" i="13"/>
  <c r="W128" i="13" s="1"/>
  <c r="AD128" i="13" s="1"/>
  <c r="AJ176" i="13"/>
  <c r="AJ184" i="13"/>
  <c r="AJ192" i="13"/>
  <c r="AJ200" i="13"/>
  <c r="W205" i="13"/>
  <c r="AD205" i="13" s="1"/>
  <c r="AC205" i="13"/>
  <c r="AE205" i="13" s="1"/>
  <c r="M205" i="13"/>
  <c r="O205" i="13" s="1"/>
  <c r="N205" i="13"/>
  <c r="W209" i="13"/>
  <c r="AD209" i="13" s="1"/>
  <c r="AC209" i="13"/>
  <c r="AE209" i="13" s="1"/>
  <c r="M209" i="13"/>
  <c r="O209" i="13" s="1"/>
  <c r="X209" i="13"/>
  <c r="Y209" i="13" s="1"/>
  <c r="N209" i="13"/>
  <c r="P213" i="13"/>
  <c r="P217" i="13"/>
  <c r="V221" i="13"/>
  <c r="AB221" i="13" s="1"/>
  <c r="V225" i="13"/>
  <c r="W225" i="13" s="1"/>
  <c r="AD225" i="13" s="1"/>
  <c r="AC228" i="13"/>
  <c r="AE228" i="13" s="1"/>
  <c r="M228" i="13"/>
  <c r="N228" i="13" s="1"/>
  <c r="V228" i="13"/>
  <c r="W228" i="13" s="1"/>
  <c r="AD228" i="13" s="1"/>
  <c r="P228" i="13"/>
  <c r="Q228" i="13" s="1"/>
  <c r="AK228" i="13" s="1"/>
  <c r="AC232" i="13"/>
  <c r="AE232" i="13" s="1"/>
  <c r="M232" i="13"/>
  <c r="N232" i="13" s="1"/>
  <c r="V232" i="13"/>
  <c r="W232" i="13" s="1"/>
  <c r="AD232" i="13" s="1"/>
  <c r="P232" i="13"/>
  <c r="AC237" i="13"/>
  <c r="AE237" i="13" s="1"/>
  <c r="M237" i="13"/>
  <c r="N237" i="13" s="1"/>
  <c r="X237" i="13"/>
  <c r="AI241" i="13"/>
  <c r="W241" i="13"/>
  <c r="AD241" i="13" s="1"/>
  <c r="S241" i="13"/>
  <c r="O241" i="13"/>
  <c r="K241" i="13"/>
  <c r="AK241" i="13"/>
  <c r="AC241" i="13"/>
  <c r="AE241" i="13" s="1"/>
  <c r="U241" i="13"/>
  <c r="AF241" i="13" s="1"/>
  <c r="Q241" i="13"/>
  <c r="M241" i="13"/>
  <c r="AH241" i="13"/>
  <c r="Z241" i="13"/>
  <c r="AA241" i="13" s="1"/>
  <c r="AG241" i="13" s="1"/>
  <c r="R241" i="13"/>
  <c r="T241" i="13"/>
  <c r="AJ241" i="13"/>
  <c r="X241" i="13"/>
  <c r="Y241" i="13" s="1"/>
  <c r="N241" i="13"/>
  <c r="R244" i="13"/>
  <c r="AI245" i="13"/>
  <c r="W245" i="13"/>
  <c r="AD245" i="13" s="1"/>
  <c r="S245" i="13"/>
  <c r="O245" i="13"/>
  <c r="K245" i="13"/>
  <c r="AK245" i="13"/>
  <c r="AC245" i="13"/>
  <c r="AE245" i="13" s="1"/>
  <c r="U245" i="13"/>
  <c r="AF245" i="13" s="1"/>
  <c r="Q245" i="13"/>
  <c r="M245" i="13"/>
  <c r="AH245" i="13"/>
  <c r="Z245" i="13"/>
  <c r="AA245" i="13" s="1"/>
  <c r="AG245" i="13" s="1"/>
  <c r="R245" i="13"/>
  <c r="AJ245" i="13"/>
  <c r="X245" i="13"/>
  <c r="Y245" i="13" s="1"/>
  <c r="N245" i="13"/>
  <c r="T245" i="13"/>
  <c r="AI248" i="13"/>
  <c r="W248" i="13"/>
  <c r="AD248" i="13" s="1"/>
  <c r="S248" i="13"/>
  <c r="O248" i="13"/>
  <c r="K248" i="13"/>
  <c r="AK248" i="13"/>
  <c r="AC248" i="13"/>
  <c r="AE248" i="13" s="1"/>
  <c r="Y248" i="13"/>
  <c r="U248" i="13"/>
  <c r="AF248" i="13" s="1"/>
  <c r="Q248" i="13"/>
  <c r="M248" i="13"/>
  <c r="AL248" i="13"/>
  <c r="V248" i="13"/>
  <c r="AB248" i="13" s="1"/>
  <c r="N248" i="13"/>
  <c r="AJ248" i="13"/>
  <c r="Z248" i="13"/>
  <c r="AA248" i="13" s="1"/>
  <c r="AG248" i="13" s="1"/>
  <c r="P248" i="13"/>
  <c r="T248" i="13"/>
  <c r="AH248" i="13"/>
  <c r="AI252" i="13"/>
  <c r="W252" i="13"/>
  <c r="AD252" i="13" s="1"/>
  <c r="S252" i="13"/>
  <c r="O252" i="13"/>
  <c r="K252" i="13"/>
  <c r="AK252" i="13"/>
  <c r="AC252" i="13"/>
  <c r="AE252" i="13" s="1"/>
  <c r="Y252" i="13"/>
  <c r="U252" i="13"/>
  <c r="AF252" i="13" s="1"/>
  <c r="Q252" i="13"/>
  <c r="M252" i="13"/>
  <c r="AL252" i="13"/>
  <c r="V252" i="13"/>
  <c r="AB252" i="13" s="1"/>
  <c r="N252" i="13"/>
  <c r="T252" i="13"/>
  <c r="AJ252" i="13"/>
  <c r="Z252" i="13"/>
  <c r="AA252" i="13" s="1"/>
  <c r="AG252" i="13" s="1"/>
  <c r="P252" i="13"/>
  <c r="AH252" i="13"/>
  <c r="V257" i="13"/>
  <c r="AB257" i="13" s="1"/>
  <c r="V261" i="13"/>
  <c r="AB261" i="13" s="1"/>
  <c r="X264" i="13"/>
  <c r="P265" i="13"/>
  <c r="AL265" i="13"/>
  <c r="X268" i="13"/>
  <c r="Y268" i="13" s="1"/>
  <c r="P269" i="13"/>
  <c r="AL269" i="13"/>
  <c r="R272" i="13"/>
  <c r="AI273" i="13"/>
  <c r="W273" i="13"/>
  <c r="AD273" i="13" s="1"/>
  <c r="S273" i="13"/>
  <c r="O273" i="13"/>
  <c r="K273" i="13"/>
  <c r="AK273" i="13"/>
  <c r="AC273" i="13"/>
  <c r="AE273" i="13" s="1"/>
  <c r="U273" i="13"/>
  <c r="AF273" i="13" s="1"/>
  <c r="Q273" i="13"/>
  <c r="M273" i="13"/>
  <c r="AH273" i="13"/>
  <c r="Z273" i="13"/>
  <c r="AA273" i="13" s="1"/>
  <c r="AG273" i="13" s="1"/>
  <c r="R273" i="13"/>
  <c r="T273" i="13"/>
  <c r="AJ273" i="13"/>
  <c r="X273" i="13"/>
  <c r="Y273" i="13" s="1"/>
  <c r="N273" i="13"/>
  <c r="R276" i="13"/>
  <c r="AI277" i="13"/>
  <c r="W277" i="13"/>
  <c r="AD277" i="13" s="1"/>
  <c r="S277" i="13"/>
  <c r="O277" i="13"/>
  <c r="K277" i="13"/>
  <c r="AK277" i="13"/>
  <c r="AC277" i="13"/>
  <c r="AE277" i="13" s="1"/>
  <c r="U277" i="13"/>
  <c r="AF277" i="13" s="1"/>
  <c r="Q277" i="13"/>
  <c r="M277" i="13"/>
  <c r="AH277" i="13"/>
  <c r="Z277" i="13"/>
  <c r="AA277" i="13" s="1"/>
  <c r="AG277" i="13" s="1"/>
  <c r="R277" i="13"/>
  <c r="AJ277" i="13"/>
  <c r="X277" i="13"/>
  <c r="Y277" i="13" s="1"/>
  <c r="N277" i="13"/>
  <c r="T277" i="13"/>
  <c r="AI280" i="13"/>
  <c r="W280" i="13"/>
  <c r="AD280" i="13" s="1"/>
  <c r="S280" i="13"/>
  <c r="O280" i="13"/>
  <c r="K280" i="13"/>
  <c r="AK280" i="13"/>
  <c r="AC280" i="13"/>
  <c r="AE280" i="13" s="1"/>
  <c r="Y280" i="13"/>
  <c r="U280" i="13"/>
  <c r="AF280" i="13" s="1"/>
  <c r="Q280" i="13"/>
  <c r="M280" i="13"/>
  <c r="AL280" i="13"/>
  <c r="V280" i="13"/>
  <c r="AB280" i="13" s="1"/>
  <c r="N280" i="13"/>
  <c r="AJ280" i="13"/>
  <c r="Z280" i="13"/>
  <c r="AA280" i="13" s="1"/>
  <c r="AG280" i="13" s="1"/>
  <c r="P280" i="13"/>
  <c r="T280" i="13"/>
  <c r="AH280" i="13"/>
  <c r="AI284" i="13"/>
  <c r="W284" i="13"/>
  <c r="AD284" i="13" s="1"/>
  <c r="S284" i="13"/>
  <c r="O284" i="13"/>
  <c r="K284" i="13"/>
  <c r="AK284" i="13"/>
  <c r="AC284" i="13"/>
  <c r="AE284" i="13" s="1"/>
  <c r="Y284" i="13"/>
  <c r="U284" i="13"/>
  <c r="AF284" i="13" s="1"/>
  <c r="Q284" i="13"/>
  <c r="M284" i="13"/>
  <c r="AL284" i="13"/>
  <c r="V284" i="13"/>
  <c r="AB284" i="13" s="1"/>
  <c r="N284" i="13"/>
  <c r="T284" i="13"/>
  <c r="AJ284" i="13"/>
  <c r="Z284" i="13"/>
  <c r="AA284" i="13" s="1"/>
  <c r="AG284" i="13" s="1"/>
  <c r="P284" i="13"/>
  <c r="AH284" i="13"/>
  <c r="V289" i="13"/>
  <c r="AB289" i="13" s="1"/>
  <c r="V293" i="13"/>
  <c r="AB293" i="13" s="1"/>
  <c r="X296" i="13"/>
  <c r="P297" i="13"/>
  <c r="AL297" i="13"/>
  <c r="X300" i="13"/>
  <c r="Y300" i="13" s="1"/>
  <c r="P301" i="13"/>
  <c r="AL301" i="13"/>
  <c r="R304" i="13"/>
  <c r="AI305" i="13"/>
  <c r="W305" i="13"/>
  <c r="AD305" i="13" s="1"/>
  <c r="S305" i="13"/>
  <c r="O305" i="13"/>
  <c r="K305" i="13"/>
  <c r="AK305" i="13"/>
  <c r="AC305" i="13"/>
  <c r="AE305" i="13" s="1"/>
  <c r="U305" i="13"/>
  <c r="AF305" i="13" s="1"/>
  <c r="Q305" i="13"/>
  <c r="M305" i="13"/>
  <c r="AH305" i="13"/>
  <c r="Z305" i="13"/>
  <c r="AA305" i="13" s="1"/>
  <c r="AG305" i="13" s="1"/>
  <c r="R305" i="13"/>
  <c r="T305" i="13"/>
  <c r="AJ305" i="13"/>
  <c r="X305" i="13"/>
  <c r="Y305" i="13" s="1"/>
  <c r="N305" i="13"/>
  <c r="R308" i="13"/>
  <c r="AI309" i="13"/>
  <c r="W309" i="13"/>
  <c r="AD309" i="13" s="1"/>
  <c r="S309" i="13"/>
  <c r="O309" i="13"/>
  <c r="K309" i="13"/>
  <c r="AK309" i="13"/>
  <c r="AC309" i="13"/>
  <c r="AE309" i="13" s="1"/>
  <c r="U309" i="13"/>
  <c r="AF309" i="13" s="1"/>
  <c r="Q309" i="13"/>
  <c r="M309" i="13"/>
  <c r="AH309" i="13"/>
  <c r="Z309" i="13"/>
  <c r="AA309" i="13" s="1"/>
  <c r="AG309" i="13" s="1"/>
  <c r="R309" i="13"/>
  <c r="AJ309" i="13"/>
  <c r="X309" i="13"/>
  <c r="Y309" i="13" s="1"/>
  <c r="N309" i="13"/>
  <c r="T309" i="13"/>
  <c r="AI312" i="13"/>
  <c r="W312" i="13"/>
  <c r="AD312" i="13" s="1"/>
  <c r="S312" i="13"/>
  <c r="O312" i="13"/>
  <c r="K312" i="13"/>
  <c r="AK312" i="13"/>
  <c r="AC312" i="13"/>
  <c r="AE312" i="13" s="1"/>
  <c r="Y312" i="13"/>
  <c r="U312" i="13"/>
  <c r="AF312" i="13" s="1"/>
  <c r="Q312" i="13"/>
  <c r="M312" i="13"/>
  <c r="AL312" i="13"/>
  <c r="V312" i="13"/>
  <c r="AB312" i="13" s="1"/>
  <c r="N312" i="13"/>
  <c r="AJ312" i="13"/>
  <c r="Z312" i="13"/>
  <c r="AA312" i="13" s="1"/>
  <c r="AG312" i="13" s="1"/>
  <c r="P312" i="13"/>
  <c r="T312" i="13"/>
  <c r="AH312" i="13"/>
  <c r="AI316" i="13"/>
  <c r="W316" i="13"/>
  <c r="AD316" i="13" s="1"/>
  <c r="S316" i="13"/>
  <c r="O316" i="13"/>
  <c r="K316" i="13"/>
  <c r="AK316" i="13"/>
  <c r="AC316" i="13"/>
  <c r="AE316" i="13" s="1"/>
  <c r="Y316" i="13"/>
  <c r="U316" i="13"/>
  <c r="AF316" i="13" s="1"/>
  <c r="Q316" i="13"/>
  <c r="M316" i="13"/>
  <c r="AL316" i="13"/>
  <c r="V316" i="13"/>
  <c r="AB316" i="13" s="1"/>
  <c r="N316" i="13"/>
  <c r="T316" i="13"/>
  <c r="AJ316" i="13"/>
  <c r="Z316" i="13"/>
  <c r="AA316" i="13" s="1"/>
  <c r="AG316" i="13" s="1"/>
  <c r="P316" i="13"/>
  <c r="AH316" i="13"/>
  <c r="V321" i="13"/>
  <c r="AB321" i="13" s="1"/>
  <c r="V325" i="13"/>
  <c r="AB325" i="13" s="1"/>
  <c r="X328" i="13"/>
  <c r="P329" i="13"/>
  <c r="AL329" i="13"/>
  <c r="X332" i="13"/>
  <c r="Y332" i="13" s="1"/>
  <c r="P333" i="13"/>
  <c r="AL333" i="13"/>
  <c r="R336" i="13"/>
  <c r="AI337" i="13"/>
  <c r="W337" i="13"/>
  <c r="AD337" i="13" s="1"/>
  <c r="S337" i="13"/>
  <c r="O337" i="13"/>
  <c r="K337" i="13"/>
  <c r="AK337" i="13"/>
  <c r="AC337" i="13"/>
  <c r="AE337" i="13" s="1"/>
  <c r="U337" i="13"/>
  <c r="AF337" i="13" s="1"/>
  <c r="Q337" i="13"/>
  <c r="M337" i="13"/>
  <c r="AH337" i="13"/>
  <c r="Z337" i="13"/>
  <c r="AA337" i="13" s="1"/>
  <c r="AG337" i="13" s="1"/>
  <c r="R337" i="13"/>
  <c r="T337" i="13"/>
  <c r="AJ337" i="13"/>
  <c r="X337" i="13"/>
  <c r="Y337" i="13" s="1"/>
  <c r="N337" i="13"/>
  <c r="R340" i="13"/>
  <c r="AI341" i="13"/>
  <c r="W341" i="13"/>
  <c r="AD341" i="13" s="1"/>
  <c r="S341" i="13"/>
  <c r="O341" i="13"/>
  <c r="K341" i="13"/>
  <c r="AK341" i="13"/>
  <c r="AC341" i="13"/>
  <c r="AE341" i="13" s="1"/>
  <c r="U341" i="13"/>
  <c r="AF341" i="13" s="1"/>
  <c r="Q341" i="13"/>
  <c r="M341" i="13"/>
  <c r="AH341" i="13"/>
  <c r="Z341" i="13"/>
  <c r="AA341" i="13" s="1"/>
  <c r="AG341" i="13" s="1"/>
  <c r="R341" i="13"/>
  <c r="AJ341" i="13"/>
  <c r="X341" i="13"/>
  <c r="Y341" i="13" s="1"/>
  <c r="N341" i="13"/>
  <c r="T341" i="13"/>
  <c r="AI344" i="13"/>
  <c r="W344" i="13"/>
  <c r="AD344" i="13" s="1"/>
  <c r="S344" i="13"/>
  <c r="O344" i="13"/>
  <c r="K344" i="13"/>
  <c r="AK344" i="13"/>
  <c r="AC344" i="13"/>
  <c r="AE344" i="13" s="1"/>
  <c r="Y344" i="13"/>
  <c r="U344" i="13"/>
  <c r="AF344" i="13" s="1"/>
  <c r="Q344" i="13"/>
  <c r="M344" i="13"/>
  <c r="AL344" i="13"/>
  <c r="V344" i="13"/>
  <c r="AB344" i="13" s="1"/>
  <c r="N344" i="13"/>
  <c r="AJ344" i="13"/>
  <c r="Z344" i="13"/>
  <c r="AA344" i="13" s="1"/>
  <c r="AG344" i="13" s="1"/>
  <c r="P344" i="13"/>
  <c r="T344" i="13"/>
  <c r="AH344" i="13"/>
  <c r="AI348" i="13"/>
  <c r="W348" i="13"/>
  <c r="AD348" i="13" s="1"/>
  <c r="S348" i="13"/>
  <c r="O348" i="13"/>
  <c r="K348" i="13"/>
  <c r="AK348" i="13"/>
  <c r="AC348" i="13"/>
  <c r="AE348" i="13" s="1"/>
  <c r="Y348" i="13"/>
  <c r="U348" i="13"/>
  <c r="AF348" i="13" s="1"/>
  <c r="Q348" i="13"/>
  <c r="M348" i="13"/>
  <c r="AL348" i="13"/>
  <c r="V348" i="13"/>
  <c r="AB348" i="13" s="1"/>
  <c r="N348" i="13"/>
  <c r="T348" i="13"/>
  <c r="AJ348" i="13"/>
  <c r="Z348" i="13"/>
  <c r="AA348" i="13" s="1"/>
  <c r="AG348" i="13" s="1"/>
  <c r="P348" i="13"/>
  <c r="AH348" i="13"/>
  <c r="V353" i="13"/>
  <c r="AB353" i="13" s="1"/>
  <c r="V357" i="13"/>
  <c r="AB357" i="13" s="1"/>
  <c r="X360" i="13"/>
  <c r="P361" i="13"/>
  <c r="AL361" i="13"/>
  <c r="X364" i="13"/>
  <c r="Y364" i="13" s="1"/>
  <c r="P365" i="13"/>
  <c r="AL365" i="13"/>
  <c r="R368" i="13"/>
  <c r="AI369" i="13"/>
  <c r="W369" i="13"/>
  <c r="AD369" i="13" s="1"/>
  <c r="S369" i="13"/>
  <c r="O369" i="13"/>
  <c r="K369" i="13"/>
  <c r="AK369" i="13"/>
  <c r="AC369" i="13"/>
  <c r="AE369" i="13" s="1"/>
  <c r="U369" i="13"/>
  <c r="AF369" i="13" s="1"/>
  <c r="Q369" i="13"/>
  <c r="M369" i="13"/>
  <c r="AH369" i="13"/>
  <c r="Z369" i="13"/>
  <c r="AA369" i="13" s="1"/>
  <c r="AG369" i="13" s="1"/>
  <c r="R369" i="13"/>
  <c r="T369" i="13"/>
  <c r="AJ369" i="13"/>
  <c r="X369" i="13"/>
  <c r="Y369" i="13" s="1"/>
  <c r="N369" i="13"/>
  <c r="R372" i="13"/>
  <c r="AI373" i="13"/>
  <c r="W373" i="13"/>
  <c r="AD373" i="13" s="1"/>
  <c r="S373" i="13"/>
  <c r="O373" i="13"/>
  <c r="K373" i="13"/>
  <c r="AK373" i="13"/>
  <c r="AC373" i="13"/>
  <c r="AE373" i="13" s="1"/>
  <c r="U373" i="13"/>
  <c r="AF373" i="13" s="1"/>
  <c r="Q373" i="13"/>
  <c r="M373" i="13"/>
  <c r="AH373" i="13"/>
  <c r="Z373" i="13"/>
  <c r="AA373" i="13" s="1"/>
  <c r="AG373" i="13" s="1"/>
  <c r="R373" i="13"/>
  <c r="AJ373" i="13"/>
  <c r="X373" i="13"/>
  <c r="Y373" i="13" s="1"/>
  <c r="N373" i="13"/>
  <c r="T373" i="13"/>
  <c r="AI376" i="13"/>
  <c r="W376" i="13"/>
  <c r="AD376" i="13" s="1"/>
  <c r="S376" i="13"/>
  <c r="O376" i="13"/>
  <c r="K376" i="13"/>
  <c r="AK376" i="13"/>
  <c r="AC376" i="13"/>
  <c r="AE376" i="13" s="1"/>
  <c r="Y376" i="13"/>
  <c r="U376" i="13"/>
  <c r="AF376" i="13" s="1"/>
  <c r="Q376" i="13"/>
  <c r="M376" i="13"/>
  <c r="AL376" i="13"/>
  <c r="V376" i="13"/>
  <c r="AB376" i="13" s="1"/>
  <c r="N376" i="13"/>
  <c r="AJ376" i="13"/>
  <c r="Z376" i="13"/>
  <c r="AA376" i="13" s="1"/>
  <c r="AG376" i="13" s="1"/>
  <c r="P376" i="13"/>
  <c r="T376" i="13"/>
  <c r="AH376" i="13"/>
  <c r="AI380" i="13"/>
  <c r="W380" i="13"/>
  <c r="AD380" i="13" s="1"/>
  <c r="S380" i="13"/>
  <c r="O380" i="13"/>
  <c r="K380" i="13"/>
  <c r="AK380" i="13"/>
  <c r="AC380" i="13"/>
  <c r="AE380" i="13" s="1"/>
  <c r="Y380" i="13"/>
  <c r="U380" i="13"/>
  <c r="AF380" i="13" s="1"/>
  <c r="Q380" i="13"/>
  <c r="M380" i="13"/>
  <c r="AL380" i="13"/>
  <c r="V380" i="13"/>
  <c r="AB380" i="13" s="1"/>
  <c r="N380" i="13"/>
  <c r="T380" i="13"/>
  <c r="AJ380" i="13"/>
  <c r="Z380" i="13"/>
  <c r="AA380" i="13" s="1"/>
  <c r="AG380" i="13" s="1"/>
  <c r="P380" i="13"/>
  <c r="AH380" i="13"/>
  <c r="V385" i="13"/>
  <c r="AB385" i="13" s="1"/>
  <c r="V389" i="13"/>
  <c r="AB389" i="13" s="1"/>
  <c r="X392" i="13"/>
  <c r="P393" i="13"/>
  <c r="AL393" i="13"/>
  <c r="X396" i="13"/>
  <c r="P397" i="13"/>
  <c r="AL397" i="13"/>
  <c r="R400" i="13"/>
  <c r="AI401" i="13"/>
  <c r="W401" i="13"/>
  <c r="AD401" i="13" s="1"/>
  <c r="S401" i="13"/>
  <c r="O401" i="13"/>
  <c r="K401" i="13"/>
  <c r="AK401" i="13"/>
  <c r="AC401" i="13"/>
  <c r="AE401" i="13" s="1"/>
  <c r="U401" i="13"/>
  <c r="AF401" i="13" s="1"/>
  <c r="Q401" i="13"/>
  <c r="M401" i="13"/>
  <c r="AH401" i="13"/>
  <c r="Z401" i="13"/>
  <c r="AA401" i="13" s="1"/>
  <c r="AG401" i="13" s="1"/>
  <c r="R401" i="13"/>
  <c r="T401" i="13"/>
  <c r="AJ401" i="13"/>
  <c r="X401" i="13"/>
  <c r="Y401" i="13" s="1"/>
  <c r="N401" i="13"/>
  <c r="R404" i="13"/>
  <c r="AI405" i="13"/>
  <c r="W405" i="13"/>
  <c r="AD405" i="13" s="1"/>
  <c r="S405" i="13"/>
  <c r="O405" i="13"/>
  <c r="K405" i="13"/>
  <c r="AK405" i="13"/>
  <c r="AC405" i="13"/>
  <c r="AE405" i="13" s="1"/>
  <c r="U405" i="13"/>
  <c r="AF405" i="13" s="1"/>
  <c r="Q405" i="13"/>
  <c r="M405" i="13"/>
  <c r="AH405" i="13"/>
  <c r="Z405" i="13"/>
  <c r="AA405" i="13" s="1"/>
  <c r="AG405" i="13" s="1"/>
  <c r="R405" i="13"/>
  <c r="AJ405" i="13"/>
  <c r="X405" i="13"/>
  <c r="Y405" i="13" s="1"/>
  <c r="N405" i="13"/>
  <c r="T405" i="13"/>
  <c r="AI408" i="13"/>
  <c r="W408" i="13"/>
  <c r="AD408" i="13" s="1"/>
  <c r="S408" i="13"/>
  <c r="O408" i="13"/>
  <c r="K408" i="13"/>
  <c r="AK408" i="13"/>
  <c r="AC408" i="13"/>
  <c r="AE408" i="13" s="1"/>
  <c r="Y408" i="13"/>
  <c r="U408" i="13"/>
  <c r="AF408" i="13" s="1"/>
  <c r="Q408" i="13"/>
  <c r="M408" i="13"/>
  <c r="AL408" i="13"/>
  <c r="V408" i="13"/>
  <c r="AB408" i="13" s="1"/>
  <c r="N408" i="13"/>
  <c r="AJ408" i="13"/>
  <c r="Z408" i="13"/>
  <c r="AA408" i="13" s="1"/>
  <c r="AG408" i="13" s="1"/>
  <c r="P408" i="13"/>
  <c r="T408" i="13"/>
  <c r="AH408" i="13"/>
  <c r="AI412" i="13"/>
  <c r="W412" i="13"/>
  <c r="AD412" i="13" s="1"/>
  <c r="S412" i="13"/>
  <c r="O412" i="13"/>
  <c r="K412" i="13"/>
  <c r="AK412" i="13"/>
  <c r="AC412" i="13"/>
  <c r="AE412" i="13" s="1"/>
  <c r="Y412" i="13"/>
  <c r="U412" i="13"/>
  <c r="AF412" i="13" s="1"/>
  <c r="Q412" i="13"/>
  <c r="M412" i="13"/>
  <c r="AL412" i="13"/>
  <c r="V412" i="13"/>
  <c r="AB412" i="13" s="1"/>
  <c r="N412" i="13"/>
  <c r="T412" i="13"/>
  <c r="AJ412" i="13"/>
  <c r="Z412" i="13"/>
  <c r="AA412" i="13" s="1"/>
  <c r="AG412" i="13" s="1"/>
  <c r="P412" i="13"/>
  <c r="AH412" i="13"/>
  <c r="V417" i="13"/>
  <c r="AB417" i="13" s="1"/>
  <c r="V421" i="13"/>
  <c r="AB421" i="13" s="1"/>
  <c r="X424" i="13"/>
  <c r="P425" i="13"/>
  <c r="AL425" i="13"/>
  <c r="X428" i="13"/>
  <c r="Y428" i="13" s="1"/>
  <c r="P429" i="13"/>
  <c r="AL429" i="13"/>
  <c r="R432" i="13"/>
  <c r="AI433" i="13"/>
  <c r="W433" i="13"/>
  <c r="AD433" i="13" s="1"/>
  <c r="S433" i="13"/>
  <c r="O433" i="13"/>
  <c r="K433" i="13"/>
  <c r="AK433" i="13"/>
  <c r="AC433" i="13"/>
  <c r="AE433" i="13" s="1"/>
  <c r="U433" i="13"/>
  <c r="AF433" i="13" s="1"/>
  <c r="Q433" i="13"/>
  <c r="M433" i="13"/>
  <c r="AH433" i="13"/>
  <c r="Z433" i="13"/>
  <c r="AA433" i="13" s="1"/>
  <c r="AG433" i="13" s="1"/>
  <c r="R433" i="13"/>
  <c r="T433" i="13"/>
  <c r="AJ433" i="13"/>
  <c r="X433" i="13"/>
  <c r="Y433" i="13" s="1"/>
  <c r="N433" i="13"/>
  <c r="R436" i="13"/>
  <c r="AI437" i="13"/>
  <c r="W437" i="13"/>
  <c r="AD437" i="13" s="1"/>
  <c r="S437" i="13"/>
  <c r="O437" i="13"/>
  <c r="K437" i="13"/>
  <c r="AK437" i="13"/>
  <c r="AC437" i="13"/>
  <c r="AE437" i="13" s="1"/>
  <c r="U437" i="13"/>
  <c r="AF437" i="13" s="1"/>
  <c r="Q437" i="13"/>
  <c r="M437" i="13"/>
  <c r="AH437" i="13"/>
  <c r="Z437" i="13"/>
  <c r="AA437" i="13" s="1"/>
  <c r="AG437" i="13" s="1"/>
  <c r="R437" i="13"/>
  <c r="AJ437" i="13"/>
  <c r="X437" i="13"/>
  <c r="Y437" i="13" s="1"/>
  <c r="N437" i="13"/>
  <c r="T437" i="13"/>
  <c r="AI440" i="13"/>
  <c r="W440" i="13"/>
  <c r="AD440" i="13" s="1"/>
  <c r="S440" i="13"/>
  <c r="O440" i="13"/>
  <c r="K440" i="13"/>
  <c r="AK440" i="13"/>
  <c r="AC440" i="13"/>
  <c r="AE440" i="13" s="1"/>
  <c r="Y440" i="13"/>
  <c r="U440" i="13"/>
  <c r="AF440" i="13" s="1"/>
  <c r="Q440" i="13"/>
  <c r="M440" i="13"/>
  <c r="AL440" i="13"/>
  <c r="V440" i="13"/>
  <c r="AB440" i="13" s="1"/>
  <c r="N440" i="13"/>
  <c r="AJ440" i="13"/>
  <c r="Z440" i="13"/>
  <c r="AA440" i="13" s="1"/>
  <c r="AG440" i="13" s="1"/>
  <c r="P440" i="13"/>
  <c r="T440" i="13"/>
  <c r="AH440" i="13"/>
  <c r="AI444" i="13"/>
  <c r="W444" i="13"/>
  <c r="AD444" i="13" s="1"/>
  <c r="S444" i="13"/>
  <c r="O444" i="13"/>
  <c r="K444" i="13"/>
  <c r="AK444" i="13"/>
  <c r="AC444" i="13"/>
  <c r="AE444" i="13" s="1"/>
  <c r="Y444" i="13"/>
  <c r="U444" i="13"/>
  <c r="AF444" i="13" s="1"/>
  <c r="Q444" i="13"/>
  <c r="M444" i="13"/>
  <c r="AL444" i="13"/>
  <c r="V444" i="13"/>
  <c r="AB444" i="13" s="1"/>
  <c r="N444" i="13"/>
  <c r="T444" i="13"/>
  <c r="AJ444" i="13"/>
  <c r="Z444" i="13"/>
  <c r="AA444" i="13" s="1"/>
  <c r="AG444" i="13" s="1"/>
  <c r="P444" i="13"/>
  <c r="AH444" i="13"/>
  <c r="V449" i="13"/>
  <c r="AB449" i="13" s="1"/>
  <c r="V453" i="13"/>
  <c r="AB453" i="13" s="1"/>
  <c r="X456" i="13"/>
  <c r="P457" i="13"/>
  <c r="AL457" i="13"/>
  <c r="X460" i="13"/>
  <c r="Y460" i="13" s="1"/>
  <c r="P461" i="13"/>
  <c r="AL461" i="13"/>
  <c r="R464" i="13"/>
  <c r="AI465" i="13"/>
  <c r="W465" i="13"/>
  <c r="AD465" i="13" s="1"/>
  <c r="S465" i="13"/>
  <c r="O465" i="13"/>
  <c r="K465" i="13"/>
  <c r="AK465" i="13"/>
  <c r="AC465" i="13"/>
  <c r="AE465" i="13" s="1"/>
  <c r="U465" i="13"/>
  <c r="AF465" i="13" s="1"/>
  <c r="Q465" i="13"/>
  <c r="M465" i="13"/>
  <c r="AH465" i="13"/>
  <c r="Z465" i="13"/>
  <c r="AA465" i="13" s="1"/>
  <c r="AG465" i="13" s="1"/>
  <c r="R465" i="13"/>
  <c r="T465" i="13"/>
  <c r="AJ465" i="13"/>
  <c r="X465" i="13"/>
  <c r="Y465" i="13" s="1"/>
  <c r="N465" i="13"/>
  <c r="R468" i="13"/>
  <c r="AI469" i="13"/>
  <c r="W469" i="13"/>
  <c r="AD469" i="13" s="1"/>
  <c r="S469" i="13"/>
  <c r="O469" i="13"/>
  <c r="K469" i="13"/>
  <c r="AK469" i="13"/>
  <c r="AC469" i="13"/>
  <c r="AE469" i="13" s="1"/>
  <c r="U469" i="13"/>
  <c r="AF469" i="13" s="1"/>
  <c r="Q469" i="13"/>
  <c r="M469" i="13"/>
  <c r="AH469" i="13"/>
  <c r="Z469" i="13"/>
  <c r="AA469" i="13" s="1"/>
  <c r="AG469" i="13" s="1"/>
  <c r="R469" i="13"/>
  <c r="AJ469" i="13"/>
  <c r="X469" i="13"/>
  <c r="Y469" i="13" s="1"/>
  <c r="N469" i="13"/>
  <c r="T469" i="13"/>
  <c r="AI472" i="13"/>
  <c r="W472" i="13"/>
  <c r="AD472" i="13" s="1"/>
  <c r="S472" i="13"/>
  <c r="O472" i="13"/>
  <c r="K472" i="13"/>
  <c r="AK472" i="13"/>
  <c r="AC472" i="13"/>
  <c r="AE472" i="13" s="1"/>
  <c r="Y472" i="13"/>
  <c r="U472" i="13"/>
  <c r="AF472" i="13" s="1"/>
  <c r="Q472" i="13"/>
  <c r="M472" i="13"/>
  <c r="AL472" i="13"/>
  <c r="V472" i="13"/>
  <c r="AB472" i="13" s="1"/>
  <c r="N472" i="13"/>
  <c r="AJ472" i="13"/>
  <c r="Z472" i="13"/>
  <c r="AA472" i="13" s="1"/>
  <c r="AG472" i="13" s="1"/>
  <c r="P472" i="13"/>
  <c r="T472" i="13"/>
  <c r="AH472" i="13"/>
  <c r="AI476" i="13"/>
  <c r="W476" i="13"/>
  <c r="AD476" i="13" s="1"/>
  <c r="S476" i="13"/>
  <c r="O476" i="13"/>
  <c r="K476" i="13"/>
  <c r="AK476" i="13"/>
  <c r="AC476" i="13"/>
  <c r="AE476" i="13" s="1"/>
  <c r="Y476" i="13"/>
  <c r="U476" i="13"/>
  <c r="AF476" i="13" s="1"/>
  <c r="Q476" i="13"/>
  <c r="M476" i="13"/>
  <c r="AL476" i="13"/>
  <c r="V476" i="13"/>
  <c r="AB476" i="13" s="1"/>
  <c r="N476" i="13"/>
  <c r="T476" i="13"/>
  <c r="AJ476" i="13"/>
  <c r="Z476" i="13"/>
  <c r="AA476" i="13" s="1"/>
  <c r="AG476" i="13" s="1"/>
  <c r="P476" i="13"/>
  <c r="AH476" i="13"/>
  <c r="V481" i="13"/>
  <c r="AB481" i="13" s="1"/>
  <c r="V485" i="13"/>
  <c r="AB485" i="13" s="1"/>
  <c r="X488" i="13"/>
  <c r="P489" i="13"/>
  <c r="AL489" i="13"/>
  <c r="X492" i="13"/>
  <c r="Y492" i="13" s="1"/>
  <c r="P493" i="13"/>
  <c r="AL493" i="13"/>
  <c r="R496" i="13"/>
  <c r="AI497" i="13"/>
  <c r="W497" i="13"/>
  <c r="AD497" i="13" s="1"/>
  <c r="S497" i="13"/>
  <c r="O497" i="13"/>
  <c r="K497" i="13"/>
  <c r="AK497" i="13"/>
  <c r="AC497" i="13"/>
  <c r="AE497" i="13" s="1"/>
  <c r="U497" i="13"/>
  <c r="AF497" i="13" s="1"/>
  <c r="Q497" i="13"/>
  <c r="M497" i="13"/>
  <c r="AH497" i="13"/>
  <c r="Z497" i="13"/>
  <c r="AA497" i="13" s="1"/>
  <c r="AG497" i="13" s="1"/>
  <c r="R497" i="13"/>
  <c r="T497" i="13"/>
  <c r="AJ497" i="13"/>
  <c r="X497" i="13"/>
  <c r="Y497" i="13" s="1"/>
  <c r="N497" i="13"/>
  <c r="R500" i="13"/>
  <c r="V7" i="14"/>
  <c r="V3" i="14"/>
  <c r="W3" i="14"/>
  <c r="AD3" i="14" s="1"/>
  <c r="AC6" i="14"/>
  <c r="AE6" i="14" s="1"/>
  <c r="M6" i="14"/>
  <c r="O6" i="14" s="1"/>
  <c r="R6" i="14" s="1"/>
  <c r="V6" i="14"/>
  <c r="W6" i="14" s="1"/>
  <c r="AD6" i="14" s="1"/>
  <c r="P6" i="14"/>
  <c r="W7" i="14"/>
  <c r="AD7" i="14" s="1"/>
  <c r="V8" i="14"/>
  <c r="W8" i="14" s="1"/>
  <c r="AD8" i="14" s="1"/>
  <c r="O14" i="14"/>
  <c r="O25" i="14"/>
  <c r="O31" i="14"/>
  <c r="O38" i="14"/>
  <c r="O47" i="14"/>
  <c r="O70" i="14"/>
  <c r="O86" i="13"/>
  <c r="AH176" i="13"/>
  <c r="AH184" i="13"/>
  <c r="AH192" i="13"/>
  <c r="P205" i="13"/>
  <c r="AI205" i="13" s="1"/>
  <c r="P209" i="13"/>
  <c r="AI209" i="13" s="1"/>
  <c r="V213" i="13"/>
  <c r="AB213" i="13" s="1"/>
  <c r="V217" i="13"/>
  <c r="W217" i="13" s="1"/>
  <c r="AD217" i="13" s="1"/>
  <c r="AC220" i="13"/>
  <c r="AE220" i="13" s="1"/>
  <c r="M220" i="13"/>
  <c r="O220" i="13" s="1"/>
  <c r="V220" i="13"/>
  <c r="W220" i="13" s="1"/>
  <c r="AD220" i="13" s="1"/>
  <c r="P220" i="13"/>
  <c r="AC224" i="13"/>
  <c r="AE224" i="13" s="1"/>
  <c r="M224" i="13"/>
  <c r="O224" i="13" s="1"/>
  <c r="V224" i="13"/>
  <c r="W224" i="13" s="1"/>
  <c r="AD224" i="13" s="1"/>
  <c r="N224" i="13"/>
  <c r="P224" i="13"/>
  <c r="W229" i="13"/>
  <c r="AD229" i="13" s="1"/>
  <c r="AC229" i="13"/>
  <c r="AE229" i="13" s="1"/>
  <c r="M229" i="13"/>
  <c r="N229" i="13" s="1"/>
  <c r="W233" i="13"/>
  <c r="AD233" i="13" s="1"/>
  <c r="AC233" i="13"/>
  <c r="AE233" i="13" s="1"/>
  <c r="M233" i="13"/>
  <c r="N233" i="13" s="1"/>
  <c r="P237" i="13"/>
  <c r="P241" i="13"/>
  <c r="AL241" i="13"/>
  <c r="X244" i="13"/>
  <c r="P245" i="13"/>
  <c r="AL245" i="13"/>
  <c r="R248" i="13"/>
  <c r="AI249" i="13"/>
  <c r="W249" i="13"/>
  <c r="AD249" i="13" s="1"/>
  <c r="S249" i="13"/>
  <c r="O249" i="13"/>
  <c r="K249" i="13"/>
  <c r="AK249" i="13"/>
  <c r="AC249" i="13"/>
  <c r="AE249" i="13" s="1"/>
  <c r="U249" i="13"/>
  <c r="AF249" i="13" s="1"/>
  <c r="Q249" i="13"/>
  <c r="M249" i="13"/>
  <c r="AH249" i="13"/>
  <c r="Z249" i="13"/>
  <c r="AA249" i="13" s="1"/>
  <c r="AG249" i="13" s="1"/>
  <c r="R249" i="13"/>
  <c r="T249" i="13"/>
  <c r="AJ249" i="13"/>
  <c r="X249" i="13"/>
  <c r="Y249" i="13" s="1"/>
  <c r="N249" i="13"/>
  <c r="R252" i="13"/>
  <c r="AI253" i="13"/>
  <c r="W253" i="13"/>
  <c r="AD253" i="13" s="1"/>
  <c r="S253" i="13"/>
  <c r="O253" i="13"/>
  <c r="K253" i="13"/>
  <c r="AK253" i="13"/>
  <c r="AC253" i="13"/>
  <c r="AE253" i="13" s="1"/>
  <c r="U253" i="13"/>
  <c r="AF253" i="13" s="1"/>
  <c r="Q253" i="13"/>
  <c r="M253" i="13"/>
  <c r="AH253" i="13"/>
  <c r="Z253" i="13"/>
  <c r="AA253" i="13" s="1"/>
  <c r="AG253" i="13" s="1"/>
  <c r="R253" i="13"/>
  <c r="AJ253" i="13"/>
  <c r="X253" i="13"/>
  <c r="Y253" i="13" s="1"/>
  <c r="N253" i="13"/>
  <c r="T253" i="13"/>
  <c r="AI256" i="13"/>
  <c r="W256" i="13"/>
  <c r="AD256" i="13" s="1"/>
  <c r="S256" i="13"/>
  <c r="O256" i="13"/>
  <c r="K256" i="13"/>
  <c r="AK256" i="13"/>
  <c r="AC256" i="13"/>
  <c r="AE256" i="13" s="1"/>
  <c r="Y256" i="13"/>
  <c r="U256" i="13"/>
  <c r="AF256" i="13" s="1"/>
  <c r="Q256" i="13"/>
  <c r="M256" i="13"/>
  <c r="AL256" i="13"/>
  <c r="V256" i="13"/>
  <c r="AB256" i="13" s="1"/>
  <c r="N256" i="13"/>
  <c r="AJ256" i="13"/>
  <c r="Z256" i="13"/>
  <c r="AA256" i="13" s="1"/>
  <c r="AG256" i="13" s="1"/>
  <c r="P256" i="13"/>
  <c r="T256" i="13"/>
  <c r="AH256" i="13"/>
  <c r="AI260" i="13"/>
  <c r="W260" i="13"/>
  <c r="AD260" i="13" s="1"/>
  <c r="S260" i="13"/>
  <c r="O260" i="13"/>
  <c r="K260" i="13"/>
  <c r="AK260" i="13"/>
  <c r="AC260" i="13"/>
  <c r="AE260" i="13" s="1"/>
  <c r="Y260" i="13"/>
  <c r="U260" i="13"/>
  <c r="AF260" i="13" s="1"/>
  <c r="Q260" i="13"/>
  <c r="M260" i="13"/>
  <c r="AL260" i="13"/>
  <c r="V260" i="13"/>
  <c r="AB260" i="13" s="1"/>
  <c r="N260" i="13"/>
  <c r="T260" i="13"/>
  <c r="AJ260" i="13"/>
  <c r="Z260" i="13"/>
  <c r="AA260" i="13" s="1"/>
  <c r="AG260" i="13" s="1"/>
  <c r="P260" i="13"/>
  <c r="AH260" i="13"/>
  <c r="V265" i="13"/>
  <c r="AB265" i="13" s="1"/>
  <c r="V269" i="13"/>
  <c r="AB269" i="13" s="1"/>
  <c r="X272" i="13"/>
  <c r="Y272" i="13" s="1"/>
  <c r="P273" i="13"/>
  <c r="AL273" i="13"/>
  <c r="X276" i="13"/>
  <c r="P277" i="13"/>
  <c r="AL277" i="13"/>
  <c r="R280" i="13"/>
  <c r="AI281" i="13"/>
  <c r="W281" i="13"/>
  <c r="AD281" i="13" s="1"/>
  <c r="S281" i="13"/>
  <c r="O281" i="13"/>
  <c r="K281" i="13"/>
  <c r="AK281" i="13"/>
  <c r="AC281" i="13"/>
  <c r="AE281" i="13" s="1"/>
  <c r="U281" i="13"/>
  <c r="AF281" i="13" s="1"/>
  <c r="Q281" i="13"/>
  <c r="M281" i="13"/>
  <c r="AH281" i="13"/>
  <c r="Z281" i="13"/>
  <c r="AA281" i="13" s="1"/>
  <c r="AG281" i="13" s="1"/>
  <c r="R281" i="13"/>
  <c r="T281" i="13"/>
  <c r="AJ281" i="13"/>
  <c r="X281" i="13"/>
  <c r="Y281" i="13" s="1"/>
  <c r="N281" i="13"/>
  <c r="R284" i="13"/>
  <c r="AI285" i="13"/>
  <c r="W285" i="13"/>
  <c r="AD285" i="13" s="1"/>
  <c r="S285" i="13"/>
  <c r="O285" i="13"/>
  <c r="K285" i="13"/>
  <c r="AK285" i="13"/>
  <c r="AC285" i="13"/>
  <c r="AE285" i="13" s="1"/>
  <c r="U285" i="13"/>
  <c r="AF285" i="13" s="1"/>
  <c r="Q285" i="13"/>
  <c r="M285" i="13"/>
  <c r="AH285" i="13"/>
  <c r="Z285" i="13"/>
  <c r="AA285" i="13" s="1"/>
  <c r="AG285" i="13" s="1"/>
  <c r="R285" i="13"/>
  <c r="AJ285" i="13"/>
  <c r="X285" i="13"/>
  <c r="Y285" i="13" s="1"/>
  <c r="N285" i="13"/>
  <c r="T285" i="13"/>
  <c r="AI288" i="13"/>
  <c r="W288" i="13"/>
  <c r="AD288" i="13" s="1"/>
  <c r="S288" i="13"/>
  <c r="O288" i="13"/>
  <c r="K288" i="13"/>
  <c r="AK288" i="13"/>
  <c r="AC288" i="13"/>
  <c r="AE288" i="13" s="1"/>
  <c r="Y288" i="13"/>
  <c r="U288" i="13"/>
  <c r="AF288" i="13" s="1"/>
  <c r="Q288" i="13"/>
  <c r="M288" i="13"/>
  <c r="AL288" i="13"/>
  <c r="V288" i="13"/>
  <c r="AB288" i="13" s="1"/>
  <c r="N288" i="13"/>
  <c r="AJ288" i="13"/>
  <c r="Z288" i="13"/>
  <c r="AA288" i="13" s="1"/>
  <c r="AG288" i="13" s="1"/>
  <c r="P288" i="13"/>
  <c r="T288" i="13"/>
  <c r="AH288" i="13"/>
  <c r="AI292" i="13"/>
  <c r="W292" i="13"/>
  <c r="AD292" i="13" s="1"/>
  <c r="S292" i="13"/>
  <c r="O292" i="13"/>
  <c r="K292" i="13"/>
  <c r="AK292" i="13"/>
  <c r="AC292" i="13"/>
  <c r="AE292" i="13" s="1"/>
  <c r="Y292" i="13"/>
  <c r="U292" i="13"/>
  <c r="AF292" i="13" s="1"/>
  <c r="Q292" i="13"/>
  <c r="M292" i="13"/>
  <c r="AL292" i="13"/>
  <c r="V292" i="13"/>
  <c r="AB292" i="13" s="1"/>
  <c r="N292" i="13"/>
  <c r="T292" i="13"/>
  <c r="AJ292" i="13"/>
  <c r="Z292" i="13"/>
  <c r="AA292" i="13" s="1"/>
  <c r="AG292" i="13" s="1"/>
  <c r="P292" i="13"/>
  <c r="AH292" i="13"/>
  <c r="V297" i="13"/>
  <c r="AB297" i="13" s="1"/>
  <c r="V301" i="13"/>
  <c r="AB301" i="13" s="1"/>
  <c r="X304" i="13"/>
  <c r="P305" i="13"/>
  <c r="AL305" i="13"/>
  <c r="X308" i="13"/>
  <c r="P309" i="13"/>
  <c r="AL309" i="13"/>
  <c r="R312" i="13"/>
  <c r="AI313" i="13"/>
  <c r="W313" i="13"/>
  <c r="AD313" i="13" s="1"/>
  <c r="S313" i="13"/>
  <c r="O313" i="13"/>
  <c r="K313" i="13"/>
  <c r="AK313" i="13"/>
  <c r="AC313" i="13"/>
  <c r="AE313" i="13" s="1"/>
  <c r="U313" i="13"/>
  <c r="AF313" i="13" s="1"/>
  <c r="Q313" i="13"/>
  <c r="M313" i="13"/>
  <c r="AH313" i="13"/>
  <c r="Z313" i="13"/>
  <c r="AA313" i="13" s="1"/>
  <c r="AG313" i="13" s="1"/>
  <c r="R313" i="13"/>
  <c r="T313" i="13"/>
  <c r="AJ313" i="13"/>
  <c r="X313" i="13"/>
  <c r="Y313" i="13" s="1"/>
  <c r="N313" i="13"/>
  <c r="R316" i="13"/>
  <c r="AI317" i="13"/>
  <c r="W317" i="13"/>
  <c r="AD317" i="13" s="1"/>
  <c r="S317" i="13"/>
  <c r="O317" i="13"/>
  <c r="K317" i="13"/>
  <c r="AK317" i="13"/>
  <c r="AC317" i="13"/>
  <c r="AE317" i="13" s="1"/>
  <c r="U317" i="13"/>
  <c r="AF317" i="13" s="1"/>
  <c r="Q317" i="13"/>
  <c r="M317" i="13"/>
  <c r="AH317" i="13"/>
  <c r="Z317" i="13"/>
  <c r="AA317" i="13" s="1"/>
  <c r="AG317" i="13" s="1"/>
  <c r="R317" i="13"/>
  <c r="AJ317" i="13"/>
  <c r="X317" i="13"/>
  <c r="Y317" i="13" s="1"/>
  <c r="N317" i="13"/>
  <c r="T317" i="13"/>
  <c r="AI320" i="13"/>
  <c r="W320" i="13"/>
  <c r="AD320" i="13" s="1"/>
  <c r="S320" i="13"/>
  <c r="O320" i="13"/>
  <c r="K320" i="13"/>
  <c r="AK320" i="13"/>
  <c r="AC320" i="13"/>
  <c r="AE320" i="13" s="1"/>
  <c r="Y320" i="13"/>
  <c r="U320" i="13"/>
  <c r="AF320" i="13" s="1"/>
  <c r="Q320" i="13"/>
  <c r="M320" i="13"/>
  <c r="AL320" i="13"/>
  <c r="V320" i="13"/>
  <c r="AB320" i="13" s="1"/>
  <c r="N320" i="13"/>
  <c r="AJ320" i="13"/>
  <c r="Z320" i="13"/>
  <c r="AA320" i="13" s="1"/>
  <c r="AG320" i="13" s="1"/>
  <c r="P320" i="13"/>
  <c r="T320" i="13"/>
  <c r="AH320" i="13"/>
  <c r="AI324" i="13"/>
  <c r="W324" i="13"/>
  <c r="AD324" i="13" s="1"/>
  <c r="S324" i="13"/>
  <c r="O324" i="13"/>
  <c r="K324" i="13"/>
  <c r="AK324" i="13"/>
  <c r="AC324" i="13"/>
  <c r="AE324" i="13" s="1"/>
  <c r="Y324" i="13"/>
  <c r="U324" i="13"/>
  <c r="AF324" i="13" s="1"/>
  <c r="Q324" i="13"/>
  <c r="M324" i="13"/>
  <c r="AL324" i="13"/>
  <c r="V324" i="13"/>
  <c r="AB324" i="13" s="1"/>
  <c r="N324" i="13"/>
  <c r="T324" i="13"/>
  <c r="AJ324" i="13"/>
  <c r="Z324" i="13"/>
  <c r="AA324" i="13" s="1"/>
  <c r="AG324" i="13" s="1"/>
  <c r="P324" i="13"/>
  <c r="AH324" i="13"/>
  <c r="V329" i="13"/>
  <c r="AB329" i="13" s="1"/>
  <c r="V333" i="13"/>
  <c r="AB333" i="13" s="1"/>
  <c r="X336" i="13"/>
  <c r="Y336" i="13" s="1"/>
  <c r="P337" i="13"/>
  <c r="AL337" i="13"/>
  <c r="X340" i="13"/>
  <c r="Y340" i="13" s="1"/>
  <c r="P341" i="13"/>
  <c r="AL341" i="13"/>
  <c r="R344" i="13"/>
  <c r="AI345" i="13"/>
  <c r="W345" i="13"/>
  <c r="AD345" i="13" s="1"/>
  <c r="S345" i="13"/>
  <c r="O345" i="13"/>
  <c r="K345" i="13"/>
  <c r="AK345" i="13"/>
  <c r="AC345" i="13"/>
  <c r="AE345" i="13" s="1"/>
  <c r="U345" i="13"/>
  <c r="AF345" i="13" s="1"/>
  <c r="Q345" i="13"/>
  <c r="M345" i="13"/>
  <c r="AH345" i="13"/>
  <c r="Z345" i="13"/>
  <c r="AA345" i="13" s="1"/>
  <c r="AG345" i="13" s="1"/>
  <c r="R345" i="13"/>
  <c r="T345" i="13"/>
  <c r="AJ345" i="13"/>
  <c r="X345" i="13"/>
  <c r="Y345" i="13" s="1"/>
  <c r="N345" i="13"/>
  <c r="R348" i="13"/>
  <c r="AI349" i="13"/>
  <c r="W349" i="13"/>
  <c r="AD349" i="13" s="1"/>
  <c r="S349" i="13"/>
  <c r="O349" i="13"/>
  <c r="K349" i="13"/>
  <c r="AK349" i="13"/>
  <c r="AC349" i="13"/>
  <c r="AE349" i="13" s="1"/>
  <c r="U349" i="13"/>
  <c r="AF349" i="13" s="1"/>
  <c r="Q349" i="13"/>
  <c r="M349" i="13"/>
  <c r="AH349" i="13"/>
  <c r="Z349" i="13"/>
  <c r="AA349" i="13" s="1"/>
  <c r="AG349" i="13" s="1"/>
  <c r="R349" i="13"/>
  <c r="AJ349" i="13"/>
  <c r="X349" i="13"/>
  <c r="Y349" i="13" s="1"/>
  <c r="N349" i="13"/>
  <c r="T349" i="13"/>
  <c r="AI352" i="13"/>
  <c r="W352" i="13"/>
  <c r="AD352" i="13" s="1"/>
  <c r="S352" i="13"/>
  <c r="O352" i="13"/>
  <c r="K352" i="13"/>
  <c r="AK352" i="13"/>
  <c r="AC352" i="13"/>
  <c r="AE352" i="13" s="1"/>
  <c r="Y352" i="13"/>
  <c r="U352" i="13"/>
  <c r="AF352" i="13" s="1"/>
  <c r="Q352" i="13"/>
  <c r="M352" i="13"/>
  <c r="AL352" i="13"/>
  <c r="V352" i="13"/>
  <c r="AB352" i="13" s="1"/>
  <c r="N352" i="13"/>
  <c r="AJ352" i="13"/>
  <c r="Z352" i="13"/>
  <c r="AA352" i="13" s="1"/>
  <c r="AG352" i="13" s="1"/>
  <c r="P352" i="13"/>
  <c r="T352" i="13"/>
  <c r="AH352" i="13"/>
  <c r="AI356" i="13"/>
  <c r="W356" i="13"/>
  <c r="AD356" i="13" s="1"/>
  <c r="S356" i="13"/>
  <c r="O356" i="13"/>
  <c r="K356" i="13"/>
  <c r="AK356" i="13"/>
  <c r="AC356" i="13"/>
  <c r="AE356" i="13" s="1"/>
  <c r="Y356" i="13"/>
  <c r="U356" i="13"/>
  <c r="AF356" i="13" s="1"/>
  <c r="Q356" i="13"/>
  <c r="M356" i="13"/>
  <c r="AL356" i="13"/>
  <c r="V356" i="13"/>
  <c r="AB356" i="13" s="1"/>
  <c r="N356" i="13"/>
  <c r="T356" i="13"/>
  <c r="AJ356" i="13"/>
  <c r="Z356" i="13"/>
  <c r="AA356" i="13" s="1"/>
  <c r="AG356" i="13" s="1"/>
  <c r="P356" i="13"/>
  <c r="AH356" i="13"/>
  <c r="V361" i="13"/>
  <c r="AB361" i="13" s="1"/>
  <c r="V365" i="13"/>
  <c r="AB365" i="13" s="1"/>
  <c r="X368" i="13"/>
  <c r="P369" i="13"/>
  <c r="AL369" i="13"/>
  <c r="X372" i="13"/>
  <c r="P373" i="13"/>
  <c r="AL373" i="13"/>
  <c r="R376" i="13"/>
  <c r="AI377" i="13"/>
  <c r="W377" i="13"/>
  <c r="AD377" i="13" s="1"/>
  <c r="S377" i="13"/>
  <c r="O377" i="13"/>
  <c r="K377" i="13"/>
  <c r="AK377" i="13"/>
  <c r="AC377" i="13"/>
  <c r="AE377" i="13" s="1"/>
  <c r="U377" i="13"/>
  <c r="AF377" i="13" s="1"/>
  <c r="Q377" i="13"/>
  <c r="M377" i="13"/>
  <c r="AH377" i="13"/>
  <c r="Z377" i="13"/>
  <c r="AA377" i="13" s="1"/>
  <c r="AG377" i="13" s="1"/>
  <c r="R377" i="13"/>
  <c r="T377" i="13"/>
  <c r="AJ377" i="13"/>
  <c r="X377" i="13"/>
  <c r="Y377" i="13" s="1"/>
  <c r="N377" i="13"/>
  <c r="R380" i="13"/>
  <c r="AI381" i="13"/>
  <c r="W381" i="13"/>
  <c r="AD381" i="13" s="1"/>
  <c r="S381" i="13"/>
  <c r="O381" i="13"/>
  <c r="K381" i="13"/>
  <c r="AK381" i="13"/>
  <c r="AC381" i="13"/>
  <c r="AE381" i="13" s="1"/>
  <c r="U381" i="13"/>
  <c r="AF381" i="13" s="1"/>
  <c r="Q381" i="13"/>
  <c r="M381" i="13"/>
  <c r="AH381" i="13"/>
  <c r="Z381" i="13"/>
  <c r="AA381" i="13" s="1"/>
  <c r="AG381" i="13" s="1"/>
  <c r="R381" i="13"/>
  <c r="AJ381" i="13"/>
  <c r="X381" i="13"/>
  <c r="Y381" i="13" s="1"/>
  <c r="N381" i="13"/>
  <c r="T381" i="13"/>
  <c r="AI384" i="13"/>
  <c r="W384" i="13"/>
  <c r="AD384" i="13" s="1"/>
  <c r="S384" i="13"/>
  <c r="O384" i="13"/>
  <c r="K384" i="13"/>
  <c r="AK384" i="13"/>
  <c r="AC384" i="13"/>
  <c r="AE384" i="13" s="1"/>
  <c r="Y384" i="13"/>
  <c r="U384" i="13"/>
  <c r="AF384" i="13" s="1"/>
  <c r="Q384" i="13"/>
  <c r="M384" i="13"/>
  <c r="AL384" i="13"/>
  <c r="V384" i="13"/>
  <c r="AB384" i="13" s="1"/>
  <c r="N384" i="13"/>
  <c r="AJ384" i="13"/>
  <c r="Z384" i="13"/>
  <c r="AA384" i="13" s="1"/>
  <c r="AG384" i="13" s="1"/>
  <c r="P384" i="13"/>
  <c r="T384" i="13"/>
  <c r="AH384" i="13"/>
  <c r="AI388" i="13"/>
  <c r="W388" i="13"/>
  <c r="AD388" i="13" s="1"/>
  <c r="S388" i="13"/>
  <c r="O388" i="13"/>
  <c r="K388" i="13"/>
  <c r="AK388" i="13"/>
  <c r="AC388" i="13"/>
  <c r="AE388" i="13" s="1"/>
  <c r="Y388" i="13"/>
  <c r="U388" i="13"/>
  <c r="AF388" i="13" s="1"/>
  <c r="Q388" i="13"/>
  <c r="M388" i="13"/>
  <c r="AL388" i="13"/>
  <c r="V388" i="13"/>
  <c r="AB388" i="13" s="1"/>
  <c r="N388" i="13"/>
  <c r="T388" i="13"/>
  <c r="AJ388" i="13"/>
  <c r="Z388" i="13"/>
  <c r="AA388" i="13" s="1"/>
  <c r="AG388" i="13" s="1"/>
  <c r="P388" i="13"/>
  <c r="AH388" i="13"/>
  <c r="V393" i="13"/>
  <c r="AB393" i="13" s="1"/>
  <c r="V397" i="13"/>
  <c r="AB397" i="13" s="1"/>
  <c r="X400" i="13"/>
  <c r="Y400" i="13" s="1"/>
  <c r="P401" i="13"/>
  <c r="AL401" i="13"/>
  <c r="X404" i="13"/>
  <c r="P405" i="13"/>
  <c r="AL405" i="13"/>
  <c r="R408" i="13"/>
  <c r="AI409" i="13"/>
  <c r="W409" i="13"/>
  <c r="AD409" i="13" s="1"/>
  <c r="S409" i="13"/>
  <c r="O409" i="13"/>
  <c r="K409" i="13"/>
  <c r="AK409" i="13"/>
  <c r="AC409" i="13"/>
  <c r="AE409" i="13" s="1"/>
  <c r="U409" i="13"/>
  <c r="AF409" i="13" s="1"/>
  <c r="Q409" i="13"/>
  <c r="M409" i="13"/>
  <c r="AH409" i="13"/>
  <c r="Z409" i="13"/>
  <c r="AA409" i="13" s="1"/>
  <c r="AG409" i="13" s="1"/>
  <c r="R409" i="13"/>
  <c r="T409" i="13"/>
  <c r="AJ409" i="13"/>
  <c r="X409" i="13"/>
  <c r="Y409" i="13" s="1"/>
  <c r="N409" i="13"/>
  <c r="R412" i="13"/>
  <c r="AI413" i="13"/>
  <c r="W413" i="13"/>
  <c r="AD413" i="13" s="1"/>
  <c r="S413" i="13"/>
  <c r="O413" i="13"/>
  <c r="K413" i="13"/>
  <c r="AK413" i="13"/>
  <c r="AC413" i="13"/>
  <c r="AE413" i="13" s="1"/>
  <c r="U413" i="13"/>
  <c r="AF413" i="13" s="1"/>
  <c r="Q413" i="13"/>
  <c r="M413" i="13"/>
  <c r="AH413" i="13"/>
  <c r="Z413" i="13"/>
  <c r="AA413" i="13" s="1"/>
  <c r="AG413" i="13" s="1"/>
  <c r="R413" i="13"/>
  <c r="AJ413" i="13"/>
  <c r="X413" i="13"/>
  <c r="Y413" i="13" s="1"/>
  <c r="N413" i="13"/>
  <c r="T413" i="13"/>
  <c r="AI416" i="13"/>
  <c r="W416" i="13"/>
  <c r="AD416" i="13" s="1"/>
  <c r="S416" i="13"/>
  <c r="O416" i="13"/>
  <c r="K416" i="13"/>
  <c r="AK416" i="13"/>
  <c r="AC416" i="13"/>
  <c r="AE416" i="13" s="1"/>
  <c r="Y416" i="13"/>
  <c r="U416" i="13"/>
  <c r="AF416" i="13" s="1"/>
  <c r="Q416" i="13"/>
  <c r="M416" i="13"/>
  <c r="AL416" i="13"/>
  <c r="V416" i="13"/>
  <c r="AB416" i="13" s="1"/>
  <c r="N416" i="13"/>
  <c r="AJ416" i="13"/>
  <c r="Z416" i="13"/>
  <c r="AA416" i="13" s="1"/>
  <c r="AG416" i="13" s="1"/>
  <c r="P416" i="13"/>
  <c r="T416" i="13"/>
  <c r="AH416" i="13"/>
  <c r="AI420" i="13"/>
  <c r="W420" i="13"/>
  <c r="AD420" i="13" s="1"/>
  <c r="S420" i="13"/>
  <c r="O420" i="13"/>
  <c r="K420" i="13"/>
  <c r="AK420" i="13"/>
  <c r="AC420" i="13"/>
  <c r="AE420" i="13" s="1"/>
  <c r="Y420" i="13"/>
  <c r="U420" i="13"/>
  <c r="AF420" i="13" s="1"/>
  <c r="Q420" i="13"/>
  <c r="M420" i="13"/>
  <c r="AL420" i="13"/>
  <c r="V420" i="13"/>
  <c r="AB420" i="13" s="1"/>
  <c r="N420" i="13"/>
  <c r="T420" i="13"/>
  <c r="AJ420" i="13"/>
  <c r="Z420" i="13"/>
  <c r="AA420" i="13" s="1"/>
  <c r="AG420" i="13" s="1"/>
  <c r="P420" i="13"/>
  <c r="AH420" i="13"/>
  <c r="V425" i="13"/>
  <c r="AB425" i="13" s="1"/>
  <c r="V429" i="13"/>
  <c r="AB429" i="13" s="1"/>
  <c r="X432" i="13"/>
  <c r="P433" i="13"/>
  <c r="AL433" i="13"/>
  <c r="X436" i="13"/>
  <c r="P437" i="13"/>
  <c r="AL437" i="13"/>
  <c r="R440" i="13"/>
  <c r="AI441" i="13"/>
  <c r="W441" i="13"/>
  <c r="AD441" i="13" s="1"/>
  <c r="S441" i="13"/>
  <c r="O441" i="13"/>
  <c r="K441" i="13"/>
  <c r="AK441" i="13"/>
  <c r="AC441" i="13"/>
  <c r="AE441" i="13" s="1"/>
  <c r="U441" i="13"/>
  <c r="AF441" i="13" s="1"/>
  <c r="Q441" i="13"/>
  <c r="M441" i="13"/>
  <c r="AH441" i="13"/>
  <c r="Z441" i="13"/>
  <c r="AA441" i="13" s="1"/>
  <c r="AG441" i="13" s="1"/>
  <c r="R441" i="13"/>
  <c r="T441" i="13"/>
  <c r="AJ441" i="13"/>
  <c r="X441" i="13"/>
  <c r="Y441" i="13" s="1"/>
  <c r="N441" i="13"/>
  <c r="R444" i="13"/>
  <c r="AI445" i="13"/>
  <c r="W445" i="13"/>
  <c r="AD445" i="13" s="1"/>
  <c r="S445" i="13"/>
  <c r="O445" i="13"/>
  <c r="K445" i="13"/>
  <c r="AK445" i="13"/>
  <c r="AC445" i="13"/>
  <c r="AE445" i="13" s="1"/>
  <c r="U445" i="13"/>
  <c r="AF445" i="13" s="1"/>
  <c r="Q445" i="13"/>
  <c r="M445" i="13"/>
  <c r="AH445" i="13"/>
  <c r="Z445" i="13"/>
  <c r="AA445" i="13" s="1"/>
  <c r="AG445" i="13" s="1"/>
  <c r="R445" i="13"/>
  <c r="AJ445" i="13"/>
  <c r="X445" i="13"/>
  <c r="Y445" i="13" s="1"/>
  <c r="N445" i="13"/>
  <c r="T445" i="13"/>
  <c r="AI448" i="13"/>
  <c r="W448" i="13"/>
  <c r="AD448" i="13" s="1"/>
  <c r="S448" i="13"/>
  <c r="O448" i="13"/>
  <c r="K448" i="13"/>
  <c r="AK448" i="13"/>
  <c r="AC448" i="13"/>
  <c r="AE448" i="13" s="1"/>
  <c r="Y448" i="13"/>
  <c r="U448" i="13"/>
  <c r="AF448" i="13" s="1"/>
  <c r="Q448" i="13"/>
  <c r="M448" i="13"/>
  <c r="AL448" i="13"/>
  <c r="V448" i="13"/>
  <c r="AB448" i="13" s="1"/>
  <c r="N448" i="13"/>
  <c r="AJ448" i="13"/>
  <c r="Z448" i="13"/>
  <c r="AA448" i="13" s="1"/>
  <c r="AG448" i="13" s="1"/>
  <c r="P448" i="13"/>
  <c r="T448" i="13"/>
  <c r="AH448" i="13"/>
  <c r="AI452" i="13"/>
  <c r="W452" i="13"/>
  <c r="AD452" i="13" s="1"/>
  <c r="S452" i="13"/>
  <c r="O452" i="13"/>
  <c r="K452" i="13"/>
  <c r="AK452" i="13"/>
  <c r="AC452" i="13"/>
  <c r="AE452" i="13" s="1"/>
  <c r="Y452" i="13"/>
  <c r="U452" i="13"/>
  <c r="AF452" i="13" s="1"/>
  <c r="Q452" i="13"/>
  <c r="M452" i="13"/>
  <c r="AL452" i="13"/>
  <c r="V452" i="13"/>
  <c r="AB452" i="13" s="1"/>
  <c r="N452" i="13"/>
  <c r="T452" i="13"/>
  <c r="AJ452" i="13"/>
  <c r="Z452" i="13"/>
  <c r="AA452" i="13" s="1"/>
  <c r="AG452" i="13" s="1"/>
  <c r="P452" i="13"/>
  <c r="AH452" i="13"/>
  <c r="V457" i="13"/>
  <c r="AB457" i="13" s="1"/>
  <c r="V461" i="13"/>
  <c r="AB461" i="13" s="1"/>
  <c r="X464" i="13"/>
  <c r="Y464" i="13" s="1"/>
  <c r="P465" i="13"/>
  <c r="AL465" i="13"/>
  <c r="X468" i="13"/>
  <c r="Y468" i="13" s="1"/>
  <c r="P469" i="13"/>
  <c r="AL469" i="13"/>
  <c r="R472" i="13"/>
  <c r="AI473" i="13"/>
  <c r="W473" i="13"/>
  <c r="AD473" i="13" s="1"/>
  <c r="S473" i="13"/>
  <c r="O473" i="13"/>
  <c r="K473" i="13"/>
  <c r="AK473" i="13"/>
  <c r="AC473" i="13"/>
  <c r="AE473" i="13" s="1"/>
  <c r="U473" i="13"/>
  <c r="AF473" i="13" s="1"/>
  <c r="Q473" i="13"/>
  <c r="M473" i="13"/>
  <c r="AH473" i="13"/>
  <c r="Z473" i="13"/>
  <c r="AA473" i="13" s="1"/>
  <c r="AG473" i="13" s="1"/>
  <c r="R473" i="13"/>
  <c r="T473" i="13"/>
  <c r="AJ473" i="13"/>
  <c r="X473" i="13"/>
  <c r="Y473" i="13" s="1"/>
  <c r="N473" i="13"/>
  <c r="R476" i="13"/>
  <c r="AI477" i="13"/>
  <c r="W477" i="13"/>
  <c r="AD477" i="13" s="1"/>
  <c r="S477" i="13"/>
  <c r="O477" i="13"/>
  <c r="K477" i="13"/>
  <c r="AK477" i="13"/>
  <c r="AC477" i="13"/>
  <c r="AE477" i="13" s="1"/>
  <c r="U477" i="13"/>
  <c r="AF477" i="13" s="1"/>
  <c r="Q477" i="13"/>
  <c r="M477" i="13"/>
  <c r="AH477" i="13"/>
  <c r="Z477" i="13"/>
  <c r="AA477" i="13" s="1"/>
  <c r="AG477" i="13" s="1"/>
  <c r="R477" i="13"/>
  <c r="AJ477" i="13"/>
  <c r="X477" i="13"/>
  <c r="Y477" i="13" s="1"/>
  <c r="N477" i="13"/>
  <c r="T477" i="13"/>
  <c r="AI480" i="13"/>
  <c r="W480" i="13"/>
  <c r="AD480" i="13" s="1"/>
  <c r="S480" i="13"/>
  <c r="O480" i="13"/>
  <c r="K480" i="13"/>
  <c r="AK480" i="13"/>
  <c r="AC480" i="13"/>
  <c r="AE480" i="13" s="1"/>
  <c r="Y480" i="13"/>
  <c r="U480" i="13"/>
  <c r="AF480" i="13" s="1"/>
  <c r="Q480" i="13"/>
  <c r="M480" i="13"/>
  <c r="AL480" i="13"/>
  <c r="V480" i="13"/>
  <c r="AB480" i="13" s="1"/>
  <c r="N480" i="13"/>
  <c r="AJ480" i="13"/>
  <c r="Z480" i="13"/>
  <c r="AA480" i="13" s="1"/>
  <c r="AG480" i="13" s="1"/>
  <c r="P480" i="13"/>
  <c r="T480" i="13"/>
  <c r="AH480" i="13"/>
  <c r="AI484" i="13"/>
  <c r="W484" i="13"/>
  <c r="AD484" i="13" s="1"/>
  <c r="S484" i="13"/>
  <c r="O484" i="13"/>
  <c r="K484" i="13"/>
  <c r="AK484" i="13"/>
  <c r="AC484" i="13"/>
  <c r="AE484" i="13" s="1"/>
  <c r="Y484" i="13"/>
  <c r="U484" i="13"/>
  <c r="AF484" i="13" s="1"/>
  <c r="Q484" i="13"/>
  <c r="M484" i="13"/>
  <c r="AL484" i="13"/>
  <c r="V484" i="13"/>
  <c r="AB484" i="13" s="1"/>
  <c r="N484" i="13"/>
  <c r="T484" i="13"/>
  <c r="AJ484" i="13"/>
  <c r="Z484" i="13"/>
  <c r="AA484" i="13" s="1"/>
  <c r="AG484" i="13" s="1"/>
  <c r="P484" i="13"/>
  <c r="AH484" i="13"/>
  <c r="V489" i="13"/>
  <c r="AB489" i="13" s="1"/>
  <c r="V493" i="13"/>
  <c r="AB493" i="13" s="1"/>
  <c r="X496" i="13"/>
  <c r="Y496" i="13" s="1"/>
  <c r="P497" i="13"/>
  <c r="AL497" i="13"/>
  <c r="X500" i="13"/>
  <c r="AI4" i="14"/>
  <c r="O4" i="14"/>
  <c r="R4" i="14" s="1"/>
  <c r="AC4" i="14"/>
  <c r="AE4" i="14" s="1"/>
  <c r="U4" i="14"/>
  <c r="AF4" i="14" s="1"/>
  <c r="M4" i="14"/>
  <c r="AH4" i="14"/>
  <c r="AJ4" i="14"/>
  <c r="N4" i="14"/>
  <c r="S4" i="14" s="1"/>
  <c r="AC202" i="13"/>
  <c r="AE202" i="13" s="1"/>
  <c r="AC201" i="13"/>
  <c r="AE201" i="13" s="1"/>
  <c r="AC200" i="13"/>
  <c r="AE200" i="13" s="1"/>
  <c r="AC198" i="13"/>
  <c r="AE198" i="13" s="1"/>
  <c r="AC197" i="13"/>
  <c r="AE197" i="13" s="1"/>
  <c r="AC196" i="13"/>
  <c r="AE196" i="13" s="1"/>
  <c r="AC194" i="13"/>
  <c r="AE194" i="13" s="1"/>
  <c r="AC193" i="13"/>
  <c r="AE193" i="13" s="1"/>
  <c r="AC192" i="13"/>
  <c r="AE192" i="13" s="1"/>
  <c r="AC190" i="13"/>
  <c r="AE190" i="13" s="1"/>
  <c r="AC189" i="13"/>
  <c r="AE189" i="13" s="1"/>
  <c r="AC188" i="13"/>
  <c r="AE188" i="13" s="1"/>
  <c r="AC186" i="13"/>
  <c r="AE186" i="13" s="1"/>
  <c r="AC185" i="13"/>
  <c r="AE185" i="13" s="1"/>
  <c r="AC184" i="13"/>
  <c r="AE184" i="13" s="1"/>
  <c r="AC182" i="13"/>
  <c r="AE182" i="13" s="1"/>
  <c r="AC181" i="13"/>
  <c r="AE181" i="13" s="1"/>
  <c r="AC180" i="13"/>
  <c r="AE180" i="13" s="1"/>
  <c r="AC178" i="13"/>
  <c r="AE178" i="13" s="1"/>
  <c r="AC177" i="13"/>
  <c r="AE177" i="13" s="1"/>
  <c r="AC176" i="13"/>
  <c r="AE176" i="13" s="1"/>
  <c r="AC174" i="13"/>
  <c r="AE174" i="13" s="1"/>
  <c r="AC173" i="13"/>
  <c r="AE173" i="13" s="1"/>
  <c r="AC172" i="13"/>
  <c r="AE172" i="13" s="1"/>
  <c r="O21" i="14"/>
  <c r="O30" i="14"/>
  <c r="O34" i="14"/>
  <c r="O39" i="14"/>
  <c r="O46" i="14"/>
  <c r="O51" i="14"/>
  <c r="O74" i="14"/>
  <c r="P5" i="10"/>
  <c r="T5" i="10"/>
  <c r="X5" i="10"/>
  <c r="Y5" i="10" s="1"/>
  <c r="AB5" i="10"/>
  <c r="P9" i="10"/>
  <c r="T9" i="10"/>
  <c r="X9" i="10"/>
  <c r="Y9" i="10" s="1"/>
  <c r="AB9" i="10"/>
  <c r="P10" i="10"/>
  <c r="T10" i="10"/>
  <c r="X10" i="10"/>
  <c r="Y10" i="10" s="1"/>
  <c r="AB10" i="10"/>
  <c r="P11" i="10"/>
  <c r="T11" i="10"/>
  <c r="X11" i="10"/>
  <c r="Y11" i="10" s="1"/>
  <c r="AB11" i="10"/>
  <c r="P12" i="10"/>
  <c r="T12" i="10"/>
  <c r="X12" i="10"/>
  <c r="Y12" i="10" s="1"/>
  <c r="AB12" i="10"/>
  <c r="P13" i="10"/>
  <c r="T13" i="10"/>
  <c r="X13" i="10"/>
  <c r="Y13" i="10" s="1"/>
  <c r="AB13" i="10"/>
  <c r="P14" i="10"/>
  <c r="T14" i="10"/>
  <c r="X14" i="10"/>
  <c r="Y14" i="10" s="1"/>
  <c r="AB14" i="10"/>
  <c r="P15" i="10"/>
  <c r="T15" i="10"/>
  <c r="X15" i="10"/>
  <c r="Y15" i="10" s="1"/>
  <c r="AB15" i="10"/>
  <c r="P16" i="10"/>
  <c r="T16" i="10"/>
  <c r="X16" i="10"/>
  <c r="Y16" i="10" s="1"/>
  <c r="AB16" i="10"/>
  <c r="P17" i="10"/>
  <c r="T17" i="10"/>
  <c r="X17" i="10"/>
  <c r="Y17" i="10" s="1"/>
  <c r="AB17" i="10"/>
  <c r="P18" i="10"/>
  <c r="T18" i="10"/>
  <c r="X18" i="10"/>
  <c r="Y18" i="10" s="1"/>
  <c r="AB18" i="10"/>
  <c r="P19" i="10"/>
  <c r="T19" i="10"/>
  <c r="X19" i="10"/>
  <c r="Y19" i="10" s="1"/>
  <c r="AB19" i="10"/>
  <c r="P20" i="10"/>
  <c r="T20" i="10"/>
  <c r="X20" i="10"/>
  <c r="Y20" i="10" s="1"/>
  <c r="AB20" i="10"/>
  <c r="P21" i="10"/>
  <c r="T21" i="10"/>
  <c r="X21" i="10"/>
  <c r="Y21" i="10" s="1"/>
  <c r="AB21" i="10"/>
  <c r="P22" i="10"/>
  <c r="T22" i="10"/>
  <c r="X22" i="10"/>
  <c r="Y22" i="10" s="1"/>
  <c r="AB22" i="10"/>
  <c r="P23" i="10"/>
  <c r="T23" i="10"/>
  <c r="X23" i="10"/>
  <c r="Y23" i="10" s="1"/>
  <c r="AB23" i="10"/>
  <c r="P24" i="10"/>
  <c r="T24" i="10"/>
  <c r="X24" i="10"/>
  <c r="Y24" i="10" s="1"/>
  <c r="AB24" i="10"/>
  <c r="P25" i="10"/>
  <c r="T25" i="10"/>
  <c r="X25" i="10"/>
  <c r="Y25" i="10" s="1"/>
  <c r="AB25" i="10"/>
  <c r="P26" i="10"/>
  <c r="T26" i="10"/>
  <c r="X26" i="10"/>
  <c r="Y26" i="10" s="1"/>
  <c r="AB26" i="10"/>
  <c r="P27" i="10"/>
  <c r="T27" i="10"/>
  <c r="X27" i="10"/>
  <c r="Y27" i="10" s="1"/>
  <c r="AB27" i="10"/>
  <c r="P28" i="10"/>
  <c r="T28" i="10"/>
  <c r="X28" i="10"/>
  <c r="Y28" i="10" s="1"/>
  <c r="AB28" i="10"/>
  <c r="P29" i="10"/>
  <c r="T29" i="10"/>
  <c r="X29" i="10"/>
  <c r="Y29" i="10" s="1"/>
  <c r="AB29" i="10"/>
  <c r="P30" i="10"/>
  <c r="T30" i="10"/>
  <c r="X30" i="10"/>
  <c r="Y30" i="10" s="1"/>
  <c r="AB30" i="10"/>
  <c r="P31" i="10"/>
  <c r="T31" i="10"/>
  <c r="X31" i="10"/>
  <c r="Y31" i="10" s="1"/>
  <c r="AB31" i="10"/>
  <c r="P32" i="10"/>
  <c r="T32" i="10"/>
  <c r="X32" i="10"/>
  <c r="Y32" i="10" s="1"/>
  <c r="AB32" i="10"/>
  <c r="P33" i="10"/>
  <c r="T33" i="10"/>
  <c r="X33" i="10"/>
  <c r="Y33" i="10" s="1"/>
  <c r="AB33" i="10"/>
  <c r="P34" i="10"/>
  <c r="T34" i="10"/>
  <c r="X34" i="10"/>
  <c r="Y34" i="10" s="1"/>
  <c r="AB34" i="10"/>
  <c r="P35" i="10"/>
  <c r="T35" i="10"/>
  <c r="X35" i="10"/>
  <c r="Y35" i="10" s="1"/>
  <c r="AB35" i="10"/>
  <c r="P36" i="10"/>
  <c r="T36" i="10"/>
  <c r="X36" i="10"/>
  <c r="Y36" i="10" s="1"/>
  <c r="AB36" i="10"/>
  <c r="P37" i="10"/>
  <c r="T37" i="10"/>
  <c r="X37" i="10"/>
  <c r="Y37" i="10" s="1"/>
  <c r="AB37" i="10"/>
  <c r="P38" i="10"/>
  <c r="T38" i="10"/>
  <c r="X38" i="10"/>
  <c r="Y38" i="10" s="1"/>
  <c r="AB38" i="10"/>
  <c r="P39" i="10"/>
  <c r="T39" i="10"/>
  <c r="X39" i="10"/>
  <c r="Y39" i="10" s="1"/>
  <c r="AB39" i="10"/>
  <c r="P40" i="10"/>
  <c r="T40" i="10"/>
  <c r="X40" i="10"/>
  <c r="Y40" i="10" s="1"/>
  <c r="AB40" i="10"/>
  <c r="P41" i="10"/>
  <c r="T41" i="10"/>
  <c r="X41" i="10"/>
  <c r="Y41" i="10" s="1"/>
  <c r="AB41" i="10"/>
  <c r="P42" i="10"/>
  <c r="T42" i="10"/>
  <c r="X42" i="10"/>
  <c r="Y42" i="10" s="1"/>
  <c r="AB42" i="10"/>
  <c r="P43" i="10"/>
  <c r="T43" i="10"/>
  <c r="X43" i="10"/>
  <c r="Y43" i="10" s="1"/>
  <c r="AB43" i="10"/>
  <c r="P44" i="10"/>
  <c r="T44" i="10"/>
  <c r="X44" i="10"/>
  <c r="Y44" i="10" s="1"/>
  <c r="AB44" i="10"/>
  <c r="P45" i="10"/>
  <c r="T45" i="10"/>
  <c r="X45" i="10"/>
  <c r="Y45" i="10" s="1"/>
  <c r="AB45" i="10"/>
  <c r="P46" i="10"/>
  <c r="T46" i="10"/>
  <c r="X46" i="10"/>
  <c r="Y46" i="10" s="1"/>
  <c r="AB46" i="10"/>
  <c r="P47" i="10"/>
  <c r="T47" i="10"/>
  <c r="X47" i="10"/>
  <c r="Y47" i="10" s="1"/>
  <c r="AB47" i="10"/>
  <c r="P48" i="10"/>
  <c r="T48" i="10"/>
  <c r="X48" i="10"/>
  <c r="Y48" i="10" s="1"/>
  <c r="AB48" i="10"/>
  <c r="P49" i="10"/>
  <c r="T49" i="10"/>
  <c r="X49" i="10"/>
  <c r="Y49" i="10" s="1"/>
  <c r="AB49" i="10"/>
  <c r="P50" i="10"/>
  <c r="T50" i="10"/>
  <c r="X50" i="10"/>
  <c r="Y50" i="10" s="1"/>
  <c r="AB50" i="10"/>
  <c r="P51" i="10"/>
  <c r="T51" i="10"/>
  <c r="X51" i="10"/>
  <c r="Y51" i="10" s="1"/>
  <c r="AB51" i="10"/>
  <c r="P52" i="10"/>
  <c r="T52" i="10"/>
  <c r="X52" i="10"/>
  <c r="Y52" i="10" s="1"/>
  <c r="AB52" i="10"/>
  <c r="P53" i="10"/>
  <c r="T53" i="10"/>
  <c r="X53" i="10"/>
  <c r="Y53" i="10" s="1"/>
  <c r="AB53" i="10"/>
  <c r="P54" i="10"/>
  <c r="T54" i="10"/>
  <c r="X54" i="10"/>
  <c r="Y54" i="10" s="1"/>
  <c r="AB54" i="10"/>
  <c r="P55" i="10"/>
  <c r="T55" i="10"/>
  <c r="X55" i="10"/>
  <c r="Y55" i="10" s="1"/>
  <c r="AB55" i="10"/>
  <c r="P56" i="10"/>
  <c r="T56" i="10"/>
  <c r="X56" i="10"/>
  <c r="Y56" i="10" s="1"/>
  <c r="AB56" i="10"/>
  <c r="P57" i="10"/>
  <c r="T57" i="10"/>
  <c r="X57" i="10"/>
  <c r="Y57" i="10" s="1"/>
  <c r="AB57" i="10"/>
  <c r="P58" i="10"/>
  <c r="T58" i="10"/>
  <c r="X58" i="10"/>
  <c r="Y58" i="10" s="1"/>
  <c r="AB58" i="10"/>
  <c r="P59" i="10"/>
  <c r="T59" i="10"/>
  <c r="X59" i="10"/>
  <c r="Y59" i="10" s="1"/>
  <c r="AB59" i="10"/>
  <c r="P60" i="10"/>
  <c r="T60" i="10"/>
  <c r="X60" i="10"/>
  <c r="Y60" i="10" s="1"/>
  <c r="AB60" i="10"/>
  <c r="P61" i="10"/>
  <c r="T61" i="10"/>
  <c r="X61" i="10"/>
  <c r="Y61" i="10" s="1"/>
  <c r="AB61" i="10"/>
  <c r="P62" i="10"/>
  <c r="T62" i="10"/>
  <c r="X62" i="10"/>
  <c r="Y62" i="10" s="1"/>
  <c r="AB62" i="10"/>
  <c r="P63" i="10"/>
  <c r="T63" i="10"/>
  <c r="X63" i="10"/>
  <c r="Y63" i="10" s="1"/>
  <c r="AB63" i="10"/>
  <c r="P64" i="10"/>
  <c r="T64" i="10"/>
  <c r="X64" i="10"/>
  <c r="Y64" i="10" s="1"/>
  <c r="AB64" i="10"/>
  <c r="P65" i="10"/>
  <c r="T65" i="10"/>
  <c r="X65" i="10"/>
  <c r="Y65" i="10" s="1"/>
  <c r="AB65" i="10"/>
  <c r="P66" i="10"/>
  <c r="T66" i="10"/>
  <c r="X66" i="10"/>
  <c r="Y66" i="10" s="1"/>
  <c r="AB66" i="10"/>
  <c r="P67" i="10"/>
  <c r="T67" i="10"/>
  <c r="X67" i="10"/>
  <c r="Y67" i="10" s="1"/>
  <c r="AB67" i="10"/>
  <c r="P68" i="10"/>
  <c r="T68" i="10"/>
  <c r="X68" i="10"/>
  <c r="Y68" i="10" s="1"/>
  <c r="AB68" i="10"/>
  <c r="P69" i="10"/>
  <c r="T69" i="10"/>
  <c r="X69" i="10"/>
  <c r="Y69" i="10" s="1"/>
  <c r="AB69" i="10"/>
  <c r="P70" i="10"/>
  <c r="T70" i="10"/>
  <c r="X70" i="10"/>
  <c r="Y70" i="10" s="1"/>
  <c r="AB70" i="10"/>
  <c r="P71" i="10"/>
  <c r="T71" i="10"/>
  <c r="X71" i="10"/>
  <c r="Y71" i="10" s="1"/>
  <c r="AB71" i="10"/>
  <c r="P72" i="10"/>
  <c r="T72" i="10"/>
  <c r="X72" i="10"/>
  <c r="Y72" i="10" s="1"/>
  <c r="AB72" i="10"/>
  <c r="P73" i="10"/>
  <c r="T73" i="10"/>
  <c r="X73" i="10"/>
  <c r="Y73" i="10" s="1"/>
  <c r="AB73" i="10"/>
  <c r="P74" i="10"/>
  <c r="T74" i="10"/>
  <c r="X74" i="10"/>
  <c r="Y74" i="10" s="1"/>
  <c r="AB74" i="10"/>
  <c r="P75" i="10"/>
  <c r="T75" i="10"/>
  <c r="X75" i="10"/>
  <c r="Y75" i="10" s="1"/>
  <c r="AB75" i="10"/>
  <c r="P76" i="10"/>
  <c r="T76" i="10"/>
  <c r="X76" i="10"/>
  <c r="Y76" i="10" s="1"/>
  <c r="AB76" i="10"/>
  <c r="P77" i="10"/>
  <c r="T77" i="10"/>
  <c r="X77" i="10"/>
  <c r="Y77" i="10" s="1"/>
  <c r="AB77" i="10"/>
  <c r="P78" i="10"/>
  <c r="T78" i="10"/>
  <c r="X78" i="10"/>
  <c r="Y78" i="10" s="1"/>
  <c r="AB78" i="10"/>
  <c r="P79" i="10"/>
  <c r="T79" i="10"/>
  <c r="X79" i="10"/>
  <c r="Y79" i="10" s="1"/>
  <c r="AB79" i="10"/>
  <c r="P80" i="10"/>
  <c r="T80" i="10"/>
  <c r="X80" i="10"/>
  <c r="Y80" i="10" s="1"/>
  <c r="AB80" i="10"/>
  <c r="P81" i="10"/>
  <c r="T81" i="10"/>
  <c r="X81" i="10"/>
  <c r="Y81" i="10" s="1"/>
  <c r="AB81" i="10"/>
  <c r="P82" i="10"/>
  <c r="T82" i="10"/>
  <c r="X82" i="10"/>
  <c r="Y82" i="10" s="1"/>
  <c r="AB82" i="10"/>
  <c r="P83" i="10"/>
  <c r="T83" i="10"/>
  <c r="X83" i="10"/>
  <c r="Y83" i="10" s="1"/>
  <c r="AB83" i="10"/>
  <c r="P84" i="10"/>
  <c r="T84" i="10"/>
  <c r="X84" i="10"/>
  <c r="Y84" i="10" s="1"/>
  <c r="AB84" i="10"/>
  <c r="P85" i="10"/>
  <c r="T85" i="10"/>
  <c r="X85" i="10"/>
  <c r="Y85" i="10" s="1"/>
  <c r="AB85" i="10"/>
  <c r="P86" i="10"/>
  <c r="T86" i="10"/>
  <c r="X86" i="10"/>
  <c r="Y86" i="10" s="1"/>
  <c r="AB86" i="10"/>
  <c r="P87" i="10"/>
  <c r="T87" i="10"/>
  <c r="X87" i="10"/>
  <c r="Y87" i="10" s="1"/>
  <c r="AB87" i="10"/>
  <c r="P88" i="10"/>
  <c r="T88" i="10"/>
  <c r="X88" i="10"/>
  <c r="Y88" i="10" s="1"/>
  <c r="AB88" i="10"/>
  <c r="P89" i="10"/>
  <c r="T89" i="10"/>
  <c r="X89" i="10"/>
  <c r="Y89" i="10" s="1"/>
  <c r="AB89" i="10"/>
  <c r="P90" i="10"/>
  <c r="T90" i="10"/>
  <c r="X90" i="10"/>
  <c r="Y90" i="10" s="1"/>
  <c r="AB90" i="10"/>
  <c r="P91" i="10"/>
  <c r="T91" i="10"/>
  <c r="X91" i="10"/>
  <c r="Y91" i="10" s="1"/>
  <c r="AB91" i="10"/>
  <c r="P92" i="10"/>
  <c r="T92" i="10"/>
  <c r="X92" i="10"/>
  <c r="Y92" i="10" s="1"/>
  <c r="AB92" i="10"/>
  <c r="P93" i="10"/>
  <c r="T93" i="10"/>
  <c r="X93" i="10"/>
  <c r="Y93" i="10" s="1"/>
  <c r="AB93" i="10"/>
  <c r="P94" i="10"/>
  <c r="T94" i="10"/>
  <c r="X94" i="10"/>
  <c r="Y94" i="10" s="1"/>
  <c r="AB94" i="10"/>
  <c r="P95" i="10"/>
  <c r="T95" i="10"/>
  <c r="X95" i="10"/>
  <c r="Y95" i="10" s="1"/>
  <c r="AB95" i="10"/>
  <c r="P96" i="10"/>
  <c r="T96" i="10"/>
  <c r="X96" i="10"/>
  <c r="Y96" i="10" s="1"/>
  <c r="AB96" i="10"/>
  <c r="P97" i="10"/>
  <c r="T97" i="10"/>
  <c r="X97" i="10"/>
  <c r="Y97" i="10" s="1"/>
  <c r="AB97" i="10"/>
  <c r="P98" i="10"/>
  <c r="T98" i="10"/>
  <c r="X98" i="10"/>
  <c r="Y98" i="10" s="1"/>
  <c r="AB98" i="10"/>
  <c r="P99" i="10"/>
  <c r="T99" i="10"/>
  <c r="X99" i="10"/>
  <c r="Y99" i="10" s="1"/>
  <c r="AB99" i="10"/>
  <c r="P100" i="10"/>
  <c r="T100" i="10"/>
  <c r="X100" i="10"/>
  <c r="Y100" i="10" s="1"/>
  <c r="AB100" i="10"/>
  <c r="P101" i="10"/>
  <c r="T101" i="10"/>
  <c r="X101" i="10"/>
  <c r="Y101" i="10" s="1"/>
  <c r="AB101" i="10"/>
  <c r="P102" i="10"/>
  <c r="T102" i="10"/>
  <c r="X102" i="10"/>
  <c r="Y102" i="10" s="1"/>
  <c r="AB102" i="10"/>
  <c r="P103" i="10"/>
  <c r="T103" i="10"/>
  <c r="X103" i="10"/>
  <c r="Y103" i="10" s="1"/>
  <c r="AB103" i="10"/>
  <c r="P104" i="10"/>
  <c r="T104" i="10"/>
  <c r="X104" i="10"/>
  <c r="Y104" i="10" s="1"/>
  <c r="AB104" i="10"/>
  <c r="P105" i="10"/>
  <c r="T105" i="10"/>
  <c r="X105" i="10"/>
  <c r="Y105" i="10" s="1"/>
  <c r="AB105" i="10"/>
  <c r="P106" i="10"/>
  <c r="T106" i="10"/>
  <c r="X106" i="10"/>
  <c r="Y106" i="10" s="1"/>
  <c r="AB106" i="10"/>
  <c r="P107" i="10"/>
  <c r="T107" i="10"/>
  <c r="X107" i="10"/>
  <c r="Y107" i="10" s="1"/>
  <c r="AB107" i="10"/>
  <c r="P108" i="10"/>
  <c r="T108" i="10"/>
  <c r="X108" i="10"/>
  <c r="Y108" i="10" s="1"/>
  <c r="AB108" i="10"/>
  <c r="P109" i="10"/>
  <c r="T109" i="10"/>
  <c r="X109" i="10"/>
  <c r="Y109" i="10" s="1"/>
  <c r="AB109" i="10"/>
  <c r="P110" i="10"/>
  <c r="T110" i="10"/>
  <c r="X110" i="10"/>
  <c r="Y110" i="10" s="1"/>
  <c r="AB110" i="10"/>
  <c r="P111" i="10"/>
  <c r="T111" i="10"/>
  <c r="X111" i="10"/>
  <c r="Y111" i="10" s="1"/>
  <c r="AB111" i="10"/>
  <c r="P112" i="10"/>
  <c r="T112" i="10"/>
  <c r="X112" i="10"/>
  <c r="Y112" i="10" s="1"/>
  <c r="AB112" i="10"/>
  <c r="P113" i="10"/>
  <c r="T113" i="10"/>
  <c r="X113" i="10"/>
  <c r="Y113" i="10" s="1"/>
  <c r="AB113" i="10"/>
  <c r="P114" i="10"/>
  <c r="T114" i="10"/>
  <c r="X114" i="10"/>
  <c r="Y114" i="10" s="1"/>
  <c r="AB114" i="10"/>
  <c r="P115" i="10"/>
  <c r="T115" i="10"/>
  <c r="X115" i="10"/>
  <c r="Y115" i="10" s="1"/>
  <c r="AB115" i="10"/>
  <c r="P116" i="10"/>
  <c r="T116" i="10"/>
  <c r="X116" i="10"/>
  <c r="Y116" i="10" s="1"/>
  <c r="AB116" i="10"/>
  <c r="P117" i="10"/>
  <c r="T117" i="10"/>
  <c r="X117" i="10"/>
  <c r="Y117" i="10" s="1"/>
  <c r="AB117" i="10"/>
  <c r="P118" i="10"/>
  <c r="T118" i="10"/>
  <c r="X118" i="10"/>
  <c r="Y118" i="10" s="1"/>
  <c r="AB118" i="10"/>
  <c r="P119" i="10"/>
  <c r="T119" i="10"/>
  <c r="X119" i="10"/>
  <c r="Y119" i="10" s="1"/>
  <c r="AB119" i="10"/>
  <c r="P120" i="10"/>
  <c r="T120" i="10"/>
  <c r="X120" i="10"/>
  <c r="Y120" i="10" s="1"/>
  <c r="AB120" i="10"/>
  <c r="P121" i="10"/>
  <c r="T121" i="10"/>
  <c r="X121" i="10"/>
  <c r="Y121" i="10" s="1"/>
  <c r="AB121" i="10"/>
  <c r="P122" i="10"/>
  <c r="T122" i="10"/>
  <c r="X122" i="10"/>
  <c r="Y122" i="10" s="1"/>
  <c r="AB122" i="10"/>
  <c r="P123" i="10"/>
  <c r="T123" i="10"/>
  <c r="X123" i="10"/>
  <c r="Y123" i="10" s="1"/>
  <c r="AB123" i="10"/>
  <c r="P124" i="10"/>
  <c r="T124" i="10"/>
  <c r="X124" i="10"/>
  <c r="Y124" i="10" s="1"/>
  <c r="AB124" i="10"/>
  <c r="P125" i="10"/>
  <c r="T125" i="10"/>
  <c r="X125" i="10"/>
  <c r="Y125" i="10" s="1"/>
  <c r="AB125" i="10"/>
  <c r="P126" i="10"/>
  <c r="T126" i="10"/>
  <c r="X126" i="10"/>
  <c r="Y126" i="10" s="1"/>
  <c r="AB126" i="10"/>
  <c r="P127" i="10"/>
  <c r="T127" i="10"/>
  <c r="X127" i="10"/>
  <c r="Y127" i="10" s="1"/>
  <c r="AB127" i="10"/>
  <c r="P128" i="10"/>
  <c r="T128" i="10"/>
  <c r="X128" i="10"/>
  <c r="Y128" i="10" s="1"/>
  <c r="AB128" i="10"/>
  <c r="P129" i="10"/>
  <c r="T129" i="10"/>
  <c r="X129" i="10"/>
  <c r="Y129" i="10" s="1"/>
  <c r="AB129" i="10"/>
  <c r="P130" i="10"/>
  <c r="T130" i="10"/>
  <c r="X130" i="10"/>
  <c r="Y130" i="10" s="1"/>
  <c r="AB130" i="10"/>
  <c r="P131" i="10"/>
  <c r="T131" i="10"/>
  <c r="X131" i="10"/>
  <c r="Y131" i="10" s="1"/>
  <c r="AB131" i="10"/>
  <c r="P132" i="10"/>
  <c r="T132" i="10"/>
  <c r="X132" i="10"/>
  <c r="Y132" i="10" s="1"/>
  <c r="AB132" i="10"/>
  <c r="P133" i="10"/>
  <c r="T133" i="10"/>
  <c r="X133" i="10"/>
  <c r="Y133" i="10" s="1"/>
  <c r="AB133" i="10"/>
  <c r="P134" i="10"/>
  <c r="T134" i="10"/>
  <c r="X134" i="10"/>
  <c r="Y134" i="10" s="1"/>
  <c r="AB134" i="10"/>
  <c r="P135" i="10"/>
  <c r="T135" i="10"/>
  <c r="X135" i="10"/>
  <c r="Y135" i="10" s="1"/>
  <c r="AB135" i="10"/>
  <c r="P136" i="10"/>
  <c r="T136" i="10"/>
  <c r="X136" i="10"/>
  <c r="Y136" i="10" s="1"/>
  <c r="AB136" i="10"/>
  <c r="P137" i="10"/>
  <c r="T137" i="10"/>
  <c r="X137" i="10"/>
  <c r="Y137" i="10" s="1"/>
  <c r="AB137" i="10"/>
  <c r="P138" i="10"/>
  <c r="T138" i="10"/>
  <c r="X138" i="10"/>
  <c r="Y138" i="10" s="1"/>
  <c r="AB138" i="10"/>
  <c r="P139" i="10"/>
  <c r="T139" i="10"/>
  <c r="X139" i="10"/>
  <c r="Y139" i="10" s="1"/>
  <c r="AB139" i="10"/>
  <c r="P140" i="10"/>
  <c r="T140" i="10"/>
  <c r="X140" i="10"/>
  <c r="Y140" i="10" s="1"/>
  <c r="AB140" i="10"/>
  <c r="P141" i="10"/>
  <c r="T141" i="10"/>
  <c r="X141" i="10"/>
  <c r="Y141" i="10" s="1"/>
  <c r="AB141" i="10"/>
  <c r="P142" i="10"/>
  <c r="T142" i="10"/>
  <c r="X142" i="10"/>
  <c r="Y142" i="10" s="1"/>
  <c r="AB142" i="10"/>
  <c r="P143" i="10"/>
  <c r="T143" i="10"/>
  <c r="X143" i="10"/>
  <c r="Y143" i="10" s="1"/>
  <c r="AB143" i="10"/>
  <c r="P144" i="10"/>
  <c r="T144" i="10"/>
  <c r="X144" i="10"/>
  <c r="Y144" i="10" s="1"/>
  <c r="AB144" i="10"/>
  <c r="P145" i="10"/>
  <c r="T145" i="10"/>
  <c r="X145" i="10"/>
  <c r="Y145" i="10" s="1"/>
  <c r="AB145" i="10"/>
  <c r="P146" i="10"/>
  <c r="T146" i="10"/>
  <c r="X146" i="10"/>
  <c r="Y146" i="10" s="1"/>
  <c r="AB146" i="10"/>
  <c r="P147" i="10"/>
  <c r="T147" i="10"/>
  <c r="X147" i="10"/>
  <c r="Y147" i="10" s="1"/>
  <c r="AB147" i="10"/>
  <c r="P148" i="10"/>
  <c r="T148" i="10"/>
  <c r="X148" i="10"/>
  <c r="Y148" i="10" s="1"/>
  <c r="AB148" i="10"/>
  <c r="P149" i="10"/>
  <c r="T149" i="10"/>
  <c r="X149" i="10"/>
  <c r="Y149" i="10" s="1"/>
  <c r="AB149" i="10"/>
  <c r="P150" i="10"/>
  <c r="T150" i="10"/>
  <c r="X150" i="10"/>
  <c r="Y150" i="10" s="1"/>
  <c r="AB150" i="10"/>
  <c r="P151" i="10"/>
  <c r="T151" i="10"/>
  <c r="X151" i="10"/>
  <c r="Y151" i="10" s="1"/>
  <c r="AB151" i="10"/>
  <c r="P152" i="10"/>
  <c r="T152" i="10"/>
  <c r="X152" i="10"/>
  <c r="Y152" i="10" s="1"/>
  <c r="AB152" i="10"/>
  <c r="P153" i="10"/>
  <c r="T153" i="10"/>
  <c r="X153" i="10"/>
  <c r="Y153" i="10" s="1"/>
  <c r="AB153" i="10"/>
  <c r="P154" i="10"/>
  <c r="T154" i="10"/>
  <c r="X154" i="10"/>
  <c r="Y154" i="10" s="1"/>
  <c r="AB154" i="10"/>
  <c r="P155" i="10"/>
  <c r="T155" i="10"/>
  <c r="X155" i="10"/>
  <c r="Y155" i="10" s="1"/>
  <c r="AB155" i="10"/>
  <c r="P156" i="10"/>
  <c r="T156" i="10"/>
  <c r="X156" i="10"/>
  <c r="Y156" i="10" s="1"/>
  <c r="AB156" i="10"/>
  <c r="P157" i="10"/>
  <c r="T157" i="10"/>
  <c r="X157" i="10"/>
  <c r="Y157" i="10" s="1"/>
  <c r="AB157" i="10"/>
  <c r="P158" i="10"/>
  <c r="T158" i="10"/>
  <c r="X158" i="10"/>
  <c r="Y158" i="10" s="1"/>
  <c r="AB158" i="10"/>
  <c r="P159" i="10"/>
  <c r="T159" i="10"/>
  <c r="X159" i="10"/>
  <c r="Y159" i="10" s="1"/>
  <c r="AB159" i="10"/>
  <c r="P160" i="10"/>
  <c r="T160" i="10"/>
  <c r="X160" i="10"/>
  <c r="Y160" i="10" s="1"/>
  <c r="AB160" i="10"/>
  <c r="P161" i="10"/>
  <c r="T161" i="10"/>
  <c r="X161" i="10"/>
  <c r="Y161" i="10" s="1"/>
  <c r="AB161" i="10"/>
  <c r="P162" i="10"/>
  <c r="T162" i="10"/>
  <c r="X162" i="10"/>
  <c r="Y162" i="10" s="1"/>
  <c r="AB162" i="10"/>
  <c r="P163" i="10"/>
  <c r="T163" i="10"/>
  <c r="X163" i="10"/>
  <c r="Y163" i="10" s="1"/>
  <c r="AB163" i="10"/>
  <c r="P164" i="10"/>
  <c r="T164" i="10"/>
  <c r="X164" i="10"/>
  <c r="Y164" i="10" s="1"/>
  <c r="AB164" i="10"/>
  <c r="P165" i="10"/>
  <c r="T165" i="10"/>
  <c r="X165" i="10"/>
  <c r="Y165" i="10" s="1"/>
  <c r="AB165" i="10"/>
  <c r="P166" i="10"/>
  <c r="T166" i="10"/>
  <c r="X166" i="10"/>
  <c r="Y166" i="10" s="1"/>
  <c r="AB166" i="10"/>
  <c r="P167" i="10"/>
  <c r="T167" i="10"/>
  <c r="X167" i="10"/>
  <c r="Y167" i="10" s="1"/>
  <c r="AB167" i="10"/>
  <c r="P168" i="10"/>
  <c r="T168" i="10"/>
  <c r="X168" i="10"/>
  <c r="Y168" i="10" s="1"/>
  <c r="AB168" i="10"/>
  <c r="P169" i="10"/>
  <c r="T169" i="10"/>
  <c r="X169" i="10"/>
  <c r="Y169" i="10" s="1"/>
  <c r="AB169" i="10"/>
  <c r="P170" i="10"/>
  <c r="T170" i="10"/>
  <c r="X170" i="10"/>
  <c r="Y170" i="10" s="1"/>
  <c r="AB170" i="10"/>
  <c r="P171" i="10"/>
  <c r="T171" i="10"/>
  <c r="X171" i="10"/>
  <c r="Y171" i="10" s="1"/>
  <c r="AB171" i="10"/>
  <c r="P172" i="10"/>
  <c r="T172" i="10"/>
  <c r="X172" i="10"/>
  <c r="Y172" i="10" s="1"/>
  <c r="AB172" i="10"/>
  <c r="P173" i="10"/>
  <c r="T173" i="10"/>
  <c r="X173" i="10"/>
  <c r="Y173" i="10" s="1"/>
  <c r="AB173" i="10"/>
  <c r="P174" i="10"/>
  <c r="T174" i="10"/>
  <c r="X174" i="10"/>
  <c r="Y174" i="10" s="1"/>
  <c r="AB174" i="10"/>
  <c r="P175" i="10"/>
  <c r="T175" i="10"/>
  <c r="X175" i="10"/>
  <c r="Y175" i="10" s="1"/>
  <c r="AB175" i="10"/>
  <c r="P176" i="10"/>
  <c r="T176" i="10"/>
  <c r="X176" i="10"/>
  <c r="Y176" i="10" s="1"/>
  <c r="AB176" i="10"/>
  <c r="P177" i="10"/>
  <c r="T177" i="10"/>
  <c r="X177" i="10"/>
  <c r="Y177" i="10" s="1"/>
  <c r="AB177" i="10"/>
  <c r="P178" i="10"/>
  <c r="T178" i="10"/>
  <c r="X178" i="10"/>
  <c r="Y178" i="10" s="1"/>
  <c r="AB178" i="10"/>
  <c r="P179" i="10"/>
  <c r="T179" i="10"/>
  <c r="X179" i="10"/>
  <c r="Y179" i="10" s="1"/>
  <c r="AB179" i="10"/>
  <c r="P180" i="10"/>
  <c r="T180" i="10"/>
  <c r="X180" i="10"/>
  <c r="Y180" i="10" s="1"/>
  <c r="AB180" i="10"/>
  <c r="P181" i="10"/>
  <c r="T181" i="10"/>
  <c r="X181" i="10"/>
  <c r="Y181" i="10" s="1"/>
  <c r="AB181" i="10"/>
  <c r="P182" i="10"/>
  <c r="T182" i="10"/>
  <c r="X182" i="10"/>
  <c r="Y182" i="10" s="1"/>
  <c r="AB182" i="10"/>
  <c r="P183" i="10"/>
  <c r="T183" i="10"/>
  <c r="X183" i="10"/>
  <c r="Y183" i="10" s="1"/>
  <c r="AB183" i="10"/>
  <c r="P184" i="10"/>
  <c r="T184" i="10"/>
  <c r="X184" i="10"/>
  <c r="Y184" i="10" s="1"/>
  <c r="AB184" i="10"/>
  <c r="P185" i="10"/>
  <c r="T185" i="10"/>
  <c r="X185" i="10"/>
  <c r="Y185" i="10" s="1"/>
  <c r="AB185" i="10"/>
  <c r="P186" i="10"/>
  <c r="T186" i="10"/>
  <c r="X186" i="10"/>
  <c r="Y186" i="10" s="1"/>
  <c r="AB186" i="10"/>
  <c r="P187" i="10"/>
  <c r="T187" i="10"/>
  <c r="X187" i="10"/>
  <c r="Y187" i="10" s="1"/>
  <c r="AB187" i="10"/>
  <c r="P188" i="10"/>
  <c r="T188" i="10"/>
  <c r="X188" i="10"/>
  <c r="Y188" i="10" s="1"/>
  <c r="AB188" i="10"/>
  <c r="P189" i="10"/>
  <c r="T189" i="10"/>
  <c r="X189" i="10"/>
  <c r="Y189" i="10" s="1"/>
  <c r="AB189" i="10"/>
  <c r="P190" i="10"/>
  <c r="T190" i="10"/>
  <c r="X190" i="10"/>
  <c r="Y190" i="10" s="1"/>
  <c r="AB190" i="10"/>
  <c r="P191" i="10"/>
  <c r="T191" i="10"/>
  <c r="X191" i="10"/>
  <c r="Y191" i="10" s="1"/>
  <c r="AB191" i="10"/>
  <c r="P192" i="10"/>
  <c r="T192" i="10"/>
  <c r="X192" i="10"/>
  <c r="Y192" i="10" s="1"/>
  <c r="AB192" i="10"/>
  <c r="P193" i="10"/>
  <c r="T193" i="10"/>
  <c r="X193" i="10"/>
  <c r="Y193" i="10" s="1"/>
  <c r="AB193" i="10"/>
  <c r="P194" i="10"/>
  <c r="T194" i="10"/>
  <c r="X194" i="10"/>
  <c r="Y194" i="10" s="1"/>
  <c r="AB194" i="10"/>
  <c r="P195" i="10"/>
  <c r="T195" i="10"/>
  <c r="X195" i="10"/>
  <c r="Y195" i="10" s="1"/>
  <c r="AB195" i="10"/>
  <c r="P196" i="10"/>
  <c r="T196" i="10"/>
  <c r="X196" i="10"/>
  <c r="Y196" i="10" s="1"/>
  <c r="AB196" i="10"/>
  <c r="P197" i="10"/>
  <c r="T197" i="10"/>
  <c r="X197" i="10"/>
  <c r="Y197" i="10" s="1"/>
  <c r="AB197" i="10"/>
  <c r="P198" i="10"/>
  <c r="T198" i="10"/>
  <c r="X198" i="10"/>
  <c r="Y198" i="10" s="1"/>
  <c r="AB198" i="10"/>
  <c r="P199" i="10"/>
  <c r="T199" i="10"/>
  <c r="X199" i="10"/>
  <c r="Y199" i="10" s="1"/>
  <c r="AB199" i="10"/>
  <c r="P200" i="10"/>
  <c r="T200" i="10"/>
  <c r="X200" i="10"/>
  <c r="Y200" i="10" s="1"/>
  <c r="AB200" i="10"/>
  <c r="P201" i="10"/>
  <c r="T201" i="10"/>
  <c r="X201" i="10"/>
  <c r="Y201" i="10" s="1"/>
  <c r="AB201" i="10"/>
  <c r="P202" i="10"/>
  <c r="T202" i="10"/>
  <c r="X202" i="10"/>
  <c r="Y202" i="10" s="1"/>
  <c r="AB202" i="10"/>
  <c r="P203" i="10"/>
  <c r="T203" i="10"/>
  <c r="X203" i="10"/>
  <c r="Y203" i="10" s="1"/>
  <c r="AB203" i="10"/>
  <c r="P204" i="10"/>
  <c r="T204" i="10"/>
  <c r="X204" i="10"/>
  <c r="Y204" i="10" s="1"/>
  <c r="AB204" i="10"/>
  <c r="P205" i="10"/>
  <c r="T205" i="10"/>
  <c r="X205" i="10"/>
  <c r="Y205" i="10" s="1"/>
  <c r="AB205" i="10"/>
  <c r="P206" i="10"/>
  <c r="T206" i="10"/>
  <c r="X206" i="10"/>
  <c r="Y206" i="10" s="1"/>
  <c r="AB206" i="10"/>
  <c r="P207" i="10"/>
  <c r="T207" i="10"/>
  <c r="X207" i="10"/>
  <c r="Y207" i="10" s="1"/>
  <c r="AB207" i="10"/>
  <c r="P208" i="10"/>
  <c r="T208" i="10"/>
  <c r="X208" i="10"/>
  <c r="Y208" i="10" s="1"/>
  <c r="AB208" i="10"/>
  <c r="P209" i="10"/>
  <c r="T209" i="10"/>
  <c r="X209" i="10"/>
  <c r="Y209" i="10" s="1"/>
  <c r="AB209" i="10"/>
  <c r="P210" i="10"/>
  <c r="T210" i="10"/>
  <c r="X210" i="10"/>
  <c r="Y210" i="10" s="1"/>
  <c r="AB210" i="10"/>
  <c r="P211" i="10"/>
  <c r="T211" i="10"/>
  <c r="X211" i="10"/>
  <c r="Y211" i="10" s="1"/>
  <c r="AB211" i="10"/>
  <c r="P212" i="10"/>
  <c r="T212" i="10"/>
  <c r="X212" i="10"/>
  <c r="Y212" i="10" s="1"/>
  <c r="AB212" i="10"/>
  <c r="P213" i="10"/>
  <c r="T213" i="10"/>
  <c r="X213" i="10"/>
  <c r="Y213" i="10" s="1"/>
  <c r="AB213" i="10"/>
  <c r="P214" i="10"/>
  <c r="T214" i="10"/>
  <c r="X214" i="10"/>
  <c r="Y214" i="10" s="1"/>
  <c r="AB214" i="10"/>
  <c r="P215" i="10"/>
  <c r="T215" i="10"/>
  <c r="X215" i="10"/>
  <c r="Y215" i="10" s="1"/>
  <c r="AB215" i="10"/>
  <c r="P216" i="10"/>
  <c r="T216" i="10"/>
  <c r="X216" i="10"/>
  <c r="Y216" i="10" s="1"/>
  <c r="AB216" i="10"/>
  <c r="P217" i="10"/>
  <c r="T217" i="10"/>
  <c r="X217" i="10"/>
  <c r="Y217" i="10" s="1"/>
  <c r="AB217" i="10"/>
  <c r="P218" i="10"/>
  <c r="T218" i="10"/>
  <c r="X218" i="10"/>
  <c r="Y218" i="10" s="1"/>
  <c r="AB218" i="10"/>
  <c r="P219" i="10"/>
  <c r="T219" i="10"/>
  <c r="X219" i="10"/>
  <c r="Y219" i="10" s="1"/>
  <c r="AB219" i="10"/>
  <c r="P220" i="10"/>
  <c r="T220" i="10"/>
  <c r="X220" i="10"/>
  <c r="Y220" i="10" s="1"/>
  <c r="AB220" i="10"/>
  <c r="P221" i="10"/>
  <c r="T221" i="10"/>
  <c r="X221" i="10"/>
  <c r="Y221" i="10" s="1"/>
  <c r="AB221" i="10"/>
  <c r="P222" i="10"/>
  <c r="T222" i="10"/>
  <c r="X222" i="10"/>
  <c r="Y222" i="10" s="1"/>
  <c r="AB222" i="10"/>
  <c r="P223" i="10"/>
  <c r="T223" i="10"/>
  <c r="X223" i="10"/>
  <c r="Y223" i="10" s="1"/>
  <c r="AB223" i="10"/>
  <c r="P224" i="10"/>
  <c r="T224" i="10"/>
  <c r="X224" i="10"/>
  <c r="Y224" i="10" s="1"/>
  <c r="AB224" i="10"/>
  <c r="P225" i="10"/>
  <c r="T225" i="10"/>
  <c r="X225" i="10"/>
  <c r="Y225" i="10" s="1"/>
  <c r="AB225" i="10"/>
  <c r="P226" i="10"/>
  <c r="T226" i="10"/>
  <c r="X226" i="10"/>
  <c r="Y226" i="10" s="1"/>
  <c r="AB226" i="10"/>
  <c r="P227" i="10"/>
  <c r="T227" i="10"/>
  <c r="X227" i="10"/>
  <c r="Y227" i="10" s="1"/>
  <c r="AB227" i="10"/>
  <c r="P228" i="10"/>
  <c r="T228" i="10"/>
  <c r="X228" i="10"/>
  <c r="Y228" i="10" s="1"/>
  <c r="AB228" i="10"/>
  <c r="P229" i="10"/>
  <c r="T229" i="10"/>
  <c r="X229" i="10"/>
  <c r="Y229" i="10" s="1"/>
  <c r="AB229" i="10"/>
  <c r="P230" i="10"/>
  <c r="T230" i="10"/>
  <c r="X230" i="10"/>
  <c r="Y230" i="10" s="1"/>
  <c r="AB230" i="10"/>
  <c r="P231" i="10"/>
  <c r="T231" i="10"/>
  <c r="X231" i="10"/>
  <c r="Y231" i="10" s="1"/>
  <c r="AB231" i="10"/>
  <c r="P232" i="10"/>
  <c r="T232" i="10"/>
  <c r="X232" i="10"/>
  <c r="Y232" i="10" s="1"/>
  <c r="AB232" i="10"/>
  <c r="P233" i="10"/>
  <c r="T233" i="10"/>
  <c r="X233" i="10"/>
  <c r="Y233" i="10" s="1"/>
  <c r="AB233" i="10"/>
  <c r="P234" i="10"/>
  <c r="T234" i="10"/>
  <c r="X234" i="10"/>
  <c r="Y234" i="10" s="1"/>
  <c r="AB234" i="10"/>
  <c r="P235" i="10"/>
  <c r="T235" i="10"/>
  <c r="X235" i="10"/>
  <c r="Y235" i="10" s="1"/>
  <c r="AB235" i="10"/>
  <c r="P236" i="10"/>
  <c r="T236" i="10"/>
  <c r="X236" i="10"/>
  <c r="Y236" i="10" s="1"/>
  <c r="AB236" i="10"/>
  <c r="P237" i="10"/>
  <c r="T237" i="10"/>
  <c r="X237" i="10"/>
  <c r="Y237" i="10" s="1"/>
  <c r="AB237" i="10"/>
  <c r="P238" i="10"/>
  <c r="T238" i="10"/>
  <c r="X238" i="10"/>
  <c r="Y238" i="10" s="1"/>
  <c r="AB238" i="10"/>
  <c r="P239" i="10"/>
  <c r="T239" i="10"/>
  <c r="X239" i="10"/>
  <c r="Y239" i="10" s="1"/>
  <c r="AB239" i="10"/>
  <c r="P240" i="10"/>
  <c r="T240" i="10"/>
  <c r="X240" i="10"/>
  <c r="Y240" i="10" s="1"/>
  <c r="AB240" i="10"/>
  <c r="P241" i="10"/>
  <c r="T241" i="10"/>
  <c r="X241" i="10"/>
  <c r="Y241" i="10" s="1"/>
  <c r="AB241" i="10"/>
  <c r="P242" i="10"/>
  <c r="T242" i="10"/>
  <c r="X242" i="10"/>
  <c r="Y242" i="10" s="1"/>
  <c r="AB242" i="10"/>
  <c r="P243" i="10"/>
  <c r="T243" i="10"/>
  <c r="X243" i="10"/>
  <c r="Y243" i="10" s="1"/>
  <c r="AB243" i="10"/>
  <c r="P244" i="10"/>
  <c r="T244" i="10"/>
  <c r="X244" i="10"/>
  <c r="Y244" i="10" s="1"/>
  <c r="AB244" i="10"/>
  <c r="P245" i="10"/>
  <c r="T245" i="10"/>
  <c r="X245" i="10"/>
  <c r="Y245" i="10" s="1"/>
  <c r="AB245" i="10"/>
  <c r="P246" i="10"/>
  <c r="T246" i="10"/>
  <c r="X246" i="10"/>
  <c r="Y246" i="10" s="1"/>
  <c r="AB246" i="10"/>
  <c r="P247" i="10"/>
  <c r="T247" i="10"/>
  <c r="X247" i="10"/>
  <c r="Y247" i="10" s="1"/>
  <c r="AB247" i="10"/>
  <c r="P248" i="10"/>
  <c r="T248" i="10"/>
  <c r="X248" i="10"/>
  <c r="Y248" i="10" s="1"/>
  <c r="AB248" i="10"/>
  <c r="P249" i="10"/>
  <c r="T249" i="10"/>
  <c r="X249" i="10"/>
  <c r="Y249" i="10" s="1"/>
  <c r="AB249" i="10"/>
  <c r="P250" i="10"/>
  <c r="T250" i="10"/>
  <c r="X250" i="10"/>
  <c r="Y250" i="10" s="1"/>
  <c r="AB250" i="10"/>
  <c r="P251" i="10"/>
  <c r="T251" i="10"/>
  <c r="X251" i="10"/>
  <c r="Y251" i="10" s="1"/>
  <c r="AB251" i="10"/>
  <c r="P252" i="10"/>
  <c r="T252" i="10"/>
  <c r="X252" i="10"/>
  <c r="Y252" i="10" s="1"/>
  <c r="AB252" i="10"/>
  <c r="P253" i="10"/>
  <c r="T253" i="10"/>
  <c r="X253" i="10"/>
  <c r="Y253" i="10" s="1"/>
  <c r="AB253" i="10"/>
  <c r="P254" i="10"/>
  <c r="T254" i="10"/>
  <c r="X254" i="10"/>
  <c r="Y254" i="10" s="1"/>
  <c r="AB254" i="10"/>
  <c r="P255" i="10"/>
  <c r="T255" i="10"/>
  <c r="X255" i="10"/>
  <c r="Y255" i="10" s="1"/>
  <c r="AB255" i="10"/>
  <c r="P256" i="10"/>
  <c r="T256" i="10"/>
  <c r="X256" i="10"/>
  <c r="Y256" i="10" s="1"/>
  <c r="AB256" i="10"/>
  <c r="P257" i="10"/>
  <c r="T257" i="10"/>
  <c r="X257" i="10"/>
  <c r="Y257" i="10" s="1"/>
  <c r="AB257" i="10"/>
  <c r="P258" i="10"/>
  <c r="T258" i="10"/>
  <c r="X258" i="10"/>
  <c r="Y258" i="10" s="1"/>
  <c r="AB258" i="10"/>
  <c r="P259" i="10"/>
  <c r="T259" i="10"/>
  <c r="X259" i="10"/>
  <c r="Y259" i="10" s="1"/>
  <c r="AB259" i="10"/>
  <c r="P260" i="10"/>
  <c r="T260" i="10"/>
  <c r="X260" i="10"/>
  <c r="Y260" i="10" s="1"/>
  <c r="AB260" i="10"/>
  <c r="P261" i="10"/>
  <c r="T261" i="10"/>
  <c r="X261" i="10"/>
  <c r="Y261" i="10" s="1"/>
  <c r="AB261" i="10"/>
  <c r="P262" i="10"/>
  <c r="T262" i="10"/>
  <c r="X262" i="10"/>
  <c r="Y262" i="10" s="1"/>
  <c r="AB262" i="10"/>
  <c r="P263" i="10"/>
  <c r="T263" i="10"/>
  <c r="X263" i="10"/>
  <c r="Y263" i="10" s="1"/>
  <c r="AB263" i="10"/>
  <c r="P264" i="10"/>
  <c r="T264" i="10"/>
  <c r="X264" i="10"/>
  <c r="Y264" i="10" s="1"/>
  <c r="AB264" i="10"/>
  <c r="P265" i="10"/>
  <c r="T265" i="10"/>
  <c r="X265" i="10"/>
  <c r="Y265" i="10" s="1"/>
  <c r="AB265" i="10"/>
  <c r="P266" i="10"/>
  <c r="T266" i="10"/>
  <c r="X266" i="10"/>
  <c r="Y266" i="10" s="1"/>
  <c r="AB266" i="10"/>
  <c r="P267" i="10"/>
  <c r="T267" i="10"/>
  <c r="X267" i="10"/>
  <c r="Y267" i="10" s="1"/>
  <c r="AB267" i="10"/>
  <c r="P268" i="10"/>
  <c r="T268" i="10"/>
  <c r="X268" i="10"/>
  <c r="Y268" i="10" s="1"/>
  <c r="AB268" i="10"/>
  <c r="P269" i="10"/>
  <c r="T269" i="10"/>
  <c r="X269" i="10"/>
  <c r="Y269" i="10" s="1"/>
  <c r="AB269" i="10"/>
  <c r="P270" i="10"/>
  <c r="T270" i="10"/>
  <c r="X270" i="10"/>
  <c r="Y270" i="10" s="1"/>
  <c r="AB270" i="10"/>
  <c r="P271" i="10"/>
  <c r="T271" i="10"/>
  <c r="X271" i="10"/>
  <c r="Y271" i="10" s="1"/>
  <c r="AB271" i="10"/>
  <c r="P272" i="10"/>
  <c r="T272" i="10"/>
  <c r="X272" i="10"/>
  <c r="Y272" i="10" s="1"/>
  <c r="AB272" i="10"/>
  <c r="P273" i="10"/>
  <c r="T273" i="10"/>
  <c r="X273" i="10"/>
  <c r="Y273" i="10" s="1"/>
  <c r="AB273" i="10"/>
  <c r="P274" i="10"/>
  <c r="T274" i="10"/>
  <c r="X274" i="10"/>
  <c r="Y274" i="10" s="1"/>
  <c r="AB274" i="10"/>
  <c r="P275" i="10"/>
  <c r="T275" i="10"/>
  <c r="X275" i="10"/>
  <c r="Y275" i="10" s="1"/>
  <c r="AB275" i="10"/>
  <c r="P276" i="10"/>
  <c r="T276" i="10"/>
  <c r="X276" i="10"/>
  <c r="Y276" i="10" s="1"/>
  <c r="AB276" i="10"/>
  <c r="P277" i="10"/>
  <c r="T277" i="10"/>
  <c r="X277" i="10"/>
  <c r="Y277" i="10" s="1"/>
  <c r="AB277" i="10"/>
  <c r="P278" i="10"/>
  <c r="T278" i="10"/>
  <c r="X278" i="10"/>
  <c r="Y278" i="10" s="1"/>
  <c r="AB278" i="10"/>
  <c r="P279" i="10"/>
  <c r="T279" i="10"/>
  <c r="X279" i="10"/>
  <c r="Y279" i="10" s="1"/>
  <c r="AB279" i="10"/>
  <c r="P280" i="10"/>
  <c r="T280" i="10"/>
  <c r="X280" i="10"/>
  <c r="Y280" i="10" s="1"/>
  <c r="AB280" i="10"/>
  <c r="P281" i="10"/>
  <c r="T281" i="10"/>
  <c r="X281" i="10"/>
  <c r="Y281" i="10" s="1"/>
  <c r="AB281" i="10"/>
  <c r="P282" i="10"/>
  <c r="T282" i="10"/>
  <c r="X282" i="10"/>
  <c r="Y282" i="10" s="1"/>
  <c r="AB282" i="10"/>
  <c r="P283" i="10"/>
  <c r="T283" i="10"/>
  <c r="X283" i="10"/>
  <c r="Y283" i="10" s="1"/>
  <c r="AB283" i="10"/>
  <c r="P284" i="10"/>
  <c r="T284" i="10"/>
  <c r="X284" i="10"/>
  <c r="Y284" i="10" s="1"/>
  <c r="AB284" i="10"/>
  <c r="P285" i="10"/>
  <c r="T285" i="10"/>
  <c r="X285" i="10"/>
  <c r="Y285" i="10" s="1"/>
  <c r="AB285" i="10"/>
  <c r="P286" i="10"/>
  <c r="T286" i="10"/>
  <c r="X286" i="10"/>
  <c r="Y286" i="10" s="1"/>
  <c r="AB286" i="10"/>
  <c r="P287" i="10"/>
  <c r="T287" i="10"/>
  <c r="X287" i="10"/>
  <c r="Y287" i="10" s="1"/>
  <c r="AB287" i="10"/>
  <c r="P288" i="10"/>
  <c r="T288" i="10"/>
  <c r="X288" i="10"/>
  <c r="Y288" i="10" s="1"/>
  <c r="AB288" i="10"/>
  <c r="P289" i="10"/>
  <c r="T289" i="10"/>
  <c r="X289" i="10"/>
  <c r="Y289" i="10" s="1"/>
  <c r="AB289" i="10"/>
  <c r="P290" i="10"/>
  <c r="T290" i="10"/>
  <c r="X290" i="10"/>
  <c r="Y290" i="10" s="1"/>
  <c r="AB290" i="10"/>
  <c r="P291" i="10"/>
  <c r="T291" i="10"/>
  <c r="X291" i="10"/>
  <c r="Y291" i="10" s="1"/>
  <c r="AB291" i="10"/>
  <c r="P292" i="10"/>
  <c r="T292" i="10"/>
  <c r="X292" i="10"/>
  <c r="Y292" i="10" s="1"/>
  <c r="AB292" i="10"/>
  <c r="P293" i="10"/>
  <c r="T293" i="10"/>
  <c r="X293" i="10"/>
  <c r="Y293" i="10" s="1"/>
  <c r="AB293" i="10"/>
  <c r="P294" i="10"/>
  <c r="T294" i="10"/>
  <c r="X294" i="10"/>
  <c r="Y294" i="10" s="1"/>
  <c r="AB294" i="10"/>
  <c r="P295" i="10"/>
  <c r="T295" i="10"/>
  <c r="X295" i="10"/>
  <c r="Y295" i="10" s="1"/>
  <c r="AB295" i="10"/>
  <c r="P296" i="10"/>
  <c r="T296" i="10"/>
  <c r="X296" i="10"/>
  <c r="Y296" i="10" s="1"/>
  <c r="AB296" i="10"/>
  <c r="P297" i="10"/>
  <c r="T297" i="10"/>
  <c r="X297" i="10"/>
  <c r="Y297" i="10" s="1"/>
  <c r="AB297" i="10"/>
  <c r="P298" i="10"/>
  <c r="T298" i="10"/>
  <c r="X298" i="10"/>
  <c r="Y298" i="10" s="1"/>
  <c r="AB298" i="10"/>
  <c r="P299" i="10"/>
  <c r="T299" i="10"/>
  <c r="X299" i="10"/>
  <c r="Y299" i="10" s="1"/>
  <c r="AB299" i="10"/>
  <c r="P300" i="10"/>
  <c r="T300" i="10"/>
  <c r="X300" i="10"/>
  <c r="Y300" i="10" s="1"/>
  <c r="AB300" i="10"/>
  <c r="P301" i="10"/>
  <c r="T301" i="10"/>
  <c r="X301" i="10"/>
  <c r="Y301" i="10" s="1"/>
  <c r="AB301" i="10"/>
  <c r="P302" i="10"/>
  <c r="T302" i="10"/>
  <c r="X302" i="10"/>
  <c r="Y302" i="10" s="1"/>
  <c r="AB302" i="10"/>
  <c r="P303" i="10"/>
  <c r="T303" i="10"/>
  <c r="X303" i="10"/>
  <c r="Y303" i="10" s="1"/>
  <c r="AB303" i="10"/>
  <c r="P304" i="10"/>
  <c r="T304" i="10"/>
  <c r="X304" i="10"/>
  <c r="Y304" i="10" s="1"/>
  <c r="AB304" i="10"/>
  <c r="P305" i="10"/>
  <c r="T305" i="10"/>
  <c r="X305" i="10"/>
  <c r="Y305" i="10" s="1"/>
  <c r="AB305" i="10"/>
  <c r="P306" i="10"/>
  <c r="T306" i="10"/>
  <c r="X306" i="10"/>
  <c r="Y306" i="10" s="1"/>
  <c r="AB306" i="10"/>
  <c r="P307" i="10"/>
  <c r="T307" i="10"/>
  <c r="X307" i="10"/>
  <c r="Y307" i="10" s="1"/>
  <c r="AB307" i="10"/>
  <c r="P308" i="10"/>
  <c r="T308" i="10"/>
  <c r="X308" i="10"/>
  <c r="Y308" i="10" s="1"/>
  <c r="AB308" i="10"/>
  <c r="P309" i="10"/>
  <c r="T309" i="10"/>
  <c r="X309" i="10"/>
  <c r="Y309" i="10" s="1"/>
  <c r="AB309" i="10"/>
  <c r="P310" i="10"/>
  <c r="T310" i="10"/>
  <c r="X310" i="10"/>
  <c r="Y310" i="10" s="1"/>
  <c r="AB310" i="10"/>
  <c r="P311" i="10"/>
  <c r="T311" i="10"/>
  <c r="X311" i="10"/>
  <c r="Y311" i="10" s="1"/>
  <c r="AB311" i="10"/>
  <c r="P312" i="10"/>
  <c r="T312" i="10"/>
  <c r="X312" i="10"/>
  <c r="Y312" i="10" s="1"/>
  <c r="AB312" i="10"/>
  <c r="P313" i="10"/>
  <c r="T313" i="10"/>
  <c r="X313" i="10"/>
  <c r="Y313" i="10" s="1"/>
  <c r="AB313" i="10"/>
  <c r="P314" i="10"/>
  <c r="T314" i="10"/>
  <c r="X314" i="10"/>
  <c r="Y314" i="10" s="1"/>
  <c r="AB314" i="10"/>
  <c r="P315" i="10"/>
  <c r="T315" i="10"/>
  <c r="X315" i="10"/>
  <c r="Y315" i="10" s="1"/>
  <c r="AB315" i="10"/>
  <c r="P316" i="10"/>
  <c r="T316" i="10"/>
  <c r="X316" i="10"/>
  <c r="Y316" i="10" s="1"/>
  <c r="AB316" i="10"/>
  <c r="P317" i="10"/>
  <c r="T317" i="10"/>
  <c r="X317" i="10"/>
  <c r="Y317" i="10" s="1"/>
  <c r="AB317" i="10"/>
  <c r="P318" i="10"/>
  <c r="T318" i="10"/>
  <c r="X318" i="10"/>
  <c r="Y318" i="10" s="1"/>
  <c r="AB318" i="10"/>
  <c r="P319" i="10"/>
  <c r="T319" i="10"/>
  <c r="X319" i="10"/>
  <c r="Y319" i="10" s="1"/>
  <c r="AB319" i="10"/>
  <c r="P320" i="10"/>
  <c r="T320" i="10"/>
  <c r="X320" i="10"/>
  <c r="Y320" i="10" s="1"/>
  <c r="AB320" i="10"/>
  <c r="P321" i="10"/>
  <c r="T321" i="10"/>
  <c r="X321" i="10"/>
  <c r="Y321" i="10" s="1"/>
  <c r="AB321" i="10"/>
  <c r="P322" i="10"/>
  <c r="T322" i="10"/>
  <c r="X322" i="10"/>
  <c r="Y322" i="10" s="1"/>
  <c r="AB322" i="10"/>
  <c r="P323" i="10"/>
  <c r="T323" i="10"/>
  <c r="X323" i="10"/>
  <c r="Y323" i="10" s="1"/>
  <c r="AB323" i="10"/>
  <c r="P324" i="10"/>
  <c r="T324" i="10"/>
  <c r="X324" i="10"/>
  <c r="Y324" i="10" s="1"/>
  <c r="AB324" i="10"/>
  <c r="P325" i="10"/>
  <c r="T325" i="10"/>
  <c r="X325" i="10"/>
  <c r="Y325" i="10" s="1"/>
  <c r="AB325" i="10"/>
  <c r="P326" i="10"/>
  <c r="T326" i="10"/>
  <c r="X326" i="10"/>
  <c r="Y326" i="10" s="1"/>
  <c r="AB326" i="10"/>
  <c r="P327" i="10"/>
  <c r="T327" i="10"/>
  <c r="X327" i="10"/>
  <c r="Y327" i="10" s="1"/>
  <c r="AB327" i="10"/>
  <c r="P328" i="10"/>
  <c r="T328" i="10"/>
  <c r="X328" i="10"/>
  <c r="Y328" i="10" s="1"/>
  <c r="AB328" i="10"/>
  <c r="P329" i="10"/>
  <c r="T329" i="10"/>
  <c r="X329" i="10"/>
  <c r="Y329" i="10" s="1"/>
  <c r="AB329" i="10"/>
  <c r="P330" i="10"/>
  <c r="T330" i="10"/>
  <c r="X330" i="10"/>
  <c r="Y330" i="10" s="1"/>
  <c r="AB330" i="10"/>
  <c r="P331" i="10"/>
  <c r="T331" i="10"/>
  <c r="X331" i="10"/>
  <c r="Y331" i="10" s="1"/>
  <c r="AB331" i="10"/>
  <c r="P332" i="10"/>
  <c r="T332" i="10"/>
  <c r="X332" i="10"/>
  <c r="Y332" i="10" s="1"/>
  <c r="AB332" i="10"/>
  <c r="P333" i="10"/>
  <c r="T333" i="10"/>
  <c r="X333" i="10"/>
  <c r="Y333" i="10" s="1"/>
  <c r="AB333" i="10"/>
  <c r="P334" i="10"/>
  <c r="T334" i="10"/>
  <c r="X334" i="10"/>
  <c r="Y334" i="10" s="1"/>
  <c r="AB334" i="10"/>
  <c r="P335" i="10"/>
  <c r="T335" i="10"/>
  <c r="X335" i="10"/>
  <c r="Y335" i="10" s="1"/>
  <c r="AB335" i="10"/>
  <c r="P336" i="10"/>
  <c r="T336" i="10"/>
  <c r="X336" i="10"/>
  <c r="Y336" i="10" s="1"/>
  <c r="AB336" i="10"/>
  <c r="P337" i="10"/>
  <c r="T337" i="10"/>
  <c r="X337" i="10"/>
  <c r="Y337" i="10" s="1"/>
  <c r="AB337" i="10"/>
  <c r="P338" i="10"/>
  <c r="T338" i="10"/>
  <c r="X338" i="10"/>
  <c r="Y338" i="10" s="1"/>
  <c r="AB338" i="10"/>
  <c r="P339" i="10"/>
  <c r="T339" i="10"/>
  <c r="X339" i="10"/>
  <c r="Y339" i="10" s="1"/>
  <c r="AB339" i="10"/>
  <c r="P340" i="10"/>
  <c r="T340" i="10"/>
  <c r="X340" i="10"/>
  <c r="Y340" i="10" s="1"/>
  <c r="AB340" i="10"/>
  <c r="P341" i="10"/>
  <c r="T341" i="10"/>
  <c r="X341" i="10"/>
  <c r="Y341" i="10" s="1"/>
  <c r="AB341" i="10"/>
  <c r="P342" i="10"/>
  <c r="T342" i="10"/>
  <c r="X342" i="10"/>
  <c r="Y342" i="10" s="1"/>
  <c r="AB342" i="10"/>
  <c r="P343" i="10"/>
  <c r="T343" i="10"/>
  <c r="X343" i="10"/>
  <c r="Y343" i="10" s="1"/>
  <c r="AB343" i="10"/>
  <c r="P344" i="10"/>
  <c r="T344" i="10"/>
  <c r="X344" i="10"/>
  <c r="Y344" i="10" s="1"/>
  <c r="AB344" i="10"/>
  <c r="P345" i="10"/>
  <c r="T345" i="10"/>
  <c r="X345" i="10"/>
  <c r="Y345" i="10" s="1"/>
  <c r="AB345" i="10"/>
  <c r="P346" i="10"/>
  <c r="T346" i="10"/>
  <c r="X346" i="10"/>
  <c r="Y346" i="10" s="1"/>
  <c r="AB346" i="10"/>
  <c r="P347" i="10"/>
  <c r="T347" i="10"/>
  <c r="X347" i="10"/>
  <c r="Y347" i="10" s="1"/>
  <c r="AB347" i="10"/>
  <c r="P348" i="10"/>
  <c r="T348" i="10"/>
  <c r="X348" i="10"/>
  <c r="Y348" i="10" s="1"/>
  <c r="AB348" i="10"/>
  <c r="P349" i="10"/>
  <c r="T349" i="10"/>
  <c r="X349" i="10"/>
  <c r="Y349" i="10" s="1"/>
  <c r="AB349" i="10"/>
  <c r="P350" i="10"/>
  <c r="T350" i="10"/>
  <c r="X350" i="10"/>
  <c r="Y350" i="10" s="1"/>
  <c r="AB350" i="10"/>
  <c r="P351" i="10"/>
  <c r="T351" i="10"/>
  <c r="X351" i="10"/>
  <c r="Y351" i="10" s="1"/>
  <c r="AB351" i="10"/>
  <c r="P352" i="10"/>
  <c r="T352" i="10"/>
  <c r="X352" i="10"/>
  <c r="Y352" i="10" s="1"/>
  <c r="AB352" i="10"/>
  <c r="P353" i="10"/>
  <c r="T353" i="10"/>
  <c r="X353" i="10"/>
  <c r="Y353" i="10" s="1"/>
  <c r="AB353" i="10"/>
  <c r="P354" i="10"/>
  <c r="T354" i="10"/>
  <c r="X354" i="10"/>
  <c r="Y354" i="10" s="1"/>
  <c r="AB354" i="10"/>
  <c r="P355" i="10"/>
  <c r="T355" i="10"/>
  <c r="X355" i="10"/>
  <c r="Y355" i="10" s="1"/>
  <c r="AB355" i="10"/>
  <c r="P356" i="10"/>
  <c r="T356" i="10"/>
  <c r="X356" i="10"/>
  <c r="Y356" i="10" s="1"/>
  <c r="AB356" i="10"/>
  <c r="P357" i="10"/>
  <c r="T357" i="10"/>
  <c r="X357" i="10"/>
  <c r="Y357" i="10" s="1"/>
  <c r="AB357" i="10"/>
  <c r="P358" i="10"/>
  <c r="T358" i="10"/>
  <c r="X358" i="10"/>
  <c r="Y358" i="10" s="1"/>
  <c r="AB358" i="10"/>
  <c r="P359" i="10"/>
  <c r="T359" i="10"/>
  <c r="X359" i="10"/>
  <c r="Y359" i="10" s="1"/>
  <c r="AB359" i="10"/>
  <c r="P360" i="10"/>
  <c r="T360" i="10"/>
  <c r="X360" i="10"/>
  <c r="Y360" i="10" s="1"/>
  <c r="AB360" i="10"/>
  <c r="P361" i="10"/>
  <c r="T361" i="10"/>
  <c r="X361" i="10"/>
  <c r="Y361" i="10" s="1"/>
  <c r="AB361" i="10"/>
  <c r="P362" i="10"/>
  <c r="T362" i="10"/>
  <c r="X362" i="10"/>
  <c r="Y362" i="10" s="1"/>
  <c r="AB362" i="10"/>
  <c r="P363" i="10"/>
  <c r="T363" i="10"/>
  <c r="X363" i="10"/>
  <c r="Y363" i="10" s="1"/>
  <c r="AB363" i="10"/>
  <c r="P364" i="10"/>
  <c r="T364" i="10"/>
  <c r="X364" i="10"/>
  <c r="Y364" i="10" s="1"/>
  <c r="AB364" i="10"/>
  <c r="P365" i="10"/>
  <c r="T365" i="10"/>
  <c r="X365" i="10"/>
  <c r="Y365" i="10" s="1"/>
  <c r="AB365" i="10"/>
  <c r="P366" i="10"/>
  <c r="T366" i="10"/>
  <c r="X366" i="10"/>
  <c r="Y366" i="10" s="1"/>
  <c r="AB366" i="10"/>
  <c r="P367" i="10"/>
  <c r="T367" i="10"/>
  <c r="X367" i="10"/>
  <c r="Y367" i="10" s="1"/>
  <c r="AB367" i="10"/>
  <c r="P368" i="10"/>
  <c r="T368" i="10"/>
  <c r="X368" i="10"/>
  <c r="Y368" i="10" s="1"/>
  <c r="AB368" i="10"/>
  <c r="P369" i="10"/>
  <c r="T369" i="10"/>
  <c r="X369" i="10"/>
  <c r="Y369" i="10" s="1"/>
  <c r="AB369" i="10"/>
  <c r="P370" i="10"/>
  <c r="T370" i="10"/>
  <c r="X370" i="10"/>
  <c r="Y370" i="10" s="1"/>
  <c r="AB370" i="10"/>
  <c r="P371" i="10"/>
  <c r="T371" i="10"/>
  <c r="X371" i="10"/>
  <c r="Y371" i="10" s="1"/>
  <c r="AB371" i="10"/>
  <c r="P372" i="10"/>
  <c r="T372" i="10"/>
  <c r="X372" i="10"/>
  <c r="Y372" i="10" s="1"/>
  <c r="AB372" i="10"/>
  <c r="P373" i="10"/>
  <c r="T373" i="10"/>
  <c r="X373" i="10"/>
  <c r="Y373" i="10" s="1"/>
  <c r="AB373" i="10"/>
  <c r="P374" i="10"/>
  <c r="T374" i="10"/>
  <c r="X374" i="10"/>
  <c r="Y374" i="10" s="1"/>
  <c r="AB374" i="10"/>
  <c r="P375" i="10"/>
  <c r="T375" i="10"/>
  <c r="X375" i="10"/>
  <c r="Y375" i="10" s="1"/>
  <c r="AB375" i="10"/>
  <c r="P376" i="10"/>
  <c r="T376" i="10"/>
  <c r="X376" i="10"/>
  <c r="Y376" i="10" s="1"/>
  <c r="AB376" i="10"/>
  <c r="P377" i="10"/>
  <c r="T377" i="10"/>
  <c r="X377" i="10"/>
  <c r="Y377" i="10" s="1"/>
  <c r="AB377" i="10"/>
  <c r="P378" i="10"/>
  <c r="T378" i="10"/>
  <c r="X378" i="10"/>
  <c r="Y378" i="10" s="1"/>
  <c r="AB378" i="10"/>
  <c r="P379" i="10"/>
  <c r="T379" i="10"/>
  <c r="X379" i="10"/>
  <c r="Y379" i="10" s="1"/>
  <c r="AB379" i="10"/>
  <c r="P380" i="10"/>
  <c r="T380" i="10"/>
  <c r="X380" i="10"/>
  <c r="Y380" i="10" s="1"/>
  <c r="AB380" i="10"/>
  <c r="P381" i="10"/>
  <c r="T381" i="10"/>
  <c r="X381" i="10"/>
  <c r="Y381" i="10" s="1"/>
  <c r="AB381" i="10"/>
  <c r="P382" i="10"/>
  <c r="T382" i="10"/>
  <c r="X382" i="10"/>
  <c r="Y382" i="10" s="1"/>
  <c r="AB382" i="10"/>
  <c r="P383" i="10"/>
  <c r="T383" i="10"/>
  <c r="X383" i="10"/>
  <c r="Y383" i="10" s="1"/>
  <c r="AB383" i="10"/>
  <c r="P384" i="10"/>
  <c r="T384" i="10"/>
  <c r="X384" i="10"/>
  <c r="Y384" i="10" s="1"/>
  <c r="AB384" i="10"/>
  <c r="P385" i="10"/>
  <c r="T385" i="10"/>
  <c r="X385" i="10"/>
  <c r="Y385" i="10" s="1"/>
  <c r="AB385" i="10"/>
  <c r="P386" i="10"/>
  <c r="T386" i="10"/>
  <c r="X386" i="10"/>
  <c r="Y386" i="10" s="1"/>
  <c r="AB386" i="10"/>
  <c r="P387" i="10"/>
  <c r="T387" i="10"/>
  <c r="X387" i="10"/>
  <c r="Y387" i="10" s="1"/>
  <c r="AB387" i="10"/>
  <c r="P388" i="10"/>
  <c r="T388" i="10"/>
  <c r="X388" i="10"/>
  <c r="Y388" i="10" s="1"/>
  <c r="AB388" i="10"/>
  <c r="P389" i="10"/>
  <c r="T389" i="10"/>
  <c r="X389" i="10"/>
  <c r="Y389" i="10" s="1"/>
  <c r="AB389" i="10"/>
  <c r="P390" i="10"/>
  <c r="T390" i="10"/>
  <c r="X390" i="10"/>
  <c r="Y390" i="10" s="1"/>
  <c r="AB390" i="10"/>
  <c r="P391" i="10"/>
  <c r="T391" i="10"/>
  <c r="X391" i="10"/>
  <c r="Y391" i="10" s="1"/>
  <c r="AB391" i="10"/>
  <c r="P392" i="10"/>
  <c r="T392" i="10"/>
  <c r="X392" i="10"/>
  <c r="Y392" i="10" s="1"/>
  <c r="AB392" i="10"/>
  <c r="P393" i="10"/>
  <c r="T393" i="10"/>
  <c r="X393" i="10"/>
  <c r="Y393" i="10" s="1"/>
  <c r="AB393" i="10"/>
  <c r="P394" i="10"/>
  <c r="T394" i="10"/>
  <c r="X394" i="10"/>
  <c r="Y394" i="10" s="1"/>
  <c r="AB394" i="10"/>
  <c r="P395" i="10"/>
  <c r="T395" i="10"/>
  <c r="X395" i="10"/>
  <c r="Y395" i="10" s="1"/>
  <c r="AB395" i="10"/>
  <c r="P396" i="10"/>
  <c r="T396" i="10"/>
  <c r="X396" i="10"/>
  <c r="Y396" i="10" s="1"/>
  <c r="AB396" i="10"/>
  <c r="P397" i="10"/>
  <c r="T397" i="10"/>
  <c r="X397" i="10"/>
  <c r="Y397" i="10" s="1"/>
  <c r="AB397" i="10"/>
  <c r="P398" i="10"/>
  <c r="T398" i="10"/>
  <c r="X398" i="10"/>
  <c r="Y398" i="10" s="1"/>
  <c r="AB398" i="10"/>
  <c r="P399" i="10"/>
  <c r="T399" i="10"/>
  <c r="X399" i="10"/>
  <c r="Y399" i="10" s="1"/>
  <c r="AB399" i="10"/>
  <c r="P400" i="10"/>
  <c r="T400" i="10"/>
  <c r="X400" i="10"/>
  <c r="Y400" i="10" s="1"/>
  <c r="AB400" i="10"/>
  <c r="P401" i="10"/>
  <c r="T401" i="10"/>
  <c r="X401" i="10"/>
  <c r="Y401" i="10" s="1"/>
  <c r="AB401" i="10"/>
  <c r="P402" i="10"/>
  <c r="T402" i="10"/>
  <c r="X402" i="10"/>
  <c r="Y402" i="10" s="1"/>
  <c r="AB402" i="10"/>
  <c r="P403" i="10"/>
  <c r="T403" i="10"/>
  <c r="X403" i="10"/>
  <c r="Y403" i="10" s="1"/>
  <c r="AB403" i="10"/>
  <c r="P404" i="10"/>
  <c r="T404" i="10"/>
  <c r="X404" i="10"/>
  <c r="Y404" i="10" s="1"/>
  <c r="AB404" i="10"/>
  <c r="P405" i="10"/>
  <c r="T405" i="10"/>
  <c r="X405" i="10"/>
  <c r="Y405" i="10" s="1"/>
  <c r="AB405" i="10"/>
  <c r="P406" i="10"/>
  <c r="T406" i="10"/>
  <c r="X406" i="10"/>
  <c r="Y406" i="10" s="1"/>
  <c r="AB406" i="10"/>
  <c r="P407" i="10"/>
  <c r="T407" i="10"/>
  <c r="X407" i="10"/>
  <c r="Y407" i="10" s="1"/>
  <c r="AB407" i="10"/>
  <c r="P408" i="10"/>
  <c r="T408" i="10"/>
  <c r="X408" i="10"/>
  <c r="Y408" i="10" s="1"/>
  <c r="AB408" i="10"/>
  <c r="P409" i="10"/>
  <c r="T409" i="10"/>
  <c r="X409" i="10"/>
  <c r="Y409" i="10" s="1"/>
  <c r="AB409" i="10"/>
  <c r="P410" i="10"/>
  <c r="T410" i="10"/>
  <c r="X410" i="10"/>
  <c r="Y410" i="10" s="1"/>
  <c r="AB410" i="10"/>
  <c r="P411" i="10"/>
  <c r="T411" i="10"/>
  <c r="X411" i="10"/>
  <c r="Y411" i="10" s="1"/>
  <c r="AB411" i="10"/>
  <c r="P412" i="10"/>
  <c r="T412" i="10"/>
  <c r="X412" i="10"/>
  <c r="Y412" i="10" s="1"/>
  <c r="AB412" i="10"/>
  <c r="P413" i="10"/>
  <c r="T413" i="10"/>
  <c r="X413" i="10"/>
  <c r="Y413" i="10" s="1"/>
  <c r="AB413" i="10"/>
  <c r="P414" i="10"/>
  <c r="T414" i="10"/>
  <c r="X414" i="10"/>
  <c r="Y414" i="10" s="1"/>
  <c r="AB414" i="10"/>
  <c r="P415" i="10"/>
  <c r="T415" i="10"/>
  <c r="X415" i="10"/>
  <c r="Y415" i="10" s="1"/>
  <c r="AB415" i="10"/>
  <c r="P416" i="10"/>
  <c r="T416" i="10"/>
  <c r="X416" i="10"/>
  <c r="Y416" i="10" s="1"/>
  <c r="AB416" i="10"/>
  <c r="P417" i="10"/>
  <c r="T417" i="10"/>
  <c r="X417" i="10"/>
  <c r="Y417" i="10" s="1"/>
  <c r="AB417" i="10"/>
  <c r="P418" i="10"/>
  <c r="T418" i="10"/>
  <c r="X418" i="10"/>
  <c r="Y418" i="10" s="1"/>
  <c r="AB418" i="10"/>
  <c r="P419" i="10"/>
  <c r="T419" i="10"/>
  <c r="X419" i="10"/>
  <c r="Y419" i="10" s="1"/>
  <c r="AB419" i="10"/>
  <c r="P420" i="10"/>
  <c r="T420" i="10"/>
  <c r="X420" i="10"/>
  <c r="Y420" i="10" s="1"/>
  <c r="AB420" i="10"/>
  <c r="P421" i="10"/>
  <c r="T421" i="10"/>
  <c r="X421" i="10"/>
  <c r="Y421" i="10" s="1"/>
  <c r="AB421" i="10"/>
  <c r="P422" i="10"/>
  <c r="T422" i="10"/>
  <c r="X422" i="10"/>
  <c r="Y422" i="10" s="1"/>
  <c r="AB422" i="10"/>
  <c r="P423" i="10"/>
  <c r="T423" i="10"/>
  <c r="X423" i="10"/>
  <c r="Y423" i="10" s="1"/>
  <c r="AB423" i="10"/>
  <c r="P424" i="10"/>
  <c r="T424" i="10"/>
  <c r="X424" i="10"/>
  <c r="Y424" i="10" s="1"/>
  <c r="AB424" i="10"/>
  <c r="P425" i="10"/>
  <c r="T425" i="10"/>
  <c r="X425" i="10"/>
  <c r="Y425" i="10" s="1"/>
  <c r="AB425" i="10"/>
  <c r="P426" i="10"/>
  <c r="T426" i="10"/>
  <c r="X426" i="10"/>
  <c r="Y426" i="10" s="1"/>
  <c r="AB426" i="10"/>
  <c r="P427" i="10"/>
  <c r="T427" i="10"/>
  <c r="X427" i="10"/>
  <c r="Y427" i="10" s="1"/>
  <c r="AB427" i="10"/>
  <c r="P428" i="10"/>
  <c r="T428" i="10"/>
  <c r="X428" i="10"/>
  <c r="Y428" i="10" s="1"/>
  <c r="AB428" i="10"/>
  <c r="P429" i="10"/>
  <c r="T429" i="10"/>
  <c r="X429" i="10"/>
  <c r="Y429" i="10" s="1"/>
  <c r="AB429" i="10"/>
  <c r="P430" i="10"/>
  <c r="T430" i="10"/>
  <c r="X430" i="10"/>
  <c r="Y430" i="10" s="1"/>
  <c r="AB430" i="10"/>
  <c r="P431" i="10"/>
  <c r="T431" i="10"/>
  <c r="X431" i="10"/>
  <c r="Y431" i="10" s="1"/>
  <c r="AB431" i="10"/>
  <c r="P432" i="10"/>
  <c r="T432" i="10"/>
  <c r="X432" i="10"/>
  <c r="Y432" i="10" s="1"/>
  <c r="AB432" i="10"/>
  <c r="P433" i="10"/>
  <c r="T433" i="10"/>
  <c r="X433" i="10"/>
  <c r="Y433" i="10" s="1"/>
  <c r="AB433" i="10"/>
  <c r="P434" i="10"/>
  <c r="T434" i="10"/>
  <c r="X434" i="10"/>
  <c r="Y434" i="10" s="1"/>
  <c r="AB434" i="10"/>
  <c r="P435" i="10"/>
  <c r="T435" i="10"/>
  <c r="X435" i="10"/>
  <c r="Y435" i="10" s="1"/>
  <c r="AB435" i="10"/>
  <c r="P436" i="10"/>
  <c r="T436" i="10"/>
  <c r="X436" i="10"/>
  <c r="Y436" i="10" s="1"/>
  <c r="AB436" i="10"/>
  <c r="P437" i="10"/>
  <c r="T437" i="10"/>
  <c r="X437" i="10"/>
  <c r="Y437" i="10" s="1"/>
  <c r="AB437" i="10"/>
  <c r="P438" i="10"/>
  <c r="T438" i="10"/>
  <c r="X438" i="10"/>
  <c r="Y438" i="10" s="1"/>
  <c r="AB438" i="10"/>
  <c r="P439" i="10"/>
  <c r="T439" i="10"/>
  <c r="X439" i="10"/>
  <c r="Y439" i="10" s="1"/>
  <c r="AB439" i="10"/>
  <c r="P440" i="10"/>
  <c r="T440" i="10"/>
  <c r="X440" i="10"/>
  <c r="Y440" i="10" s="1"/>
  <c r="AB440" i="10"/>
  <c r="P441" i="10"/>
  <c r="T441" i="10"/>
  <c r="X441" i="10"/>
  <c r="Y441" i="10" s="1"/>
  <c r="AB441" i="10"/>
  <c r="P442" i="10"/>
  <c r="T442" i="10"/>
  <c r="X442" i="10"/>
  <c r="Y442" i="10" s="1"/>
  <c r="AB442" i="10"/>
  <c r="P443" i="10"/>
  <c r="T443" i="10"/>
  <c r="X443" i="10"/>
  <c r="Y443" i="10" s="1"/>
  <c r="AB443" i="10"/>
  <c r="P444" i="10"/>
  <c r="T444" i="10"/>
  <c r="X444" i="10"/>
  <c r="Y444" i="10" s="1"/>
  <c r="AB444" i="10"/>
  <c r="P445" i="10"/>
  <c r="T445" i="10"/>
  <c r="X445" i="10"/>
  <c r="Y445" i="10" s="1"/>
  <c r="AB445" i="10"/>
  <c r="P446" i="10"/>
  <c r="T446" i="10"/>
  <c r="X446" i="10"/>
  <c r="Y446" i="10" s="1"/>
  <c r="AB446" i="10"/>
  <c r="P447" i="10"/>
  <c r="T447" i="10"/>
  <c r="X447" i="10"/>
  <c r="Y447" i="10" s="1"/>
  <c r="AB447" i="10"/>
  <c r="P448" i="10"/>
  <c r="T448" i="10"/>
  <c r="X448" i="10"/>
  <c r="Y448" i="10" s="1"/>
  <c r="AB448" i="10"/>
  <c r="P449" i="10"/>
  <c r="T449" i="10"/>
  <c r="X449" i="10"/>
  <c r="Y449" i="10" s="1"/>
  <c r="AB449" i="10"/>
  <c r="P450" i="10"/>
  <c r="T450" i="10"/>
  <c r="X450" i="10"/>
  <c r="Y450" i="10" s="1"/>
  <c r="AB450" i="10"/>
  <c r="P451" i="10"/>
  <c r="T451" i="10"/>
  <c r="X451" i="10"/>
  <c r="Y451" i="10" s="1"/>
  <c r="AB451" i="10"/>
  <c r="P452" i="10"/>
  <c r="T452" i="10"/>
  <c r="X452" i="10"/>
  <c r="Y452" i="10" s="1"/>
  <c r="AB452" i="10"/>
  <c r="P453" i="10"/>
  <c r="T453" i="10"/>
  <c r="X453" i="10"/>
  <c r="Y453" i="10" s="1"/>
  <c r="AB453" i="10"/>
  <c r="P454" i="10"/>
  <c r="T454" i="10"/>
  <c r="X454" i="10"/>
  <c r="Y454" i="10" s="1"/>
  <c r="AB454" i="10"/>
  <c r="P455" i="10"/>
  <c r="T455" i="10"/>
  <c r="X455" i="10"/>
  <c r="Y455" i="10" s="1"/>
  <c r="AB455" i="10"/>
  <c r="P456" i="10"/>
  <c r="T456" i="10"/>
  <c r="X456" i="10"/>
  <c r="Y456" i="10" s="1"/>
  <c r="AB456" i="10"/>
  <c r="P457" i="10"/>
  <c r="T457" i="10"/>
  <c r="X457" i="10"/>
  <c r="Y457" i="10" s="1"/>
  <c r="AB457" i="10"/>
  <c r="P458" i="10"/>
  <c r="T458" i="10"/>
  <c r="X458" i="10"/>
  <c r="Y458" i="10" s="1"/>
  <c r="AB458" i="10"/>
  <c r="P459" i="10"/>
  <c r="T459" i="10"/>
  <c r="X459" i="10"/>
  <c r="Y459" i="10" s="1"/>
  <c r="AB459" i="10"/>
  <c r="P460" i="10"/>
  <c r="T460" i="10"/>
  <c r="X460" i="10"/>
  <c r="Y460" i="10" s="1"/>
  <c r="AB460" i="10"/>
  <c r="P461" i="10"/>
  <c r="T461" i="10"/>
  <c r="X461" i="10"/>
  <c r="Y461" i="10" s="1"/>
  <c r="AB461" i="10"/>
  <c r="P462" i="10"/>
  <c r="T462" i="10"/>
  <c r="X462" i="10"/>
  <c r="Y462" i="10" s="1"/>
  <c r="AB462" i="10"/>
  <c r="P463" i="10"/>
  <c r="T463" i="10"/>
  <c r="X463" i="10"/>
  <c r="Y463" i="10" s="1"/>
  <c r="AB463" i="10"/>
  <c r="P464" i="10"/>
  <c r="T464" i="10"/>
  <c r="X464" i="10"/>
  <c r="Y464" i="10" s="1"/>
  <c r="AB464" i="10"/>
  <c r="P465" i="10"/>
  <c r="T465" i="10"/>
  <c r="X465" i="10"/>
  <c r="Y465" i="10" s="1"/>
  <c r="AB465" i="10"/>
  <c r="P466" i="10"/>
  <c r="T466" i="10"/>
  <c r="X466" i="10"/>
  <c r="Y466" i="10" s="1"/>
  <c r="AB466" i="10"/>
  <c r="P467" i="10"/>
  <c r="T467" i="10"/>
  <c r="X467" i="10"/>
  <c r="Y467" i="10" s="1"/>
  <c r="AB467" i="10"/>
  <c r="P468" i="10"/>
  <c r="T468" i="10"/>
  <c r="X468" i="10"/>
  <c r="Y468" i="10" s="1"/>
  <c r="AB468" i="10"/>
  <c r="P469" i="10"/>
  <c r="T469" i="10"/>
  <c r="X469" i="10"/>
  <c r="Y469" i="10" s="1"/>
  <c r="AB469" i="10"/>
  <c r="P470" i="10"/>
  <c r="T470" i="10"/>
  <c r="X470" i="10"/>
  <c r="Y470" i="10" s="1"/>
  <c r="AB470" i="10"/>
  <c r="P471" i="10"/>
  <c r="T471" i="10"/>
  <c r="X471" i="10"/>
  <c r="Y471" i="10" s="1"/>
  <c r="AB471" i="10"/>
  <c r="P472" i="10"/>
  <c r="T472" i="10"/>
  <c r="X472" i="10"/>
  <c r="Y472" i="10" s="1"/>
  <c r="AB472" i="10"/>
  <c r="P473" i="10"/>
  <c r="T473" i="10"/>
  <c r="X473" i="10"/>
  <c r="Y473" i="10" s="1"/>
  <c r="AB473" i="10"/>
  <c r="P474" i="10"/>
  <c r="T474" i="10"/>
  <c r="X474" i="10"/>
  <c r="Y474" i="10" s="1"/>
  <c r="AB474" i="10"/>
  <c r="P475" i="10"/>
  <c r="T475" i="10"/>
  <c r="X475" i="10"/>
  <c r="Y475" i="10" s="1"/>
  <c r="AB475" i="10"/>
  <c r="P476" i="10"/>
  <c r="T476" i="10"/>
  <c r="X476" i="10"/>
  <c r="Y476" i="10" s="1"/>
  <c r="AB476" i="10"/>
  <c r="P477" i="10"/>
  <c r="T477" i="10"/>
  <c r="X477" i="10"/>
  <c r="Y477" i="10" s="1"/>
  <c r="AB477" i="10"/>
  <c r="P478" i="10"/>
  <c r="T478" i="10"/>
  <c r="X478" i="10"/>
  <c r="Y478" i="10" s="1"/>
  <c r="AB478" i="10"/>
  <c r="P479" i="10"/>
  <c r="T479" i="10"/>
  <c r="X479" i="10"/>
  <c r="Y479" i="10" s="1"/>
  <c r="AB479" i="10"/>
  <c r="P480" i="10"/>
  <c r="T480" i="10"/>
  <c r="X480" i="10"/>
  <c r="Y480" i="10" s="1"/>
  <c r="AB480" i="10"/>
  <c r="P481" i="10"/>
  <c r="T481" i="10"/>
  <c r="X481" i="10"/>
  <c r="Y481" i="10" s="1"/>
  <c r="AB481" i="10"/>
  <c r="P482" i="10"/>
  <c r="T482" i="10"/>
  <c r="X482" i="10"/>
  <c r="Y482" i="10" s="1"/>
  <c r="AB482" i="10"/>
  <c r="P483" i="10"/>
  <c r="T483" i="10"/>
  <c r="X483" i="10"/>
  <c r="Y483" i="10" s="1"/>
  <c r="AB483" i="10"/>
  <c r="P484" i="10"/>
  <c r="T484" i="10"/>
  <c r="X484" i="10"/>
  <c r="Y484" i="10" s="1"/>
  <c r="AB484" i="10"/>
  <c r="P485" i="10"/>
  <c r="T485" i="10"/>
  <c r="X485" i="10"/>
  <c r="Y485" i="10" s="1"/>
  <c r="AB485" i="10"/>
  <c r="P486" i="10"/>
  <c r="T486" i="10"/>
  <c r="X486" i="10"/>
  <c r="Y486" i="10" s="1"/>
  <c r="AB486" i="10"/>
  <c r="P487" i="10"/>
  <c r="T487" i="10"/>
  <c r="X487" i="10"/>
  <c r="Y487" i="10" s="1"/>
  <c r="AB487" i="10"/>
  <c r="P488" i="10"/>
  <c r="T488" i="10"/>
  <c r="X488" i="10"/>
  <c r="Y488" i="10" s="1"/>
  <c r="AB488" i="10"/>
  <c r="P489" i="10"/>
  <c r="T489" i="10"/>
  <c r="X489" i="10"/>
  <c r="Y489" i="10" s="1"/>
  <c r="AB489" i="10"/>
  <c r="P490" i="10"/>
  <c r="T490" i="10"/>
  <c r="X490" i="10"/>
  <c r="Y490" i="10" s="1"/>
  <c r="AB490" i="10"/>
  <c r="P491" i="10"/>
  <c r="T491" i="10"/>
  <c r="X491" i="10"/>
  <c r="Y491" i="10" s="1"/>
  <c r="AB491" i="10"/>
  <c r="P492" i="10"/>
  <c r="T492" i="10"/>
  <c r="X492" i="10"/>
  <c r="Y492" i="10" s="1"/>
  <c r="AB492" i="10"/>
  <c r="P493" i="10"/>
  <c r="T493" i="10"/>
  <c r="X493" i="10"/>
  <c r="Y493" i="10" s="1"/>
  <c r="AB493" i="10"/>
  <c r="P494" i="10"/>
  <c r="T494" i="10"/>
  <c r="X494" i="10"/>
  <c r="Y494" i="10" s="1"/>
  <c r="AB494" i="10"/>
  <c r="P495" i="10"/>
  <c r="T495" i="10"/>
  <c r="X495" i="10"/>
  <c r="Y495" i="10" s="1"/>
  <c r="AB495" i="10"/>
  <c r="P496" i="10"/>
  <c r="T496" i="10"/>
  <c r="X496" i="10"/>
  <c r="Y496" i="10" s="1"/>
  <c r="AB496" i="10"/>
  <c r="P497" i="10"/>
  <c r="T497" i="10"/>
  <c r="X497" i="10"/>
  <c r="Y497" i="10" s="1"/>
  <c r="AB497" i="10"/>
  <c r="P498" i="10"/>
  <c r="T498" i="10"/>
  <c r="X498" i="10"/>
  <c r="Y498" i="10" s="1"/>
  <c r="AB498" i="10"/>
  <c r="P499" i="10"/>
  <c r="T499" i="10"/>
  <c r="X499" i="10"/>
  <c r="Y499" i="10" s="1"/>
  <c r="AB499" i="10"/>
  <c r="P500" i="10"/>
  <c r="T500" i="10"/>
  <c r="X500" i="10"/>
  <c r="Y500" i="10" s="1"/>
  <c r="AB500" i="10"/>
  <c r="P501" i="10"/>
  <c r="T501" i="10"/>
  <c r="X501" i="10"/>
  <c r="Y501" i="10" s="1"/>
  <c r="AB501" i="10"/>
  <c r="P4" i="11"/>
  <c r="T4" i="11"/>
  <c r="X4" i="11"/>
  <c r="Y4" i="11" s="1"/>
  <c r="AB4" i="11"/>
  <c r="P8" i="11"/>
  <c r="T8" i="11"/>
  <c r="X8" i="11"/>
  <c r="Y8" i="11" s="1"/>
  <c r="AB8" i="11"/>
  <c r="AL490" i="11"/>
  <c r="AH490" i="11"/>
  <c r="Z490" i="11"/>
  <c r="AA490" i="11" s="1"/>
  <c r="AG490" i="11" s="1"/>
  <c r="V490" i="11"/>
  <c r="AB490" i="11" s="1"/>
  <c r="R490" i="11"/>
  <c r="N490" i="11"/>
  <c r="Q490" i="11"/>
  <c r="W490" i="11"/>
  <c r="AD490" i="11" s="1"/>
  <c r="AL494" i="11"/>
  <c r="AH494" i="11"/>
  <c r="Z494" i="11"/>
  <c r="AA494" i="11" s="1"/>
  <c r="AG494" i="11" s="1"/>
  <c r="V494" i="11"/>
  <c r="R494" i="11"/>
  <c r="N494" i="11"/>
  <c r="Q494" i="11"/>
  <c r="W494" i="11"/>
  <c r="AD494" i="11" s="1"/>
  <c r="AB494" i="11"/>
  <c r="AL498" i="11"/>
  <c r="AH498" i="11"/>
  <c r="Z498" i="11"/>
  <c r="AA498" i="11" s="1"/>
  <c r="AG498" i="11" s="1"/>
  <c r="V498" i="11"/>
  <c r="R498" i="11"/>
  <c r="N498" i="11"/>
  <c r="Q498" i="11"/>
  <c r="W498" i="11"/>
  <c r="AD498" i="11" s="1"/>
  <c r="AB498" i="11"/>
  <c r="AI3" i="12"/>
  <c r="O3" i="12"/>
  <c r="R3" i="12" s="1"/>
  <c r="Q3" i="12"/>
  <c r="AK3" i="12" s="1"/>
  <c r="V3" i="12"/>
  <c r="AB3" i="12" s="1"/>
  <c r="V8" i="12"/>
  <c r="X8" i="12" s="1"/>
  <c r="Y8" i="12" s="1"/>
  <c r="N8" i="12"/>
  <c r="AJ8" i="12" s="1"/>
  <c r="AC11" i="12"/>
  <c r="AE11" i="12" s="1"/>
  <c r="Y11" i="12"/>
  <c r="M11" i="12"/>
  <c r="W11" i="12"/>
  <c r="AD11" i="12" s="1"/>
  <c r="AB11" i="12"/>
  <c r="AC15" i="12"/>
  <c r="AE15" i="12" s="1"/>
  <c r="Y15" i="12"/>
  <c r="M15" i="12"/>
  <c r="W15" i="12"/>
  <c r="AD15" i="12" s="1"/>
  <c r="AB15" i="12"/>
  <c r="AC19" i="12"/>
  <c r="AE19" i="12" s="1"/>
  <c r="Y19" i="12"/>
  <c r="M19" i="12"/>
  <c r="W19" i="12"/>
  <c r="AD19" i="12" s="1"/>
  <c r="AB19" i="12"/>
  <c r="AC23" i="12"/>
  <c r="AE23" i="12" s="1"/>
  <c r="Y23" i="12"/>
  <c r="M23" i="12"/>
  <c r="W23" i="12"/>
  <c r="AD23" i="12" s="1"/>
  <c r="AB23" i="12"/>
  <c r="AC27" i="12"/>
  <c r="AE27" i="12" s="1"/>
  <c r="Y27" i="12"/>
  <c r="M27" i="12"/>
  <c r="W27" i="12"/>
  <c r="AD27" i="12" s="1"/>
  <c r="AB27" i="12"/>
  <c r="AC31" i="12"/>
  <c r="AE31" i="12" s="1"/>
  <c r="Y31" i="12"/>
  <c r="M31" i="12"/>
  <c r="W31" i="12"/>
  <c r="AD31" i="12" s="1"/>
  <c r="AB31" i="12"/>
  <c r="AC35" i="12"/>
  <c r="AE35" i="12" s="1"/>
  <c r="Y35" i="12"/>
  <c r="M35" i="12"/>
  <c r="W35" i="12"/>
  <c r="AD35" i="12" s="1"/>
  <c r="AB35" i="12"/>
  <c r="AC39" i="12"/>
  <c r="AE39" i="12" s="1"/>
  <c r="M39" i="12"/>
  <c r="W39" i="12"/>
  <c r="AD39" i="12" s="1"/>
  <c r="AB39" i="12"/>
  <c r="AC43" i="12"/>
  <c r="AE43" i="12" s="1"/>
  <c r="Y43" i="12"/>
  <c r="M43" i="12"/>
  <c r="W43" i="12"/>
  <c r="AD43" i="12" s="1"/>
  <c r="AB43" i="12"/>
  <c r="AC47" i="12"/>
  <c r="AE47" i="12" s="1"/>
  <c r="Y47" i="12"/>
  <c r="M47" i="12"/>
  <c r="W47" i="12"/>
  <c r="AD47" i="12" s="1"/>
  <c r="AB47" i="12"/>
  <c r="AC51" i="12"/>
  <c r="AE51" i="12" s="1"/>
  <c r="Y51" i="12"/>
  <c r="M51" i="12"/>
  <c r="W51" i="12"/>
  <c r="AD51" i="12" s="1"/>
  <c r="AB51" i="12"/>
  <c r="AC55" i="12"/>
  <c r="AE55" i="12" s="1"/>
  <c r="Y55" i="12"/>
  <c r="M55" i="12"/>
  <c r="W55" i="12"/>
  <c r="AD55" i="12" s="1"/>
  <c r="AB55" i="12"/>
  <c r="AC59" i="12"/>
  <c r="AE59" i="12" s="1"/>
  <c r="Y59" i="12"/>
  <c r="M59" i="12"/>
  <c r="W59" i="12"/>
  <c r="AD59" i="12" s="1"/>
  <c r="AB59" i="12"/>
  <c r="AC63" i="12"/>
  <c r="AE63" i="12" s="1"/>
  <c r="Y63" i="12"/>
  <c r="M63" i="12"/>
  <c r="W63" i="12"/>
  <c r="AD63" i="12" s="1"/>
  <c r="AB63" i="12"/>
  <c r="AC67" i="12"/>
  <c r="AE67" i="12" s="1"/>
  <c r="Y67" i="12"/>
  <c r="M67" i="12"/>
  <c r="W67" i="12"/>
  <c r="AD67" i="12" s="1"/>
  <c r="AB67" i="12"/>
  <c r="AC71" i="12"/>
  <c r="AE71" i="12" s="1"/>
  <c r="Y71" i="12"/>
  <c r="M71" i="12"/>
  <c r="W71" i="12"/>
  <c r="AD71" i="12" s="1"/>
  <c r="AB71" i="12"/>
  <c r="AC75" i="12"/>
  <c r="AE75" i="12" s="1"/>
  <c r="Y75" i="12"/>
  <c r="M75" i="12"/>
  <c r="W75" i="12"/>
  <c r="AD75" i="12" s="1"/>
  <c r="AB75" i="12"/>
  <c r="AC79" i="12"/>
  <c r="AE79" i="12" s="1"/>
  <c r="Y79" i="12"/>
  <c r="M79" i="12"/>
  <c r="W79" i="12"/>
  <c r="AD79" i="12" s="1"/>
  <c r="AB79" i="12"/>
  <c r="AC83" i="12"/>
  <c r="AE83" i="12" s="1"/>
  <c r="Y83" i="12"/>
  <c r="M83" i="12"/>
  <c r="W83" i="12"/>
  <c r="AD83" i="12" s="1"/>
  <c r="AB83" i="12"/>
  <c r="AC87" i="12"/>
  <c r="AE87" i="12" s="1"/>
  <c r="Y87" i="12"/>
  <c r="M87" i="12"/>
  <c r="W87" i="12"/>
  <c r="AD87" i="12" s="1"/>
  <c r="AB87" i="12"/>
  <c r="AC91" i="12"/>
  <c r="AE91" i="12" s="1"/>
  <c r="Y91" i="12"/>
  <c r="M91" i="12"/>
  <c r="W91" i="12"/>
  <c r="AD91" i="12" s="1"/>
  <c r="AB91" i="12"/>
  <c r="AC95" i="12"/>
  <c r="AE95" i="12" s="1"/>
  <c r="Y95" i="12"/>
  <c r="M95" i="12"/>
  <c r="W95" i="12"/>
  <c r="AD95" i="12" s="1"/>
  <c r="AB95" i="12"/>
  <c r="AC99" i="12"/>
  <c r="AE99" i="12" s="1"/>
  <c r="Y99" i="12"/>
  <c r="M99" i="12"/>
  <c r="W99" i="12"/>
  <c r="AD99" i="12" s="1"/>
  <c r="AB99" i="12"/>
  <c r="AC103" i="12"/>
  <c r="AE103" i="12" s="1"/>
  <c r="Y103" i="12"/>
  <c r="M103" i="12"/>
  <c r="W103" i="12"/>
  <c r="AD103" i="12" s="1"/>
  <c r="AB103" i="12"/>
  <c r="AC107" i="12"/>
  <c r="AE107" i="12" s="1"/>
  <c r="Y107" i="12"/>
  <c r="M107" i="12"/>
  <c r="W107" i="12"/>
  <c r="AD107" i="12" s="1"/>
  <c r="AB107" i="12"/>
  <c r="AC111" i="12"/>
  <c r="AE111" i="12" s="1"/>
  <c r="Y111" i="12"/>
  <c r="M111" i="12"/>
  <c r="W111" i="12"/>
  <c r="AD111" i="12" s="1"/>
  <c r="AB111" i="12"/>
  <c r="AC115" i="12"/>
  <c r="AE115" i="12" s="1"/>
  <c r="Y115" i="12"/>
  <c r="M115" i="12"/>
  <c r="W115" i="12"/>
  <c r="AD115" i="12" s="1"/>
  <c r="AB115" i="12"/>
  <c r="AC119" i="12"/>
  <c r="AE119" i="12" s="1"/>
  <c r="Y119" i="12"/>
  <c r="M119" i="12"/>
  <c r="W119" i="12"/>
  <c r="AD119" i="12" s="1"/>
  <c r="AB119" i="12"/>
  <c r="AC123" i="12"/>
  <c r="AE123" i="12" s="1"/>
  <c r="Y123" i="12"/>
  <c r="M123" i="12"/>
  <c r="W123" i="12"/>
  <c r="AD123" i="12" s="1"/>
  <c r="AB123" i="12"/>
  <c r="AC127" i="12"/>
  <c r="AE127" i="12" s="1"/>
  <c r="Y127" i="12"/>
  <c r="M127" i="12"/>
  <c r="W127" i="12"/>
  <c r="AD127" i="12" s="1"/>
  <c r="AB127" i="12"/>
  <c r="AC131" i="12"/>
  <c r="AE131" i="12" s="1"/>
  <c r="Y131" i="12"/>
  <c r="M131" i="12"/>
  <c r="W131" i="12"/>
  <c r="AD131" i="12" s="1"/>
  <c r="AB131" i="12"/>
  <c r="AC135" i="12"/>
  <c r="AE135" i="12" s="1"/>
  <c r="Y135" i="12"/>
  <c r="M135" i="12"/>
  <c r="W135" i="12"/>
  <c r="AD135" i="12" s="1"/>
  <c r="AB135" i="12"/>
  <c r="AC139" i="12"/>
  <c r="AE139" i="12" s="1"/>
  <c r="Y139" i="12"/>
  <c r="M139" i="12"/>
  <c r="W139" i="12"/>
  <c r="AD139" i="12" s="1"/>
  <c r="AB139" i="12"/>
  <c r="AC143" i="12"/>
  <c r="AE143" i="12" s="1"/>
  <c r="Y143" i="12"/>
  <c r="M143" i="12"/>
  <c r="W143" i="12"/>
  <c r="AD143" i="12" s="1"/>
  <c r="AB143" i="12"/>
  <c r="AC146" i="12"/>
  <c r="AE146" i="12" s="1"/>
  <c r="Y146" i="12"/>
  <c r="M146" i="12"/>
  <c r="W146" i="12"/>
  <c r="AD146" i="12" s="1"/>
  <c r="AB146" i="12"/>
  <c r="AC150" i="12"/>
  <c r="AE150" i="12" s="1"/>
  <c r="Y150" i="12"/>
  <c r="M150" i="12"/>
  <c r="W150" i="12"/>
  <c r="AD150" i="12" s="1"/>
  <c r="AB150" i="12"/>
  <c r="AC154" i="12"/>
  <c r="AE154" i="12" s="1"/>
  <c r="Y154" i="12"/>
  <c r="M154" i="12"/>
  <c r="W154" i="12"/>
  <c r="AD154" i="12" s="1"/>
  <c r="AB154" i="12"/>
  <c r="AC158" i="12"/>
  <c r="AE158" i="12" s="1"/>
  <c r="Y158" i="12"/>
  <c r="M158" i="12"/>
  <c r="W158" i="12"/>
  <c r="AD158" i="12" s="1"/>
  <c r="AB158" i="12"/>
  <c r="AC162" i="12"/>
  <c r="AE162" i="12" s="1"/>
  <c r="M162" i="12"/>
  <c r="W162" i="12"/>
  <c r="AD162" i="12" s="1"/>
  <c r="AB162" i="12"/>
  <c r="AC166" i="12"/>
  <c r="AE166" i="12" s="1"/>
  <c r="Y166" i="12"/>
  <c r="M166" i="12"/>
  <c r="W166" i="12"/>
  <c r="AD166" i="12" s="1"/>
  <c r="AB166" i="12"/>
  <c r="AC170" i="12"/>
  <c r="AE170" i="12" s="1"/>
  <c r="Y170" i="12"/>
  <c r="M170" i="12"/>
  <c r="W170" i="12"/>
  <c r="AD170" i="12" s="1"/>
  <c r="AB170" i="12"/>
  <c r="AC174" i="12"/>
  <c r="AE174" i="12" s="1"/>
  <c r="Y174" i="12"/>
  <c r="M174" i="12"/>
  <c r="W174" i="12"/>
  <c r="AD174" i="12" s="1"/>
  <c r="AB174" i="12"/>
  <c r="AC178" i="12"/>
  <c r="AE178" i="12" s="1"/>
  <c r="Y178" i="12"/>
  <c r="M178" i="12"/>
  <c r="W178" i="12"/>
  <c r="AD178" i="12" s="1"/>
  <c r="AB178" i="12"/>
  <c r="AC182" i="12"/>
  <c r="AE182" i="12" s="1"/>
  <c r="Y182" i="12"/>
  <c r="M182" i="12"/>
  <c r="W182" i="12"/>
  <c r="AD182" i="12" s="1"/>
  <c r="AB182" i="12"/>
  <c r="AC185" i="12"/>
  <c r="AE185" i="12" s="1"/>
  <c r="Y185" i="12"/>
  <c r="M185" i="12"/>
  <c r="W185" i="12"/>
  <c r="AD185" i="12" s="1"/>
  <c r="AB185" i="12"/>
  <c r="AC189" i="12"/>
  <c r="AE189" i="12" s="1"/>
  <c r="Y189" i="12"/>
  <c r="M189" i="12"/>
  <c r="W189" i="12"/>
  <c r="AD189" i="12" s="1"/>
  <c r="AB189" i="12"/>
  <c r="AC193" i="12"/>
  <c r="AE193" i="12" s="1"/>
  <c r="Y193" i="12"/>
  <c r="M193" i="12"/>
  <c r="W193" i="12"/>
  <c r="AD193" i="12" s="1"/>
  <c r="AB193" i="12"/>
  <c r="AC197" i="12"/>
  <c r="AE197" i="12" s="1"/>
  <c r="Y197" i="12"/>
  <c r="M197" i="12"/>
  <c r="W197" i="12"/>
  <c r="AD197" i="12" s="1"/>
  <c r="AB197" i="12"/>
  <c r="AC201" i="12"/>
  <c r="AE201" i="12" s="1"/>
  <c r="Y201" i="12"/>
  <c r="M201" i="12"/>
  <c r="W201" i="12"/>
  <c r="AD201" i="12" s="1"/>
  <c r="AB201" i="12"/>
  <c r="AC205" i="12"/>
  <c r="AE205" i="12" s="1"/>
  <c r="Y205" i="12"/>
  <c r="M205" i="12"/>
  <c r="W205" i="12"/>
  <c r="AD205" i="12" s="1"/>
  <c r="AB205" i="12"/>
  <c r="AC209" i="12"/>
  <c r="AE209" i="12" s="1"/>
  <c r="Y209" i="12"/>
  <c r="M209" i="12"/>
  <c r="W209" i="12"/>
  <c r="AD209" i="12" s="1"/>
  <c r="AB209" i="12"/>
  <c r="AC213" i="12"/>
  <c r="AE213" i="12" s="1"/>
  <c r="Y213" i="12"/>
  <c r="M213" i="12"/>
  <c r="W213" i="12"/>
  <c r="AD213" i="12" s="1"/>
  <c r="AB213" i="12"/>
  <c r="AC217" i="12"/>
  <c r="AE217" i="12" s="1"/>
  <c r="Y217" i="12"/>
  <c r="M217" i="12"/>
  <c r="W217" i="12"/>
  <c r="AD217" i="12" s="1"/>
  <c r="AB217" i="12"/>
  <c r="AC221" i="12"/>
  <c r="AE221" i="12" s="1"/>
  <c r="Y221" i="12"/>
  <c r="M221" i="12"/>
  <c r="W221" i="12"/>
  <c r="AD221" i="12" s="1"/>
  <c r="AB221" i="12"/>
  <c r="AC225" i="12"/>
  <c r="AE225" i="12" s="1"/>
  <c r="Y225" i="12"/>
  <c r="M225" i="12"/>
  <c r="W225" i="12"/>
  <c r="AD225" i="12" s="1"/>
  <c r="AB225" i="12"/>
  <c r="AC229" i="12"/>
  <c r="AE229" i="12" s="1"/>
  <c r="Y229" i="12"/>
  <c r="M229" i="12"/>
  <c r="W229" i="12"/>
  <c r="AD229" i="12" s="1"/>
  <c r="AB229" i="12"/>
  <c r="AC233" i="12"/>
  <c r="AE233" i="12" s="1"/>
  <c r="Y233" i="12"/>
  <c r="M233" i="12"/>
  <c r="W233" i="12"/>
  <c r="AD233" i="12" s="1"/>
  <c r="AB233" i="12"/>
  <c r="AC237" i="12"/>
  <c r="AE237" i="12" s="1"/>
  <c r="Y237" i="12"/>
  <c r="M237" i="12"/>
  <c r="W237" i="12"/>
  <c r="AD237" i="12" s="1"/>
  <c r="AB237" i="12"/>
  <c r="AK241" i="12"/>
  <c r="AC241" i="12"/>
  <c r="AE241" i="12" s="1"/>
  <c r="Y241" i="12"/>
  <c r="U241" i="12"/>
  <c r="AF241" i="12" s="1"/>
  <c r="Q241" i="12"/>
  <c r="M241" i="12"/>
  <c r="R241" i="12"/>
  <c r="W241" i="12"/>
  <c r="AD241" i="12" s="1"/>
  <c r="AB241" i="12"/>
  <c r="AH241" i="12"/>
  <c r="AK245" i="12"/>
  <c r="AC245" i="12"/>
  <c r="AE245" i="12" s="1"/>
  <c r="Y245" i="12"/>
  <c r="U245" i="12"/>
  <c r="AF245" i="12" s="1"/>
  <c r="Q245" i="12"/>
  <c r="M245" i="12"/>
  <c r="R245" i="12"/>
  <c r="W245" i="12"/>
  <c r="AD245" i="12" s="1"/>
  <c r="AB245" i="12"/>
  <c r="AH245" i="12"/>
  <c r="AK249" i="12"/>
  <c r="AC249" i="12"/>
  <c r="AE249" i="12" s="1"/>
  <c r="Y249" i="12"/>
  <c r="U249" i="12"/>
  <c r="AF249" i="12" s="1"/>
  <c r="Q249" i="12"/>
  <c r="M249" i="12"/>
  <c r="R249" i="12"/>
  <c r="W249" i="12"/>
  <c r="AD249" i="12" s="1"/>
  <c r="AB249" i="12"/>
  <c r="AH249" i="12"/>
  <c r="AK253" i="12"/>
  <c r="AC253" i="12"/>
  <c r="AE253" i="12" s="1"/>
  <c r="Y253" i="12"/>
  <c r="U253" i="12"/>
  <c r="AF253" i="12" s="1"/>
  <c r="Q253" i="12"/>
  <c r="M253" i="12"/>
  <c r="R253" i="12"/>
  <c r="W253" i="12"/>
  <c r="AD253" i="12" s="1"/>
  <c r="AB253" i="12"/>
  <c r="AH253" i="12"/>
  <c r="AK257" i="12"/>
  <c r="AC257" i="12"/>
  <c r="AE257" i="12" s="1"/>
  <c r="Y257" i="12"/>
  <c r="U257" i="12"/>
  <c r="AF257" i="12" s="1"/>
  <c r="Q257" i="12"/>
  <c r="M257" i="12"/>
  <c r="R257" i="12"/>
  <c r="W257" i="12"/>
  <c r="AD257" i="12" s="1"/>
  <c r="AB257" i="12"/>
  <c r="AH257" i="12"/>
  <c r="AK261" i="12"/>
  <c r="AC261" i="12"/>
  <c r="AE261" i="12" s="1"/>
  <c r="Y261" i="12"/>
  <c r="U261" i="12"/>
  <c r="AF261" i="12" s="1"/>
  <c r="Q261" i="12"/>
  <c r="M261" i="12"/>
  <c r="R261" i="12"/>
  <c r="W261" i="12"/>
  <c r="AD261" i="12" s="1"/>
  <c r="AB261" i="12"/>
  <c r="AH261" i="12"/>
  <c r="AK265" i="12"/>
  <c r="AC265" i="12"/>
  <c r="AE265" i="12" s="1"/>
  <c r="Y265" i="12"/>
  <c r="U265" i="12"/>
  <c r="AF265" i="12" s="1"/>
  <c r="Q265" i="12"/>
  <c r="M265" i="12"/>
  <c r="R265" i="12"/>
  <c r="W265" i="12"/>
  <c r="AD265" i="12" s="1"/>
  <c r="AB265" i="12"/>
  <c r="AH265" i="12"/>
  <c r="AK269" i="12"/>
  <c r="AC269" i="12"/>
  <c r="AE269" i="12" s="1"/>
  <c r="Y269" i="12"/>
  <c r="U269" i="12"/>
  <c r="AF269" i="12" s="1"/>
  <c r="Q269" i="12"/>
  <c r="M269" i="12"/>
  <c r="R269" i="12"/>
  <c r="W269" i="12"/>
  <c r="AD269" i="12" s="1"/>
  <c r="AB269" i="12"/>
  <c r="AH269" i="12"/>
  <c r="AK273" i="12"/>
  <c r="AC273" i="12"/>
  <c r="AE273" i="12" s="1"/>
  <c r="Y273" i="12"/>
  <c r="U273" i="12"/>
  <c r="AF273" i="12" s="1"/>
  <c r="Q273" i="12"/>
  <c r="M273" i="12"/>
  <c r="R273" i="12"/>
  <c r="W273" i="12"/>
  <c r="AD273" i="12" s="1"/>
  <c r="AB273" i="12"/>
  <c r="AH273" i="12"/>
  <c r="AK277" i="12"/>
  <c r="AC277" i="12"/>
  <c r="AE277" i="12" s="1"/>
  <c r="Y277" i="12"/>
  <c r="U277" i="12"/>
  <c r="AF277" i="12" s="1"/>
  <c r="Q277" i="12"/>
  <c r="M277" i="12"/>
  <c r="R277" i="12"/>
  <c r="W277" i="12"/>
  <c r="AD277" i="12" s="1"/>
  <c r="AB277" i="12"/>
  <c r="AH277" i="12"/>
  <c r="AK281" i="12"/>
  <c r="AC281" i="12"/>
  <c r="AE281" i="12" s="1"/>
  <c r="Y281" i="12"/>
  <c r="U281" i="12"/>
  <c r="AF281" i="12" s="1"/>
  <c r="Q281" i="12"/>
  <c r="M281" i="12"/>
  <c r="R281" i="12"/>
  <c r="W281" i="12"/>
  <c r="AD281" i="12" s="1"/>
  <c r="AB281" i="12"/>
  <c r="AH281" i="12"/>
  <c r="AK285" i="12"/>
  <c r="AC285" i="12"/>
  <c r="AE285" i="12" s="1"/>
  <c r="Y285" i="12"/>
  <c r="U285" i="12"/>
  <c r="AF285" i="12" s="1"/>
  <c r="Q285" i="12"/>
  <c r="M285" i="12"/>
  <c r="R285" i="12"/>
  <c r="W285" i="12"/>
  <c r="AD285" i="12" s="1"/>
  <c r="AB285" i="12"/>
  <c r="AH285" i="12"/>
  <c r="AK289" i="12"/>
  <c r="AC289" i="12"/>
  <c r="AE289" i="12" s="1"/>
  <c r="Y289" i="12"/>
  <c r="U289" i="12"/>
  <c r="AF289" i="12" s="1"/>
  <c r="Q289" i="12"/>
  <c r="M289" i="12"/>
  <c r="R289" i="12"/>
  <c r="W289" i="12"/>
  <c r="AD289" i="12" s="1"/>
  <c r="AB289" i="12"/>
  <c r="AH289" i="12"/>
  <c r="AK293" i="12"/>
  <c r="AC293" i="12"/>
  <c r="AE293" i="12" s="1"/>
  <c r="Y293" i="12"/>
  <c r="U293" i="12"/>
  <c r="AF293" i="12" s="1"/>
  <c r="Q293" i="12"/>
  <c r="M293" i="12"/>
  <c r="R293" i="12"/>
  <c r="W293" i="12"/>
  <c r="AD293" i="12" s="1"/>
  <c r="AB293" i="12"/>
  <c r="AH293" i="12"/>
  <c r="AK297" i="12"/>
  <c r="AC297" i="12"/>
  <c r="AE297" i="12" s="1"/>
  <c r="Y297" i="12"/>
  <c r="U297" i="12"/>
  <c r="AF297" i="12" s="1"/>
  <c r="Q297" i="12"/>
  <c r="M297" i="12"/>
  <c r="R297" i="12"/>
  <c r="W297" i="12"/>
  <c r="AD297" i="12" s="1"/>
  <c r="AB297" i="12"/>
  <c r="AH297" i="12"/>
  <c r="AK301" i="12"/>
  <c r="AC301" i="12"/>
  <c r="AE301" i="12" s="1"/>
  <c r="Y301" i="12"/>
  <c r="U301" i="12"/>
  <c r="AF301" i="12" s="1"/>
  <c r="Q301" i="12"/>
  <c r="M301" i="12"/>
  <c r="R301" i="12"/>
  <c r="W301" i="12"/>
  <c r="AD301" i="12" s="1"/>
  <c r="AB301" i="12"/>
  <c r="AH301" i="12"/>
  <c r="AK305" i="12"/>
  <c r="AC305" i="12"/>
  <c r="AE305" i="12" s="1"/>
  <c r="Y305" i="12"/>
  <c r="U305" i="12"/>
  <c r="AF305" i="12" s="1"/>
  <c r="Q305" i="12"/>
  <c r="M305" i="12"/>
  <c r="R305" i="12"/>
  <c r="W305" i="12"/>
  <c r="AD305" i="12" s="1"/>
  <c r="AB305" i="12"/>
  <c r="AH305" i="12"/>
  <c r="AK309" i="12"/>
  <c r="AC309" i="12"/>
  <c r="AE309" i="12" s="1"/>
  <c r="Y309" i="12"/>
  <c r="U309" i="12"/>
  <c r="AF309" i="12" s="1"/>
  <c r="Q309" i="12"/>
  <c r="M309" i="12"/>
  <c r="R309" i="12"/>
  <c r="W309" i="12"/>
  <c r="AD309" i="12" s="1"/>
  <c r="AB309" i="12"/>
  <c r="AH309" i="12"/>
  <c r="AK313" i="12"/>
  <c r="AC313" i="12"/>
  <c r="AE313" i="12" s="1"/>
  <c r="Y313" i="12"/>
  <c r="U313" i="12"/>
  <c r="AF313" i="12" s="1"/>
  <c r="Q313" i="12"/>
  <c r="M313" i="12"/>
  <c r="R313" i="12"/>
  <c r="W313" i="12"/>
  <c r="AD313" i="12" s="1"/>
  <c r="AB313" i="12"/>
  <c r="AH313" i="12"/>
  <c r="AK317" i="12"/>
  <c r="AC317" i="12"/>
  <c r="AE317" i="12" s="1"/>
  <c r="Y317" i="12"/>
  <c r="U317" i="12"/>
  <c r="AF317" i="12" s="1"/>
  <c r="Q317" i="12"/>
  <c r="M317" i="12"/>
  <c r="R317" i="12"/>
  <c r="W317" i="12"/>
  <c r="AD317" i="12" s="1"/>
  <c r="AB317" i="12"/>
  <c r="AH317" i="12"/>
  <c r="AK321" i="12"/>
  <c r="AC321" i="12"/>
  <c r="AE321" i="12" s="1"/>
  <c r="Y321" i="12"/>
  <c r="U321" i="12"/>
  <c r="AF321" i="12" s="1"/>
  <c r="Q321" i="12"/>
  <c r="M321" i="12"/>
  <c r="R321" i="12"/>
  <c r="W321" i="12"/>
  <c r="AD321" i="12" s="1"/>
  <c r="AB321" i="12"/>
  <c r="AH321" i="12"/>
  <c r="AK325" i="12"/>
  <c r="AC325" i="12"/>
  <c r="AE325" i="12" s="1"/>
  <c r="Y325" i="12"/>
  <c r="U325" i="12"/>
  <c r="AF325" i="12" s="1"/>
  <c r="Q325" i="12"/>
  <c r="M325" i="12"/>
  <c r="R325" i="12"/>
  <c r="W325" i="12"/>
  <c r="AD325" i="12" s="1"/>
  <c r="AB325" i="12"/>
  <c r="AH325" i="12"/>
  <c r="AK329" i="12"/>
  <c r="AC329" i="12"/>
  <c r="AE329" i="12" s="1"/>
  <c r="Y329" i="12"/>
  <c r="U329" i="12"/>
  <c r="AF329" i="12" s="1"/>
  <c r="Q329" i="12"/>
  <c r="M329" i="12"/>
  <c r="R329" i="12"/>
  <c r="W329" i="12"/>
  <c r="AD329" i="12" s="1"/>
  <c r="AB329" i="12"/>
  <c r="AH329" i="12"/>
  <c r="AK333" i="12"/>
  <c r="AC333" i="12"/>
  <c r="AE333" i="12" s="1"/>
  <c r="Y333" i="12"/>
  <c r="U333" i="12"/>
  <c r="AF333" i="12" s="1"/>
  <c r="Q333" i="12"/>
  <c r="M333" i="12"/>
  <c r="R333" i="12"/>
  <c r="W333" i="12"/>
  <c r="AD333" i="12" s="1"/>
  <c r="AB333" i="12"/>
  <c r="AH333" i="12"/>
  <c r="AK337" i="12"/>
  <c r="AC337" i="12"/>
  <c r="AE337" i="12" s="1"/>
  <c r="Y337" i="12"/>
  <c r="U337" i="12"/>
  <c r="AF337" i="12" s="1"/>
  <c r="Q337" i="12"/>
  <c r="M337" i="12"/>
  <c r="R337" i="12"/>
  <c r="W337" i="12"/>
  <c r="AD337" i="12" s="1"/>
  <c r="AB337" i="12"/>
  <c r="AH337" i="12"/>
  <c r="AK341" i="12"/>
  <c r="AC341" i="12"/>
  <c r="AE341" i="12" s="1"/>
  <c r="Y341" i="12"/>
  <c r="U341" i="12"/>
  <c r="AF341" i="12" s="1"/>
  <c r="Q341" i="12"/>
  <c r="M341" i="12"/>
  <c r="R341" i="12"/>
  <c r="W341" i="12"/>
  <c r="AD341" i="12" s="1"/>
  <c r="AB341" i="12"/>
  <c r="AH341" i="12"/>
  <c r="AK345" i="12"/>
  <c r="AC345" i="12"/>
  <c r="AE345" i="12" s="1"/>
  <c r="Y345" i="12"/>
  <c r="U345" i="12"/>
  <c r="AF345" i="12" s="1"/>
  <c r="Q345" i="12"/>
  <c r="M345" i="12"/>
  <c r="R345" i="12"/>
  <c r="W345" i="12"/>
  <c r="AD345" i="12" s="1"/>
  <c r="AB345" i="12"/>
  <c r="AH345" i="12"/>
  <c r="AK349" i="12"/>
  <c r="AC349" i="12"/>
  <c r="AE349" i="12" s="1"/>
  <c r="Y349" i="12"/>
  <c r="U349" i="12"/>
  <c r="AF349" i="12" s="1"/>
  <c r="Q349" i="12"/>
  <c r="M349" i="12"/>
  <c r="R349" i="12"/>
  <c r="W349" i="12"/>
  <c r="AD349" i="12" s="1"/>
  <c r="AB349" i="12"/>
  <c r="AH349" i="12"/>
  <c r="AK353" i="12"/>
  <c r="AC353" i="12"/>
  <c r="AE353" i="12" s="1"/>
  <c r="Y353" i="12"/>
  <c r="U353" i="12"/>
  <c r="AF353" i="12" s="1"/>
  <c r="Q353" i="12"/>
  <c r="M353" i="12"/>
  <c r="R353" i="12"/>
  <c r="W353" i="12"/>
  <c r="AD353" i="12" s="1"/>
  <c r="AB353" i="12"/>
  <c r="AH353" i="12"/>
  <c r="AK357" i="12"/>
  <c r="AC357" i="12"/>
  <c r="AE357" i="12" s="1"/>
  <c r="Y357" i="12"/>
  <c r="U357" i="12"/>
  <c r="AF357" i="12" s="1"/>
  <c r="Q357" i="12"/>
  <c r="M357" i="12"/>
  <c r="R357" i="12"/>
  <c r="W357" i="12"/>
  <c r="AD357" i="12" s="1"/>
  <c r="AB357" i="12"/>
  <c r="AH357" i="12"/>
  <c r="AK361" i="12"/>
  <c r="AC361" i="12"/>
  <c r="AE361" i="12" s="1"/>
  <c r="Y361" i="12"/>
  <c r="U361" i="12"/>
  <c r="AF361" i="12" s="1"/>
  <c r="Q361" i="12"/>
  <c r="M361" i="12"/>
  <c r="R361" i="12"/>
  <c r="W361" i="12"/>
  <c r="AD361" i="12" s="1"/>
  <c r="AB361" i="12"/>
  <c r="AH361" i="12"/>
  <c r="AK365" i="12"/>
  <c r="AC365" i="12"/>
  <c r="AE365" i="12" s="1"/>
  <c r="Y365" i="12"/>
  <c r="U365" i="12"/>
  <c r="AF365" i="12" s="1"/>
  <c r="Q365" i="12"/>
  <c r="M365" i="12"/>
  <c r="R365" i="12"/>
  <c r="W365" i="12"/>
  <c r="AD365" i="12" s="1"/>
  <c r="AB365" i="12"/>
  <c r="AH365" i="12"/>
  <c r="AK369" i="12"/>
  <c r="AC369" i="12"/>
  <c r="AE369" i="12" s="1"/>
  <c r="Y369" i="12"/>
  <c r="U369" i="12"/>
  <c r="AF369" i="12" s="1"/>
  <c r="Q369" i="12"/>
  <c r="M369" i="12"/>
  <c r="R369" i="12"/>
  <c r="W369" i="12"/>
  <c r="AD369" i="12" s="1"/>
  <c r="AB369" i="12"/>
  <c r="AH369" i="12"/>
  <c r="AK373" i="12"/>
  <c r="AC373" i="12"/>
  <c r="AE373" i="12" s="1"/>
  <c r="Y373" i="12"/>
  <c r="U373" i="12"/>
  <c r="AF373" i="12" s="1"/>
  <c r="Q373" i="12"/>
  <c r="M373" i="12"/>
  <c r="R373" i="12"/>
  <c r="W373" i="12"/>
  <c r="AD373" i="12" s="1"/>
  <c r="AB373" i="12"/>
  <c r="AH373" i="12"/>
  <c r="AK377" i="12"/>
  <c r="AC377" i="12"/>
  <c r="AE377" i="12" s="1"/>
  <c r="Y377" i="12"/>
  <c r="U377" i="12"/>
  <c r="AF377" i="12" s="1"/>
  <c r="Q377" i="12"/>
  <c r="M377" i="12"/>
  <c r="R377" i="12"/>
  <c r="W377" i="12"/>
  <c r="AD377" i="12" s="1"/>
  <c r="AB377" i="12"/>
  <c r="AH377" i="12"/>
  <c r="AK381" i="12"/>
  <c r="AC381" i="12"/>
  <c r="AE381" i="12" s="1"/>
  <c r="Y381" i="12"/>
  <c r="U381" i="12"/>
  <c r="AF381" i="12" s="1"/>
  <c r="Q381" i="12"/>
  <c r="M381" i="12"/>
  <c r="R381" i="12"/>
  <c r="W381" i="12"/>
  <c r="AD381" i="12" s="1"/>
  <c r="AB381" i="12"/>
  <c r="AH381" i="12"/>
  <c r="AK385" i="12"/>
  <c r="AC385" i="12"/>
  <c r="AE385" i="12" s="1"/>
  <c r="Y385" i="12"/>
  <c r="U385" i="12"/>
  <c r="AF385" i="12" s="1"/>
  <c r="Q385" i="12"/>
  <c r="M385" i="12"/>
  <c r="R385" i="12"/>
  <c r="W385" i="12"/>
  <c r="AD385" i="12" s="1"/>
  <c r="AB385" i="12"/>
  <c r="AH385" i="12"/>
  <c r="AK389" i="12"/>
  <c r="AC389" i="12"/>
  <c r="AE389" i="12" s="1"/>
  <c r="Y389" i="12"/>
  <c r="U389" i="12"/>
  <c r="AF389" i="12" s="1"/>
  <c r="Q389" i="12"/>
  <c r="M389" i="12"/>
  <c r="R389" i="12"/>
  <c r="W389" i="12"/>
  <c r="AD389" i="12" s="1"/>
  <c r="AB389" i="12"/>
  <c r="AH389" i="12"/>
  <c r="AK393" i="12"/>
  <c r="AC393" i="12"/>
  <c r="AE393" i="12" s="1"/>
  <c r="Y393" i="12"/>
  <c r="U393" i="12"/>
  <c r="AF393" i="12" s="1"/>
  <c r="Q393" i="12"/>
  <c r="M393" i="12"/>
  <c r="R393" i="12"/>
  <c r="W393" i="12"/>
  <c r="AD393" i="12" s="1"/>
  <c r="AB393" i="12"/>
  <c r="AH393" i="12"/>
  <c r="AK397" i="12"/>
  <c r="AC397" i="12"/>
  <c r="AE397" i="12" s="1"/>
  <c r="Y397" i="12"/>
  <c r="U397" i="12"/>
  <c r="AF397" i="12" s="1"/>
  <c r="Q397" i="12"/>
  <c r="M397" i="12"/>
  <c r="R397" i="12"/>
  <c r="W397" i="12"/>
  <c r="AD397" i="12" s="1"/>
  <c r="AB397" i="12"/>
  <c r="AH397" i="12"/>
  <c r="AK401" i="12"/>
  <c r="AC401" i="12"/>
  <c r="AE401" i="12" s="1"/>
  <c r="Y401" i="12"/>
  <c r="U401" i="12"/>
  <c r="AF401" i="12" s="1"/>
  <c r="Q401" i="12"/>
  <c r="M401" i="12"/>
  <c r="R401" i="12"/>
  <c r="W401" i="12"/>
  <c r="AD401" i="12" s="1"/>
  <c r="AB401" i="12"/>
  <c r="AH401" i="12"/>
  <c r="AK405" i="12"/>
  <c r="AC405" i="12"/>
  <c r="AE405" i="12" s="1"/>
  <c r="Y405" i="12"/>
  <c r="U405" i="12"/>
  <c r="AF405" i="12" s="1"/>
  <c r="Q405" i="12"/>
  <c r="M405" i="12"/>
  <c r="R405" i="12"/>
  <c r="W405" i="12"/>
  <c r="AD405" i="12" s="1"/>
  <c r="AB405" i="12"/>
  <c r="AH405" i="12"/>
  <c r="AK409" i="12"/>
  <c r="AC409" i="12"/>
  <c r="AE409" i="12" s="1"/>
  <c r="Y409" i="12"/>
  <c r="U409" i="12"/>
  <c r="AF409" i="12" s="1"/>
  <c r="Q409" i="12"/>
  <c r="M409" i="12"/>
  <c r="R409" i="12"/>
  <c r="W409" i="12"/>
  <c r="AD409" i="12" s="1"/>
  <c r="AB409" i="12"/>
  <c r="AH409" i="12"/>
  <c r="AK413" i="12"/>
  <c r="AC413" i="12"/>
  <c r="AE413" i="12" s="1"/>
  <c r="Y413" i="12"/>
  <c r="U413" i="12"/>
  <c r="AF413" i="12" s="1"/>
  <c r="Q413" i="12"/>
  <c r="M413" i="12"/>
  <c r="R413" i="12"/>
  <c r="W413" i="12"/>
  <c r="AD413" i="12" s="1"/>
  <c r="AB413" i="12"/>
  <c r="AH413" i="12"/>
  <c r="AK417" i="12"/>
  <c r="AC417" i="12"/>
  <c r="AE417" i="12" s="1"/>
  <c r="Y417" i="12"/>
  <c r="U417" i="12"/>
  <c r="AF417" i="12" s="1"/>
  <c r="Q417" i="12"/>
  <c r="M417" i="12"/>
  <c r="R417" i="12"/>
  <c r="W417" i="12"/>
  <c r="AD417" i="12" s="1"/>
  <c r="AB417" i="12"/>
  <c r="AH417" i="12"/>
  <c r="AK421" i="12"/>
  <c r="AC421" i="12"/>
  <c r="AE421" i="12" s="1"/>
  <c r="Y421" i="12"/>
  <c r="U421" i="12"/>
  <c r="AF421" i="12" s="1"/>
  <c r="Q421" i="12"/>
  <c r="M421" i="12"/>
  <c r="R421" i="12"/>
  <c r="W421" i="12"/>
  <c r="AD421" i="12" s="1"/>
  <c r="AB421" i="12"/>
  <c r="AH421" i="12"/>
  <c r="AK425" i="12"/>
  <c r="AC425" i="12"/>
  <c r="AE425" i="12" s="1"/>
  <c r="Y425" i="12"/>
  <c r="U425" i="12"/>
  <c r="AF425" i="12" s="1"/>
  <c r="Q425" i="12"/>
  <c r="M425" i="12"/>
  <c r="R425" i="12"/>
  <c r="W425" i="12"/>
  <c r="AD425" i="12" s="1"/>
  <c r="AB425" i="12"/>
  <c r="AH425" i="12"/>
  <c r="AK429" i="12"/>
  <c r="AC429" i="12"/>
  <c r="AE429" i="12" s="1"/>
  <c r="Y429" i="12"/>
  <c r="U429" i="12"/>
  <c r="AF429" i="12" s="1"/>
  <c r="Q429" i="12"/>
  <c r="M429" i="12"/>
  <c r="R429" i="12"/>
  <c r="W429" i="12"/>
  <c r="AD429" i="12" s="1"/>
  <c r="AB429" i="12"/>
  <c r="AH429" i="12"/>
  <c r="AK433" i="12"/>
  <c r="AC433" i="12"/>
  <c r="AE433" i="12" s="1"/>
  <c r="Y433" i="12"/>
  <c r="U433" i="12"/>
  <c r="AF433" i="12" s="1"/>
  <c r="Q433" i="12"/>
  <c r="M433" i="12"/>
  <c r="R433" i="12"/>
  <c r="W433" i="12"/>
  <c r="AD433" i="12" s="1"/>
  <c r="AB433" i="12"/>
  <c r="AH433" i="12"/>
  <c r="AK437" i="12"/>
  <c r="AC437" i="12"/>
  <c r="AE437" i="12" s="1"/>
  <c r="Y437" i="12"/>
  <c r="U437" i="12"/>
  <c r="AF437" i="12" s="1"/>
  <c r="Q437" i="12"/>
  <c r="M437" i="12"/>
  <c r="R437" i="12"/>
  <c r="W437" i="12"/>
  <c r="AD437" i="12" s="1"/>
  <c r="AB437" i="12"/>
  <c r="AH437" i="12"/>
  <c r="AK441" i="12"/>
  <c r="AC441" i="12"/>
  <c r="AE441" i="12" s="1"/>
  <c r="Y441" i="12"/>
  <c r="U441" i="12"/>
  <c r="AF441" i="12" s="1"/>
  <c r="Q441" i="12"/>
  <c r="M441" i="12"/>
  <c r="R441" i="12"/>
  <c r="W441" i="12"/>
  <c r="AD441" i="12" s="1"/>
  <c r="AB441" i="12"/>
  <c r="AH441" i="12"/>
  <c r="AK445" i="12"/>
  <c r="AC445" i="12"/>
  <c r="AE445" i="12" s="1"/>
  <c r="Y445" i="12"/>
  <c r="U445" i="12"/>
  <c r="AF445" i="12" s="1"/>
  <c r="Q445" i="12"/>
  <c r="M445" i="12"/>
  <c r="R445" i="12"/>
  <c r="W445" i="12"/>
  <c r="AD445" i="12" s="1"/>
  <c r="AB445" i="12"/>
  <c r="AH445" i="12"/>
  <c r="AK449" i="12"/>
  <c r="AC449" i="12"/>
  <c r="AE449" i="12" s="1"/>
  <c r="Y449" i="12"/>
  <c r="U449" i="12"/>
  <c r="AF449" i="12" s="1"/>
  <c r="Q449" i="12"/>
  <c r="M449" i="12"/>
  <c r="R449" i="12"/>
  <c r="W449" i="12"/>
  <c r="AD449" i="12" s="1"/>
  <c r="AB449" i="12"/>
  <c r="AH449" i="12"/>
  <c r="AK453" i="12"/>
  <c r="AC453" i="12"/>
  <c r="AE453" i="12" s="1"/>
  <c r="Y453" i="12"/>
  <c r="U453" i="12"/>
  <c r="AF453" i="12" s="1"/>
  <c r="Q453" i="12"/>
  <c r="M453" i="12"/>
  <c r="R453" i="12"/>
  <c r="W453" i="12"/>
  <c r="AD453" i="12" s="1"/>
  <c r="AB453" i="12"/>
  <c r="AH453" i="12"/>
  <c r="AK457" i="12"/>
  <c r="AC457" i="12"/>
  <c r="AE457" i="12" s="1"/>
  <c r="Y457" i="12"/>
  <c r="U457" i="12"/>
  <c r="AF457" i="12" s="1"/>
  <c r="Q457" i="12"/>
  <c r="M457" i="12"/>
  <c r="R457" i="12"/>
  <c r="W457" i="12"/>
  <c r="AD457" i="12" s="1"/>
  <c r="AB457" i="12"/>
  <c r="AH457" i="12"/>
  <c r="AK461" i="12"/>
  <c r="AC461" i="12"/>
  <c r="AE461" i="12" s="1"/>
  <c r="Y461" i="12"/>
  <c r="U461" i="12"/>
  <c r="AF461" i="12" s="1"/>
  <c r="Q461" i="12"/>
  <c r="M461" i="12"/>
  <c r="R461" i="12"/>
  <c r="W461" i="12"/>
  <c r="AD461" i="12" s="1"/>
  <c r="AB461" i="12"/>
  <c r="AH461" i="12"/>
  <c r="AK465" i="12"/>
  <c r="AC465" i="12"/>
  <c r="AE465" i="12" s="1"/>
  <c r="Y465" i="12"/>
  <c r="U465" i="12"/>
  <c r="AF465" i="12" s="1"/>
  <c r="Q465" i="12"/>
  <c r="M465" i="12"/>
  <c r="R465" i="12"/>
  <c r="W465" i="12"/>
  <c r="AD465" i="12" s="1"/>
  <c r="AB465" i="12"/>
  <c r="AH465" i="12"/>
  <c r="AK469" i="12"/>
  <c r="AC469" i="12"/>
  <c r="AE469" i="12" s="1"/>
  <c r="Y469" i="12"/>
  <c r="U469" i="12"/>
  <c r="AF469" i="12" s="1"/>
  <c r="Q469" i="12"/>
  <c r="M469" i="12"/>
  <c r="R469" i="12"/>
  <c r="W469" i="12"/>
  <c r="AD469" i="12" s="1"/>
  <c r="AB469" i="12"/>
  <c r="AH469" i="12"/>
  <c r="AK473" i="12"/>
  <c r="AC473" i="12"/>
  <c r="AE473" i="12" s="1"/>
  <c r="Y473" i="12"/>
  <c r="U473" i="12"/>
  <c r="AF473" i="12" s="1"/>
  <c r="Q473" i="12"/>
  <c r="M473" i="12"/>
  <c r="R473" i="12"/>
  <c r="W473" i="12"/>
  <c r="AD473" i="12" s="1"/>
  <c r="AB473" i="12"/>
  <c r="AH473" i="12"/>
  <c r="AK477" i="12"/>
  <c r="AC477" i="12"/>
  <c r="AE477" i="12" s="1"/>
  <c r="Y477" i="12"/>
  <c r="U477" i="12"/>
  <c r="AF477" i="12" s="1"/>
  <c r="Q477" i="12"/>
  <c r="M477" i="12"/>
  <c r="R477" i="12"/>
  <c r="W477" i="12"/>
  <c r="AD477" i="12" s="1"/>
  <c r="AB477" i="12"/>
  <c r="AH477" i="12"/>
  <c r="AK481" i="12"/>
  <c r="AC481" i="12"/>
  <c r="AE481" i="12" s="1"/>
  <c r="Y481" i="12"/>
  <c r="U481" i="12"/>
  <c r="AF481" i="12" s="1"/>
  <c r="Q481" i="12"/>
  <c r="M481" i="12"/>
  <c r="R481" i="12"/>
  <c r="W481" i="12"/>
  <c r="AD481" i="12" s="1"/>
  <c r="AB481" i="12"/>
  <c r="AH481" i="12"/>
  <c r="AK485" i="12"/>
  <c r="AC485" i="12"/>
  <c r="AE485" i="12" s="1"/>
  <c r="Y485" i="12"/>
  <c r="U485" i="12"/>
  <c r="AF485" i="12" s="1"/>
  <c r="Q485" i="12"/>
  <c r="M485" i="12"/>
  <c r="R485" i="12"/>
  <c r="W485" i="12"/>
  <c r="AD485" i="12" s="1"/>
  <c r="AB485" i="12"/>
  <c r="AH485" i="12"/>
  <c r="AK489" i="12"/>
  <c r="AC489" i="12"/>
  <c r="AE489" i="12" s="1"/>
  <c r="Y489" i="12"/>
  <c r="U489" i="12"/>
  <c r="AF489" i="12" s="1"/>
  <c r="Q489" i="12"/>
  <c r="M489" i="12"/>
  <c r="R489" i="12"/>
  <c r="W489" i="12"/>
  <c r="AD489" i="12" s="1"/>
  <c r="AB489" i="12"/>
  <c r="AH489" i="12"/>
  <c r="AK493" i="12"/>
  <c r="AC493" i="12"/>
  <c r="AE493" i="12" s="1"/>
  <c r="Y493" i="12"/>
  <c r="U493" i="12"/>
  <c r="AF493" i="12" s="1"/>
  <c r="Q493" i="12"/>
  <c r="M493" i="12"/>
  <c r="R493" i="12"/>
  <c r="W493" i="12"/>
  <c r="AD493" i="12" s="1"/>
  <c r="AB493" i="12"/>
  <c r="AH493" i="12"/>
  <c r="AK497" i="12"/>
  <c r="AC497" i="12"/>
  <c r="AE497" i="12" s="1"/>
  <c r="Y497" i="12"/>
  <c r="U497" i="12"/>
  <c r="AF497" i="12" s="1"/>
  <c r="Q497" i="12"/>
  <c r="M497" i="12"/>
  <c r="R497" i="12"/>
  <c r="W497" i="12"/>
  <c r="AD497" i="12" s="1"/>
  <c r="AB497" i="12"/>
  <c r="AH497" i="12"/>
  <c r="AI2" i="13"/>
  <c r="S2" i="13"/>
  <c r="O2" i="13"/>
  <c r="R2" i="13" s="1"/>
  <c r="Q2" i="13"/>
  <c r="AK2" i="13" s="1"/>
  <c r="V2" i="13"/>
  <c r="W2" i="13" s="1"/>
  <c r="AD2" i="13" s="1"/>
  <c r="U128" i="13"/>
  <c r="U118" i="13"/>
  <c r="U114" i="13"/>
  <c r="U110" i="13"/>
  <c r="U106" i="13"/>
  <c r="U104" i="13"/>
  <c r="U102" i="13"/>
  <c r="U98" i="13"/>
  <c r="U88" i="13"/>
  <c r="U78" i="13"/>
  <c r="U62" i="13"/>
  <c r="U58" i="13"/>
  <c r="U48" i="13"/>
  <c r="U46" i="13"/>
  <c r="U35" i="13"/>
  <c r="U31" i="13"/>
  <c r="V7" i="13"/>
  <c r="X7" i="13" s="1"/>
  <c r="Y7" i="13" s="1"/>
  <c r="N7" i="13"/>
  <c r="Q7" i="13" s="1"/>
  <c r="N86" i="13"/>
  <c r="U86" i="13" s="1"/>
  <c r="O92" i="13"/>
  <c r="U92" i="13" s="1"/>
  <c r="O96" i="13"/>
  <c r="U96" i="13" s="1"/>
  <c r="O100" i="13"/>
  <c r="U100" i="13" s="1"/>
  <c r="O104" i="13"/>
  <c r="O108" i="13"/>
  <c r="U108" i="13" s="1"/>
  <c r="O112" i="13"/>
  <c r="U112" i="13" s="1"/>
  <c r="O116" i="13"/>
  <c r="U116" i="13" s="1"/>
  <c r="O120" i="13"/>
  <c r="U120" i="13" s="1"/>
  <c r="AJ132" i="13"/>
  <c r="AJ136" i="13"/>
  <c r="AJ140" i="13"/>
  <c r="AJ144" i="13"/>
  <c r="AJ148" i="13"/>
  <c r="AJ156" i="13"/>
  <c r="AJ160" i="13"/>
  <c r="AJ164" i="13"/>
  <c r="AJ168" i="13"/>
  <c r="AJ172" i="13"/>
  <c r="AJ180" i="13"/>
  <c r="AJ188" i="13"/>
  <c r="AJ196" i="13"/>
  <c r="AC212" i="13"/>
  <c r="AE212" i="13" s="1"/>
  <c r="M212" i="13"/>
  <c r="O212" i="13" s="1"/>
  <c r="V212" i="13"/>
  <c r="AB212" i="13" s="1"/>
  <c r="P212" i="13"/>
  <c r="AC216" i="13"/>
  <c r="AE216" i="13" s="1"/>
  <c r="M216" i="13"/>
  <c r="O216" i="13" s="1"/>
  <c r="V216" i="13"/>
  <c r="AB216" i="13" s="1"/>
  <c r="P216" i="13"/>
  <c r="W221" i="13"/>
  <c r="AD221" i="13" s="1"/>
  <c r="AC221" i="13"/>
  <c r="AE221" i="13" s="1"/>
  <c r="M221" i="13"/>
  <c r="N221" i="13" s="1"/>
  <c r="X221" i="13"/>
  <c r="Y221" i="13" s="1"/>
  <c r="AC225" i="13"/>
  <c r="AE225" i="13" s="1"/>
  <c r="M225" i="13"/>
  <c r="N225" i="13" s="1"/>
  <c r="AI257" i="13"/>
  <c r="W257" i="13"/>
  <c r="AD257" i="13" s="1"/>
  <c r="S257" i="13"/>
  <c r="O257" i="13"/>
  <c r="K257" i="13"/>
  <c r="AK257" i="13"/>
  <c r="AC257" i="13"/>
  <c r="AE257" i="13" s="1"/>
  <c r="U257" i="13"/>
  <c r="AF257" i="13" s="1"/>
  <c r="Q257" i="13"/>
  <c r="M257" i="13"/>
  <c r="AH257" i="13"/>
  <c r="Z257" i="13"/>
  <c r="AA257" i="13" s="1"/>
  <c r="AG257" i="13" s="1"/>
  <c r="R257" i="13"/>
  <c r="T257" i="13"/>
  <c r="AJ257" i="13"/>
  <c r="X257" i="13"/>
  <c r="Y257" i="13" s="1"/>
  <c r="N257" i="13"/>
  <c r="AI261" i="13"/>
  <c r="W261" i="13"/>
  <c r="AD261" i="13" s="1"/>
  <c r="S261" i="13"/>
  <c r="O261" i="13"/>
  <c r="K261" i="13"/>
  <c r="AK261" i="13"/>
  <c r="AC261" i="13"/>
  <c r="AE261" i="13" s="1"/>
  <c r="U261" i="13"/>
  <c r="AF261" i="13" s="1"/>
  <c r="Q261" i="13"/>
  <c r="M261" i="13"/>
  <c r="AH261" i="13"/>
  <c r="Z261" i="13"/>
  <c r="AA261" i="13" s="1"/>
  <c r="AG261" i="13" s="1"/>
  <c r="R261" i="13"/>
  <c r="AJ261" i="13"/>
  <c r="X261" i="13"/>
  <c r="Y261" i="13" s="1"/>
  <c r="N261" i="13"/>
  <c r="T261" i="13"/>
  <c r="AI264" i="13"/>
  <c r="W264" i="13"/>
  <c r="AD264" i="13" s="1"/>
  <c r="S264" i="13"/>
  <c r="O264" i="13"/>
  <c r="K264" i="13"/>
  <c r="AK264" i="13"/>
  <c r="AC264" i="13"/>
  <c r="AE264" i="13" s="1"/>
  <c r="Y264" i="13"/>
  <c r="U264" i="13"/>
  <c r="AF264" i="13" s="1"/>
  <c r="Q264" i="13"/>
  <c r="M264" i="13"/>
  <c r="AL264" i="13"/>
  <c r="V264" i="13"/>
  <c r="AB264" i="13" s="1"/>
  <c r="N264" i="13"/>
  <c r="AJ264" i="13"/>
  <c r="Z264" i="13"/>
  <c r="AA264" i="13" s="1"/>
  <c r="AG264" i="13" s="1"/>
  <c r="P264" i="13"/>
  <c r="T264" i="13"/>
  <c r="AH264" i="13"/>
  <c r="AI268" i="13"/>
  <c r="W268" i="13"/>
  <c r="AD268" i="13" s="1"/>
  <c r="S268" i="13"/>
  <c r="O268" i="13"/>
  <c r="K268" i="13"/>
  <c r="AK268" i="13"/>
  <c r="AC268" i="13"/>
  <c r="AE268" i="13" s="1"/>
  <c r="U268" i="13"/>
  <c r="AF268" i="13" s="1"/>
  <c r="Q268" i="13"/>
  <c r="M268" i="13"/>
  <c r="AL268" i="13"/>
  <c r="V268" i="13"/>
  <c r="AB268" i="13" s="1"/>
  <c r="N268" i="13"/>
  <c r="T268" i="13"/>
  <c r="AJ268" i="13"/>
  <c r="Z268" i="13"/>
  <c r="AA268" i="13" s="1"/>
  <c r="AG268" i="13" s="1"/>
  <c r="P268" i="13"/>
  <c r="AH268" i="13"/>
  <c r="AI289" i="13"/>
  <c r="W289" i="13"/>
  <c r="AD289" i="13" s="1"/>
  <c r="S289" i="13"/>
  <c r="O289" i="13"/>
  <c r="K289" i="13"/>
  <c r="AK289" i="13"/>
  <c r="AC289" i="13"/>
  <c r="AE289" i="13" s="1"/>
  <c r="Y289" i="13"/>
  <c r="U289" i="13"/>
  <c r="AF289" i="13" s="1"/>
  <c r="Q289" i="13"/>
  <c r="M289" i="13"/>
  <c r="AH289" i="13"/>
  <c r="Z289" i="13"/>
  <c r="AA289" i="13" s="1"/>
  <c r="AG289" i="13" s="1"/>
  <c r="R289" i="13"/>
  <c r="T289" i="13"/>
  <c r="AJ289" i="13"/>
  <c r="X289" i="13"/>
  <c r="N289" i="13"/>
  <c r="AI293" i="13"/>
  <c r="W293" i="13"/>
  <c r="AD293" i="13" s="1"/>
  <c r="S293" i="13"/>
  <c r="O293" i="13"/>
  <c r="K293" i="13"/>
  <c r="AK293" i="13"/>
  <c r="AC293" i="13"/>
  <c r="AE293" i="13" s="1"/>
  <c r="U293" i="13"/>
  <c r="AF293" i="13" s="1"/>
  <c r="Q293" i="13"/>
  <c r="M293" i="13"/>
  <c r="AH293" i="13"/>
  <c r="Z293" i="13"/>
  <c r="AA293" i="13" s="1"/>
  <c r="AG293" i="13" s="1"/>
  <c r="R293" i="13"/>
  <c r="AJ293" i="13"/>
  <c r="X293" i="13"/>
  <c r="Y293" i="13" s="1"/>
  <c r="N293" i="13"/>
  <c r="T293" i="13"/>
  <c r="AI296" i="13"/>
  <c r="W296" i="13"/>
  <c r="AD296" i="13" s="1"/>
  <c r="S296" i="13"/>
  <c r="O296" i="13"/>
  <c r="K296" i="13"/>
  <c r="AK296" i="13"/>
  <c r="AC296" i="13"/>
  <c r="AE296" i="13" s="1"/>
  <c r="Y296" i="13"/>
  <c r="U296" i="13"/>
  <c r="AF296" i="13" s="1"/>
  <c r="Q296" i="13"/>
  <c r="M296" i="13"/>
  <c r="AL296" i="13"/>
  <c r="V296" i="13"/>
  <c r="AB296" i="13" s="1"/>
  <c r="N296" i="13"/>
  <c r="AJ296" i="13"/>
  <c r="Z296" i="13"/>
  <c r="AA296" i="13" s="1"/>
  <c r="AG296" i="13" s="1"/>
  <c r="P296" i="13"/>
  <c r="T296" i="13"/>
  <c r="AH296" i="13"/>
  <c r="AI300" i="13"/>
  <c r="W300" i="13"/>
  <c r="AD300" i="13" s="1"/>
  <c r="S300" i="13"/>
  <c r="O300" i="13"/>
  <c r="K300" i="13"/>
  <c r="AK300" i="13"/>
  <c r="AC300" i="13"/>
  <c r="AE300" i="13" s="1"/>
  <c r="U300" i="13"/>
  <c r="AF300" i="13" s="1"/>
  <c r="Q300" i="13"/>
  <c r="M300" i="13"/>
  <c r="AL300" i="13"/>
  <c r="V300" i="13"/>
  <c r="AB300" i="13" s="1"/>
  <c r="N300" i="13"/>
  <c r="T300" i="13"/>
  <c r="AJ300" i="13"/>
  <c r="Z300" i="13"/>
  <c r="AA300" i="13" s="1"/>
  <c r="AG300" i="13" s="1"/>
  <c r="P300" i="13"/>
  <c r="AH300" i="13"/>
  <c r="AI321" i="13"/>
  <c r="W321" i="13"/>
  <c r="AD321" i="13" s="1"/>
  <c r="S321" i="13"/>
  <c r="O321" i="13"/>
  <c r="K321" i="13"/>
  <c r="AK321" i="13"/>
  <c r="AC321" i="13"/>
  <c r="AE321" i="13" s="1"/>
  <c r="Y321" i="13"/>
  <c r="U321" i="13"/>
  <c r="AF321" i="13" s="1"/>
  <c r="Q321" i="13"/>
  <c r="M321" i="13"/>
  <c r="AH321" i="13"/>
  <c r="Z321" i="13"/>
  <c r="AA321" i="13" s="1"/>
  <c r="AG321" i="13" s="1"/>
  <c r="R321" i="13"/>
  <c r="T321" i="13"/>
  <c r="AJ321" i="13"/>
  <c r="X321" i="13"/>
  <c r="N321" i="13"/>
  <c r="AI325" i="13"/>
  <c r="W325" i="13"/>
  <c r="AD325" i="13" s="1"/>
  <c r="S325" i="13"/>
  <c r="O325" i="13"/>
  <c r="K325" i="13"/>
  <c r="AK325" i="13"/>
  <c r="AC325" i="13"/>
  <c r="AE325" i="13" s="1"/>
  <c r="U325" i="13"/>
  <c r="AF325" i="13" s="1"/>
  <c r="Q325" i="13"/>
  <c r="M325" i="13"/>
  <c r="AH325" i="13"/>
  <c r="Z325" i="13"/>
  <c r="AA325" i="13" s="1"/>
  <c r="AG325" i="13" s="1"/>
  <c r="R325" i="13"/>
  <c r="AJ325" i="13"/>
  <c r="X325" i="13"/>
  <c r="Y325" i="13" s="1"/>
  <c r="N325" i="13"/>
  <c r="T325" i="13"/>
  <c r="AI328" i="13"/>
  <c r="W328" i="13"/>
  <c r="AD328" i="13" s="1"/>
  <c r="S328" i="13"/>
  <c r="O328" i="13"/>
  <c r="K328" i="13"/>
  <c r="AK328" i="13"/>
  <c r="AC328" i="13"/>
  <c r="AE328" i="13" s="1"/>
  <c r="Y328" i="13"/>
  <c r="U328" i="13"/>
  <c r="AF328" i="13" s="1"/>
  <c r="Q328" i="13"/>
  <c r="M328" i="13"/>
  <c r="AL328" i="13"/>
  <c r="V328" i="13"/>
  <c r="AB328" i="13" s="1"/>
  <c r="N328" i="13"/>
  <c r="AJ328" i="13"/>
  <c r="Z328" i="13"/>
  <c r="AA328" i="13" s="1"/>
  <c r="AG328" i="13" s="1"/>
  <c r="P328" i="13"/>
  <c r="T328" i="13"/>
  <c r="AH328" i="13"/>
  <c r="AI332" i="13"/>
  <c r="W332" i="13"/>
  <c r="AD332" i="13" s="1"/>
  <c r="S332" i="13"/>
  <c r="O332" i="13"/>
  <c r="K332" i="13"/>
  <c r="AK332" i="13"/>
  <c r="AC332" i="13"/>
  <c r="AE332" i="13" s="1"/>
  <c r="U332" i="13"/>
  <c r="AF332" i="13" s="1"/>
  <c r="Q332" i="13"/>
  <c r="M332" i="13"/>
  <c r="AL332" i="13"/>
  <c r="V332" i="13"/>
  <c r="AB332" i="13" s="1"/>
  <c r="N332" i="13"/>
  <c r="T332" i="13"/>
  <c r="AJ332" i="13"/>
  <c r="Z332" i="13"/>
  <c r="AA332" i="13" s="1"/>
  <c r="AG332" i="13" s="1"/>
  <c r="P332" i="13"/>
  <c r="AH332" i="13"/>
  <c r="AI353" i="13"/>
  <c r="W353" i="13"/>
  <c r="AD353" i="13" s="1"/>
  <c r="S353" i="13"/>
  <c r="O353" i="13"/>
  <c r="K353" i="13"/>
  <c r="AK353" i="13"/>
  <c r="AC353" i="13"/>
  <c r="AE353" i="13" s="1"/>
  <c r="U353" i="13"/>
  <c r="AF353" i="13" s="1"/>
  <c r="Q353" i="13"/>
  <c r="M353" i="13"/>
  <c r="AH353" i="13"/>
  <c r="Z353" i="13"/>
  <c r="AA353" i="13" s="1"/>
  <c r="AG353" i="13" s="1"/>
  <c r="R353" i="13"/>
  <c r="T353" i="13"/>
  <c r="AJ353" i="13"/>
  <c r="X353" i="13"/>
  <c r="Y353" i="13" s="1"/>
  <c r="N353" i="13"/>
  <c r="AI357" i="13"/>
  <c r="W357" i="13"/>
  <c r="AD357" i="13" s="1"/>
  <c r="S357" i="13"/>
  <c r="O357" i="13"/>
  <c r="K357" i="13"/>
  <c r="AK357" i="13"/>
  <c r="AC357" i="13"/>
  <c r="AE357" i="13" s="1"/>
  <c r="U357" i="13"/>
  <c r="AF357" i="13" s="1"/>
  <c r="Q357" i="13"/>
  <c r="M357" i="13"/>
  <c r="AH357" i="13"/>
  <c r="Z357" i="13"/>
  <c r="AA357" i="13" s="1"/>
  <c r="AG357" i="13" s="1"/>
  <c r="R357" i="13"/>
  <c r="AJ357" i="13"/>
  <c r="X357" i="13"/>
  <c r="Y357" i="13" s="1"/>
  <c r="N357" i="13"/>
  <c r="T357" i="13"/>
  <c r="AI360" i="13"/>
  <c r="W360" i="13"/>
  <c r="AD360" i="13" s="1"/>
  <c r="S360" i="13"/>
  <c r="O360" i="13"/>
  <c r="K360" i="13"/>
  <c r="AK360" i="13"/>
  <c r="AC360" i="13"/>
  <c r="AE360" i="13" s="1"/>
  <c r="Y360" i="13"/>
  <c r="U360" i="13"/>
  <c r="AF360" i="13" s="1"/>
  <c r="Q360" i="13"/>
  <c r="M360" i="13"/>
  <c r="AL360" i="13"/>
  <c r="V360" i="13"/>
  <c r="AB360" i="13" s="1"/>
  <c r="N360" i="13"/>
  <c r="AJ360" i="13"/>
  <c r="Z360" i="13"/>
  <c r="AA360" i="13" s="1"/>
  <c r="AG360" i="13" s="1"/>
  <c r="P360" i="13"/>
  <c r="T360" i="13"/>
  <c r="AH360" i="13"/>
  <c r="AI364" i="13"/>
  <c r="W364" i="13"/>
  <c r="AD364" i="13" s="1"/>
  <c r="S364" i="13"/>
  <c r="O364" i="13"/>
  <c r="K364" i="13"/>
  <c r="AK364" i="13"/>
  <c r="AC364" i="13"/>
  <c r="AE364" i="13" s="1"/>
  <c r="U364" i="13"/>
  <c r="AF364" i="13" s="1"/>
  <c r="Q364" i="13"/>
  <c r="M364" i="13"/>
  <c r="AL364" i="13"/>
  <c r="V364" i="13"/>
  <c r="AB364" i="13" s="1"/>
  <c r="N364" i="13"/>
  <c r="T364" i="13"/>
  <c r="AJ364" i="13"/>
  <c r="Z364" i="13"/>
  <c r="AA364" i="13" s="1"/>
  <c r="AG364" i="13" s="1"/>
  <c r="P364" i="13"/>
  <c r="AH364" i="13"/>
  <c r="AI385" i="13"/>
  <c r="W385" i="13"/>
  <c r="AD385" i="13" s="1"/>
  <c r="S385" i="13"/>
  <c r="O385" i="13"/>
  <c r="K385" i="13"/>
  <c r="AK385" i="13"/>
  <c r="AC385" i="13"/>
  <c r="AE385" i="13" s="1"/>
  <c r="U385" i="13"/>
  <c r="AF385" i="13" s="1"/>
  <c r="Q385" i="13"/>
  <c r="M385" i="13"/>
  <c r="AH385" i="13"/>
  <c r="Z385" i="13"/>
  <c r="AA385" i="13" s="1"/>
  <c r="AG385" i="13" s="1"/>
  <c r="R385" i="13"/>
  <c r="T385" i="13"/>
  <c r="AJ385" i="13"/>
  <c r="X385" i="13"/>
  <c r="Y385" i="13" s="1"/>
  <c r="N385" i="13"/>
  <c r="AI389" i="13"/>
  <c r="W389" i="13"/>
  <c r="AD389" i="13" s="1"/>
  <c r="S389" i="13"/>
  <c r="O389" i="13"/>
  <c r="K389" i="13"/>
  <c r="AK389" i="13"/>
  <c r="AC389" i="13"/>
  <c r="AE389" i="13" s="1"/>
  <c r="U389" i="13"/>
  <c r="AF389" i="13" s="1"/>
  <c r="Q389" i="13"/>
  <c r="M389" i="13"/>
  <c r="AH389" i="13"/>
  <c r="Z389" i="13"/>
  <c r="AA389" i="13" s="1"/>
  <c r="AG389" i="13" s="1"/>
  <c r="R389" i="13"/>
  <c r="AJ389" i="13"/>
  <c r="X389" i="13"/>
  <c r="Y389" i="13" s="1"/>
  <c r="N389" i="13"/>
  <c r="T389" i="13"/>
  <c r="AI392" i="13"/>
  <c r="W392" i="13"/>
  <c r="AD392" i="13" s="1"/>
  <c r="S392" i="13"/>
  <c r="O392" i="13"/>
  <c r="K392" i="13"/>
  <c r="AK392" i="13"/>
  <c r="AC392" i="13"/>
  <c r="AE392" i="13" s="1"/>
  <c r="Y392" i="13"/>
  <c r="U392" i="13"/>
  <c r="AF392" i="13" s="1"/>
  <c r="Q392" i="13"/>
  <c r="M392" i="13"/>
  <c r="AL392" i="13"/>
  <c r="V392" i="13"/>
  <c r="AB392" i="13" s="1"/>
  <c r="N392" i="13"/>
  <c r="AJ392" i="13"/>
  <c r="Z392" i="13"/>
  <c r="AA392" i="13" s="1"/>
  <c r="AG392" i="13" s="1"/>
  <c r="P392" i="13"/>
  <c r="T392" i="13"/>
  <c r="AH392" i="13"/>
  <c r="AI396" i="13"/>
  <c r="W396" i="13"/>
  <c r="AD396" i="13" s="1"/>
  <c r="S396" i="13"/>
  <c r="O396" i="13"/>
  <c r="K396" i="13"/>
  <c r="AK396" i="13"/>
  <c r="AC396" i="13"/>
  <c r="AE396" i="13" s="1"/>
  <c r="Y396" i="13"/>
  <c r="U396" i="13"/>
  <c r="AF396" i="13" s="1"/>
  <c r="Q396" i="13"/>
  <c r="M396" i="13"/>
  <c r="AL396" i="13"/>
  <c r="V396" i="13"/>
  <c r="AB396" i="13" s="1"/>
  <c r="N396" i="13"/>
  <c r="T396" i="13"/>
  <c r="AJ396" i="13"/>
  <c r="Z396" i="13"/>
  <c r="AA396" i="13" s="1"/>
  <c r="AG396" i="13" s="1"/>
  <c r="P396" i="13"/>
  <c r="AH396" i="13"/>
  <c r="AI417" i="13"/>
  <c r="W417" i="13"/>
  <c r="AD417" i="13" s="1"/>
  <c r="S417" i="13"/>
  <c r="O417" i="13"/>
  <c r="K417" i="13"/>
  <c r="AK417" i="13"/>
  <c r="AC417" i="13"/>
  <c r="AE417" i="13" s="1"/>
  <c r="U417" i="13"/>
  <c r="AF417" i="13" s="1"/>
  <c r="Q417" i="13"/>
  <c r="M417" i="13"/>
  <c r="AH417" i="13"/>
  <c r="Z417" i="13"/>
  <c r="AA417" i="13" s="1"/>
  <c r="AG417" i="13" s="1"/>
  <c r="R417" i="13"/>
  <c r="T417" i="13"/>
  <c r="AJ417" i="13"/>
  <c r="X417" i="13"/>
  <c r="Y417" i="13" s="1"/>
  <c r="N417" i="13"/>
  <c r="AI421" i="13"/>
  <c r="W421" i="13"/>
  <c r="AD421" i="13" s="1"/>
  <c r="S421" i="13"/>
  <c r="O421" i="13"/>
  <c r="K421" i="13"/>
  <c r="AK421" i="13"/>
  <c r="AC421" i="13"/>
  <c r="AE421" i="13" s="1"/>
  <c r="U421" i="13"/>
  <c r="AF421" i="13" s="1"/>
  <c r="Q421" i="13"/>
  <c r="M421" i="13"/>
  <c r="AH421" i="13"/>
  <c r="Z421" i="13"/>
  <c r="AA421" i="13" s="1"/>
  <c r="AG421" i="13" s="1"/>
  <c r="R421" i="13"/>
  <c r="AJ421" i="13"/>
  <c r="X421" i="13"/>
  <c r="Y421" i="13" s="1"/>
  <c r="N421" i="13"/>
  <c r="T421" i="13"/>
  <c r="AI424" i="13"/>
  <c r="W424" i="13"/>
  <c r="AD424" i="13" s="1"/>
  <c r="S424" i="13"/>
  <c r="O424" i="13"/>
  <c r="K424" i="13"/>
  <c r="AK424" i="13"/>
  <c r="AC424" i="13"/>
  <c r="AE424" i="13" s="1"/>
  <c r="Y424" i="13"/>
  <c r="U424" i="13"/>
  <c r="AF424" i="13" s="1"/>
  <c r="Q424" i="13"/>
  <c r="M424" i="13"/>
  <c r="AL424" i="13"/>
  <c r="V424" i="13"/>
  <c r="AB424" i="13" s="1"/>
  <c r="N424" i="13"/>
  <c r="AJ424" i="13"/>
  <c r="Z424" i="13"/>
  <c r="AA424" i="13" s="1"/>
  <c r="AG424" i="13" s="1"/>
  <c r="P424" i="13"/>
  <c r="T424" i="13"/>
  <c r="AH424" i="13"/>
  <c r="AI428" i="13"/>
  <c r="W428" i="13"/>
  <c r="AD428" i="13" s="1"/>
  <c r="S428" i="13"/>
  <c r="O428" i="13"/>
  <c r="K428" i="13"/>
  <c r="AK428" i="13"/>
  <c r="AC428" i="13"/>
  <c r="AE428" i="13" s="1"/>
  <c r="U428" i="13"/>
  <c r="AF428" i="13" s="1"/>
  <c r="Q428" i="13"/>
  <c r="M428" i="13"/>
  <c r="AL428" i="13"/>
  <c r="V428" i="13"/>
  <c r="AB428" i="13" s="1"/>
  <c r="N428" i="13"/>
  <c r="T428" i="13"/>
  <c r="AJ428" i="13"/>
  <c r="Z428" i="13"/>
  <c r="AA428" i="13" s="1"/>
  <c r="AG428" i="13" s="1"/>
  <c r="P428" i="13"/>
  <c r="AH428" i="13"/>
  <c r="AI449" i="13"/>
  <c r="W449" i="13"/>
  <c r="AD449" i="13" s="1"/>
  <c r="S449" i="13"/>
  <c r="O449" i="13"/>
  <c r="K449" i="13"/>
  <c r="AK449" i="13"/>
  <c r="AC449" i="13"/>
  <c r="AE449" i="13" s="1"/>
  <c r="U449" i="13"/>
  <c r="AF449" i="13" s="1"/>
  <c r="Q449" i="13"/>
  <c r="M449" i="13"/>
  <c r="AH449" i="13"/>
  <c r="Z449" i="13"/>
  <c r="AA449" i="13" s="1"/>
  <c r="AG449" i="13" s="1"/>
  <c r="R449" i="13"/>
  <c r="T449" i="13"/>
  <c r="AJ449" i="13"/>
  <c r="X449" i="13"/>
  <c r="Y449" i="13" s="1"/>
  <c r="N449" i="13"/>
  <c r="AI453" i="13"/>
  <c r="W453" i="13"/>
  <c r="AD453" i="13" s="1"/>
  <c r="S453" i="13"/>
  <c r="O453" i="13"/>
  <c r="K453" i="13"/>
  <c r="AK453" i="13"/>
  <c r="AC453" i="13"/>
  <c r="AE453" i="13" s="1"/>
  <c r="U453" i="13"/>
  <c r="AF453" i="13" s="1"/>
  <c r="Q453" i="13"/>
  <c r="M453" i="13"/>
  <c r="AH453" i="13"/>
  <c r="Z453" i="13"/>
  <c r="AA453" i="13" s="1"/>
  <c r="AG453" i="13" s="1"/>
  <c r="R453" i="13"/>
  <c r="AJ453" i="13"/>
  <c r="X453" i="13"/>
  <c r="Y453" i="13" s="1"/>
  <c r="N453" i="13"/>
  <c r="T453" i="13"/>
  <c r="AI456" i="13"/>
  <c r="W456" i="13"/>
  <c r="AD456" i="13" s="1"/>
  <c r="S456" i="13"/>
  <c r="O456" i="13"/>
  <c r="K456" i="13"/>
  <c r="AK456" i="13"/>
  <c r="AC456" i="13"/>
  <c r="AE456" i="13" s="1"/>
  <c r="Y456" i="13"/>
  <c r="U456" i="13"/>
  <c r="AF456" i="13" s="1"/>
  <c r="Q456" i="13"/>
  <c r="M456" i="13"/>
  <c r="AL456" i="13"/>
  <c r="V456" i="13"/>
  <c r="AB456" i="13" s="1"/>
  <c r="N456" i="13"/>
  <c r="AJ456" i="13"/>
  <c r="Z456" i="13"/>
  <c r="AA456" i="13" s="1"/>
  <c r="AG456" i="13" s="1"/>
  <c r="P456" i="13"/>
  <c r="T456" i="13"/>
  <c r="AH456" i="13"/>
  <c r="AI460" i="13"/>
  <c r="W460" i="13"/>
  <c r="AD460" i="13" s="1"/>
  <c r="S460" i="13"/>
  <c r="O460" i="13"/>
  <c r="K460" i="13"/>
  <c r="AK460" i="13"/>
  <c r="AC460" i="13"/>
  <c r="AE460" i="13" s="1"/>
  <c r="U460" i="13"/>
  <c r="AF460" i="13" s="1"/>
  <c r="Q460" i="13"/>
  <c r="M460" i="13"/>
  <c r="AL460" i="13"/>
  <c r="V460" i="13"/>
  <c r="AB460" i="13" s="1"/>
  <c r="N460" i="13"/>
  <c r="T460" i="13"/>
  <c r="AJ460" i="13"/>
  <c r="Z460" i="13"/>
  <c r="AA460" i="13" s="1"/>
  <c r="AG460" i="13" s="1"/>
  <c r="P460" i="13"/>
  <c r="AH460" i="13"/>
  <c r="AI481" i="13"/>
  <c r="W481" i="13"/>
  <c r="AD481" i="13" s="1"/>
  <c r="S481" i="13"/>
  <c r="O481" i="13"/>
  <c r="K481" i="13"/>
  <c r="AK481" i="13"/>
  <c r="AC481" i="13"/>
  <c r="AE481" i="13" s="1"/>
  <c r="U481" i="13"/>
  <c r="AF481" i="13" s="1"/>
  <c r="Q481" i="13"/>
  <c r="M481" i="13"/>
  <c r="AH481" i="13"/>
  <c r="Z481" i="13"/>
  <c r="AA481" i="13" s="1"/>
  <c r="AG481" i="13" s="1"/>
  <c r="R481" i="13"/>
  <c r="T481" i="13"/>
  <c r="AJ481" i="13"/>
  <c r="X481" i="13"/>
  <c r="Y481" i="13" s="1"/>
  <c r="N481" i="13"/>
  <c r="AI485" i="13"/>
  <c r="W485" i="13"/>
  <c r="AD485" i="13" s="1"/>
  <c r="S485" i="13"/>
  <c r="O485" i="13"/>
  <c r="K485" i="13"/>
  <c r="AK485" i="13"/>
  <c r="AC485" i="13"/>
  <c r="AE485" i="13" s="1"/>
  <c r="U485" i="13"/>
  <c r="AF485" i="13" s="1"/>
  <c r="Q485" i="13"/>
  <c r="M485" i="13"/>
  <c r="AH485" i="13"/>
  <c r="Z485" i="13"/>
  <c r="AA485" i="13" s="1"/>
  <c r="AG485" i="13" s="1"/>
  <c r="R485" i="13"/>
  <c r="AJ485" i="13"/>
  <c r="X485" i="13"/>
  <c r="Y485" i="13" s="1"/>
  <c r="N485" i="13"/>
  <c r="T485" i="13"/>
  <c r="AI488" i="13"/>
  <c r="W488" i="13"/>
  <c r="AD488" i="13" s="1"/>
  <c r="S488" i="13"/>
  <c r="O488" i="13"/>
  <c r="K488" i="13"/>
  <c r="AK488" i="13"/>
  <c r="AC488" i="13"/>
  <c r="AE488" i="13" s="1"/>
  <c r="Y488" i="13"/>
  <c r="U488" i="13"/>
  <c r="AF488" i="13" s="1"/>
  <c r="Q488" i="13"/>
  <c r="M488" i="13"/>
  <c r="AL488" i="13"/>
  <c r="V488" i="13"/>
  <c r="AB488" i="13" s="1"/>
  <c r="N488" i="13"/>
  <c r="AJ488" i="13"/>
  <c r="Z488" i="13"/>
  <c r="AA488" i="13" s="1"/>
  <c r="AG488" i="13" s="1"/>
  <c r="P488" i="13"/>
  <c r="T488" i="13"/>
  <c r="AH488" i="13"/>
  <c r="AI492" i="13"/>
  <c r="W492" i="13"/>
  <c r="AD492" i="13" s="1"/>
  <c r="S492" i="13"/>
  <c r="O492" i="13"/>
  <c r="K492" i="13"/>
  <c r="AK492" i="13"/>
  <c r="AC492" i="13"/>
  <c r="AE492" i="13" s="1"/>
  <c r="U492" i="13"/>
  <c r="AF492" i="13" s="1"/>
  <c r="Q492" i="13"/>
  <c r="M492" i="13"/>
  <c r="AL492" i="13"/>
  <c r="V492" i="13"/>
  <c r="AB492" i="13" s="1"/>
  <c r="N492" i="13"/>
  <c r="T492" i="13"/>
  <c r="AJ492" i="13"/>
  <c r="Z492" i="13"/>
  <c r="AA492" i="13" s="1"/>
  <c r="AG492" i="13" s="1"/>
  <c r="P492" i="13"/>
  <c r="AH492" i="13"/>
  <c r="AC8" i="14"/>
  <c r="AE8" i="14" s="1"/>
  <c r="M8" i="14"/>
  <c r="O8" i="14" s="1"/>
  <c r="X8" i="14"/>
  <c r="Y8" i="14" s="1"/>
  <c r="P8" i="14"/>
  <c r="O17" i="14"/>
  <c r="O35" i="14"/>
  <c r="O50" i="14"/>
  <c r="O19" i="13"/>
  <c r="U19" i="13" s="1"/>
  <c r="O29" i="13"/>
  <c r="U29" i="13" s="1"/>
  <c r="O33" i="13"/>
  <c r="U33" i="13" s="1"/>
  <c r="O48" i="13"/>
  <c r="O54" i="13"/>
  <c r="U54" i="13" s="1"/>
  <c r="O88" i="13"/>
  <c r="O122" i="13"/>
  <c r="U122" i="13" s="1"/>
  <c r="O128" i="13"/>
  <c r="AI204" i="13"/>
  <c r="O204" i="13"/>
  <c r="AC204" i="13"/>
  <c r="AE204" i="13" s="1"/>
  <c r="M204" i="13"/>
  <c r="V204" i="13"/>
  <c r="X204" i="13" s="1"/>
  <c r="Y204" i="13" s="1"/>
  <c r="N204" i="13"/>
  <c r="AJ204" i="13"/>
  <c r="P204" i="13"/>
  <c r="AI208" i="13"/>
  <c r="O208" i="13"/>
  <c r="AC208" i="13"/>
  <c r="AE208" i="13" s="1"/>
  <c r="M208" i="13"/>
  <c r="V208" i="13"/>
  <c r="AB208" i="13" s="1"/>
  <c r="N208" i="13"/>
  <c r="P208" i="13"/>
  <c r="S208" i="13" s="1"/>
  <c r="W213" i="13"/>
  <c r="AD213" i="13" s="1"/>
  <c r="AC213" i="13"/>
  <c r="AE213" i="13" s="1"/>
  <c r="M213" i="13"/>
  <c r="N213" i="13" s="1"/>
  <c r="X213" i="13"/>
  <c r="Y213" i="13" s="1"/>
  <c r="AC217" i="13"/>
  <c r="AE217" i="13" s="1"/>
  <c r="M217" i="13"/>
  <c r="N217" i="13" s="1"/>
  <c r="X217" i="13"/>
  <c r="Y217" i="13" s="1"/>
  <c r="AC236" i="13"/>
  <c r="AE236" i="13" s="1"/>
  <c r="M236" i="13"/>
  <c r="O236" i="13" s="1"/>
  <c r="V236" i="13"/>
  <c r="AB236" i="13" s="1"/>
  <c r="P236" i="13"/>
  <c r="AC240" i="13"/>
  <c r="AE240" i="13" s="1"/>
  <c r="M240" i="13"/>
  <c r="O240" i="13" s="1"/>
  <c r="V240" i="13"/>
  <c r="AB240" i="13" s="1"/>
  <c r="P240" i="13"/>
  <c r="AI244" i="13"/>
  <c r="W244" i="13"/>
  <c r="AD244" i="13" s="1"/>
  <c r="S244" i="13"/>
  <c r="O244" i="13"/>
  <c r="K244" i="13"/>
  <c r="AK244" i="13"/>
  <c r="AC244" i="13"/>
  <c r="AE244" i="13" s="1"/>
  <c r="Y244" i="13"/>
  <c r="U244" i="13"/>
  <c r="AF244" i="13" s="1"/>
  <c r="Q244" i="13"/>
  <c r="M244" i="13"/>
  <c r="AL244" i="13"/>
  <c r="V244" i="13"/>
  <c r="AB244" i="13" s="1"/>
  <c r="N244" i="13"/>
  <c r="T244" i="13"/>
  <c r="AJ244" i="13"/>
  <c r="Z244" i="13"/>
  <c r="AA244" i="13" s="1"/>
  <c r="AG244" i="13" s="1"/>
  <c r="P244" i="13"/>
  <c r="AH244" i="13"/>
  <c r="AI265" i="13"/>
  <c r="W265" i="13"/>
  <c r="AD265" i="13" s="1"/>
  <c r="S265" i="13"/>
  <c r="O265" i="13"/>
  <c r="K265" i="13"/>
  <c r="AK265" i="13"/>
  <c r="AC265" i="13"/>
  <c r="AE265" i="13" s="1"/>
  <c r="U265" i="13"/>
  <c r="AF265" i="13" s="1"/>
  <c r="Q265" i="13"/>
  <c r="M265" i="13"/>
  <c r="AH265" i="13"/>
  <c r="Z265" i="13"/>
  <c r="AA265" i="13" s="1"/>
  <c r="AG265" i="13" s="1"/>
  <c r="R265" i="13"/>
  <c r="T265" i="13"/>
  <c r="AJ265" i="13"/>
  <c r="X265" i="13"/>
  <c r="Y265" i="13" s="1"/>
  <c r="N265" i="13"/>
  <c r="AI269" i="13"/>
  <c r="W269" i="13"/>
  <c r="AD269" i="13" s="1"/>
  <c r="S269" i="13"/>
  <c r="O269" i="13"/>
  <c r="K269" i="13"/>
  <c r="AK269" i="13"/>
  <c r="AC269" i="13"/>
  <c r="AE269" i="13" s="1"/>
  <c r="U269" i="13"/>
  <c r="AF269" i="13" s="1"/>
  <c r="Q269" i="13"/>
  <c r="M269" i="13"/>
  <c r="AH269" i="13"/>
  <c r="Z269" i="13"/>
  <c r="AA269" i="13" s="1"/>
  <c r="AG269" i="13" s="1"/>
  <c r="R269" i="13"/>
  <c r="AJ269" i="13"/>
  <c r="X269" i="13"/>
  <c r="Y269" i="13" s="1"/>
  <c r="N269" i="13"/>
  <c r="T269" i="13"/>
  <c r="AI272" i="13"/>
  <c r="W272" i="13"/>
  <c r="AD272" i="13" s="1"/>
  <c r="S272" i="13"/>
  <c r="O272" i="13"/>
  <c r="K272" i="13"/>
  <c r="AK272" i="13"/>
  <c r="AC272" i="13"/>
  <c r="AE272" i="13" s="1"/>
  <c r="U272" i="13"/>
  <c r="AF272" i="13" s="1"/>
  <c r="Q272" i="13"/>
  <c r="M272" i="13"/>
  <c r="AL272" i="13"/>
  <c r="V272" i="13"/>
  <c r="AB272" i="13" s="1"/>
  <c r="N272" i="13"/>
  <c r="AJ272" i="13"/>
  <c r="Z272" i="13"/>
  <c r="AA272" i="13" s="1"/>
  <c r="AG272" i="13" s="1"/>
  <c r="P272" i="13"/>
  <c r="T272" i="13"/>
  <c r="AH272" i="13"/>
  <c r="AI276" i="13"/>
  <c r="W276" i="13"/>
  <c r="AD276" i="13" s="1"/>
  <c r="S276" i="13"/>
  <c r="O276" i="13"/>
  <c r="K276" i="13"/>
  <c r="AK276" i="13"/>
  <c r="AC276" i="13"/>
  <c r="AE276" i="13" s="1"/>
  <c r="Y276" i="13"/>
  <c r="U276" i="13"/>
  <c r="AF276" i="13" s="1"/>
  <c r="Q276" i="13"/>
  <c r="M276" i="13"/>
  <c r="AL276" i="13"/>
  <c r="V276" i="13"/>
  <c r="AB276" i="13" s="1"/>
  <c r="N276" i="13"/>
  <c r="T276" i="13"/>
  <c r="AJ276" i="13"/>
  <c r="Z276" i="13"/>
  <c r="AA276" i="13" s="1"/>
  <c r="AG276" i="13" s="1"/>
  <c r="P276" i="13"/>
  <c r="AH276" i="13"/>
  <c r="AI297" i="13"/>
  <c r="W297" i="13"/>
  <c r="AD297" i="13" s="1"/>
  <c r="S297" i="13"/>
  <c r="O297" i="13"/>
  <c r="K297" i="13"/>
  <c r="AK297" i="13"/>
  <c r="AC297" i="13"/>
  <c r="AE297" i="13" s="1"/>
  <c r="U297" i="13"/>
  <c r="AF297" i="13" s="1"/>
  <c r="Q297" i="13"/>
  <c r="M297" i="13"/>
  <c r="AH297" i="13"/>
  <c r="Z297" i="13"/>
  <c r="AA297" i="13" s="1"/>
  <c r="AG297" i="13" s="1"/>
  <c r="R297" i="13"/>
  <c r="T297" i="13"/>
  <c r="AJ297" i="13"/>
  <c r="X297" i="13"/>
  <c r="Y297" i="13" s="1"/>
  <c r="N297" i="13"/>
  <c r="AI301" i="13"/>
  <c r="W301" i="13"/>
  <c r="AD301" i="13" s="1"/>
  <c r="S301" i="13"/>
  <c r="O301" i="13"/>
  <c r="K301" i="13"/>
  <c r="AK301" i="13"/>
  <c r="AC301" i="13"/>
  <c r="AE301" i="13" s="1"/>
  <c r="U301" i="13"/>
  <c r="AF301" i="13" s="1"/>
  <c r="Q301" i="13"/>
  <c r="M301" i="13"/>
  <c r="AH301" i="13"/>
  <c r="Z301" i="13"/>
  <c r="AA301" i="13" s="1"/>
  <c r="AG301" i="13" s="1"/>
  <c r="R301" i="13"/>
  <c r="AJ301" i="13"/>
  <c r="X301" i="13"/>
  <c r="Y301" i="13" s="1"/>
  <c r="N301" i="13"/>
  <c r="T301" i="13"/>
  <c r="AI304" i="13"/>
  <c r="W304" i="13"/>
  <c r="AD304" i="13" s="1"/>
  <c r="S304" i="13"/>
  <c r="O304" i="13"/>
  <c r="K304" i="13"/>
  <c r="AK304" i="13"/>
  <c r="AC304" i="13"/>
  <c r="AE304" i="13" s="1"/>
  <c r="Y304" i="13"/>
  <c r="U304" i="13"/>
  <c r="AF304" i="13" s="1"/>
  <c r="Q304" i="13"/>
  <c r="M304" i="13"/>
  <c r="AL304" i="13"/>
  <c r="V304" i="13"/>
  <c r="AB304" i="13" s="1"/>
  <c r="N304" i="13"/>
  <c r="AJ304" i="13"/>
  <c r="Z304" i="13"/>
  <c r="AA304" i="13" s="1"/>
  <c r="AG304" i="13" s="1"/>
  <c r="P304" i="13"/>
  <c r="T304" i="13"/>
  <c r="AH304" i="13"/>
  <c r="AI308" i="13"/>
  <c r="W308" i="13"/>
  <c r="AD308" i="13" s="1"/>
  <c r="S308" i="13"/>
  <c r="O308" i="13"/>
  <c r="K308" i="13"/>
  <c r="AK308" i="13"/>
  <c r="AC308" i="13"/>
  <c r="AE308" i="13" s="1"/>
  <c r="Y308" i="13"/>
  <c r="U308" i="13"/>
  <c r="AF308" i="13" s="1"/>
  <c r="Q308" i="13"/>
  <c r="M308" i="13"/>
  <c r="AL308" i="13"/>
  <c r="V308" i="13"/>
  <c r="AB308" i="13" s="1"/>
  <c r="N308" i="13"/>
  <c r="T308" i="13"/>
  <c r="AJ308" i="13"/>
  <c r="Z308" i="13"/>
  <c r="AA308" i="13" s="1"/>
  <c r="AG308" i="13" s="1"/>
  <c r="P308" i="13"/>
  <c r="AH308" i="13"/>
  <c r="AI329" i="13"/>
  <c r="W329" i="13"/>
  <c r="AD329" i="13" s="1"/>
  <c r="S329" i="13"/>
  <c r="O329" i="13"/>
  <c r="K329" i="13"/>
  <c r="AK329" i="13"/>
  <c r="AC329" i="13"/>
  <c r="AE329" i="13" s="1"/>
  <c r="U329" i="13"/>
  <c r="AF329" i="13" s="1"/>
  <c r="Q329" i="13"/>
  <c r="M329" i="13"/>
  <c r="AH329" i="13"/>
  <c r="Z329" i="13"/>
  <c r="AA329" i="13" s="1"/>
  <c r="AG329" i="13" s="1"/>
  <c r="R329" i="13"/>
  <c r="T329" i="13"/>
  <c r="AJ329" i="13"/>
  <c r="X329" i="13"/>
  <c r="Y329" i="13" s="1"/>
  <c r="N329" i="13"/>
  <c r="AI333" i="13"/>
  <c r="W333" i="13"/>
  <c r="AD333" i="13" s="1"/>
  <c r="S333" i="13"/>
  <c r="O333" i="13"/>
  <c r="K333" i="13"/>
  <c r="AK333" i="13"/>
  <c r="AC333" i="13"/>
  <c r="AE333" i="13" s="1"/>
  <c r="U333" i="13"/>
  <c r="AF333" i="13" s="1"/>
  <c r="Q333" i="13"/>
  <c r="M333" i="13"/>
  <c r="AH333" i="13"/>
  <c r="Z333" i="13"/>
  <c r="AA333" i="13" s="1"/>
  <c r="AG333" i="13" s="1"/>
  <c r="R333" i="13"/>
  <c r="AJ333" i="13"/>
  <c r="X333" i="13"/>
  <c r="Y333" i="13" s="1"/>
  <c r="N333" i="13"/>
  <c r="T333" i="13"/>
  <c r="AI336" i="13"/>
  <c r="W336" i="13"/>
  <c r="AD336" i="13" s="1"/>
  <c r="S336" i="13"/>
  <c r="O336" i="13"/>
  <c r="K336" i="13"/>
  <c r="AK336" i="13"/>
  <c r="AC336" i="13"/>
  <c r="AE336" i="13" s="1"/>
  <c r="U336" i="13"/>
  <c r="AF336" i="13" s="1"/>
  <c r="Q336" i="13"/>
  <c r="M336" i="13"/>
  <c r="AL336" i="13"/>
  <c r="V336" i="13"/>
  <c r="AB336" i="13" s="1"/>
  <c r="N336" i="13"/>
  <c r="AJ336" i="13"/>
  <c r="Z336" i="13"/>
  <c r="AA336" i="13" s="1"/>
  <c r="AG336" i="13" s="1"/>
  <c r="P336" i="13"/>
  <c r="T336" i="13"/>
  <c r="AH336" i="13"/>
  <c r="AI340" i="13"/>
  <c r="W340" i="13"/>
  <c r="AD340" i="13" s="1"/>
  <c r="S340" i="13"/>
  <c r="O340" i="13"/>
  <c r="K340" i="13"/>
  <c r="AK340" i="13"/>
  <c r="AC340" i="13"/>
  <c r="AE340" i="13" s="1"/>
  <c r="U340" i="13"/>
  <c r="AF340" i="13" s="1"/>
  <c r="Q340" i="13"/>
  <c r="M340" i="13"/>
  <c r="AL340" i="13"/>
  <c r="V340" i="13"/>
  <c r="AB340" i="13" s="1"/>
  <c r="N340" i="13"/>
  <c r="T340" i="13"/>
  <c r="AJ340" i="13"/>
  <c r="Z340" i="13"/>
  <c r="AA340" i="13" s="1"/>
  <c r="AG340" i="13" s="1"/>
  <c r="P340" i="13"/>
  <c r="AH340" i="13"/>
  <c r="AI361" i="13"/>
  <c r="W361" i="13"/>
  <c r="AD361" i="13" s="1"/>
  <c r="S361" i="13"/>
  <c r="O361" i="13"/>
  <c r="K361" i="13"/>
  <c r="AK361" i="13"/>
  <c r="AC361" i="13"/>
  <c r="AE361" i="13" s="1"/>
  <c r="U361" i="13"/>
  <c r="AF361" i="13" s="1"/>
  <c r="Q361" i="13"/>
  <c r="M361" i="13"/>
  <c r="AH361" i="13"/>
  <c r="Z361" i="13"/>
  <c r="AA361" i="13" s="1"/>
  <c r="AG361" i="13" s="1"/>
  <c r="R361" i="13"/>
  <c r="T361" i="13"/>
  <c r="AJ361" i="13"/>
  <c r="X361" i="13"/>
  <c r="Y361" i="13" s="1"/>
  <c r="N361" i="13"/>
  <c r="AI365" i="13"/>
  <c r="W365" i="13"/>
  <c r="AD365" i="13" s="1"/>
  <c r="S365" i="13"/>
  <c r="O365" i="13"/>
  <c r="K365" i="13"/>
  <c r="AK365" i="13"/>
  <c r="AC365" i="13"/>
  <c r="AE365" i="13" s="1"/>
  <c r="U365" i="13"/>
  <c r="AF365" i="13" s="1"/>
  <c r="Q365" i="13"/>
  <c r="M365" i="13"/>
  <c r="AH365" i="13"/>
  <c r="Z365" i="13"/>
  <c r="AA365" i="13" s="1"/>
  <c r="AG365" i="13" s="1"/>
  <c r="R365" i="13"/>
  <c r="AJ365" i="13"/>
  <c r="X365" i="13"/>
  <c r="Y365" i="13" s="1"/>
  <c r="N365" i="13"/>
  <c r="T365" i="13"/>
  <c r="AI368" i="13"/>
  <c r="W368" i="13"/>
  <c r="AD368" i="13" s="1"/>
  <c r="S368" i="13"/>
  <c r="O368" i="13"/>
  <c r="K368" i="13"/>
  <c r="AK368" i="13"/>
  <c r="AC368" i="13"/>
  <c r="AE368" i="13" s="1"/>
  <c r="Y368" i="13"/>
  <c r="U368" i="13"/>
  <c r="AF368" i="13" s="1"/>
  <c r="Q368" i="13"/>
  <c r="M368" i="13"/>
  <c r="AL368" i="13"/>
  <c r="V368" i="13"/>
  <c r="AB368" i="13" s="1"/>
  <c r="N368" i="13"/>
  <c r="AJ368" i="13"/>
  <c r="Z368" i="13"/>
  <c r="AA368" i="13" s="1"/>
  <c r="AG368" i="13" s="1"/>
  <c r="P368" i="13"/>
  <c r="T368" i="13"/>
  <c r="AH368" i="13"/>
  <c r="AI372" i="13"/>
  <c r="W372" i="13"/>
  <c r="AD372" i="13" s="1"/>
  <c r="S372" i="13"/>
  <c r="O372" i="13"/>
  <c r="K372" i="13"/>
  <c r="AK372" i="13"/>
  <c r="AC372" i="13"/>
  <c r="AE372" i="13" s="1"/>
  <c r="Y372" i="13"/>
  <c r="U372" i="13"/>
  <c r="AF372" i="13" s="1"/>
  <c r="Q372" i="13"/>
  <c r="M372" i="13"/>
  <c r="AL372" i="13"/>
  <c r="V372" i="13"/>
  <c r="AB372" i="13" s="1"/>
  <c r="N372" i="13"/>
  <c r="T372" i="13"/>
  <c r="AJ372" i="13"/>
  <c r="Z372" i="13"/>
  <c r="AA372" i="13" s="1"/>
  <c r="AG372" i="13" s="1"/>
  <c r="P372" i="13"/>
  <c r="AH372" i="13"/>
  <c r="AI393" i="13"/>
  <c r="W393" i="13"/>
  <c r="AD393" i="13" s="1"/>
  <c r="S393" i="13"/>
  <c r="O393" i="13"/>
  <c r="K393" i="13"/>
  <c r="AK393" i="13"/>
  <c r="AC393" i="13"/>
  <c r="AE393" i="13" s="1"/>
  <c r="U393" i="13"/>
  <c r="AF393" i="13" s="1"/>
  <c r="Q393" i="13"/>
  <c r="M393" i="13"/>
  <c r="AH393" i="13"/>
  <c r="Z393" i="13"/>
  <c r="AA393" i="13" s="1"/>
  <c r="AG393" i="13" s="1"/>
  <c r="R393" i="13"/>
  <c r="T393" i="13"/>
  <c r="AJ393" i="13"/>
  <c r="X393" i="13"/>
  <c r="Y393" i="13" s="1"/>
  <c r="N393" i="13"/>
  <c r="AI397" i="13"/>
  <c r="W397" i="13"/>
  <c r="AD397" i="13" s="1"/>
  <c r="S397" i="13"/>
  <c r="O397" i="13"/>
  <c r="K397" i="13"/>
  <c r="AK397" i="13"/>
  <c r="AC397" i="13"/>
  <c r="AE397" i="13" s="1"/>
  <c r="U397" i="13"/>
  <c r="AF397" i="13" s="1"/>
  <c r="Q397" i="13"/>
  <c r="M397" i="13"/>
  <c r="AH397" i="13"/>
  <c r="Z397" i="13"/>
  <c r="AA397" i="13" s="1"/>
  <c r="AG397" i="13" s="1"/>
  <c r="R397" i="13"/>
  <c r="AJ397" i="13"/>
  <c r="X397" i="13"/>
  <c r="Y397" i="13" s="1"/>
  <c r="N397" i="13"/>
  <c r="T397" i="13"/>
  <c r="AI400" i="13"/>
  <c r="W400" i="13"/>
  <c r="AD400" i="13" s="1"/>
  <c r="S400" i="13"/>
  <c r="O400" i="13"/>
  <c r="K400" i="13"/>
  <c r="AK400" i="13"/>
  <c r="AC400" i="13"/>
  <c r="AE400" i="13" s="1"/>
  <c r="U400" i="13"/>
  <c r="AF400" i="13" s="1"/>
  <c r="Q400" i="13"/>
  <c r="M400" i="13"/>
  <c r="AL400" i="13"/>
  <c r="V400" i="13"/>
  <c r="AB400" i="13" s="1"/>
  <c r="N400" i="13"/>
  <c r="AJ400" i="13"/>
  <c r="Z400" i="13"/>
  <c r="AA400" i="13" s="1"/>
  <c r="AG400" i="13" s="1"/>
  <c r="P400" i="13"/>
  <c r="T400" i="13"/>
  <c r="AH400" i="13"/>
  <c r="AI404" i="13"/>
  <c r="W404" i="13"/>
  <c r="AD404" i="13" s="1"/>
  <c r="S404" i="13"/>
  <c r="O404" i="13"/>
  <c r="K404" i="13"/>
  <c r="AK404" i="13"/>
  <c r="AC404" i="13"/>
  <c r="AE404" i="13" s="1"/>
  <c r="Y404" i="13"/>
  <c r="U404" i="13"/>
  <c r="AF404" i="13" s="1"/>
  <c r="Q404" i="13"/>
  <c r="M404" i="13"/>
  <c r="AL404" i="13"/>
  <c r="V404" i="13"/>
  <c r="AB404" i="13" s="1"/>
  <c r="N404" i="13"/>
  <c r="T404" i="13"/>
  <c r="AJ404" i="13"/>
  <c r="Z404" i="13"/>
  <c r="AA404" i="13" s="1"/>
  <c r="AG404" i="13" s="1"/>
  <c r="P404" i="13"/>
  <c r="AH404" i="13"/>
  <c r="AI425" i="13"/>
  <c r="W425" i="13"/>
  <c r="AD425" i="13" s="1"/>
  <c r="S425" i="13"/>
  <c r="O425" i="13"/>
  <c r="K425" i="13"/>
  <c r="AK425" i="13"/>
  <c r="AC425" i="13"/>
  <c r="AE425" i="13" s="1"/>
  <c r="U425" i="13"/>
  <c r="AF425" i="13" s="1"/>
  <c r="Q425" i="13"/>
  <c r="M425" i="13"/>
  <c r="AH425" i="13"/>
  <c r="Z425" i="13"/>
  <c r="AA425" i="13" s="1"/>
  <c r="AG425" i="13" s="1"/>
  <c r="R425" i="13"/>
  <c r="T425" i="13"/>
  <c r="AJ425" i="13"/>
  <c r="X425" i="13"/>
  <c r="Y425" i="13" s="1"/>
  <c r="N425" i="13"/>
  <c r="AI429" i="13"/>
  <c r="W429" i="13"/>
  <c r="AD429" i="13" s="1"/>
  <c r="S429" i="13"/>
  <c r="O429" i="13"/>
  <c r="K429" i="13"/>
  <c r="AK429" i="13"/>
  <c r="AC429" i="13"/>
  <c r="AE429" i="13" s="1"/>
  <c r="U429" i="13"/>
  <c r="AF429" i="13" s="1"/>
  <c r="Q429" i="13"/>
  <c r="M429" i="13"/>
  <c r="AH429" i="13"/>
  <c r="Z429" i="13"/>
  <c r="AA429" i="13" s="1"/>
  <c r="AG429" i="13" s="1"/>
  <c r="R429" i="13"/>
  <c r="AJ429" i="13"/>
  <c r="X429" i="13"/>
  <c r="Y429" i="13" s="1"/>
  <c r="N429" i="13"/>
  <c r="T429" i="13"/>
  <c r="AI432" i="13"/>
  <c r="W432" i="13"/>
  <c r="AD432" i="13" s="1"/>
  <c r="S432" i="13"/>
  <c r="O432" i="13"/>
  <c r="K432" i="13"/>
  <c r="AK432" i="13"/>
  <c r="AC432" i="13"/>
  <c r="AE432" i="13" s="1"/>
  <c r="Y432" i="13"/>
  <c r="U432" i="13"/>
  <c r="AF432" i="13" s="1"/>
  <c r="Q432" i="13"/>
  <c r="M432" i="13"/>
  <c r="AL432" i="13"/>
  <c r="V432" i="13"/>
  <c r="AB432" i="13" s="1"/>
  <c r="N432" i="13"/>
  <c r="AJ432" i="13"/>
  <c r="Z432" i="13"/>
  <c r="AA432" i="13" s="1"/>
  <c r="AG432" i="13" s="1"/>
  <c r="P432" i="13"/>
  <c r="T432" i="13"/>
  <c r="AH432" i="13"/>
  <c r="AI436" i="13"/>
  <c r="W436" i="13"/>
  <c r="AD436" i="13" s="1"/>
  <c r="S436" i="13"/>
  <c r="O436" i="13"/>
  <c r="K436" i="13"/>
  <c r="AK436" i="13"/>
  <c r="AC436" i="13"/>
  <c r="AE436" i="13" s="1"/>
  <c r="Y436" i="13"/>
  <c r="U436" i="13"/>
  <c r="AF436" i="13" s="1"/>
  <c r="Q436" i="13"/>
  <c r="M436" i="13"/>
  <c r="AL436" i="13"/>
  <c r="V436" i="13"/>
  <c r="AB436" i="13" s="1"/>
  <c r="N436" i="13"/>
  <c r="T436" i="13"/>
  <c r="AJ436" i="13"/>
  <c r="Z436" i="13"/>
  <c r="AA436" i="13" s="1"/>
  <c r="AG436" i="13" s="1"/>
  <c r="P436" i="13"/>
  <c r="AH436" i="13"/>
  <c r="AI457" i="13"/>
  <c r="W457" i="13"/>
  <c r="AD457" i="13" s="1"/>
  <c r="S457" i="13"/>
  <c r="O457" i="13"/>
  <c r="K457" i="13"/>
  <c r="AK457" i="13"/>
  <c r="AC457" i="13"/>
  <c r="AE457" i="13" s="1"/>
  <c r="U457" i="13"/>
  <c r="AF457" i="13" s="1"/>
  <c r="Q457" i="13"/>
  <c r="M457" i="13"/>
  <c r="AH457" i="13"/>
  <c r="Z457" i="13"/>
  <c r="AA457" i="13" s="1"/>
  <c r="AG457" i="13" s="1"/>
  <c r="R457" i="13"/>
  <c r="T457" i="13"/>
  <c r="AJ457" i="13"/>
  <c r="X457" i="13"/>
  <c r="Y457" i="13" s="1"/>
  <c r="N457" i="13"/>
  <c r="AI461" i="13"/>
  <c r="W461" i="13"/>
  <c r="AD461" i="13" s="1"/>
  <c r="S461" i="13"/>
  <c r="O461" i="13"/>
  <c r="K461" i="13"/>
  <c r="AK461" i="13"/>
  <c r="AC461" i="13"/>
  <c r="AE461" i="13" s="1"/>
  <c r="U461" i="13"/>
  <c r="AF461" i="13" s="1"/>
  <c r="Q461" i="13"/>
  <c r="M461" i="13"/>
  <c r="AH461" i="13"/>
  <c r="Z461" i="13"/>
  <c r="AA461" i="13" s="1"/>
  <c r="AG461" i="13" s="1"/>
  <c r="R461" i="13"/>
  <c r="AJ461" i="13"/>
  <c r="X461" i="13"/>
  <c r="Y461" i="13" s="1"/>
  <c r="N461" i="13"/>
  <c r="T461" i="13"/>
  <c r="AI464" i="13"/>
  <c r="W464" i="13"/>
  <c r="AD464" i="13" s="1"/>
  <c r="S464" i="13"/>
  <c r="O464" i="13"/>
  <c r="K464" i="13"/>
  <c r="AK464" i="13"/>
  <c r="AC464" i="13"/>
  <c r="AE464" i="13" s="1"/>
  <c r="U464" i="13"/>
  <c r="AF464" i="13" s="1"/>
  <c r="Q464" i="13"/>
  <c r="M464" i="13"/>
  <c r="AL464" i="13"/>
  <c r="V464" i="13"/>
  <c r="AB464" i="13" s="1"/>
  <c r="N464" i="13"/>
  <c r="AJ464" i="13"/>
  <c r="Z464" i="13"/>
  <c r="AA464" i="13" s="1"/>
  <c r="AG464" i="13" s="1"/>
  <c r="P464" i="13"/>
  <c r="T464" i="13"/>
  <c r="AH464" i="13"/>
  <c r="AI468" i="13"/>
  <c r="W468" i="13"/>
  <c r="AD468" i="13" s="1"/>
  <c r="S468" i="13"/>
  <c r="O468" i="13"/>
  <c r="K468" i="13"/>
  <c r="AK468" i="13"/>
  <c r="AC468" i="13"/>
  <c r="AE468" i="13" s="1"/>
  <c r="U468" i="13"/>
  <c r="AF468" i="13" s="1"/>
  <c r="Q468" i="13"/>
  <c r="M468" i="13"/>
  <c r="AL468" i="13"/>
  <c r="V468" i="13"/>
  <c r="AB468" i="13" s="1"/>
  <c r="N468" i="13"/>
  <c r="T468" i="13"/>
  <c r="AJ468" i="13"/>
  <c r="Z468" i="13"/>
  <c r="AA468" i="13" s="1"/>
  <c r="AG468" i="13" s="1"/>
  <c r="P468" i="13"/>
  <c r="AH468" i="13"/>
  <c r="AI489" i="13"/>
  <c r="W489" i="13"/>
  <c r="AD489" i="13" s="1"/>
  <c r="S489" i="13"/>
  <c r="O489" i="13"/>
  <c r="K489" i="13"/>
  <c r="AK489" i="13"/>
  <c r="AC489" i="13"/>
  <c r="AE489" i="13" s="1"/>
  <c r="U489" i="13"/>
  <c r="AF489" i="13" s="1"/>
  <c r="Q489" i="13"/>
  <c r="M489" i="13"/>
  <c r="AH489" i="13"/>
  <c r="Z489" i="13"/>
  <c r="AA489" i="13" s="1"/>
  <c r="AG489" i="13" s="1"/>
  <c r="R489" i="13"/>
  <c r="T489" i="13"/>
  <c r="AJ489" i="13"/>
  <c r="X489" i="13"/>
  <c r="Y489" i="13" s="1"/>
  <c r="N489" i="13"/>
  <c r="AI493" i="13"/>
  <c r="W493" i="13"/>
  <c r="AD493" i="13" s="1"/>
  <c r="S493" i="13"/>
  <c r="O493" i="13"/>
  <c r="K493" i="13"/>
  <c r="AK493" i="13"/>
  <c r="AC493" i="13"/>
  <c r="AE493" i="13" s="1"/>
  <c r="U493" i="13"/>
  <c r="AF493" i="13" s="1"/>
  <c r="Q493" i="13"/>
  <c r="M493" i="13"/>
  <c r="AH493" i="13"/>
  <c r="Z493" i="13"/>
  <c r="AA493" i="13" s="1"/>
  <c r="AG493" i="13" s="1"/>
  <c r="R493" i="13"/>
  <c r="AJ493" i="13"/>
  <c r="X493" i="13"/>
  <c r="Y493" i="13" s="1"/>
  <c r="N493" i="13"/>
  <c r="T493" i="13"/>
  <c r="AI496" i="13"/>
  <c r="W496" i="13"/>
  <c r="AD496" i="13" s="1"/>
  <c r="S496" i="13"/>
  <c r="O496" i="13"/>
  <c r="K496" i="13"/>
  <c r="AK496" i="13"/>
  <c r="AC496" i="13"/>
  <c r="AE496" i="13" s="1"/>
  <c r="U496" i="13"/>
  <c r="AF496" i="13" s="1"/>
  <c r="Q496" i="13"/>
  <c r="M496" i="13"/>
  <c r="AL496" i="13"/>
  <c r="V496" i="13"/>
  <c r="AB496" i="13" s="1"/>
  <c r="N496" i="13"/>
  <c r="AJ496" i="13"/>
  <c r="Z496" i="13"/>
  <c r="AA496" i="13" s="1"/>
  <c r="AG496" i="13" s="1"/>
  <c r="P496" i="13"/>
  <c r="T496" i="13"/>
  <c r="AH496" i="13"/>
  <c r="AI500" i="13"/>
  <c r="W500" i="13"/>
  <c r="AD500" i="13" s="1"/>
  <c r="S500" i="13"/>
  <c r="O500" i="13"/>
  <c r="K500" i="13"/>
  <c r="AK500" i="13"/>
  <c r="AC500" i="13"/>
  <c r="AE500" i="13" s="1"/>
  <c r="Y500" i="13"/>
  <c r="U500" i="13"/>
  <c r="AF500" i="13" s="1"/>
  <c r="Q500" i="13"/>
  <c r="M500" i="13"/>
  <c r="AL500" i="13"/>
  <c r="V500" i="13"/>
  <c r="AB500" i="13" s="1"/>
  <c r="N500" i="13"/>
  <c r="T500" i="13"/>
  <c r="AJ500" i="13"/>
  <c r="Z500" i="13"/>
  <c r="AA500" i="13" s="1"/>
  <c r="AG500" i="13" s="1"/>
  <c r="P500" i="13"/>
  <c r="AH500" i="13"/>
  <c r="V4" i="14"/>
  <c r="AB4" i="14" s="1"/>
  <c r="O9" i="14"/>
  <c r="O15" i="14"/>
  <c r="O66" i="14"/>
  <c r="AC203" i="13"/>
  <c r="AE203" i="13" s="1"/>
  <c r="M203" i="13"/>
  <c r="N203" i="13" s="1"/>
  <c r="V203" i="13"/>
  <c r="X203" i="13" s="1"/>
  <c r="AC206" i="13"/>
  <c r="AE206" i="13" s="1"/>
  <c r="M206" i="13"/>
  <c r="O206" i="13" s="1"/>
  <c r="R206" i="13" s="1"/>
  <c r="V206" i="13"/>
  <c r="W206" i="13" s="1"/>
  <c r="AD206" i="13" s="1"/>
  <c r="AC211" i="13"/>
  <c r="AE211" i="13" s="1"/>
  <c r="M211" i="13"/>
  <c r="N211" i="13" s="1"/>
  <c r="V211" i="13"/>
  <c r="X211" i="13" s="1"/>
  <c r="AC214" i="13"/>
  <c r="AE214" i="13" s="1"/>
  <c r="M214" i="13"/>
  <c r="N214" i="13" s="1"/>
  <c r="V214" i="13"/>
  <c r="X214" i="13" s="1"/>
  <c r="Y214" i="13" s="1"/>
  <c r="AC219" i="13"/>
  <c r="AE219" i="13" s="1"/>
  <c r="M219" i="13"/>
  <c r="N219" i="13" s="1"/>
  <c r="V219" i="13"/>
  <c r="X219" i="13" s="1"/>
  <c r="AC222" i="13"/>
  <c r="AE222" i="13" s="1"/>
  <c r="M222" i="13"/>
  <c r="O222" i="13" s="1"/>
  <c r="R222" i="13" s="1"/>
  <c r="V222" i="13"/>
  <c r="W222" i="13" s="1"/>
  <c r="AD222" i="13" s="1"/>
  <c r="N222" i="13"/>
  <c r="AC227" i="13"/>
  <c r="AE227" i="13" s="1"/>
  <c r="M227" i="13"/>
  <c r="N227" i="13" s="1"/>
  <c r="V227" i="13"/>
  <c r="X227" i="13" s="1"/>
  <c r="AC230" i="13"/>
  <c r="AE230" i="13" s="1"/>
  <c r="M230" i="13"/>
  <c r="O230" i="13" s="1"/>
  <c r="V230" i="13"/>
  <c r="W230" i="13" s="1"/>
  <c r="AD230" i="13" s="1"/>
  <c r="N230" i="13"/>
  <c r="AI230" i="13" s="1"/>
  <c r="O235" i="13"/>
  <c r="U235" i="13" s="1"/>
  <c r="AC235" i="13"/>
  <c r="AE235" i="13" s="1"/>
  <c r="M235" i="13"/>
  <c r="N235" i="13" s="1"/>
  <c r="V235" i="13"/>
  <c r="X235" i="13" s="1"/>
  <c r="AC238" i="13"/>
  <c r="AE238" i="13" s="1"/>
  <c r="M238" i="13"/>
  <c r="O238" i="13" s="1"/>
  <c r="R238" i="13" s="1"/>
  <c r="V238" i="13"/>
  <c r="W238" i="13" s="1"/>
  <c r="AD238" i="13" s="1"/>
  <c r="AI243" i="13"/>
  <c r="W243" i="13"/>
  <c r="AD243" i="13" s="1"/>
  <c r="S243" i="13"/>
  <c r="O243" i="13"/>
  <c r="K243" i="13"/>
  <c r="AK243" i="13"/>
  <c r="AC243" i="13"/>
  <c r="AE243" i="13" s="1"/>
  <c r="Y243" i="13"/>
  <c r="U243" i="13"/>
  <c r="AF243" i="13" s="1"/>
  <c r="Q243" i="13"/>
  <c r="M243" i="13"/>
  <c r="AH243" i="13"/>
  <c r="Z243" i="13"/>
  <c r="AA243" i="13" s="1"/>
  <c r="AG243" i="13" s="1"/>
  <c r="R243" i="13"/>
  <c r="V243" i="13"/>
  <c r="AB243" i="13" s="1"/>
  <c r="AI246" i="13"/>
  <c r="AA246" i="13"/>
  <c r="AG246" i="13" s="1"/>
  <c r="W246" i="13"/>
  <c r="AD246" i="13" s="1"/>
  <c r="S246" i="13"/>
  <c r="O246" i="13"/>
  <c r="K246" i="13"/>
  <c r="AK246" i="13"/>
  <c r="AC246" i="13"/>
  <c r="AE246" i="13" s="1"/>
  <c r="U246" i="13"/>
  <c r="AF246" i="13" s="1"/>
  <c r="Q246" i="13"/>
  <c r="M246" i="13"/>
  <c r="AL246" i="13"/>
  <c r="V246" i="13"/>
  <c r="AB246" i="13" s="1"/>
  <c r="N246" i="13"/>
  <c r="X246" i="13"/>
  <c r="Y246" i="13" s="1"/>
  <c r="AH246" i="13"/>
  <c r="AI251" i="13"/>
  <c r="W251" i="13"/>
  <c r="AD251" i="13" s="1"/>
  <c r="S251" i="13"/>
  <c r="O251" i="13"/>
  <c r="K251" i="13"/>
  <c r="AK251" i="13"/>
  <c r="AC251" i="13"/>
  <c r="AE251" i="13" s="1"/>
  <c r="Y251" i="13"/>
  <c r="U251" i="13"/>
  <c r="AF251" i="13" s="1"/>
  <c r="Q251" i="13"/>
  <c r="M251" i="13"/>
  <c r="AH251" i="13"/>
  <c r="Z251" i="13"/>
  <c r="AA251" i="13" s="1"/>
  <c r="AG251" i="13" s="1"/>
  <c r="R251" i="13"/>
  <c r="V251" i="13"/>
  <c r="AI254" i="13"/>
  <c r="AA254" i="13"/>
  <c r="AG254" i="13" s="1"/>
  <c r="W254" i="13"/>
  <c r="AD254" i="13" s="1"/>
  <c r="S254" i="13"/>
  <c r="O254" i="13"/>
  <c r="K254" i="13"/>
  <c r="AK254" i="13"/>
  <c r="AC254" i="13"/>
  <c r="AE254" i="13" s="1"/>
  <c r="U254" i="13"/>
  <c r="AF254" i="13" s="1"/>
  <c r="Q254" i="13"/>
  <c r="M254" i="13"/>
  <c r="AL254" i="13"/>
  <c r="V254" i="13"/>
  <c r="AB254" i="13" s="1"/>
  <c r="N254" i="13"/>
  <c r="X254" i="13"/>
  <c r="Y254" i="13" s="1"/>
  <c r="AH254" i="13"/>
  <c r="AI259" i="13"/>
  <c r="W259" i="13"/>
  <c r="AD259" i="13" s="1"/>
  <c r="S259" i="13"/>
  <c r="O259" i="13"/>
  <c r="K259" i="13"/>
  <c r="AK259" i="13"/>
  <c r="AC259" i="13"/>
  <c r="AE259" i="13" s="1"/>
  <c r="Y259" i="13"/>
  <c r="U259" i="13"/>
  <c r="AF259" i="13" s="1"/>
  <c r="Q259" i="13"/>
  <c r="M259" i="13"/>
  <c r="AH259" i="13"/>
  <c r="Z259" i="13"/>
  <c r="AA259" i="13" s="1"/>
  <c r="AG259" i="13" s="1"/>
  <c r="R259" i="13"/>
  <c r="V259" i="13"/>
  <c r="AB259" i="13" s="1"/>
  <c r="AI262" i="13"/>
  <c r="AA262" i="13"/>
  <c r="AG262" i="13" s="1"/>
  <c r="W262" i="13"/>
  <c r="AD262" i="13" s="1"/>
  <c r="S262" i="13"/>
  <c r="O262" i="13"/>
  <c r="K262" i="13"/>
  <c r="AK262" i="13"/>
  <c r="AC262" i="13"/>
  <c r="AE262" i="13" s="1"/>
  <c r="U262" i="13"/>
  <c r="AF262" i="13" s="1"/>
  <c r="Q262" i="13"/>
  <c r="M262" i="13"/>
  <c r="AL262" i="13"/>
  <c r="V262" i="13"/>
  <c r="N262" i="13"/>
  <c r="X262" i="13"/>
  <c r="Y262" i="13" s="1"/>
  <c r="AH262" i="13"/>
  <c r="AI267" i="13"/>
  <c r="W267" i="13"/>
  <c r="AD267" i="13" s="1"/>
  <c r="S267" i="13"/>
  <c r="O267" i="13"/>
  <c r="K267" i="13"/>
  <c r="AK267" i="13"/>
  <c r="AC267" i="13"/>
  <c r="AE267" i="13" s="1"/>
  <c r="Y267" i="13"/>
  <c r="U267" i="13"/>
  <c r="AF267" i="13" s="1"/>
  <c r="Q267" i="13"/>
  <c r="M267" i="13"/>
  <c r="AH267" i="13"/>
  <c r="Z267" i="13"/>
  <c r="AA267" i="13" s="1"/>
  <c r="AG267" i="13" s="1"/>
  <c r="R267" i="13"/>
  <c r="V267" i="13"/>
  <c r="AB267" i="13" s="1"/>
  <c r="AI270" i="13"/>
  <c r="AA270" i="13"/>
  <c r="AG270" i="13" s="1"/>
  <c r="W270" i="13"/>
  <c r="AD270" i="13" s="1"/>
  <c r="S270" i="13"/>
  <c r="O270" i="13"/>
  <c r="K270" i="13"/>
  <c r="AK270" i="13"/>
  <c r="AC270" i="13"/>
  <c r="AE270" i="13" s="1"/>
  <c r="U270" i="13"/>
  <c r="AF270" i="13" s="1"/>
  <c r="Q270" i="13"/>
  <c r="M270" i="13"/>
  <c r="AL270" i="13"/>
  <c r="V270" i="13"/>
  <c r="N270" i="13"/>
  <c r="X270" i="13"/>
  <c r="Y270" i="13" s="1"/>
  <c r="AH270" i="13"/>
  <c r="AI275" i="13"/>
  <c r="W275" i="13"/>
  <c r="AD275" i="13" s="1"/>
  <c r="S275" i="13"/>
  <c r="O275" i="13"/>
  <c r="K275" i="13"/>
  <c r="AK275" i="13"/>
  <c r="AC275" i="13"/>
  <c r="AE275" i="13" s="1"/>
  <c r="Y275" i="13"/>
  <c r="U275" i="13"/>
  <c r="AF275" i="13" s="1"/>
  <c r="Q275" i="13"/>
  <c r="M275" i="13"/>
  <c r="AH275" i="13"/>
  <c r="Z275" i="13"/>
  <c r="AA275" i="13" s="1"/>
  <c r="AG275" i="13" s="1"/>
  <c r="R275" i="13"/>
  <c r="V275" i="13"/>
  <c r="AB275" i="13" s="1"/>
  <c r="AI278" i="13"/>
  <c r="AA278" i="13"/>
  <c r="AG278" i="13" s="1"/>
  <c r="W278" i="13"/>
  <c r="AD278" i="13" s="1"/>
  <c r="S278" i="13"/>
  <c r="O278" i="13"/>
  <c r="K278" i="13"/>
  <c r="AK278" i="13"/>
  <c r="AC278" i="13"/>
  <c r="AE278" i="13" s="1"/>
  <c r="U278" i="13"/>
  <c r="AF278" i="13" s="1"/>
  <c r="Q278" i="13"/>
  <c r="M278" i="13"/>
  <c r="AL278" i="13"/>
  <c r="V278" i="13"/>
  <c r="AB278" i="13" s="1"/>
  <c r="N278" i="13"/>
  <c r="X278" i="13"/>
  <c r="Y278" i="13" s="1"/>
  <c r="AH278" i="13"/>
  <c r="AI283" i="13"/>
  <c r="W283" i="13"/>
  <c r="AD283" i="13" s="1"/>
  <c r="S283" i="13"/>
  <c r="O283" i="13"/>
  <c r="K283" i="13"/>
  <c r="AK283" i="13"/>
  <c r="AC283" i="13"/>
  <c r="AE283" i="13" s="1"/>
  <c r="Y283" i="13"/>
  <c r="U283" i="13"/>
  <c r="AF283" i="13" s="1"/>
  <c r="Q283" i="13"/>
  <c r="M283" i="13"/>
  <c r="AH283" i="13"/>
  <c r="Z283" i="13"/>
  <c r="AA283" i="13" s="1"/>
  <c r="AG283" i="13" s="1"/>
  <c r="R283" i="13"/>
  <c r="V283" i="13"/>
  <c r="AI286" i="13"/>
  <c r="AA286" i="13"/>
  <c r="AG286" i="13" s="1"/>
  <c r="W286" i="13"/>
  <c r="AD286" i="13" s="1"/>
  <c r="S286" i="13"/>
  <c r="O286" i="13"/>
  <c r="K286" i="13"/>
  <c r="AK286" i="13"/>
  <c r="AC286" i="13"/>
  <c r="AE286" i="13" s="1"/>
  <c r="U286" i="13"/>
  <c r="AF286" i="13" s="1"/>
  <c r="Q286" i="13"/>
  <c r="M286" i="13"/>
  <c r="AL286" i="13"/>
  <c r="V286" i="13"/>
  <c r="AB286" i="13" s="1"/>
  <c r="N286" i="13"/>
  <c r="X286" i="13"/>
  <c r="Y286" i="13" s="1"/>
  <c r="AH286" i="13"/>
  <c r="AI291" i="13"/>
  <c r="W291" i="13"/>
  <c r="AD291" i="13" s="1"/>
  <c r="S291" i="13"/>
  <c r="O291" i="13"/>
  <c r="K291" i="13"/>
  <c r="AK291" i="13"/>
  <c r="AC291" i="13"/>
  <c r="AE291" i="13" s="1"/>
  <c r="Y291" i="13"/>
  <c r="U291" i="13"/>
  <c r="AF291" i="13" s="1"/>
  <c r="Q291" i="13"/>
  <c r="M291" i="13"/>
  <c r="AH291" i="13"/>
  <c r="Z291" i="13"/>
  <c r="AA291" i="13" s="1"/>
  <c r="AG291" i="13" s="1"/>
  <c r="R291" i="13"/>
  <c r="V291" i="13"/>
  <c r="AB291" i="13" s="1"/>
  <c r="AI294" i="13"/>
  <c r="AA294" i="13"/>
  <c r="AG294" i="13" s="1"/>
  <c r="W294" i="13"/>
  <c r="AD294" i="13" s="1"/>
  <c r="S294" i="13"/>
  <c r="O294" i="13"/>
  <c r="K294" i="13"/>
  <c r="AK294" i="13"/>
  <c r="AC294" i="13"/>
  <c r="AE294" i="13" s="1"/>
  <c r="U294" i="13"/>
  <c r="AF294" i="13" s="1"/>
  <c r="Q294" i="13"/>
  <c r="M294" i="13"/>
  <c r="AL294" i="13"/>
  <c r="V294" i="13"/>
  <c r="N294" i="13"/>
  <c r="X294" i="13"/>
  <c r="Y294" i="13" s="1"/>
  <c r="AH294" i="13"/>
  <c r="AI299" i="13"/>
  <c r="W299" i="13"/>
  <c r="AD299" i="13" s="1"/>
  <c r="S299" i="13"/>
  <c r="O299" i="13"/>
  <c r="K299" i="13"/>
  <c r="AK299" i="13"/>
  <c r="AC299" i="13"/>
  <c r="AE299" i="13" s="1"/>
  <c r="Y299" i="13"/>
  <c r="U299" i="13"/>
  <c r="AF299" i="13" s="1"/>
  <c r="Q299" i="13"/>
  <c r="M299" i="13"/>
  <c r="AH299" i="13"/>
  <c r="Z299" i="13"/>
  <c r="AA299" i="13" s="1"/>
  <c r="AG299" i="13" s="1"/>
  <c r="R299" i="13"/>
  <c r="V299" i="13"/>
  <c r="AB299" i="13" s="1"/>
  <c r="AI302" i="13"/>
  <c r="AA302" i="13"/>
  <c r="AG302" i="13" s="1"/>
  <c r="W302" i="13"/>
  <c r="AD302" i="13" s="1"/>
  <c r="S302" i="13"/>
  <c r="O302" i="13"/>
  <c r="K302" i="13"/>
  <c r="AK302" i="13"/>
  <c r="AC302" i="13"/>
  <c r="AE302" i="13" s="1"/>
  <c r="U302" i="13"/>
  <c r="AF302" i="13" s="1"/>
  <c r="Q302" i="13"/>
  <c r="M302" i="13"/>
  <c r="AL302" i="13"/>
  <c r="V302" i="13"/>
  <c r="AB302" i="13" s="1"/>
  <c r="N302" i="13"/>
  <c r="X302" i="13"/>
  <c r="Y302" i="13" s="1"/>
  <c r="AH302" i="13"/>
  <c r="AI307" i="13"/>
  <c r="W307" i="13"/>
  <c r="AD307" i="13" s="1"/>
  <c r="S307" i="13"/>
  <c r="O307" i="13"/>
  <c r="K307" i="13"/>
  <c r="AK307" i="13"/>
  <c r="AC307" i="13"/>
  <c r="AE307" i="13" s="1"/>
  <c r="Y307" i="13"/>
  <c r="U307" i="13"/>
  <c r="AF307" i="13" s="1"/>
  <c r="Q307" i="13"/>
  <c r="M307" i="13"/>
  <c r="AH307" i="13"/>
  <c r="Z307" i="13"/>
  <c r="AA307" i="13" s="1"/>
  <c r="AG307" i="13" s="1"/>
  <c r="R307" i="13"/>
  <c r="V307" i="13"/>
  <c r="AB307" i="13" s="1"/>
  <c r="AI310" i="13"/>
  <c r="AA310" i="13"/>
  <c r="AG310" i="13" s="1"/>
  <c r="W310" i="13"/>
  <c r="AD310" i="13" s="1"/>
  <c r="S310" i="13"/>
  <c r="O310" i="13"/>
  <c r="K310" i="13"/>
  <c r="AK310" i="13"/>
  <c r="AC310" i="13"/>
  <c r="AE310" i="13" s="1"/>
  <c r="U310" i="13"/>
  <c r="AF310" i="13" s="1"/>
  <c r="Q310" i="13"/>
  <c r="M310" i="13"/>
  <c r="AL310" i="13"/>
  <c r="V310" i="13"/>
  <c r="N310" i="13"/>
  <c r="X310" i="13"/>
  <c r="Y310" i="13" s="1"/>
  <c r="AH310" i="13"/>
  <c r="AI315" i="13"/>
  <c r="W315" i="13"/>
  <c r="AD315" i="13" s="1"/>
  <c r="S315" i="13"/>
  <c r="O315" i="13"/>
  <c r="K315" i="13"/>
  <c r="AK315" i="13"/>
  <c r="AC315" i="13"/>
  <c r="AE315" i="13" s="1"/>
  <c r="Y315" i="13"/>
  <c r="U315" i="13"/>
  <c r="AF315" i="13" s="1"/>
  <c r="Q315" i="13"/>
  <c r="M315" i="13"/>
  <c r="AH315" i="13"/>
  <c r="Z315" i="13"/>
  <c r="AA315" i="13" s="1"/>
  <c r="AG315" i="13" s="1"/>
  <c r="R315" i="13"/>
  <c r="V315" i="13"/>
  <c r="AB315" i="13" s="1"/>
  <c r="AI318" i="13"/>
  <c r="AA318" i="13"/>
  <c r="AG318" i="13" s="1"/>
  <c r="W318" i="13"/>
  <c r="AD318" i="13" s="1"/>
  <c r="S318" i="13"/>
  <c r="O318" i="13"/>
  <c r="K318" i="13"/>
  <c r="AK318" i="13"/>
  <c r="AC318" i="13"/>
  <c r="AE318" i="13" s="1"/>
  <c r="U318" i="13"/>
  <c r="AF318" i="13" s="1"/>
  <c r="Q318" i="13"/>
  <c r="M318" i="13"/>
  <c r="AL318" i="13"/>
  <c r="V318" i="13"/>
  <c r="N318" i="13"/>
  <c r="X318" i="13"/>
  <c r="Y318" i="13" s="1"/>
  <c r="AH318" i="13"/>
  <c r="AI323" i="13"/>
  <c r="W323" i="13"/>
  <c r="AD323" i="13" s="1"/>
  <c r="S323" i="13"/>
  <c r="O323" i="13"/>
  <c r="K323" i="13"/>
  <c r="AK323" i="13"/>
  <c r="AC323" i="13"/>
  <c r="AE323" i="13" s="1"/>
  <c r="Y323" i="13"/>
  <c r="U323" i="13"/>
  <c r="AF323" i="13" s="1"/>
  <c r="Q323" i="13"/>
  <c r="M323" i="13"/>
  <c r="AH323" i="13"/>
  <c r="Z323" i="13"/>
  <c r="AA323" i="13" s="1"/>
  <c r="AG323" i="13" s="1"/>
  <c r="R323" i="13"/>
  <c r="V323" i="13"/>
  <c r="AB323" i="13" s="1"/>
  <c r="AI326" i="13"/>
  <c r="AA326" i="13"/>
  <c r="AG326" i="13" s="1"/>
  <c r="W326" i="13"/>
  <c r="AD326" i="13" s="1"/>
  <c r="S326" i="13"/>
  <c r="O326" i="13"/>
  <c r="K326" i="13"/>
  <c r="AK326" i="13"/>
  <c r="AC326" i="13"/>
  <c r="AE326" i="13" s="1"/>
  <c r="U326" i="13"/>
  <c r="AF326" i="13" s="1"/>
  <c r="Q326" i="13"/>
  <c r="M326" i="13"/>
  <c r="AL326" i="13"/>
  <c r="V326" i="13"/>
  <c r="N326" i="13"/>
  <c r="X326" i="13"/>
  <c r="Y326" i="13" s="1"/>
  <c r="AH326" i="13"/>
  <c r="AI331" i="13"/>
  <c r="W331" i="13"/>
  <c r="AD331" i="13" s="1"/>
  <c r="S331" i="13"/>
  <c r="O331" i="13"/>
  <c r="K331" i="13"/>
  <c r="AK331" i="13"/>
  <c r="AC331" i="13"/>
  <c r="AE331" i="13" s="1"/>
  <c r="Y331" i="13"/>
  <c r="U331" i="13"/>
  <c r="AF331" i="13" s="1"/>
  <c r="Q331" i="13"/>
  <c r="M331" i="13"/>
  <c r="AH331" i="13"/>
  <c r="Z331" i="13"/>
  <c r="AA331" i="13" s="1"/>
  <c r="AG331" i="13" s="1"/>
  <c r="R331" i="13"/>
  <c r="V331" i="13"/>
  <c r="AI334" i="13"/>
  <c r="AA334" i="13"/>
  <c r="AG334" i="13" s="1"/>
  <c r="W334" i="13"/>
  <c r="AD334" i="13" s="1"/>
  <c r="S334" i="13"/>
  <c r="O334" i="13"/>
  <c r="K334" i="13"/>
  <c r="AK334" i="13"/>
  <c r="AC334" i="13"/>
  <c r="AE334" i="13" s="1"/>
  <c r="U334" i="13"/>
  <c r="AF334" i="13" s="1"/>
  <c r="Q334" i="13"/>
  <c r="M334" i="13"/>
  <c r="AL334" i="13"/>
  <c r="V334" i="13"/>
  <c r="N334" i="13"/>
  <c r="X334" i="13"/>
  <c r="Y334" i="13" s="1"/>
  <c r="AH334" i="13"/>
  <c r="AI339" i="13"/>
  <c r="W339" i="13"/>
  <c r="AD339" i="13" s="1"/>
  <c r="S339" i="13"/>
  <c r="O339" i="13"/>
  <c r="K339" i="13"/>
  <c r="AK339" i="13"/>
  <c r="AC339" i="13"/>
  <c r="AE339" i="13" s="1"/>
  <c r="Y339" i="13"/>
  <c r="U339" i="13"/>
  <c r="AF339" i="13" s="1"/>
  <c r="Q339" i="13"/>
  <c r="M339" i="13"/>
  <c r="AH339" i="13"/>
  <c r="Z339" i="13"/>
  <c r="AA339" i="13" s="1"/>
  <c r="AG339" i="13" s="1"/>
  <c r="R339" i="13"/>
  <c r="V339" i="13"/>
  <c r="AB339" i="13" s="1"/>
  <c r="AI342" i="13"/>
  <c r="AA342" i="13"/>
  <c r="AG342" i="13" s="1"/>
  <c r="W342" i="13"/>
  <c r="AD342" i="13" s="1"/>
  <c r="S342" i="13"/>
  <c r="O342" i="13"/>
  <c r="K342" i="13"/>
  <c r="AK342" i="13"/>
  <c r="AC342" i="13"/>
  <c r="AE342" i="13" s="1"/>
  <c r="U342" i="13"/>
  <c r="AF342" i="13" s="1"/>
  <c r="Q342" i="13"/>
  <c r="M342" i="13"/>
  <c r="AL342" i="13"/>
  <c r="V342" i="13"/>
  <c r="N342" i="13"/>
  <c r="X342" i="13"/>
  <c r="Y342" i="13" s="1"/>
  <c r="AH342" i="13"/>
  <c r="AI347" i="13"/>
  <c r="W347" i="13"/>
  <c r="AD347" i="13" s="1"/>
  <c r="S347" i="13"/>
  <c r="O347" i="13"/>
  <c r="K347" i="13"/>
  <c r="AK347" i="13"/>
  <c r="AC347" i="13"/>
  <c r="AE347" i="13" s="1"/>
  <c r="Y347" i="13"/>
  <c r="U347" i="13"/>
  <c r="AF347" i="13" s="1"/>
  <c r="Q347" i="13"/>
  <c r="M347" i="13"/>
  <c r="AH347" i="13"/>
  <c r="Z347" i="13"/>
  <c r="AA347" i="13" s="1"/>
  <c r="AG347" i="13" s="1"/>
  <c r="R347" i="13"/>
  <c r="V347" i="13"/>
  <c r="AI350" i="13"/>
  <c r="AA350" i="13"/>
  <c r="AG350" i="13" s="1"/>
  <c r="W350" i="13"/>
  <c r="AD350" i="13" s="1"/>
  <c r="S350" i="13"/>
  <c r="O350" i="13"/>
  <c r="K350" i="13"/>
  <c r="AK350" i="13"/>
  <c r="AC350" i="13"/>
  <c r="AE350" i="13" s="1"/>
  <c r="U350" i="13"/>
  <c r="AF350" i="13" s="1"/>
  <c r="Q350" i="13"/>
  <c r="M350" i="13"/>
  <c r="AL350" i="13"/>
  <c r="V350" i="13"/>
  <c r="AB350" i="13" s="1"/>
  <c r="N350" i="13"/>
  <c r="X350" i="13"/>
  <c r="Y350" i="13" s="1"/>
  <c r="AH350" i="13"/>
  <c r="AI355" i="13"/>
  <c r="W355" i="13"/>
  <c r="AD355" i="13" s="1"/>
  <c r="S355" i="13"/>
  <c r="O355" i="13"/>
  <c r="K355" i="13"/>
  <c r="AK355" i="13"/>
  <c r="AC355" i="13"/>
  <c r="AE355" i="13" s="1"/>
  <c r="Y355" i="13"/>
  <c r="U355" i="13"/>
  <c r="AF355" i="13" s="1"/>
  <c r="Q355" i="13"/>
  <c r="M355" i="13"/>
  <c r="AH355" i="13"/>
  <c r="Z355" i="13"/>
  <c r="AA355" i="13" s="1"/>
  <c r="AG355" i="13" s="1"/>
  <c r="R355" i="13"/>
  <c r="V355" i="13"/>
  <c r="AB355" i="13" s="1"/>
  <c r="AI358" i="13"/>
  <c r="AA358" i="13"/>
  <c r="AG358" i="13" s="1"/>
  <c r="W358" i="13"/>
  <c r="AD358" i="13" s="1"/>
  <c r="S358" i="13"/>
  <c r="O358" i="13"/>
  <c r="K358" i="13"/>
  <c r="AK358" i="13"/>
  <c r="AC358" i="13"/>
  <c r="AE358" i="13" s="1"/>
  <c r="U358" i="13"/>
  <c r="AF358" i="13" s="1"/>
  <c r="Q358" i="13"/>
  <c r="M358" i="13"/>
  <c r="AL358" i="13"/>
  <c r="V358" i="13"/>
  <c r="AB358" i="13" s="1"/>
  <c r="N358" i="13"/>
  <c r="X358" i="13"/>
  <c r="Y358" i="13" s="1"/>
  <c r="AH358" i="13"/>
  <c r="AI363" i="13"/>
  <c r="W363" i="13"/>
  <c r="AD363" i="13" s="1"/>
  <c r="S363" i="13"/>
  <c r="O363" i="13"/>
  <c r="K363" i="13"/>
  <c r="AK363" i="13"/>
  <c r="AC363" i="13"/>
  <c r="AE363" i="13" s="1"/>
  <c r="Y363" i="13"/>
  <c r="U363" i="13"/>
  <c r="AF363" i="13" s="1"/>
  <c r="Q363" i="13"/>
  <c r="M363" i="13"/>
  <c r="AH363" i="13"/>
  <c r="Z363" i="13"/>
  <c r="AA363" i="13" s="1"/>
  <c r="AG363" i="13" s="1"/>
  <c r="R363" i="13"/>
  <c r="V363" i="13"/>
  <c r="AI366" i="13"/>
  <c r="AA366" i="13"/>
  <c r="AG366" i="13" s="1"/>
  <c r="W366" i="13"/>
  <c r="AD366" i="13" s="1"/>
  <c r="S366" i="13"/>
  <c r="O366" i="13"/>
  <c r="K366" i="13"/>
  <c r="AK366" i="13"/>
  <c r="AC366" i="13"/>
  <c r="AE366" i="13" s="1"/>
  <c r="Y366" i="13"/>
  <c r="U366" i="13"/>
  <c r="AF366" i="13" s="1"/>
  <c r="Q366" i="13"/>
  <c r="M366" i="13"/>
  <c r="AL366" i="13"/>
  <c r="V366" i="13"/>
  <c r="AB366" i="13" s="1"/>
  <c r="N366" i="13"/>
  <c r="X366" i="13"/>
  <c r="AH366" i="13"/>
  <c r="AI371" i="13"/>
  <c r="W371" i="13"/>
  <c r="AD371" i="13" s="1"/>
  <c r="S371" i="13"/>
  <c r="O371" i="13"/>
  <c r="K371" i="13"/>
  <c r="AK371" i="13"/>
  <c r="AC371" i="13"/>
  <c r="AE371" i="13" s="1"/>
  <c r="Y371" i="13"/>
  <c r="U371" i="13"/>
  <c r="AF371" i="13" s="1"/>
  <c r="Q371" i="13"/>
  <c r="M371" i="13"/>
  <c r="AH371" i="13"/>
  <c r="Z371" i="13"/>
  <c r="AA371" i="13" s="1"/>
  <c r="AG371" i="13" s="1"/>
  <c r="R371" i="13"/>
  <c r="V371" i="13"/>
  <c r="AB371" i="13" s="1"/>
  <c r="AI374" i="13"/>
  <c r="AA374" i="13"/>
  <c r="AG374" i="13" s="1"/>
  <c r="W374" i="13"/>
  <c r="AD374" i="13" s="1"/>
  <c r="S374" i="13"/>
  <c r="O374" i="13"/>
  <c r="K374" i="13"/>
  <c r="AK374" i="13"/>
  <c r="AC374" i="13"/>
  <c r="AE374" i="13" s="1"/>
  <c r="U374" i="13"/>
  <c r="AF374" i="13" s="1"/>
  <c r="Q374" i="13"/>
  <c r="M374" i="13"/>
  <c r="AL374" i="13"/>
  <c r="V374" i="13"/>
  <c r="AB374" i="13" s="1"/>
  <c r="N374" i="13"/>
  <c r="X374" i="13"/>
  <c r="Y374" i="13" s="1"/>
  <c r="AH374" i="13"/>
  <c r="AI379" i="13"/>
  <c r="W379" i="13"/>
  <c r="AD379" i="13" s="1"/>
  <c r="S379" i="13"/>
  <c r="O379" i="13"/>
  <c r="K379" i="13"/>
  <c r="AK379" i="13"/>
  <c r="AC379" i="13"/>
  <c r="AE379" i="13" s="1"/>
  <c r="Y379" i="13"/>
  <c r="U379" i="13"/>
  <c r="AF379" i="13" s="1"/>
  <c r="Q379" i="13"/>
  <c r="M379" i="13"/>
  <c r="AH379" i="13"/>
  <c r="Z379" i="13"/>
  <c r="AA379" i="13" s="1"/>
  <c r="AG379" i="13" s="1"/>
  <c r="R379" i="13"/>
  <c r="V379" i="13"/>
  <c r="AB379" i="13" s="1"/>
  <c r="AI382" i="13"/>
  <c r="AA382" i="13"/>
  <c r="AG382" i="13" s="1"/>
  <c r="W382" i="13"/>
  <c r="AD382" i="13" s="1"/>
  <c r="S382" i="13"/>
  <c r="O382" i="13"/>
  <c r="K382" i="13"/>
  <c r="AK382" i="13"/>
  <c r="AC382" i="13"/>
  <c r="AE382" i="13" s="1"/>
  <c r="U382" i="13"/>
  <c r="AF382" i="13" s="1"/>
  <c r="Q382" i="13"/>
  <c r="M382" i="13"/>
  <c r="AL382" i="13"/>
  <c r="V382" i="13"/>
  <c r="N382" i="13"/>
  <c r="X382" i="13"/>
  <c r="Y382" i="13" s="1"/>
  <c r="AH382" i="13"/>
  <c r="AI387" i="13"/>
  <c r="W387" i="13"/>
  <c r="AD387" i="13" s="1"/>
  <c r="S387" i="13"/>
  <c r="O387" i="13"/>
  <c r="K387" i="13"/>
  <c r="AK387" i="13"/>
  <c r="AC387" i="13"/>
  <c r="AE387" i="13" s="1"/>
  <c r="Y387" i="13"/>
  <c r="U387" i="13"/>
  <c r="AF387" i="13" s="1"/>
  <c r="Q387" i="13"/>
  <c r="M387" i="13"/>
  <c r="AH387" i="13"/>
  <c r="Z387" i="13"/>
  <c r="AA387" i="13" s="1"/>
  <c r="AG387" i="13" s="1"/>
  <c r="R387" i="13"/>
  <c r="V387" i="13"/>
  <c r="AB387" i="13" s="1"/>
  <c r="AI390" i="13"/>
  <c r="AA390" i="13"/>
  <c r="AG390" i="13" s="1"/>
  <c r="W390" i="13"/>
  <c r="AD390" i="13" s="1"/>
  <c r="S390" i="13"/>
  <c r="O390" i="13"/>
  <c r="K390" i="13"/>
  <c r="AK390" i="13"/>
  <c r="AC390" i="13"/>
  <c r="AE390" i="13" s="1"/>
  <c r="U390" i="13"/>
  <c r="AF390" i="13" s="1"/>
  <c r="Q390" i="13"/>
  <c r="M390" i="13"/>
  <c r="AL390" i="13"/>
  <c r="V390" i="13"/>
  <c r="N390" i="13"/>
  <c r="X390" i="13"/>
  <c r="Y390" i="13" s="1"/>
  <c r="AH390" i="13"/>
  <c r="AI395" i="13"/>
  <c r="W395" i="13"/>
  <c r="AD395" i="13" s="1"/>
  <c r="S395" i="13"/>
  <c r="O395" i="13"/>
  <c r="K395" i="13"/>
  <c r="AK395" i="13"/>
  <c r="AC395" i="13"/>
  <c r="AE395" i="13" s="1"/>
  <c r="Y395" i="13"/>
  <c r="U395" i="13"/>
  <c r="AF395" i="13" s="1"/>
  <c r="Q395" i="13"/>
  <c r="M395" i="13"/>
  <c r="AH395" i="13"/>
  <c r="Z395" i="13"/>
  <c r="AA395" i="13" s="1"/>
  <c r="AG395" i="13" s="1"/>
  <c r="R395" i="13"/>
  <c r="V395" i="13"/>
  <c r="AB395" i="13" s="1"/>
  <c r="AI398" i="13"/>
  <c r="AA398" i="13"/>
  <c r="AG398" i="13" s="1"/>
  <c r="W398" i="13"/>
  <c r="AD398" i="13" s="1"/>
  <c r="S398" i="13"/>
  <c r="O398" i="13"/>
  <c r="K398" i="13"/>
  <c r="AK398" i="13"/>
  <c r="AC398" i="13"/>
  <c r="AE398" i="13" s="1"/>
  <c r="U398" i="13"/>
  <c r="AF398" i="13" s="1"/>
  <c r="Q398" i="13"/>
  <c r="M398" i="13"/>
  <c r="AL398" i="13"/>
  <c r="V398" i="13"/>
  <c r="N398" i="13"/>
  <c r="X398" i="13"/>
  <c r="Y398" i="13" s="1"/>
  <c r="AH398" i="13"/>
  <c r="AI403" i="13"/>
  <c r="W403" i="13"/>
  <c r="AD403" i="13" s="1"/>
  <c r="S403" i="13"/>
  <c r="O403" i="13"/>
  <c r="K403" i="13"/>
  <c r="AK403" i="13"/>
  <c r="AC403" i="13"/>
  <c r="AE403" i="13" s="1"/>
  <c r="Y403" i="13"/>
  <c r="U403" i="13"/>
  <c r="AF403" i="13" s="1"/>
  <c r="Q403" i="13"/>
  <c r="M403" i="13"/>
  <c r="AH403" i="13"/>
  <c r="Z403" i="13"/>
  <c r="AA403" i="13" s="1"/>
  <c r="AG403" i="13" s="1"/>
  <c r="R403" i="13"/>
  <c r="V403" i="13"/>
  <c r="AB403" i="13" s="1"/>
  <c r="AI406" i="13"/>
  <c r="AA406" i="13"/>
  <c r="AG406" i="13" s="1"/>
  <c r="W406" i="13"/>
  <c r="AD406" i="13" s="1"/>
  <c r="S406" i="13"/>
  <c r="O406" i="13"/>
  <c r="K406" i="13"/>
  <c r="AK406" i="13"/>
  <c r="AC406" i="13"/>
  <c r="AE406" i="13" s="1"/>
  <c r="U406" i="13"/>
  <c r="AF406" i="13" s="1"/>
  <c r="Q406" i="13"/>
  <c r="M406" i="13"/>
  <c r="AL406" i="13"/>
  <c r="V406" i="13"/>
  <c r="AB406" i="13" s="1"/>
  <c r="N406" i="13"/>
  <c r="X406" i="13"/>
  <c r="Y406" i="13" s="1"/>
  <c r="AH406" i="13"/>
  <c r="AI411" i="13"/>
  <c r="W411" i="13"/>
  <c r="AD411" i="13" s="1"/>
  <c r="S411" i="13"/>
  <c r="O411" i="13"/>
  <c r="K411" i="13"/>
  <c r="AK411" i="13"/>
  <c r="AC411" i="13"/>
  <c r="AE411" i="13" s="1"/>
  <c r="Y411" i="13"/>
  <c r="U411" i="13"/>
  <c r="AF411" i="13" s="1"/>
  <c r="Q411" i="13"/>
  <c r="M411" i="13"/>
  <c r="AH411" i="13"/>
  <c r="Z411" i="13"/>
  <c r="AA411" i="13" s="1"/>
  <c r="AG411" i="13" s="1"/>
  <c r="R411" i="13"/>
  <c r="V411" i="13"/>
  <c r="AB411" i="13" s="1"/>
  <c r="AI414" i="13"/>
  <c r="AA414" i="13"/>
  <c r="AG414" i="13" s="1"/>
  <c r="W414" i="13"/>
  <c r="AD414" i="13" s="1"/>
  <c r="S414" i="13"/>
  <c r="O414" i="13"/>
  <c r="K414" i="13"/>
  <c r="AK414" i="13"/>
  <c r="AC414" i="13"/>
  <c r="AE414" i="13" s="1"/>
  <c r="U414" i="13"/>
  <c r="AF414" i="13" s="1"/>
  <c r="Q414" i="13"/>
  <c r="M414" i="13"/>
  <c r="AL414" i="13"/>
  <c r="V414" i="13"/>
  <c r="AB414" i="13" s="1"/>
  <c r="N414" i="13"/>
  <c r="X414" i="13"/>
  <c r="Y414" i="13" s="1"/>
  <c r="AH414" i="13"/>
  <c r="AI419" i="13"/>
  <c r="W419" i="13"/>
  <c r="AD419" i="13" s="1"/>
  <c r="S419" i="13"/>
  <c r="O419" i="13"/>
  <c r="K419" i="13"/>
  <c r="AK419" i="13"/>
  <c r="AC419" i="13"/>
  <c r="AE419" i="13" s="1"/>
  <c r="Y419" i="13"/>
  <c r="U419" i="13"/>
  <c r="AF419" i="13" s="1"/>
  <c r="Q419" i="13"/>
  <c r="M419" i="13"/>
  <c r="AH419" i="13"/>
  <c r="Z419" i="13"/>
  <c r="AA419" i="13" s="1"/>
  <c r="AG419" i="13" s="1"/>
  <c r="R419" i="13"/>
  <c r="V419" i="13"/>
  <c r="AB419" i="13" s="1"/>
  <c r="AI422" i="13"/>
  <c r="AA422" i="13"/>
  <c r="AG422" i="13" s="1"/>
  <c r="W422" i="13"/>
  <c r="AD422" i="13" s="1"/>
  <c r="S422" i="13"/>
  <c r="O422" i="13"/>
  <c r="K422" i="13"/>
  <c r="AK422" i="13"/>
  <c r="AC422" i="13"/>
  <c r="AE422" i="13" s="1"/>
  <c r="U422" i="13"/>
  <c r="AF422" i="13" s="1"/>
  <c r="Q422" i="13"/>
  <c r="M422" i="13"/>
  <c r="AL422" i="13"/>
  <c r="V422" i="13"/>
  <c r="N422" i="13"/>
  <c r="X422" i="13"/>
  <c r="Y422" i="13" s="1"/>
  <c r="AH422" i="13"/>
  <c r="AI427" i="13"/>
  <c r="W427" i="13"/>
  <c r="AD427" i="13" s="1"/>
  <c r="S427" i="13"/>
  <c r="O427" i="13"/>
  <c r="K427" i="13"/>
  <c r="AK427" i="13"/>
  <c r="AC427" i="13"/>
  <c r="AE427" i="13" s="1"/>
  <c r="Y427" i="13"/>
  <c r="U427" i="13"/>
  <c r="AF427" i="13" s="1"/>
  <c r="Q427" i="13"/>
  <c r="M427" i="13"/>
  <c r="AH427" i="13"/>
  <c r="Z427" i="13"/>
  <c r="AA427" i="13" s="1"/>
  <c r="AG427" i="13" s="1"/>
  <c r="R427" i="13"/>
  <c r="V427" i="13"/>
  <c r="AB427" i="13" s="1"/>
  <c r="AI430" i="13"/>
  <c r="AA430" i="13"/>
  <c r="AG430" i="13" s="1"/>
  <c r="W430" i="13"/>
  <c r="AD430" i="13" s="1"/>
  <c r="S430" i="13"/>
  <c r="O430" i="13"/>
  <c r="K430" i="13"/>
  <c r="AK430" i="13"/>
  <c r="AC430" i="13"/>
  <c r="AE430" i="13" s="1"/>
  <c r="U430" i="13"/>
  <c r="AF430" i="13" s="1"/>
  <c r="Q430" i="13"/>
  <c r="M430" i="13"/>
  <c r="AL430" i="13"/>
  <c r="V430" i="13"/>
  <c r="AB430" i="13" s="1"/>
  <c r="N430" i="13"/>
  <c r="X430" i="13"/>
  <c r="Y430" i="13" s="1"/>
  <c r="AH430" i="13"/>
  <c r="AI435" i="13"/>
  <c r="W435" i="13"/>
  <c r="AD435" i="13" s="1"/>
  <c r="S435" i="13"/>
  <c r="O435" i="13"/>
  <c r="K435" i="13"/>
  <c r="AK435" i="13"/>
  <c r="AC435" i="13"/>
  <c r="AE435" i="13" s="1"/>
  <c r="Y435" i="13"/>
  <c r="U435" i="13"/>
  <c r="AF435" i="13" s="1"/>
  <c r="Q435" i="13"/>
  <c r="M435" i="13"/>
  <c r="AH435" i="13"/>
  <c r="Z435" i="13"/>
  <c r="AA435" i="13" s="1"/>
  <c r="AG435" i="13" s="1"/>
  <c r="R435" i="13"/>
  <c r="V435" i="13"/>
  <c r="AB435" i="13" s="1"/>
  <c r="AI438" i="13"/>
  <c r="AA438" i="13"/>
  <c r="AG438" i="13" s="1"/>
  <c r="W438" i="13"/>
  <c r="AD438" i="13" s="1"/>
  <c r="S438" i="13"/>
  <c r="O438" i="13"/>
  <c r="K438" i="13"/>
  <c r="AK438" i="13"/>
  <c r="AC438" i="13"/>
  <c r="AE438" i="13" s="1"/>
  <c r="U438" i="13"/>
  <c r="AF438" i="13" s="1"/>
  <c r="Q438" i="13"/>
  <c r="M438" i="13"/>
  <c r="AL438" i="13"/>
  <c r="V438" i="13"/>
  <c r="AB438" i="13" s="1"/>
  <c r="N438" i="13"/>
  <c r="X438" i="13"/>
  <c r="Y438" i="13" s="1"/>
  <c r="AH438" i="13"/>
  <c r="AI443" i="13"/>
  <c r="W443" i="13"/>
  <c r="AD443" i="13" s="1"/>
  <c r="S443" i="13"/>
  <c r="O443" i="13"/>
  <c r="K443" i="13"/>
  <c r="AK443" i="13"/>
  <c r="AC443" i="13"/>
  <c r="AE443" i="13" s="1"/>
  <c r="Y443" i="13"/>
  <c r="U443" i="13"/>
  <c r="AF443" i="13" s="1"/>
  <c r="Q443" i="13"/>
  <c r="M443" i="13"/>
  <c r="AH443" i="13"/>
  <c r="Z443" i="13"/>
  <c r="AA443" i="13" s="1"/>
  <c r="AG443" i="13" s="1"/>
  <c r="R443" i="13"/>
  <c r="V443" i="13"/>
  <c r="AB443" i="13" s="1"/>
  <c r="AI446" i="13"/>
  <c r="AA446" i="13"/>
  <c r="AG446" i="13" s="1"/>
  <c r="W446" i="13"/>
  <c r="AD446" i="13" s="1"/>
  <c r="S446" i="13"/>
  <c r="O446" i="13"/>
  <c r="K446" i="13"/>
  <c r="AK446" i="13"/>
  <c r="AC446" i="13"/>
  <c r="AE446" i="13" s="1"/>
  <c r="U446" i="13"/>
  <c r="AF446" i="13" s="1"/>
  <c r="Q446" i="13"/>
  <c r="M446" i="13"/>
  <c r="AL446" i="13"/>
  <c r="V446" i="13"/>
  <c r="N446" i="13"/>
  <c r="X446" i="13"/>
  <c r="Y446" i="13" s="1"/>
  <c r="AH446" i="13"/>
  <c r="AI451" i="13"/>
  <c r="W451" i="13"/>
  <c r="AD451" i="13" s="1"/>
  <c r="S451" i="13"/>
  <c r="O451" i="13"/>
  <c r="K451" i="13"/>
  <c r="AK451" i="13"/>
  <c r="AC451" i="13"/>
  <c r="AE451" i="13" s="1"/>
  <c r="Y451" i="13"/>
  <c r="U451" i="13"/>
  <c r="AF451" i="13" s="1"/>
  <c r="Q451" i="13"/>
  <c r="M451" i="13"/>
  <c r="AH451" i="13"/>
  <c r="Z451" i="13"/>
  <c r="AA451" i="13" s="1"/>
  <c r="AG451" i="13" s="1"/>
  <c r="R451" i="13"/>
  <c r="V451" i="13"/>
  <c r="AB451" i="13" s="1"/>
  <c r="AI454" i="13"/>
  <c r="AA454" i="13"/>
  <c r="AG454" i="13" s="1"/>
  <c r="W454" i="13"/>
  <c r="AD454" i="13" s="1"/>
  <c r="S454" i="13"/>
  <c r="O454" i="13"/>
  <c r="K454" i="13"/>
  <c r="AK454" i="13"/>
  <c r="AC454" i="13"/>
  <c r="AE454" i="13" s="1"/>
  <c r="U454" i="13"/>
  <c r="AF454" i="13" s="1"/>
  <c r="Q454" i="13"/>
  <c r="M454" i="13"/>
  <c r="AL454" i="13"/>
  <c r="V454" i="13"/>
  <c r="AB454" i="13" s="1"/>
  <c r="N454" i="13"/>
  <c r="X454" i="13"/>
  <c r="Y454" i="13" s="1"/>
  <c r="AH454" i="13"/>
  <c r="AI459" i="13"/>
  <c r="W459" i="13"/>
  <c r="AD459" i="13" s="1"/>
  <c r="S459" i="13"/>
  <c r="O459" i="13"/>
  <c r="K459" i="13"/>
  <c r="AK459" i="13"/>
  <c r="AC459" i="13"/>
  <c r="AE459" i="13" s="1"/>
  <c r="Y459" i="13"/>
  <c r="U459" i="13"/>
  <c r="AF459" i="13" s="1"/>
  <c r="Q459" i="13"/>
  <c r="M459" i="13"/>
  <c r="AH459" i="13"/>
  <c r="Z459" i="13"/>
  <c r="AA459" i="13" s="1"/>
  <c r="AG459" i="13" s="1"/>
  <c r="R459" i="13"/>
  <c r="V459" i="13"/>
  <c r="AB459" i="13" s="1"/>
  <c r="AI462" i="13"/>
  <c r="AA462" i="13"/>
  <c r="AG462" i="13" s="1"/>
  <c r="W462" i="13"/>
  <c r="AD462" i="13" s="1"/>
  <c r="S462" i="13"/>
  <c r="O462" i="13"/>
  <c r="K462" i="13"/>
  <c r="AK462" i="13"/>
  <c r="AC462" i="13"/>
  <c r="AE462" i="13" s="1"/>
  <c r="U462" i="13"/>
  <c r="AF462" i="13" s="1"/>
  <c r="Q462" i="13"/>
  <c r="M462" i="13"/>
  <c r="AL462" i="13"/>
  <c r="V462" i="13"/>
  <c r="N462" i="13"/>
  <c r="X462" i="13"/>
  <c r="Y462" i="13" s="1"/>
  <c r="AH462" i="13"/>
  <c r="AI467" i="13"/>
  <c r="W467" i="13"/>
  <c r="AD467" i="13" s="1"/>
  <c r="S467" i="13"/>
  <c r="O467" i="13"/>
  <c r="K467" i="13"/>
  <c r="AK467" i="13"/>
  <c r="AC467" i="13"/>
  <c r="AE467" i="13" s="1"/>
  <c r="Y467" i="13"/>
  <c r="U467" i="13"/>
  <c r="AF467" i="13" s="1"/>
  <c r="Q467" i="13"/>
  <c r="M467" i="13"/>
  <c r="AH467" i="13"/>
  <c r="Z467" i="13"/>
  <c r="AA467" i="13" s="1"/>
  <c r="AG467" i="13" s="1"/>
  <c r="R467" i="13"/>
  <c r="V467" i="13"/>
  <c r="AB467" i="13" s="1"/>
  <c r="AI470" i="13"/>
  <c r="AA470" i="13"/>
  <c r="AG470" i="13" s="1"/>
  <c r="W470" i="13"/>
  <c r="AD470" i="13" s="1"/>
  <c r="S470" i="13"/>
  <c r="O470" i="13"/>
  <c r="K470" i="13"/>
  <c r="AK470" i="13"/>
  <c r="AC470" i="13"/>
  <c r="AE470" i="13" s="1"/>
  <c r="U470" i="13"/>
  <c r="AF470" i="13" s="1"/>
  <c r="Q470" i="13"/>
  <c r="M470" i="13"/>
  <c r="AL470" i="13"/>
  <c r="V470" i="13"/>
  <c r="AB470" i="13" s="1"/>
  <c r="N470" i="13"/>
  <c r="X470" i="13"/>
  <c r="Y470" i="13" s="1"/>
  <c r="AH470" i="13"/>
  <c r="AI475" i="13"/>
  <c r="W475" i="13"/>
  <c r="AD475" i="13" s="1"/>
  <c r="S475" i="13"/>
  <c r="O475" i="13"/>
  <c r="K475" i="13"/>
  <c r="AK475" i="13"/>
  <c r="AC475" i="13"/>
  <c r="AE475" i="13" s="1"/>
  <c r="Y475" i="13"/>
  <c r="U475" i="13"/>
  <c r="AF475" i="13" s="1"/>
  <c r="Q475" i="13"/>
  <c r="M475" i="13"/>
  <c r="AH475" i="13"/>
  <c r="Z475" i="13"/>
  <c r="AA475" i="13" s="1"/>
  <c r="AG475" i="13" s="1"/>
  <c r="R475" i="13"/>
  <c r="V475" i="13"/>
  <c r="AI478" i="13"/>
  <c r="AA478" i="13"/>
  <c r="AG478" i="13" s="1"/>
  <c r="W478" i="13"/>
  <c r="AD478" i="13" s="1"/>
  <c r="S478" i="13"/>
  <c r="O478" i="13"/>
  <c r="K478" i="13"/>
  <c r="AK478" i="13"/>
  <c r="AC478" i="13"/>
  <c r="AE478" i="13" s="1"/>
  <c r="U478" i="13"/>
  <c r="AF478" i="13" s="1"/>
  <c r="Q478" i="13"/>
  <c r="M478" i="13"/>
  <c r="AL478" i="13"/>
  <c r="V478" i="13"/>
  <c r="N478" i="13"/>
  <c r="X478" i="13"/>
  <c r="Y478" i="13" s="1"/>
  <c r="AH478" i="13"/>
  <c r="AI483" i="13"/>
  <c r="W483" i="13"/>
  <c r="AD483" i="13" s="1"/>
  <c r="S483" i="13"/>
  <c r="O483" i="13"/>
  <c r="K483" i="13"/>
  <c r="AK483" i="13"/>
  <c r="AC483" i="13"/>
  <c r="AE483" i="13" s="1"/>
  <c r="Y483" i="13"/>
  <c r="U483" i="13"/>
  <c r="AF483" i="13" s="1"/>
  <c r="Q483" i="13"/>
  <c r="M483" i="13"/>
  <c r="AH483" i="13"/>
  <c r="Z483" i="13"/>
  <c r="AA483" i="13" s="1"/>
  <c r="AG483" i="13" s="1"/>
  <c r="R483" i="13"/>
  <c r="V483" i="13"/>
  <c r="AB483" i="13" s="1"/>
  <c r="AI486" i="13"/>
  <c r="AA486" i="13"/>
  <c r="AG486" i="13" s="1"/>
  <c r="W486" i="13"/>
  <c r="AD486" i="13" s="1"/>
  <c r="S486" i="13"/>
  <c r="O486" i="13"/>
  <c r="K486" i="13"/>
  <c r="AK486" i="13"/>
  <c r="AC486" i="13"/>
  <c r="AE486" i="13" s="1"/>
  <c r="U486" i="13"/>
  <c r="AF486" i="13" s="1"/>
  <c r="Q486" i="13"/>
  <c r="M486" i="13"/>
  <c r="AL486" i="13"/>
  <c r="V486" i="13"/>
  <c r="AB486" i="13" s="1"/>
  <c r="N486" i="13"/>
  <c r="X486" i="13"/>
  <c r="Y486" i="13" s="1"/>
  <c r="AH486" i="13"/>
  <c r="AI491" i="13"/>
  <c r="W491" i="13"/>
  <c r="AD491" i="13" s="1"/>
  <c r="S491" i="13"/>
  <c r="O491" i="13"/>
  <c r="K491" i="13"/>
  <c r="AK491" i="13"/>
  <c r="AC491" i="13"/>
  <c r="AE491" i="13" s="1"/>
  <c r="Y491" i="13"/>
  <c r="U491" i="13"/>
  <c r="AF491" i="13" s="1"/>
  <c r="Q491" i="13"/>
  <c r="M491" i="13"/>
  <c r="AH491" i="13"/>
  <c r="Z491" i="13"/>
  <c r="AA491" i="13" s="1"/>
  <c r="AG491" i="13" s="1"/>
  <c r="R491" i="13"/>
  <c r="V491" i="13"/>
  <c r="AB491" i="13" s="1"/>
  <c r="AI494" i="13"/>
  <c r="AA494" i="13"/>
  <c r="AG494" i="13" s="1"/>
  <c r="W494" i="13"/>
  <c r="AD494" i="13" s="1"/>
  <c r="S494" i="13"/>
  <c r="O494" i="13"/>
  <c r="K494" i="13"/>
  <c r="AK494" i="13"/>
  <c r="AC494" i="13"/>
  <c r="AE494" i="13" s="1"/>
  <c r="U494" i="13"/>
  <c r="AF494" i="13" s="1"/>
  <c r="Q494" i="13"/>
  <c r="M494" i="13"/>
  <c r="AL494" i="13"/>
  <c r="V494" i="13"/>
  <c r="AB494" i="13" s="1"/>
  <c r="N494" i="13"/>
  <c r="X494" i="13"/>
  <c r="Y494" i="13" s="1"/>
  <c r="AH494" i="13"/>
  <c r="AI499" i="13"/>
  <c r="W499" i="13"/>
  <c r="AD499" i="13" s="1"/>
  <c r="S499" i="13"/>
  <c r="O499" i="13"/>
  <c r="K499" i="13"/>
  <c r="AK499" i="13"/>
  <c r="AC499" i="13"/>
  <c r="AE499" i="13" s="1"/>
  <c r="Y499" i="13"/>
  <c r="U499" i="13"/>
  <c r="AF499" i="13" s="1"/>
  <c r="Q499" i="13"/>
  <c r="M499" i="13"/>
  <c r="AH499" i="13"/>
  <c r="Z499" i="13"/>
  <c r="AA499" i="13" s="1"/>
  <c r="AG499" i="13" s="1"/>
  <c r="R499" i="13"/>
  <c r="V499" i="13"/>
  <c r="AB499" i="13" s="1"/>
  <c r="N3" i="14"/>
  <c r="U3" i="14" s="1"/>
  <c r="O3" i="14"/>
  <c r="O13" i="14"/>
  <c r="O45" i="14"/>
  <c r="O49" i="14"/>
  <c r="O53" i="14"/>
  <c r="O57" i="14"/>
  <c r="O61" i="14"/>
  <c r="O87" i="14"/>
  <c r="O91" i="14"/>
  <c r="O95" i="14"/>
  <c r="O99" i="14"/>
  <c r="O103" i="14"/>
  <c r="O107" i="14"/>
  <c r="O111" i="14"/>
  <c r="O115" i="14"/>
  <c r="O119" i="14"/>
  <c r="O123" i="14"/>
  <c r="O127" i="14"/>
  <c r="O131" i="14"/>
  <c r="O135" i="14"/>
  <c r="O139" i="14"/>
  <c r="O143" i="14"/>
  <c r="O147" i="14"/>
  <c r="O151" i="14"/>
  <c r="O155" i="14"/>
  <c r="O159" i="14"/>
  <c r="O163" i="14"/>
  <c r="O167" i="14"/>
  <c r="O171" i="14"/>
  <c r="O175" i="14"/>
  <c r="O179" i="14"/>
  <c r="O183" i="14"/>
  <c r="O187" i="14"/>
  <c r="O191" i="14"/>
  <c r="O195" i="14"/>
  <c r="O199" i="14"/>
  <c r="O203" i="14"/>
  <c r="O207" i="14"/>
  <c r="O211" i="14"/>
  <c r="O215" i="14"/>
  <c r="O219" i="14"/>
  <c r="O223" i="14"/>
  <c r="O227" i="14"/>
  <c r="O231" i="14"/>
  <c r="O235" i="14"/>
  <c r="O239" i="14"/>
  <c r="O243" i="14"/>
  <c r="O41" i="14"/>
  <c r="O65" i="14"/>
  <c r="O69" i="14"/>
  <c r="O73" i="14"/>
  <c r="O85" i="14"/>
  <c r="O86" i="14"/>
  <c r="O90" i="14"/>
  <c r="O94" i="14"/>
  <c r="O98" i="14"/>
  <c r="O102" i="14"/>
  <c r="O106" i="14"/>
  <c r="O110" i="14"/>
  <c r="O114" i="14"/>
  <c r="O118" i="14"/>
  <c r="O122" i="14"/>
  <c r="O126" i="14"/>
  <c r="O130" i="14"/>
  <c r="O134" i="14"/>
  <c r="O138" i="14"/>
  <c r="O142" i="14"/>
  <c r="O146" i="14"/>
  <c r="O150" i="14"/>
  <c r="O154" i="14"/>
  <c r="O158" i="14"/>
  <c r="O162" i="14"/>
  <c r="O166" i="14"/>
  <c r="O170" i="14"/>
  <c r="O174" i="14"/>
  <c r="O178" i="14"/>
  <c r="O182" i="14"/>
  <c r="O186" i="14"/>
  <c r="O190" i="14"/>
  <c r="O194" i="14"/>
  <c r="O198" i="14"/>
  <c r="O202" i="14"/>
  <c r="O206" i="14"/>
  <c r="O210" i="14"/>
  <c r="O214" i="14"/>
  <c r="O218" i="14"/>
  <c r="O222" i="14"/>
  <c r="O226" i="14"/>
  <c r="O230" i="14"/>
  <c r="O234" i="14"/>
  <c r="O238" i="14"/>
  <c r="O242" i="14"/>
  <c r="P2" i="12"/>
  <c r="AJ2" i="12" s="1"/>
  <c r="X2" i="12"/>
  <c r="Y2" i="12" s="1"/>
  <c r="AB2" i="12"/>
  <c r="P6" i="12"/>
  <c r="X24" i="13" s="1"/>
  <c r="X6" i="12"/>
  <c r="Y6" i="12" s="1"/>
  <c r="AB6" i="12"/>
  <c r="P5" i="13"/>
  <c r="AB5" i="13"/>
  <c r="P9" i="13"/>
  <c r="AJ9" i="13" s="1"/>
  <c r="X9" i="13"/>
  <c r="AB9" i="13"/>
  <c r="P10" i="13"/>
  <c r="AB10" i="13"/>
  <c r="P11" i="13"/>
  <c r="X11" i="13"/>
  <c r="AB11" i="13"/>
  <c r="P12" i="13"/>
  <c r="AB12" i="13"/>
  <c r="P13" i="13"/>
  <c r="X13" i="13"/>
  <c r="Y13" i="13" s="1"/>
  <c r="AB13" i="13"/>
  <c r="AC14" i="13"/>
  <c r="AE14" i="13" s="1"/>
  <c r="AC16" i="13"/>
  <c r="AE16" i="13" s="1"/>
  <c r="AC18" i="13"/>
  <c r="AE18" i="13" s="1"/>
  <c r="AC20" i="13"/>
  <c r="AE20" i="13" s="1"/>
  <c r="AC22" i="13"/>
  <c r="AE22" i="13" s="1"/>
  <c r="AC24" i="13"/>
  <c r="AE24" i="13" s="1"/>
  <c r="AC26" i="13"/>
  <c r="AE26" i="13" s="1"/>
  <c r="AC28" i="13"/>
  <c r="AE28" i="13" s="1"/>
  <c r="AC30" i="13"/>
  <c r="AE30" i="13" s="1"/>
  <c r="AC32" i="13"/>
  <c r="AE32" i="13" s="1"/>
  <c r="AC34" i="13"/>
  <c r="AE34" i="13" s="1"/>
  <c r="AC36" i="13"/>
  <c r="AE36" i="13" s="1"/>
  <c r="AC39" i="13"/>
  <c r="AE39" i="13" s="1"/>
  <c r="AC41" i="13"/>
  <c r="AE41" i="13" s="1"/>
  <c r="AC43" i="13"/>
  <c r="AE43" i="13" s="1"/>
  <c r="AC45" i="13"/>
  <c r="AE45" i="13" s="1"/>
  <c r="AC47" i="13"/>
  <c r="AE47" i="13" s="1"/>
  <c r="AC49" i="13"/>
  <c r="AE49" i="13" s="1"/>
  <c r="AC51" i="13"/>
  <c r="AE51" i="13" s="1"/>
  <c r="AC53" i="13"/>
  <c r="AE53" i="13" s="1"/>
  <c r="AC55" i="13"/>
  <c r="AE55" i="13" s="1"/>
  <c r="AC57" i="13"/>
  <c r="AE57" i="13" s="1"/>
  <c r="AC59" i="13"/>
  <c r="AE59" i="13" s="1"/>
  <c r="AC61" i="13"/>
  <c r="AE61" i="13" s="1"/>
  <c r="AC63" i="13"/>
  <c r="AE63" i="13" s="1"/>
  <c r="AC65" i="13"/>
  <c r="AE65" i="13" s="1"/>
  <c r="AC67" i="13"/>
  <c r="AE67" i="13" s="1"/>
  <c r="AC69" i="13"/>
  <c r="AE69" i="13" s="1"/>
  <c r="AC71" i="13"/>
  <c r="AE71" i="13" s="1"/>
  <c r="AC73" i="13"/>
  <c r="AE73" i="13" s="1"/>
  <c r="AC75" i="13"/>
  <c r="AE75" i="13" s="1"/>
  <c r="AC77" i="13"/>
  <c r="AE77" i="13" s="1"/>
  <c r="AC79" i="13"/>
  <c r="AE79" i="13" s="1"/>
  <c r="AC81" i="13"/>
  <c r="AE81" i="13" s="1"/>
  <c r="AC83" i="13"/>
  <c r="AE83" i="13" s="1"/>
  <c r="AC85" i="13"/>
  <c r="AE85" i="13" s="1"/>
  <c r="AC87" i="13"/>
  <c r="AE87" i="13" s="1"/>
  <c r="AC89" i="13"/>
  <c r="AE89" i="13" s="1"/>
  <c r="AC91" i="13"/>
  <c r="AE91" i="13" s="1"/>
  <c r="AC93" i="13"/>
  <c r="AE93" i="13" s="1"/>
  <c r="AC95" i="13"/>
  <c r="AE95" i="13" s="1"/>
  <c r="AC97" i="13"/>
  <c r="AE97" i="13" s="1"/>
  <c r="AC99" i="13"/>
  <c r="AE99" i="13" s="1"/>
  <c r="AC101" i="13"/>
  <c r="AE101" i="13" s="1"/>
  <c r="AC103" i="13"/>
  <c r="AE103" i="13" s="1"/>
  <c r="AC105" i="13"/>
  <c r="AE105" i="13" s="1"/>
  <c r="AC107" i="13"/>
  <c r="AE107" i="13" s="1"/>
  <c r="AC109" i="13"/>
  <c r="AE109" i="13" s="1"/>
  <c r="AC111" i="13"/>
  <c r="AE111" i="13" s="1"/>
  <c r="AC113" i="13"/>
  <c r="AE113" i="13" s="1"/>
  <c r="AC115" i="13"/>
  <c r="AE115" i="13" s="1"/>
  <c r="AC117" i="13"/>
  <c r="AE117" i="13" s="1"/>
  <c r="AC119" i="13"/>
  <c r="AE119" i="13" s="1"/>
  <c r="AC121" i="13"/>
  <c r="AE121" i="13" s="1"/>
  <c r="AC123" i="13"/>
  <c r="AE123" i="13" s="1"/>
  <c r="AC125" i="13"/>
  <c r="AE125" i="13" s="1"/>
  <c r="W130" i="13"/>
  <c r="O130" i="13"/>
  <c r="R130" i="13" s="1"/>
  <c r="N130" i="13"/>
  <c r="AJ130" i="13" s="1"/>
  <c r="Z130" i="13"/>
  <c r="W131" i="13"/>
  <c r="AD131" i="13" s="1"/>
  <c r="O131" i="13"/>
  <c r="R131" i="13" s="1"/>
  <c r="AC131" i="13"/>
  <c r="AE131" i="13" s="1"/>
  <c r="X131" i="13"/>
  <c r="Y131" i="13" s="1"/>
  <c r="M131" i="13"/>
  <c r="N131" i="13" s="1"/>
  <c r="W133" i="13"/>
  <c r="AD133" i="13" s="1"/>
  <c r="O133" i="13"/>
  <c r="U133" i="13" s="1"/>
  <c r="AF133" i="13" s="1"/>
  <c r="P133" i="13"/>
  <c r="W134" i="13"/>
  <c r="AD134" i="13" s="1"/>
  <c r="S134" i="13"/>
  <c r="O134" i="13"/>
  <c r="R134" i="13" s="1"/>
  <c r="N134" i="13"/>
  <c r="AI134" i="13" s="1"/>
  <c r="W135" i="13"/>
  <c r="AD135" i="13" s="1"/>
  <c r="AC135" i="13"/>
  <c r="AE135" i="13" s="1"/>
  <c r="X135" i="13"/>
  <c r="Y135" i="13" s="1"/>
  <c r="M135" i="13"/>
  <c r="W137" i="13"/>
  <c r="AD137" i="13" s="1"/>
  <c r="O137" i="13"/>
  <c r="U137" i="13" s="1"/>
  <c r="AF137" i="13" s="1"/>
  <c r="P137" i="13"/>
  <c r="AI137" i="13" s="1"/>
  <c r="AI138" i="13"/>
  <c r="W138" i="13"/>
  <c r="AD138" i="13" s="1"/>
  <c r="S138" i="13"/>
  <c r="O138" i="13"/>
  <c r="AJ138" i="13"/>
  <c r="N138" i="13"/>
  <c r="R138" i="13"/>
  <c r="W139" i="13"/>
  <c r="AD139" i="13" s="1"/>
  <c r="AC139" i="13"/>
  <c r="AE139" i="13" s="1"/>
  <c r="X139" i="13"/>
  <c r="Y139" i="13" s="1"/>
  <c r="M139" i="13"/>
  <c r="N139" i="13" s="1"/>
  <c r="AJ139" i="13" s="1"/>
  <c r="W141" i="13"/>
  <c r="AD141" i="13" s="1"/>
  <c r="O141" i="13"/>
  <c r="U141" i="13"/>
  <c r="P141" i="13"/>
  <c r="R141" i="13" s="1"/>
  <c r="W142" i="13"/>
  <c r="AD142" i="13" s="1"/>
  <c r="N142" i="13"/>
  <c r="AH142" i="13" s="1"/>
  <c r="W143" i="13"/>
  <c r="AD143" i="13" s="1"/>
  <c r="AC143" i="13"/>
  <c r="AE143" i="13" s="1"/>
  <c r="X143" i="13"/>
  <c r="Y143" i="13" s="1"/>
  <c r="M143" i="13"/>
  <c r="N143" i="13" s="1"/>
  <c r="AI145" i="13"/>
  <c r="W145" i="13"/>
  <c r="AD145" i="13" s="1"/>
  <c r="O145" i="13"/>
  <c r="U145" i="13" s="1"/>
  <c r="AF145" i="13" s="1"/>
  <c r="P145" i="13"/>
  <c r="R145" i="13" s="1"/>
  <c r="AI146" i="13"/>
  <c r="W146" i="13"/>
  <c r="AD146" i="13" s="1"/>
  <c r="O146" i="13"/>
  <c r="R146" i="13" s="1"/>
  <c r="N146" i="13"/>
  <c r="S146" i="13" s="1"/>
  <c r="W147" i="13"/>
  <c r="AD147" i="13" s="1"/>
  <c r="AC147" i="13"/>
  <c r="AE147" i="13" s="1"/>
  <c r="X147" i="13"/>
  <c r="Y147" i="13" s="1"/>
  <c r="M147" i="13"/>
  <c r="W149" i="13"/>
  <c r="AD149" i="13" s="1"/>
  <c r="O149" i="13"/>
  <c r="U149" i="13" s="1"/>
  <c r="AF149" i="13" s="1"/>
  <c r="P149" i="13"/>
  <c r="AI149" i="13" s="1"/>
  <c r="W150" i="13"/>
  <c r="AD150" i="13" s="1"/>
  <c r="O150" i="13"/>
  <c r="R150" i="13" s="1"/>
  <c r="N150" i="13"/>
  <c r="AI150" i="13" s="1"/>
  <c r="AI151" i="13"/>
  <c r="W151" i="13"/>
  <c r="AD151" i="13" s="1"/>
  <c r="O151" i="13"/>
  <c r="U151" i="13" s="1"/>
  <c r="AC151" i="13"/>
  <c r="AE151" i="13" s="1"/>
  <c r="X151" i="13"/>
  <c r="Y151" i="13" s="1"/>
  <c r="M151" i="13"/>
  <c r="N151" i="13" s="1"/>
  <c r="Q151" i="13" s="1"/>
  <c r="AK151" i="13" s="1"/>
  <c r="W153" i="13"/>
  <c r="AD153" i="13" s="1"/>
  <c r="O153" i="13"/>
  <c r="U153" i="13"/>
  <c r="AF153" i="13" s="1"/>
  <c r="P153" i="13"/>
  <c r="AI154" i="13"/>
  <c r="W154" i="13"/>
  <c r="AD154" i="13" s="1"/>
  <c r="S154" i="13"/>
  <c r="O154" i="13"/>
  <c r="AJ154" i="13"/>
  <c r="N154" i="13"/>
  <c r="R154" i="13"/>
  <c r="W155" i="13"/>
  <c r="AD155" i="13" s="1"/>
  <c r="AC155" i="13"/>
  <c r="AE155" i="13" s="1"/>
  <c r="X155" i="13"/>
  <c r="Y155" i="13" s="1"/>
  <c r="M155" i="13"/>
  <c r="N155" i="13" s="1"/>
  <c r="Q155" i="13" s="1"/>
  <c r="AK155" i="13" s="1"/>
  <c r="W157" i="13"/>
  <c r="AD157" i="13" s="1"/>
  <c r="O157" i="13"/>
  <c r="U157" i="13" s="1"/>
  <c r="P157" i="13"/>
  <c r="W158" i="13"/>
  <c r="AD158" i="13" s="1"/>
  <c r="O158" i="13"/>
  <c r="R158" i="13" s="1"/>
  <c r="N158" i="13"/>
  <c r="Q158" i="13" s="1"/>
  <c r="AK158" i="13" s="1"/>
  <c r="W159" i="13"/>
  <c r="AD159" i="13" s="1"/>
  <c r="AC159" i="13"/>
  <c r="AE159" i="13" s="1"/>
  <c r="X159" i="13"/>
  <c r="Y159" i="13" s="1"/>
  <c r="M159" i="13"/>
  <c r="N159" i="13" s="1"/>
  <c r="Q159" i="13" s="1"/>
  <c r="AI161" i="13"/>
  <c r="W161" i="13"/>
  <c r="AD161" i="13" s="1"/>
  <c r="O161" i="13"/>
  <c r="U161" i="13" s="1"/>
  <c r="AF161" i="13" s="1"/>
  <c r="P161" i="13"/>
  <c r="R161" i="13" s="1"/>
  <c r="AI162" i="13"/>
  <c r="W162" i="13"/>
  <c r="AD162" i="13" s="1"/>
  <c r="O162" i="13"/>
  <c r="R162" i="13" s="1"/>
  <c r="N162" i="13"/>
  <c r="S162" i="13" s="1"/>
  <c r="W163" i="13"/>
  <c r="AD163" i="13" s="1"/>
  <c r="AC163" i="13"/>
  <c r="AE163" i="13" s="1"/>
  <c r="X163" i="13"/>
  <c r="Y163" i="13" s="1"/>
  <c r="M163" i="13"/>
  <c r="W165" i="13"/>
  <c r="AD165" i="13" s="1"/>
  <c r="O165" i="13"/>
  <c r="U165" i="13" s="1"/>
  <c r="AF165" i="13" s="1"/>
  <c r="P165" i="13"/>
  <c r="AI165" i="13" s="1"/>
  <c r="AI166" i="13"/>
  <c r="W166" i="13"/>
  <c r="AD166" i="13" s="1"/>
  <c r="O166" i="13"/>
  <c r="R166" i="13" s="1"/>
  <c r="N166" i="13"/>
  <c r="AI167" i="13"/>
  <c r="W167" i="13"/>
  <c r="AD167" i="13" s="1"/>
  <c r="O167" i="13"/>
  <c r="U167" i="13" s="1"/>
  <c r="AC167" i="13"/>
  <c r="AE167" i="13" s="1"/>
  <c r="X167" i="13"/>
  <c r="Y167" i="13" s="1"/>
  <c r="M167" i="13"/>
  <c r="N167" i="13" s="1"/>
  <c r="Q167" i="13" s="1"/>
  <c r="W169" i="13"/>
  <c r="AD169" i="13" s="1"/>
  <c r="O169" i="13"/>
  <c r="U169" i="13"/>
  <c r="AF169" i="13" s="1"/>
  <c r="P169" i="13"/>
  <c r="AI170" i="13"/>
  <c r="W170" i="13"/>
  <c r="AD170" i="13" s="1"/>
  <c r="S170" i="13"/>
  <c r="O170" i="13"/>
  <c r="AJ170" i="13"/>
  <c r="N170" i="13"/>
  <c r="AH170" i="13" s="1"/>
  <c r="R170" i="13"/>
  <c r="W171" i="13"/>
  <c r="AD171" i="13" s="1"/>
  <c r="AC171" i="13"/>
  <c r="AE171" i="13" s="1"/>
  <c r="X171" i="13"/>
  <c r="Y171" i="13" s="1"/>
  <c r="M171" i="13"/>
  <c r="N171" i="13" s="1"/>
  <c r="W173" i="13"/>
  <c r="AD173" i="13" s="1"/>
  <c r="O173" i="13"/>
  <c r="U173" i="13" s="1"/>
  <c r="P173" i="13"/>
  <c r="W174" i="13"/>
  <c r="AD174" i="13" s="1"/>
  <c r="O174" i="13"/>
  <c r="R174" i="13" s="1"/>
  <c r="N174" i="13"/>
  <c r="AJ174" i="13" s="1"/>
  <c r="W175" i="13"/>
  <c r="AD175" i="13" s="1"/>
  <c r="AC175" i="13"/>
  <c r="AE175" i="13" s="1"/>
  <c r="X175" i="13"/>
  <c r="Y175" i="13" s="1"/>
  <c r="M175" i="13"/>
  <c r="N175" i="13" s="1"/>
  <c r="AI177" i="13"/>
  <c r="W177" i="13"/>
  <c r="AD177" i="13" s="1"/>
  <c r="O177" i="13"/>
  <c r="U177" i="13" s="1"/>
  <c r="AF177" i="13" s="1"/>
  <c r="P177" i="13"/>
  <c r="R177" i="13" s="1"/>
  <c r="AI178" i="13"/>
  <c r="W178" i="13"/>
  <c r="AD178" i="13" s="1"/>
  <c r="O178" i="13"/>
  <c r="R178" i="13" s="1"/>
  <c r="N178" i="13"/>
  <c r="AJ178" i="13" s="1"/>
  <c r="W179" i="13"/>
  <c r="AD179" i="13" s="1"/>
  <c r="AC179" i="13"/>
  <c r="AE179" i="13" s="1"/>
  <c r="X179" i="13"/>
  <c r="Y179" i="13" s="1"/>
  <c r="M179" i="13"/>
  <c r="W181" i="13"/>
  <c r="AD181" i="13" s="1"/>
  <c r="O181" i="13"/>
  <c r="U181" i="13" s="1"/>
  <c r="AF181" i="13" s="1"/>
  <c r="P181" i="13"/>
  <c r="AI181" i="13" s="1"/>
  <c r="AI182" i="13"/>
  <c r="W182" i="13"/>
  <c r="AD182" i="13" s="1"/>
  <c r="O182" i="13"/>
  <c r="R182" i="13" s="1"/>
  <c r="N182" i="13"/>
  <c r="S182" i="13" s="1"/>
  <c r="AI183" i="13"/>
  <c r="W183" i="13"/>
  <c r="AD183" i="13" s="1"/>
  <c r="O183" i="13"/>
  <c r="R183" i="13" s="1"/>
  <c r="AC183" i="13"/>
  <c r="AE183" i="13" s="1"/>
  <c r="X183" i="13"/>
  <c r="Y183" i="13" s="1"/>
  <c r="M183" i="13"/>
  <c r="N183" i="13" s="1"/>
  <c r="W185" i="13"/>
  <c r="AD185" i="13" s="1"/>
  <c r="O185" i="13"/>
  <c r="U185" i="13"/>
  <c r="AF185" i="13" s="1"/>
  <c r="P185" i="13"/>
  <c r="AI186" i="13"/>
  <c r="W186" i="13"/>
  <c r="AD186" i="13" s="1"/>
  <c r="S186" i="13"/>
  <c r="O186" i="13"/>
  <c r="AJ186" i="13"/>
  <c r="N186" i="13"/>
  <c r="U186" i="13" s="1"/>
  <c r="R186" i="13"/>
  <c r="W187" i="13"/>
  <c r="AD187" i="13" s="1"/>
  <c r="AC187" i="13"/>
  <c r="AE187" i="13" s="1"/>
  <c r="X187" i="13"/>
  <c r="Y187" i="13" s="1"/>
  <c r="M187" i="13"/>
  <c r="N187" i="13" s="1"/>
  <c r="W189" i="13"/>
  <c r="AD189" i="13" s="1"/>
  <c r="O189" i="13"/>
  <c r="U189" i="13" s="1"/>
  <c r="P189" i="13"/>
  <c r="W190" i="13"/>
  <c r="AD190" i="13" s="1"/>
  <c r="O190" i="13"/>
  <c r="R190" i="13" s="1"/>
  <c r="N190" i="13"/>
  <c r="AJ190" i="13" s="1"/>
  <c r="W191" i="13"/>
  <c r="AD191" i="13" s="1"/>
  <c r="AC191" i="13"/>
  <c r="AE191" i="13" s="1"/>
  <c r="X191" i="13"/>
  <c r="Y191" i="13" s="1"/>
  <c r="M191" i="13"/>
  <c r="N191" i="13" s="1"/>
  <c r="AI193" i="13"/>
  <c r="W193" i="13"/>
  <c r="AD193" i="13" s="1"/>
  <c r="O193" i="13"/>
  <c r="U193" i="13" s="1"/>
  <c r="AF193" i="13" s="1"/>
  <c r="P193" i="13"/>
  <c r="R193" i="13" s="1"/>
  <c r="AI194" i="13"/>
  <c r="W194" i="13"/>
  <c r="AD194" i="13" s="1"/>
  <c r="O194" i="13"/>
  <c r="R194" i="13" s="1"/>
  <c r="N194" i="13"/>
  <c r="AJ194" i="13" s="1"/>
  <c r="W195" i="13"/>
  <c r="AD195" i="13" s="1"/>
  <c r="AC195" i="13"/>
  <c r="AE195" i="13" s="1"/>
  <c r="X195" i="13"/>
  <c r="Y195" i="13" s="1"/>
  <c r="M195" i="13"/>
  <c r="W197" i="13"/>
  <c r="AD197" i="13" s="1"/>
  <c r="O197" i="13"/>
  <c r="U197" i="13" s="1"/>
  <c r="AF197" i="13" s="1"/>
  <c r="P197" i="13"/>
  <c r="AI197" i="13" s="1"/>
  <c r="AI198" i="13"/>
  <c r="W198" i="13"/>
  <c r="AD198" i="13" s="1"/>
  <c r="O198" i="13"/>
  <c r="R198" i="13" s="1"/>
  <c r="N198" i="13"/>
  <c r="S198" i="13" s="1"/>
  <c r="AI199" i="13"/>
  <c r="W199" i="13"/>
  <c r="AD199" i="13" s="1"/>
  <c r="O199" i="13"/>
  <c r="R199" i="13" s="1"/>
  <c r="AC199" i="13"/>
  <c r="AE199" i="13" s="1"/>
  <c r="X199" i="13"/>
  <c r="Y199" i="13" s="1"/>
  <c r="M199" i="13"/>
  <c r="N199" i="13" s="1"/>
  <c r="W201" i="13"/>
  <c r="AD201" i="13" s="1"/>
  <c r="O201" i="13"/>
  <c r="U201" i="13"/>
  <c r="AF201" i="13" s="1"/>
  <c r="P201" i="13"/>
  <c r="W202" i="13"/>
  <c r="AD202" i="13" s="1"/>
  <c r="O202" i="13"/>
  <c r="R202" i="13" s="1"/>
  <c r="N202" i="13"/>
  <c r="U202" i="13" s="1"/>
  <c r="P203" i="13"/>
  <c r="AJ203" i="13" s="1"/>
  <c r="AC207" i="13"/>
  <c r="AE207" i="13" s="1"/>
  <c r="M207" i="13"/>
  <c r="N207" i="13" s="1"/>
  <c r="AJ207" i="13" s="1"/>
  <c r="V207" i="13"/>
  <c r="AC210" i="13"/>
  <c r="AE210" i="13" s="1"/>
  <c r="M210" i="13"/>
  <c r="N210" i="13" s="1"/>
  <c r="V210" i="13"/>
  <c r="X210" i="13" s="1"/>
  <c r="Y210" i="13" s="1"/>
  <c r="P211" i="13"/>
  <c r="AC215" i="13"/>
  <c r="AE215" i="13" s="1"/>
  <c r="Q215" i="13"/>
  <c r="AK215" i="13" s="1"/>
  <c r="M215" i="13"/>
  <c r="N215" i="13" s="1"/>
  <c r="AJ215" i="13" s="1"/>
  <c r="V215" i="13"/>
  <c r="W215" i="13" s="1"/>
  <c r="AD215" i="13" s="1"/>
  <c r="AC218" i="13"/>
  <c r="AE218" i="13" s="1"/>
  <c r="M218" i="13"/>
  <c r="V218" i="13"/>
  <c r="W218" i="13" s="1"/>
  <c r="AD218" i="13" s="1"/>
  <c r="P219" i="13"/>
  <c r="AJ219" i="13" s="1"/>
  <c r="AB222" i="13"/>
  <c r="AC223" i="13"/>
  <c r="AE223" i="13" s="1"/>
  <c r="M223" i="13"/>
  <c r="N223" i="13" s="1"/>
  <c r="AJ223" i="13" s="1"/>
  <c r="V223" i="13"/>
  <c r="AC226" i="13"/>
  <c r="AE226" i="13" s="1"/>
  <c r="M226" i="13"/>
  <c r="N226" i="13" s="1"/>
  <c r="V226" i="13"/>
  <c r="X226" i="13" s="1"/>
  <c r="Y226" i="13" s="1"/>
  <c r="P227" i="13"/>
  <c r="AJ227" i="13" s="1"/>
  <c r="AB230" i="13"/>
  <c r="AC231" i="13"/>
  <c r="AE231" i="13" s="1"/>
  <c r="M231" i="13"/>
  <c r="N231" i="13" s="1"/>
  <c r="AJ231" i="13" s="1"/>
  <c r="V231" i="13"/>
  <c r="AC234" i="13"/>
  <c r="AE234" i="13" s="1"/>
  <c r="M234" i="13"/>
  <c r="O234" i="13" s="1"/>
  <c r="R234" i="13" s="1"/>
  <c r="V234" i="13"/>
  <c r="W234" i="13" s="1"/>
  <c r="AD234" i="13" s="1"/>
  <c r="P235" i="13"/>
  <c r="AJ235" i="13" s="1"/>
  <c r="AB238" i="13"/>
  <c r="AC239" i="13"/>
  <c r="AE239" i="13" s="1"/>
  <c r="M239" i="13"/>
  <c r="N239" i="13" s="1"/>
  <c r="AJ239" i="13" s="1"/>
  <c r="V239" i="13"/>
  <c r="Z239" i="13" s="1"/>
  <c r="AI242" i="13"/>
  <c r="AA242" i="13"/>
  <c r="AG242" i="13" s="1"/>
  <c r="W242" i="13"/>
  <c r="AD242" i="13" s="1"/>
  <c r="S242" i="13"/>
  <c r="O242" i="13"/>
  <c r="K242" i="13"/>
  <c r="AK242" i="13"/>
  <c r="AC242" i="13"/>
  <c r="AE242" i="13" s="1"/>
  <c r="U242" i="13"/>
  <c r="AF242" i="13" s="1"/>
  <c r="Q242" i="13"/>
  <c r="M242" i="13"/>
  <c r="AL242" i="13"/>
  <c r="V242" i="13"/>
  <c r="AB242" i="13" s="1"/>
  <c r="N242" i="13"/>
  <c r="X242" i="13"/>
  <c r="Y242" i="13" s="1"/>
  <c r="AH242" i="13"/>
  <c r="P243" i="13"/>
  <c r="AL243" i="13"/>
  <c r="R246" i="13"/>
  <c r="AI247" i="13"/>
  <c r="W247" i="13"/>
  <c r="AD247" i="13" s="1"/>
  <c r="S247" i="13"/>
  <c r="O247" i="13"/>
  <c r="K247" i="13"/>
  <c r="AK247" i="13"/>
  <c r="AC247" i="13"/>
  <c r="AE247" i="13" s="1"/>
  <c r="Y247" i="13"/>
  <c r="U247" i="13"/>
  <c r="AF247" i="13" s="1"/>
  <c r="Q247" i="13"/>
  <c r="M247" i="13"/>
  <c r="AH247" i="13"/>
  <c r="Z247" i="13"/>
  <c r="AA247" i="13" s="1"/>
  <c r="AG247" i="13" s="1"/>
  <c r="R247" i="13"/>
  <c r="V247" i="13"/>
  <c r="AB247" i="13" s="1"/>
  <c r="AI250" i="13"/>
  <c r="AA250" i="13"/>
  <c r="AG250" i="13" s="1"/>
  <c r="W250" i="13"/>
  <c r="AD250" i="13" s="1"/>
  <c r="S250" i="13"/>
  <c r="O250" i="13"/>
  <c r="K250" i="13"/>
  <c r="AK250" i="13"/>
  <c r="AC250" i="13"/>
  <c r="AE250" i="13" s="1"/>
  <c r="U250" i="13"/>
  <c r="AF250" i="13" s="1"/>
  <c r="Q250" i="13"/>
  <c r="M250" i="13"/>
  <c r="AL250" i="13"/>
  <c r="V250" i="13"/>
  <c r="AB250" i="13" s="1"/>
  <c r="N250" i="13"/>
  <c r="X250" i="13"/>
  <c r="Y250" i="13" s="1"/>
  <c r="AH250" i="13"/>
  <c r="P251" i="13"/>
  <c r="AB251" i="13"/>
  <c r="AL251" i="13"/>
  <c r="R254" i="13"/>
  <c r="AI255" i="13"/>
  <c r="W255" i="13"/>
  <c r="AD255" i="13" s="1"/>
  <c r="S255" i="13"/>
  <c r="O255" i="13"/>
  <c r="K255" i="13"/>
  <c r="AK255" i="13"/>
  <c r="AC255" i="13"/>
  <c r="AE255" i="13" s="1"/>
  <c r="Y255" i="13"/>
  <c r="U255" i="13"/>
  <c r="AF255" i="13" s="1"/>
  <c r="Q255" i="13"/>
  <c r="M255" i="13"/>
  <c r="AH255" i="13"/>
  <c r="Z255" i="13"/>
  <c r="AA255" i="13" s="1"/>
  <c r="AG255" i="13" s="1"/>
  <c r="R255" i="13"/>
  <c r="V255" i="13"/>
  <c r="AB255" i="13" s="1"/>
  <c r="AI258" i="13"/>
  <c r="AA258" i="13"/>
  <c r="AG258" i="13" s="1"/>
  <c r="W258" i="13"/>
  <c r="AD258" i="13" s="1"/>
  <c r="S258" i="13"/>
  <c r="O258" i="13"/>
  <c r="K258" i="13"/>
  <c r="AK258" i="13"/>
  <c r="AC258" i="13"/>
  <c r="AE258" i="13" s="1"/>
  <c r="U258" i="13"/>
  <c r="AF258" i="13" s="1"/>
  <c r="Q258" i="13"/>
  <c r="M258" i="13"/>
  <c r="AL258" i="13"/>
  <c r="V258" i="13"/>
  <c r="AB258" i="13" s="1"/>
  <c r="N258" i="13"/>
  <c r="X258" i="13"/>
  <c r="Y258" i="13" s="1"/>
  <c r="AH258" i="13"/>
  <c r="P259" i="13"/>
  <c r="AL259" i="13"/>
  <c r="R262" i="13"/>
  <c r="AB262" i="13"/>
  <c r="AI263" i="13"/>
  <c r="W263" i="13"/>
  <c r="AD263" i="13" s="1"/>
  <c r="S263" i="13"/>
  <c r="O263" i="13"/>
  <c r="K263" i="13"/>
  <c r="AK263" i="13"/>
  <c r="AC263" i="13"/>
  <c r="AE263" i="13" s="1"/>
  <c r="Y263" i="13"/>
  <c r="U263" i="13"/>
  <c r="AF263" i="13" s="1"/>
  <c r="Q263" i="13"/>
  <c r="M263" i="13"/>
  <c r="AH263" i="13"/>
  <c r="Z263" i="13"/>
  <c r="AA263" i="13" s="1"/>
  <c r="AG263" i="13" s="1"/>
  <c r="R263" i="13"/>
  <c r="V263" i="13"/>
  <c r="AB263" i="13" s="1"/>
  <c r="AI266" i="13"/>
  <c r="AA266" i="13"/>
  <c r="AG266" i="13" s="1"/>
  <c r="W266" i="13"/>
  <c r="AD266" i="13" s="1"/>
  <c r="S266" i="13"/>
  <c r="O266" i="13"/>
  <c r="K266" i="13"/>
  <c r="AK266" i="13"/>
  <c r="AC266" i="13"/>
  <c r="AE266" i="13" s="1"/>
  <c r="U266" i="13"/>
  <c r="AF266" i="13" s="1"/>
  <c r="Q266" i="13"/>
  <c r="M266" i="13"/>
  <c r="AL266" i="13"/>
  <c r="V266" i="13"/>
  <c r="AB266" i="13" s="1"/>
  <c r="N266" i="13"/>
  <c r="X266" i="13"/>
  <c r="Y266" i="13" s="1"/>
  <c r="AH266" i="13"/>
  <c r="P267" i="13"/>
  <c r="AL267" i="13"/>
  <c r="R270" i="13"/>
  <c r="AB270" i="13"/>
  <c r="AI271" i="13"/>
  <c r="W271" i="13"/>
  <c r="AD271" i="13" s="1"/>
  <c r="S271" i="13"/>
  <c r="O271" i="13"/>
  <c r="K271" i="13"/>
  <c r="AK271" i="13"/>
  <c r="AC271" i="13"/>
  <c r="AE271" i="13" s="1"/>
  <c r="Y271" i="13"/>
  <c r="U271" i="13"/>
  <c r="AF271" i="13" s="1"/>
  <c r="Q271" i="13"/>
  <c r="M271" i="13"/>
  <c r="AH271" i="13"/>
  <c r="Z271" i="13"/>
  <c r="AA271" i="13" s="1"/>
  <c r="AG271" i="13" s="1"/>
  <c r="R271" i="13"/>
  <c r="V271" i="13"/>
  <c r="AB271" i="13" s="1"/>
  <c r="AI274" i="13"/>
  <c r="AA274" i="13"/>
  <c r="AG274" i="13" s="1"/>
  <c r="W274" i="13"/>
  <c r="AD274" i="13" s="1"/>
  <c r="S274" i="13"/>
  <c r="O274" i="13"/>
  <c r="K274" i="13"/>
  <c r="AK274" i="13"/>
  <c r="AC274" i="13"/>
  <c r="AE274" i="13" s="1"/>
  <c r="U274" i="13"/>
  <c r="AF274" i="13" s="1"/>
  <c r="Q274" i="13"/>
  <c r="M274" i="13"/>
  <c r="AL274" i="13"/>
  <c r="V274" i="13"/>
  <c r="AB274" i="13" s="1"/>
  <c r="N274" i="13"/>
  <c r="X274" i="13"/>
  <c r="Y274" i="13" s="1"/>
  <c r="AH274" i="13"/>
  <c r="P275" i="13"/>
  <c r="AL275" i="13"/>
  <c r="R278" i="13"/>
  <c r="AI279" i="13"/>
  <c r="W279" i="13"/>
  <c r="AD279" i="13" s="1"/>
  <c r="S279" i="13"/>
  <c r="O279" i="13"/>
  <c r="K279" i="13"/>
  <c r="AK279" i="13"/>
  <c r="AC279" i="13"/>
  <c r="AE279" i="13" s="1"/>
  <c r="Y279" i="13"/>
  <c r="U279" i="13"/>
  <c r="AF279" i="13" s="1"/>
  <c r="Q279" i="13"/>
  <c r="M279" i="13"/>
  <c r="AH279" i="13"/>
  <c r="Z279" i="13"/>
  <c r="AA279" i="13" s="1"/>
  <c r="AG279" i="13" s="1"/>
  <c r="R279" i="13"/>
  <c r="V279" i="13"/>
  <c r="AB279" i="13" s="1"/>
  <c r="AI282" i="13"/>
  <c r="AA282" i="13"/>
  <c r="AG282" i="13" s="1"/>
  <c r="W282" i="13"/>
  <c r="AD282" i="13" s="1"/>
  <c r="S282" i="13"/>
  <c r="O282" i="13"/>
  <c r="K282" i="13"/>
  <c r="AK282" i="13"/>
  <c r="AC282" i="13"/>
  <c r="AE282" i="13" s="1"/>
  <c r="U282" i="13"/>
  <c r="AF282" i="13" s="1"/>
  <c r="Q282" i="13"/>
  <c r="M282" i="13"/>
  <c r="AL282" i="13"/>
  <c r="V282" i="13"/>
  <c r="AB282" i="13" s="1"/>
  <c r="N282" i="13"/>
  <c r="X282" i="13"/>
  <c r="Y282" i="13" s="1"/>
  <c r="AH282" i="13"/>
  <c r="P283" i="13"/>
  <c r="AB283" i="13"/>
  <c r="AL283" i="13"/>
  <c r="R286" i="13"/>
  <c r="AI287" i="13"/>
  <c r="W287" i="13"/>
  <c r="AD287" i="13" s="1"/>
  <c r="S287" i="13"/>
  <c r="O287" i="13"/>
  <c r="K287" i="13"/>
  <c r="AK287" i="13"/>
  <c r="AC287" i="13"/>
  <c r="AE287" i="13" s="1"/>
  <c r="Y287" i="13"/>
  <c r="U287" i="13"/>
  <c r="AF287" i="13" s="1"/>
  <c r="Q287" i="13"/>
  <c r="M287" i="13"/>
  <c r="AH287" i="13"/>
  <c r="Z287" i="13"/>
  <c r="AA287" i="13" s="1"/>
  <c r="AG287" i="13" s="1"/>
  <c r="R287" i="13"/>
  <c r="V287" i="13"/>
  <c r="AB287" i="13" s="1"/>
  <c r="AI290" i="13"/>
  <c r="AA290" i="13"/>
  <c r="AG290" i="13" s="1"/>
  <c r="W290" i="13"/>
  <c r="AD290" i="13" s="1"/>
  <c r="S290" i="13"/>
  <c r="O290" i="13"/>
  <c r="K290" i="13"/>
  <c r="AK290" i="13"/>
  <c r="AC290" i="13"/>
  <c r="AE290" i="13" s="1"/>
  <c r="U290" i="13"/>
  <c r="AF290" i="13" s="1"/>
  <c r="Q290" i="13"/>
  <c r="M290" i="13"/>
  <c r="AL290" i="13"/>
  <c r="V290" i="13"/>
  <c r="AB290" i="13" s="1"/>
  <c r="N290" i="13"/>
  <c r="X290" i="13"/>
  <c r="Y290" i="13" s="1"/>
  <c r="AH290" i="13"/>
  <c r="P291" i="13"/>
  <c r="AL291" i="13"/>
  <c r="R294" i="13"/>
  <c r="AB294" i="13"/>
  <c r="AI295" i="13"/>
  <c r="W295" i="13"/>
  <c r="AD295" i="13" s="1"/>
  <c r="S295" i="13"/>
  <c r="O295" i="13"/>
  <c r="K295" i="13"/>
  <c r="AK295" i="13"/>
  <c r="AC295" i="13"/>
  <c r="AE295" i="13" s="1"/>
  <c r="Y295" i="13"/>
  <c r="U295" i="13"/>
  <c r="AF295" i="13" s="1"/>
  <c r="Q295" i="13"/>
  <c r="M295" i="13"/>
  <c r="AH295" i="13"/>
  <c r="Z295" i="13"/>
  <c r="AA295" i="13" s="1"/>
  <c r="AG295" i="13" s="1"/>
  <c r="R295" i="13"/>
  <c r="V295" i="13"/>
  <c r="AB295" i="13" s="1"/>
  <c r="AI298" i="13"/>
  <c r="AA298" i="13"/>
  <c r="AG298" i="13" s="1"/>
  <c r="W298" i="13"/>
  <c r="AD298" i="13" s="1"/>
  <c r="S298" i="13"/>
  <c r="O298" i="13"/>
  <c r="K298" i="13"/>
  <c r="AK298" i="13"/>
  <c r="AC298" i="13"/>
  <c r="AE298" i="13" s="1"/>
  <c r="U298" i="13"/>
  <c r="AF298" i="13" s="1"/>
  <c r="Q298" i="13"/>
  <c r="M298" i="13"/>
  <c r="AL298" i="13"/>
  <c r="V298" i="13"/>
  <c r="AB298" i="13" s="1"/>
  <c r="N298" i="13"/>
  <c r="X298" i="13"/>
  <c r="Y298" i="13" s="1"/>
  <c r="AH298" i="13"/>
  <c r="P299" i="13"/>
  <c r="AL299" i="13"/>
  <c r="R302" i="13"/>
  <c r="AI303" i="13"/>
  <c r="W303" i="13"/>
  <c r="AD303" i="13" s="1"/>
  <c r="S303" i="13"/>
  <c r="O303" i="13"/>
  <c r="K303" i="13"/>
  <c r="AK303" i="13"/>
  <c r="AC303" i="13"/>
  <c r="AE303" i="13" s="1"/>
  <c r="Y303" i="13"/>
  <c r="U303" i="13"/>
  <c r="AF303" i="13" s="1"/>
  <c r="Q303" i="13"/>
  <c r="M303" i="13"/>
  <c r="AH303" i="13"/>
  <c r="Z303" i="13"/>
  <c r="AA303" i="13" s="1"/>
  <c r="AG303" i="13" s="1"/>
  <c r="R303" i="13"/>
  <c r="V303" i="13"/>
  <c r="AB303" i="13" s="1"/>
  <c r="AI306" i="13"/>
  <c r="AA306" i="13"/>
  <c r="AG306" i="13" s="1"/>
  <c r="W306" i="13"/>
  <c r="AD306" i="13" s="1"/>
  <c r="S306" i="13"/>
  <c r="O306" i="13"/>
  <c r="K306" i="13"/>
  <c r="AK306" i="13"/>
  <c r="AC306" i="13"/>
  <c r="AE306" i="13" s="1"/>
  <c r="U306" i="13"/>
  <c r="AF306" i="13" s="1"/>
  <c r="Q306" i="13"/>
  <c r="M306" i="13"/>
  <c r="AL306" i="13"/>
  <c r="V306" i="13"/>
  <c r="AB306" i="13" s="1"/>
  <c r="N306" i="13"/>
  <c r="X306" i="13"/>
  <c r="Y306" i="13" s="1"/>
  <c r="AH306" i="13"/>
  <c r="P307" i="13"/>
  <c r="AL307" i="13"/>
  <c r="R310" i="13"/>
  <c r="AB310" i="13"/>
  <c r="AI311" i="13"/>
  <c r="W311" i="13"/>
  <c r="AD311" i="13" s="1"/>
  <c r="S311" i="13"/>
  <c r="O311" i="13"/>
  <c r="K311" i="13"/>
  <c r="AK311" i="13"/>
  <c r="AC311" i="13"/>
  <c r="AE311" i="13" s="1"/>
  <c r="Y311" i="13"/>
  <c r="U311" i="13"/>
  <c r="AF311" i="13" s="1"/>
  <c r="Q311" i="13"/>
  <c r="M311" i="13"/>
  <c r="AH311" i="13"/>
  <c r="Z311" i="13"/>
  <c r="AA311" i="13" s="1"/>
  <c r="AG311" i="13" s="1"/>
  <c r="R311" i="13"/>
  <c r="V311" i="13"/>
  <c r="AB311" i="13" s="1"/>
  <c r="AI314" i="13"/>
  <c r="AA314" i="13"/>
  <c r="AG314" i="13" s="1"/>
  <c r="W314" i="13"/>
  <c r="AD314" i="13" s="1"/>
  <c r="S314" i="13"/>
  <c r="O314" i="13"/>
  <c r="K314" i="13"/>
  <c r="AK314" i="13"/>
  <c r="AC314" i="13"/>
  <c r="AE314" i="13" s="1"/>
  <c r="U314" i="13"/>
  <c r="AF314" i="13" s="1"/>
  <c r="Q314" i="13"/>
  <c r="M314" i="13"/>
  <c r="AL314" i="13"/>
  <c r="V314" i="13"/>
  <c r="AB314" i="13" s="1"/>
  <c r="N314" i="13"/>
  <c r="X314" i="13"/>
  <c r="Y314" i="13" s="1"/>
  <c r="AH314" i="13"/>
  <c r="P315" i="13"/>
  <c r="AL315" i="13"/>
  <c r="R318" i="13"/>
  <c r="AB318" i="13"/>
  <c r="AI319" i="13"/>
  <c r="W319" i="13"/>
  <c r="AD319" i="13" s="1"/>
  <c r="S319" i="13"/>
  <c r="O319" i="13"/>
  <c r="K319" i="13"/>
  <c r="AK319" i="13"/>
  <c r="AC319" i="13"/>
  <c r="AE319" i="13" s="1"/>
  <c r="Y319" i="13"/>
  <c r="U319" i="13"/>
  <c r="AF319" i="13" s="1"/>
  <c r="Q319" i="13"/>
  <c r="M319" i="13"/>
  <c r="AH319" i="13"/>
  <c r="Z319" i="13"/>
  <c r="AA319" i="13" s="1"/>
  <c r="AG319" i="13" s="1"/>
  <c r="R319" i="13"/>
  <c r="V319" i="13"/>
  <c r="AB319" i="13" s="1"/>
  <c r="AI322" i="13"/>
  <c r="AA322" i="13"/>
  <c r="AG322" i="13" s="1"/>
  <c r="W322" i="13"/>
  <c r="AD322" i="13" s="1"/>
  <c r="S322" i="13"/>
  <c r="O322" i="13"/>
  <c r="K322" i="13"/>
  <c r="AK322" i="13"/>
  <c r="AC322" i="13"/>
  <c r="AE322" i="13" s="1"/>
  <c r="U322" i="13"/>
  <c r="AF322" i="13" s="1"/>
  <c r="Q322" i="13"/>
  <c r="M322" i="13"/>
  <c r="AL322" i="13"/>
  <c r="V322" i="13"/>
  <c r="AB322" i="13" s="1"/>
  <c r="N322" i="13"/>
  <c r="X322" i="13"/>
  <c r="Y322" i="13" s="1"/>
  <c r="AH322" i="13"/>
  <c r="P323" i="13"/>
  <c r="AL323" i="13"/>
  <c r="R326" i="13"/>
  <c r="AB326" i="13"/>
  <c r="AI327" i="13"/>
  <c r="W327" i="13"/>
  <c r="AD327" i="13" s="1"/>
  <c r="S327" i="13"/>
  <c r="O327" i="13"/>
  <c r="K327" i="13"/>
  <c r="AK327" i="13"/>
  <c r="AC327" i="13"/>
  <c r="AE327" i="13" s="1"/>
  <c r="Y327" i="13"/>
  <c r="U327" i="13"/>
  <c r="AF327" i="13" s="1"/>
  <c r="Q327" i="13"/>
  <c r="M327" i="13"/>
  <c r="AH327" i="13"/>
  <c r="Z327" i="13"/>
  <c r="AA327" i="13" s="1"/>
  <c r="AG327" i="13" s="1"/>
  <c r="R327" i="13"/>
  <c r="V327" i="13"/>
  <c r="AB327" i="13" s="1"/>
  <c r="AI330" i="13"/>
  <c r="AA330" i="13"/>
  <c r="AG330" i="13" s="1"/>
  <c r="W330" i="13"/>
  <c r="AD330" i="13" s="1"/>
  <c r="S330" i="13"/>
  <c r="O330" i="13"/>
  <c r="K330" i="13"/>
  <c r="AK330" i="13"/>
  <c r="AC330" i="13"/>
  <c r="AE330" i="13" s="1"/>
  <c r="U330" i="13"/>
  <c r="AF330" i="13" s="1"/>
  <c r="Q330" i="13"/>
  <c r="M330" i="13"/>
  <c r="AL330" i="13"/>
  <c r="V330" i="13"/>
  <c r="AB330" i="13" s="1"/>
  <c r="N330" i="13"/>
  <c r="X330" i="13"/>
  <c r="Y330" i="13" s="1"/>
  <c r="AH330" i="13"/>
  <c r="P331" i="13"/>
  <c r="AB331" i="13"/>
  <c r="AL331" i="13"/>
  <c r="R334" i="13"/>
  <c r="AB334" i="13"/>
  <c r="AI335" i="13"/>
  <c r="W335" i="13"/>
  <c r="AD335" i="13" s="1"/>
  <c r="S335" i="13"/>
  <c r="O335" i="13"/>
  <c r="K335" i="13"/>
  <c r="AK335" i="13"/>
  <c r="AC335" i="13"/>
  <c r="AE335" i="13" s="1"/>
  <c r="Y335" i="13"/>
  <c r="U335" i="13"/>
  <c r="AF335" i="13" s="1"/>
  <c r="Q335" i="13"/>
  <c r="M335" i="13"/>
  <c r="AH335" i="13"/>
  <c r="Z335" i="13"/>
  <c r="AA335" i="13" s="1"/>
  <c r="AG335" i="13" s="1"/>
  <c r="R335" i="13"/>
  <c r="V335" i="13"/>
  <c r="AB335" i="13" s="1"/>
  <c r="AI338" i="13"/>
  <c r="AA338" i="13"/>
  <c r="AG338" i="13" s="1"/>
  <c r="W338" i="13"/>
  <c r="AD338" i="13" s="1"/>
  <c r="S338" i="13"/>
  <c r="O338" i="13"/>
  <c r="K338" i="13"/>
  <c r="AK338" i="13"/>
  <c r="AC338" i="13"/>
  <c r="AE338" i="13" s="1"/>
  <c r="U338" i="13"/>
  <c r="AF338" i="13" s="1"/>
  <c r="Q338" i="13"/>
  <c r="M338" i="13"/>
  <c r="AL338" i="13"/>
  <c r="V338" i="13"/>
  <c r="AB338" i="13" s="1"/>
  <c r="N338" i="13"/>
  <c r="X338" i="13"/>
  <c r="Y338" i="13" s="1"/>
  <c r="AH338" i="13"/>
  <c r="P339" i="13"/>
  <c r="AL339" i="13"/>
  <c r="R342" i="13"/>
  <c r="AB342" i="13"/>
  <c r="AI343" i="13"/>
  <c r="W343" i="13"/>
  <c r="AD343" i="13" s="1"/>
  <c r="S343" i="13"/>
  <c r="O343" i="13"/>
  <c r="K343" i="13"/>
  <c r="AK343" i="13"/>
  <c r="AC343" i="13"/>
  <c r="AE343" i="13" s="1"/>
  <c r="Y343" i="13"/>
  <c r="U343" i="13"/>
  <c r="AF343" i="13" s="1"/>
  <c r="Q343" i="13"/>
  <c r="M343" i="13"/>
  <c r="AH343" i="13"/>
  <c r="Z343" i="13"/>
  <c r="AA343" i="13" s="1"/>
  <c r="AG343" i="13" s="1"/>
  <c r="R343" i="13"/>
  <c r="V343" i="13"/>
  <c r="AB343" i="13" s="1"/>
  <c r="AI346" i="13"/>
  <c r="AA346" i="13"/>
  <c r="AG346" i="13" s="1"/>
  <c r="W346" i="13"/>
  <c r="AD346" i="13" s="1"/>
  <c r="S346" i="13"/>
  <c r="O346" i="13"/>
  <c r="K346" i="13"/>
  <c r="AK346" i="13"/>
  <c r="AC346" i="13"/>
  <c r="AE346" i="13" s="1"/>
  <c r="U346" i="13"/>
  <c r="AF346" i="13" s="1"/>
  <c r="Q346" i="13"/>
  <c r="M346" i="13"/>
  <c r="AL346" i="13"/>
  <c r="V346" i="13"/>
  <c r="AB346" i="13" s="1"/>
  <c r="N346" i="13"/>
  <c r="X346" i="13"/>
  <c r="Y346" i="13" s="1"/>
  <c r="AH346" i="13"/>
  <c r="P347" i="13"/>
  <c r="AB347" i="13"/>
  <c r="AL347" i="13"/>
  <c r="R350" i="13"/>
  <c r="AI351" i="13"/>
  <c r="W351" i="13"/>
  <c r="AD351" i="13" s="1"/>
  <c r="S351" i="13"/>
  <c r="O351" i="13"/>
  <c r="K351" i="13"/>
  <c r="AK351" i="13"/>
  <c r="AC351" i="13"/>
  <c r="AE351" i="13" s="1"/>
  <c r="Y351" i="13"/>
  <c r="U351" i="13"/>
  <c r="AF351" i="13" s="1"/>
  <c r="Q351" i="13"/>
  <c r="M351" i="13"/>
  <c r="AH351" i="13"/>
  <c r="Z351" i="13"/>
  <c r="AA351" i="13" s="1"/>
  <c r="AG351" i="13" s="1"/>
  <c r="R351" i="13"/>
  <c r="V351" i="13"/>
  <c r="AB351" i="13" s="1"/>
  <c r="AI354" i="13"/>
  <c r="AA354" i="13"/>
  <c r="AG354" i="13" s="1"/>
  <c r="W354" i="13"/>
  <c r="AD354" i="13" s="1"/>
  <c r="S354" i="13"/>
  <c r="O354" i="13"/>
  <c r="K354" i="13"/>
  <c r="AK354" i="13"/>
  <c r="AC354" i="13"/>
  <c r="AE354" i="13" s="1"/>
  <c r="U354" i="13"/>
  <c r="AF354" i="13" s="1"/>
  <c r="Q354" i="13"/>
  <c r="M354" i="13"/>
  <c r="AL354" i="13"/>
  <c r="V354" i="13"/>
  <c r="AB354" i="13" s="1"/>
  <c r="N354" i="13"/>
  <c r="X354" i="13"/>
  <c r="Y354" i="13" s="1"/>
  <c r="AH354" i="13"/>
  <c r="P355" i="13"/>
  <c r="AL355" i="13"/>
  <c r="R358" i="13"/>
  <c r="AI359" i="13"/>
  <c r="W359" i="13"/>
  <c r="AD359" i="13" s="1"/>
  <c r="S359" i="13"/>
  <c r="O359" i="13"/>
  <c r="K359" i="13"/>
  <c r="AK359" i="13"/>
  <c r="AC359" i="13"/>
  <c r="AE359" i="13" s="1"/>
  <c r="Y359" i="13"/>
  <c r="U359" i="13"/>
  <c r="AF359" i="13" s="1"/>
  <c r="Q359" i="13"/>
  <c r="M359" i="13"/>
  <c r="AH359" i="13"/>
  <c r="Z359" i="13"/>
  <c r="AA359" i="13" s="1"/>
  <c r="AG359" i="13" s="1"/>
  <c r="R359" i="13"/>
  <c r="V359" i="13"/>
  <c r="AB359" i="13" s="1"/>
  <c r="AI362" i="13"/>
  <c r="AA362" i="13"/>
  <c r="AG362" i="13" s="1"/>
  <c r="W362" i="13"/>
  <c r="AD362" i="13" s="1"/>
  <c r="S362" i="13"/>
  <c r="O362" i="13"/>
  <c r="K362" i="13"/>
  <c r="AK362" i="13"/>
  <c r="AC362" i="13"/>
  <c r="AE362" i="13" s="1"/>
  <c r="U362" i="13"/>
  <c r="AF362" i="13" s="1"/>
  <c r="Q362" i="13"/>
  <c r="M362" i="13"/>
  <c r="AL362" i="13"/>
  <c r="V362" i="13"/>
  <c r="AB362" i="13" s="1"/>
  <c r="N362" i="13"/>
  <c r="X362" i="13"/>
  <c r="Y362" i="13" s="1"/>
  <c r="AH362" i="13"/>
  <c r="P363" i="13"/>
  <c r="AB363" i="13"/>
  <c r="AL363" i="13"/>
  <c r="R366" i="13"/>
  <c r="AI367" i="13"/>
  <c r="W367" i="13"/>
  <c r="AD367" i="13" s="1"/>
  <c r="S367" i="13"/>
  <c r="O367" i="13"/>
  <c r="K367" i="13"/>
  <c r="AK367" i="13"/>
  <c r="AC367" i="13"/>
  <c r="AE367" i="13" s="1"/>
  <c r="Y367" i="13"/>
  <c r="U367" i="13"/>
  <c r="AF367" i="13" s="1"/>
  <c r="Q367" i="13"/>
  <c r="M367" i="13"/>
  <c r="AH367" i="13"/>
  <c r="Z367" i="13"/>
  <c r="AA367" i="13" s="1"/>
  <c r="AG367" i="13" s="1"/>
  <c r="R367" i="13"/>
  <c r="V367" i="13"/>
  <c r="AB367" i="13" s="1"/>
  <c r="AI370" i="13"/>
  <c r="AA370" i="13"/>
  <c r="AG370" i="13" s="1"/>
  <c r="W370" i="13"/>
  <c r="AD370" i="13" s="1"/>
  <c r="S370" i="13"/>
  <c r="O370" i="13"/>
  <c r="K370" i="13"/>
  <c r="AK370" i="13"/>
  <c r="AC370" i="13"/>
  <c r="AE370" i="13" s="1"/>
  <c r="U370" i="13"/>
  <c r="AF370" i="13" s="1"/>
  <c r="Q370" i="13"/>
  <c r="M370" i="13"/>
  <c r="AL370" i="13"/>
  <c r="V370" i="13"/>
  <c r="AB370" i="13" s="1"/>
  <c r="N370" i="13"/>
  <c r="X370" i="13"/>
  <c r="Y370" i="13" s="1"/>
  <c r="AH370" i="13"/>
  <c r="P371" i="13"/>
  <c r="AL371" i="13"/>
  <c r="R374" i="13"/>
  <c r="AI375" i="13"/>
  <c r="W375" i="13"/>
  <c r="AD375" i="13" s="1"/>
  <c r="S375" i="13"/>
  <c r="O375" i="13"/>
  <c r="K375" i="13"/>
  <c r="AK375" i="13"/>
  <c r="AC375" i="13"/>
  <c r="AE375" i="13" s="1"/>
  <c r="Y375" i="13"/>
  <c r="U375" i="13"/>
  <c r="AF375" i="13" s="1"/>
  <c r="Q375" i="13"/>
  <c r="M375" i="13"/>
  <c r="AH375" i="13"/>
  <c r="Z375" i="13"/>
  <c r="AA375" i="13" s="1"/>
  <c r="AG375" i="13" s="1"/>
  <c r="R375" i="13"/>
  <c r="V375" i="13"/>
  <c r="AB375" i="13" s="1"/>
  <c r="AI378" i="13"/>
  <c r="AA378" i="13"/>
  <c r="AG378" i="13" s="1"/>
  <c r="W378" i="13"/>
  <c r="AD378" i="13" s="1"/>
  <c r="S378" i="13"/>
  <c r="O378" i="13"/>
  <c r="K378" i="13"/>
  <c r="AK378" i="13"/>
  <c r="AC378" i="13"/>
  <c r="AE378" i="13" s="1"/>
  <c r="U378" i="13"/>
  <c r="AF378" i="13" s="1"/>
  <c r="Q378" i="13"/>
  <c r="M378" i="13"/>
  <c r="AL378" i="13"/>
  <c r="V378" i="13"/>
  <c r="AB378" i="13" s="1"/>
  <c r="N378" i="13"/>
  <c r="X378" i="13"/>
  <c r="Y378" i="13" s="1"/>
  <c r="AH378" i="13"/>
  <c r="P379" i="13"/>
  <c r="AL379" i="13"/>
  <c r="R382" i="13"/>
  <c r="AB382" i="13"/>
  <c r="AI383" i="13"/>
  <c r="W383" i="13"/>
  <c r="AD383" i="13" s="1"/>
  <c r="S383" i="13"/>
  <c r="O383" i="13"/>
  <c r="K383" i="13"/>
  <c r="AK383" i="13"/>
  <c r="AC383" i="13"/>
  <c r="AE383" i="13" s="1"/>
  <c r="Y383" i="13"/>
  <c r="U383" i="13"/>
  <c r="AF383" i="13" s="1"/>
  <c r="Q383" i="13"/>
  <c r="M383" i="13"/>
  <c r="AH383" i="13"/>
  <c r="Z383" i="13"/>
  <c r="AA383" i="13" s="1"/>
  <c r="AG383" i="13" s="1"/>
  <c r="R383" i="13"/>
  <c r="V383" i="13"/>
  <c r="AB383" i="13" s="1"/>
  <c r="AI386" i="13"/>
  <c r="AA386" i="13"/>
  <c r="AG386" i="13" s="1"/>
  <c r="W386" i="13"/>
  <c r="AD386" i="13" s="1"/>
  <c r="S386" i="13"/>
  <c r="O386" i="13"/>
  <c r="K386" i="13"/>
  <c r="AK386" i="13"/>
  <c r="AC386" i="13"/>
  <c r="AE386" i="13" s="1"/>
  <c r="U386" i="13"/>
  <c r="AF386" i="13" s="1"/>
  <c r="Q386" i="13"/>
  <c r="M386" i="13"/>
  <c r="AL386" i="13"/>
  <c r="V386" i="13"/>
  <c r="AB386" i="13" s="1"/>
  <c r="N386" i="13"/>
  <c r="X386" i="13"/>
  <c r="Y386" i="13" s="1"/>
  <c r="AH386" i="13"/>
  <c r="P387" i="13"/>
  <c r="AL387" i="13"/>
  <c r="R390" i="13"/>
  <c r="AB390" i="13"/>
  <c r="AI391" i="13"/>
  <c r="W391" i="13"/>
  <c r="AD391" i="13" s="1"/>
  <c r="S391" i="13"/>
  <c r="O391" i="13"/>
  <c r="K391" i="13"/>
  <c r="AK391" i="13"/>
  <c r="AC391" i="13"/>
  <c r="AE391" i="13" s="1"/>
  <c r="Y391" i="13"/>
  <c r="U391" i="13"/>
  <c r="AF391" i="13" s="1"/>
  <c r="Q391" i="13"/>
  <c r="M391" i="13"/>
  <c r="AH391" i="13"/>
  <c r="Z391" i="13"/>
  <c r="AA391" i="13" s="1"/>
  <c r="AG391" i="13" s="1"/>
  <c r="R391" i="13"/>
  <c r="V391" i="13"/>
  <c r="AB391" i="13" s="1"/>
  <c r="AI394" i="13"/>
  <c r="AA394" i="13"/>
  <c r="AG394" i="13" s="1"/>
  <c r="W394" i="13"/>
  <c r="AD394" i="13" s="1"/>
  <c r="S394" i="13"/>
  <c r="O394" i="13"/>
  <c r="K394" i="13"/>
  <c r="AK394" i="13"/>
  <c r="AC394" i="13"/>
  <c r="AE394" i="13" s="1"/>
  <c r="U394" i="13"/>
  <c r="AF394" i="13" s="1"/>
  <c r="Q394" i="13"/>
  <c r="M394" i="13"/>
  <c r="AL394" i="13"/>
  <c r="V394" i="13"/>
  <c r="AB394" i="13" s="1"/>
  <c r="N394" i="13"/>
  <c r="X394" i="13"/>
  <c r="Y394" i="13" s="1"/>
  <c r="AH394" i="13"/>
  <c r="P395" i="13"/>
  <c r="AL395" i="13"/>
  <c r="R398" i="13"/>
  <c r="AB398" i="13"/>
  <c r="AI399" i="13"/>
  <c r="W399" i="13"/>
  <c r="AD399" i="13" s="1"/>
  <c r="S399" i="13"/>
  <c r="O399" i="13"/>
  <c r="K399" i="13"/>
  <c r="AK399" i="13"/>
  <c r="AC399" i="13"/>
  <c r="AE399" i="13" s="1"/>
  <c r="Y399" i="13"/>
  <c r="U399" i="13"/>
  <c r="AF399" i="13" s="1"/>
  <c r="Q399" i="13"/>
  <c r="M399" i="13"/>
  <c r="AH399" i="13"/>
  <c r="Z399" i="13"/>
  <c r="AA399" i="13" s="1"/>
  <c r="AG399" i="13" s="1"/>
  <c r="R399" i="13"/>
  <c r="V399" i="13"/>
  <c r="AB399" i="13" s="1"/>
  <c r="AI402" i="13"/>
  <c r="AA402" i="13"/>
  <c r="AG402" i="13" s="1"/>
  <c r="W402" i="13"/>
  <c r="AD402" i="13" s="1"/>
  <c r="S402" i="13"/>
  <c r="O402" i="13"/>
  <c r="K402" i="13"/>
  <c r="AK402" i="13"/>
  <c r="AC402" i="13"/>
  <c r="AE402" i="13" s="1"/>
  <c r="U402" i="13"/>
  <c r="AF402" i="13" s="1"/>
  <c r="Q402" i="13"/>
  <c r="M402" i="13"/>
  <c r="AL402" i="13"/>
  <c r="V402" i="13"/>
  <c r="AB402" i="13" s="1"/>
  <c r="N402" i="13"/>
  <c r="X402" i="13"/>
  <c r="Y402" i="13" s="1"/>
  <c r="AH402" i="13"/>
  <c r="P403" i="13"/>
  <c r="AL403" i="13"/>
  <c r="R406" i="13"/>
  <c r="AI407" i="13"/>
  <c r="W407" i="13"/>
  <c r="AD407" i="13" s="1"/>
  <c r="S407" i="13"/>
  <c r="O407" i="13"/>
  <c r="K407" i="13"/>
  <c r="AK407" i="13"/>
  <c r="AC407" i="13"/>
  <c r="AE407" i="13" s="1"/>
  <c r="Y407" i="13"/>
  <c r="U407" i="13"/>
  <c r="AF407" i="13" s="1"/>
  <c r="Q407" i="13"/>
  <c r="M407" i="13"/>
  <c r="AH407" i="13"/>
  <c r="Z407" i="13"/>
  <c r="AA407" i="13" s="1"/>
  <c r="AG407" i="13" s="1"/>
  <c r="R407" i="13"/>
  <c r="V407" i="13"/>
  <c r="AB407" i="13" s="1"/>
  <c r="AI410" i="13"/>
  <c r="AA410" i="13"/>
  <c r="AG410" i="13" s="1"/>
  <c r="W410" i="13"/>
  <c r="AD410" i="13" s="1"/>
  <c r="S410" i="13"/>
  <c r="O410" i="13"/>
  <c r="K410" i="13"/>
  <c r="AK410" i="13"/>
  <c r="AC410" i="13"/>
  <c r="AE410" i="13" s="1"/>
  <c r="U410" i="13"/>
  <c r="AF410" i="13" s="1"/>
  <c r="Q410" i="13"/>
  <c r="M410" i="13"/>
  <c r="AL410" i="13"/>
  <c r="V410" i="13"/>
  <c r="AB410" i="13" s="1"/>
  <c r="N410" i="13"/>
  <c r="X410" i="13"/>
  <c r="Y410" i="13" s="1"/>
  <c r="AH410" i="13"/>
  <c r="P411" i="13"/>
  <c r="AL411" i="13"/>
  <c r="R414" i="13"/>
  <c r="AI415" i="13"/>
  <c r="W415" i="13"/>
  <c r="AD415" i="13" s="1"/>
  <c r="S415" i="13"/>
  <c r="O415" i="13"/>
  <c r="K415" i="13"/>
  <c r="AK415" i="13"/>
  <c r="AC415" i="13"/>
  <c r="AE415" i="13" s="1"/>
  <c r="Y415" i="13"/>
  <c r="U415" i="13"/>
  <c r="AF415" i="13" s="1"/>
  <c r="Q415" i="13"/>
  <c r="M415" i="13"/>
  <c r="AH415" i="13"/>
  <c r="Z415" i="13"/>
  <c r="AA415" i="13" s="1"/>
  <c r="AG415" i="13" s="1"/>
  <c r="R415" i="13"/>
  <c r="V415" i="13"/>
  <c r="AB415" i="13" s="1"/>
  <c r="AI418" i="13"/>
  <c r="AA418" i="13"/>
  <c r="AG418" i="13" s="1"/>
  <c r="W418" i="13"/>
  <c r="AD418" i="13" s="1"/>
  <c r="S418" i="13"/>
  <c r="O418" i="13"/>
  <c r="K418" i="13"/>
  <c r="AK418" i="13"/>
  <c r="AC418" i="13"/>
  <c r="AE418" i="13" s="1"/>
  <c r="U418" i="13"/>
  <c r="AF418" i="13" s="1"/>
  <c r="Q418" i="13"/>
  <c r="M418" i="13"/>
  <c r="AL418" i="13"/>
  <c r="V418" i="13"/>
  <c r="AB418" i="13" s="1"/>
  <c r="N418" i="13"/>
  <c r="X418" i="13"/>
  <c r="Y418" i="13" s="1"/>
  <c r="AH418" i="13"/>
  <c r="P419" i="13"/>
  <c r="AL419" i="13"/>
  <c r="R422" i="13"/>
  <c r="AB422" i="13"/>
  <c r="AI423" i="13"/>
  <c r="W423" i="13"/>
  <c r="AD423" i="13" s="1"/>
  <c r="S423" i="13"/>
  <c r="O423" i="13"/>
  <c r="K423" i="13"/>
  <c r="AK423" i="13"/>
  <c r="AC423" i="13"/>
  <c r="AE423" i="13" s="1"/>
  <c r="Y423" i="13"/>
  <c r="U423" i="13"/>
  <c r="AF423" i="13" s="1"/>
  <c r="Q423" i="13"/>
  <c r="M423" i="13"/>
  <c r="AH423" i="13"/>
  <c r="Z423" i="13"/>
  <c r="AA423" i="13" s="1"/>
  <c r="AG423" i="13" s="1"/>
  <c r="R423" i="13"/>
  <c r="V423" i="13"/>
  <c r="AB423" i="13" s="1"/>
  <c r="AI426" i="13"/>
  <c r="AA426" i="13"/>
  <c r="AG426" i="13" s="1"/>
  <c r="W426" i="13"/>
  <c r="AD426" i="13" s="1"/>
  <c r="S426" i="13"/>
  <c r="O426" i="13"/>
  <c r="K426" i="13"/>
  <c r="AK426" i="13"/>
  <c r="AC426" i="13"/>
  <c r="AE426" i="13" s="1"/>
  <c r="U426" i="13"/>
  <c r="AF426" i="13" s="1"/>
  <c r="Q426" i="13"/>
  <c r="M426" i="13"/>
  <c r="AL426" i="13"/>
  <c r="V426" i="13"/>
  <c r="AB426" i="13" s="1"/>
  <c r="N426" i="13"/>
  <c r="X426" i="13"/>
  <c r="Y426" i="13" s="1"/>
  <c r="AH426" i="13"/>
  <c r="P427" i="13"/>
  <c r="AL427" i="13"/>
  <c r="R430" i="13"/>
  <c r="AI431" i="13"/>
  <c r="W431" i="13"/>
  <c r="AD431" i="13" s="1"/>
  <c r="S431" i="13"/>
  <c r="O431" i="13"/>
  <c r="K431" i="13"/>
  <c r="AK431" i="13"/>
  <c r="AC431" i="13"/>
  <c r="AE431" i="13" s="1"/>
  <c r="Y431" i="13"/>
  <c r="U431" i="13"/>
  <c r="AF431" i="13" s="1"/>
  <c r="Q431" i="13"/>
  <c r="M431" i="13"/>
  <c r="AH431" i="13"/>
  <c r="Z431" i="13"/>
  <c r="AA431" i="13" s="1"/>
  <c r="AG431" i="13" s="1"/>
  <c r="R431" i="13"/>
  <c r="V431" i="13"/>
  <c r="AB431" i="13" s="1"/>
  <c r="AI434" i="13"/>
  <c r="AA434" i="13"/>
  <c r="AG434" i="13" s="1"/>
  <c r="W434" i="13"/>
  <c r="AD434" i="13" s="1"/>
  <c r="S434" i="13"/>
  <c r="O434" i="13"/>
  <c r="K434" i="13"/>
  <c r="AK434" i="13"/>
  <c r="AC434" i="13"/>
  <c r="AE434" i="13" s="1"/>
  <c r="U434" i="13"/>
  <c r="AF434" i="13" s="1"/>
  <c r="Q434" i="13"/>
  <c r="M434" i="13"/>
  <c r="AL434" i="13"/>
  <c r="V434" i="13"/>
  <c r="AB434" i="13" s="1"/>
  <c r="N434" i="13"/>
  <c r="X434" i="13"/>
  <c r="Y434" i="13" s="1"/>
  <c r="AH434" i="13"/>
  <c r="P435" i="13"/>
  <c r="AL435" i="13"/>
  <c r="R438" i="13"/>
  <c r="AI439" i="13"/>
  <c r="W439" i="13"/>
  <c r="AD439" i="13" s="1"/>
  <c r="S439" i="13"/>
  <c r="O439" i="13"/>
  <c r="K439" i="13"/>
  <c r="AK439" i="13"/>
  <c r="AC439" i="13"/>
  <c r="AE439" i="13" s="1"/>
  <c r="Y439" i="13"/>
  <c r="U439" i="13"/>
  <c r="AF439" i="13" s="1"/>
  <c r="Q439" i="13"/>
  <c r="M439" i="13"/>
  <c r="AH439" i="13"/>
  <c r="Z439" i="13"/>
  <c r="AA439" i="13" s="1"/>
  <c r="AG439" i="13" s="1"/>
  <c r="R439" i="13"/>
  <c r="V439" i="13"/>
  <c r="AB439" i="13" s="1"/>
  <c r="AI442" i="13"/>
  <c r="AA442" i="13"/>
  <c r="AG442" i="13" s="1"/>
  <c r="W442" i="13"/>
  <c r="AD442" i="13" s="1"/>
  <c r="S442" i="13"/>
  <c r="O442" i="13"/>
  <c r="K442" i="13"/>
  <c r="AK442" i="13"/>
  <c r="AC442" i="13"/>
  <c r="AE442" i="13" s="1"/>
  <c r="U442" i="13"/>
  <c r="AF442" i="13" s="1"/>
  <c r="Q442" i="13"/>
  <c r="M442" i="13"/>
  <c r="AL442" i="13"/>
  <c r="V442" i="13"/>
  <c r="AB442" i="13" s="1"/>
  <c r="N442" i="13"/>
  <c r="X442" i="13"/>
  <c r="Y442" i="13" s="1"/>
  <c r="AH442" i="13"/>
  <c r="P443" i="13"/>
  <c r="AL443" i="13"/>
  <c r="R446" i="13"/>
  <c r="AB446" i="13"/>
  <c r="AI447" i="13"/>
  <c r="W447" i="13"/>
  <c r="AD447" i="13" s="1"/>
  <c r="S447" i="13"/>
  <c r="O447" i="13"/>
  <c r="K447" i="13"/>
  <c r="AK447" i="13"/>
  <c r="AC447" i="13"/>
  <c r="AE447" i="13" s="1"/>
  <c r="Y447" i="13"/>
  <c r="U447" i="13"/>
  <c r="AF447" i="13" s="1"/>
  <c r="Q447" i="13"/>
  <c r="M447" i="13"/>
  <c r="AH447" i="13"/>
  <c r="Z447" i="13"/>
  <c r="AA447" i="13" s="1"/>
  <c r="AG447" i="13" s="1"/>
  <c r="R447" i="13"/>
  <c r="V447" i="13"/>
  <c r="AB447" i="13" s="1"/>
  <c r="AI450" i="13"/>
  <c r="AA450" i="13"/>
  <c r="AG450" i="13" s="1"/>
  <c r="W450" i="13"/>
  <c r="AD450" i="13" s="1"/>
  <c r="S450" i="13"/>
  <c r="O450" i="13"/>
  <c r="K450" i="13"/>
  <c r="AK450" i="13"/>
  <c r="AC450" i="13"/>
  <c r="AE450" i="13" s="1"/>
  <c r="U450" i="13"/>
  <c r="AF450" i="13" s="1"/>
  <c r="Q450" i="13"/>
  <c r="M450" i="13"/>
  <c r="AL450" i="13"/>
  <c r="V450" i="13"/>
  <c r="AB450" i="13" s="1"/>
  <c r="N450" i="13"/>
  <c r="X450" i="13"/>
  <c r="Y450" i="13" s="1"/>
  <c r="AH450" i="13"/>
  <c r="P451" i="13"/>
  <c r="AL451" i="13"/>
  <c r="R454" i="13"/>
  <c r="AI455" i="13"/>
  <c r="W455" i="13"/>
  <c r="AD455" i="13" s="1"/>
  <c r="S455" i="13"/>
  <c r="O455" i="13"/>
  <c r="K455" i="13"/>
  <c r="AK455" i="13"/>
  <c r="AC455" i="13"/>
  <c r="AE455" i="13" s="1"/>
  <c r="Y455" i="13"/>
  <c r="U455" i="13"/>
  <c r="AF455" i="13" s="1"/>
  <c r="Q455" i="13"/>
  <c r="M455" i="13"/>
  <c r="AH455" i="13"/>
  <c r="Z455" i="13"/>
  <c r="AA455" i="13" s="1"/>
  <c r="AG455" i="13" s="1"/>
  <c r="R455" i="13"/>
  <c r="V455" i="13"/>
  <c r="AB455" i="13" s="1"/>
  <c r="AI458" i="13"/>
  <c r="AA458" i="13"/>
  <c r="AG458" i="13" s="1"/>
  <c r="W458" i="13"/>
  <c r="AD458" i="13" s="1"/>
  <c r="S458" i="13"/>
  <c r="O458" i="13"/>
  <c r="K458" i="13"/>
  <c r="AK458" i="13"/>
  <c r="AC458" i="13"/>
  <c r="AE458" i="13" s="1"/>
  <c r="U458" i="13"/>
  <c r="AF458" i="13" s="1"/>
  <c r="Q458" i="13"/>
  <c r="M458" i="13"/>
  <c r="AL458" i="13"/>
  <c r="V458" i="13"/>
  <c r="AB458" i="13" s="1"/>
  <c r="N458" i="13"/>
  <c r="X458" i="13"/>
  <c r="Y458" i="13" s="1"/>
  <c r="AH458" i="13"/>
  <c r="P459" i="13"/>
  <c r="AL459" i="13"/>
  <c r="R462" i="13"/>
  <c r="AB462" i="13"/>
  <c r="AI463" i="13"/>
  <c r="W463" i="13"/>
  <c r="AD463" i="13" s="1"/>
  <c r="S463" i="13"/>
  <c r="O463" i="13"/>
  <c r="K463" i="13"/>
  <c r="AK463" i="13"/>
  <c r="AC463" i="13"/>
  <c r="AE463" i="13" s="1"/>
  <c r="Y463" i="13"/>
  <c r="U463" i="13"/>
  <c r="AF463" i="13" s="1"/>
  <c r="Q463" i="13"/>
  <c r="M463" i="13"/>
  <c r="AH463" i="13"/>
  <c r="Z463" i="13"/>
  <c r="AA463" i="13" s="1"/>
  <c r="AG463" i="13" s="1"/>
  <c r="R463" i="13"/>
  <c r="V463" i="13"/>
  <c r="AB463" i="13" s="1"/>
  <c r="AI466" i="13"/>
  <c r="AA466" i="13"/>
  <c r="AG466" i="13" s="1"/>
  <c r="W466" i="13"/>
  <c r="AD466" i="13" s="1"/>
  <c r="S466" i="13"/>
  <c r="O466" i="13"/>
  <c r="K466" i="13"/>
  <c r="AK466" i="13"/>
  <c r="AC466" i="13"/>
  <c r="AE466" i="13" s="1"/>
  <c r="U466" i="13"/>
  <c r="AF466" i="13" s="1"/>
  <c r="Q466" i="13"/>
  <c r="M466" i="13"/>
  <c r="AL466" i="13"/>
  <c r="V466" i="13"/>
  <c r="AB466" i="13" s="1"/>
  <c r="N466" i="13"/>
  <c r="X466" i="13"/>
  <c r="Y466" i="13" s="1"/>
  <c r="AH466" i="13"/>
  <c r="P467" i="13"/>
  <c r="AL467" i="13"/>
  <c r="R470" i="13"/>
  <c r="AI471" i="13"/>
  <c r="W471" i="13"/>
  <c r="AD471" i="13" s="1"/>
  <c r="S471" i="13"/>
  <c r="O471" i="13"/>
  <c r="K471" i="13"/>
  <c r="AK471" i="13"/>
  <c r="AC471" i="13"/>
  <c r="AE471" i="13" s="1"/>
  <c r="Y471" i="13"/>
  <c r="U471" i="13"/>
  <c r="AF471" i="13" s="1"/>
  <c r="Q471" i="13"/>
  <c r="M471" i="13"/>
  <c r="AH471" i="13"/>
  <c r="Z471" i="13"/>
  <c r="AA471" i="13" s="1"/>
  <c r="AG471" i="13" s="1"/>
  <c r="R471" i="13"/>
  <c r="V471" i="13"/>
  <c r="AB471" i="13" s="1"/>
  <c r="AI474" i="13"/>
  <c r="AA474" i="13"/>
  <c r="AG474" i="13" s="1"/>
  <c r="W474" i="13"/>
  <c r="AD474" i="13" s="1"/>
  <c r="S474" i="13"/>
  <c r="O474" i="13"/>
  <c r="K474" i="13"/>
  <c r="AK474" i="13"/>
  <c r="AC474" i="13"/>
  <c r="AE474" i="13" s="1"/>
  <c r="U474" i="13"/>
  <c r="AF474" i="13" s="1"/>
  <c r="Q474" i="13"/>
  <c r="M474" i="13"/>
  <c r="AL474" i="13"/>
  <c r="V474" i="13"/>
  <c r="AB474" i="13" s="1"/>
  <c r="N474" i="13"/>
  <c r="X474" i="13"/>
  <c r="Y474" i="13" s="1"/>
  <c r="AH474" i="13"/>
  <c r="P475" i="13"/>
  <c r="AB475" i="13"/>
  <c r="AL475" i="13"/>
  <c r="R478" i="13"/>
  <c r="AB478" i="13"/>
  <c r="AI479" i="13"/>
  <c r="W479" i="13"/>
  <c r="AD479" i="13" s="1"/>
  <c r="S479" i="13"/>
  <c r="O479" i="13"/>
  <c r="K479" i="13"/>
  <c r="AK479" i="13"/>
  <c r="AC479" i="13"/>
  <c r="AE479" i="13" s="1"/>
  <c r="Y479" i="13"/>
  <c r="U479" i="13"/>
  <c r="AF479" i="13" s="1"/>
  <c r="Q479" i="13"/>
  <c r="M479" i="13"/>
  <c r="AH479" i="13"/>
  <c r="Z479" i="13"/>
  <c r="AA479" i="13" s="1"/>
  <c r="AG479" i="13" s="1"/>
  <c r="R479" i="13"/>
  <c r="V479" i="13"/>
  <c r="AB479" i="13" s="1"/>
  <c r="AI482" i="13"/>
  <c r="AA482" i="13"/>
  <c r="AG482" i="13" s="1"/>
  <c r="W482" i="13"/>
  <c r="AD482" i="13" s="1"/>
  <c r="S482" i="13"/>
  <c r="O482" i="13"/>
  <c r="K482" i="13"/>
  <c r="AK482" i="13"/>
  <c r="AC482" i="13"/>
  <c r="AE482" i="13" s="1"/>
  <c r="U482" i="13"/>
  <c r="AF482" i="13" s="1"/>
  <c r="Q482" i="13"/>
  <c r="M482" i="13"/>
  <c r="AL482" i="13"/>
  <c r="V482" i="13"/>
  <c r="AB482" i="13" s="1"/>
  <c r="N482" i="13"/>
  <c r="X482" i="13"/>
  <c r="Y482" i="13" s="1"/>
  <c r="AH482" i="13"/>
  <c r="P483" i="13"/>
  <c r="AL483" i="13"/>
  <c r="R486" i="13"/>
  <c r="AI487" i="13"/>
  <c r="W487" i="13"/>
  <c r="AD487" i="13" s="1"/>
  <c r="S487" i="13"/>
  <c r="O487" i="13"/>
  <c r="K487" i="13"/>
  <c r="AK487" i="13"/>
  <c r="AC487" i="13"/>
  <c r="AE487" i="13" s="1"/>
  <c r="Y487" i="13"/>
  <c r="U487" i="13"/>
  <c r="AF487" i="13" s="1"/>
  <c r="Q487" i="13"/>
  <c r="M487" i="13"/>
  <c r="AH487" i="13"/>
  <c r="Z487" i="13"/>
  <c r="AA487" i="13" s="1"/>
  <c r="AG487" i="13" s="1"/>
  <c r="R487" i="13"/>
  <c r="V487" i="13"/>
  <c r="AB487" i="13" s="1"/>
  <c r="AI490" i="13"/>
  <c r="AA490" i="13"/>
  <c r="AG490" i="13" s="1"/>
  <c r="W490" i="13"/>
  <c r="AD490" i="13" s="1"/>
  <c r="S490" i="13"/>
  <c r="O490" i="13"/>
  <c r="K490" i="13"/>
  <c r="AK490" i="13"/>
  <c r="AC490" i="13"/>
  <c r="AE490" i="13" s="1"/>
  <c r="U490" i="13"/>
  <c r="AF490" i="13" s="1"/>
  <c r="Q490" i="13"/>
  <c r="M490" i="13"/>
  <c r="AL490" i="13"/>
  <c r="V490" i="13"/>
  <c r="AB490" i="13" s="1"/>
  <c r="N490" i="13"/>
  <c r="X490" i="13"/>
  <c r="Y490" i="13" s="1"/>
  <c r="AH490" i="13"/>
  <c r="P491" i="13"/>
  <c r="AL491" i="13"/>
  <c r="R494" i="13"/>
  <c r="AI495" i="13"/>
  <c r="W495" i="13"/>
  <c r="AD495" i="13" s="1"/>
  <c r="S495" i="13"/>
  <c r="O495" i="13"/>
  <c r="K495" i="13"/>
  <c r="AK495" i="13"/>
  <c r="AC495" i="13"/>
  <c r="AE495" i="13" s="1"/>
  <c r="Y495" i="13"/>
  <c r="U495" i="13"/>
  <c r="AF495" i="13" s="1"/>
  <c r="Q495" i="13"/>
  <c r="M495" i="13"/>
  <c r="AH495" i="13"/>
  <c r="Z495" i="13"/>
  <c r="AA495" i="13" s="1"/>
  <c r="AG495" i="13" s="1"/>
  <c r="R495" i="13"/>
  <c r="V495" i="13"/>
  <c r="AB495" i="13" s="1"/>
  <c r="AI498" i="13"/>
  <c r="AA498" i="13"/>
  <c r="AG498" i="13" s="1"/>
  <c r="W498" i="13"/>
  <c r="AD498" i="13" s="1"/>
  <c r="S498" i="13"/>
  <c r="O498" i="13"/>
  <c r="K498" i="13"/>
  <c r="AK498" i="13"/>
  <c r="AC498" i="13"/>
  <c r="AE498" i="13" s="1"/>
  <c r="U498" i="13"/>
  <c r="AF498" i="13" s="1"/>
  <c r="Q498" i="13"/>
  <c r="M498" i="13"/>
  <c r="AL498" i="13"/>
  <c r="V498" i="13"/>
  <c r="AB498" i="13" s="1"/>
  <c r="N498" i="13"/>
  <c r="X498" i="13"/>
  <c r="Y498" i="13" s="1"/>
  <c r="AH498" i="13"/>
  <c r="P499" i="13"/>
  <c r="AL499" i="13"/>
  <c r="V211" i="15"/>
  <c r="V209" i="15"/>
  <c r="V207" i="15"/>
  <c r="V3" i="15"/>
  <c r="AC2" i="14"/>
  <c r="AE2" i="14" s="1"/>
  <c r="M2" i="14"/>
  <c r="N2" i="14" s="1"/>
  <c r="Q2" i="14" s="1"/>
  <c r="V7" i="15"/>
  <c r="X7" i="15" s="1"/>
  <c r="AI2" i="14"/>
  <c r="O2" i="14"/>
  <c r="U2" i="14" s="1"/>
  <c r="P2" i="14"/>
  <c r="V2" i="14"/>
  <c r="W2" i="14" s="1"/>
  <c r="O248" i="14"/>
  <c r="U103" i="14"/>
  <c r="U99" i="14"/>
  <c r="U95" i="14"/>
  <c r="U91" i="14"/>
  <c r="U87" i="14"/>
  <c r="U15" i="14"/>
  <c r="O29" i="14"/>
  <c r="O33" i="14"/>
  <c r="O37" i="14"/>
  <c r="U47" i="14"/>
  <c r="U51" i="14"/>
  <c r="O77" i="14"/>
  <c r="O89" i="14"/>
  <c r="O93" i="14"/>
  <c r="O97" i="14"/>
  <c r="O101" i="14"/>
  <c r="O105" i="14"/>
  <c r="O109" i="14"/>
  <c r="O113" i="14"/>
  <c r="O117" i="14"/>
  <c r="O121" i="14"/>
  <c r="O125" i="14"/>
  <c r="O129" i="14"/>
  <c r="O133" i="14"/>
  <c r="O137" i="14"/>
  <c r="O141" i="14"/>
  <c r="O145" i="14"/>
  <c r="O149" i="14"/>
  <c r="O153" i="14"/>
  <c r="O157" i="14"/>
  <c r="O161" i="14"/>
  <c r="O165" i="14"/>
  <c r="O169" i="14"/>
  <c r="O173" i="14"/>
  <c r="O177" i="14"/>
  <c r="O181" i="14"/>
  <c r="O185" i="14"/>
  <c r="O189" i="14"/>
  <c r="O193" i="14"/>
  <c r="O197" i="14"/>
  <c r="O201" i="14"/>
  <c r="O205" i="14"/>
  <c r="O209" i="14"/>
  <c r="O213" i="14"/>
  <c r="O217" i="14"/>
  <c r="O221" i="14"/>
  <c r="O225" i="14"/>
  <c r="O229" i="14"/>
  <c r="O233" i="14"/>
  <c r="O237" i="14"/>
  <c r="O241" i="14"/>
  <c r="O81" i="14"/>
  <c r="O88" i="14"/>
  <c r="O92" i="14"/>
  <c r="O96" i="14"/>
  <c r="O100" i="14"/>
  <c r="O104" i="14"/>
  <c r="O108" i="14"/>
  <c r="O112" i="14"/>
  <c r="O116" i="14"/>
  <c r="O120" i="14"/>
  <c r="O124" i="14"/>
  <c r="O128" i="14"/>
  <c r="O132" i="14"/>
  <c r="O136" i="14"/>
  <c r="O140" i="14"/>
  <c r="O144" i="14"/>
  <c r="O148" i="14"/>
  <c r="O152" i="14"/>
  <c r="O156" i="14"/>
  <c r="O160" i="14"/>
  <c r="O164" i="14"/>
  <c r="O168" i="14"/>
  <c r="O172" i="14"/>
  <c r="O176" i="14"/>
  <c r="O180" i="14"/>
  <c r="O184" i="14"/>
  <c r="O188" i="14"/>
  <c r="O192" i="14"/>
  <c r="O196" i="14"/>
  <c r="O200" i="14"/>
  <c r="O204" i="14"/>
  <c r="O208" i="14"/>
  <c r="O212" i="14"/>
  <c r="O216" i="14"/>
  <c r="O220" i="14"/>
  <c r="O224" i="14"/>
  <c r="O228" i="14"/>
  <c r="O232" i="14"/>
  <c r="O236" i="14"/>
  <c r="O240" i="14"/>
  <c r="O244" i="14"/>
  <c r="O245" i="14"/>
  <c r="O246" i="14"/>
  <c r="M247" i="14"/>
  <c r="O247" i="14" s="1"/>
  <c r="O249" i="14"/>
  <c r="P14" i="13"/>
  <c r="X14" i="13"/>
  <c r="AB14" i="13"/>
  <c r="P15" i="13"/>
  <c r="X15" i="13"/>
  <c r="Y15" i="13" s="1"/>
  <c r="AB15" i="13"/>
  <c r="P16" i="13"/>
  <c r="X16" i="13"/>
  <c r="AB16" i="13"/>
  <c r="P17" i="13"/>
  <c r="X17" i="13"/>
  <c r="Y17" i="13" s="1"/>
  <c r="AB17" i="13"/>
  <c r="P18" i="13"/>
  <c r="X18" i="13"/>
  <c r="AB18" i="13"/>
  <c r="P19" i="13"/>
  <c r="X19" i="13"/>
  <c r="Y19" i="13" s="1"/>
  <c r="AB19" i="13"/>
  <c r="P20" i="13"/>
  <c r="X20" i="13"/>
  <c r="AB20" i="13"/>
  <c r="P21" i="13"/>
  <c r="X21" i="13"/>
  <c r="Y21" i="13" s="1"/>
  <c r="AB21" i="13"/>
  <c r="P22" i="13"/>
  <c r="X22" i="13"/>
  <c r="AB22" i="13"/>
  <c r="P23" i="13"/>
  <c r="X23" i="13"/>
  <c r="Y23" i="13" s="1"/>
  <c r="AB23" i="13"/>
  <c r="P24" i="13"/>
  <c r="AB24" i="13"/>
  <c r="P25" i="13"/>
  <c r="X25" i="13"/>
  <c r="AB25" i="13"/>
  <c r="P26" i="13"/>
  <c r="X26" i="13"/>
  <c r="Y26" i="13" s="1"/>
  <c r="AB26" i="13"/>
  <c r="P27" i="13"/>
  <c r="X27" i="13"/>
  <c r="AB27" i="13"/>
  <c r="P28" i="13"/>
  <c r="X28" i="13"/>
  <c r="Y28" i="13" s="1"/>
  <c r="AB28" i="13"/>
  <c r="P29" i="13"/>
  <c r="X29" i="13"/>
  <c r="AB29" i="13"/>
  <c r="P30" i="13"/>
  <c r="X30" i="13"/>
  <c r="Y30" i="13" s="1"/>
  <c r="AB30" i="13"/>
  <c r="P31" i="13"/>
  <c r="X31" i="13"/>
  <c r="AB31" i="13"/>
  <c r="P32" i="13"/>
  <c r="X32" i="13"/>
  <c r="Y32" i="13" s="1"/>
  <c r="AB32" i="13"/>
  <c r="P33" i="13"/>
  <c r="X33" i="13"/>
  <c r="Y33" i="13" s="1"/>
  <c r="AB33" i="13"/>
  <c r="P34" i="13"/>
  <c r="X34" i="13"/>
  <c r="Y34" i="13" s="1"/>
  <c r="AB34" i="13"/>
  <c r="P35" i="13"/>
  <c r="X35" i="13"/>
  <c r="AB35" i="13"/>
  <c r="P36" i="13"/>
  <c r="X36" i="13"/>
  <c r="Y36" i="13" s="1"/>
  <c r="AB36" i="13"/>
  <c r="P37" i="13"/>
  <c r="X37" i="13"/>
  <c r="Y37" i="13" s="1"/>
  <c r="AB37" i="13"/>
  <c r="P38" i="13"/>
  <c r="X38" i="13"/>
  <c r="Y38" i="13" s="1"/>
  <c r="AB38" i="13"/>
  <c r="P39" i="13"/>
  <c r="X39" i="13"/>
  <c r="AB39" i="13"/>
  <c r="P40" i="13"/>
  <c r="X40" i="13"/>
  <c r="Y40" i="13" s="1"/>
  <c r="AB40" i="13"/>
  <c r="P41" i="13"/>
  <c r="X41" i="13"/>
  <c r="Y41" i="13" s="1"/>
  <c r="AB41" i="13"/>
  <c r="P42" i="13"/>
  <c r="X42" i="13"/>
  <c r="Y42" i="13" s="1"/>
  <c r="AB42" i="13"/>
  <c r="P43" i="13"/>
  <c r="X43" i="13"/>
  <c r="AB43" i="13"/>
  <c r="P44" i="13"/>
  <c r="X44" i="13"/>
  <c r="Y44" i="13" s="1"/>
  <c r="AB44" i="13"/>
  <c r="P45" i="13"/>
  <c r="X45" i="13"/>
  <c r="Y45" i="13" s="1"/>
  <c r="AB45" i="13"/>
  <c r="P46" i="13"/>
  <c r="X46" i="13"/>
  <c r="Y46" i="13" s="1"/>
  <c r="AB46" i="13"/>
  <c r="P47" i="13"/>
  <c r="X47" i="13"/>
  <c r="AB47" i="13"/>
  <c r="P48" i="13"/>
  <c r="X48" i="13"/>
  <c r="Y48" i="13" s="1"/>
  <c r="AB48" i="13"/>
  <c r="P49" i="13"/>
  <c r="X49" i="13"/>
  <c r="Y49" i="13" s="1"/>
  <c r="AB49" i="13"/>
  <c r="P50" i="13"/>
  <c r="X50" i="13"/>
  <c r="Y50" i="13" s="1"/>
  <c r="AB50" i="13"/>
  <c r="P51" i="13"/>
  <c r="X51" i="13"/>
  <c r="AB51" i="13"/>
  <c r="P52" i="13"/>
  <c r="X52" i="13"/>
  <c r="Y52" i="13" s="1"/>
  <c r="AB52" i="13"/>
  <c r="P53" i="13"/>
  <c r="X53" i="13"/>
  <c r="Y53" i="13" s="1"/>
  <c r="AB53" i="13"/>
  <c r="P54" i="13"/>
  <c r="X54" i="13"/>
  <c r="Y54" i="13" s="1"/>
  <c r="AB54" i="13"/>
  <c r="P55" i="13"/>
  <c r="X55" i="13"/>
  <c r="AB55" i="13"/>
  <c r="P56" i="13"/>
  <c r="X56" i="13"/>
  <c r="Y56" i="13" s="1"/>
  <c r="AB56" i="13"/>
  <c r="P57" i="13"/>
  <c r="X57" i="13"/>
  <c r="Y57" i="13" s="1"/>
  <c r="AB57" i="13"/>
  <c r="P58" i="13"/>
  <c r="X58" i="13"/>
  <c r="Y58" i="13" s="1"/>
  <c r="AB58" i="13"/>
  <c r="P59" i="13"/>
  <c r="X59" i="13"/>
  <c r="AB59" i="13"/>
  <c r="P60" i="13"/>
  <c r="X60" i="13"/>
  <c r="Y60" i="13" s="1"/>
  <c r="AB60" i="13"/>
  <c r="P61" i="13"/>
  <c r="X61" i="13"/>
  <c r="Y61" i="13" s="1"/>
  <c r="AB61" i="13"/>
  <c r="P62" i="13"/>
  <c r="X62" i="13"/>
  <c r="Y62" i="13" s="1"/>
  <c r="AB62" i="13"/>
  <c r="P63" i="13"/>
  <c r="X63" i="13"/>
  <c r="AB63" i="13"/>
  <c r="P64" i="13"/>
  <c r="X64" i="13"/>
  <c r="Y64" i="13" s="1"/>
  <c r="AB64" i="13"/>
  <c r="P65" i="13"/>
  <c r="X65" i="13"/>
  <c r="Y65" i="13" s="1"/>
  <c r="AB65" i="13"/>
  <c r="P66" i="13"/>
  <c r="X66" i="13"/>
  <c r="Y66" i="13" s="1"/>
  <c r="AB66" i="13"/>
  <c r="P67" i="13"/>
  <c r="X67" i="13"/>
  <c r="AB67" i="13"/>
  <c r="P68" i="13"/>
  <c r="X68" i="13"/>
  <c r="Y68" i="13" s="1"/>
  <c r="AB68" i="13"/>
  <c r="P69" i="13"/>
  <c r="X69" i="13"/>
  <c r="Y69" i="13" s="1"/>
  <c r="AB69" i="13"/>
  <c r="P70" i="13"/>
  <c r="X70" i="13"/>
  <c r="Y70" i="13" s="1"/>
  <c r="AB70" i="13"/>
  <c r="P71" i="13"/>
  <c r="X71" i="13"/>
  <c r="AB71" i="13"/>
  <c r="P72" i="13"/>
  <c r="X72" i="13"/>
  <c r="Y72" i="13" s="1"/>
  <c r="AB72" i="13"/>
  <c r="P73" i="13"/>
  <c r="X73" i="13"/>
  <c r="Y73" i="13" s="1"/>
  <c r="AB73" i="13"/>
  <c r="P74" i="13"/>
  <c r="X74" i="13"/>
  <c r="Y74" i="13" s="1"/>
  <c r="AB74" i="13"/>
  <c r="P75" i="13"/>
  <c r="X75" i="13"/>
  <c r="AB75" i="13"/>
  <c r="P76" i="13"/>
  <c r="X76" i="13"/>
  <c r="Y76" i="13" s="1"/>
  <c r="AB76" i="13"/>
  <c r="P77" i="13"/>
  <c r="X77" i="13"/>
  <c r="Y77" i="13" s="1"/>
  <c r="AB77" i="13"/>
  <c r="P78" i="13"/>
  <c r="X78" i="13"/>
  <c r="Y78" i="13" s="1"/>
  <c r="AB78" i="13"/>
  <c r="P79" i="13"/>
  <c r="X79" i="13"/>
  <c r="AB79" i="13"/>
  <c r="P80" i="13"/>
  <c r="X80" i="13"/>
  <c r="Y80" i="13" s="1"/>
  <c r="AB80" i="13"/>
  <c r="P81" i="13"/>
  <c r="X81" i="13"/>
  <c r="Y81" i="13" s="1"/>
  <c r="AB81" i="13"/>
  <c r="P82" i="13"/>
  <c r="X82" i="13"/>
  <c r="Y82" i="13" s="1"/>
  <c r="AB82" i="13"/>
  <c r="P83" i="13"/>
  <c r="X83" i="13"/>
  <c r="AB83" i="13"/>
  <c r="P84" i="13"/>
  <c r="X84" i="13"/>
  <c r="Y84" i="13" s="1"/>
  <c r="AB84" i="13"/>
  <c r="P85" i="13"/>
  <c r="X85" i="13"/>
  <c r="Y85" i="13" s="1"/>
  <c r="AB85" i="13"/>
  <c r="P86" i="13"/>
  <c r="X86" i="13"/>
  <c r="Y86" i="13" s="1"/>
  <c r="AB86" i="13"/>
  <c r="P87" i="13"/>
  <c r="X87" i="13"/>
  <c r="AB87" i="13"/>
  <c r="P88" i="13"/>
  <c r="X88" i="13"/>
  <c r="Y88" i="13" s="1"/>
  <c r="AB88" i="13"/>
  <c r="P89" i="13"/>
  <c r="X89" i="13"/>
  <c r="Y89" i="13" s="1"/>
  <c r="AB89" i="13"/>
  <c r="P90" i="13"/>
  <c r="X90" i="13"/>
  <c r="Y90" i="13" s="1"/>
  <c r="AB90" i="13"/>
  <c r="P91" i="13"/>
  <c r="X91" i="13"/>
  <c r="AB91" i="13"/>
  <c r="P92" i="13"/>
  <c r="X92" i="13"/>
  <c r="Y92" i="13" s="1"/>
  <c r="AB92" i="13"/>
  <c r="P93" i="13"/>
  <c r="X93" i="13"/>
  <c r="Y93" i="13" s="1"/>
  <c r="AB93" i="13"/>
  <c r="P94" i="13"/>
  <c r="X94" i="13"/>
  <c r="Y94" i="13" s="1"/>
  <c r="AB94" i="13"/>
  <c r="P95" i="13"/>
  <c r="X95" i="13"/>
  <c r="AB95" i="13"/>
  <c r="P96" i="13"/>
  <c r="X96" i="13"/>
  <c r="Y96" i="13" s="1"/>
  <c r="AB96" i="13"/>
  <c r="P97" i="13"/>
  <c r="X97" i="13"/>
  <c r="Y97" i="13" s="1"/>
  <c r="AB97" i="13"/>
  <c r="P98" i="13"/>
  <c r="X98" i="13"/>
  <c r="Y98" i="13" s="1"/>
  <c r="AB98" i="13"/>
  <c r="P99" i="13"/>
  <c r="X99" i="13"/>
  <c r="AB99" i="13"/>
  <c r="P100" i="13"/>
  <c r="X100" i="13"/>
  <c r="Y100" i="13" s="1"/>
  <c r="AB100" i="13"/>
  <c r="P101" i="13"/>
  <c r="X101" i="13"/>
  <c r="Y101" i="13" s="1"/>
  <c r="AB101" i="13"/>
  <c r="P102" i="13"/>
  <c r="X102" i="13"/>
  <c r="Y102" i="13" s="1"/>
  <c r="AB102" i="13"/>
  <c r="P103" i="13"/>
  <c r="X103" i="13"/>
  <c r="AB103" i="13"/>
  <c r="P104" i="13"/>
  <c r="X104" i="13"/>
  <c r="Y104" i="13" s="1"/>
  <c r="AB104" i="13"/>
  <c r="P105" i="13"/>
  <c r="X105" i="13"/>
  <c r="Y105" i="13" s="1"/>
  <c r="AB105" i="13"/>
  <c r="P106" i="13"/>
  <c r="X106" i="13"/>
  <c r="Y106" i="13" s="1"/>
  <c r="AB106" i="13"/>
  <c r="P107" i="13"/>
  <c r="X107" i="13"/>
  <c r="AB107" i="13"/>
  <c r="P108" i="13"/>
  <c r="X108" i="13"/>
  <c r="Y108" i="13" s="1"/>
  <c r="AB108" i="13"/>
  <c r="P109" i="13"/>
  <c r="X109" i="13"/>
  <c r="Y109" i="13" s="1"/>
  <c r="AB109" i="13"/>
  <c r="P110" i="13"/>
  <c r="X110" i="13"/>
  <c r="Y110" i="13" s="1"/>
  <c r="AB110" i="13"/>
  <c r="P111" i="13"/>
  <c r="X111" i="13"/>
  <c r="AB111" i="13"/>
  <c r="P112" i="13"/>
  <c r="X112" i="13"/>
  <c r="Y112" i="13" s="1"/>
  <c r="AB112" i="13"/>
  <c r="P113" i="13"/>
  <c r="X113" i="13"/>
  <c r="Y113" i="13" s="1"/>
  <c r="AB113" i="13"/>
  <c r="P114" i="13"/>
  <c r="X114" i="13"/>
  <c r="Y114" i="13" s="1"/>
  <c r="AB114" i="13"/>
  <c r="P115" i="13"/>
  <c r="X115" i="13"/>
  <c r="AB115" i="13"/>
  <c r="P116" i="13"/>
  <c r="X116" i="13"/>
  <c r="Y116" i="13" s="1"/>
  <c r="AB116" i="13"/>
  <c r="P117" i="13"/>
  <c r="X117" i="13"/>
  <c r="Y117" i="13" s="1"/>
  <c r="AB117" i="13"/>
  <c r="P118" i="13"/>
  <c r="X118" i="13"/>
  <c r="Y118" i="13" s="1"/>
  <c r="AB118" i="13"/>
  <c r="P119" i="13"/>
  <c r="X119" i="13"/>
  <c r="AB119" i="13"/>
  <c r="P120" i="13"/>
  <c r="X120" i="13"/>
  <c r="Y120" i="13" s="1"/>
  <c r="AB120" i="13"/>
  <c r="P121" i="13"/>
  <c r="X121" i="13"/>
  <c r="Y121" i="13" s="1"/>
  <c r="AB121" i="13"/>
  <c r="P122" i="13"/>
  <c r="X122" i="13"/>
  <c r="Y122" i="13" s="1"/>
  <c r="AB122" i="13"/>
  <c r="P123" i="13"/>
  <c r="X123" i="13"/>
  <c r="AB123" i="13"/>
  <c r="P124" i="13"/>
  <c r="X124" i="13"/>
  <c r="Y124" i="13" s="1"/>
  <c r="AB124" i="13"/>
  <c r="P125" i="13"/>
  <c r="X125" i="13"/>
  <c r="Y125" i="13" s="1"/>
  <c r="AB125" i="13"/>
  <c r="P126" i="13"/>
  <c r="X126" i="13"/>
  <c r="Y126" i="13" s="1"/>
  <c r="AB126" i="13"/>
  <c r="P127" i="13"/>
  <c r="X127" i="13"/>
  <c r="AB127" i="13"/>
  <c r="P128" i="13"/>
  <c r="X128" i="13"/>
  <c r="Y128" i="13" s="1"/>
  <c r="AB128" i="13"/>
  <c r="W129" i="13"/>
  <c r="AD129" i="13" s="1"/>
  <c r="P129" i="13"/>
  <c r="AI132" i="13"/>
  <c r="O132" i="13"/>
  <c r="R132" i="13" s="1"/>
  <c r="Q132" i="13"/>
  <c r="AK132" i="13" s="1"/>
  <c r="V132" i="13"/>
  <c r="W132" i="13" s="1"/>
  <c r="AD132" i="13" s="1"/>
  <c r="AI136" i="13"/>
  <c r="O136" i="13"/>
  <c r="S136" i="13" s="1"/>
  <c r="Q136" i="13"/>
  <c r="AK136" i="13" s="1"/>
  <c r="V136" i="13"/>
  <c r="W136" i="13" s="1"/>
  <c r="AD136" i="13" s="1"/>
  <c r="AI140" i="13"/>
  <c r="O140" i="13"/>
  <c r="R140" i="13" s="1"/>
  <c r="Q140" i="13"/>
  <c r="AK140" i="13" s="1"/>
  <c r="V140" i="13"/>
  <c r="W140" i="13" s="1"/>
  <c r="AD140" i="13" s="1"/>
  <c r="AI144" i="13"/>
  <c r="O144" i="13"/>
  <c r="S144" i="13" s="1"/>
  <c r="Q144" i="13"/>
  <c r="AK144" i="13" s="1"/>
  <c r="V144" i="13"/>
  <c r="W144" i="13" s="1"/>
  <c r="AD144" i="13" s="1"/>
  <c r="AI148" i="13"/>
  <c r="O148" i="13"/>
  <c r="R148" i="13" s="1"/>
  <c r="Q148" i="13"/>
  <c r="AK148" i="13" s="1"/>
  <c r="V148" i="13"/>
  <c r="W148" i="13" s="1"/>
  <c r="AD148" i="13" s="1"/>
  <c r="AI152" i="13"/>
  <c r="O152" i="13"/>
  <c r="S152" i="13" s="1"/>
  <c r="Q152" i="13"/>
  <c r="AK152" i="13" s="1"/>
  <c r="V152" i="13"/>
  <c r="W152" i="13" s="1"/>
  <c r="AD152" i="13" s="1"/>
  <c r="AI156" i="13"/>
  <c r="O156" i="13"/>
  <c r="R156" i="13" s="1"/>
  <c r="Q156" i="13"/>
  <c r="AK156" i="13" s="1"/>
  <c r="V156" i="13"/>
  <c r="AB156" i="13" s="1"/>
  <c r="AI160" i="13"/>
  <c r="O160" i="13"/>
  <c r="S160" i="13" s="1"/>
  <c r="Q160" i="13"/>
  <c r="AK160" i="13" s="1"/>
  <c r="V160" i="13"/>
  <c r="W160" i="13" s="1"/>
  <c r="AD160" i="13" s="1"/>
  <c r="AI164" i="13"/>
  <c r="O164" i="13"/>
  <c r="R164" i="13" s="1"/>
  <c r="Q164" i="13"/>
  <c r="AK164" i="13" s="1"/>
  <c r="V164" i="13"/>
  <c r="AB164" i="13" s="1"/>
  <c r="AI168" i="13"/>
  <c r="O168" i="13"/>
  <c r="U168" i="13" s="1"/>
  <c r="Q168" i="13"/>
  <c r="AK168" i="13" s="1"/>
  <c r="V168" i="13"/>
  <c r="W168" i="13" s="1"/>
  <c r="AD168" i="13" s="1"/>
  <c r="AI172" i="13"/>
  <c r="S172" i="13"/>
  <c r="O172" i="13"/>
  <c r="R172" i="13" s="1"/>
  <c r="Q172" i="13"/>
  <c r="AK172" i="13" s="1"/>
  <c r="V172" i="13"/>
  <c r="AB172" i="13" s="1"/>
  <c r="AI176" i="13"/>
  <c r="O176" i="13"/>
  <c r="R176" i="13" s="1"/>
  <c r="Q176" i="13"/>
  <c r="AK176" i="13" s="1"/>
  <c r="V176" i="13"/>
  <c r="W176" i="13" s="1"/>
  <c r="AD176" i="13" s="1"/>
  <c r="AI180" i="13"/>
  <c r="O180" i="13"/>
  <c r="U180" i="13" s="1"/>
  <c r="Q180" i="13"/>
  <c r="AK180" i="13" s="1"/>
  <c r="V180" i="13"/>
  <c r="AB180" i="13" s="1"/>
  <c r="AI184" i="13"/>
  <c r="W184" i="13"/>
  <c r="AD184" i="13" s="1"/>
  <c r="O184" i="13"/>
  <c r="R184" i="13" s="1"/>
  <c r="Q184" i="13"/>
  <c r="AK184" i="13" s="1"/>
  <c r="V184" i="13"/>
  <c r="AB184" i="13"/>
  <c r="AI188" i="13"/>
  <c r="O188" i="13"/>
  <c r="R188" i="13" s="1"/>
  <c r="Q188" i="13"/>
  <c r="AK188" i="13" s="1"/>
  <c r="V188" i="13"/>
  <c r="AB188" i="13" s="1"/>
  <c r="AI192" i="13"/>
  <c r="O192" i="13"/>
  <c r="R192" i="13" s="1"/>
  <c r="Q192" i="13"/>
  <c r="AK192" i="13" s="1"/>
  <c r="V192" i="13"/>
  <c r="W192" i="13" s="1"/>
  <c r="AI196" i="13"/>
  <c r="O196" i="13"/>
  <c r="U196" i="13" s="1"/>
  <c r="Q196" i="13"/>
  <c r="AK196" i="13" s="1"/>
  <c r="V196" i="13"/>
  <c r="AB196" i="13" s="1"/>
  <c r="AI200" i="13"/>
  <c r="O200" i="13"/>
  <c r="R200" i="13" s="1"/>
  <c r="Q200" i="13"/>
  <c r="AK200" i="13" s="1"/>
  <c r="V200" i="13"/>
  <c r="W200" i="13" s="1"/>
  <c r="AD200" i="13" s="1"/>
  <c r="M262" i="14"/>
  <c r="O262" i="14" s="1"/>
  <c r="M261" i="14"/>
  <c r="O261" i="14" s="1"/>
  <c r="M258" i="14"/>
  <c r="O258" i="14" s="1"/>
  <c r="M257" i="14"/>
  <c r="O257" i="14" s="1"/>
  <c r="M252" i="14"/>
  <c r="O252" i="14" s="1"/>
  <c r="M251" i="14"/>
  <c r="O251" i="14" s="1"/>
  <c r="M250" i="14"/>
  <c r="O250" i="14" s="1"/>
  <c r="M7" i="14"/>
  <c r="M12" i="14"/>
  <c r="O12" i="14" s="1"/>
  <c r="M16" i="14"/>
  <c r="O16" i="14" s="1"/>
  <c r="M28" i="14"/>
  <c r="O28" i="14" s="1"/>
  <c r="M40" i="14"/>
  <c r="O40" i="14" s="1"/>
  <c r="M44" i="14"/>
  <c r="O44" i="14" s="1"/>
  <c r="M56" i="14"/>
  <c r="O56" i="14" s="1"/>
  <c r="M60" i="14"/>
  <c r="O60" i="14" s="1"/>
  <c r="M68" i="14"/>
  <c r="O68" i="14" s="1"/>
  <c r="M72" i="14"/>
  <c r="O72" i="14" s="1"/>
  <c r="M80" i="14"/>
  <c r="O80" i="14" s="1"/>
  <c r="AJ64" i="15"/>
  <c r="AC10" i="15"/>
  <c r="AE10" i="15" s="1"/>
  <c r="M10" i="15"/>
  <c r="O10" i="15" s="1"/>
  <c r="V10" i="15"/>
  <c r="AC14" i="15"/>
  <c r="AE14" i="15" s="1"/>
  <c r="M14" i="15"/>
  <c r="O14" i="15" s="1"/>
  <c r="W14" i="15"/>
  <c r="AD14" i="15" s="1"/>
  <c r="V14" i="15"/>
  <c r="AB14" i="15"/>
  <c r="AC18" i="15"/>
  <c r="AE18" i="15" s="1"/>
  <c r="M18" i="15"/>
  <c r="O18" i="15" s="1"/>
  <c r="V18" i="15"/>
  <c r="W18" i="15" s="1"/>
  <c r="AD18" i="15" s="1"/>
  <c r="N18" i="15"/>
  <c r="AC22" i="15"/>
  <c r="AE22" i="15" s="1"/>
  <c r="M22" i="15"/>
  <c r="O22" i="15" s="1"/>
  <c r="U22" i="15" s="1"/>
  <c r="V22" i="15"/>
  <c r="W22" i="15" s="1"/>
  <c r="AD22" i="15" s="1"/>
  <c r="N22" i="15"/>
  <c r="AB22" i="15"/>
  <c r="AC26" i="15"/>
  <c r="AE26" i="15" s="1"/>
  <c r="M26" i="15"/>
  <c r="O26" i="15" s="1"/>
  <c r="V26" i="15"/>
  <c r="X26" i="15" s="1"/>
  <c r="Y26" i="15" s="1"/>
  <c r="AC30" i="15"/>
  <c r="AE30" i="15" s="1"/>
  <c r="M30" i="15"/>
  <c r="O30" i="15" s="1"/>
  <c r="W30" i="15"/>
  <c r="AD30" i="15" s="1"/>
  <c r="V30" i="15"/>
  <c r="AB30" i="15"/>
  <c r="AC34" i="15"/>
  <c r="AE34" i="15" s="1"/>
  <c r="M34" i="15"/>
  <c r="O34" i="15" s="1"/>
  <c r="V34" i="15"/>
  <c r="W34" i="15" s="1"/>
  <c r="AD34" i="15" s="1"/>
  <c r="N34" i="15"/>
  <c r="AB34" i="15"/>
  <c r="AC38" i="15"/>
  <c r="AE38" i="15" s="1"/>
  <c r="M38" i="15"/>
  <c r="O38" i="15"/>
  <c r="U38" i="15" s="1"/>
  <c r="V38" i="15"/>
  <c r="W38" i="15" s="1"/>
  <c r="AD38" i="15" s="1"/>
  <c r="N38" i="15"/>
  <c r="AB38" i="15"/>
  <c r="AC45" i="15"/>
  <c r="AE45" i="15" s="1"/>
  <c r="M45" i="15"/>
  <c r="O45" i="15" s="1"/>
  <c r="V45" i="15"/>
  <c r="AB45" i="15" s="1"/>
  <c r="N45" i="15"/>
  <c r="AC49" i="15"/>
  <c r="AE49" i="15" s="1"/>
  <c r="M49" i="15"/>
  <c r="O49" i="15" s="1"/>
  <c r="V49" i="15"/>
  <c r="W49" i="15" s="1"/>
  <c r="AD49" i="15" s="1"/>
  <c r="AC53" i="15"/>
  <c r="AE53" i="15" s="1"/>
  <c r="M53" i="15"/>
  <c r="O53" i="15" s="1"/>
  <c r="U53" i="15" s="1"/>
  <c r="V53" i="15"/>
  <c r="W53" i="15" s="1"/>
  <c r="AD53" i="15" s="1"/>
  <c r="N53" i="15"/>
  <c r="AC57" i="15"/>
  <c r="AE57" i="15" s="1"/>
  <c r="M57" i="15"/>
  <c r="O57" i="15" s="1"/>
  <c r="V57" i="15"/>
  <c r="AC61" i="15"/>
  <c r="AE61" i="15" s="1"/>
  <c r="M61" i="15"/>
  <c r="O61" i="15" s="1"/>
  <c r="W61" i="15"/>
  <c r="AD61" i="15" s="1"/>
  <c r="V61" i="15"/>
  <c r="AB61" i="15"/>
  <c r="AC65" i="15"/>
  <c r="AE65" i="15" s="1"/>
  <c r="M65" i="15"/>
  <c r="O65" i="15" s="1"/>
  <c r="V65" i="15"/>
  <c r="W65" i="15" s="1"/>
  <c r="AD65" i="15" s="1"/>
  <c r="N65" i="15"/>
  <c r="AJ65" i="15" s="1"/>
  <c r="AC69" i="15"/>
  <c r="AE69" i="15" s="1"/>
  <c r="M69" i="15"/>
  <c r="O69" i="15" s="1"/>
  <c r="U69" i="15" s="1"/>
  <c r="AI69" i="15"/>
  <c r="V69" i="15"/>
  <c r="W69" i="15" s="1"/>
  <c r="AD69" i="15" s="1"/>
  <c r="N69" i="15"/>
  <c r="AB69" i="15"/>
  <c r="AC73" i="15"/>
  <c r="AE73" i="15" s="1"/>
  <c r="M73" i="15"/>
  <c r="O73" i="15" s="1"/>
  <c r="V73" i="15"/>
  <c r="AC77" i="15"/>
  <c r="AE77" i="15" s="1"/>
  <c r="M77" i="15"/>
  <c r="O77" i="15" s="1"/>
  <c r="W77" i="15"/>
  <c r="AD77" i="15" s="1"/>
  <c r="V77" i="15"/>
  <c r="AB77" i="15"/>
  <c r="AC81" i="15"/>
  <c r="AE81" i="15" s="1"/>
  <c r="M81" i="15"/>
  <c r="O81" i="15" s="1"/>
  <c r="V81" i="15"/>
  <c r="W81" i="15" s="1"/>
  <c r="AD81" i="15" s="1"/>
  <c r="N81" i="15"/>
  <c r="AB81" i="15"/>
  <c r="AC85" i="15"/>
  <c r="AE85" i="15" s="1"/>
  <c r="M85" i="15"/>
  <c r="O85" i="15"/>
  <c r="U85" i="15" s="1"/>
  <c r="V85" i="15"/>
  <c r="W85" i="15" s="1"/>
  <c r="AD85" i="15" s="1"/>
  <c r="N85" i="15"/>
  <c r="AB85" i="15"/>
  <c r="AC89" i="15"/>
  <c r="AE89" i="15" s="1"/>
  <c r="M89" i="15"/>
  <c r="O89" i="15" s="1"/>
  <c r="V89" i="15"/>
  <c r="N89" i="15"/>
  <c r="AJ89" i="15" s="1"/>
  <c r="AC93" i="15"/>
  <c r="AE93" i="15" s="1"/>
  <c r="M93" i="15"/>
  <c r="O93" i="15" s="1"/>
  <c r="V93" i="15"/>
  <c r="AB93" i="15" s="1"/>
  <c r="N93" i="15"/>
  <c r="AC97" i="15"/>
  <c r="AE97" i="15" s="1"/>
  <c r="M97" i="15"/>
  <c r="O97" i="15" s="1"/>
  <c r="V97" i="15"/>
  <c r="W97" i="15" s="1"/>
  <c r="AD97" i="15" s="1"/>
  <c r="AB97" i="15"/>
  <c r="AC101" i="15"/>
  <c r="AE101" i="15" s="1"/>
  <c r="M101" i="15"/>
  <c r="O101" i="15"/>
  <c r="U101" i="15" s="1"/>
  <c r="V101" i="15"/>
  <c r="W101" i="15" s="1"/>
  <c r="AD101" i="15" s="1"/>
  <c r="N101" i="15"/>
  <c r="AC105" i="15"/>
  <c r="AE105" i="15" s="1"/>
  <c r="Q105" i="15"/>
  <c r="AK105" i="15" s="1"/>
  <c r="M105" i="15"/>
  <c r="O105" i="15" s="1"/>
  <c r="V105" i="15"/>
  <c r="N105" i="15"/>
  <c r="AC109" i="15"/>
  <c r="AE109" i="15" s="1"/>
  <c r="M109" i="15"/>
  <c r="O109" i="15" s="1"/>
  <c r="V109" i="15"/>
  <c r="AB109" i="15" s="1"/>
  <c r="N109" i="15"/>
  <c r="AC113" i="15"/>
  <c r="AE113" i="15" s="1"/>
  <c r="M113" i="15"/>
  <c r="O113" i="15" s="1"/>
  <c r="Z113" i="15"/>
  <c r="V113" i="15"/>
  <c r="W113" i="15" s="1"/>
  <c r="AB113" i="15"/>
  <c r="AC117" i="15"/>
  <c r="AE117" i="15" s="1"/>
  <c r="M117" i="15"/>
  <c r="O117" i="15"/>
  <c r="U117" i="15" s="1"/>
  <c r="V117" i="15"/>
  <c r="W117" i="15" s="1"/>
  <c r="AD117" i="15" s="1"/>
  <c r="N117" i="15"/>
  <c r="P5" i="14"/>
  <c r="P9" i="14"/>
  <c r="P10" i="14"/>
  <c r="P11" i="14"/>
  <c r="AJ11" i="14"/>
  <c r="P12" i="14"/>
  <c r="P13" i="14"/>
  <c r="X13" i="14"/>
  <c r="P14" i="14"/>
  <c r="P15" i="14"/>
  <c r="AJ15" i="14"/>
  <c r="P16" i="14"/>
  <c r="P17" i="14"/>
  <c r="P18" i="14"/>
  <c r="P19" i="14"/>
  <c r="AJ19" i="14"/>
  <c r="P20" i="14"/>
  <c r="P21" i="14"/>
  <c r="P22" i="14"/>
  <c r="P23" i="14"/>
  <c r="AJ23" i="14"/>
  <c r="P24" i="14"/>
  <c r="P25" i="14"/>
  <c r="P26" i="14"/>
  <c r="P27" i="14"/>
  <c r="AJ27" i="14"/>
  <c r="P28" i="14"/>
  <c r="P29" i="14"/>
  <c r="X29" i="14"/>
  <c r="P30" i="14"/>
  <c r="P31" i="14"/>
  <c r="AJ31" i="14"/>
  <c r="P32" i="14"/>
  <c r="P33" i="14"/>
  <c r="P34" i="14"/>
  <c r="P35" i="14"/>
  <c r="AJ35" i="14"/>
  <c r="P36" i="14"/>
  <c r="P37" i="14"/>
  <c r="P38" i="14"/>
  <c r="P39" i="14"/>
  <c r="AJ39" i="14"/>
  <c r="P40" i="14"/>
  <c r="P41" i="14"/>
  <c r="P42" i="14"/>
  <c r="P43" i="14"/>
  <c r="AJ43" i="14"/>
  <c r="P44" i="14"/>
  <c r="P45" i="14"/>
  <c r="X45" i="14"/>
  <c r="P46" i="14"/>
  <c r="P47" i="14"/>
  <c r="AJ47" i="14"/>
  <c r="P48" i="14"/>
  <c r="P49" i="14"/>
  <c r="P50" i="14"/>
  <c r="P51" i="14"/>
  <c r="AJ51" i="14"/>
  <c r="P52" i="14"/>
  <c r="P53" i="14"/>
  <c r="X53" i="14"/>
  <c r="P54" i="14"/>
  <c r="P55" i="14"/>
  <c r="AJ55" i="14"/>
  <c r="P56" i="14"/>
  <c r="P57" i="14"/>
  <c r="P58" i="14"/>
  <c r="P59" i="14"/>
  <c r="AJ59" i="14"/>
  <c r="P60" i="14"/>
  <c r="P61" i="14"/>
  <c r="X61" i="14"/>
  <c r="P62" i="14"/>
  <c r="P63" i="14"/>
  <c r="AJ63" i="14"/>
  <c r="P64" i="14"/>
  <c r="P65" i="14"/>
  <c r="P66" i="14"/>
  <c r="P67" i="14"/>
  <c r="AJ67" i="14"/>
  <c r="P68" i="14"/>
  <c r="P69" i="14"/>
  <c r="X69" i="14"/>
  <c r="P70" i="14"/>
  <c r="P71" i="14"/>
  <c r="AJ71" i="14"/>
  <c r="P72" i="14"/>
  <c r="P73" i="14"/>
  <c r="P74" i="14"/>
  <c r="P75" i="14"/>
  <c r="AJ75" i="14"/>
  <c r="P76" i="14"/>
  <c r="P77" i="14"/>
  <c r="X77" i="14"/>
  <c r="P78" i="14"/>
  <c r="P79" i="14"/>
  <c r="AJ79" i="14"/>
  <c r="P80" i="14"/>
  <c r="P81" i="14"/>
  <c r="P82" i="14"/>
  <c r="P83" i="14"/>
  <c r="AJ83" i="14"/>
  <c r="P84" i="14"/>
  <c r="P85" i="14"/>
  <c r="P86" i="14"/>
  <c r="P87" i="14"/>
  <c r="AJ87" i="14"/>
  <c r="P88" i="14"/>
  <c r="P89" i="14"/>
  <c r="P90" i="14"/>
  <c r="P91" i="14"/>
  <c r="AJ91" i="14"/>
  <c r="P92" i="14"/>
  <c r="P93" i="14"/>
  <c r="P94" i="14"/>
  <c r="P95" i="14"/>
  <c r="AJ95" i="14"/>
  <c r="P96" i="14"/>
  <c r="P97" i="14"/>
  <c r="P98" i="14"/>
  <c r="P99" i="14"/>
  <c r="AJ99" i="14"/>
  <c r="P100" i="14"/>
  <c r="P101" i="14"/>
  <c r="P102" i="14"/>
  <c r="P103" i="14"/>
  <c r="AJ103" i="14"/>
  <c r="P104" i="14"/>
  <c r="P105" i="14"/>
  <c r="P106" i="14"/>
  <c r="P107" i="14"/>
  <c r="AJ107" i="14"/>
  <c r="P108" i="14"/>
  <c r="P109" i="14"/>
  <c r="P110" i="14"/>
  <c r="P111" i="14"/>
  <c r="AJ111" i="14"/>
  <c r="P112" i="14"/>
  <c r="P113" i="14"/>
  <c r="P114" i="14"/>
  <c r="P115" i="14"/>
  <c r="AJ115" i="14"/>
  <c r="P116" i="14"/>
  <c r="P117" i="14"/>
  <c r="X117" i="14"/>
  <c r="P118" i="14"/>
  <c r="P119" i="14"/>
  <c r="AJ119" i="14"/>
  <c r="P120" i="14"/>
  <c r="P121" i="14"/>
  <c r="P122" i="14"/>
  <c r="P123" i="14"/>
  <c r="AJ123" i="14"/>
  <c r="P124" i="14"/>
  <c r="P125" i="14"/>
  <c r="P126" i="14"/>
  <c r="P127" i="14"/>
  <c r="AJ127" i="14"/>
  <c r="P128" i="14"/>
  <c r="P129" i="14"/>
  <c r="P130" i="14"/>
  <c r="P131" i="14"/>
  <c r="AJ131" i="14"/>
  <c r="P132" i="14"/>
  <c r="P133" i="14"/>
  <c r="P134" i="14"/>
  <c r="P135" i="14"/>
  <c r="AJ135" i="14"/>
  <c r="P136" i="14"/>
  <c r="P137" i="14"/>
  <c r="P138" i="14"/>
  <c r="P139" i="14"/>
  <c r="AJ139" i="14"/>
  <c r="P140" i="14"/>
  <c r="P141" i="14"/>
  <c r="P142" i="14"/>
  <c r="P143" i="14"/>
  <c r="AJ143" i="14"/>
  <c r="P144" i="14"/>
  <c r="P145" i="14"/>
  <c r="P146" i="14"/>
  <c r="P147" i="14"/>
  <c r="AJ147" i="14"/>
  <c r="P148" i="14"/>
  <c r="P149" i="14"/>
  <c r="P150" i="14"/>
  <c r="P151" i="14"/>
  <c r="AJ151" i="14"/>
  <c r="P152" i="14"/>
  <c r="P153" i="14"/>
  <c r="P154" i="14"/>
  <c r="P155" i="14"/>
  <c r="AJ155" i="14"/>
  <c r="P156" i="14"/>
  <c r="P157" i="14"/>
  <c r="P158" i="14"/>
  <c r="P159" i="14"/>
  <c r="AJ159" i="14"/>
  <c r="P160" i="14"/>
  <c r="P161" i="14"/>
  <c r="P162" i="14"/>
  <c r="P163" i="14"/>
  <c r="AJ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T263" i="14"/>
  <c r="X263" i="14"/>
  <c r="Y263" i="14" s="1"/>
  <c r="AJ263" i="14"/>
  <c r="P264" i="14"/>
  <c r="T264" i="14"/>
  <c r="X264" i="14"/>
  <c r="Y264" i="14" s="1"/>
  <c r="AJ264" i="14"/>
  <c r="P265" i="14"/>
  <c r="T265" i="14"/>
  <c r="X265" i="14"/>
  <c r="Y265" i="14" s="1"/>
  <c r="AJ265" i="14"/>
  <c r="P266" i="14"/>
  <c r="T266" i="14"/>
  <c r="X266" i="14"/>
  <c r="Y266" i="14" s="1"/>
  <c r="AJ266" i="14"/>
  <c r="P267" i="14"/>
  <c r="T267" i="14"/>
  <c r="X267" i="14"/>
  <c r="Y267" i="14" s="1"/>
  <c r="AJ267" i="14"/>
  <c r="P268" i="14"/>
  <c r="T268" i="14"/>
  <c r="X268" i="14"/>
  <c r="Y268" i="14" s="1"/>
  <c r="AJ268" i="14"/>
  <c r="P269" i="14"/>
  <c r="T269" i="14"/>
  <c r="X269" i="14"/>
  <c r="Y269" i="14" s="1"/>
  <c r="AJ269" i="14"/>
  <c r="P270" i="14"/>
  <c r="T270" i="14"/>
  <c r="X270" i="14"/>
  <c r="Y270" i="14" s="1"/>
  <c r="AJ270" i="14"/>
  <c r="P271" i="14"/>
  <c r="T271" i="14"/>
  <c r="X271" i="14"/>
  <c r="Y271" i="14" s="1"/>
  <c r="AJ271" i="14"/>
  <c r="P272" i="14"/>
  <c r="T272" i="14"/>
  <c r="X272" i="14"/>
  <c r="Y272" i="14" s="1"/>
  <c r="AJ272" i="14"/>
  <c r="P273" i="14"/>
  <c r="T273" i="14"/>
  <c r="X273" i="14"/>
  <c r="Y273" i="14" s="1"/>
  <c r="AJ273" i="14"/>
  <c r="P274" i="14"/>
  <c r="T274" i="14"/>
  <c r="X274" i="14"/>
  <c r="Y274" i="14" s="1"/>
  <c r="AJ274" i="14"/>
  <c r="P275" i="14"/>
  <c r="T275" i="14"/>
  <c r="X275" i="14"/>
  <c r="Y275" i="14" s="1"/>
  <c r="AJ275" i="14"/>
  <c r="P276" i="14"/>
  <c r="T276" i="14"/>
  <c r="X276" i="14"/>
  <c r="Y276" i="14" s="1"/>
  <c r="AJ276" i="14"/>
  <c r="P277" i="14"/>
  <c r="T277" i="14"/>
  <c r="X277" i="14"/>
  <c r="Y277" i="14" s="1"/>
  <c r="AJ277" i="14"/>
  <c r="P278" i="14"/>
  <c r="T278" i="14"/>
  <c r="X278" i="14"/>
  <c r="Y278" i="14" s="1"/>
  <c r="AJ278" i="14"/>
  <c r="P279" i="14"/>
  <c r="T279" i="14"/>
  <c r="X279" i="14"/>
  <c r="Y279" i="14" s="1"/>
  <c r="AJ279" i="14"/>
  <c r="P280" i="14"/>
  <c r="T280" i="14"/>
  <c r="X280" i="14"/>
  <c r="Y280" i="14" s="1"/>
  <c r="AJ280" i="14"/>
  <c r="P281" i="14"/>
  <c r="T281" i="14"/>
  <c r="X281" i="14"/>
  <c r="Y281" i="14" s="1"/>
  <c r="AJ281" i="14"/>
  <c r="P282" i="14"/>
  <c r="T282" i="14"/>
  <c r="X282" i="14"/>
  <c r="Y282" i="14" s="1"/>
  <c r="AJ282" i="14"/>
  <c r="P283" i="14"/>
  <c r="T283" i="14"/>
  <c r="X283" i="14"/>
  <c r="Y283" i="14" s="1"/>
  <c r="AJ283" i="14"/>
  <c r="P284" i="14"/>
  <c r="T284" i="14"/>
  <c r="X284" i="14"/>
  <c r="Y284" i="14" s="1"/>
  <c r="AJ284" i="14"/>
  <c r="P285" i="14"/>
  <c r="T285" i="14"/>
  <c r="X285" i="14"/>
  <c r="Y285" i="14" s="1"/>
  <c r="AJ285" i="14"/>
  <c r="P286" i="14"/>
  <c r="T286" i="14"/>
  <c r="X286" i="14"/>
  <c r="Y286" i="14" s="1"/>
  <c r="AJ286" i="14"/>
  <c r="P287" i="14"/>
  <c r="T287" i="14"/>
  <c r="X287" i="14"/>
  <c r="Y287" i="14" s="1"/>
  <c r="AJ287" i="14"/>
  <c r="P288" i="14"/>
  <c r="T288" i="14"/>
  <c r="X288" i="14"/>
  <c r="Y288" i="14" s="1"/>
  <c r="AJ288" i="14"/>
  <c r="P289" i="14"/>
  <c r="T289" i="14"/>
  <c r="X289" i="14"/>
  <c r="Y289" i="14" s="1"/>
  <c r="AJ289" i="14"/>
  <c r="P290" i="14"/>
  <c r="T290" i="14"/>
  <c r="X290" i="14"/>
  <c r="Y290" i="14" s="1"/>
  <c r="AJ290" i="14"/>
  <c r="P291" i="14"/>
  <c r="T291" i="14"/>
  <c r="X291" i="14"/>
  <c r="Y291" i="14" s="1"/>
  <c r="AJ291" i="14"/>
  <c r="P292" i="14"/>
  <c r="T292" i="14"/>
  <c r="X292" i="14"/>
  <c r="Y292" i="14" s="1"/>
  <c r="AJ292" i="14"/>
  <c r="P293" i="14"/>
  <c r="T293" i="14"/>
  <c r="X293" i="14"/>
  <c r="Y293" i="14" s="1"/>
  <c r="AJ293" i="14"/>
  <c r="P294" i="14"/>
  <c r="T294" i="14"/>
  <c r="X294" i="14"/>
  <c r="Y294" i="14" s="1"/>
  <c r="AJ294" i="14"/>
  <c r="P295" i="14"/>
  <c r="T295" i="14"/>
  <c r="X295" i="14"/>
  <c r="Y295" i="14" s="1"/>
  <c r="AJ295" i="14"/>
  <c r="P296" i="14"/>
  <c r="T296" i="14"/>
  <c r="X296" i="14"/>
  <c r="Y296" i="14" s="1"/>
  <c r="AJ296" i="14"/>
  <c r="P297" i="14"/>
  <c r="T297" i="14"/>
  <c r="X297" i="14"/>
  <c r="Y297" i="14" s="1"/>
  <c r="AJ297" i="14"/>
  <c r="P298" i="14"/>
  <c r="T298" i="14"/>
  <c r="X298" i="14"/>
  <c r="Y298" i="14" s="1"/>
  <c r="AJ298" i="14"/>
  <c r="P299" i="14"/>
  <c r="T299" i="14"/>
  <c r="X299" i="14"/>
  <c r="Y299" i="14" s="1"/>
  <c r="AJ299" i="14"/>
  <c r="P300" i="14"/>
  <c r="T300" i="14"/>
  <c r="X300" i="14"/>
  <c r="Y300" i="14" s="1"/>
  <c r="AJ300" i="14"/>
  <c r="P301" i="14"/>
  <c r="T301" i="14"/>
  <c r="X301" i="14"/>
  <c r="Y301" i="14" s="1"/>
  <c r="AJ301" i="14"/>
  <c r="P302" i="14"/>
  <c r="T302" i="14"/>
  <c r="X302" i="14"/>
  <c r="Y302" i="14" s="1"/>
  <c r="AJ302" i="14"/>
  <c r="P303" i="14"/>
  <c r="T303" i="14"/>
  <c r="X303" i="14"/>
  <c r="Y303" i="14" s="1"/>
  <c r="AJ303" i="14"/>
  <c r="P304" i="14"/>
  <c r="T304" i="14"/>
  <c r="X304" i="14"/>
  <c r="Y304" i="14" s="1"/>
  <c r="AJ304" i="14"/>
  <c r="P305" i="14"/>
  <c r="T305" i="14"/>
  <c r="X305" i="14"/>
  <c r="Y305" i="14" s="1"/>
  <c r="AJ305" i="14"/>
  <c r="P306" i="14"/>
  <c r="T306" i="14"/>
  <c r="X306" i="14"/>
  <c r="Y306" i="14" s="1"/>
  <c r="AJ306" i="14"/>
  <c r="P307" i="14"/>
  <c r="T307" i="14"/>
  <c r="X307" i="14"/>
  <c r="Y307" i="14" s="1"/>
  <c r="AJ307" i="14"/>
  <c r="P308" i="14"/>
  <c r="T308" i="14"/>
  <c r="X308" i="14"/>
  <c r="Y308" i="14" s="1"/>
  <c r="AJ308" i="14"/>
  <c r="P309" i="14"/>
  <c r="T309" i="14"/>
  <c r="X309" i="14"/>
  <c r="Y309" i="14" s="1"/>
  <c r="AJ309" i="14"/>
  <c r="P310" i="14"/>
  <c r="T310" i="14"/>
  <c r="X310" i="14"/>
  <c r="Y310" i="14" s="1"/>
  <c r="AJ310" i="14"/>
  <c r="P311" i="14"/>
  <c r="T311" i="14"/>
  <c r="X311" i="14"/>
  <c r="Y311" i="14" s="1"/>
  <c r="AJ311" i="14"/>
  <c r="P312" i="14"/>
  <c r="T312" i="14"/>
  <c r="X312" i="14"/>
  <c r="Y312" i="14" s="1"/>
  <c r="AJ312" i="14"/>
  <c r="P313" i="14"/>
  <c r="T313" i="14"/>
  <c r="X313" i="14"/>
  <c r="Y313" i="14" s="1"/>
  <c r="AJ313" i="14"/>
  <c r="P314" i="14"/>
  <c r="T314" i="14"/>
  <c r="X314" i="14"/>
  <c r="Y314" i="14" s="1"/>
  <c r="AJ314" i="14"/>
  <c r="P315" i="14"/>
  <c r="T315" i="14"/>
  <c r="X315" i="14"/>
  <c r="Y315" i="14" s="1"/>
  <c r="AJ315" i="14"/>
  <c r="P316" i="14"/>
  <c r="T316" i="14"/>
  <c r="X316" i="14"/>
  <c r="Y316" i="14" s="1"/>
  <c r="AJ316" i="14"/>
  <c r="P317" i="14"/>
  <c r="T317" i="14"/>
  <c r="X317" i="14"/>
  <c r="Y317" i="14" s="1"/>
  <c r="AJ317" i="14"/>
  <c r="P318" i="14"/>
  <c r="T318" i="14"/>
  <c r="X318" i="14"/>
  <c r="Y318" i="14" s="1"/>
  <c r="AJ318" i="14"/>
  <c r="P319" i="14"/>
  <c r="T319" i="14"/>
  <c r="X319" i="14"/>
  <c r="Y319" i="14" s="1"/>
  <c r="AJ319" i="14"/>
  <c r="P320" i="14"/>
  <c r="T320" i="14"/>
  <c r="X320" i="14"/>
  <c r="Y320" i="14" s="1"/>
  <c r="AJ320" i="14"/>
  <c r="P321" i="14"/>
  <c r="T321" i="14"/>
  <c r="X321" i="14"/>
  <c r="Y321" i="14" s="1"/>
  <c r="AJ321" i="14"/>
  <c r="P322" i="14"/>
  <c r="T322" i="14"/>
  <c r="X322" i="14"/>
  <c r="Y322" i="14" s="1"/>
  <c r="AJ322" i="14"/>
  <c r="P323" i="14"/>
  <c r="T323" i="14"/>
  <c r="X323" i="14"/>
  <c r="Y323" i="14" s="1"/>
  <c r="AJ323" i="14"/>
  <c r="P324" i="14"/>
  <c r="T324" i="14"/>
  <c r="X324" i="14"/>
  <c r="Y324" i="14" s="1"/>
  <c r="AJ324" i="14"/>
  <c r="P325" i="14"/>
  <c r="T325" i="14"/>
  <c r="X325" i="14"/>
  <c r="Y325" i="14" s="1"/>
  <c r="AJ325" i="14"/>
  <c r="P326" i="14"/>
  <c r="T326" i="14"/>
  <c r="X326" i="14"/>
  <c r="Y326" i="14" s="1"/>
  <c r="AJ326" i="14"/>
  <c r="P327" i="14"/>
  <c r="T327" i="14"/>
  <c r="X327" i="14"/>
  <c r="Y327" i="14" s="1"/>
  <c r="AJ327" i="14"/>
  <c r="P328" i="14"/>
  <c r="T328" i="14"/>
  <c r="X328" i="14"/>
  <c r="Y328" i="14" s="1"/>
  <c r="AJ328" i="14"/>
  <c r="P329" i="14"/>
  <c r="T329" i="14"/>
  <c r="X329" i="14"/>
  <c r="Y329" i="14" s="1"/>
  <c r="AJ329" i="14"/>
  <c r="P330" i="14"/>
  <c r="T330" i="14"/>
  <c r="X330" i="14"/>
  <c r="Y330" i="14" s="1"/>
  <c r="AJ330" i="14"/>
  <c r="P331" i="14"/>
  <c r="T331" i="14"/>
  <c r="X331" i="14"/>
  <c r="Y331" i="14" s="1"/>
  <c r="AJ331" i="14"/>
  <c r="P332" i="14"/>
  <c r="T332" i="14"/>
  <c r="X332" i="14"/>
  <c r="Y332" i="14" s="1"/>
  <c r="AJ332" i="14"/>
  <c r="P333" i="14"/>
  <c r="T333" i="14"/>
  <c r="X333" i="14"/>
  <c r="Y333" i="14" s="1"/>
  <c r="AJ333" i="14"/>
  <c r="P334" i="14"/>
  <c r="T334" i="14"/>
  <c r="X334" i="14"/>
  <c r="Y334" i="14" s="1"/>
  <c r="AJ334" i="14"/>
  <c r="P335" i="14"/>
  <c r="T335" i="14"/>
  <c r="X335" i="14"/>
  <c r="Y335" i="14" s="1"/>
  <c r="AJ335" i="14"/>
  <c r="P336" i="14"/>
  <c r="T336" i="14"/>
  <c r="X336" i="14"/>
  <c r="Y336" i="14" s="1"/>
  <c r="AJ336" i="14"/>
  <c r="P337" i="14"/>
  <c r="T337" i="14"/>
  <c r="X337" i="14"/>
  <c r="Y337" i="14" s="1"/>
  <c r="AJ337" i="14"/>
  <c r="P338" i="14"/>
  <c r="T338" i="14"/>
  <c r="X338" i="14"/>
  <c r="Y338" i="14" s="1"/>
  <c r="AJ338" i="14"/>
  <c r="P339" i="14"/>
  <c r="T339" i="14"/>
  <c r="X339" i="14"/>
  <c r="Y339" i="14" s="1"/>
  <c r="AJ339" i="14"/>
  <c r="P340" i="14"/>
  <c r="T340" i="14"/>
  <c r="X340" i="14"/>
  <c r="Y340" i="14" s="1"/>
  <c r="AJ340" i="14"/>
  <c r="P341" i="14"/>
  <c r="T341" i="14"/>
  <c r="X341" i="14"/>
  <c r="Y341" i="14" s="1"/>
  <c r="AJ341" i="14"/>
  <c r="P342" i="14"/>
  <c r="T342" i="14"/>
  <c r="X342" i="14"/>
  <c r="Y342" i="14" s="1"/>
  <c r="AJ342" i="14"/>
  <c r="P343" i="14"/>
  <c r="T343" i="14"/>
  <c r="X343" i="14"/>
  <c r="Y343" i="14" s="1"/>
  <c r="AJ343" i="14"/>
  <c r="P344" i="14"/>
  <c r="T344" i="14"/>
  <c r="X344" i="14"/>
  <c r="Y344" i="14" s="1"/>
  <c r="AJ344" i="14"/>
  <c r="P345" i="14"/>
  <c r="T345" i="14"/>
  <c r="X345" i="14"/>
  <c r="Y345" i="14" s="1"/>
  <c r="AJ345" i="14"/>
  <c r="P346" i="14"/>
  <c r="T346" i="14"/>
  <c r="X346" i="14"/>
  <c r="Y346" i="14" s="1"/>
  <c r="AJ346" i="14"/>
  <c r="P347" i="14"/>
  <c r="T347" i="14"/>
  <c r="X347" i="14"/>
  <c r="Y347" i="14" s="1"/>
  <c r="AJ347" i="14"/>
  <c r="P348" i="14"/>
  <c r="T348" i="14"/>
  <c r="X348" i="14"/>
  <c r="Y348" i="14" s="1"/>
  <c r="AJ348" i="14"/>
  <c r="P349" i="14"/>
  <c r="T349" i="14"/>
  <c r="X349" i="14"/>
  <c r="Y349" i="14" s="1"/>
  <c r="AJ349" i="14"/>
  <c r="P350" i="14"/>
  <c r="T350" i="14"/>
  <c r="X350" i="14"/>
  <c r="Y350" i="14" s="1"/>
  <c r="AJ350" i="14"/>
  <c r="P351" i="14"/>
  <c r="T351" i="14"/>
  <c r="X351" i="14"/>
  <c r="Y351" i="14" s="1"/>
  <c r="AJ351" i="14"/>
  <c r="P352" i="14"/>
  <c r="T352" i="14"/>
  <c r="X352" i="14"/>
  <c r="Y352" i="14" s="1"/>
  <c r="AJ352" i="14"/>
  <c r="P353" i="14"/>
  <c r="T353" i="14"/>
  <c r="X353" i="14"/>
  <c r="Y353" i="14" s="1"/>
  <c r="AJ353" i="14"/>
  <c r="P354" i="14"/>
  <c r="T354" i="14"/>
  <c r="X354" i="14"/>
  <c r="Y354" i="14" s="1"/>
  <c r="AJ354" i="14"/>
  <c r="P355" i="14"/>
  <c r="T355" i="14"/>
  <c r="X355" i="14"/>
  <c r="Y355" i="14" s="1"/>
  <c r="AJ355" i="14"/>
  <c r="P356" i="14"/>
  <c r="T356" i="14"/>
  <c r="X356" i="14"/>
  <c r="Y356" i="14" s="1"/>
  <c r="AJ356" i="14"/>
  <c r="P357" i="14"/>
  <c r="T357" i="14"/>
  <c r="X357" i="14"/>
  <c r="Y357" i="14" s="1"/>
  <c r="AJ357" i="14"/>
  <c r="P358" i="14"/>
  <c r="T358" i="14"/>
  <c r="X358" i="14"/>
  <c r="Y358" i="14" s="1"/>
  <c r="AJ358" i="14"/>
  <c r="P359" i="14"/>
  <c r="T359" i="14"/>
  <c r="X359" i="14"/>
  <c r="Y359" i="14" s="1"/>
  <c r="AJ359" i="14"/>
  <c r="AL360" i="14"/>
  <c r="AH360" i="14"/>
  <c r="AJ360" i="14"/>
  <c r="P360" i="14"/>
  <c r="T360" i="14"/>
  <c r="X360" i="14"/>
  <c r="Y360" i="14" s="1"/>
  <c r="V269" i="15"/>
  <c r="AC5" i="15"/>
  <c r="AE5" i="15" s="1"/>
  <c r="M5" i="15"/>
  <c r="O5" i="15" s="1"/>
  <c r="R5" i="15" s="1"/>
  <c r="W5" i="15"/>
  <c r="AD5" i="15" s="1"/>
  <c r="V5" i="15"/>
  <c r="X5" i="15" s="1"/>
  <c r="Y5" i="15" s="1"/>
  <c r="AB5" i="15"/>
  <c r="O8" i="15"/>
  <c r="AC9" i="15"/>
  <c r="AE9" i="15" s="1"/>
  <c r="M9" i="15"/>
  <c r="O9" i="15" s="1"/>
  <c r="R9" i="15" s="1"/>
  <c r="W9" i="15"/>
  <c r="AD9" i="15" s="1"/>
  <c r="V9" i="15"/>
  <c r="X9" i="15" s="1"/>
  <c r="Y9" i="15" s="1"/>
  <c r="AB9" i="15"/>
  <c r="P10" i="15"/>
  <c r="AC13" i="15"/>
  <c r="AE13" i="15" s="1"/>
  <c r="M13" i="15"/>
  <c r="O13" i="15" s="1"/>
  <c r="V13" i="15"/>
  <c r="X13" i="15" s="1"/>
  <c r="Y13" i="15" s="1"/>
  <c r="P14" i="15"/>
  <c r="AC17" i="15"/>
  <c r="AE17" i="15" s="1"/>
  <c r="Y17" i="15"/>
  <c r="M17" i="15"/>
  <c r="O17" i="15" s="1"/>
  <c r="U17" i="15" s="1"/>
  <c r="AI17" i="15"/>
  <c r="V17" i="15"/>
  <c r="X17" i="15" s="1"/>
  <c r="N17" i="15"/>
  <c r="AB17" i="15"/>
  <c r="P18" i="15"/>
  <c r="AC21" i="15"/>
  <c r="AE21" i="15" s="1"/>
  <c r="Y21" i="15"/>
  <c r="M21" i="15"/>
  <c r="O21" i="15" s="1"/>
  <c r="R21" i="15" s="1"/>
  <c r="V21" i="15"/>
  <c r="X21" i="15" s="1"/>
  <c r="AB21" i="15"/>
  <c r="P22" i="15"/>
  <c r="AC25" i="15"/>
  <c r="AE25" i="15" s="1"/>
  <c r="M25" i="15"/>
  <c r="O25" i="15" s="1"/>
  <c r="R25" i="15" s="1"/>
  <c r="W25" i="15"/>
  <c r="AD25" i="15" s="1"/>
  <c r="V25" i="15"/>
  <c r="X25" i="15" s="1"/>
  <c r="Y25" i="15" s="1"/>
  <c r="AB25" i="15"/>
  <c r="P26" i="15"/>
  <c r="AC29" i="15"/>
  <c r="AE29" i="15" s="1"/>
  <c r="M29" i="15"/>
  <c r="O29" i="15" s="1"/>
  <c r="V29" i="15"/>
  <c r="X29" i="15" s="1"/>
  <c r="Y29" i="15" s="1"/>
  <c r="P30" i="15"/>
  <c r="AC33" i="15"/>
  <c r="AE33" i="15" s="1"/>
  <c r="Y33" i="15"/>
  <c r="M33" i="15"/>
  <c r="O33" i="15" s="1"/>
  <c r="U33" i="15" s="1"/>
  <c r="AI33" i="15"/>
  <c r="V33" i="15"/>
  <c r="X33" i="15" s="1"/>
  <c r="N33" i="15"/>
  <c r="AB33" i="15"/>
  <c r="P34" i="15"/>
  <c r="Q34" i="15" s="1"/>
  <c r="AK34" i="15" s="1"/>
  <c r="AC37" i="15"/>
  <c r="AE37" i="15" s="1"/>
  <c r="Y37" i="15"/>
  <c r="M37" i="15"/>
  <c r="O37" i="15" s="1"/>
  <c r="R37" i="15" s="1"/>
  <c r="V37" i="15"/>
  <c r="X37" i="15" s="1"/>
  <c r="AB37" i="15"/>
  <c r="P38" i="15"/>
  <c r="S38" i="15" s="1"/>
  <c r="AC41" i="15"/>
  <c r="AE41" i="15" s="1"/>
  <c r="M41" i="15"/>
  <c r="O41" i="15" s="1"/>
  <c r="R41" i="15" s="1"/>
  <c r="V41" i="15"/>
  <c r="X41" i="15" s="1"/>
  <c r="Y41" i="15" s="1"/>
  <c r="AB41" i="15"/>
  <c r="AC44" i="15"/>
  <c r="AE44" i="15" s="1"/>
  <c r="M44" i="15"/>
  <c r="O44" i="15" s="1"/>
  <c r="V44" i="15"/>
  <c r="X44" i="15" s="1"/>
  <c r="Y44" i="15" s="1"/>
  <c r="P45" i="15"/>
  <c r="AC48" i="15"/>
  <c r="AE48" i="15" s="1"/>
  <c r="Y48" i="15"/>
  <c r="Q48" i="15"/>
  <c r="AK48" i="15" s="1"/>
  <c r="M48" i="15"/>
  <c r="AI48" i="15"/>
  <c r="O48" i="15"/>
  <c r="U48" i="15" s="1"/>
  <c r="V48" i="15"/>
  <c r="X48" i="15" s="1"/>
  <c r="N48" i="15"/>
  <c r="AJ48" i="15" s="1"/>
  <c r="AB48" i="15"/>
  <c r="P49" i="15"/>
  <c r="AC52" i="15"/>
  <c r="AE52" i="15" s="1"/>
  <c r="M52" i="15"/>
  <c r="O52" i="15" s="1"/>
  <c r="R52" i="15" s="1"/>
  <c r="V52" i="15"/>
  <c r="X52" i="15" s="1"/>
  <c r="Y52" i="15" s="1"/>
  <c r="P53" i="15"/>
  <c r="AC56" i="15"/>
  <c r="AE56" i="15" s="1"/>
  <c r="M56" i="15"/>
  <c r="O56" i="15" s="1"/>
  <c r="R56" i="15" s="1"/>
  <c r="V56" i="15"/>
  <c r="AB56" i="15" s="1"/>
  <c r="N56" i="15"/>
  <c r="AJ56" i="15" s="1"/>
  <c r="P57" i="15"/>
  <c r="AC60" i="15"/>
  <c r="AE60" i="15" s="1"/>
  <c r="M60" i="15"/>
  <c r="O60" i="15" s="1"/>
  <c r="V60" i="15"/>
  <c r="X60" i="15" s="1"/>
  <c r="Y60" i="15" s="1"/>
  <c r="N60" i="15"/>
  <c r="AI60" i="15" s="1"/>
  <c r="P61" i="15"/>
  <c r="AC64" i="15"/>
  <c r="AE64" i="15" s="1"/>
  <c r="Q64" i="15"/>
  <c r="AK64" i="15" s="1"/>
  <c r="M64" i="15"/>
  <c r="O64" i="15"/>
  <c r="U64" i="15" s="1"/>
  <c r="V64" i="15"/>
  <c r="X64" i="15" s="1"/>
  <c r="Y64" i="15" s="1"/>
  <c r="N64" i="15"/>
  <c r="AI64" i="15" s="1"/>
  <c r="P65" i="15"/>
  <c r="AC68" i="15"/>
  <c r="AE68" i="15" s="1"/>
  <c r="M68" i="15"/>
  <c r="O68" i="15" s="1"/>
  <c r="R68" i="15" s="1"/>
  <c r="V68" i="15"/>
  <c r="X68" i="15" s="1"/>
  <c r="Y68" i="15" s="1"/>
  <c r="N68" i="15"/>
  <c r="Q68" i="15" s="1"/>
  <c r="AK68" i="15" s="1"/>
  <c r="P69" i="15"/>
  <c r="AC72" i="15"/>
  <c r="AE72" i="15" s="1"/>
  <c r="M72" i="15"/>
  <c r="O72" i="15" s="1"/>
  <c r="R72" i="15" s="1"/>
  <c r="V72" i="15"/>
  <c r="X72" i="15" s="1"/>
  <c r="Y72" i="15" s="1"/>
  <c r="N72" i="15"/>
  <c r="Q72" i="15" s="1"/>
  <c r="AK72" i="15" s="1"/>
  <c r="P73" i="15"/>
  <c r="AC76" i="15"/>
  <c r="AE76" i="15" s="1"/>
  <c r="M76" i="15"/>
  <c r="O76" i="15" s="1"/>
  <c r="V76" i="15"/>
  <c r="X76" i="15" s="1"/>
  <c r="Y76" i="15" s="1"/>
  <c r="N76" i="15"/>
  <c r="AJ76" i="15" s="1"/>
  <c r="P77" i="15"/>
  <c r="AC80" i="15"/>
  <c r="AE80" i="15" s="1"/>
  <c r="M80" i="15"/>
  <c r="O80" i="15"/>
  <c r="U80" i="15" s="1"/>
  <c r="V80" i="15"/>
  <c r="X80" i="15" s="1"/>
  <c r="Y80" i="15" s="1"/>
  <c r="N80" i="15"/>
  <c r="Q80" i="15" s="1"/>
  <c r="AK80" i="15" s="1"/>
  <c r="P81" i="15"/>
  <c r="Q81" i="15" s="1"/>
  <c r="AK81" i="15" s="1"/>
  <c r="AC84" i="15"/>
  <c r="AE84" i="15" s="1"/>
  <c r="M84" i="15"/>
  <c r="O84" i="15" s="1"/>
  <c r="R84" i="15" s="1"/>
  <c r="V84" i="15"/>
  <c r="X84" i="15" s="1"/>
  <c r="Y84" i="15" s="1"/>
  <c r="P85" i="15"/>
  <c r="AC88" i="15"/>
  <c r="AE88" i="15" s="1"/>
  <c r="M88" i="15"/>
  <c r="O88" i="15" s="1"/>
  <c r="R88" i="15" s="1"/>
  <c r="V88" i="15"/>
  <c r="AB88" i="15" s="1"/>
  <c r="P89" i="15"/>
  <c r="AC92" i="15"/>
  <c r="AE92" i="15" s="1"/>
  <c r="M92" i="15"/>
  <c r="O92" i="15" s="1"/>
  <c r="V92" i="15"/>
  <c r="X92" i="15" s="1"/>
  <c r="Y92" i="15" s="1"/>
  <c r="N92" i="15"/>
  <c r="AI92" i="15" s="1"/>
  <c r="P93" i="15"/>
  <c r="AJ93" i="15" s="1"/>
  <c r="AC96" i="15"/>
  <c r="AE96" i="15" s="1"/>
  <c r="Q96" i="15"/>
  <c r="AK96" i="15" s="1"/>
  <c r="M96" i="15"/>
  <c r="AI96" i="15"/>
  <c r="O96" i="15"/>
  <c r="U96" i="15" s="1"/>
  <c r="V96" i="15"/>
  <c r="X96" i="15" s="1"/>
  <c r="Y96" i="15" s="1"/>
  <c r="N96" i="15"/>
  <c r="P97" i="15"/>
  <c r="AC100" i="15"/>
  <c r="AE100" i="15" s="1"/>
  <c r="M100" i="15"/>
  <c r="O100" i="15" s="1"/>
  <c r="R100" i="15" s="1"/>
  <c r="V100" i="15"/>
  <c r="X100" i="15" s="1"/>
  <c r="Y100" i="15" s="1"/>
  <c r="N100" i="15"/>
  <c r="Q100" i="15" s="1"/>
  <c r="AK100" i="15" s="1"/>
  <c r="P101" i="15"/>
  <c r="S101" i="15" s="1"/>
  <c r="AC104" i="15"/>
  <c r="AE104" i="15" s="1"/>
  <c r="M104" i="15"/>
  <c r="O104" i="15" s="1"/>
  <c r="R104" i="15" s="1"/>
  <c r="V104" i="15"/>
  <c r="AB104" i="15" s="1"/>
  <c r="N104" i="15"/>
  <c r="AJ104" i="15" s="1"/>
  <c r="P105" i="15"/>
  <c r="AI105" i="15" s="1"/>
  <c r="AC108" i="15"/>
  <c r="AE108" i="15" s="1"/>
  <c r="M108" i="15"/>
  <c r="O108" i="15" s="1"/>
  <c r="R108" i="15" s="1"/>
  <c r="V108" i="15"/>
  <c r="AB108" i="15" s="1"/>
  <c r="N108" i="15"/>
  <c r="AJ108" i="15" s="1"/>
  <c r="P109" i="15"/>
  <c r="Q109" i="15" s="1"/>
  <c r="AK109" i="15" s="1"/>
  <c r="AC112" i="15"/>
  <c r="AE112" i="15" s="1"/>
  <c r="Q112" i="15"/>
  <c r="AK112" i="15" s="1"/>
  <c r="M112" i="15"/>
  <c r="O112" i="15" s="1"/>
  <c r="V112" i="15"/>
  <c r="X112" i="15" s="1"/>
  <c r="Y112" i="15" s="1"/>
  <c r="N112" i="15"/>
  <c r="AI112" i="15" s="1"/>
  <c r="P113" i="15"/>
  <c r="AC116" i="15"/>
  <c r="AE116" i="15" s="1"/>
  <c r="M116" i="15"/>
  <c r="O116" i="15" s="1"/>
  <c r="V116" i="15"/>
  <c r="X116" i="15" s="1"/>
  <c r="Y116" i="15" s="1"/>
  <c r="P117" i="15"/>
  <c r="S117" i="15" s="1"/>
  <c r="AC250" i="14"/>
  <c r="AE250" i="14" s="1"/>
  <c r="AC251" i="14"/>
  <c r="AE251" i="14" s="1"/>
  <c r="AC252" i="14"/>
  <c r="AE252" i="14" s="1"/>
  <c r="AC253" i="14"/>
  <c r="AE253" i="14" s="1"/>
  <c r="AC254" i="14"/>
  <c r="AE254" i="14" s="1"/>
  <c r="AC255" i="14"/>
  <c r="AE255" i="14" s="1"/>
  <c r="AC256" i="14"/>
  <c r="AE256" i="14" s="1"/>
  <c r="AC257" i="14"/>
  <c r="AE257" i="14" s="1"/>
  <c r="AC258" i="14"/>
  <c r="AE258" i="14" s="1"/>
  <c r="AC259" i="14"/>
  <c r="AE259" i="14" s="1"/>
  <c r="AC260" i="14"/>
  <c r="AE260" i="14" s="1"/>
  <c r="AC261" i="14"/>
  <c r="AE261" i="14" s="1"/>
  <c r="O4" i="15"/>
  <c r="AC12" i="15"/>
  <c r="AE12" i="15" s="1"/>
  <c r="M12" i="15"/>
  <c r="O12" i="15" s="1"/>
  <c r="V12" i="15"/>
  <c r="W12" i="15" s="1"/>
  <c r="AD12" i="15" s="1"/>
  <c r="N12" i="15"/>
  <c r="AC16" i="15"/>
  <c r="AE16" i="15" s="1"/>
  <c r="M16" i="15"/>
  <c r="O16" i="15" s="1"/>
  <c r="W16" i="15"/>
  <c r="AD16" i="15" s="1"/>
  <c r="V16" i="15"/>
  <c r="X16" i="15" s="1"/>
  <c r="AB16" i="15"/>
  <c r="AJ18" i="15"/>
  <c r="AC20" i="15"/>
  <c r="AE20" i="15" s="1"/>
  <c r="M20" i="15"/>
  <c r="O20" i="15" s="1"/>
  <c r="V20" i="15"/>
  <c r="N20" i="15"/>
  <c r="AC24" i="15"/>
  <c r="AE24" i="15" s="1"/>
  <c r="M24" i="15"/>
  <c r="N24" i="15" s="1"/>
  <c r="O24" i="15"/>
  <c r="V24" i="15"/>
  <c r="X24" i="15" s="1"/>
  <c r="AB24" i="15"/>
  <c r="AC28" i="15"/>
  <c r="AE28" i="15" s="1"/>
  <c r="M28" i="15"/>
  <c r="O28" i="15" s="1"/>
  <c r="V28" i="15"/>
  <c r="W28" i="15" s="1"/>
  <c r="AD28" i="15" s="1"/>
  <c r="N28" i="15"/>
  <c r="AC32" i="15"/>
  <c r="AE32" i="15" s="1"/>
  <c r="M32" i="15"/>
  <c r="O32" i="15" s="1"/>
  <c r="W32" i="15"/>
  <c r="AD32" i="15" s="1"/>
  <c r="V32" i="15"/>
  <c r="AB32" i="15"/>
  <c r="AJ34" i="15"/>
  <c r="AC36" i="15"/>
  <c r="AE36" i="15" s="1"/>
  <c r="M36" i="15"/>
  <c r="O36" i="15" s="1"/>
  <c r="V36" i="15"/>
  <c r="X36" i="15" s="1"/>
  <c r="N36" i="15"/>
  <c r="AC40" i="15"/>
  <c r="AE40" i="15" s="1"/>
  <c r="M40" i="15"/>
  <c r="N40" i="15" s="1"/>
  <c r="O40" i="15"/>
  <c r="V40" i="15"/>
  <c r="X40" i="15" s="1"/>
  <c r="AB40" i="15"/>
  <c r="AC43" i="15"/>
  <c r="AE43" i="15" s="1"/>
  <c r="M43" i="15"/>
  <c r="O43" i="15" s="1"/>
  <c r="V43" i="15"/>
  <c r="W43" i="15" s="1"/>
  <c r="AD43" i="15" s="1"/>
  <c r="N43" i="15"/>
  <c r="AB43" i="15"/>
  <c r="AC47" i="15"/>
  <c r="AE47" i="15" s="1"/>
  <c r="M47" i="15"/>
  <c r="O47" i="15" s="1"/>
  <c r="V47" i="15"/>
  <c r="AB47" i="15" s="1"/>
  <c r="AC51" i="15"/>
  <c r="AE51" i="15" s="1"/>
  <c r="M51" i="15"/>
  <c r="O51" i="15" s="1"/>
  <c r="V51" i="15"/>
  <c r="N51" i="15"/>
  <c r="AJ53" i="15"/>
  <c r="AC55" i="15"/>
  <c r="AE55" i="15" s="1"/>
  <c r="M55" i="15"/>
  <c r="N55" i="15" s="1"/>
  <c r="O55" i="15"/>
  <c r="V55" i="15"/>
  <c r="X55" i="15" s="1"/>
  <c r="Y55" i="15" s="1"/>
  <c r="AC59" i="15"/>
  <c r="AE59" i="15" s="1"/>
  <c r="M59" i="15"/>
  <c r="O59" i="15" s="1"/>
  <c r="V59" i="15"/>
  <c r="W59" i="15" s="1"/>
  <c r="AD59" i="15" s="1"/>
  <c r="N59" i="15"/>
  <c r="AB59" i="15"/>
  <c r="AC63" i="15"/>
  <c r="AE63" i="15" s="1"/>
  <c r="M63" i="15"/>
  <c r="O63" i="15" s="1"/>
  <c r="V63" i="15"/>
  <c r="AB63" i="15" s="1"/>
  <c r="AC67" i="15"/>
  <c r="AE67" i="15" s="1"/>
  <c r="M67" i="15"/>
  <c r="O67" i="15" s="1"/>
  <c r="V67" i="15"/>
  <c r="X67" i="15" s="1"/>
  <c r="N67" i="15"/>
  <c r="AJ69" i="15"/>
  <c r="AC71" i="15"/>
  <c r="AE71" i="15" s="1"/>
  <c r="M71" i="15"/>
  <c r="W71" i="15"/>
  <c r="AD71" i="15" s="1"/>
  <c r="O71" i="15"/>
  <c r="U71" i="15" s="1"/>
  <c r="V71" i="15"/>
  <c r="X71" i="15" s="1"/>
  <c r="N71" i="15"/>
  <c r="AB71" i="15"/>
  <c r="AC75" i="15"/>
  <c r="AE75" i="15" s="1"/>
  <c r="M75" i="15"/>
  <c r="O75" i="15" s="1"/>
  <c r="V75" i="15"/>
  <c r="W75" i="15" s="1"/>
  <c r="AD75" i="15" s="1"/>
  <c r="N75" i="15"/>
  <c r="U75" i="15" s="1"/>
  <c r="AC79" i="15"/>
  <c r="AE79" i="15" s="1"/>
  <c r="M79" i="15"/>
  <c r="W79" i="15"/>
  <c r="AD79" i="15" s="1"/>
  <c r="O79" i="15"/>
  <c r="V79" i="15"/>
  <c r="X79" i="15" s="1"/>
  <c r="N79" i="15"/>
  <c r="AB79" i="15"/>
  <c r="AJ81" i="15"/>
  <c r="AC83" i="15"/>
  <c r="AE83" i="15" s="1"/>
  <c r="M83" i="15"/>
  <c r="O83" i="15" s="1"/>
  <c r="V83" i="15"/>
  <c r="N83" i="15"/>
  <c r="AJ85" i="15"/>
  <c r="AC87" i="15"/>
  <c r="AE87" i="15" s="1"/>
  <c r="M87" i="15"/>
  <c r="O87" i="15" s="1"/>
  <c r="U87" i="15" s="1"/>
  <c r="W87" i="15"/>
  <c r="AD87" i="15" s="1"/>
  <c r="V87" i="15"/>
  <c r="X87" i="15" s="1"/>
  <c r="N87" i="15"/>
  <c r="AB87" i="15"/>
  <c r="AC91" i="15"/>
  <c r="AE91" i="15" s="1"/>
  <c r="M91" i="15"/>
  <c r="O91" i="15" s="1"/>
  <c r="V91" i="15"/>
  <c r="W91" i="15" s="1"/>
  <c r="AD91" i="15" s="1"/>
  <c r="AC95" i="15"/>
  <c r="AE95" i="15" s="1"/>
  <c r="M95" i="15"/>
  <c r="O95" i="15" s="1"/>
  <c r="W95" i="15"/>
  <c r="AD95" i="15" s="1"/>
  <c r="V95" i="15"/>
  <c r="N95" i="15"/>
  <c r="AB95" i="15"/>
  <c r="AC99" i="15"/>
  <c r="AE99" i="15" s="1"/>
  <c r="M99" i="15"/>
  <c r="O99" i="15" s="1"/>
  <c r="V99" i="15"/>
  <c r="AJ101" i="15"/>
  <c r="AC103" i="15"/>
  <c r="AE103" i="15" s="1"/>
  <c r="M103" i="15"/>
  <c r="O103" i="15" s="1"/>
  <c r="U103" i="15" s="1"/>
  <c r="V103" i="15"/>
  <c r="X103" i="15" s="1"/>
  <c r="N103" i="15"/>
  <c r="AJ105" i="15"/>
  <c r="AC107" i="15"/>
  <c r="AE107" i="15" s="1"/>
  <c r="M107" i="15"/>
  <c r="O107" i="15" s="1"/>
  <c r="V107" i="15"/>
  <c r="W107" i="15" s="1"/>
  <c r="AD107" i="15" s="1"/>
  <c r="AC111" i="15"/>
  <c r="AE111" i="15" s="1"/>
  <c r="M111" i="15"/>
  <c r="O111" i="15" s="1"/>
  <c r="V111" i="15"/>
  <c r="W111" i="15" s="1"/>
  <c r="AD111" i="15" s="1"/>
  <c r="N111" i="15"/>
  <c r="AC115" i="15"/>
  <c r="AE115" i="15" s="1"/>
  <c r="M115" i="15"/>
  <c r="O115" i="15" s="1"/>
  <c r="V115" i="15"/>
  <c r="P3" i="14"/>
  <c r="X3" i="14"/>
  <c r="AB3" i="14"/>
  <c r="N5" i="14"/>
  <c r="V5" i="14"/>
  <c r="W5" i="14" s="1"/>
  <c r="AD5" i="14" s="1"/>
  <c r="AH5" i="14"/>
  <c r="P7" i="14"/>
  <c r="X7" i="14"/>
  <c r="AB7" i="14"/>
  <c r="N9" i="14"/>
  <c r="U9" i="14" s="1"/>
  <c r="R9" i="14"/>
  <c r="V9" i="14"/>
  <c r="AB9" i="14" s="1"/>
  <c r="AH9" i="14"/>
  <c r="N10" i="14"/>
  <c r="V10" i="14"/>
  <c r="X10" i="14" s="1"/>
  <c r="Y10" i="14" s="1"/>
  <c r="AH10" i="14"/>
  <c r="N11" i="14"/>
  <c r="V11" i="14"/>
  <c r="X11" i="14" s="1"/>
  <c r="Y11" i="14" s="1"/>
  <c r="N12" i="14"/>
  <c r="AJ12" i="14" s="1"/>
  <c r="R12" i="14"/>
  <c r="V12" i="14"/>
  <c r="AH12" i="14"/>
  <c r="N13" i="14"/>
  <c r="U13" i="14" s="1"/>
  <c r="R13" i="14"/>
  <c r="V13" i="14"/>
  <c r="W13" i="14" s="1"/>
  <c r="AD13" i="14" s="1"/>
  <c r="AH13" i="14"/>
  <c r="N14" i="14"/>
  <c r="U14" i="14" s="1"/>
  <c r="V14" i="14"/>
  <c r="X14" i="14" s="1"/>
  <c r="Y14" i="14" s="1"/>
  <c r="AH14" i="14"/>
  <c r="N15" i="14"/>
  <c r="R15" i="14"/>
  <c r="V15" i="14"/>
  <c r="W15" i="14" s="1"/>
  <c r="AD15" i="14" s="1"/>
  <c r="N16" i="14"/>
  <c r="AJ16" i="14" s="1"/>
  <c r="R16" i="14"/>
  <c r="V16" i="14"/>
  <c r="AH16" i="14"/>
  <c r="N17" i="14"/>
  <c r="U17" i="14" s="1"/>
  <c r="R17" i="14"/>
  <c r="V17" i="14"/>
  <c r="AB17" i="14" s="1"/>
  <c r="AH17" i="14"/>
  <c r="N18" i="14"/>
  <c r="V18" i="14"/>
  <c r="W18" i="14" s="1"/>
  <c r="AD18" i="14" s="1"/>
  <c r="AH18" i="14"/>
  <c r="N19" i="14"/>
  <c r="V19" i="14"/>
  <c r="X19" i="14" s="1"/>
  <c r="Y19" i="14" s="1"/>
  <c r="N20" i="14"/>
  <c r="AJ20" i="14" s="1"/>
  <c r="V20" i="14"/>
  <c r="AH20" i="14"/>
  <c r="N21" i="14"/>
  <c r="AJ21" i="14" s="1"/>
  <c r="R21" i="14"/>
  <c r="V21" i="14"/>
  <c r="AB21" i="14" s="1"/>
  <c r="AH21" i="14"/>
  <c r="N22" i="14"/>
  <c r="V22" i="14"/>
  <c r="X22" i="14" s="1"/>
  <c r="Y22" i="14" s="1"/>
  <c r="AH22" i="14"/>
  <c r="N23" i="14"/>
  <c r="V23" i="14"/>
  <c r="W23" i="14" s="1"/>
  <c r="AD23" i="14" s="1"/>
  <c r="N24" i="14"/>
  <c r="V24" i="14"/>
  <c r="Z24" i="14" s="1"/>
  <c r="AH24" i="14"/>
  <c r="N25" i="14"/>
  <c r="U25" i="14" s="1"/>
  <c r="R25" i="14"/>
  <c r="V25" i="14"/>
  <c r="AB25" i="14" s="1"/>
  <c r="AH25" i="14"/>
  <c r="N26" i="14"/>
  <c r="V26" i="14"/>
  <c r="AH26" i="14"/>
  <c r="N27" i="14"/>
  <c r="V27" i="14"/>
  <c r="W27" i="14" s="1"/>
  <c r="AD27" i="14" s="1"/>
  <c r="N28" i="14"/>
  <c r="AJ28" i="14" s="1"/>
  <c r="R28" i="14"/>
  <c r="V28" i="14"/>
  <c r="W28" i="14" s="1"/>
  <c r="AD28" i="14" s="1"/>
  <c r="AH28" i="14"/>
  <c r="N29" i="14"/>
  <c r="U29" i="14" s="1"/>
  <c r="R29" i="14"/>
  <c r="V29" i="14"/>
  <c r="W29" i="14" s="1"/>
  <c r="AD29" i="14" s="1"/>
  <c r="AH29" i="14"/>
  <c r="N30" i="14"/>
  <c r="AJ30" i="14" s="1"/>
  <c r="V30" i="14"/>
  <c r="W30" i="14" s="1"/>
  <c r="AD30" i="14" s="1"/>
  <c r="AH30" i="14"/>
  <c r="N31" i="14"/>
  <c r="U31" i="14" s="1"/>
  <c r="R31" i="14"/>
  <c r="V31" i="14"/>
  <c r="X31" i="14" s="1"/>
  <c r="Y31" i="14" s="1"/>
  <c r="N32" i="14"/>
  <c r="AJ32" i="14" s="1"/>
  <c r="V32" i="14"/>
  <c r="AH32" i="14"/>
  <c r="N33" i="14"/>
  <c r="U33" i="14" s="1"/>
  <c r="R33" i="14"/>
  <c r="V33" i="14"/>
  <c r="AB33" i="14" s="1"/>
  <c r="Z33" i="14"/>
  <c r="AH33" i="14"/>
  <c r="N34" i="14"/>
  <c r="AJ34" i="14" s="1"/>
  <c r="V34" i="14"/>
  <c r="AH34" i="14"/>
  <c r="N35" i="14"/>
  <c r="U35" i="14" s="1"/>
  <c r="R35" i="14"/>
  <c r="V35" i="14"/>
  <c r="W35" i="14" s="1"/>
  <c r="AD35" i="14" s="1"/>
  <c r="N36" i="14"/>
  <c r="AJ36" i="14" s="1"/>
  <c r="V36" i="14"/>
  <c r="AH36" i="14"/>
  <c r="N37" i="14"/>
  <c r="U37" i="14" s="1"/>
  <c r="R37" i="14"/>
  <c r="V37" i="14"/>
  <c r="AB37" i="14" s="1"/>
  <c r="AH37" i="14"/>
  <c r="N38" i="14"/>
  <c r="AJ38" i="14" s="1"/>
  <c r="V38" i="14"/>
  <c r="AH38" i="14"/>
  <c r="N39" i="14"/>
  <c r="U39" i="14" s="1"/>
  <c r="R39" i="14"/>
  <c r="V39" i="14"/>
  <c r="W39" i="14" s="1"/>
  <c r="AD39" i="14" s="1"/>
  <c r="N40" i="14"/>
  <c r="U40" i="14" s="1"/>
  <c r="R40" i="14"/>
  <c r="V40" i="14"/>
  <c r="AH40" i="14"/>
  <c r="N41" i="14"/>
  <c r="AJ41" i="14" s="1"/>
  <c r="R41" i="14"/>
  <c r="V41" i="14"/>
  <c r="AB41" i="14" s="1"/>
  <c r="AH41" i="14"/>
  <c r="N42" i="14"/>
  <c r="V42" i="14"/>
  <c r="W42" i="14" s="1"/>
  <c r="AD42" i="14" s="1"/>
  <c r="AH42" i="14"/>
  <c r="N43" i="14"/>
  <c r="V43" i="14"/>
  <c r="X43" i="14" s="1"/>
  <c r="Y43" i="14" s="1"/>
  <c r="N44" i="14"/>
  <c r="AJ44" i="14" s="1"/>
  <c r="R44" i="14"/>
  <c r="V44" i="14"/>
  <c r="AH44" i="14"/>
  <c r="N45" i="14"/>
  <c r="U45" i="14" s="1"/>
  <c r="R45" i="14"/>
  <c r="V45" i="14"/>
  <c r="W45" i="14" s="1"/>
  <c r="AD45" i="14" s="1"/>
  <c r="AH45" i="14"/>
  <c r="N46" i="14"/>
  <c r="U46" i="14" s="1"/>
  <c r="V46" i="14"/>
  <c r="AH46" i="14"/>
  <c r="N47" i="14"/>
  <c r="R47" i="14"/>
  <c r="V47" i="14"/>
  <c r="W47" i="14" s="1"/>
  <c r="AD47" i="14" s="1"/>
  <c r="N48" i="14"/>
  <c r="AJ48" i="14" s="1"/>
  <c r="V48" i="14"/>
  <c r="W48" i="14" s="1"/>
  <c r="AD48" i="14" s="1"/>
  <c r="AH48" i="14"/>
  <c r="N49" i="14"/>
  <c r="U49" i="14" s="1"/>
  <c r="R49" i="14"/>
  <c r="V49" i="14"/>
  <c r="AB49" i="14" s="1"/>
  <c r="AH49" i="14"/>
  <c r="N50" i="14"/>
  <c r="U50" i="14" s="1"/>
  <c r="V50" i="14"/>
  <c r="AH50" i="14"/>
  <c r="N51" i="14"/>
  <c r="R51" i="14"/>
  <c r="V51" i="14"/>
  <c r="X51" i="14" s="1"/>
  <c r="Y51" i="14" s="1"/>
  <c r="N52" i="14"/>
  <c r="AJ52" i="14" s="1"/>
  <c r="V52" i="14"/>
  <c r="AH52" i="14"/>
  <c r="N53" i="14"/>
  <c r="U53" i="14" s="1"/>
  <c r="R53" i="14"/>
  <c r="V53" i="14"/>
  <c r="AB53" i="14" s="1"/>
  <c r="AH53" i="14"/>
  <c r="N54" i="14"/>
  <c r="V54" i="14"/>
  <c r="X54" i="14" s="1"/>
  <c r="Y54" i="14" s="1"/>
  <c r="AH54" i="14"/>
  <c r="N55" i="14"/>
  <c r="V55" i="14"/>
  <c r="X55" i="14" s="1"/>
  <c r="Y55" i="14" s="1"/>
  <c r="N56" i="14"/>
  <c r="U56" i="14" s="1"/>
  <c r="R56" i="14"/>
  <c r="V56" i="14"/>
  <c r="W56" i="14" s="1"/>
  <c r="AD56" i="14" s="1"/>
  <c r="AH56" i="14"/>
  <c r="N57" i="14"/>
  <c r="AJ57" i="14" s="1"/>
  <c r="R57" i="14"/>
  <c r="V57" i="14"/>
  <c r="AB57" i="14" s="1"/>
  <c r="AH57" i="14"/>
  <c r="N58" i="14"/>
  <c r="V58" i="14"/>
  <c r="W58" i="14" s="1"/>
  <c r="AD58" i="14" s="1"/>
  <c r="AH58" i="14"/>
  <c r="N59" i="14"/>
  <c r="V59" i="14"/>
  <c r="W59" i="14" s="1"/>
  <c r="AD59" i="14" s="1"/>
  <c r="N60" i="14"/>
  <c r="AJ60" i="14" s="1"/>
  <c r="R60" i="14"/>
  <c r="V60" i="14"/>
  <c r="AH60" i="14"/>
  <c r="N61" i="14"/>
  <c r="AJ61" i="14" s="1"/>
  <c r="R61" i="14"/>
  <c r="V61" i="14"/>
  <c r="W61" i="14" s="1"/>
  <c r="AD61" i="14" s="1"/>
  <c r="AH61" i="14"/>
  <c r="N62" i="14"/>
  <c r="AJ62" i="14" s="1"/>
  <c r="V62" i="14"/>
  <c r="AH62" i="14"/>
  <c r="N63" i="14"/>
  <c r="V63" i="14"/>
  <c r="W63" i="14" s="1"/>
  <c r="AD63" i="14" s="1"/>
  <c r="N64" i="14"/>
  <c r="AJ64" i="14" s="1"/>
  <c r="V64" i="14"/>
  <c r="AH64" i="14"/>
  <c r="N65" i="14"/>
  <c r="U65" i="14" s="1"/>
  <c r="R65" i="14"/>
  <c r="V65" i="14"/>
  <c r="AB65" i="14" s="1"/>
  <c r="Z65" i="14"/>
  <c r="AH65" i="14"/>
  <c r="N66" i="14"/>
  <c r="U66" i="14" s="1"/>
  <c r="V66" i="14"/>
  <c r="X66" i="14" s="1"/>
  <c r="Y66" i="14" s="1"/>
  <c r="AH66" i="14"/>
  <c r="N67" i="14"/>
  <c r="V67" i="14"/>
  <c r="W67" i="14" s="1"/>
  <c r="AD67" i="14" s="1"/>
  <c r="N68" i="14"/>
  <c r="AJ68" i="14" s="1"/>
  <c r="R68" i="14"/>
  <c r="V68" i="14"/>
  <c r="AH68" i="14"/>
  <c r="N69" i="14"/>
  <c r="U69" i="14" s="1"/>
  <c r="R69" i="14"/>
  <c r="V69" i="14"/>
  <c r="AB69" i="14" s="1"/>
  <c r="AH69" i="14"/>
  <c r="N70" i="14"/>
  <c r="U70" i="14" s="1"/>
  <c r="V70" i="14"/>
  <c r="X70" i="14" s="1"/>
  <c r="Y70" i="14" s="1"/>
  <c r="AH70" i="14"/>
  <c r="N71" i="14"/>
  <c r="V71" i="14"/>
  <c r="N72" i="14"/>
  <c r="U72" i="14" s="1"/>
  <c r="R72" i="14"/>
  <c r="V72" i="14"/>
  <c r="W72" i="14" s="1"/>
  <c r="AD72" i="14" s="1"/>
  <c r="AH72" i="14"/>
  <c r="N73" i="14"/>
  <c r="U73" i="14" s="1"/>
  <c r="R73" i="14"/>
  <c r="V73" i="14"/>
  <c r="AB73" i="14" s="1"/>
  <c r="AH73" i="14"/>
  <c r="N74" i="14"/>
  <c r="AJ74" i="14" s="1"/>
  <c r="V74" i="14"/>
  <c r="X74" i="14" s="1"/>
  <c r="Y74" i="14" s="1"/>
  <c r="AH74" i="14"/>
  <c r="N75" i="14"/>
  <c r="V75" i="14"/>
  <c r="W75" i="14" s="1"/>
  <c r="N76" i="14"/>
  <c r="AJ76" i="14" s="1"/>
  <c r="V76" i="14"/>
  <c r="Z76" i="14" s="1"/>
  <c r="AH76" i="14"/>
  <c r="N77" i="14"/>
  <c r="U77" i="14" s="1"/>
  <c r="R77" i="14"/>
  <c r="V77" i="14"/>
  <c r="W77" i="14" s="1"/>
  <c r="AD77" i="14" s="1"/>
  <c r="AH77" i="14"/>
  <c r="N78" i="14"/>
  <c r="V78" i="14"/>
  <c r="X78" i="14" s="1"/>
  <c r="Y78" i="14" s="1"/>
  <c r="AH78" i="14"/>
  <c r="N79" i="14"/>
  <c r="V79" i="14"/>
  <c r="W79" i="14" s="1"/>
  <c r="AD79" i="14" s="1"/>
  <c r="N80" i="14"/>
  <c r="AJ80" i="14" s="1"/>
  <c r="R80" i="14"/>
  <c r="V80" i="14"/>
  <c r="AH80" i="14"/>
  <c r="N81" i="14"/>
  <c r="AJ81" i="14" s="1"/>
  <c r="R81" i="14"/>
  <c r="V81" i="14"/>
  <c r="AB81" i="14" s="1"/>
  <c r="AH81" i="14"/>
  <c r="N82" i="14"/>
  <c r="V82" i="14"/>
  <c r="W82" i="14" s="1"/>
  <c r="AD82" i="14" s="1"/>
  <c r="AH82" i="14"/>
  <c r="N83" i="14"/>
  <c r="V83" i="14"/>
  <c r="X83" i="14" s="1"/>
  <c r="Y83" i="14" s="1"/>
  <c r="N84" i="14"/>
  <c r="AJ84" i="14" s="1"/>
  <c r="V84" i="14"/>
  <c r="AH84" i="14"/>
  <c r="N85" i="14"/>
  <c r="AJ85" i="14" s="1"/>
  <c r="R85" i="14"/>
  <c r="V85" i="14"/>
  <c r="AB85" i="14" s="1"/>
  <c r="AH85" i="14"/>
  <c r="N86" i="14"/>
  <c r="U86" i="14" s="1"/>
  <c r="V86" i="14"/>
  <c r="W86" i="14" s="1"/>
  <c r="AD86" i="14" s="1"/>
  <c r="AH86" i="14"/>
  <c r="N87" i="14"/>
  <c r="R87" i="14"/>
  <c r="V87" i="14"/>
  <c r="X87" i="14" s="1"/>
  <c r="Y87" i="14" s="1"/>
  <c r="N88" i="14"/>
  <c r="AJ88" i="14" s="1"/>
  <c r="R88" i="14"/>
  <c r="V88" i="14"/>
  <c r="AH88" i="14"/>
  <c r="N89" i="14"/>
  <c r="U89" i="14" s="1"/>
  <c r="R89" i="14"/>
  <c r="V89" i="14"/>
  <c r="AB89" i="14" s="1"/>
  <c r="AH89" i="14"/>
  <c r="N90" i="14"/>
  <c r="U90" i="14" s="1"/>
  <c r="V90" i="14"/>
  <c r="W90" i="14" s="1"/>
  <c r="AD90" i="14" s="1"/>
  <c r="AH90" i="14"/>
  <c r="N91" i="14"/>
  <c r="R91" i="14"/>
  <c r="V91" i="14"/>
  <c r="X91" i="14" s="1"/>
  <c r="Y91" i="14" s="1"/>
  <c r="N92" i="14"/>
  <c r="AJ92" i="14" s="1"/>
  <c r="R92" i="14"/>
  <c r="V92" i="14"/>
  <c r="AH92" i="14"/>
  <c r="N93" i="14"/>
  <c r="U93" i="14" s="1"/>
  <c r="R93" i="14"/>
  <c r="V93" i="14"/>
  <c r="AB93" i="14" s="1"/>
  <c r="AH93" i="14"/>
  <c r="N94" i="14"/>
  <c r="U94" i="14" s="1"/>
  <c r="V94" i="14"/>
  <c r="W94" i="14" s="1"/>
  <c r="AH94" i="14"/>
  <c r="N95" i="14"/>
  <c r="R95" i="14"/>
  <c r="V95" i="14"/>
  <c r="X95" i="14" s="1"/>
  <c r="Y95" i="14" s="1"/>
  <c r="N96" i="14"/>
  <c r="AJ96" i="14" s="1"/>
  <c r="R96" i="14"/>
  <c r="V96" i="14"/>
  <c r="AH96" i="14"/>
  <c r="N97" i="14"/>
  <c r="U97" i="14" s="1"/>
  <c r="R97" i="14"/>
  <c r="V97" i="14"/>
  <c r="AB97" i="14" s="1"/>
  <c r="AH97" i="14"/>
  <c r="N98" i="14"/>
  <c r="U98" i="14" s="1"/>
  <c r="V98" i="14"/>
  <c r="W98" i="14" s="1"/>
  <c r="AD98" i="14" s="1"/>
  <c r="AH98" i="14"/>
  <c r="N99" i="14"/>
  <c r="R99" i="14"/>
  <c r="V99" i="14"/>
  <c r="X99" i="14" s="1"/>
  <c r="Y99" i="14" s="1"/>
  <c r="N100" i="14"/>
  <c r="AJ100" i="14" s="1"/>
  <c r="R100" i="14"/>
  <c r="V100" i="14"/>
  <c r="AH100" i="14"/>
  <c r="N101" i="14"/>
  <c r="U101" i="14" s="1"/>
  <c r="R101" i="14"/>
  <c r="V101" i="14"/>
  <c r="AB101" i="14" s="1"/>
  <c r="AH101" i="14"/>
  <c r="N102" i="14"/>
  <c r="U102" i="14" s="1"/>
  <c r="V102" i="14"/>
  <c r="W102" i="14" s="1"/>
  <c r="AD102" i="14" s="1"/>
  <c r="AH102" i="14"/>
  <c r="N103" i="14"/>
  <c r="R103" i="14"/>
  <c r="V103" i="14"/>
  <c r="X103" i="14" s="1"/>
  <c r="Y103" i="14" s="1"/>
  <c r="N104" i="14"/>
  <c r="AJ104" i="14" s="1"/>
  <c r="R104" i="14"/>
  <c r="V104" i="14"/>
  <c r="AH104" i="14"/>
  <c r="N105" i="14"/>
  <c r="U105" i="14" s="1"/>
  <c r="R105" i="14"/>
  <c r="V105" i="14"/>
  <c r="AB105" i="14" s="1"/>
  <c r="AH105" i="14"/>
  <c r="N106" i="14"/>
  <c r="U106" i="14" s="1"/>
  <c r="V106" i="14"/>
  <c r="W106" i="14" s="1"/>
  <c r="AD106" i="14" s="1"/>
  <c r="AH106" i="14"/>
  <c r="N107" i="14"/>
  <c r="U107" i="14" s="1"/>
  <c r="R107" i="14"/>
  <c r="V107" i="14"/>
  <c r="X107" i="14" s="1"/>
  <c r="Y107" i="14" s="1"/>
  <c r="N108" i="14"/>
  <c r="AJ108" i="14" s="1"/>
  <c r="R108" i="14"/>
  <c r="V108" i="14"/>
  <c r="AH108" i="14"/>
  <c r="N109" i="14"/>
  <c r="U109" i="14" s="1"/>
  <c r="R109" i="14"/>
  <c r="V109" i="14"/>
  <c r="AB109" i="14" s="1"/>
  <c r="AH109" i="14"/>
  <c r="N110" i="14"/>
  <c r="U110" i="14" s="1"/>
  <c r="V110" i="14"/>
  <c r="W110" i="14" s="1"/>
  <c r="AD110" i="14" s="1"/>
  <c r="AH110" i="14"/>
  <c r="N111" i="14"/>
  <c r="U111" i="14" s="1"/>
  <c r="R111" i="14"/>
  <c r="V111" i="14"/>
  <c r="X111" i="14" s="1"/>
  <c r="Y111" i="14" s="1"/>
  <c r="N112" i="14"/>
  <c r="AJ112" i="14" s="1"/>
  <c r="R112" i="14"/>
  <c r="V112" i="14"/>
  <c r="AH112" i="14"/>
  <c r="N113" i="14"/>
  <c r="U113" i="14" s="1"/>
  <c r="R113" i="14"/>
  <c r="V113" i="14"/>
  <c r="AB113" i="14" s="1"/>
  <c r="AH113" i="14"/>
  <c r="N114" i="14"/>
  <c r="U114" i="14" s="1"/>
  <c r="V114" i="14"/>
  <c r="W114" i="14" s="1"/>
  <c r="AD114" i="14" s="1"/>
  <c r="AH114" i="14"/>
  <c r="N115" i="14"/>
  <c r="U115" i="14" s="1"/>
  <c r="R115" i="14"/>
  <c r="V115" i="14"/>
  <c r="X115" i="14" s="1"/>
  <c r="Y115" i="14" s="1"/>
  <c r="Z115" i="14"/>
  <c r="N116" i="14"/>
  <c r="AJ116" i="14" s="1"/>
  <c r="R116" i="14"/>
  <c r="V116" i="14"/>
  <c r="Z116" i="14" s="1"/>
  <c r="AH116" i="14"/>
  <c r="N117" i="14"/>
  <c r="U117" i="14" s="1"/>
  <c r="R117" i="14"/>
  <c r="V117" i="14"/>
  <c r="AB117" i="14" s="1"/>
  <c r="Z117" i="14"/>
  <c r="AH117" i="14"/>
  <c r="N118" i="14"/>
  <c r="U118" i="14" s="1"/>
  <c r="V118" i="14"/>
  <c r="W118" i="14" s="1"/>
  <c r="AD118" i="14" s="1"/>
  <c r="AH118" i="14"/>
  <c r="N119" i="14"/>
  <c r="U119" i="14" s="1"/>
  <c r="R119" i="14"/>
  <c r="V119" i="14"/>
  <c r="X119" i="14" s="1"/>
  <c r="Y119" i="14" s="1"/>
  <c r="N120" i="14"/>
  <c r="AJ120" i="14" s="1"/>
  <c r="R120" i="14"/>
  <c r="V120" i="14"/>
  <c r="AH120" i="14"/>
  <c r="N121" i="14"/>
  <c r="U121" i="14" s="1"/>
  <c r="R121" i="14"/>
  <c r="V121" i="14"/>
  <c r="AB121" i="14" s="1"/>
  <c r="AH121" i="14"/>
  <c r="N122" i="14"/>
  <c r="U122" i="14" s="1"/>
  <c r="V122" i="14"/>
  <c r="W122" i="14" s="1"/>
  <c r="AD122" i="14" s="1"/>
  <c r="AH122" i="14"/>
  <c r="N123" i="14"/>
  <c r="U123" i="14" s="1"/>
  <c r="R123" i="14"/>
  <c r="V123" i="14"/>
  <c r="X123" i="14" s="1"/>
  <c r="Y123" i="14" s="1"/>
  <c r="N124" i="14"/>
  <c r="AJ124" i="14" s="1"/>
  <c r="R124" i="14"/>
  <c r="V124" i="14"/>
  <c r="AH124" i="14"/>
  <c r="N125" i="14"/>
  <c r="U125" i="14" s="1"/>
  <c r="R125" i="14"/>
  <c r="V125" i="14"/>
  <c r="AB125" i="14" s="1"/>
  <c r="AH125" i="14"/>
  <c r="N126" i="14"/>
  <c r="U126" i="14" s="1"/>
  <c r="V126" i="14"/>
  <c r="W126" i="14" s="1"/>
  <c r="AD126" i="14" s="1"/>
  <c r="AH126" i="14"/>
  <c r="N127" i="14"/>
  <c r="U127" i="14" s="1"/>
  <c r="R127" i="14"/>
  <c r="V127" i="14"/>
  <c r="X127" i="14" s="1"/>
  <c r="Y127" i="14" s="1"/>
  <c r="N128" i="14"/>
  <c r="AJ128" i="14" s="1"/>
  <c r="R128" i="14"/>
  <c r="V128" i="14"/>
  <c r="AH128" i="14"/>
  <c r="N129" i="14"/>
  <c r="U129" i="14" s="1"/>
  <c r="R129" i="14"/>
  <c r="V129" i="14"/>
  <c r="AB129" i="14" s="1"/>
  <c r="AH129" i="14"/>
  <c r="N130" i="14"/>
  <c r="U130" i="14" s="1"/>
  <c r="V130" i="14"/>
  <c r="W130" i="14" s="1"/>
  <c r="AD130" i="14" s="1"/>
  <c r="AH130" i="14"/>
  <c r="N131" i="14"/>
  <c r="U131" i="14" s="1"/>
  <c r="R131" i="14"/>
  <c r="V131" i="14"/>
  <c r="X131" i="14" s="1"/>
  <c r="Y131" i="14" s="1"/>
  <c r="N132" i="14"/>
  <c r="AJ132" i="14" s="1"/>
  <c r="R132" i="14"/>
  <c r="V132" i="14"/>
  <c r="Z132" i="14" s="1"/>
  <c r="AH132" i="14"/>
  <c r="N133" i="14"/>
  <c r="U133" i="14" s="1"/>
  <c r="R133" i="14"/>
  <c r="V133" i="14"/>
  <c r="AB133" i="14" s="1"/>
  <c r="AH133" i="14"/>
  <c r="N134" i="14"/>
  <c r="U134" i="14" s="1"/>
  <c r="V134" i="14"/>
  <c r="W134" i="14" s="1"/>
  <c r="AD134" i="14" s="1"/>
  <c r="AH134" i="14"/>
  <c r="N135" i="14"/>
  <c r="U135" i="14" s="1"/>
  <c r="R135" i="14"/>
  <c r="V135" i="14"/>
  <c r="X135" i="14" s="1"/>
  <c r="Y135" i="14" s="1"/>
  <c r="N136" i="14"/>
  <c r="AJ136" i="14" s="1"/>
  <c r="R136" i="14"/>
  <c r="V136" i="14"/>
  <c r="AH136" i="14"/>
  <c r="N137" i="14"/>
  <c r="U137" i="14" s="1"/>
  <c r="R137" i="14"/>
  <c r="V137" i="14"/>
  <c r="AB137" i="14" s="1"/>
  <c r="AH137" i="14"/>
  <c r="N138" i="14"/>
  <c r="U138" i="14" s="1"/>
  <c r="V138" i="14"/>
  <c r="W138" i="14" s="1"/>
  <c r="AH138" i="14"/>
  <c r="N139" i="14"/>
  <c r="U139" i="14" s="1"/>
  <c r="R139" i="14"/>
  <c r="V139" i="14"/>
  <c r="X139" i="14" s="1"/>
  <c r="Y139" i="14" s="1"/>
  <c r="N140" i="14"/>
  <c r="AJ140" i="14" s="1"/>
  <c r="R140" i="14"/>
  <c r="V140" i="14"/>
  <c r="AH140" i="14"/>
  <c r="N141" i="14"/>
  <c r="U141" i="14" s="1"/>
  <c r="R141" i="14"/>
  <c r="V141" i="14"/>
  <c r="AB141" i="14" s="1"/>
  <c r="AH141" i="14"/>
  <c r="N142" i="14"/>
  <c r="U142" i="14" s="1"/>
  <c r="V142" i="14"/>
  <c r="W142" i="14" s="1"/>
  <c r="AD142" i="14" s="1"/>
  <c r="AH142" i="14"/>
  <c r="N143" i="14"/>
  <c r="U143" i="14" s="1"/>
  <c r="R143" i="14"/>
  <c r="V143" i="14"/>
  <c r="X143" i="14" s="1"/>
  <c r="Y143" i="14" s="1"/>
  <c r="N144" i="14"/>
  <c r="AJ144" i="14" s="1"/>
  <c r="R144" i="14"/>
  <c r="V144" i="14"/>
  <c r="Z144" i="14" s="1"/>
  <c r="AH144" i="14"/>
  <c r="N145" i="14"/>
  <c r="U145" i="14" s="1"/>
  <c r="R145" i="14"/>
  <c r="V145" i="14"/>
  <c r="AB145" i="14" s="1"/>
  <c r="AH145" i="14"/>
  <c r="N146" i="14"/>
  <c r="U146" i="14" s="1"/>
  <c r="V146" i="14"/>
  <c r="W146" i="14" s="1"/>
  <c r="AD146" i="14" s="1"/>
  <c r="AH146" i="14"/>
  <c r="N147" i="14"/>
  <c r="U147" i="14" s="1"/>
  <c r="R147" i="14"/>
  <c r="V147" i="14"/>
  <c r="X147" i="14" s="1"/>
  <c r="Y147" i="14" s="1"/>
  <c r="N148" i="14"/>
  <c r="AJ148" i="14" s="1"/>
  <c r="R148" i="14"/>
  <c r="V148" i="14"/>
  <c r="Z148" i="14" s="1"/>
  <c r="AH148" i="14"/>
  <c r="N149" i="14"/>
  <c r="U149" i="14" s="1"/>
  <c r="R149" i="14"/>
  <c r="V149" i="14"/>
  <c r="AB149" i="14" s="1"/>
  <c r="AH149" i="14"/>
  <c r="N150" i="14"/>
  <c r="U150" i="14" s="1"/>
  <c r="V150" i="14"/>
  <c r="W150" i="14" s="1"/>
  <c r="AD150" i="14" s="1"/>
  <c r="AH150" i="14"/>
  <c r="N151" i="14"/>
  <c r="U151" i="14" s="1"/>
  <c r="R151" i="14"/>
  <c r="V151" i="14"/>
  <c r="X151" i="14" s="1"/>
  <c r="Y151" i="14" s="1"/>
  <c r="N152" i="14"/>
  <c r="AJ152" i="14" s="1"/>
  <c r="R152" i="14"/>
  <c r="V152" i="14"/>
  <c r="Z152" i="14" s="1"/>
  <c r="AH152" i="14"/>
  <c r="N153" i="14"/>
  <c r="U153" i="14" s="1"/>
  <c r="R153" i="14"/>
  <c r="V153" i="14"/>
  <c r="AB153" i="14" s="1"/>
  <c r="AH153" i="14"/>
  <c r="N154" i="14"/>
  <c r="U154" i="14" s="1"/>
  <c r="V154" i="14"/>
  <c r="W154" i="14" s="1"/>
  <c r="AD154" i="14" s="1"/>
  <c r="AH154" i="14"/>
  <c r="N155" i="14"/>
  <c r="U155" i="14" s="1"/>
  <c r="R155" i="14"/>
  <c r="V155" i="14"/>
  <c r="X155" i="14" s="1"/>
  <c r="Y155" i="14" s="1"/>
  <c r="N156" i="14"/>
  <c r="AJ156" i="14" s="1"/>
  <c r="R156" i="14"/>
  <c r="V156" i="14"/>
  <c r="Z156" i="14" s="1"/>
  <c r="AH156" i="14"/>
  <c r="N157" i="14"/>
  <c r="U157" i="14" s="1"/>
  <c r="R157" i="14"/>
  <c r="V157" i="14"/>
  <c r="AB157" i="14" s="1"/>
  <c r="AH157" i="14"/>
  <c r="N158" i="14"/>
  <c r="U158" i="14" s="1"/>
  <c r="V158" i="14"/>
  <c r="W158" i="14" s="1"/>
  <c r="AD158" i="14" s="1"/>
  <c r="AH158" i="14"/>
  <c r="N159" i="14"/>
  <c r="U159" i="14" s="1"/>
  <c r="R159" i="14"/>
  <c r="V159" i="14"/>
  <c r="X159" i="14" s="1"/>
  <c r="Y159" i="14" s="1"/>
  <c r="N160" i="14"/>
  <c r="AJ160" i="14" s="1"/>
  <c r="R160" i="14"/>
  <c r="V160" i="14"/>
  <c r="Z160" i="14" s="1"/>
  <c r="AH160" i="14"/>
  <c r="N161" i="14"/>
  <c r="U161" i="14" s="1"/>
  <c r="R161" i="14"/>
  <c r="V161" i="14"/>
  <c r="AB161" i="14" s="1"/>
  <c r="AH161" i="14"/>
  <c r="N162" i="14"/>
  <c r="U162" i="14" s="1"/>
  <c r="V162" i="14"/>
  <c r="W162" i="14" s="1"/>
  <c r="AH162" i="14"/>
  <c r="N163" i="14"/>
  <c r="U163" i="14" s="1"/>
  <c r="R163" i="14"/>
  <c r="V163" i="14"/>
  <c r="X163" i="14" s="1"/>
  <c r="Y163" i="14" s="1"/>
  <c r="N164" i="14"/>
  <c r="AJ164" i="14" s="1"/>
  <c r="R164" i="14"/>
  <c r="V164" i="14"/>
  <c r="Z164" i="14" s="1"/>
  <c r="AH164" i="14"/>
  <c r="N165" i="14"/>
  <c r="U165" i="14" s="1"/>
  <c r="R165" i="14"/>
  <c r="V165" i="14"/>
  <c r="AB165" i="14" s="1"/>
  <c r="AH165" i="14"/>
  <c r="N166" i="14"/>
  <c r="U166" i="14" s="1"/>
  <c r="V166" i="14"/>
  <c r="W166" i="14" s="1"/>
  <c r="AD166" i="14" s="1"/>
  <c r="AH166" i="14"/>
  <c r="N167" i="14"/>
  <c r="U167" i="14" s="1"/>
  <c r="R167" i="14"/>
  <c r="V167" i="14"/>
  <c r="X167" i="14" s="1"/>
  <c r="Y167" i="14" s="1"/>
  <c r="AH167" i="14"/>
  <c r="N168" i="14"/>
  <c r="AJ168" i="14" s="1"/>
  <c r="R168" i="14"/>
  <c r="V168" i="14"/>
  <c r="AH168" i="14"/>
  <c r="N169" i="14"/>
  <c r="U169" i="14" s="1"/>
  <c r="R169" i="14"/>
  <c r="V169" i="14"/>
  <c r="AB169" i="14" s="1"/>
  <c r="AH169" i="14"/>
  <c r="N170" i="14"/>
  <c r="U170" i="14" s="1"/>
  <c r="V170" i="14"/>
  <c r="W170" i="14" s="1"/>
  <c r="AD170" i="14" s="1"/>
  <c r="AH170" i="14"/>
  <c r="N171" i="14"/>
  <c r="U171" i="14" s="1"/>
  <c r="R171" i="14"/>
  <c r="V171" i="14"/>
  <c r="X171" i="14" s="1"/>
  <c r="Y171" i="14" s="1"/>
  <c r="AH171" i="14"/>
  <c r="N172" i="14"/>
  <c r="AJ172" i="14" s="1"/>
  <c r="R172" i="14"/>
  <c r="V172" i="14"/>
  <c r="Z172" i="14" s="1"/>
  <c r="AH172" i="14"/>
  <c r="N173" i="14"/>
  <c r="U173" i="14" s="1"/>
  <c r="R173" i="14"/>
  <c r="V173" i="14"/>
  <c r="AB173" i="14" s="1"/>
  <c r="AH173" i="14"/>
  <c r="N174" i="14"/>
  <c r="U174" i="14" s="1"/>
  <c r="V174" i="14"/>
  <c r="W174" i="14" s="1"/>
  <c r="AH174" i="14"/>
  <c r="N175" i="14"/>
  <c r="U175" i="14" s="1"/>
  <c r="R175" i="14"/>
  <c r="V175" i="14"/>
  <c r="X175" i="14" s="1"/>
  <c r="Y175" i="14" s="1"/>
  <c r="Z175" i="14"/>
  <c r="AH175" i="14"/>
  <c r="N176" i="14"/>
  <c r="AJ176" i="14" s="1"/>
  <c r="R176" i="14"/>
  <c r="V176" i="14"/>
  <c r="AH176" i="14"/>
  <c r="N177" i="14"/>
  <c r="U177" i="14" s="1"/>
  <c r="R177" i="14"/>
  <c r="V177" i="14"/>
  <c r="AB177" i="14" s="1"/>
  <c r="AH177" i="14"/>
  <c r="N178" i="14"/>
  <c r="U178" i="14" s="1"/>
  <c r="V178" i="14"/>
  <c r="W178" i="14" s="1"/>
  <c r="AD178" i="14" s="1"/>
  <c r="AH178" i="14"/>
  <c r="N179" i="14"/>
  <c r="U179" i="14" s="1"/>
  <c r="R179" i="14"/>
  <c r="V179" i="14"/>
  <c r="X179" i="14" s="1"/>
  <c r="Y179" i="14" s="1"/>
  <c r="Z179" i="14"/>
  <c r="AH179" i="14"/>
  <c r="N180" i="14"/>
  <c r="AJ180" i="14" s="1"/>
  <c r="R180" i="14"/>
  <c r="V180" i="14"/>
  <c r="Z180" i="14" s="1"/>
  <c r="AH180" i="14"/>
  <c r="N181" i="14"/>
  <c r="U181" i="14" s="1"/>
  <c r="R181" i="14"/>
  <c r="V181" i="14"/>
  <c r="AB181" i="14" s="1"/>
  <c r="AH181" i="14"/>
  <c r="N182" i="14"/>
  <c r="U182" i="14" s="1"/>
  <c r="V182" i="14"/>
  <c r="W182" i="14" s="1"/>
  <c r="AD182" i="14" s="1"/>
  <c r="AH182" i="14"/>
  <c r="N183" i="14"/>
  <c r="U183" i="14" s="1"/>
  <c r="R183" i="14"/>
  <c r="V183" i="14"/>
  <c r="X183" i="14" s="1"/>
  <c r="Y183" i="14" s="1"/>
  <c r="AH183" i="14"/>
  <c r="N184" i="14"/>
  <c r="AJ184" i="14" s="1"/>
  <c r="R184" i="14"/>
  <c r="V184" i="14"/>
  <c r="Z184" i="14" s="1"/>
  <c r="AH184" i="14"/>
  <c r="N185" i="14"/>
  <c r="U185" i="14" s="1"/>
  <c r="R185" i="14"/>
  <c r="V185" i="14"/>
  <c r="AB185" i="14" s="1"/>
  <c r="AH185" i="14"/>
  <c r="N186" i="14"/>
  <c r="U186" i="14" s="1"/>
  <c r="R186" i="14"/>
  <c r="V186" i="14"/>
  <c r="W186" i="14" s="1"/>
  <c r="AD186" i="14" s="1"/>
  <c r="AH186" i="14"/>
  <c r="N187" i="14"/>
  <c r="U187" i="14" s="1"/>
  <c r="R187" i="14"/>
  <c r="V187" i="14"/>
  <c r="X187" i="14" s="1"/>
  <c r="Y187" i="14" s="1"/>
  <c r="AH187" i="14"/>
  <c r="N188" i="14"/>
  <c r="AJ188" i="14" s="1"/>
  <c r="R188" i="14"/>
  <c r="V188" i="14"/>
  <c r="Z188" i="14" s="1"/>
  <c r="AH188" i="14"/>
  <c r="N189" i="14"/>
  <c r="U189" i="14" s="1"/>
  <c r="R189" i="14"/>
  <c r="V189" i="14"/>
  <c r="AB189" i="14" s="1"/>
  <c r="AH189" i="14"/>
  <c r="N190" i="14"/>
  <c r="U190" i="14" s="1"/>
  <c r="R190" i="14"/>
  <c r="V190" i="14"/>
  <c r="W190" i="14" s="1"/>
  <c r="AD190" i="14" s="1"/>
  <c r="AH190" i="14"/>
  <c r="N191" i="14"/>
  <c r="U191" i="14" s="1"/>
  <c r="R191" i="14"/>
  <c r="V191" i="14"/>
  <c r="X191" i="14" s="1"/>
  <c r="Y191" i="14" s="1"/>
  <c r="AH191" i="14"/>
  <c r="N192" i="14"/>
  <c r="AJ192" i="14" s="1"/>
  <c r="R192" i="14"/>
  <c r="V192" i="14"/>
  <c r="Z192" i="14" s="1"/>
  <c r="AH192" i="14"/>
  <c r="N193" i="14"/>
  <c r="U193" i="14" s="1"/>
  <c r="R193" i="14"/>
  <c r="V193" i="14"/>
  <c r="AB193" i="14" s="1"/>
  <c r="AH193" i="14"/>
  <c r="N194" i="14"/>
  <c r="U194" i="14" s="1"/>
  <c r="R194" i="14"/>
  <c r="V194" i="14"/>
  <c r="W194" i="14" s="1"/>
  <c r="AH194" i="14"/>
  <c r="N195" i="14"/>
  <c r="U195" i="14" s="1"/>
  <c r="R195" i="14"/>
  <c r="V195" i="14"/>
  <c r="X195" i="14" s="1"/>
  <c r="Y195" i="14" s="1"/>
  <c r="Z195" i="14"/>
  <c r="AH195" i="14"/>
  <c r="N196" i="14"/>
  <c r="AJ196" i="14" s="1"/>
  <c r="R196" i="14"/>
  <c r="V196" i="14"/>
  <c r="AH196" i="14"/>
  <c r="N197" i="14"/>
  <c r="U197" i="14" s="1"/>
  <c r="R197" i="14"/>
  <c r="V197" i="14"/>
  <c r="AB197" i="14" s="1"/>
  <c r="AH197" i="14"/>
  <c r="N198" i="14"/>
  <c r="U198" i="14" s="1"/>
  <c r="R198" i="14"/>
  <c r="V198" i="14"/>
  <c r="W198" i="14" s="1"/>
  <c r="AD198" i="14" s="1"/>
  <c r="AH198" i="14"/>
  <c r="N199" i="14"/>
  <c r="U199" i="14" s="1"/>
  <c r="R199" i="14"/>
  <c r="V199" i="14"/>
  <c r="X199" i="14" s="1"/>
  <c r="Y199" i="14" s="1"/>
  <c r="AH199" i="14"/>
  <c r="N200" i="14"/>
  <c r="AJ200" i="14" s="1"/>
  <c r="R200" i="14"/>
  <c r="V200" i="14"/>
  <c r="AH200" i="14"/>
  <c r="N201" i="14"/>
  <c r="U201" i="14" s="1"/>
  <c r="R201" i="14"/>
  <c r="V201" i="14"/>
  <c r="AB201" i="14" s="1"/>
  <c r="AH201" i="14"/>
  <c r="N202" i="14"/>
  <c r="U202" i="14" s="1"/>
  <c r="R202" i="14"/>
  <c r="V202" i="14"/>
  <c r="W202" i="14" s="1"/>
  <c r="AD202" i="14" s="1"/>
  <c r="AH202" i="14"/>
  <c r="N203" i="14"/>
  <c r="U203" i="14" s="1"/>
  <c r="R203" i="14"/>
  <c r="V203" i="14"/>
  <c r="X203" i="14" s="1"/>
  <c r="Y203" i="14" s="1"/>
  <c r="AH203" i="14"/>
  <c r="N204" i="14"/>
  <c r="AJ204" i="14" s="1"/>
  <c r="R204" i="14"/>
  <c r="V204" i="14"/>
  <c r="AH204" i="14"/>
  <c r="N205" i="14"/>
  <c r="U205" i="14" s="1"/>
  <c r="R205" i="14"/>
  <c r="V205" i="14"/>
  <c r="AB205" i="14" s="1"/>
  <c r="AH205" i="14"/>
  <c r="N206" i="14"/>
  <c r="U206" i="14" s="1"/>
  <c r="R206" i="14"/>
  <c r="V206" i="14"/>
  <c r="W206" i="14" s="1"/>
  <c r="AD206" i="14" s="1"/>
  <c r="AH206" i="14"/>
  <c r="N207" i="14"/>
  <c r="U207" i="14" s="1"/>
  <c r="R207" i="14"/>
  <c r="V207" i="14"/>
  <c r="X207" i="14" s="1"/>
  <c r="Y207" i="14" s="1"/>
  <c r="AH207" i="14"/>
  <c r="N208" i="14"/>
  <c r="AJ208" i="14" s="1"/>
  <c r="R208" i="14"/>
  <c r="V208" i="14"/>
  <c r="AH208" i="14"/>
  <c r="N209" i="14"/>
  <c r="U209" i="14" s="1"/>
  <c r="R209" i="14"/>
  <c r="V209" i="14"/>
  <c r="AB209" i="14" s="1"/>
  <c r="AH209" i="14"/>
  <c r="N210" i="14"/>
  <c r="U210" i="14" s="1"/>
  <c r="R210" i="14"/>
  <c r="V210" i="14"/>
  <c r="W210" i="14" s="1"/>
  <c r="AD210" i="14" s="1"/>
  <c r="AH210" i="14"/>
  <c r="N211" i="14"/>
  <c r="U211" i="14" s="1"/>
  <c r="R211" i="14"/>
  <c r="V211" i="14"/>
  <c r="X211" i="14" s="1"/>
  <c r="Y211" i="14" s="1"/>
  <c r="AH211" i="14"/>
  <c r="N212" i="14"/>
  <c r="AJ212" i="14" s="1"/>
  <c r="R212" i="14"/>
  <c r="V212" i="14"/>
  <c r="AH212" i="14"/>
  <c r="N213" i="14"/>
  <c r="U213" i="14" s="1"/>
  <c r="R213" i="14"/>
  <c r="V213" i="14"/>
  <c r="AB213" i="14" s="1"/>
  <c r="AH213" i="14"/>
  <c r="N214" i="14"/>
  <c r="U214" i="14" s="1"/>
  <c r="R214" i="14"/>
  <c r="V214" i="14"/>
  <c r="W214" i="14" s="1"/>
  <c r="AD214" i="14" s="1"/>
  <c r="AH214" i="14"/>
  <c r="N215" i="14"/>
  <c r="U215" i="14" s="1"/>
  <c r="R215" i="14"/>
  <c r="V215" i="14"/>
  <c r="X215" i="14" s="1"/>
  <c r="Y215" i="14" s="1"/>
  <c r="AH215" i="14"/>
  <c r="N216" i="14"/>
  <c r="AJ216" i="14" s="1"/>
  <c r="R216" i="14"/>
  <c r="V216" i="14"/>
  <c r="AH216" i="14"/>
  <c r="N217" i="14"/>
  <c r="U217" i="14" s="1"/>
  <c r="R217" i="14"/>
  <c r="V217" i="14"/>
  <c r="AB217" i="14" s="1"/>
  <c r="AH217" i="14"/>
  <c r="N218" i="14"/>
  <c r="U218" i="14" s="1"/>
  <c r="R218" i="14"/>
  <c r="V218" i="14"/>
  <c r="W218" i="14" s="1"/>
  <c r="AD218" i="14" s="1"/>
  <c r="AH218" i="14"/>
  <c r="N219" i="14"/>
  <c r="U219" i="14" s="1"/>
  <c r="R219" i="14"/>
  <c r="V219" i="14"/>
  <c r="X219" i="14" s="1"/>
  <c r="Y219" i="14" s="1"/>
  <c r="Z219" i="14"/>
  <c r="AH219" i="14"/>
  <c r="N220" i="14"/>
  <c r="AJ220" i="14" s="1"/>
  <c r="R220" i="14"/>
  <c r="V220" i="14"/>
  <c r="AH220" i="14"/>
  <c r="N221" i="14"/>
  <c r="U221" i="14" s="1"/>
  <c r="R221" i="14"/>
  <c r="V221" i="14"/>
  <c r="AB221" i="14" s="1"/>
  <c r="AH221" i="14"/>
  <c r="N222" i="14"/>
  <c r="U222" i="14" s="1"/>
  <c r="R222" i="14"/>
  <c r="V222" i="14"/>
  <c r="W222" i="14" s="1"/>
  <c r="AD222" i="14" s="1"/>
  <c r="AH222" i="14"/>
  <c r="N223" i="14"/>
  <c r="U223" i="14" s="1"/>
  <c r="R223" i="14"/>
  <c r="V223" i="14"/>
  <c r="X223" i="14" s="1"/>
  <c r="Y223" i="14" s="1"/>
  <c r="AH223" i="14"/>
  <c r="N224" i="14"/>
  <c r="AJ224" i="14" s="1"/>
  <c r="R224" i="14"/>
  <c r="V224" i="14"/>
  <c r="AH224" i="14"/>
  <c r="N225" i="14"/>
  <c r="U225" i="14" s="1"/>
  <c r="R225" i="14"/>
  <c r="V225" i="14"/>
  <c r="AB225" i="14" s="1"/>
  <c r="AH225" i="14"/>
  <c r="N226" i="14"/>
  <c r="U226" i="14" s="1"/>
  <c r="R226" i="14"/>
  <c r="V226" i="14"/>
  <c r="W226" i="14" s="1"/>
  <c r="AD226" i="14" s="1"/>
  <c r="AH226" i="14"/>
  <c r="N227" i="14"/>
  <c r="U227" i="14" s="1"/>
  <c r="R227" i="14"/>
  <c r="V227" i="14"/>
  <c r="X227" i="14" s="1"/>
  <c r="Y227" i="14" s="1"/>
  <c r="AH227" i="14"/>
  <c r="N228" i="14"/>
  <c r="AJ228" i="14" s="1"/>
  <c r="R228" i="14"/>
  <c r="V228" i="14"/>
  <c r="AH228" i="14"/>
  <c r="N229" i="14"/>
  <c r="U229" i="14" s="1"/>
  <c r="R229" i="14"/>
  <c r="V229" i="14"/>
  <c r="AB229" i="14" s="1"/>
  <c r="AH229" i="14"/>
  <c r="N230" i="14"/>
  <c r="U230" i="14" s="1"/>
  <c r="R230" i="14"/>
  <c r="V230" i="14"/>
  <c r="W230" i="14" s="1"/>
  <c r="AD230" i="14" s="1"/>
  <c r="AH230" i="14"/>
  <c r="N231" i="14"/>
  <c r="U231" i="14" s="1"/>
  <c r="R231" i="14"/>
  <c r="V231" i="14"/>
  <c r="X231" i="14" s="1"/>
  <c r="Y231" i="14" s="1"/>
  <c r="AH231" i="14"/>
  <c r="N232" i="14"/>
  <c r="AJ232" i="14" s="1"/>
  <c r="R232" i="14"/>
  <c r="V232" i="14"/>
  <c r="AH232" i="14"/>
  <c r="N233" i="14"/>
  <c r="U233" i="14" s="1"/>
  <c r="R233" i="14"/>
  <c r="V233" i="14"/>
  <c r="AB233" i="14" s="1"/>
  <c r="Z233" i="14"/>
  <c r="AH233" i="14"/>
  <c r="N234" i="14"/>
  <c r="U234" i="14" s="1"/>
  <c r="R234" i="14"/>
  <c r="V234" i="14"/>
  <c r="W234" i="14" s="1"/>
  <c r="AD234" i="14" s="1"/>
  <c r="AH234" i="14"/>
  <c r="N235" i="14"/>
  <c r="U235" i="14" s="1"/>
  <c r="R235" i="14"/>
  <c r="V235" i="14"/>
  <c r="X235" i="14" s="1"/>
  <c r="Y235" i="14" s="1"/>
  <c r="AH235" i="14"/>
  <c r="N236" i="14"/>
  <c r="AJ236" i="14" s="1"/>
  <c r="R236" i="14"/>
  <c r="V236" i="14"/>
  <c r="AH236" i="14"/>
  <c r="N237" i="14"/>
  <c r="U237" i="14" s="1"/>
  <c r="R237" i="14"/>
  <c r="V237" i="14"/>
  <c r="AB237" i="14" s="1"/>
  <c r="AH237" i="14"/>
  <c r="N238" i="14"/>
  <c r="U238" i="14" s="1"/>
  <c r="R238" i="14"/>
  <c r="V238" i="14"/>
  <c r="W238" i="14" s="1"/>
  <c r="AD238" i="14" s="1"/>
  <c r="AH238" i="14"/>
  <c r="N239" i="14"/>
  <c r="U239" i="14" s="1"/>
  <c r="R239" i="14"/>
  <c r="V239" i="14"/>
  <c r="X239" i="14" s="1"/>
  <c r="Y239" i="14" s="1"/>
  <c r="AH239" i="14"/>
  <c r="N240" i="14"/>
  <c r="AJ240" i="14" s="1"/>
  <c r="R240" i="14"/>
  <c r="V240" i="14"/>
  <c r="AH240" i="14"/>
  <c r="N241" i="14"/>
  <c r="U241" i="14" s="1"/>
  <c r="R241" i="14"/>
  <c r="V241" i="14"/>
  <c r="AB241" i="14" s="1"/>
  <c r="AH241" i="14"/>
  <c r="N242" i="14"/>
  <c r="U242" i="14" s="1"/>
  <c r="R242" i="14"/>
  <c r="V242" i="14"/>
  <c r="W242" i="14" s="1"/>
  <c r="AD242" i="14" s="1"/>
  <c r="AH242" i="14"/>
  <c r="N243" i="14"/>
  <c r="U243" i="14" s="1"/>
  <c r="R243" i="14"/>
  <c r="V243" i="14"/>
  <c r="X243" i="14" s="1"/>
  <c r="Y243" i="14" s="1"/>
  <c r="AH243" i="14"/>
  <c r="N244" i="14"/>
  <c r="AJ244" i="14" s="1"/>
  <c r="R244" i="14"/>
  <c r="V244" i="14"/>
  <c r="AH244" i="14"/>
  <c r="N245" i="14"/>
  <c r="U245" i="14" s="1"/>
  <c r="R245" i="14"/>
  <c r="V245" i="14"/>
  <c r="AB245" i="14" s="1"/>
  <c r="AH245" i="14"/>
  <c r="N246" i="14"/>
  <c r="U246" i="14" s="1"/>
  <c r="R246" i="14"/>
  <c r="V246" i="14"/>
  <c r="W246" i="14" s="1"/>
  <c r="AD246" i="14" s="1"/>
  <c r="AH246" i="14"/>
  <c r="N247" i="14"/>
  <c r="U247" i="14" s="1"/>
  <c r="R247" i="14"/>
  <c r="V247" i="14"/>
  <c r="X247" i="14" s="1"/>
  <c r="Y247" i="14" s="1"/>
  <c r="AH247" i="14"/>
  <c r="N248" i="14"/>
  <c r="AJ248" i="14" s="1"/>
  <c r="R248" i="14"/>
  <c r="V248" i="14"/>
  <c r="Z248" i="14" s="1"/>
  <c r="AH248" i="14"/>
  <c r="N249" i="14"/>
  <c r="U249" i="14" s="1"/>
  <c r="R249" i="14"/>
  <c r="V249" i="14"/>
  <c r="AB249" i="14" s="1"/>
  <c r="AH249" i="14"/>
  <c r="N250" i="14"/>
  <c r="U250" i="14" s="1"/>
  <c r="R250" i="14"/>
  <c r="V250" i="14"/>
  <c r="W250" i="14" s="1"/>
  <c r="AD250" i="14" s="1"/>
  <c r="AH250" i="14"/>
  <c r="N251" i="14"/>
  <c r="U251" i="14" s="1"/>
  <c r="R251" i="14"/>
  <c r="V251" i="14"/>
  <c r="X251" i="14" s="1"/>
  <c r="Y251" i="14" s="1"/>
  <c r="AH251" i="14"/>
  <c r="N252" i="14"/>
  <c r="AJ252" i="14" s="1"/>
  <c r="R252" i="14"/>
  <c r="V252" i="14"/>
  <c r="AH252" i="14"/>
  <c r="N253" i="14"/>
  <c r="V253" i="14"/>
  <c r="AB253" i="14" s="1"/>
  <c r="Z253" i="14"/>
  <c r="AH253" i="14"/>
  <c r="N254" i="14"/>
  <c r="V254" i="14"/>
  <c r="W254" i="14" s="1"/>
  <c r="AH254" i="14"/>
  <c r="N255" i="14"/>
  <c r="V255" i="14"/>
  <c r="X255" i="14" s="1"/>
  <c r="Y255" i="14" s="1"/>
  <c r="AH255" i="14"/>
  <c r="N256" i="14"/>
  <c r="AJ256" i="14" s="1"/>
  <c r="V256" i="14"/>
  <c r="AH256" i="14"/>
  <c r="N257" i="14"/>
  <c r="U257" i="14" s="1"/>
  <c r="R257" i="14"/>
  <c r="V257" i="14"/>
  <c r="AB257" i="14" s="1"/>
  <c r="AH257" i="14"/>
  <c r="N258" i="14"/>
  <c r="U258" i="14" s="1"/>
  <c r="R258" i="14"/>
  <c r="V258" i="14"/>
  <c r="W258" i="14" s="1"/>
  <c r="AD258" i="14" s="1"/>
  <c r="AH258" i="14"/>
  <c r="N259" i="14"/>
  <c r="V259" i="14"/>
  <c r="X259" i="14" s="1"/>
  <c r="Y259" i="14" s="1"/>
  <c r="AH259" i="14"/>
  <c r="N260" i="14"/>
  <c r="AJ260" i="14" s="1"/>
  <c r="V260" i="14"/>
  <c r="AH260" i="14"/>
  <c r="N261" i="14"/>
  <c r="U261" i="14" s="1"/>
  <c r="R261" i="14"/>
  <c r="V261" i="14"/>
  <c r="AB261" i="14" s="1"/>
  <c r="AH261" i="14"/>
  <c r="N262" i="14"/>
  <c r="U262" i="14" s="1"/>
  <c r="R262" i="14"/>
  <c r="V262" i="14"/>
  <c r="W262" i="14" s="1"/>
  <c r="AD262" i="14" s="1"/>
  <c r="AH262" i="14"/>
  <c r="N263" i="14"/>
  <c r="R263" i="14"/>
  <c r="V263" i="14"/>
  <c r="AB263" i="14" s="1"/>
  <c r="Z263" i="14"/>
  <c r="AA263" i="14" s="1"/>
  <c r="AG263" i="14" s="1"/>
  <c r="AH263" i="14"/>
  <c r="N264" i="14"/>
  <c r="R264" i="14"/>
  <c r="V264" i="14"/>
  <c r="AB264" i="14" s="1"/>
  <c r="Z264" i="14"/>
  <c r="AA264" i="14" s="1"/>
  <c r="AG264" i="14" s="1"/>
  <c r="AH264" i="14"/>
  <c r="N265" i="14"/>
  <c r="R265" i="14"/>
  <c r="V265" i="14"/>
  <c r="AB265" i="14" s="1"/>
  <c r="Z265" i="14"/>
  <c r="AA265" i="14" s="1"/>
  <c r="AG265" i="14" s="1"/>
  <c r="AH265" i="14"/>
  <c r="N266" i="14"/>
  <c r="R266" i="14"/>
  <c r="V266" i="14"/>
  <c r="AB266" i="14" s="1"/>
  <c r="Z266" i="14"/>
  <c r="AA266" i="14" s="1"/>
  <c r="AG266" i="14" s="1"/>
  <c r="AH266" i="14"/>
  <c r="N267" i="14"/>
  <c r="R267" i="14"/>
  <c r="V267" i="14"/>
  <c r="AB267" i="14" s="1"/>
  <c r="Z267" i="14"/>
  <c r="AA267" i="14" s="1"/>
  <c r="AG267" i="14" s="1"/>
  <c r="AH267" i="14"/>
  <c r="N268" i="14"/>
  <c r="R268" i="14"/>
  <c r="V268" i="14"/>
  <c r="AB268" i="14" s="1"/>
  <c r="Z268" i="14"/>
  <c r="AA268" i="14" s="1"/>
  <c r="AG268" i="14" s="1"/>
  <c r="AH268" i="14"/>
  <c r="N269" i="14"/>
  <c r="R269" i="14"/>
  <c r="V269" i="14"/>
  <c r="AB269" i="14" s="1"/>
  <c r="Z269" i="14"/>
  <c r="AA269" i="14" s="1"/>
  <c r="AG269" i="14" s="1"/>
  <c r="AH269" i="14"/>
  <c r="N270" i="14"/>
  <c r="R270" i="14"/>
  <c r="V270" i="14"/>
  <c r="AB270" i="14" s="1"/>
  <c r="Z270" i="14"/>
  <c r="AA270" i="14" s="1"/>
  <c r="AG270" i="14" s="1"/>
  <c r="AH270" i="14"/>
  <c r="N271" i="14"/>
  <c r="R271" i="14"/>
  <c r="V271" i="14"/>
  <c r="AB271" i="14" s="1"/>
  <c r="Z271" i="14"/>
  <c r="AA271" i="14" s="1"/>
  <c r="AG271" i="14" s="1"/>
  <c r="AH271" i="14"/>
  <c r="N272" i="14"/>
  <c r="R272" i="14"/>
  <c r="V272" i="14"/>
  <c r="AB272" i="14" s="1"/>
  <c r="Z272" i="14"/>
  <c r="AA272" i="14" s="1"/>
  <c r="AG272" i="14" s="1"/>
  <c r="AH272" i="14"/>
  <c r="N273" i="14"/>
  <c r="R273" i="14"/>
  <c r="V273" i="14"/>
  <c r="AB273" i="14" s="1"/>
  <c r="Z273" i="14"/>
  <c r="AA273" i="14" s="1"/>
  <c r="AG273" i="14" s="1"/>
  <c r="AH273" i="14"/>
  <c r="N274" i="14"/>
  <c r="R274" i="14"/>
  <c r="V274" i="14"/>
  <c r="AB274" i="14" s="1"/>
  <c r="Z274" i="14"/>
  <c r="AA274" i="14" s="1"/>
  <c r="AG274" i="14" s="1"/>
  <c r="AH274" i="14"/>
  <c r="N275" i="14"/>
  <c r="R275" i="14"/>
  <c r="V275" i="14"/>
  <c r="AB275" i="14" s="1"/>
  <c r="Z275" i="14"/>
  <c r="AA275" i="14" s="1"/>
  <c r="AG275" i="14" s="1"/>
  <c r="AH275" i="14"/>
  <c r="N276" i="14"/>
  <c r="R276" i="14"/>
  <c r="V276" i="14"/>
  <c r="AB276" i="14" s="1"/>
  <c r="Z276" i="14"/>
  <c r="AA276" i="14" s="1"/>
  <c r="AG276" i="14" s="1"/>
  <c r="AH276" i="14"/>
  <c r="N277" i="14"/>
  <c r="R277" i="14"/>
  <c r="V277" i="14"/>
  <c r="AB277" i="14" s="1"/>
  <c r="Z277" i="14"/>
  <c r="AA277" i="14" s="1"/>
  <c r="AG277" i="14" s="1"/>
  <c r="AH277" i="14"/>
  <c r="N278" i="14"/>
  <c r="R278" i="14"/>
  <c r="V278" i="14"/>
  <c r="AB278" i="14" s="1"/>
  <c r="Z278" i="14"/>
  <c r="AA278" i="14" s="1"/>
  <c r="AG278" i="14" s="1"/>
  <c r="AH278" i="14"/>
  <c r="N279" i="14"/>
  <c r="R279" i="14"/>
  <c r="V279" i="14"/>
  <c r="AB279" i="14" s="1"/>
  <c r="Z279" i="14"/>
  <c r="AA279" i="14" s="1"/>
  <c r="AG279" i="14" s="1"/>
  <c r="AH279" i="14"/>
  <c r="N280" i="14"/>
  <c r="R280" i="14"/>
  <c r="V280" i="14"/>
  <c r="AB280" i="14" s="1"/>
  <c r="Z280" i="14"/>
  <c r="AA280" i="14" s="1"/>
  <c r="AG280" i="14" s="1"/>
  <c r="AH280" i="14"/>
  <c r="N281" i="14"/>
  <c r="R281" i="14"/>
  <c r="V281" i="14"/>
  <c r="AB281" i="14" s="1"/>
  <c r="Z281" i="14"/>
  <c r="AA281" i="14" s="1"/>
  <c r="AG281" i="14" s="1"/>
  <c r="AH281" i="14"/>
  <c r="N282" i="14"/>
  <c r="R282" i="14"/>
  <c r="V282" i="14"/>
  <c r="AB282" i="14" s="1"/>
  <c r="Z282" i="14"/>
  <c r="AA282" i="14" s="1"/>
  <c r="AG282" i="14" s="1"/>
  <c r="AH282" i="14"/>
  <c r="N283" i="14"/>
  <c r="R283" i="14"/>
  <c r="V283" i="14"/>
  <c r="AB283" i="14" s="1"/>
  <c r="Z283" i="14"/>
  <c r="AA283" i="14" s="1"/>
  <c r="AG283" i="14" s="1"/>
  <c r="AH283" i="14"/>
  <c r="N284" i="14"/>
  <c r="R284" i="14"/>
  <c r="V284" i="14"/>
  <c r="AB284" i="14" s="1"/>
  <c r="Z284" i="14"/>
  <c r="AA284" i="14" s="1"/>
  <c r="AG284" i="14" s="1"/>
  <c r="AH284" i="14"/>
  <c r="N285" i="14"/>
  <c r="R285" i="14"/>
  <c r="V285" i="14"/>
  <c r="AB285" i="14" s="1"/>
  <c r="Z285" i="14"/>
  <c r="AA285" i="14" s="1"/>
  <c r="AG285" i="14" s="1"/>
  <c r="AH285" i="14"/>
  <c r="N286" i="14"/>
  <c r="R286" i="14"/>
  <c r="V286" i="14"/>
  <c r="AB286" i="14" s="1"/>
  <c r="Z286" i="14"/>
  <c r="AA286" i="14" s="1"/>
  <c r="AG286" i="14" s="1"/>
  <c r="AH286" i="14"/>
  <c r="N287" i="14"/>
  <c r="R287" i="14"/>
  <c r="V287" i="14"/>
  <c r="AB287" i="14" s="1"/>
  <c r="Z287" i="14"/>
  <c r="AA287" i="14" s="1"/>
  <c r="AG287" i="14" s="1"/>
  <c r="AH287" i="14"/>
  <c r="N288" i="14"/>
  <c r="R288" i="14"/>
  <c r="V288" i="14"/>
  <c r="AB288" i="14" s="1"/>
  <c r="Z288" i="14"/>
  <c r="AA288" i="14" s="1"/>
  <c r="AG288" i="14" s="1"/>
  <c r="AH288" i="14"/>
  <c r="N289" i="14"/>
  <c r="R289" i="14"/>
  <c r="V289" i="14"/>
  <c r="AB289" i="14" s="1"/>
  <c r="Z289" i="14"/>
  <c r="AA289" i="14" s="1"/>
  <c r="AG289" i="14" s="1"/>
  <c r="AH289" i="14"/>
  <c r="N290" i="14"/>
  <c r="R290" i="14"/>
  <c r="V290" i="14"/>
  <c r="AB290" i="14" s="1"/>
  <c r="Z290" i="14"/>
  <c r="AA290" i="14" s="1"/>
  <c r="AG290" i="14" s="1"/>
  <c r="AH290" i="14"/>
  <c r="N291" i="14"/>
  <c r="R291" i="14"/>
  <c r="V291" i="14"/>
  <c r="AB291" i="14" s="1"/>
  <c r="Z291" i="14"/>
  <c r="AA291" i="14" s="1"/>
  <c r="AG291" i="14" s="1"/>
  <c r="AH291" i="14"/>
  <c r="N292" i="14"/>
  <c r="R292" i="14"/>
  <c r="V292" i="14"/>
  <c r="AB292" i="14" s="1"/>
  <c r="Z292" i="14"/>
  <c r="AA292" i="14" s="1"/>
  <c r="AG292" i="14" s="1"/>
  <c r="AH292" i="14"/>
  <c r="N293" i="14"/>
  <c r="R293" i="14"/>
  <c r="V293" i="14"/>
  <c r="AB293" i="14" s="1"/>
  <c r="Z293" i="14"/>
  <c r="AA293" i="14" s="1"/>
  <c r="AG293" i="14" s="1"/>
  <c r="AH293" i="14"/>
  <c r="N294" i="14"/>
  <c r="R294" i="14"/>
  <c r="V294" i="14"/>
  <c r="AB294" i="14" s="1"/>
  <c r="Z294" i="14"/>
  <c r="AA294" i="14" s="1"/>
  <c r="AG294" i="14" s="1"/>
  <c r="AH294" i="14"/>
  <c r="N295" i="14"/>
  <c r="R295" i="14"/>
  <c r="V295" i="14"/>
  <c r="AB295" i="14" s="1"/>
  <c r="Z295" i="14"/>
  <c r="AA295" i="14" s="1"/>
  <c r="AG295" i="14" s="1"/>
  <c r="AH295" i="14"/>
  <c r="N296" i="14"/>
  <c r="R296" i="14"/>
  <c r="V296" i="14"/>
  <c r="AB296" i="14" s="1"/>
  <c r="Z296" i="14"/>
  <c r="AA296" i="14" s="1"/>
  <c r="AG296" i="14" s="1"/>
  <c r="AH296" i="14"/>
  <c r="N297" i="14"/>
  <c r="R297" i="14"/>
  <c r="V297" i="14"/>
  <c r="AB297" i="14" s="1"/>
  <c r="Z297" i="14"/>
  <c r="AA297" i="14" s="1"/>
  <c r="AG297" i="14" s="1"/>
  <c r="AH297" i="14"/>
  <c r="N298" i="14"/>
  <c r="R298" i="14"/>
  <c r="V298" i="14"/>
  <c r="AB298" i="14" s="1"/>
  <c r="Z298" i="14"/>
  <c r="AA298" i="14" s="1"/>
  <c r="AG298" i="14" s="1"/>
  <c r="AH298" i="14"/>
  <c r="N299" i="14"/>
  <c r="R299" i="14"/>
  <c r="V299" i="14"/>
  <c r="AB299" i="14" s="1"/>
  <c r="Z299" i="14"/>
  <c r="AA299" i="14" s="1"/>
  <c r="AG299" i="14" s="1"/>
  <c r="AH299" i="14"/>
  <c r="N300" i="14"/>
  <c r="R300" i="14"/>
  <c r="V300" i="14"/>
  <c r="AB300" i="14" s="1"/>
  <c r="Z300" i="14"/>
  <c r="AA300" i="14" s="1"/>
  <c r="AG300" i="14" s="1"/>
  <c r="AH300" i="14"/>
  <c r="N301" i="14"/>
  <c r="R301" i="14"/>
  <c r="V301" i="14"/>
  <c r="AB301" i="14" s="1"/>
  <c r="Z301" i="14"/>
  <c r="AA301" i="14" s="1"/>
  <c r="AG301" i="14" s="1"/>
  <c r="AH301" i="14"/>
  <c r="N302" i="14"/>
  <c r="R302" i="14"/>
  <c r="V302" i="14"/>
  <c r="AB302" i="14" s="1"/>
  <c r="Z302" i="14"/>
  <c r="AA302" i="14" s="1"/>
  <c r="AG302" i="14" s="1"/>
  <c r="AH302" i="14"/>
  <c r="N303" i="14"/>
  <c r="R303" i="14"/>
  <c r="V303" i="14"/>
  <c r="AB303" i="14" s="1"/>
  <c r="Z303" i="14"/>
  <c r="AA303" i="14" s="1"/>
  <c r="AG303" i="14" s="1"/>
  <c r="AH303" i="14"/>
  <c r="N304" i="14"/>
  <c r="R304" i="14"/>
  <c r="V304" i="14"/>
  <c r="AB304" i="14" s="1"/>
  <c r="Z304" i="14"/>
  <c r="AA304" i="14" s="1"/>
  <c r="AG304" i="14" s="1"/>
  <c r="AH304" i="14"/>
  <c r="N305" i="14"/>
  <c r="R305" i="14"/>
  <c r="V305" i="14"/>
  <c r="AB305" i="14" s="1"/>
  <c r="Z305" i="14"/>
  <c r="AA305" i="14" s="1"/>
  <c r="AG305" i="14" s="1"/>
  <c r="AH305" i="14"/>
  <c r="N306" i="14"/>
  <c r="R306" i="14"/>
  <c r="V306" i="14"/>
  <c r="AB306" i="14" s="1"/>
  <c r="Z306" i="14"/>
  <c r="AA306" i="14" s="1"/>
  <c r="AG306" i="14" s="1"/>
  <c r="AH306" i="14"/>
  <c r="N307" i="14"/>
  <c r="R307" i="14"/>
  <c r="V307" i="14"/>
  <c r="AB307" i="14" s="1"/>
  <c r="Z307" i="14"/>
  <c r="AA307" i="14" s="1"/>
  <c r="AG307" i="14" s="1"/>
  <c r="AH307" i="14"/>
  <c r="N308" i="14"/>
  <c r="R308" i="14"/>
  <c r="V308" i="14"/>
  <c r="AB308" i="14" s="1"/>
  <c r="Z308" i="14"/>
  <c r="AA308" i="14" s="1"/>
  <c r="AG308" i="14" s="1"/>
  <c r="AH308" i="14"/>
  <c r="N309" i="14"/>
  <c r="R309" i="14"/>
  <c r="V309" i="14"/>
  <c r="AB309" i="14" s="1"/>
  <c r="Z309" i="14"/>
  <c r="AA309" i="14" s="1"/>
  <c r="AG309" i="14" s="1"/>
  <c r="AH309" i="14"/>
  <c r="N310" i="14"/>
  <c r="R310" i="14"/>
  <c r="V310" i="14"/>
  <c r="AB310" i="14" s="1"/>
  <c r="Z310" i="14"/>
  <c r="AA310" i="14" s="1"/>
  <c r="AG310" i="14" s="1"/>
  <c r="AH310" i="14"/>
  <c r="N311" i="14"/>
  <c r="R311" i="14"/>
  <c r="V311" i="14"/>
  <c r="AB311" i="14" s="1"/>
  <c r="Z311" i="14"/>
  <c r="AA311" i="14" s="1"/>
  <c r="AG311" i="14" s="1"/>
  <c r="AH311" i="14"/>
  <c r="N312" i="14"/>
  <c r="R312" i="14"/>
  <c r="V312" i="14"/>
  <c r="AB312" i="14" s="1"/>
  <c r="Z312" i="14"/>
  <c r="AA312" i="14" s="1"/>
  <c r="AG312" i="14" s="1"/>
  <c r="AH312" i="14"/>
  <c r="N313" i="14"/>
  <c r="R313" i="14"/>
  <c r="V313" i="14"/>
  <c r="AB313" i="14" s="1"/>
  <c r="Z313" i="14"/>
  <c r="AA313" i="14" s="1"/>
  <c r="AG313" i="14" s="1"/>
  <c r="AH313" i="14"/>
  <c r="N314" i="14"/>
  <c r="R314" i="14"/>
  <c r="V314" i="14"/>
  <c r="AB314" i="14" s="1"/>
  <c r="Z314" i="14"/>
  <c r="AA314" i="14" s="1"/>
  <c r="AG314" i="14" s="1"/>
  <c r="AH314" i="14"/>
  <c r="N315" i="14"/>
  <c r="R315" i="14"/>
  <c r="V315" i="14"/>
  <c r="AB315" i="14" s="1"/>
  <c r="Z315" i="14"/>
  <c r="AA315" i="14" s="1"/>
  <c r="AG315" i="14" s="1"/>
  <c r="AH315" i="14"/>
  <c r="N316" i="14"/>
  <c r="R316" i="14"/>
  <c r="V316" i="14"/>
  <c r="AB316" i="14" s="1"/>
  <c r="Z316" i="14"/>
  <c r="AA316" i="14" s="1"/>
  <c r="AG316" i="14" s="1"/>
  <c r="AH316" i="14"/>
  <c r="N317" i="14"/>
  <c r="R317" i="14"/>
  <c r="V317" i="14"/>
  <c r="AB317" i="14" s="1"/>
  <c r="Z317" i="14"/>
  <c r="AA317" i="14" s="1"/>
  <c r="AG317" i="14" s="1"/>
  <c r="AH317" i="14"/>
  <c r="N318" i="14"/>
  <c r="R318" i="14"/>
  <c r="V318" i="14"/>
  <c r="AB318" i="14" s="1"/>
  <c r="Z318" i="14"/>
  <c r="AA318" i="14" s="1"/>
  <c r="AG318" i="14" s="1"/>
  <c r="AH318" i="14"/>
  <c r="N319" i="14"/>
  <c r="R319" i="14"/>
  <c r="V319" i="14"/>
  <c r="AB319" i="14" s="1"/>
  <c r="Z319" i="14"/>
  <c r="AA319" i="14" s="1"/>
  <c r="AG319" i="14" s="1"/>
  <c r="AH319" i="14"/>
  <c r="N320" i="14"/>
  <c r="R320" i="14"/>
  <c r="V320" i="14"/>
  <c r="AB320" i="14" s="1"/>
  <c r="Z320" i="14"/>
  <c r="AA320" i="14" s="1"/>
  <c r="AG320" i="14" s="1"/>
  <c r="AH320" i="14"/>
  <c r="N321" i="14"/>
  <c r="R321" i="14"/>
  <c r="V321" i="14"/>
  <c r="AB321" i="14" s="1"/>
  <c r="Z321" i="14"/>
  <c r="AA321" i="14" s="1"/>
  <c r="AG321" i="14" s="1"/>
  <c r="AH321" i="14"/>
  <c r="N322" i="14"/>
  <c r="R322" i="14"/>
  <c r="V322" i="14"/>
  <c r="AB322" i="14" s="1"/>
  <c r="Z322" i="14"/>
  <c r="AA322" i="14" s="1"/>
  <c r="AG322" i="14" s="1"/>
  <c r="AH322" i="14"/>
  <c r="N323" i="14"/>
  <c r="R323" i="14"/>
  <c r="V323" i="14"/>
  <c r="AB323" i="14" s="1"/>
  <c r="Z323" i="14"/>
  <c r="AA323" i="14" s="1"/>
  <c r="AG323" i="14" s="1"/>
  <c r="AH323" i="14"/>
  <c r="N324" i="14"/>
  <c r="R324" i="14"/>
  <c r="V324" i="14"/>
  <c r="AB324" i="14" s="1"/>
  <c r="Z324" i="14"/>
  <c r="AA324" i="14" s="1"/>
  <c r="AG324" i="14" s="1"/>
  <c r="AH324" i="14"/>
  <c r="N325" i="14"/>
  <c r="R325" i="14"/>
  <c r="V325" i="14"/>
  <c r="AB325" i="14" s="1"/>
  <c r="Z325" i="14"/>
  <c r="AA325" i="14" s="1"/>
  <c r="AG325" i="14" s="1"/>
  <c r="AH325" i="14"/>
  <c r="N326" i="14"/>
  <c r="R326" i="14"/>
  <c r="V326" i="14"/>
  <c r="AB326" i="14" s="1"/>
  <c r="Z326" i="14"/>
  <c r="AA326" i="14" s="1"/>
  <c r="AG326" i="14" s="1"/>
  <c r="AH326" i="14"/>
  <c r="N327" i="14"/>
  <c r="R327" i="14"/>
  <c r="V327" i="14"/>
  <c r="AB327" i="14" s="1"/>
  <c r="Z327" i="14"/>
  <c r="AA327" i="14" s="1"/>
  <c r="AG327" i="14" s="1"/>
  <c r="AH327" i="14"/>
  <c r="N328" i="14"/>
  <c r="R328" i="14"/>
  <c r="V328" i="14"/>
  <c r="AB328" i="14" s="1"/>
  <c r="Z328" i="14"/>
  <c r="AA328" i="14" s="1"/>
  <c r="AG328" i="14" s="1"/>
  <c r="AH328" i="14"/>
  <c r="N329" i="14"/>
  <c r="R329" i="14"/>
  <c r="V329" i="14"/>
  <c r="AB329" i="14" s="1"/>
  <c r="Z329" i="14"/>
  <c r="AA329" i="14" s="1"/>
  <c r="AG329" i="14" s="1"/>
  <c r="AH329" i="14"/>
  <c r="N330" i="14"/>
  <c r="R330" i="14"/>
  <c r="V330" i="14"/>
  <c r="AB330" i="14" s="1"/>
  <c r="Z330" i="14"/>
  <c r="AA330" i="14" s="1"/>
  <c r="AG330" i="14" s="1"/>
  <c r="AH330" i="14"/>
  <c r="N331" i="14"/>
  <c r="R331" i="14"/>
  <c r="V331" i="14"/>
  <c r="AB331" i="14" s="1"/>
  <c r="Z331" i="14"/>
  <c r="AA331" i="14" s="1"/>
  <c r="AG331" i="14" s="1"/>
  <c r="AH331" i="14"/>
  <c r="N332" i="14"/>
  <c r="R332" i="14"/>
  <c r="V332" i="14"/>
  <c r="AB332" i="14" s="1"/>
  <c r="Z332" i="14"/>
  <c r="AA332" i="14" s="1"/>
  <c r="AG332" i="14" s="1"/>
  <c r="AH332" i="14"/>
  <c r="N333" i="14"/>
  <c r="R333" i="14"/>
  <c r="V333" i="14"/>
  <c r="AB333" i="14" s="1"/>
  <c r="Z333" i="14"/>
  <c r="AA333" i="14" s="1"/>
  <c r="AG333" i="14" s="1"/>
  <c r="AH333" i="14"/>
  <c r="N334" i="14"/>
  <c r="R334" i="14"/>
  <c r="V334" i="14"/>
  <c r="AB334" i="14" s="1"/>
  <c r="Z334" i="14"/>
  <c r="AA334" i="14" s="1"/>
  <c r="AG334" i="14" s="1"/>
  <c r="AH334" i="14"/>
  <c r="N335" i="14"/>
  <c r="R335" i="14"/>
  <c r="V335" i="14"/>
  <c r="AB335" i="14" s="1"/>
  <c r="Z335" i="14"/>
  <c r="AA335" i="14" s="1"/>
  <c r="AG335" i="14" s="1"/>
  <c r="AH335" i="14"/>
  <c r="N336" i="14"/>
  <c r="R336" i="14"/>
  <c r="V336" i="14"/>
  <c r="AB336" i="14" s="1"/>
  <c r="Z336" i="14"/>
  <c r="AA336" i="14" s="1"/>
  <c r="AG336" i="14" s="1"/>
  <c r="AH336" i="14"/>
  <c r="N337" i="14"/>
  <c r="R337" i="14"/>
  <c r="V337" i="14"/>
  <c r="AB337" i="14" s="1"/>
  <c r="Z337" i="14"/>
  <c r="AA337" i="14" s="1"/>
  <c r="AG337" i="14" s="1"/>
  <c r="AH337" i="14"/>
  <c r="N338" i="14"/>
  <c r="R338" i="14"/>
  <c r="V338" i="14"/>
  <c r="AB338" i="14" s="1"/>
  <c r="Z338" i="14"/>
  <c r="AA338" i="14" s="1"/>
  <c r="AG338" i="14" s="1"/>
  <c r="AH338" i="14"/>
  <c r="N339" i="14"/>
  <c r="R339" i="14"/>
  <c r="V339" i="14"/>
  <c r="AB339" i="14" s="1"/>
  <c r="Z339" i="14"/>
  <c r="AA339" i="14" s="1"/>
  <c r="AG339" i="14" s="1"/>
  <c r="AH339" i="14"/>
  <c r="N340" i="14"/>
  <c r="R340" i="14"/>
  <c r="V340" i="14"/>
  <c r="AB340" i="14" s="1"/>
  <c r="Z340" i="14"/>
  <c r="AA340" i="14" s="1"/>
  <c r="AG340" i="14" s="1"/>
  <c r="AH340" i="14"/>
  <c r="N341" i="14"/>
  <c r="R341" i="14"/>
  <c r="V341" i="14"/>
  <c r="AB341" i="14" s="1"/>
  <c r="Z341" i="14"/>
  <c r="AA341" i="14" s="1"/>
  <c r="AG341" i="14" s="1"/>
  <c r="AH341" i="14"/>
  <c r="N342" i="14"/>
  <c r="R342" i="14"/>
  <c r="V342" i="14"/>
  <c r="AB342" i="14" s="1"/>
  <c r="Z342" i="14"/>
  <c r="AA342" i="14" s="1"/>
  <c r="AG342" i="14" s="1"/>
  <c r="AH342" i="14"/>
  <c r="N343" i="14"/>
  <c r="R343" i="14"/>
  <c r="V343" i="14"/>
  <c r="AB343" i="14" s="1"/>
  <c r="Z343" i="14"/>
  <c r="AA343" i="14" s="1"/>
  <c r="AG343" i="14" s="1"/>
  <c r="AH343" i="14"/>
  <c r="N344" i="14"/>
  <c r="R344" i="14"/>
  <c r="V344" i="14"/>
  <c r="AB344" i="14" s="1"/>
  <c r="Z344" i="14"/>
  <c r="AA344" i="14" s="1"/>
  <c r="AG344" i="14" s="1"/>
  <c r="AH344" i="14"/>
  <c r="N345" i="14"/>
  <c r="R345" i="14"/>
  <c r="V345" i="14"/>
  <c r="AB345" i="14" s="1"/>
  <c r="Z345" i="14"/>
  <c r="AA345" i="14" s="1"/>
  <c r="AG345" i="14" s="1"/>
  <c r="AH345" i="14"/>
  <c r="N346" i="14"/>
  <c r="R346" i="14"/>
  <c r="V346" i="14"/>
  <c r="AB346" i="14" s="1"/>
  <c r="Z346" i="14"/>
  <c r="AA346" i="14" s="1"/>
  <c r="AG346" i="14" s="1"/>
  <c r="AH346" i="14"/>
  <c r="N347" i="14"/>
  <c r="R347" i="14"/>
  <c r="V347" i="14"/>
  <c r="AB347" i="14" s="1"/>
  <c r="Z347" i="14"/>
  <c r="AA347" i="14" s="1"/>
  <c r="AG347" i="14" s="1"/>
  <c r="AH347" i="14"/>
  <c r="N348" i="14"/>
  <c r="R348" i="14"/>
  <c r="V348" i="14"/>
  <c r="AB348" i="14" s="1"/>
  <c r="Z348" i="14"/>
  <c r="AA348" i="14" s="1"/>
  <c r="AG348" i="14" s="1"/>
  <c r="AH348" i="14"/>
  <c r="N349" i="14"/>
  <c r="R349" i="14"/>
  <c r="V349" i="14"/>
  <c r="AB349" i="14" s="1"/>
  <c r="Z349" i="14"/>
  <c r="AA349" i="14" s="1"/>
  <c r="AG349" i="14" s="1"/>
  <c r="AH349" i="14"/>
  <c r="N350" i="14"/>
  <c r="R350" i="14"/>
  <c r="V350" i="14"/>
  <c r="AB350" i="14" s="1"/>
  <c r="Z350" i="14"/>
  <c r="AA350" i="14" s="1"/>
  <c r="AG350" i="14" s="1"/>
  <c r="AH350" i="14"/>
  <c r="N351" i="14"/>
  <c r="R351" i="14"/>
  <c r="V351" i="14"/>
  <c r="AB351" i="14" s="1"/>
  <c r="Z351" i="14"/>
  <c r="AA351" i="14" s="1"/>
  <c r="AG351" i="14" s="1"/>
  <c r="AH351" i="14"/>
  <c r="N352" i="14"/>
  <c r="R352" i="14"/>
  <c r="V352" i="14"/>
  <c r="AB352" i="14" s="1"/>
  <c r="Z352" i="14"/>
  <c r="AA352" i="14" s="1"/>
  <c r="AG352" i="14" s="1"/>
  <c r="AH352" i="14"/>
  <c r="N353" i="14"/>
  <c r="R353" i="14"/>
  <c r="V353" i="14"/>
  <c r="AB353" i="14" s="1"/>
  <c r="Z353" i="14"/>
  <c r="AA353" i="14" s="1"/>
  <c r="AG353" i="14" s="1"/>
  <c r="AH353" i="14"/>
  <c r="N354" i="14"/>
  <c r="R354" i="14"/>
  <c r="V354" i="14"/>
  <c r="AB354" i="14" s="1"/>
  <c r="Z354" i="14"/>
  <c r="AA354" i="14" s="1"/>
  <c r="AG354" i="14" s="1"/>
  <c r="AH354" i="14"/>
  <c r="N355" i="14"/>
  <c r="R355" i="14"/>
  <c r="V355" i="14"/>
  <c r="AB355" i="14" s="1"/>
  <c r="Z355" i="14"/>
  <c r="AA355" i="14" s="1"/>
  <c r="AG355" i="14" s="1"/>
  <c r="AH355" i="14"/>
  <c r="N356" i="14"/>
  <c r="R356" i="14"/>
  <c r="V356" i="14"/>
  <c r="AB356" i="14" s="1"/>
  <c r="Z356" i="14"/>
  <c r="AA356" i="14" s="1"/>
  <c r="AG356" i="14" s="1"/>
  <c r="AH356" i="14"/>
  <c r="N357" i="14"/>
  <c r="R357" i="14"/>
  <c r="V357" i="14"/>
  <c r="AB357" i="14" s="1"/>
  <c r="Z357" i="14"/>
  <c r="AA357" i="14" s="1"/>
  <c r="AG357" i="14" s="1"/>
  <c r="AH357" i="14"/>
  <c r="N358" i="14"/>
  <c r="R358" i="14"/>
  <c r="V358" i="14"/>
  <c r="AB358" i="14" s="1"/>
  <c r="Z358" i="14"/>
  <c r="AA358" i="14" s="1"/>
  <c r="AG358" i="14" s="1"/>
  <c r="AH358" i="14"/>
  <c r="N359" i="14"/>
  <c r="R359" i="14"/>
  <c r="V359" i="14"/>
  <c r="AB359" i="14" s="1"/>
  <c r="Z359" i="14"/>
  <c r="AA359" i="14" s="1"/>
  <c r="AG359" i="14" s="1"/>
  <c r="AH359" i="14"/>
  <c r="N360" i="14"/>
  <c r="R360" i="14"/>
  <c r="V360" i="14"/>
  <c r="AB360" i="14" s="1"/>
  <c r="Z360" i="14"/>
  <c r="AA360" i="14" s="1"/>
  <c r="AG360" i="14" s="1"/>
  <c r="AK360" i="14"/>
  <c r="AC6" i="15"/>
  <c r="AE6" i="15" s="1"/>
  <c r="AC2" i="15"/>
  <c r="AE2" i="15" s="1"/>
  <c r="X10" i="15"/>
  <c r="Y10" i="15" s="1"/>
  <c r="AC11" i="15"/>
  <c r="AE11" i="15" s="1"/>
  <c r="M11" i="15"/>
  <c r="O11" i="15" s="1"/>
  <c r="U11" i="15" s="1"/>
  <c r="AI11" i="15"/>
  <c r="V11" i="15"/>
  <c r="X11" i="15" s="1"/>
  <c r="Y11" i="15" s="1"/>
  <c r="N11" i="15"/>
  <c r="AB11" i="15"/>
  <c r="P12" i="15"/>
  <c r="X14" i="15"/>
  <c r="Y14" i="15" s="1"/>
  <c r="AC15" i="15"/>
  <c r="AE15" i="15" s="1"/>
  <c r="M15" i="15"/>
  <c r="O15" i="15" s="1"/>
  <c r="R15" i="15" s="1"/>
  <c r="V15" i="15"/>
  <c r="X15" i="15" s="1"/>
  <c r="Y15" i="15" s="1"/>
  <c r="P16" i="15"/>
  <c r="X18" i="15"/>
  <c r="Y18" i="15" s="1"/>
  <c r="AC19" i="15"/>
  <c r="AE19" i="15" s="1"/>
  <c r="M19" i="15"/>
  <c r="O19" i="15" s="1"/>
  <c r="R19" i="15" s="1"/>
  <c r="V19" i="15"/>
  <c r="X19" i="15" s="1"/>
  <c r="Y19" i="15" s="1"/>
  <c r="AB19" i="15"/>
  <c r="P20" i="15"/>
  <c r="X22" i="15"/>
  <c r="AC23" i="15"/>
  <c r="AE23" i="15" s="1"/>
  <c r="Q23" i="15"/>
  <c r="AK23" i="15" s="1"/>
  <c r="M23" i="15"/>
  <c r="O23" i="15" s="1"/>
  <c r="V23" i="15"/>
  <c r="X23" i="15" s="1"/>
  <c r="Y23" i="15" s="1"/>
  <c r="N23" i="15"/>
  <c r="AI23" i="15" s="1"/>
  <c r="P24" i="15"/>
  <c r="AC27" i="15"/>
  <c r="AE27" i="15" s="1"/>
  <c r="Q27" i="15"/>
  <c r="AK27" i="15" s="1"/>
  <c r="M27" i="15"/>
  <c r="AI27" i="15"/>
  <c r="O27" i="15"/>
  <c r="U27" i="15" s="1"/>
  <c r="V27" i="15"/>
  <c r="X27" i="15" s="1"/>
  <c r="Y27" i="15" s="1"/>
  <c r="N27" i="15"/>
  <c r="P28" i="15"/>
  <c r="X30" i="15"/>
  <c r="Y30" i="15" s="1"/>
  <c r="AC31" i="15"/>
  <c r="AE31" i="15" s="1"/>
  <c r="M31" i="15"/>
  <c r="O31" i="15" s="1"/>
  <c r="R31" i="15" s="1"/>
  <c r="V31" i="15"/>
  <c r="X31" i="15" s="1"/>
  <c r="Y31" i="15" s="1"/>
  <c r="P32" i="15"/>
  <c r="X34" i="15"/>
  <c r="Y34" i="15" s="1"/>
  <c r="AC35" i="15"/>
  <c r="AE35" i="15" s="1"/>
  <c r="M35" i="15"/>
  <c r="O35" i="15" s="1"/>
  <c r="R35" i="15" s="1"/>
  <c r="V35" i="15"/>
  <c r="X35" i="15" s="1"/>
  <c r="Y35" i="15" s="1"/>
  <c r="AB35" i="15"/>
  <c r="P36" i="15"/>
  <c r="X38" i="15"/>
  <c r="AC39" i="15"/>
  <c r="AE39" i="15" s="1"/>
  <c r="Q39" i="15"/>
  <c r="AK39" i="15" s="1"/>
  <c r="M39" i="15"/>
  <c r="O39" i="15" s="1"/>
  <c r="V39" i="15"/>
  <c r="X39" i="15" s="1"/>
  <c r="Y39" i="15" s="1"/>
  <c r="N39" i="15"/>
  <c r="AI39" i="15" s="1"/>
  <c r="P40" i="15"/>
  <c r="AC42" i="15"/>
  <c r="AE42" i="15" s="1"/>
  <c r="M42" i="15"/>
  <c r="O42" i="15" s="1"/>
  <c r="U42" i="15" s="1"/>
  <c r="V42" i="15"/>
  <c r="X42" i="15" s="1"/>
  <c r="Y42" i="15" s="1"/>
  <c r="N42" i="15"/>
  <c r="P43" i="15"/>
  <c r="AJ43" i="15" s="1"/>
  <c r="X45" i="15"/>
  <c r="Y45" i="15" s="1"/>
  <c r="AC46" i="15"/>
  <c r="AE46" i="15" s="1"/>
  <c r="M46" i="15"/>
  <c r="O46" i="15" s="1"/>
  <c r="R46" i="15" s="1"/>
  <c r="V46" i="15"/>
  <c r="X46" i="15" s="1"/>
  <c r="Y46" i="15" s="1"/>
  <c r="N46" i="15"/>
  <c r="AJ46" i="15" s="1"/>
  <c r="P47" i="15"/>
  <c r="AC50" i="15"/>
  <c r="AE50" i="15" s="1"/>
  <c r="M50" i="15"/>
  <c r="O50" i="15" s="1"/>
  <c r="R50" i="15" s="1"/>
  <c r="W50" i="15"/>
  <c r="AD50" i="15" s="1"/>
  <c r="V50" i="15"/>
  <c r="X50" i="15" s="1"/>
  <c r="Y50" i="15" s="1"/>
  <c r="AB50" i="15"/>
  <c r="P51" i="15"/>
  <c r="AJ51" i="15" s="1"/>
  <c r="X53" i="15"/>
  <c r="Y53" i="15" s="1"/>
  <c r="AC54" i="15"/>
  <c r="AE54" i="15" s="1"/>
  <c r="M54" i="15"/>
  <c r="O54" i="15" s="1"/>
  <c r="V54" i="15"/>
  <c r="X54" i="15" s="1"/>
  <c r="Y54" i="15" s="1"/>
  <c r="P55" i="15"/>
  <c r="X57" i="15"/>
  <c r="Y57" i="15" s="1"/>
  <c r="AC58" i="15"/>
  <c r="AE58" i="15" s="1"/>
  <c r="M58" i="15"/>
  <c r="O58" i="15" s="1"/>
  <c r="U58" i="15" s="1"/>
  <c r="V58" i="15"/>
  <c r="X58" i="15" s="1"/>
  <c r="Y58" i="15" s="1"/>
  <c r="N58" i="15"/>
  <c r="P59" i="15"/>
  <c r="AJ59" i="15" s="1"/>
  <c r="X61" i="15"/>
  <c r="Y61" i="15" s="1"/>
  <c r="AC62" i="15"/>
  <c r="AE62" i="15" s="1"/>
  <c r="M62" i="15"/>
  <c r="O62" i="15" s="1"/>
  <c r="R62" i="15" s="1"/>
  <c r="V62" i="15"/>
  <c r="X62" i="15" s="1"/>
  <c r="Y62" i="15" s="1"/>
  <c r="N62" i="15"/>
  <c r="Q62" i="15" s="1"/>
  <c r="AK62" i="15" s="1"/>
  <c r="P63" i="15"/>
  <c r="X65" i="15"/>
  <c r="Y65" i="15" s="1"/>
  <c r="AC66" i="15"/>
  <c r="AE66" i="15" s="1"/>
  <c r="M66" i="15"/>
  <c r="O66" i="15" s="1"/>
  <c r="R66" i="15" s="1"/>
  <c r="W66" i="15"/>
  <c r="AD66" i="15" s="1"/>
  <c r="V66" i="15"/>
  <c r="X66" i="15" s="1"/>
  <c r="Y66" i="15" s="1"/>
  <c r="AB66" i="15"/>
  <c r="P67" i="15"/>
  <c r="AJ67" i="15" s="1"/>
  <c r="X69" i="15"/>
  <c r="Y69" i="15" s="1"/>
  <c r="AC70" i="15"/>
  <c r="AE70" i="15" s="1"/>
  <c r="M70" i="15"/>
  <c r="O70" i="15" s="1"/>
  <c r="V70" i="15"/>
  <c r="X70" i="15" s="1"/>
  <c r="Y70" i="15" s="1"/>
  <c r="P71" i="15"/>
  <c r="AJ71" i="15" s="1"/>
  <c r="X73" i="15"/>
  <c r="Y73" i="15" s="1"/>
  <c r="AC74" i="15"/>
  <c r="AE74" i="15" s="1"/>
  <c r="M74" i="15"/>
  <c r="O74" i="15" s="1"/>
  <c r="U74" i="15" s="1"/>
  <c r="V74" i="15"/>
  <c r="X74" i="15" s="1"/>
  <c r="Y74" i="15" s="1"/>
  <c r="N74" i="15"/>
  <c r="P75" i="15"/>
  <c r="X77" i="15"/>
  <c r="Y77" i="15" s="1"/>
  <c r="AC78" i="15"/>
  <c r="AE78" i="15" s="1"/>
  <c r="M78" i="15"/>
  <c r="O78" i="15" s="1"/>
  <c r="R78" i="15" s="1"/>
  <c r="V78" i="15"/>
  <c r="X78" i="15" s="1"/>
  <c r="Y78" i="15" s="1"/>
  <c r="N78" i="15"/>
  <c r="AJ78" i="15" s="1"/>
  <c r="P79" i="15"/>
  <c r="AJ79" i="15" s="1"/>
  <c r="X81" i="15"/>
  <c r="Y81" i="15" s="1"/>
  <c r="AC82" i="15"/>
  <c r="AE82" i="15" s="1"/>
  <c r="M82" i="15"/>
  <c r="O82" i="15" s="1"/>
  <c r="R82" i="15" s="1"/>
  <c r="W82" i="15"/>
  <c r="AD82" i="15" s="1"/>
  <c r="V82" i="15"/>
  <c r="X82" i="15" s="1"/>
  <c r="Y82" i="15" s="1"/>
  <c r="AB82" i="15"/>
  <c r="P83" i="15"/>
  <c r="AJ83" i="15" s="1"/>
  <c r="X85" i="15"/>
  <c r="Y85" i="15" s="1"/>
  <c r="AC86" i="15"/>
  <c r="AE86" i="15" s="1"/>
  <c r="M86" i="15"/>
  <c r="O86" i="15" s="1"/>
  <c r="V86" i="15"/>
  <c r="X86" i="15" s="1"/>
  <c r="Y86" i="15" s="1"/>
  <c r="P87" i="15"/>
  <c r="AJ87" i="15" s="1"/>
  <c r="X89" i="15"/>
  <c r="Y89" i="15" s="1"/>
  <c r="AC90" i="15"/>
  <c r="AE90" i="15" s="1"/>
  <c r="M90" i="15"/>
  <c r="O90" i="15" s="1"/>
  <c r="U90" i="15" s="1"/>
  <c r="V90" i="15"/>
  <c r="X90" i="15" s="1"/>
  <c r="Y90" i="15" s="1"/>
  <c r="N90" i="15"/>
  <c r="P91" i="15"/>
  <c r="AC94" i="15"/>
  <c r="AE94" i="15" s="1"/>
  <c r="M94" i="15"/>
  <c r="O94" i="15" s="1"/>
  <c r="R94" i="15" s="1"/>
  <c r="V94" i="15"/>
  <c r="X94" i="15" s="1"/>
  <c r="Y94" i="15" s="1"/>
  <c r="N94" i="15"/>
  <c r="Q94" i="15" s="1"/>
  <c r="AK94" i="15" s="1"/>
  <c r="P95" i="15"/>
  <c r="AJ95" i="15" s="1"/>
  <c r="AJ96" i="15"/>
  <c r="X97" i="15"/>
  <c r="Y97" i="15" s="1"/>
  <c r="AC98" i="15"/>
  <c r="AE98" i="15" s="1"/>
  <c r="M98" i="15"/>
  <c r="O98" i="15" s="1"/>
  <c r="U98" i="15" s="1"/>
  <c r="V98" i="15"/>
  <c r="X98" i="15" s="1"/>
  <c r="Y98" i="15" s="1"/>
  <c r="N98" i="15"/>
  <c r="AJ98" i="15" s="1"/>
  <c r="P99" i="15"/>
  <c r="X101" i="15"/>
  <c r="Y101" i="15" s="1"/>
  <c r="AC102" i="15"/>
  <c r="AE102" i="15" s="1"/>
  <c r="M102" i="15"/>
  <c r="O102" i="15" s="1"/>
  <c r="V102" i="15"/>
  <c r="X102" i="15" s="1"/>
  <c r="Y102" i="15" s="1"/>
  <c r="P103" i="15"/>
  <c r="X105" i="15"/>
  <c r="Y105" i="15" s="1"/>
  <c r="AC106" i="15"/>
  <c r="AE106" i="15" s="1"/>
  <c r="M106" i="15"/>
  <c r="O106" i="15" s="1"/>
  <c r="R106" i="15" s="1"/>
  <c r="W106" i="15"/>
  <c r="AD106" i="15" s="1"/>
  <c r="V106" i="15"/>
  <c r="X106" i="15" s="1"/>
  <c r="Y106" i="15" s="1"/>
  <c r="AB106" i="15"/>
  <c r="P107" i="15"/>
  <c r="AC110" i="15"/>
  <c r="AE110" i="15" s="1"/>
  <c r="M110" i="15"/>
  <c r="O110" i="15" s="1"/>
  <c r="R110" i="15" s="1"/>
  <c r="V110" i="15"/>
  <c r="X110" i="15" s="1"/>
  <c r="Y110" i="15" s="1"/>
  <c r="N110" i="15"/>
  <c r="Q110" i="15" s="1"/>
  <c r="AK110" i="15" s="1"/>
  <c r="P111" i="15"/>
  <c r="AJ112" i="15"/>
  <c r="X113" i="15"/>
  <c r="Y113" i="15" s="1"/>
  <c r="AC114" i="15"/>
  <c r="AE114" i="15" s="1"/>
  <c r="M114" i="15"/>
  <c r="O114" i="15" s="1"/>
  <c r="U114" i="15" s="1"/>
  <c r="V114" i="15"/>
  <c r="X114" i="15" s="1"/>
  <c r="Y114" i="15" s="1"/>
  <c r="N114" i="15"/>
  <c r="AJ114" i="15" s="1"/>
  <c r="P115" i="15"/>
  <c r="X117" i="15"/>
  <c r="Y117" i="15" s="1"/>
  <c r="P3" i="15"/>
  <c r="X3" i="15"/>
  <c r="AB3" i="15"/>
  <c r="P7" i="15"/>
  <c r="V118" i="15"/>
  <c r="V119" i="15"/>
  <c r="W119" i="15" s="1"/>
  <c r="AD119" i="15" s="1"/>
  <c r="V120" i="15"/>
  <c r="V121" i="15"/>
  <c r="V122" i="15"/>
  <c r="V123" i="15"/>
  <c r="V124" i="15"/>
  <c r="V125" i="15"/>
  <c r="Z125" i="15" s="1"/>
  <c r="V126" i="15"/>
  <c r="V127" i="15"/>
  <c r="AB127" i="15" s="1"/>
  <c r="V128" i="15"/>
  <c r="V129" i="15"/>
  <c r="V130" i="15"/>
  <c r="V131" i="15"/>
  <c r="AB131" i="15" s="1"/>
  <c r="V132" i="15"/>
  <c r="V133" i="15"/>
  <c r="V134" i="15"/>
  <c r="V135" i="15"/>
  <c r="AB135" i="15" s="1"/>
  <c r="V136" i="15"/>
  <c r="Z136" i="15" s="1"/>
  <c r="V137" i="15"/>
  <c r="V138" i="15"/>
  <c r="W138" i="15" s="1"/>
  <c r="AD138" i="15" s="1"/>
  <c r="V139" i="15"/>
  <c r="AB139" i="15" s="1"/>
  <c r="V140" i="15"/>
  <c r="V141" i="15"/>
  <c r="V142" i="15"/>
  <c r="V143" i="15"/>
  <c r="AB143" i="15" s="1"/>
  <c r="V144" i="15"/>
  <c r="V145" i="15"/>
  <c r="V146" i="15"/>
  <c r="X146" i="15" s="1"/>
  <c r="V147" i="15"/>
  <c r="AB147" i="15" s="1"/>
  <c r="V148" i="15"/>
  <c r="V149" i="15"/>
  <c r="V150" i="15"/>
  <c r="V151" i="15"/>
  <c r="AB151" i="15" s="1"/>
  <c r="V152" i="15"/>
  <c r="V153" i="15"/>
  <c r="V154" i="15"/>
  <c r="W154" i="15" s="1"/>
  <c r="AD154" i="15" s="1"/>
  <c r="V155" i="15"/>
  <c r="AB155" i="15" s="1"/>
  <c r="V156" i="15"/>
  <c r="V157" i="15"/>
  <c r="V158" i="15"/>
  <c r="V159" i="15"/>
  <c r="AB159" i="15" s="1"/>
  <c r="V160" i="15"/>
  <c r="V161" i="15"/>
  <c r="V162" i="15"/>
  <c r="Z162" i="15" s="1"/>
  <c r="V163" i="15"/>
  <c r="AB163" i="15" s="1"/>
  <c r="V164" i="15"/>
  <c r="V165" i="15"/>
  <c r="AB165" i="15" s="1"/>
  <c r="V166" i="15"/>
  <c r="V167" i="15"/>
  <c r="AB167" i="15" s="1"/>
  <c r="V168" i="15"/>
  <c r="V169" i="15"/>
  <c r="V170" i="15"/>
  <c r="V171" i="15"/>
  <c r="AB171" i="15" s="1"/>
  <c r="V172" i="15"/>
  <c r="V173" i="15"/>
  <c r="AB173" i="15" s="1"/>
  <c r="V174" i="15"/>
  <c r="V175" i="15"/>
  <c r="AB175" i="15" s="1"/>
  <c r="V176" i="15"/>
  <c r="V177" i="15"/>
  <c r="W177" i="15" s="1"/>
  <c r="AD177" i="15" s="1"/>
  <c r="V178" i="15"/>
  <c r="V179" i="15"/>
  <c r="AB179" i="15" s="1"/>
  <c r="V180" i="15"/>
  <c r="V181" i="15"/>
  <c r="AB181" i="15" s="1"/>
  <c r="V182" i="15"/>
  <c r="V183" i="15"/>
  <c r="AB183" i="15" s="1"/>
  <c r="V184" i="15"/>
  <c r="V185" i="15"/>
  <c r="V186" i="15"/>
  <c r="W186" i="15" s="1"/>
  <c r="AD186" i="15" s="1"/>
  <c r="V187" i="15"/>
  <c r="AB187" i="15" s="1"/>
  <c r="V188" i="15"/>
  <c r="V189" i="15"/>
  <c r="AB189" i="15" s="1"/>
  <c r="V190" i="15"/>
  <c r="V191" i="15"/>
  <c r="AB191" i="15" s="1"/>
  <c r="V192" i="15"/>
  <c r="V193" i="15"/>
  <c r="W193" i="15" s="1"/>
  <c r="AD193" i="15" s="1"/>
  <c r="V194" i="15"/>
  <c r="X194" i="15" s="1"/>
  <c r="V195" i="15"/>
  <c r="AB195" i="15" s="1"/>
  <c r="V196" i="15"/>
  <c r="V197" i="15"/>
  <c r="AB197" i="15" s="1"/>
  <c r="V198" i="15"/>
  <c r="V199" i="15"/>
  <c r="AB199" i="15" s="1"/>
  <c r="V200" i="15"/>
  <c r="V201" i="15"/>
  <c r="V202" i="15"/>
  <c r="W202" i="15" s="1"/>
  <c r="AD202" i="15" s="1"/>
  <c r="V203" i="15"/>
  <c r="AB203" i="15" s="1"/>
  <c r="V204" i="15"/>
  <c r="V205" i="15"/>
  <c r="AB205" i="15" s="1"/>
  <c r="V206" i="15"/>
  <c r="V208" i="15"/>
  <c r="V210" i="15"/>
  <c r="V212" i="15"/>
  <c r="V214" i="15"/>
  <c r="V216" i="15"/>
  <c r="V218" i="15"/>
  <c r="V220" i="15"/>
  <c r="V222" i="15"/>
  <c r="V224" i="15"/>
  <c r="V226" i="15"/>
  <c r="V228" i="15"/>
  <c r="V230" i="15"/>
  <c r="V232" i="15"/>
  <c r="V234" i="15"/>
  <c r="V236" i="15"/>
  <c r="V238" i="15"/>
  <c r="V240" i="15"/>
  <c r="V242" i="15"/>
  <c r="V244" i="15"/>
  <c r="V246" i="15"/>
  <c r="V248" i="15"/>
  <c r="V250" i="15"/>
  <c r="V252" i="15"/>
  <c r="V254" i="15"/>
  <c r="V256" i="15"/>
  <c r="V258" i="15"/>
  <c r="V260" i="15"/>
  <c r="V262" i="15"/>
  <c r="V264" i="15"/>
  <c r="V266" i="15"/>
  <c r="V268" i="15"/>
  <c r="P361" i="14"/>
  <c r="T361" i="14"/>
  <c r="X361" i="14"/>
  <c r="Y361" i="14" s="1"/>
  <c r="AJ361" i="14"/>
  <c r="P362" i="14"/>
  <c r="T362" i="14"/>
  <c r="X362" i="14"/>
  <c r="Y362" i="14" s="1"/>
  <c r="AJ362" i="14"/>
  <c r="P363" i="14"/>
  <c r="T363" i="14"/>
  <c r="X363" i="14"/>
  <c r="Y363" i="14" s="1"/>
  <c r="AJ363" i="14"/>
  <c r="P364" i="14"/>
  <c r="T364" i="14"/>
  <c r="X364" i="14"/>
  <c r="Y364" i="14" s="1"/>
  <c r="AJ364" i="14"/>
  <c r="P365" i="14"/>
  <c r="T365" i="14"/>
  <c r="X365" i="14"/>
  <c r="Y365" i="14" s="1"/>
  <c r="AJ365" i="14"/>
  <c r="P366" i="14"/>
  <c r="T366" i="14"/>
  <c r="X366" i="14"/>
  <c r="Y366" i="14" s="1"/>
  <c r="AJ366" i="14"/>
  <c r="P367" i="14"/>
  <c r="T367" i="14"/>
  <c r="X367" i="14"/>
  <c r="Y367" i="14" s="1"/>
  <c r="AJ367" i="14"/>
  <c r="P368" i="14"/>
  <c r="T368" i="14"/>
  <c r="X368" i="14"/>
  <c r="Y368" i="14" s="1"/>
  <c r="AJ368" i="14"/>
  <c r="P369" i="14"/>
  <c r="T369" i="14"/>
  <c r="X369" i="14"/>
  <c r="Y369" i="14" s="1"/>
  <c r="AJ369" i="14"/>
  <c r="P370" i="14"/>
  <c r="T370" i="14"/>
  <c r="X370" i="14"/>
  <c r="Y370" i="14" s="1"/>
  <c r="AJ370" i="14"/>
  <c r="P371" i="14"/>
  <c r="T371" i="14"/>
  <c r="X371" i="14"/>
  <c r="Y371" i="14" s="1"/>
  <c r="AJ371" i="14"/>
  <c r="P372" i="14"/>
  <c r="T372" i="14"/>
  <c r="X372" i="14"/>
  <c r="Y372" i="14" s="1"/>
  <c r="AJ372" i="14"/>
  <c r="P373" i="14"/>
  <c r="T373" i="14"/>
  <c r="X373" i="14"/>
  <c r="Y373" i="14" s="1"/>
  <c r="AJ373" i="14"/>
  <c r="P374" i="14"/>
  <c r="T374" i="14"/>
  <c r="X374" i="14"/>
  <c r="Y374" i="14" s="1"/>
  <c r="AJ374" i="14"/>
  <c r="P375" i="14"/>
  <c r="T375" i="14"/>
  <c r="X375" i="14"/>
  <c r="Y375" i="14" s="1"/>
  <c r="AB375" i="14"/>
  <c r="AJ375" i="14"/>
  <c r="P376" i="14"/>
  <c r="T376" i="14"/>
  <c r="X376" i="14"/>
  <c r="Y376" i="14" s="1"/>
  <c r="AJ376" i="14"/>
  <c r="P377" i="14"/>
  <c r="T377" i="14"/>
  <c r="X377" i="14"/>
  <c r="Y377" i="14" s="1"/>
  <c r="AJ377" i="14"/>
  <c r="P378" i="14"/>
  <c r="T378" i="14"/>
  <c r="X378" i="14"/>
  <c r="Y378" i="14" s="1"/>
  <c r="AJ378" i="14"/>
  <c r="P379" i="14"/>
  <c r="T379" i="14"/>
  <c r="X379" i="14"/>
  <c r="Y379" i="14" s="1"/>
  <c r="AJ379" i="14"/>
  <c r="P380" i="14"/>
  <c r="T380" i="14"/>
  <c r="X380" i="14"/>
  <c r="Y380" i="14" s="1"/>
  <c r="AJ380" i="14"/>
  <c r="P381" i="14"/>
  <c r="T381" i="14"/>
  <c r="X381" i="14"/>
  <c r="Y381" i="14" s="1"/>
  <c r="AJ381" i="14"/>
  <c r="P382" i="14"/>
  <c r="T382" i="14"/>
  <c r="X382" i="14"/>
  <c r="Y382" i="14" s="1"/>
  <c r="AJ382" i="14"/>
  <c r="P383" i="14"/>
  <c r="T383" i="14"/>
  <c r="X383" i="14"/>
  <c r="Y383" i="14" s="1"/>
  <c r="AJ383" i="14"/>
  <c r="P384" i="14"/>
  <c r="T384" i="14"/>
  <c r="X384" i="14"/>
  <c r="Y384" i="14" s="1"/>
  <c r="AJ384" i="14"/>
  <c r="P385" i="14"/>
  <c r="T385" i="14"/>
  <c r="X385" i="14"/>
  <c r="Y385" i="14" s="1"/>
  <c r="AJ385" i="14"/>
  <c r="P386" i="14"/>
  <c r="T386" i="14"/>
  <c r="X386" i="14"/>
  <c r="Y386" i="14" s="1"/>
  <c r="AJ386" i="14"/>
  <c r="P387" i="14"/>
  <c r="T387" i="14"/>
  <c r="X387" i="14"/>
  <c r="Y387" i="14" s="1"/>
  <c r="AJ387" i="14"/>
  <c r="P388" i="14"/>
  <c r="T388" i="14"/>
  <c r="X388" i="14"/>
  <c r="Y388" i="14" s="1"/>
  <c r="AJ388" i="14"/>
  <c r="P389" i="14"/>
  <c r="T389" i="14"/>
  <c r="X389" i="14"/>
  <c r="Y389" i="14" s="1"/>
  <c r="AJ389" i="14"/>
  <c r="P390" i="14"/>
  <c r="T390" i="14"/>
  <c r="X390" i="14"/>
  <c r="Y390" i="14" s="1"/>
  <c r="AJ390" i="14"/>
  <c r="P391" i="14"/>
  <c r="T391" i="14"/>
  <c r="X391" i="14"/>
  <c r="Y391" i="14" s="1"/>
  <c r="AB391" i="14"/>
  <c r="AJ391" i="14"/>
  <c r="P392" i="14"/>
  <c r="T392" i="14"/>
  <c r="X392" i="14"/>
  <c r="Y392" i="14" s="1"/>
  <c r="AJ392" i="14"/>
  <c r="P393" i="14"/>
  <c r="T393" i="14"/>
  <c r="X393" i="14"/>
  <c r="Y393" i="14" s="1"/>
  <c r="AJ393" i="14"/>
  <c r="P394" i="14"/>
  <c r="T394" i="14"/>
  <c r="X394" i="14"/>
  <c r="Y394" i="14" s="1"/>
  <c r="AJ394" i="14"/>
  <c r="P395" i="14"/>
  <c r="T395" i="14"/>
  <c r="X395" i="14"/>
  <c r="Y395" i="14" s="1"/>
  <c r="AJ395" i="14"/>
  <c r="P396" i="14"/>
  <c r="T396" i="14"/>
  <c r="X396" i="14"/>
  <c r="Y396" i="14" s="1"/>
  <c r="AJ396" i="14"/>
  <c r="P397" i="14"/>
  <c r="T397" i="14"/>
  <c r="X397" i="14"/>
  <c r="Y397" i="14" s="1"/>
  <c r="AJ397" i="14"/>
  <c r="P398" i="14"/>
  <c r="T398" i="14"/>
  <c r="X398" i="14"/>
  <c r="Y398" i="14" s="1"/>
  <c r="AJ398" i="14"/>
  <c r="P399" i="14"/>
  <c r="T399" i="14"/>
  <c r="X399" i="14"/>
  <c r="Y399" i="14" s="1"/>
  <c r="AJ399" i="14"/>
  <c r="P400" i="14"/>
  <c r="T400" i="14"/>
  <c r="X400" i="14"/>
  <c r="Y400" i="14" s="1"/>
  <c r="AJ400" i="14"/>
  <c r="P401" i="14"/>
  <c r="T401" i="14"/>
  <c r="X401" i="14"/>
  <c r="Y401" i="14" s="1"/>
  <c r="AJ401" i="14"/>
  <c r="P402" i="14"/>
  <c r="T402" i="14"/>
  <c r="X402" i="14"/>
  <c r="Y402" i="14" s="1"/>
  <c r="AJ402" i="14"/>
  <c r="P403" i="14"/>
  <c r="T403" i="14"/>
  <c r="X403" i="14"/>
  <c r="Y403" i="14" s="1"/>
  <c r="AJ403" i="14"/>
  <c r="P404" i="14"/>
  <c r="T404" i="14"/>
  <c r="X404" i="14"/>
  <c r="Y404" i="14" s="1"/>
  <c r="AJ404" i="14"/>
  <c r="P405" i="14"/>
  <c r="T405" i="14"/>
  <c r="X405" i="14"/>
  <c r="Y405" i="14" s="1"/>
  <c r="AJ405" i="14"/>
  <c r="P406" i="14"/>
  <c r="T406" i="14"/>
  <c r="X406" i="14"/>
  <c r="Y406" i="14" s="1"/>
  <c r="AJ406" i="14"/>
  <c r="P407" i="14"/>
  <c r="T407" i="14"/>
  <c r="X407" i="14"/>
  <c r="Y407" i="14" s="1"/>
  <c r="AB407" i="14"/>
  <c r="AJ407" i="14"/>
  <c r="P408" i="14"/>
  <c r="T408" i="14"/>
  <c r="X408" i="14"/>
  <c r="Y408" i="14" s="1"/>
  <c r="AJ408" i="14"/>
  <c r="P409" i="14"/>
  <c r="T409" i="14"/>
  <c r="X409" i="14"/>
  <c r="Y409" i="14" s="1"/>
  <c r="AJ409" i="14"/>
  <c r="P410" i="14"/>
  <c r="T410" i="14"/>
  <c r="X410" i="14"/>
  <c r="Y410" i="14" s="1"/>
  <c r="AJ410" i="14"/>
  <c r="P411" i="14"/>
  <c r="T411" i="14"/>
  <c r="X411" i="14"/>
  <c r="Y411" i="14" s="1"/>
  <c r="AJ411" i="14"/>
  <c r="P412" i="14"/>
  <c r="T412" i="14"/>
  <c r="X412" i="14"/>
  <c r="Y412" i="14" s="1"/>
  <c r="AJ412" i="14"/>
  <c r="P413" i="14"/>
  <c r="T413" i="14"/>
  <c r="X413" i="14"/>
  <c r="Y413" i="14" s="1"/>
  <c r="AJ413" i="14"/>
  <c r="P414" i="14"/>
  <c r="T414" i="14"/>
  <c r="X414" i="14"/>
  <c r="Y414" i="14" s="1"/>
  <c r="AJ414" i="14"/>
  <c r="P415" i="14"/>
  <c r="T415" i="14"/>
  <c r="X415" i="14"/>
  <c r="Y415" i="14" s="1"/>
  <c r="AJ415" i="14"/>
  <c r="P416" i="14"/>
  <c r="T416" i="14"/>
  <c r="X416" i="14"/>
  <c r="Y416" i="14" s="1"/>
  <c r="AJ416" i="14"/>
  <c r="P417" i="14"/>
  <c r="T417" i="14"/>
  <c r="X417" i="14"/>
  <c r="Y417" i="14" s="1"/>
  <c r="AJ417" i="14"/>
  <c r="P418" i="14"/>
  <c r="T418" i="14"/>
  <c r="X418" i="14"/>
  <c r="Y418" i="14" s="1"/>
  <c r="AJ418" i="14"/>
  <c r="P419" i="14"/>
  <c r="T419" i="14"/>
  <c r="X419" i="14"/>
  <c r="Y419" i="14" s="1"/>
  <c r="AJ419" i="14"/>
  <c r="P420" i="14"/>
  <c r="T420" i="14"/>
  <c r="X420" i="14"/>
  <c r="Y420" i="14" s="1"/>
  <c r="AJ420" i="14"/>
  <c r="P421" i="14"/>
  <c r="T421" i="14"/>
  <c r="X421" i="14"/>
  <c r="Y421" i="14" s="1"/>
  <c r="AJ421" i="14"/>
  <c r="P422" i="14"/>
  <c r="T422" i="14"/>
  <c r="X422" i="14"/>
  <c r="Y422" i="14" s="1"/>
  <c r="AJ422" i="14"/>
  <c r="P423" i="14"/>
  <c r="T423" i="14"/>
  <c r="X423" i="14"/>
  <c r="Y423" i="14" s="1"/>
  <c r="AB423" i="14"/>
  <c r="AJ423" i="14"/>
  <c r="P424" i="14"/>
  <c r="T424" i="14"/>
  <c r="X424" i="14"/>
  <c r="Y424" i="14" s="1"/>
  <c r="AJ424" i="14"/>
  <c r="P425" i="14"/>
  <c r="T425" i="14"/>
  <c r="X425" i="14"/>
  <c r="Y425" i="14" s="1"/>
  <c r="AJ425" i="14"/>
  <c r="P426" i="14"/>
  <c r="T426" i="14"/>
  <c r="X426" i="14"/>
  <c r="Y426" i="14" s="1"/>
  <c r="AJ426" i="14"/>
  <c r="P427" i="14"/>
  <c r="T427" i="14"/>
  <c r="X427" i="14"/>
  <c r="Y427" i="14" s="1"/>
  <c r="AJ427" i="14"/>
  <c r="P428" i="14"/>
  <c r="T428" i="14"/>
  <c r="X428" i="14"/>
  <c r="Y428" i="14" s="1"/>
  <c r="AJ428" i="14"/>
  <c r="P429" i="14"/>
  <c r="T429" i="14"/>
  <c r="X429" i="14"/>
  <c r="Y429" i="14" s="1"/>
  <c r="AJ429" i="14"/>
  <c r="P430" i="14"/>
  <c r="T430" i="14"/>
  <c r="X430" i="14"/>
  <c r="Y430" i="14" s="1"/>
  <c r="AJ430" i="14"/>
  <c r="P431" i="14"/>
  <c r="T431" i="14"/>
  <c r="X431" i="14"/>
  <c r="Y431" i="14" s="1"/>
  <c r="AJ431" i="14"/>
  <c r="P432" i="14"/>
  <c r="T432" i="14"/>
  <c r="X432" i="14"/>
  <c r="Y432" i="14" s="1"/>
  <c r="AJ432" i="14"/>
  <c r="P433" i="14"/>
  <c r="T433" i="14"/>
  <c r="X433" i="14"/>
  <c r="Y433" i="14" s="1"/>
  <c r="AJ433" i="14"/>
  <c r="P434" i="14"/>
  <c r="T434" i="14"/>
  <c r="X434" i="14"/>
  <c r="Y434" i="14" s="1"/>
  <c r="AJ434" i="14"/>
  <c r="P435" i="14"/>
  <c r="T435" i="14"/>
  <c r="X435" i="14"/>
  <c r="Y435" i="14" s="1"/>
  <c r="AJ435" i="14"/>
  <c r="P436" i="14"/>
  <c r="T436" i="14"/>
  <c r="X436" i="14"/>
  <c r="Y436" i="14" s="1"/>
  <c r="AJ436" i="14"/>
  <c r="P437" i="14"/>
  <c r="T437" i="14"/>
  <c r="X437" i="14"/>
  <c r="Y437" i="14" s="1"/>
  <c r="AJ437" i="14"/>
  <c r="P438" i="14"/>
  <c r="T438" i="14"/>
  <c r="X438" i="14"/>
  <c r="Y438" i="14" s="1"/>
  <c r="AJ438" i="14"/>
  <c r="P439" i="14"/>
  <c r="T439" i="14"/>
  <c r="X439" i="14"/>
  <c r="Y439" i="14" s="1"/>
  <c r="AB439" i="14"/>
  <c r="AJ439" i="14"/>
  <c r="P440" i="14"/>
  <c r="T440" i="14"/>
  <c r="X440" i="14"/>
  <c r="Y440" i="14" s="1"/>
  <c r="AJ440" i="14"/>
  <c r="P441" i="14"/>
  <c r="T441" i="14"/>
  <c r="X441" i="14"/>
  <c r="Y441" i="14" s="1"/>
  <c r="AJ441" i="14"/>
  <c r="P442" i="14"/>
  <c r="T442" i="14"/>
  <c r="X442" i="14"/>
  <c r="Y442" i="14" s="1"/>
  <c r="AJ442" i="14"/>
  <c r="P443" i="14"/>
  <c r="T443" i="14"/>
  <c r="X443" i="14"/>
  <c r="Y443" i="14" s="1"/>
  <c r="AJ443" i="14"/>
  <c r="P444" i="14"/>
  <c r="T444" i="14"/>
  <c r="X444" i="14"/>
  <c r="Y444" i="14" s="1"/>
  <c r="AJ444" i="14"/>
  <c r="P445" i="14"/>
  <c r="T445" i="14"/>
  <c r="X445" i="14"/>
  <c r="Y445" i="14" s="1"/>
  <c r="AJ445" i="14"/>
  <c r="P446" i="14"/>
  <c r="T446" i="14"/>
  <c r="X446" i="14"/>
  <c r="Y446" i="14" s="1"/>
  <c r="AJ446" i="14"/>
  <c r="P447" i="14"/>
  <c r="T447" i="14"/>
  <c r="X447" i="14"/>
  <c r="Y447" i="14" s="1"/>
  <c r="AJ447" i="14"/>
  <c r="P448" i="14"/>
  <c r="T448" i="14"/>
  <c r="X448" i="14"/>
  <c r="Y448" i="14" s="1"/>
  <c r="AJ448" i="14"/>
  <c r="P449" i="14"/>
  <c r="T449" i="14"/>
  <c r="X449" i="14"/>
  <c r="Y449" i="14" s="1"/>
  <c r="AJ449" i="14"/>
  <c r="P450" i="14"/>
  <c r="T450" i="14"/>
  <c r="X450" i="14"/>
  <c r="Y450" i="14" s="1"/>
  <c r="AJ450" i="14"/>
  <c r="P451" i="14"/>
  <c r="T451" i="14"/>
  <c r="X451" i="14"/>
  <c r="Y451" i="14" s="1"/>
  <c r="AJ451" i="14"/>
  <c r="P452" i="14"/>
  <c r="T452" i="14"/>
  <c r="X452" i="14"/>
  <c r="Y452" i="14" s="1"/>
  <c r="AJ452" i="14"/>
  <c r="P453" i="14"/>
  <c r="T453" i="14"/>
  <c r="X453" i="14"/>
  <c r="Y453" i="14" s="1"/>
  <c r="AJ453" i="14"/>
  <c r="P454" i="14"/>
  <c r="T454" i="14"/>
  <c r="X454" i="14"/>
  <c r="Y454" i="14" s="1"/>
  <c r="AJ454" i="14"/>
  <c r="P455" i="14"/>
  <c r="T455" i="14"/>
  <c r="X455" i="14"/>
  <c r="Y455" i="14" s="1"/>
  <c r="AB455" i="14"/>
  <c r="AJ455" i="14"/>
  <c r="P456" i="14"/>
  <c r="T456" i="14"/>
  <c r="X456" i="14"/>
  <c r="Y456" i="14" s="1"/>
  <c r="AJ456" i="14"/>
  <c r="P457" i="14"/>
  <c r="T457" i="14"/>
  <c r="X457" i="14"/>
  <c r="Y457" i="14" s="1"/>
  <c r="AJ457" i="14"/>
  <c r="P458" i="14"/>
  <c r="T458" i="14"/>
  <c r="X458" i="14"/>
  <c r="Y458" i="14" s="1"/>
  <c r="AJ458" i="14"/>
  <c r="P459" i="14"/>
  <c r="T459" i="14"/>
  <c r="X459" i="14"/>
  <c r="Y459" i="14" s="1"/>
  <c r="AJ459" i="14"/>
  <c r="P460" i="14"/>
  <c r="T460" i="14"/>
  <c r="X460" i="14"/>
  <c r="Y460" i="14" s="1"/>
  <c r="AJ460" i="14"/>
  <c r="P461" i="14"/>
  <c r="T461" i="14"/>
  <c r="X461" i="14"/>
  <c r="Y461" i="14" s="1"/>
  <c r="AJ461" i="14"/>
  <c r="P462" i="14"/>
  <c r="T462" i="14"/>
  <c r="X462" i="14"/>
  <c r="Y462" i="14" s="1"/>
  <c r="AJ462" i="14"/>
  <c r="P463" i="14"/>
  <c r="T463" i="14"/>
  <c r="X463" i="14"/>
  <c r="Y463" i="14" s="1"/>
  <c r="AJ463" i="14"/>
  <c r="P464" i="14"/>
  <c r="T464" i="14"/>
  <c r="X464" i="14"/>
  <c r="Y464" i="14" s="1"/>
  <c r="AJ464" i="14"/>
  <c r="P465" i="14"/>
  <c r="T465" i="14"/>
  <c r="X465" i="14"/>
  <c r="Y465" i="14" s="1"/>
  <c r="AJ465" i="14"/>
  <c r="P466" i="14"/>
  <c r="T466" i="14"/>
  <c r="X466" i="14"/>
  <c r="Y466" i="14" s="1"/>
  <c r="AJ466" i="14"/>
  <c r="P467" i="14"/>
  <c r="T467" i="14"/>
  <c r="X467" i="14"/>
  <c r="Y467" i="14" s="1"/>
  <c r="AJ467" i="14"/>
  <c r="P468" i="14"/>
  <c r="T468" i="14"/>
  <c r="X468" i="14"/>
  <c r="Y468" i="14" s="1"/>
  <c r="AJ468" i="14"/>
  <c r="P469" i="14"/>
  <c r="T469" i="14"/>
  <c r="X469" i="14"/>
  <c r="Y469" i="14" s="1"/>
  <c r="AJ469" i="14"/>
  <c r="P470" i="14"/>
  <c r="T470" i="14"/>
  <c r="X470" i="14"/>
  <c r="Y470" i="14" s="1"/>
  <c r="AJ470" i="14"/>
  <c r="P471" i="14"/>
  <c r="T471" i="14"/>
  <c r="X471" i="14"/>
  <c r="Y471" i="14" s="1"/>
  <c r="AB471" i="14"/>
  <c r="AJ471" i="14"/>
  <c r="P472" i="14"/>
  <c r="T472" i="14"/>
  <c r="X472" i="14"/>
  <c r="Y472" i="14" s="1"/>
  <c r="AJ472" i="14"/>
  <c r="P473" i="14"/>
  <c r="T473" i="14"/>
  <c r="X473" i="14"/>
  <c r="Y473" i="14" s="1"/>
  <c r="AJ473" i="14"/>
  <c r="P474" i="14"/>
  <c r="T474" i="14"/>
  <c r="X474" i="14"/>
  <c r="Y474" i="14" s="1"/>
  <c r="AJ474" i="14"/>
  <c r="P475" i="14"/>
  <c r="T475" i="14"/>
  <c r="X475" i="14"/>
  <c r="Y475" i="14" s="1"/>
  <c r="AJ475" i="14"/>
  <c r="P476" i="14"/>
  <c r="T476" i="14"/>
  <c r="X476" i="14"/>
  <c r="Y476" i="14" s="1"/>
  <c r="AJ476" i="14"/>
  <c r="P477" i="14"/>
  <c r="T477" i="14"/>
  <c r="X477" i="14"/>
  <c r="Y477" i="14" s="1"/>
  <c r="AJ477" i="14"/>
  <c r="P478" i="14"/>
  <c r="T478" i="14"/>
  <c r="X478" i="14"/>
  <c r="Y478" i="14" s="1"/>
  <c r="AJ478" i="14"/>
  <c r="P479" i="14"/>
  <c r="T479" i="14"/>
  <c r="X479" i="14"/>
  <c r="Y479" i="14" s="1"/>
  <c r="AJ479" i="14"/>
  <c r="P480" i="14"/>
  <c r="T480" i="14"/>
  <c r="X480" i="14"/>
  <c r="Y480" i="14" s="1"/>
  <c r="AJ480" i="14"/>
  <c r="P481" i="14"/>
  <c r="T481" i="14"/>
  <c r="X481" i="14"/>
  <c r="Y481" i="14" s="1"/>
  <c r="AJ481" i="14"/>
  <c r="P482" i="14"/>
  <c r="T482" i="14"/>
  <c r="X482" i="14"/>
  <c r="Y482" i="14" s="1"/>
  <c r="AJ482" i="14"/>
  <c r="P483" i="14"/>
  <c r="T483" i="14"/>
  <c r="X483" i="14"/>
  <c r="Y483" i="14" s="1"/>
  <c r="AJ483" i="14"/>
  <c r="P484" i="14"/>
  <c r="T484" i="14"/>
  <c r="X484" i="14"/>
  <c r="Y484" i="14" s="1"/>
  <c r="AJ484" i="14"/>
  <c r="P485" i="14"/>
  <c r="T485" i="14"/>
  <c r="X485" i="14"/>
  <c r="Y485" i="14" s="1"/>
  <c r="AJ485" i="14"/>
  <c r="P486" i="14"/>
  <c r="T486" i="14"/>
  <c r="X486" i="14"/>
  <c r="Y486" i="14" s="1"/>
  <c r="AJ486" i="14"/>
  <c r="P487" i="14"/>
  <c r="T487" i="14"/>
  <c r="X487" i="14"/>
  <c r="Y487" i="14" s="1"/>
  <c r="AB487" i="14"/>
  <c r="AJ487" i="14"/>
  <c r="P488" i="14"/>
  <c r="T488" i="14"/>
  <c r="X488" i="14"/>
  <c r="Y488" i="14" s="1"/>
  <c r="AJ488" i="14"/>
  <c r="P489" i="14"/>
  <c r="T489" i="14"/>
  <c r="X489" i="14"/>
  <c r="Y489" i="14" s="1"/>
  <c r="AJ489" i="14"/>
  <c r="P490" i="14"/>
  <c r="T490" i="14"/>
  <c r="X490" i="14"/>
  <c r="Y490" i="14" s="1"/>
  <c r="AJ490" i="14"/>
  <c r="P491" i="14"/>
  <c r="T491" i="14"/>
  <c r="X491" i="14"/>
  <c r="Y491" i="14" s="1"/>
  <c r="AJ491" i="14"/>
  <c r="P492" i="14"/>
  <c r="T492" i="14"/>
  <c r="X492" i="14"/>
  <c r="Y492" i="14" s="1"/>
  <c r="AJ492" i="14"/>
  <c r="P493" i="14"/>
  <c r="T493" i="14"/>
  <c r="X493" i="14"/>
  <c r="Y493" i="14" s="1"/>
  <c r="AJ493" i="14"/>
  <c r="P494" i="14"/>
  <c r="T494" i="14"/>
  <c r="X494" i="14"/>
  <c r="Y494" i="14" s="1"/>
  <c r="AJ494" i="14"/>
  <c r="P495" i="14"/>
  <c r="T495" i="14"/>
  <c r="X495" i="14"/>
  <c r="Y495" i="14" s="1"/>
  <c r="AJ495" i="14"/>
  <c r="P496" i="14"/>
  <c r="T496" i="14"/>
  <c r="X496" i="14"/>
  <c r="Y496" i="14" s="1"/>
  <c r="AJ496" i="14"/>
  <c r="P497" i="14"/>
  <c r="T497" i="14"/>
  <c r="X497" i="14"/>
  <c r="Y497" i="14" s="1"/>
  <c r="AJ497" i="14"/>
  <c r="P498" i="14"/>
  <c r="T498" i="14"/>
  <c r="X498" i="14"/>
  <c r="Y498" i="14" s="1"/>
  <c r="AJ498" i="14"/>
  <c r="P499" i="14"/>
  <c r="T499" i="14"/>
  <c r="X499" i="14"/>
  <c r="Y499" i="14" s="1"/>
  <c r="AJ499" i="14"/>
  <c r="P500" i="14"/>
  <c r="T500" i="14"/>
  <c r="X500" i="14"/>
  <c r="Y500" i="14" s="1"/>
  <c r="AJ500" i="14"/>
  <c r="P501" i="14"/>
  <c r="T501" i="14"/>
  <c r="X501" i="14"/>
  <c r="Y501" i="14" s="1"/>
  <c r="AJ501" i="14"/>
  <c r="N2" i="15"/>
  <c r="V2" i="15"/>
  <c r="W2" i="15" s="1"/>
  <c r="AD2" i="15" s="1"/>
  <c r="M3" i="15"/>
  <c r="N3" i="15" s="1"/>
  <c r="AJ3" i="15" s="1"/>
  <c r="Q3" i="15"/>
  <c r="AK3" i="15" s="1"/>
  <c r="Y3" i="15"/>
  <c r="AC3" i="15"/>
  <c r="AE3" i="15" s="1"/>
  <c r="P4" i="15"/>
  <c r="R4" i="15" s="1"/>
  <c r="N6" i="15"/>
  <c r="V6" i="15"/>
  <c r="W6" i="15" s="1"/>
  <c r="M7" i="15"/>
  <c r="N7" i="15" s="1"/>
  <c r="AJ7" i="15" s="1"/>
  <c r="AC7" i="15"/>
  <c r="AE7" i="15" s="1"/>
  <c r="P8" i="15"/>
  <c r="W118" i="15"/>
  <c r="AD118" i="15" s="1"/>
  <c r="W120" i="15"/>
  <c r="AD120" i="15" s="1"/>
  <c r="W121" i="15"/>
  <c r="AD121" i="15" s="1"/>
  <c r="W122" i="15"/>
  <c r="AD122" i="15" s="1"/>
  <c r="W123" i="15"/>
  <c r="AD123" i="15" s="1"/>
  <c r="W124" i="15"/>
  <c r="AD124" i="15" s="1"/>
  <c r="W125" i="15"/>
  <c r="W126" i="15"/>
  <c r="AD126" i="15" s="1"/>
  <c r="W127" i="15"/>
  <c r="AD127" i="15" s="1"/>
  <c r="W128" i="15"/>
  <c r="AD128" i="15" s="1"/>
  <c r="W129" i="15"/>
  <c r="AD129" i="15" s="1"/>
  <c r="W130" i="15"/>
  <c r="AD130" i="15" s="1"/>
  <c r="W131" i="15"/>
  <c r="AD131" i="15" s="1"/>
  <c r="W132" i="15"/>
  <c r="AD132" i="15" s="1"/>
  <c r="W133" i="15"/>
  <c r="AD133" i="15" s="1"/>
  <c r="W134" i="15"/>
  <c r="AD134" i="15" s="1"/>
  <c r="W136" i="15"/>
  <c r="W137" i="15"/>
  <c r="AD137" i="15" s="1"/>
  <c r="O138" i="15"/>
  <c r="W139" i="15"/>
  <c r="AD139" i="15" s="1"/>
  <c r="W140" i="15"/>
  <c r="AD140" i="15" s="1"/>
  <c r="W141" i="15"/>
  <c r="AD141" i="15" s="1"/>
  <c r="W142" i="15"/>
  <c r="AD142" i="15" s="1"/>
  <c r="W143" i="15"/>
  <c r="AD143" i="15" s="1"/>
  <c r="W144" i="15"/>
  <c r="AD144" i="15" s="1"/>
  <c r="W145" i="15"/>
  <c r="AD145" i="15" s="1"/>
  <c r="W146" i="15"/>
  <c r="AD146" i="15" s="1"/>
  <c r="W147" i="15"/>
  <c r="AD147" i="15" s="1"/>
  <c r="W148" i="15"/>
  <c r="AD148" i="15" s="1"/>
  <c r="W149" i="15"/>
  <c r="AD149" i="15" s="1"/>
  <c r="W150" i="15"/>
  <c r="AD150" i="15" s="1"/>
  <c r="W151" i="15"/>
  <c r="AD151" i="15" s="1"/>
  <c r="W152" i="15"/>
  <c r="AD152" i="15" s="1"/>
  <c r="W153" i="15"/>
  <c r="AD153" i="15" s="1"/>
  <c r="O154" i="15"/>
  <c r="W155" i="15"/>
  <c r="AD155" i="15" s="1"/>
  <c r="W156" i="15"/>
  <c r="AD156" i="15" s="1"/>
  <c r="W157" i="15"/>
  <c r="AD157" i="15" s="1"/>
  <c r="W158" i="15"/>
  <c r="AD158" i="15" s="1"/>
  <c r="W159" i="15"/>
  <c r="AD159" i="15" s="1"/>
  <c r="W160" i="15"/>
  <c r="AD160" i="15" s="1"/>
  <c r="W161" i="15"/>
  <c r="AD161" i="15" s="1"/>
  <c r="W162" i="15"/>
  <c r="W163" i="15"/>
  <c r="AD163" i="15" s="1"/>
  <c r="W164" i="15"/>
  <c r="AD164" i="15" s="1"/>
  <c r="W165" i="15"/>
  <c r="AD165" i="15" s="1"/>
  <c r="W166" i="15"/>
  <c r="AD166" i="15" s="1"/>
  <c r="W167" i="15"/>
  <c r="AD167" i="15" s="1"/>
  <c r="W168" i="15"/>
  <c r="AD168" i="15" s="1"/>
  <c r="W169" i="15"/>
  <c r="AD169" i="15" s="1"/>
  <c r="O170" i="15"/>
  <c r="W170" i="15"/>
  <c r="AD170" i="15" s="1"/>
  <c r="W171" i="15"/>
  <c r="W172" i="15"/>
  <c r="AD172" i="15" s="1"/>
  <c r="W173" i="15"/>
  <c r="AD173" i="15" s="1"/>
  <c r="W174" i="15"/>
  <c r="AD174" i="15" s="1"/>
  <c r="W175" i="15"/>
  <c r="AD175" i="15" s="1"/>
  <c r="W176" i="15"/>
  <c r="AD176" i="15" s="1"/>
  <c r="W178" i="15"/>
  <c r="AD178" i="15" s="1"/>
  <c r="W179" i="15"/>
  <c r="AD179" i="15" s="1"/>
  <c r="W180" i="15"/>
  <c r="AD180" i="15" s="1"/>
  <c r="W181" i="15"/>
  <c r="AD181" i="15" s="1"/>
  <c r="W182" i="15"/>
  <c r="AD182" i="15" s="1"/>
  <c r="W183" i="15"/>
  <c r="AD183" i="15" s="1"/>
  <c r="W184" i="15"/>
  <c r="AD184" i="15" s="1"/>
  <c r="W185" i="15"/>
  <c r="AD185" i="15" s="1"/>
  <c r="W187" i="15"/>
  <c r="AD187" i="15" s="1"/>
  <c r="W188" i="15"/>
  <c r="AD188" i="15" s="1"/>
  <c r="W189" i="15"/>
  <c r="AD189" i="15" s="1"/>
  <c r="W190" i="15"/>
  <c r="AD190" i="15" s="1"/>
  <c r="W191" i="15"/>
  <c r="AD191" i="15" s="1"/>
  <c r="W192" i="15"/>
  <c r="AD192" i="15" s="1"/>
  <c r="W194" i="15"/>
  <c r="AD194" i="15" s="1"/>
  <c r="W195" i="15"/>
  <c r="AD195" i="15" s="1"/>
  <c r="W196" i="15"/>
  <c r="AD196" i="15" s="1"/>
  <c r="W198" i="15"/>
  <c r="AD198" i="15" s="1"/>
  <c r="W199" i="15"/>
  <c r="AD199" i="15" s="1"/>
  <c r="W200" i="15"/>
  <c r="AD200" i="15" s="1"/>
  <c r="W201" i="15"/>
  <c r="AD201" i="15" s="1"/>
  <c r="W203" i="15"/>
  <c r="AD203" i="15" s="1"/>
  <c r="W204" i="15"/>
  <c r="AD204" i="15" s="1"/>
  <c r="W205" i="15"/>
  <c r="AD205" i="15" s="1"/>
  <c r="AC207" i="15"/>
  <c r="AE207" i="15" s="1"/>
  <c r="M207" i="15"/>
  <c r="N207" i="15" s="1"/>
  <c r="W207" i="15"/>
  <c r="AD207" i="15" s="1"/>
  <c r="AB207" i="15"/>
  <c r="AC209" i="15"/>
  <c r="AE209" i="15" s="1"/>
  <c r="M209" i="15"/>
  <c r="N209" i="15" s="1"/>
  <c r="W209" i="15"/>
  <c r="AD209" i="15" s="1"/>
  <c r="AB209" i="15"/>
  <c r="AC211" i="15"/>
  <c r="AE211" i="15" s="1"/>
  <c r="M211" i="15"/>
  <c r="N211" i="15" s="1"/>
  <c r="W211" i="15"/>
  <c r="AD211" i="15" s="1"/>
  <c r="AB211" i="15"/>
  <c r="AC213" i="15"/>
  <c r="AE213" i="15" s="1"/>
  <c r="M213" i="15"/>
  <c r="N213" i="15" s="1"/>
  <c r="AC215" i="15"/>
  <c r="AE215" i="15" s="1"/>
  <c r="M215" i="15"/>
  <c r="AC217" i="15"/>
  <c r="AE217" i="15" s="1"/>
  <c r="M217" i="15"/>
  <c r="N217" i="15" s="1"/>
  <c r="AC219" i="15"/>
  <c r="AE219" i="15" s="1"/>
  <c r="M219" i="15"/>
  <c r="N219" i="15" s="1"/>
  <c r="W219" i="15"/>
  <c r="AD219" i="15" s="1"/>
  <c r="AC221" i="15"/>
  <c r="AE221" i="15" s="1"/>
  <c r="M221" i="15"/>
  <c r="N221" i="15" s="1"/>
  <c r="AC223" i="15"/>
  <c r="AE223" i="15" s="1"/>
  <c r="M223" i="15"/>
  <c r="N223" i="15" s="1"/>
  <c r="O223" i="15"/>
  <c r="U223" i="15" s="1"/>
  <c r="AC225" i="15"/>
  <c r="AE225" i="15" s="1"/>
  <c r="M225" i="15"/>
  <c r="N225" i="15" s="1"/>
  <c r="AC227" i="15"/>
  <c r="AE227" i="15" s="1"/>
  <c r="M227" i="15"/>
  <c r="N227" i="15" s="1"/>
  <c r="AC229" i="15"/>
  <c r="AE229" i="15" s="1"/>
  <c r="M229" i="15"/>
  <c r="N229" i="15" s="1"/>
  <c r="AC231" i="15"/>
  <c r="AE231" i="15" s="1"/>
  <c r="M231" i="15"/>
  <c r="N231" i="15" s="1"/>
  <c r="O231" i="15"/>
  <c r="U231" i="15" s="1"/>
  <c r="AC233" i="15"/>
  <c r="AE233" i="15" s="1"/>
  <c r="M233" i="15"/>
  <c r="N233" i="15" s="1"/>
  <c r="AC235" i="15"/>
  <c r="AE235" i="15" s="1"/>
  <c r="M235" i="15"/>
  <c r="N235" i="15" s="1"/>
  <c r="W235" i="15"/>
  <c r="AD235" i="15" s="1"/>
  <c r="AC237" i="15"/>
  <c r="AE237" i="15" s="1"/>
  <c r="M237" i="15"/>
  <c r="N237" i="15" s="1"/>
  <c r="AC239" i="15"/>
  <c r="AE239" i="15" s="1"/>
  <c r="M239" i="15"/>
  <c r="N239" i="15" s="1"/>
  <c r="O239" i="15"/>
  <c r="U239" i="15" s="1"/>
  <c r="AC241" i="15"/>
  <c r="AE241" i="15" s="1"/>
  <c r="M241" i="15"/>
  <c r="N241" i="15" s="1"/>
  <c r="AC243" i="15"/>
  <c r="AE243" i="15" s="1"/>
  <c r="M243" i="15"/>
  <c r="N243" i="15" s="1"/>
  <c r="W243" i="15"/>
  <c r="AD243" i="15" s="1"/>
  <c r="AC245" i="15"/>
  <c r="AE245" i="15" s="1"/>
  <c r="M245" i="15"/>
  <c r="N245" i="15" s="1"/>
  <c r="AC247" i="15"/>
  <c r="AE247" i="15" s="1"/>
  <c r="M247" i="15"/>
  <c r="N247" i="15" s="1"/>
  <c r="O247" i="15"/>
  <c r="U247" i="15" s="1"/>
  <c r="AC249" i="15"/>
  <c r="AE249" i="15" s="1"/>
  <c r="M249" i="15"/>
  <c r="N249" i="15" s="1"/>
  <c r="AC251" i="15"/>
  <c r="AE251" i="15" s="1"/>
  <c r="M251" i="15"/>
  <c r="N251" i="15" s="1"/>
  <c r="W251" i="15"/>
  <c r="AD251" i="15" s="1"/>
  <c r="AC253" i="15"/>
  <c r="AE253" i="15" s="1"/>
  <c r="M253" i="15"/>
  <c r="N253" i="15" s="1"/>
  <c r="AC255" i="15"/>
  <c r="AE255" i="15" s="1"/>
  <c r="M255" i="15"/>
  <c r="N255" i="15" s="1"/>
  <c r="AC257" i="15"/>
  <c r="AE257" i="15" s="1"/>
  <c r="M257" i="15"/>
  <c r="N257" i="15" s="1"/>
  <c r="AC259" i="15"/>
  <c r="AE259" i="15" s="1"/>
  <c r="M259" i="15"/>
  <c r="N259" i="15" s="1"/>
  <c r="W259" i="15"/>
  <c r="AD259" i="15" s="1"/>
  <c r="AC261" i="15"/>
  <c r="AE261" i="15" s="1"/>
  <c r="M261" i="15"/>
  <c r="N261" i="15" s="1"/>
  <c r="AC263" i="15"/>
  <c r="AE263" i="15" s="1"/>
  <c r="M263" i="15"/>
  <c r="N263" i="15" s="1"/>
  <c r="O263" i="15"/>
  <c r="U263" i="15" s="1"/>
  <c r="AC265" i="15"/>
  <c r="AE265" i="15" s="1"/>
  <c r="M265" i="15"/>
  <c r="N265" i="15" s="1"/>
  <c r="AC267" i="15"/>
  <c r="AE267" i="15" s="1"/>
  <c r="M267" i="15"/>
  <c r="N267" i="15" s="1"/>
  <c r="W267" i="15"/>
  <c r="AD267" i="15" s="1"/>
  <c r="AC269" i="15"/>
  <c r="AE269" i="15" s="1"/>
  <c r="M269" i="15"/>
  <c r="N269" i="15" s="1"/>
  <c r="W269" i="15"/>
  <c r="AD269" i="15" s="1"/>
  <c r="AB269" i="15"/>
  <c r="AK271" i="15"/>
  <c r="AC271" i="15"/>
  <c r="AE271" i="15" s="1"/>
  <c r="U271" i="15"/>
  <c r="AF271" i="15" s="1"/>
  <c r="Q271" i="15"/>
  <c r="M271" i="15"/>
  <c r="AI271" i="15"/>
  <c r="AA271" i="15"/>
  <c r="AG271" i="15" s="1"/>
  <c r="W271" i="15"/>
  <c r="AD271" i="15" s="1"/>
  <c r="S271" i="15"/>
  <c r="O271" i="15"/>
  <c r="K271" i="15"/>
  <c r="T271" i="15"/>
  <c r="AB271" i="15"/>
  <c r="AJ271" i="15"/>
  <c r="AK273" i="15"/>
  <c r="AC273" i="15"/>
  <c r="AE273" i="15" s="1"/>
  <c r="U273" i="15"/>
  <c r="AF273" i="15" s="1"/>
  <c r="Q273" i="15"/>
  <c r="M273" i="15"/>
  <c r="AI273" i="15"/>
  <c r="AA273" i="15"/>
  <c r="AG273" i="15" s="1"/>
  <c r="W273" i="15"/>
  <c r="AD273" i="15" s="1"/>
  <c r="S273" i="15"/>
  <c r="O273" i="15"/>
  <c r="K273" i="15"/>
  <c r="T273" i="15"/>
  <c r="AB273" i="15"/>
  <c r="AJ273" i="15"/>
  <c r="AK275" i="15"/>
  <c r="AC275" i="15"/>
  <c r="AE275" i="15" s="1"/>
  <c r="U275" i="15"/>
  <c r="AF275" i="15" s="1"/>
  <c r="Q275" i="15"/>
  <c r="M275" i="15"/>
  <c r="AI275" i="15"/>
  <c r="AA275" i="15"/>
  <c r="AG275" i="15" s="1"/>
  <c r="W275" i="15"/>
  <c r="AD275" i="15" s="1"/>
  <c r="S275" i="15"/>
  <c r="O275" i="15"/>
  <c r="K275" i="15"/>
  <c r="T275" i="15"/>
  <c r="AB275" i="15"/>
  <c r="AJ275" i="15"/>
  <c r="AK277" i="15"/>
  <c r="AC277" i="15"/>
  <c r="AE277" i="15" s="1"/>
  <c r="U277" i="15"/>
  <c r="AF277" i="15" s="1"/>
  <c r="Q277" i="15"/>
  <c r="M277" i="15"/>
  <c r="AI277" i="15"/>
  <c r="AA277" i="15"/>
  <c r="AG277" i="15" s="1"/>
  <c r="W277" i="15"/>
  <c r="AD277" i="15" s="1"/>
  <c r="S277" i="15"/>
  <c r="O277" i="15"/>
  <c r="K277" i="15"/>
  <c r="T277" i="15"/>
  <c r="AB277" i="15"/>
  <c r="AJ277" i="15"/>
  <c r="AK279" i="15"/>
  <c r="AC279" i="15"/>
  <c r="AE279" i="15" s="1"/>
  <c r="U279" i="15"/>
  <c r="AF279" i="15" s="1"/>
  <c r="Q279" i="15"/>
  <c r="M279" i="15"/>
  <c r="AI279" i="15"/>
  <c r="AA279" i="15"/>
  <c r="AG279" i="15" s="1"/>
  <c r="W279" i="15"/>
  <c r="AD279" i="15" s="1"/>
  <c r="S279" i="15"/>
  <c r="O279" i="15"/>
  <c r="K279" i="15"/>
  <c r="T279" i="15"/>
  <c r="AB279" i="15"/>
  <c r="AJ279" i="15"/>
  <c r="AK281" i="15"/>
  <c r="AC281" i="15"/>
  <c r="AE281" i="15" s="1"/>
  <c r="U281" i="15"/>
  <c r="AF281" i="15" s="1"/>
  <c r="Q281" i="15"/>
  <c r="M281" i="15"/>
  <c r="AI281" i="15"/>
  <c r="AA281" i="15"/>
  <c r="AG281" i="15" s="1"/>
  <c r="W281" i="15"/>
  <c r="AD281" i="15" s="1"/>
  <c r="S281" i="15"/>
  <c r="O281" i="15"/>
  <c r="K281" i="15"/>
  <c r="T281" i="15"/>
  <c r="AB281" i="15"/>
  <c r="AJ281" i="15"/>
  <c r="AK283" i="15"/>
  <c r="AC283" i="15"/>
  <c r="AE283" i="15" s="1"/>
  <c r="U283" i="15"/>
  <c r="AF283" i="15" s="1"/>
  <c r="Q283" i="15"/>
  <c r="M283" i="15"/>
  <c r="AI283" i="15"/>
  <c r="AA283" i="15"/>
  <c r="AG283" i="15" s="1"/>
  <c r="W283" i="15"/>
  <c r="AD283" i="15" s="1"/>
  <c r="S283" i="15"/>
  <c r="O283" i="15"/>
  <c r="K283" i="15"/>
  <c r="T283" i="15"/>
  <c r="AB283" i="15"/>
  <c r="AJ283" i="15"/>
  <c r="P284" i="15"/>
  <c r="AK285" i="15"/>
  <c r="AC285" i="15"/>
  <c r="AE285" i="15" s="1"/>
  <c r="U285" i="15"/>
  <c r="AF285" i="15" s="1"/>
  <c r="Q285" i="15"/>
  <c r="M285" i="15"/>
  <c r="AI285" i="15"/>
  <c r="AA285" i="15"/>
  <c r="AG285" i="15" s="1"/>
  <c r="W285" i="15"/>
  <c r="AD285" i="15" s="1"/>
  <c r="S285" i="15"/>
  <c r="O285" i="15"/>
  <c r="K285" i="15"/>
  <c r="T285" i="15"/>
  <c r="AB285" i="15"/>
  <c r="AJ285" i="15"/>
  <c r="P286" i="15"/>
  <c r="AK287" i="15"/>
  <c r="AC287" i="15"/>
  <c r="AE287" i="15" s="1"/>
  <c r="U287" i="15"/>
  <c r="AF287" i="15" s="1"/>
  <c r="Q287" i="15"/>
  <c r="M287" i="15"/>
  <c r="AI287" i="15"/>
  <c r="AA287" i="15"/>
  <c r="AG287" i="15" s="1"/>
  <c r="W287" i="15"/>
  <c r="AD287" i="15" s="1"/>
  <c r="S287" i="15"/>
  <c r="O287" i="15"/>
  <c r="K287" i="15"/>
  <c r="T287" i="15"/>
  <c r="AB287" i="15"/>
  <c r="AJ287" i="15"/>
  <c r="P288" i="15"/>
  <c r="AK289" i="15"/>
  <c r="AC289" i="15"/>
  <c r="AE289" i="15" s="1"/>
  <c r="U289" i="15"/>
  <c r="AF289" i="15" s="1"/>
  <c r="Q289" i="15"/>
  <c r="M289" i="15"/>
  <c r="AI289" i="15"/>
  <c r="AA289" i="15"/>
  <c r="AG289" i="15" s="1"/>
  <c r="W289" i="15"/>
  <c r="AD289" i="15" s="1"/>
  <c r="S289" i="15"/>
  <c r="O289" i="15"/>
  <c r="K289" i="15"/>
  <c r="T289" i="15"/>
  <c r="AB289" i="15"/>
  <c r="AJ289" i="15"/>
  <c r="P290" i="15"/>
  <c r="AK291" i="15"/>
  <c r="AC291" i="15"/>
  <c r="AE291" i="15" s="1"/>
  <c r="U291" i="15"/>
  <c r="AF291" i="15" s="1"/>
  <c r="Q291" i="15"/>
  <c r="M291" i="15"/>
  <c r="AI291" i="15"/>
  <c r="AA291" i="15"/>
  <c r="AG291" i="15" s="1"/>
  <c r="W291" i="15"/>
  <c r="AD291" i="15" s="1"/>
  <c r="S291" i="15"/>
  <c r="O291" i="15"/>
  <c r="K291" i="15"/>
  <c r="T291" i="15"/>
  <c r="AB291" i="15"/>
  <c r="AJ291" i="15"/>
  <c r="P292" i="15"/>
  <c r="AK293" i="15"/>
  <c r="AC293" i="15"/>
  <c r="AE293" i="15" s="1"/>
  <c r="U293" i="15"/>
  <c r="AF293" i="15" s="1"/>
  <c r="Q293" i="15"/>
  <c r="M293" i="15"/>
  <c r="AI293" i="15"/>
  <c r="AA293" i="15"/>
  <c r="AG293" i="15" s="1"/>
  <c r="W293" i="15"/>
  <c r="AD293" i="15" s="1"/>
  <c r="S293" i="15"/>
  <c r="O293" i="15"/>
  <c r="K293" i="15"/>
  <c r="T293" i="15"/>
  <c r="AB293" i="15"/>
  <c r="AJ293" i="15"/>
  <c r="P294" i="15"/>
  <c r="AK295" i="15"/>
  <c r="AC295" i="15"/>
  <c r="AE295" i="15" s="1"/>
  <c r="U295" i="15"/>
  <c r="AF295" i="15" s="1"/>
  <c r="Q295" i="15"/>
  <c r="M295" i="15"/>
  <c r="AI295" i="15"/>
  <c r="AA295" i="15"/>
  <c r="AG295" i="15" s="1"/>
  <c r="W295" i="15"/>
  <c r="AD295" i="15" s="1"/>
  <c r="S295" i="15"/>
  <c r="O295" i="15"/>
  <c r="K295" i="15"/>
  <c r="T295" i="15"/>
  <c r="AB295" i="15"/>
  <c r="AJ295" i="15"/>
  <c r="P296" i="15"/>
  <c r="AK297" i="15"/>
  <c r="AC297" i="15"/>
  <c r="AE297" i="15" s="1"/>
  <c r="U297" i="15"/>
  <c r="AF297" i="15" s="1"/>
  <c r="Q297" i="15"/>
  <c r="M297" i="15"/>
  <c r="AI297" i="15"/>
  <c r="AA297" i="15"/>
  <c r="AG297" i="15" s="1"/>
  <c r="W297" i="15"/>
  <c r="AD297" i="15" s="1"/>
  <c r="S297" i="15"/>
  <c r="O297" i="15"/>
  <c r="K297" i="15"/>
  <c r="T297" i="15"/>
  <c r="AB297" i="15"/>
  <c r="AJ297" i="15"/>
  <c r="P298" i="15"/>
  <c r="AK299" i="15"/>
  <c r="AC299" i="15"/>
  <c r="AE299" i="15" s="1"/>
  <c r="U299" i="15"/>
  <c r="AF299" i="15" s="1"/>
  <c r="Q299" i="15"/>
  <c r="M299" i="15"/>
  <c r="AI299" i="15"/>
  <c r="AA299" i="15"/>
  <c r="AG299" i="15" s="1"/>
  <c r="W299" i="15"/>
  <c r="AD299" i="15" s="1"/>
  <c r="S299" i="15"/>
  <c r="O299" i="15"/>
  <c r="K299" i="15"/>
  <c r="T299" i="15"/>
  <c r="AB299" i="15"/>
  <c r="AJ299" i="15"/>
  <c r="P300" i="15"/>
  <c r="AK301" i="15"/>
  <c r="AC301" i="15"/>
  <c r="AE301" i="15" s="1"/>
  <c r="U301" i="15"/>
  <c r="AF301" i="15" s="1"/>
  <c r="Q301" i="15"/>
  <c r="M301" i="15"/>
  <c r="AI301" i="15"/>
  <c r="AA301" i="15"/>
  <c r="AG301" i="15" s="1"/>
  <c r="W301" i="15"/>
  <c r="AD301" i="15" s="1"/>
  <c r="S301" i="15"/>
  <c r="O301" i="15"/>
  <c r="K301" i="15"/>
  <c r="T301" i="15"/>
  <c r="AB301" i="15"/>
  <c r="AJ301" i="15"/>
  <c r="P302" i="15"/>
  <c r="AK303" i="15"/>
  <c r="AC303" i="15"/>
  <c r="AE303" i="15" s="1"/>
  <c r="U303" i="15"/>
  <c r="AF303" i="15" s="1"/>
  <c r="Q303" i="15"/>
  <c r="M303" i="15"/>
  <c r="AJ303" i="15"/>
  <c r="AI303" i="15"/>
  <c r="AA303" i="15"/>
  <c r="AG303" i="15" s="1"/>
  <c r="W303" i="15"/>
  <c r="AD303" i="15" s="1"/>
  <c r="S303" i="15"/>
  <c r="O303" i="15"/>
  <c r="K303" i="15"/>
  <c r="T303" i="15"/>
  <c r="AB303" i="15"/>
  <c r="P118" i="15"/>
  <c r="X118" i="15"/>
  <c r="Y118" i="15" s="1"/>
  <c r="AB118" i="15"/>
  <c r="P119" i="15"/>
  <c r="X119" i="15"/>
  <c r="AB119" i="15"/>
  <c r="P120" i="15"/>
  <c r="X120" i="15"/>
  <c r="AB120" i="15"/>
  <c r="P121" i="15"/>
  <c r="X121" i="15"/>
  <c r="Y121" i="15" s="1"/>
  <c r="AB121" i="15"/>
  <c r="P122" i="15"/>
  <c r="X122" i="15"/>
  <c r="Y122" i="15" s="1"/>
  <c r="AB122" i="15"/>
  <c r="P123" i="15"/>
  <c r="X123" i="15"/>
  <c r="AB123" i="15"/>
  <c r="P124" i="15"/>
  <c r="X124" i="15"/>
  <c r="Y124" i="15" s="1"/>
  <c r="AB124" i="15"/>
  <c r="P125" i="15"/>
  <c r="X125" i="15"/>
  <c r="Y125" i="15" s="1"/>
  <c r="AB125" i="15"/>
  <c r="P126" i="15"/>
  <c r="X126" i="15"/>
  <c r="Y126" i="15" s="1"/>
  <c r="AB126" i="15"/>
  <c r="P127" i="15"/>
  <c r="P128" i="15"/>
  <c r="X128" i="15"/>
  <c r="AB128" i="15"/>
  <c r="P129" i="15"/>
  <c r="X129" i="15"/>
  <c r="Y129" i="15" s="1"/>
  <c r="AB129" i="15"/>
  <c r="P130" i="15"/>
  <c r="X130" i="15"/>
  <c r="AB130" i="15"/>
  <c r="P131" i="15"/>
  <c r="X131" i="15"/>
  <c r="P132" i="15"/>
  <c r="X132" i="15"/>
  <c r="AB132" i="15"/>
  <c r="P133" i="15"/>
  <c r="X133" i="15"/>
  <c r="AB133" i="15"/>
  <c r="P134" i="15"/>
  <c r="X134" i="15"/>
  <c r="Y134" i="15" s="1"/>
  <c r="AB134" i="15"/>
  <c r="P135" i="15"/>
  <c r="X135" i="15"/>
  <c r="P136" i="15"/>
  <c r="X136" i="15"/>
  <c r="AB136" i="15"/>
  <c r="P137" i="15"/>
  <c r="X137" i="15"/>
  <c r="AB137" i="15"/>
  <c r="P138" i="15"/>
  <c r="R138" i="15" s="1"/>
  <c r="X138" i="15"/>
  <c r="AB138" i="15"/>
  <c r="P139" i="15"/>
  <c r="X139" i="15"/>
  <c r="P140" i="15"/>
  <c r="X140" i="15"/>
  <c r="AB140" i="15"/>
  <c r="P141" i="15"/>
  <c r="X141" i="15"/>
  <c r="AB141" i="15"/>
  <c r="P142" i="15"/>
  <c r="X142" i="15"/>
  <c r="Y142" i="15" s="1"/>
  <c r="AB142" i="15"/>
  <c r="P143" i="15"/>
  <c r="X143" i="15"/>
  <c r="P144" i="15"/>
  <c r="X144" i="15"/>
  <c r="AB144" i="15"/>
  <c r="P145" i="15"/>
  <c r="X145" i="15"/>
  <c r="AB145" i="15"/>
  <c r="P146" i="15"/>
  <c r="AB146" i="15"/>
  <c r="P147" i="15"/>
  <c r="P148" i="15"/>
  <c r="X148" i="15"/>
  <c r="AB148" i="15"/>
  <c r="P149" i="15"/>
  <c r="X149" i="15"/>
  <c r="AB149" i="15"/>
  <c r="P150" i="15"/>
  <c r="X150" i="15"/>
  <c r="Y150" i="15" s="1"/>
  <c r="AB150" i="15"/>
  <c r="P151" i="15"/>
  <c r="P152" i="15"/>
  <c r="X152" i="15"/>
  <c r="AB152" i="15"/>
  <c r="P153" i="15"/>
  <c r="X153" i="15"/>
  <c r="AB153" i="15"/>
  <c r="P154" i="15"/>
  <c r="R154" i="15" s="1"/>
  <c r="AB154" i="15"/>
  <c r="P155" i="15"/>
  <c r="P156" i="15"/>
  <c r="X156" i="15"/>
  <c r="AB156" i="15"/>
  <c r="P157" i="15"/>
  <c r="X157" i="15"/>
  <c r="Y157" i="15" s="1"/>
  <c r="AB157" i="15"/>
  <c r="P158" i="15"/>
  <c r="X158" i="15"/>
  <c r="AB158" i="15"/>
  <c r="P159" i="15"/>
  <c r="P160" i="15"/>
  <c r="X160" i="15"/>
  <c r="AB160" i="15"/>
  <c r="P161" i="15"/>
  <c r="X161" i="15"/>
  <c r="AB161" i="15"/>
  <c r="P162" i="15"/>
  <c r="AB162" i="15"/>
  <c r="P163" i="15"/>
  <c r="P164" i="15"/>
  <c r="X164" i="15"/>
  <c r="AB164" i="15"/>
  <c r="P165" i="15"/>
  <c r="X165" i="15"/>
  <c r="P166" i="15"/>
  <c r="X166" i="15"/>
  <c r="AB166" i="15"/>
  <c r="P167" i="15"/>
  <c r="P168" i="15"/>
  <c r="X168" i="15"/>
  <c r="AB168" i="15"/>
  <c r="P169" i="15"/>
  <c r="X169" i="15"/>
  <c r="AB169" i="15"/>
  <c r="P170" i="15"/>
  <c r="R170" i="15" s="1"/>
  <c r="X170" i="15"/>
  <c r="AB170" i="15"/>
  <c r="P171" i="15"/>
  <c r="P172" i="15"/>
  <c r="X172" i="15"/>
  <c r="AB172" i="15"/>
  <c r="P173" i="15"/>
  <c r="X173" i="15"/>
  <c r="Y173" i="15" s="1"/>
  <c r="P174" i="15"/>
  <c r="X174" i="15"/>
  <c r="Y174" i="15" s="1"/>
  <c r="AB174" i="15"/>
  <c r="P175" i="15"/>
  <c r="P176" i="15"/>
  <c r="X176" i="15"/>
  <c r="AB176" i="15"/>
  <c r="P177" i="15"/>
  <c r="X177" i="15"/>
  <c r="AB177" i="15"/>
  <c r="P178" i="15"/>
  <c r="X178" i="15"/>
  <c r="AB178" i="15"/>
  <c r="P179" i="15"/>
  <c r="P180" i="15"/>
  <c r="X180" i="15"/>
  <c r="AB180" i="15"/>
  <c r="P181" i="15"/>
  <c r="X181" i="15"/>
  <c r="P182" i="15"/>
  <c r="X182" i="15"/>
  <c r="AB182" i="15"/>
  <c r="P183" i="15"/>
  <c r="P184" i="15"/>
  <c r="X184" i="15"/>
  <c r="AB184" i="15"/>
  <c r="P185" i="15"/>
  <c r="X185" i="15"/>
  <c r="Y185" i="15" s="1"/>
  <c r="AB185" i="15"/>
  <c r="P186" i="15"/>
  <c r="X186" i="15"/>
  <c r="AB186" i="15"/>
  <c r="P187" i="15"/>
  <c r="P188" i="15"/>
  <c r="Y188" i="15" s="1"/>
  <c r="X188" i="15"/>
  <c r="AB188" i="15"/>
  <c r="P189" i="15"/>
  <c r="X189" i="15"/>
  <c r="P190" i="15"/>
  <c r="X190" i="15"/>
  <c r="AB190" i="15"/>
  <c r="P191" i="15"/>
  <c r="P192" i="15"/>
  <c r="X192" i="15"/>
  <c r="AB192" i="15"/>
  <c r="P193" i="15"/>
  <c r="X193" i="15"/>
  <c r="AB193" i="15"/>
  <c r="P194" i="15"/>
  <c r="AB194" i="15"/>
  <c r="P195" i="15"/>
  <c r="P196" i="15"/>
  <c r="X196" i="15"/>
  <c r="AB196" i="15"/>
  <c r="P197" i="15"/>
  <c r="X197" i="15"/>
  <c r="P198" i="15"/>
  <c r="X198" i="15"/>
  <c r="AB198" i="15"/>
  <c r="P199" i="15"/>
  <c r="P200" i="15"/>
  <c r="X200" i="15"/>
  <c r="AB200" i="15"/>
  <c r="P201" i="15"/>
  <c r="X201" i="15"/>
  <c r="AB201" i="15"/>
  <c r="P202" i="15"/>
  <c r="AB202" i="15"/>
  <c r="P203" i="15"/>
  <c r="P204" i="15"/>
  <c r="X204" i="15"/>
  <c r="AB204" i="15"/>
  <c r="AC205" i="15"/>
  <c r="AE205" i="15" s="1"/>
  <c r="P205" i="15"/>
  <c r="V213" i="15"/>
  <c r="AB213" i="15" s="1"/>
  <c r="V215" i="15"/>
  <c r="W215" i="15" s="1"/>
  <c r="AD215" i="15" s="1"/>
  <c r="V217" i="15"/>
  <c r="W217" i="15" s="1"/>
  <c r="AD217" i="15" s="1"/>
  <c r="V219" i="15"/>
  <c r="V221" i="15"/>
  <c r="AB221" i="15" s="1"/>
  <c r="V223" i="15"/>
  <c r="W223" i="15" s="1"/>
  <c r="AD223" i="15" s="1"/>
  <c r="V225" i="15"/>
  <c r="W225" i="15" s="1"/>
  <c r="AD225" i="15" s="1"/>
  <c r="V227" i="15"/>
  <c r="W227" i="15" s="1"/>
  <c r="AD227" i="15" s="1"/>
  <c r="V229" i="15"/>
  <c r="AB229" i="15" s="1"/>
  <c r="V231" i="15"/>
  <c r="W231" i="15" s="1"/>
  <c r="AD231" i="15" s="1"/>
  <c r="V233" i="15"/>
  <c r="W233" i="15" s="1"/>
  <c r="AD233" i="15" s="1"/>
  <c r="V235" i="15"/>
  <c r="V237" i="15"/>
  <c r="AB237" i="15" s="1"/>
  <c r="V239" i="15"/>
  <c r="W239" i="15" s="1"/>
  <c r="AD239" i="15" s="1"/>
  <c r="V241" i="15"/>
  <c r="W241" i="15" s="1"/>
  <c r="AD241" i="15" s="1"/>
  <c r="V243" i="15"/>
  <c r="V245" i="15"/>
  <c r="AB245" i="15" s="1"/>
  <c r="V247" i="15"/>
  <c r="W247" i="15" s="1"/>
  <c r="AD247" i="15" s="1"/>
  <c r="V249" i="15"/>
  <c r="W249" i="15" s="1"/>
  <c r="AD249" i="15" s="1"/>
  <c r="V251" i="15"/>
  <c r="V253" i="15"/>
  <c r="AB253" i="15" s="1"/>
  <c r="V255" i="15"/>
  <c r="W255" i="15" s="1"/>
  <c r="AD255" i="15" s="1"/>
  <c r="V257" i="15"/>
  <c r="W257" i="15" s="1"/>
  <c r="AD257" i="15" s="1"/>
  <c r="V259" i="15"/>
  <c r="V261" i="15"/>
  <c r="AB261" i="15" s="1"/>
  <c r="V263" i="15"/>
  <c r="W263" i="15" s="1"/>
  <c r="AD263" i="15" s="1"/>
  <c r="V265" i="15"/>
  <c r="W265" i="15" s="1"/>
  <c r="AD265" i="15" s="1"/>
  <c r="V267" i="15"/>
  <c r="N361" i="14"/>
  <c r="R361" i="14"/>
  <c r="V361" i="14"/>
  <c r="AB361" i="14" s="1"/>
  <c r="Z361" i="14"/>
  <c r="AA361" i="14" s="1"/>
  <c r="AG361" i="14" s="1"/>
  <c r="AH361" i="14"/>
  <c r="N362" i="14"/>
  <c r="R362" i="14"/>
  <c r="V362" i="14"/>
  <c r="AB362" i="14" s="1"/>
  <c r="Z362" i="14"/>
  <c r="AA362" i="14" s="1"/>
  <c r="AG362" i="14" s="1"/>
  <c r="AH362" i="14"/>
  <c r="N363" i="14"/>
  <c r="R363" i="14"/>
  <c r="V363" i="14"/>
  <c r="AB363" i="14" s="1"/>
  <c r="Z363" i="14"/>
  <c r="AA363" i="14" s="1"/>
  <c r="AG363" i="14" s="1"/>
  <c r="AH363" i="14"/>
  <c r="N364" i="14"/>
  <c r="R364" i="14"/>
  <c r="V364" i="14"/>
  <c r="AB364" i="14" s="1"/>
  <c r="Z364" i="14"/>
  <c r="AA364" i="14" s="1"/>
  <c r="AG364" i="14" s="1"/>
  <c r="AH364" i="14"/>
  <c r="N365" i="14"/>
  <c r="R365" i="14"/>
  <c r="V365" i="14"/>
  <c r="AB365" i="14" s="1"/>
  <c r="Z365" i="14"/>
  <c r="AA365" i="14" s="1"/>
  <c r="AG365" i="14" s="1"/>
  <c r="AH365" i="14"/>
  <c r="N366" i="14"/>
  <c r="R366" i="14"/>
  <c r="V366" i="14"/>
  <c r="AB366" i="14" s="1"/>
  <c r="Z366" i="14"/>
  <c r="AA366" i="14" s="1"/>
  <c r="AG366" i="14" s="1"/>
  <c r="AH366" i="14"/>
  <c r="N367" i="14"/>
  <c r="R367" i="14"/>
  <c r="V367" i="14"/>
  <c r="AB367" i="14" s="1"/>
  <c r="Z367" i="14"/>
  <c r="AA367" i="14" s="1"/>
  <c r="AG367" i="14" s="1"/>
  <c r="AH367" i="14"/>
  <c r="N368" i="14"/>
  <c r="R368" i="14"/>
  <c r="V368" i="14"/>
  <c r="AB368" i="14" s="1"/>
  <c r="Z368" i="14"/>
  <c r="AA368" i="14" s="1"/>
  <c r="AG368" i="14" s="1"/>
  <c r="AH368" i="14"/>
  <c r="N369" i="14"/>
  <c r="R369" i="14"/>
  <c r="V369" i="14"/>
  <c r="AB369" i="14" s="1"/>
  <c r="Z369" i="14"/>
  <c r="AA369" i="14" s="1"/>
  <c r="AG369" i="14" s="1"/>
  <c r="AH369" i="14"/>
  <c r="N370" i="14"/>
  <c r="R370" i="14"/>
  <c r="V370" i="14"/>
  <c r="AB370" i="14" s="1"/>
  <c r="Z370" i="14"/>
  <c r="AA370" i="14" s="1"/>
  <c r="AG370" i="14" s="1"/>
  <c r="AH370" i="14"/>
  <c r="N371" i="14"/>
  <c r="R371" i="14"/>
  <c r="V371" i="14"/>
  <c r="AB371" i="14" s="1"/>
  <c r="Z371" i="14"/>
  <c r="AA371" i="14" s="1"/>
  <c r="AG371" i="14" s="1"/>
  <c r="AH371" i="14"/>
  <c r="N372" i="14"/>
  <c r="R372" i="14"/>
  <c r="V372" i="14"/>
  <c r="AB372" i="14" s="1"/>
  <c r="Z372" i="14"/>
  <c r="AA372" i="14" s="1"/>
  <c r="AG372" i="14" s="1"/>
  <c r="AH372" i="14"/>
  <c r="N373" i="14"/>
  <c r="R373" i="14"/>
  <c r="V373" i="14"/>
  <c r="AB373" i="14" s="1"/>
  <c r="Z373" i="14"/>
  <c r="AA373" i="14" s="1"/>
  <c r="AG373" i="14" s="1"/>
  <c r="AH373" i="14"/>
  <c r="N374" i="14"/>
  <c r="R374" i="14"/>
  <c r="V374" i="14"/>
  <c r="AB374" i="14" s="1"/>
  <c r="Z374" i="14"/>
  <c r="AA374" i="14" s="1"/>
  <c r="AG374" i="14" s="1"/>
  <c r="AH374" i="14"/>
  <c r="N375" i="14"/>
  <c r="R375" i="14"/>
  <c r="V375" i="14"/>
  <c r="Z375" i="14"/>
  <c r="AA375" i="14" s="1"/>
  <c r="AG375" i="14" s="1"/>
  <c r="AH375" i="14"/>
  <c r="N376" i="14"/>
  <c r="R376" i="14"/>
  <c r="V376" i="14"/>
  <c r="AB376" i="14" s="1"/>
  <c r="Z376" i="14"/>
  <c r="AA376" i="14" s="1"/>
  <c r="AG376" i="14" s="1"/>
  <c r="AH376" i="14"/>
  <c r="N377" i="14"/>
  <c r="R377" i="14"/>
  <c r="V377" i="14"/>
  <c r="AB377" i="14" s="1"/>
  <c r="Z377" i="14"/>
  <c r="AA377" i="14" s="1"/>
  <c r="AG377" i="14" s="1"/>
  <c r="AH377" i="14"/>
  <c r="N378" i="14"/>
  <c r="R378" i="14"/>
  <c r="V378" i="14"/>
  <c r="AB378" i="14" s="1"/>
  <c r="Z378" i="14"/>
  <c r="AA378" i="14" s="1"/>
  <c r="AG378" i="14" s="1"/>
  <c r="AH378" i="14"/>
  <c r="N379" i="14"/>
  <c r="R379" i="14"/>
  <c r="V379" i="14"/>
  <c r="AB379" i="14" s="1"/>
  <c r="Z379" i="14"/>
  <c r="AA379" i="14" s="1"/>
  <c r="AG379" i="14" s="1"/>
  <c r="AH379" i="14"/>
  <c r="N380" i="14"/>
  <c r="R380" i="14"/>
  <c r="V380" i="14"/>
  <c r="AB380" i="14" s="1"/>
  <c r="Z380" i="14"/>
  <c r="AA380" i="14" s="1"/>
  <c r="AG380" i="14" s="1"/>
  <c r="AH380" i="14"/>
  <c r="N381" i="14"/>
  <c r="R381" i="14"/>
  <c r="V381" i="14"/>
  <c r="AB381" i="14" s="1"/>
  <c r="Z381" i="14"/>
  <c r="AA381" i="14" s="1"/>
  <c r="AG381" i="14" s="1"/>
  <c r="AH381" i="14"/>
  <c r="N382" i="14"/>
  <c r="R382" i="14"/>
  <c r="V382" i="14"/>
  <c r="AB382" i="14" s="1"/>
  <c r="Z382" i="14"/>
  <c r="AA382" i="14" s="1"/>
  <c r="AG382" i="14" s="1"/>
  <c r="AH382" i="14"/>
  <c r="N383" i="14"/>
  <c r="R383" i="14"/>
  <c r="V383" i="14"/>
  <c r="AB383" i="14" s="1"/>
  <c r="Z383" i="14"/>
  <c r="AA383" i="14" s="1"/>
  <c r="AG383" i="14" s="1"/>
  <c r="AH383" i="14"/>
  <c r="N384" i="14"/>
  <c r="R384" i="14"/>
  <c r="V384" i="14"/>
  <c r="AB384" i="14" s="1"/>
  <c r="Z384" i="14"/>
  <c r="AA384" i="14" s="1"/>
  <c r="AG384" i="14" s="1"/>
  <c r="AH384" i="14"/>
  <c r="N385" i="14"/>
  <c r="R385" i="14"/>
  <c r="V385" i="14"/>
  <c r="AB385" i="14" s="1"/>
  <c r="Z385" i="14"/>
  <c r="AA385" i="14" s="1"/>
  <c r="AG385" i="14" s="1"/>
  <c r="AH385" i="14"/>
  <c r="N386" i="14"/>
  <c r="R386" i="14"/>
  <c r="V386" i="14"/>
  <c r="AB386" i="14" s="1"/>
  <c r="Z386" i="14"/>
  <c r="AA386" i="14" s="1"/>
  <c r="AG386" i="14" s="1"/>
  <c r="AH386" i="14"/>
  <c r="N387" i="14"/>
  <c r="R387" i="14"/>
  <c r="V387" i="14"/>
  <c r="AB387" i="14" s="1"/>
  <c r="Z387" i="14"/>
  <c r="AA387" i="14" s="1"/>
  <c r="AG387" i="14" s="1"/>
  <c r="AH387" i="14"/>
  <c r="N388" i="14"/>
  <c r="R388" i="14"/>
  <c r="V388" i="14"/>
  <c r="AB388" i="14" s="1"/>
  <c r="Z388" i="14"/>
  <c r="AA388" i="14" s="1"/>
  <c r="AG388" i="14" s="1"/>
  <c r="AH388" i="14"/>
  <c r="N389" i="14"/>
  <c r="R389" i="14"/>
  <c r="V389" i="14"/>
  <c r="AB389" i="14" s="1"/>
  <c r="Z389" i="14"/>
  <c r="AA389" i="14" s="1"/>
  <c r="AG389" i="14" s="1"/>
  <c r="AH389" i="14"/>
  <c r="N390" i="14"/>
  <c r="R390" i="14"/>
  <c r="V390" i="14"/>
  <c r="AB390" i="14" s="1"/>
  <c r="Z390" i="14"/>
  <c r="AA390" i="14" s="1"/>
  <c r="AG390" i="14" s="1"/>
  <c r="AH390" i="14"/>
  <c r="N391" i="14"/>
  <c r="R391" i="14"/>
  <c r="V391" i="14"/>
  <c r="Z391" i="14"/>
  <c r="AA391" i="14" s="1"/>
  <c r="AG391" i="14" s="1"/>
  <c r="AH391" i="14"/>
  <c r="N392" i="14"/>
  <c r="R392" i="14"/>
  <c r="V392" i="14"/>
  <c r="AB392" i="14" s="1"/>
  <c r="Z392" i="14"/>
  <c r="AA392" i="14" s="1"/>
  <c r="AG392" i="14" s="1"/>
  <c r="AH392" i="14"/>
  <c r="N393" i="14"/>
  <c r="R393" i="14"/>
  <c r="V393" i="14"/>
  <c r="AB393" i="14" s="1"/>
  <c r="Z393" i="14"/>
  <c r="AA393" i="14" s="1"/>
  <c r="AG393" i="14" s="1"/>
  <c r="AH393" i="14"/>
  <c r="N394" i="14"/>
  <c r="R394" i="14"/>
  <c r="V394" i="14"/>
  <c r="AB394" i="14" s="1"/>
  <c r="Z394" i="14"/>
  <c r="AA394" i="14" s="1"/>
  <c r="AG394" i="14" s="1"/>
  <c r="AH394" i="14"/>
  <c r="N395" i="14"/>
  <c r="R395" i="14"/>
  <c r="V395" i="14"/>
  <c r="AB395" i="14" s="1"/>
  <c r="Z395" i="14"/>
  <c r="AA395" i="14" s="1"/>
  <c r="AG395" i="14" s="1"/>
  <c r="AH395" i="14"/>
  <c r="N396" i="14"/>
  <c r="R396" i="14"/>
  <c r="V396" i="14"/>
  <c r="AB396" i="14" s="1"/>
  <c r="Z396" i="14"/>
  <c r="AA396" i="14" s="1"/>
  <c r="AG396" i="14" s="1"/>
  <c r="AH396" i="14"/>
  <c r="N397" i="14"/>
  <c r="R397" i="14"/>
  <c r="V397" i="14"/>
  <c r="AB397" i="14" s="1"/>
  <c r="Z397" i="14"/>
  <c r="AA397" i="14" s="1"/>
  <c r="AG397" i="14" s="1"/>
  <c r="AH397" i="14"/>
  <c r="N398" i="14"/>
  <c r="R398" i="14"/>
  <c r="V398" i="14"/>
  <c r="AB398" i="14" s="1"/>
  <c r="Z398" i="14"/>
  <c r="AA398" i="14" s="1"/>
  <c r="AG398" i="14" s="1"/>
  <c r="AH398" i="14"/>
  <c r="N399" i="14"/>
  <c r="R399" i="14"/>
  <c r="V399" i="14"/>
  <c r="AB399" i="14" s="1"/>
  <c r="Z399" i="14"/>
  <c r="AA399" i="14" s="1"/>
  <c r="AG399" i="14" s="1"/>
  <c r="AH399" i="14"/>
  <c r="N400" i="14"/>
  <c r="R400" i="14"/>
  <c r="V400" i="14"/>
  <c r="AB400" i="14" s="1"/>
  <c r="Z400" i="14"/>
  <c r="AA400" i="14" s="1"/>
  <c r="AG400" i="14" s="1"/>
  <c r="AH400" i="14"/>
  <c r="N401" i="14"/>
  <c r="R401" i="14"/>
  <c r="V401" i="14"/>
  <c r="AB401" i="14" s="1"/>
  <c r="Z401" i="14"/>
  <c r="AA401" i="14" s="1"/>
  <c r="AG401" i="14" s="1"/>
  <c r="AH401" i="14"/>
  <c r="N402" i="14"/>
  <c r="R402" i="14"/>
  <c r="V402" i="14"/>
  <c r="AB402" i="14" s="1"/>
  <c r="Z402" i="14"/>
  <c r="AA402" i="14" s="1"/>
  <c r="AG402" i="14" s="1"/>
  <c r="AH402" i="14"/>
  <c r="N403" i="14"/>
  <c r="R403" i="14"/>
  <c r="V403" i="14"/>
  <c r="AB403" i="14" s="1"/>
  <c r="Z403" i="14"/>
  <c r="AA403" i="14" s="1"/>
  <c r="AG403" i="14" s="1"/>
  <c r="AH403" i="14"/>
  <c r="N404" i="14"/>
  <c r="R404" i="14"/>
  <c r="V404" i="14"/>
  <c r="AB404" i="14" s="1"/>
  <c r="Z404" i="14"/>
  <c r="AA404" i="14" s="1"/>
  <c r="AG404" i="14" s="1"/>
  <c r="AH404" i="14"/>
  <c r="N405" i="14"/>
  <c r="R405" i="14"/>
  <c r="V405" i="14"/>
  <c r="AB405" i="14" s="1"/>
  <c r="Z405" i="14"/>
  <c r="AA405" i="14" s="1"/>
  <c r="AG405" i="14" s="1"/>
  <c r="AH405" i="14"/>
  <c r="N406" i="14"/>
  <c r="R406" i="14"/>
  <c r="V406" i="14"/>
  <c r="AB406" i="14" s="1"/>
  <c r="Z406" i="14"/>
  <c r="AA406" i="14" s="1"/>
  <c r="AG406" i="14" s="1"/>
  <c r="AH406" i="14"/>
  <c r="N407" i="14"/>
  <c r="R407" i="14"/>
  <c r="V407" i="14"/>
  <c r="Z407" i="14"/>
  <c r="AA407" i="14" s="1"/>
  <c r="AG407" i="14" s="1"/>
  <c r="AH407" i="14"/>
  <c r="N408" i="14"/>
  <c r="R408" i="14"/>
  <c r="V408" i="14"/>
  <c r="AB408" i="14" s="1"/>
  <c r="Z408" i="14"/>
  <c r="AA408" i="14" s="1"/>
  <c r="AG408" i="14" s="1"/>
  <c r="AH408" i="14"/>
  <c r="N409" i="14"/>
  <c r="R409" i="14"/>
  <c r="V409" i="14"/>
  <c r="AB409" i="14" s="1"/>
  <c r="Z409" i="14"/>
  <c r="AA409" i="14" s="1"/>
  <c r="AG409" i="14" s="1"/>
  <c r="AH409" i="14"/>
  <c r="N410" i="14"/>
  <c r="R410" i="14"/>
  <c r="V410" i="14"/>
  <c r="AB410" i="14" s="1"/>
  <c r="Z410" i="14"/>
  <c r="AA410" i="14" s="1"/>
  <c r="AG410" i="14" s="1"/>
  <c r="AH410" i="14"/>
  <c r="N411" i="14"/>
  <c r="R411" i="14"/>
  <c r="V411" i="14"/>
  <c r="AB411" i="14" s="1"/>
  <c r="Z411" i="14"/>
  <c r="AA411" i="14" s="1"/>
  <c r="AG411" i="14" s="1"/>
  <c r="AH411" i="14"/>
  <c r="N412" i="14"/>
  <c r="R412" i="14"/>
  <c r="V412" i="14"/>
  <c r="AB412" i="14" s="1"/>
  <c r="Z412" i="14"/>
  <c r="AA412" i="14" s="1"/>
  <c r="AG412" i="14" s="1"/>
  <c r="AH412" i="14"/>
  <c r="N413" i="14"/>
  <c r="R413" i="14"/>
  <c r="V413" i="14"/>
  <c r="AB413" i="14" s="1"/>
  <c r="Z413" i="14"/>
  <c r="AA413" i="14" s="1"/>
  <c r="AG413" i="14" s="1"/>
  <c r="AH413" i="14"/>
  <c r="N414" i="14"/>
  <c r="R414" i="14"/>
  <c r="V414" i="14"/>
  <c r="AB414" i="14" s="1"/>
  <c r="Z414" i="14"/>
  <c r="AA414" i="14" s="1"/>
  <c r="AG414" i="14" s="1"/>
  <c r="AH414" i="14"/>
  <c r="N415" i="14"/>
  <c r="R415" i="14"/>
  <c r="V415" i="14"/>
  <c r="AB415" i="14" s="1"/>
  <c r="Z415" i="14"/>
  <c r="AA415" i="14" s="1"/>
  <c r="AG415" i="14" s="1"/>
  <c r="AH415" i="14"/>
  <c r="N416" i="14"/>
  <c r="R416" i="14"/>
  <c r="V416" i="14"/>
  <c r="AB416" i="14" s="1"/>
  <c r="Z416" i="14"/>
  <c r="AA416" i="14" s="1"/>
  <c r="AG416" i="14" s="1"/>
  <c r="AH416" i="14"/>
  <c r="N417" i="14"/>
  <c r="R417" i="14"/>
  <c r="V417" i="14"/>
  <c r="AB417" i="14" s="1"/>
  <c r="Z417" i="14"/>
  <c r="AA417" i="14" s="1"/>
  <c r="AG417" i="14" s="1"/>
  <c r="AH417" i="14"/>
  <c r="N418" i="14"/>
  <c r="R418" i="14"/>
  <c r="V418" i="14"/>
  <c r="AB418" i="14" s="1"/>
  <c r="Z418" i="14"/>
  <c r="AA418" i="14" s="1"/>
  <c r="AG418" i="14" s="1"/>
  <c r="AH418" i="14"/>
  <c r="N419" i="14"/>
  <c r="R419" i="14"/>
  <c r="V419" i="14"/>
  <c r="AB419" i="14" s="1"/>
  <c r="Z419" i="14"/>
  <c r="AA419" i="14" s="1"/>
  <c r="AG419" i="14" s="1"/>
  <c r="AH419" i="14"/>
  <c r="N420" i="14"/>
  <c r="R420" i="14"/>
  <c r="V420" i="14"/>
  <c r="AB420" i="14" s="1"/>
  <c r="Z420" i="14"/>
  <c r="AA420" i="14" s="1"/>
  <c r="AG420" i="14" s="1"/>
  <c r="AH420" i="14"/>
  <c r="N421" i="14"/>
  <c r="R421" i="14"/>
  <c r="V421" i="14"/>
  <c r="AB421" i="14" s="1"/>
  <c r="Z421" i="14"/>
  <c r="AA421" i="14" s="1"/>
  <c r="AG421" i="14" s="1"/>
  <c r="AH421" i="14"/>
  <c r="N422" i="14"/>
  <c r="R422" i="14"/>
  <c r="V422" i="14"/>
  <c r="AB422" i="14" s="1"/>
  <c r="Z422" i="14"/>
  <c r="AA422" i="14" s="1"/>
  <c r="AG422" i="14" s="1"/>
  <c r="AH422" i="14"/>
  <c r="N423" i="14"/>
  <c r="R423" i="14"/>
  <c r="V423" i="14"/>
  <c r="Z423" i="14"/>
  <c r="AA423" i="14" s="1"/>
  <c r="AG423" i="14" s="1"/>
  <c r="AH423" i="14"/>
  <c r="N424" i="14"/>
  <c r="R424" i="14"/>
  <c r="V424" i="14"/>
  <c r="AB424" i="14" s="1"/>
  <c r="Z424" i="14"/>
  <c r="AA424" i="14" s="1"/>
  <c r="AG424" i="14" s="1"/>
  <c r="AH424" i="14"/>
  <c r="N425" i="14"/>
  <c r="R425" i="14"/>
  <c r="V425" i="14"/>
  <c r="AB425" i="14" s="1"/>
  <c r="Z425" i="14"/>
  <c r="AA425" i="14" s="1"/>
  <c r="AG425" i="14" s="1"/>
  <c r="AH425" i="14"/>
  <c r="N426" i="14"/>
  <c r="R426" i="14"/>
  <c r="V426" i="14"/>
  <c r="AB426" i="14" s="1"/>
  <c r="Z426" i="14"/>
  <c r="AA426" i="14" s="1"/>
  <c r="AG426" i="14" s="1"/>
  <c r="AH426" i="14"/>
  <c r="N427" i="14"/>
  <c r="R427" i="14"/>
  <c r="V427" i="14"/>
  <c r="AB427" i="14" s="1"/>
  <c r="Z427" i="14"/>
  <c r="AA427" i="14" s="1"/>
  <c r="AG427" i="14" s="1"/>
  <c r="AH427" i="14"/>
  <c r="N428" i="14"/>
  <c r="R428" i="14"/>
  <c r="V428" i="14"/>
  <c r="AB428" i="14" s="1"/>
  <c r="Z428" i="14"/>
  <c r="AA428" i="14" s="1"/>
  <c r="AG428" i="14" s="1"/>
  <c r="AH428" i="14"/>
  <c r="N429" i="14"/>
  <c r="R429" i="14"/>
  <c r="V429" i="14"/>
  <c r="AB429" i="14" s="1"/>
  <c r="Z429" i="14"/>
  <c r="AA429" i="14" s="1"/>
  <c r="AG429" i="14" s="1"/>
  <c r="AH429" i="14"/>
  <c r="N430" i="14"/>
  <c r="R430" i="14"/>
  <c r="V430" i="14"/>
  <c r="AB430" i="14" s="1"/>
  <c r="Z430" i="14"/>
  <c r="AA430" i="14" s="1"/>
  <c r="AG430" i="14" s="1"/>
  <c r="AH430" i="14"/>
  <c r="N431" i="14"/>
  <c r="R431" i="14"/>
  <c r="V431" i="14"/>
  <c r="AB431" i="14" s="1"/>
  <c r="Z431" i="14"/>
  <c r="AA431" i="14" s="1"/>
  <c r="AG431" i="14" s="1"/>
  <c r="AH431" i="14"/>
  <c r="N432" i="14"/>
  <c r="R432" i="14"/>
  <c r="V432" i="14"/>
  <c r="AB432" i="14" s="1"/>
  <c r="Z432" i="14"/>
  <c r="AA432" i="14" s="1"/>
  <c r="AG432" i="14" s="1"/>
  <c r="AH432" i="14"/>
  <c r="N433" i="14"/>
  <c r="R433" i="14"/>
  <c r="V433" i="14"/>
  <c r="AB433" i="14" s="1"/>
  <c r="Z433" i="14"/>
  <c r="AA433" i="14" s="1"/>
  <c r="AG433" i="14" s="1"/>
  <c r="AH433" i="14"/>
  <c r="N434" i="14"/>
  <c r="R434" i="14"/>
  <c r="V434" i="14"/>
  <c r="AB434" i="14" s="1"/>
  <c r="Z434" i="14"/>
  <c r="AA434" i="14" s="1"/>
  <c r="AG434" i="14" s="1"/>
  <c r="AH434" i="14"/>
  <c r="N435" i="14"/>
  <c r="R435" i="14"/>
  <c r="V435" i="14"/>
  <c r="AB435" i="14" s="1"/>
  <c r="Z435" i="14"/>
  <c r="AA435" i="14" s="1"/>
  <c r="AG435" i="14" s="1"/>
  <c r="AH435" i="14"/>
  <c r="N436" i="14"/>
  <c r="R436" i="14"/>
  <c r="V436" i="14"/>
  <c r="AB436" i="14" s="1"/>
  <c r="Z436" i="14"/>
  <c r="AA436" i="14" s="1"/>
  <c r="AG436" i="14" s="1"/>
  <c r="AH436" i="14"/>
  <c r="N437" i="14"/>
  <c r="R437" i="14"/>
  <c r="V437" i="14"/>
  <c r="AB437" i="14" s="1"/>
  <c r="Z437" i="14"/>
  <c r="AA437" i="14" s="1"/>
  <c r="AG437" i="14" s="1"/>
  <c r="AH437" i="14"/>
  <c r="N438" i="14"/>
  <c r="R438" i="14"/>
  <c r="V438" i="14"/>
  <c r="AB438" i="14" s="1"/>
  <c r="Z438" i="14"/>
  <c r="AA438" i="14" s="1"/>
  <c r="AG438" i="14" s="1"/>
  <c r="AH438" i="14"/>
  <c r="N439" i="14"/>
  <c r="R439" i="14"/>
  <c r="V439" i="14"/>
  <c r="Z439" i="14"/>
  <c r="AA439" i="14" s="1"/>
  <c r="AG439" i="14" s="1"/>
  <c r="AH439" i="14"/>
  <c r="N440" i="14"/>
  <c r="R440" i="14"/>
  <c r="V440" i="14"/>
  <c r="AB440" i="14" s="1"/>
  <c r="Z440" i="14"/>
  <c r="AA440" i="14" s="1"/>
  <c r="AG440" i="14" s="1"/>
  <c r="AH440" i="14"/>
  <c r="N441" i="14"/>
  <c r="R441" i="14"/>
  <c r="V441" i="14"/>
  <c r="AB441" i="14" s="1"/>
  <c r="Z441" i="14"/>
  <c r="AA441" i="14" s="1"/>
  <c r="AG441" i="14" s="1"/>
  <c r="AH441" i="14"/>
  <c r="N442" i="14"/>
  <c r="R442" i="14"/>
  <c r="V442" i="14"/>
  <c r="AB442" i="14" s="1"/>
  <c r="Z442" i="14"/>
  <c r="AA442" i="14" s="1"/>
  <c r="AG442" i="14" s="1"/>
  <c r="AH442" i="14"/>
  <c r="N443" i="14"/>
  <c r="R443" i="14"/>
  <c r="V443" i="14"/>
  <c r="AB443" i="14" s="1"/>
  <c r="Z443" i="14"/>
  <c r="AA443" i="14" s="1"/>
  <c r="AG443" i="14" s="1"/>
  <c r="AH443" i="14"/>
  <c r="N444" i="14"/>
  <c r="R444" i="14"/>
  <c r="V444" i="14"/>
  <c r="AB444" i="14" s="1"/>
  <c r="Z444" i="14"/>
  <c r="AA444" i="14" s="1"/>
  <c r="AG444" i="14" s="1"/>
  <c r="AH444" i="14"/>
  <c r="N445" i="14"/>
  <c r="R445" i="14"/>
  <c r="V445" i="14"/>
  <c r="AB445" i="14" s="1"/>
  <c r="Z445" i="14"/>
  <c r="AA445" i="14" s="1"/>
  <c r="AG445" i="14" s="1"/>
  <c r="AH445" i="14"/>
  <c r="N446" i="14"/>
  <c r="R446" i="14"/>
  <c r="V446" i="14"/>
  <c r="AB446" i="14" s="1"/>
  <c r="Z446" i="14"/>
  <c r="AA446" i="14" s="1"/>
  <c r="AG446" i="14" s="1"/>
  <c r="AH446" i="14"/>
  <c r="N447" i="14"/>
  <c r="R447" i="14"/>
  <c r="V447" i="14"/>
  <c r="AB447" i="14" s="1"/>
  <c r="Z447" i="14"/>
  <c r="AA447" i="14" s="1"/>
  <c r="AG447" i="14" s="1"/>
  <c r="AH447" i="14"/>
  <c r="N448" i="14"/>
  <c r="R448" i="14"/>
  <c r="V448" i="14"/>
  <c r="AB448" i="14" s="1"/>
  <c r="Z448" i="14"/>
  <c r="AA448" i="14" s="1"/>
  <c r="AG448" i="14" s="1"/>
  <c r="AH448" i="14"/>
  <c r="N449" i="14"/>
  <c r="R449" i="14"/>
  <c r="V449" i="14"/>
  <c r="AB449" i="14" s="1"/>
  <c r="Z449" i="14"/>
  <c r="AA449" i="14" s="1"/>
  <c r="AG449" i="14" s="1"/>
  <c r="AH449" i="14"/>
  <c r="N450" i="14"/>
  <c r="R450" i="14"/>
  <c r="V450" i="14"/>
  <c r="AB450" i="14" s="1"/>
  <c r="Z450" i="14"/>
  <c r="AA450" i="14" s="1"/>
  <c r="AG450" i="14" s="1"/>
  <c r="AH450" i="14"/>
  <c r="N451" i="14"/>
  <c r="R451" i="14"/>
  <c r="V451" i="14"/>
  <c r="AB451" i="14" s="1"/>
  <c r="Z451" i="14"/>
  <c r="AA451" i="14" s="1"/>
  <c r="AG451" i="14" s="1"/>
  <c r="AH451" i="14"/>
  <c r="N452" i="14"/>
  <c r="R452" i="14"/>
  <c r="V452" i="14"/>
  <c r="AB452" i="14" s="1"/>
  <c r="Z452" i="14"/>
  <c r="AA452" i="14" s="1"/>
  <c r="AG452" i="14" s="1"/>
  <c r="AH452" i="14"/>
  <c r="N453" i="14"/>
  <c r="R453" i="14"/>
  <c r="V453" i="14"/>
  <c r="AB453" i="14" s="1"/>
  <c r="Z453" i="14"/>
  <c r="AA453" i="14" s="1"/>
  <c r="AG453" i="14" s="1"/>
  <c r="AH453" i="14"/>
  <c r="N454" i="14"/>
  <c r="R454" i="14"/>
  <c r="V454" i="14"/>
  <c r="AB454" i="14" s="1"/>
  <c r="Z454" i="14"/>
  <c r="AA454" i="14" s="1"/>
  <c r="AG454" i="14" s="1"/>
  <c r="AH454" i="14"/>
  <c r="N455" i="14"/>
  <c r="R455" i="14"/>
  <c r="V455" i="14"/>
  <c r="Z455" i="14"/>
  <c r="AA455" i="14" s="1"/>
  <c r="AG455" i="14" s="1"/>
  <c r="AH455" i="14"/>
  <c r="N456" i="14"/>
  <c r="R456" i="14"/>
  <c r="V456" i="14"/>
  <c r="AB456" i="14" s="1"/>
  <c r="Z456" i="14"/>
  <c r="AA456" i="14" s="1"/>
  <c r="AG456" i="14" s="1"/>
  <c r="AH456" i="14"/>
  <c r="N457" i="14"/>
  <c r="R457" i="14"/>
  <c r="V457" i="14"/>
  <c r="AB457" i="14" s="1"/>
  <c r="Z457" i="14"/>
  <c r="AA457" i="14" s="1"/>
  <c r="AG457" i="14" s="1"/>
  <c r="AH457" i="14"/>
  <c r="N458" i="14"/>
  <c r="R458" i="14"/>
  <c r="V458" i="14"/>
  <c r="AB458" i="14" s="1"/>
  <c r="Z458" i="14"/>
  <c r="AA458" i="14" s="1"/>
  <c r="AG458" i="14" s="1"/>
  <c r="AH458" i="14"/>
  <c r="N459" i="14"/>
  <c r="R459" i="14"/>
  <c r="V459" i="14"/>
  <c r="AB459" i="14" s="1"/>
  <c r="Z459" i="14"/>
  <c r="AA459" i="14" s="1"/>
  <c r="AG459" i="14" s="1"/>
  <c r="AH459" i="14"/>
  <c r="N460" i="14"/>
  <c r="R460" i="14"/>
  <c r="V460" i="14"/>
  <c r="AB460" i="14" s="1"/>
  <c r="Z460" i="14"/>
  <c r="AA460" i="14" s="1"/>
  <c r="AG460" i="14" s="1"/>
  <c r="AH460" i="14"/>
  <c r="N461" i="14"/>
  <c r="R461" i="14"/>
  <c r="V461" i="14"/>
  <c r="AB461" i="14" s="1"/>
  <c r="Z461" i="14"/>
  <c r="AA461" i="14" s="1"/>
  <c r="AG461" i="14" s="1"/>
  <c r="AH461" i="14"/>
  <c r="N462" i="14"/>
  <c r="R462" i="14"/>
  <c r="V462" i="14"/>
  <c r="AB462" i="14" s="1"/>
  <c r="Z462" i="14"/>
  <c r="AA462" i="14" s="1"/>
  <c r="AG462" i="14" s="1"/>
  <c r="AH462" i="14"/>
  <c r="N463" i="14"/>
  <c r="R463" i="14"/>
  <c r="V463" i="14"/>
  <c r="AB463" i="14" s="1"/>
  <c r="Z463" i="14"/>
  <c r="AA463" i="14" s="1"/>
  <c r="AG463" i="14" s="1"/>
  <c r="AH463" i="14"/>
  <c r="N464" i="14"/>
  <c r="R464" i="14"/>
  <c r="V464" i="14"/>
  <c r="AB464" i="14" s="1"/>
  <c r="Z464" i="14"/>
  <c r="AA464" i="14" s="1"/>
  <c r="AG464" i="14" s="1"/>
  <c r="AH464" i="14"/>
  <c r="N465" i="14"/>
  <c r="R465" i="14"/>
  <c r="V465" i="14"/>
  <c r="AB465" i="14" s="1"/>
  <c r="Z465" i="14"/>
  <c r="AA465" i="14" s="1"/>
  <c r="AG465" i="14" s="1"/>
  <c r="AH465" i="14"/>
  <c r="N466" i="14"/>
  <c r="R466" i="14"/>
  <c r="V466" i="14"/>
  <c r="AB466" i="14" s="1"/>
  <c r="Z466" i="14"/>
  <c r="AA466" i="14" s="1"/>
  <c r="AG466" i="14" s="1"/>
  <c r="AH466" i="14"/>
  <c r="N467" i="14"/>
  <c r="R467" i="14"/>
  <c r="V467" i="14"/>
  <c r="AB467" i="14" s="1"/>
  <c r="Z467" i="14"/>
  <c r="AA467" i="14" s="1"/>
  <c r="AG467" i="14" s="1"/>
  <c r="AH467" i="14"/>
  <c r="N468" i="14"/>
  <c r="R468" i="14"/>
  <c r="V468" i="14"/>
  <c r="AB468" i="14" s="1"/>
  <c r="Z468" i="14"/>
  <c r="AA468" i="14" s="1"/>
  <c r="AG468" i="14" s="1"/>
  <c r="AH468" i="14"/>
  <c r="N469" i="14"/>
  <c r="R469" i="14"/>
  <c r="V469" i="14"/>
  <c r="AB469" i="14" s="1"/>
  <c r="Z469" i="14"/>
  <c r="AA469" i="14" s="1"/>
  <c r="AG469" i="14" s="1"/>
  <c r="AH469" i="14"/>
  <c r="N470" i="14"/>
  <c r="R470" i="14"/>
  <c r="V470" i="14"/>
  <c r="AB470" i="14" s="1"/>
  <c r="Z470" i="14"/>
  <c r="AA470" i="14" s="1"/>
  <c r="AG470" i="14" s="1"/>
  <c r="AH470" i="14"/>
  <c r="N471" i="14"/>
  <c r="R471" i="14"/>
  <c r="V471" i="14"/>
  <c r="Z471" i="14"/>
  <c r="AA471" i="14" s="1"/>
  <c r="AG471" i="14" s="1"/>
  <c r="AH471" i="14"/>
  <c r="N472" i="14"/>
  <c r="R472" i="14"/>
  <c r="V472" i="14"/>
  <c r="AB472" i="14" s="1"/>
  <c r="Z472" i="14"/>
  <c r="AA472" i="14" s="1"/>
  <c r="AG472" i="14" s="1"/>
  <c r="AH472" i="14"/>
  <c r="N473" i="14"/>
  <c r="R473" i="14"/>
  <c r="V473" i="14"/>
  <c r="AB473" i="14" s="1"/>
  <c r="Z473" i="14"/>
  <c r="AA473" i="14" s="1"/>
  <c r="AG473" i="14" s="1"/>
  <c r="AH473" i="14"/>
  <c r="N474" i="14"/>
  <c r="R474" i="14"/>
  <c r="V474" i="14"/>
  <c r="AB474" i="14" s="1"/>
  <c r="Z474" i="14"/>
  <c r="AA474" i="14" s="1"/>
  <c r="AG474" i="14" s="1"/>
  <c r="AH474" i="14"/>
  <c r="N475" i="14"/>
  <c r="R475" i="14"/>
  <c r="V475" i="14"/>
  <c r="AB475" i="14" s="1"/>
  <c r="Z475" i="14"/>
  <c r="AA475" i="14" s="1"/>
  <c r="AG475" i="14" s="1"/>
  <c r="AH475" i="14"/>
  <c r="N476" i="14"/>
  <c r="R476" i="14"/>
  <c r="V476" i="14"/>
  <c r="AB476" i="14" s="1"/>
  <c r="Z476" i="14"/>
  <c r="AA476" i="14" s="1"/>
  <c r="AG476" i="14" s="1"/>
  <c r="AH476" i="14"/>
  <c r="N477" i="14"/>
  <c r="R477" i="14"/>
  <c r="V477" i="14"/>
  <c r="AB477" i="14" s="1"/>
  <c r="Z477" i="14"/>
  <c r="AA477" i="14" s="1"/>
  <c r="AG477" i="14" s="1"/>
  <c r="AH477" i="14"/>
  <c r="N478" i="14"/>
  <c r="R478" i="14"/>
  <c r="V478" i="14"/>
  <c r="AB478" i="14" s="1"/>
  <c r="Z478" i="14"/>
  <c r="AA478" i="14" s="1"/>
  <c r="AG478" i="14" s="1"/>
  <c r="AH478" i="14"/>
  <c r="N479" i="14"/>
  <c r="R479" i="14"/>
  <c r="V479" i="14"/>
  <c r="AB479" i="14" s="1"/>
  <c r="Z479" i="14"/>
  <c r="AA479" i="14" s="1"/>
  <c r="AG479" i="14" s="1"/>
  <c r="AH479" i="14"/>
  <c r="N480" i="14"/>
  <c r="R480" i="14"/>
  <c r="V480" i="14"/>
  <c r="AB480" i="14" s="1"/>
  <c r="Z480" i="14"/>
  <c r="AA480" i="14" s="1"/>
  <c r="AG480" i="14" s="1"/>
  <c r="AH480" i="14"/>
  <c r="N481" i="14"/>
  <c r="R481" i="14"/>
  <c r="V481" i="14"/>
  <c r="AB481" i="14" s="1"/>
  <c r="Z481" i="14"/>
  <c r="AA481" i="14" s="1"/>
  <c r="AG481" i="14" s="1"/>
  <c r="AH481" i="14"/>
  <c r="N482" i="14"/>
  <c r="R482" i="14"/>
  <c r="V482" i="14"/>
  <c r="AB482" i="14" s="1"/>
  <c r="Z482" i="14"/>
  <c r="AA482" i="14" s="1"/>
  <c r="AG482" i="14" s="1"/>
  <c r="AH482" i="14"/>
  <c r="N483" i="14"/>
  <c r="R483" i="14"/>
  <c r="V483" i="14"/>
  <c r="AB483" i="14" s="1"/>
  <c r="Z483" i="14"/>
  <c r="AA483" i="14" s="1"/>
  <c r="AG483" i="14" s="1"/>
  <c r="AH483" i="14"/>
  <c r="N484" i="14"/>
  <c r="R484" i="14"/>
  <c r="V484" i="14"/>
  <c r="AB484" i="14" s="1"/>
  <c r="Z484" i="14"/>
  <c r="AA484" i="14" s="1"/>
  <c r="AG484" i="14" s="1"/>
  <c r="AH484" i="14"/>
  <c r="N485" i="14"/>
  <c r="R485" i="14"/>
  <c r="V485" i="14"/>
  <c r="AB485" i="14" s="1"/>
  <c r="Z485" i="14"/>
  <c r="AA485" i="14" s="1"/>
  <c r="AG485" i="14" s="1"/>
  <c r="AH485" i="14"/>
  <c r="N486" i="14"/>
  <c r="R486" i="14"/>
  <c r="V486" i="14"/>
  <c r="AB486" i="14" s="1"/>
  <c r="Z486" i="14"/>
  <c r="AA486" i="14" s="1"/>
  <c r="AG486" i="14" s="1"/>
  <c r="AH486" i="14"/>
  <c r="N487" i="14"/>
  <c r="R487" i="14"/>
  <c r="V487" i="14"/>
  <c r="Z487" i="14"/>
  <c r="AA487" i="14" s="1"/>
  <c r="AG487" i="14" s="1"/>
  <c r="AH487" i="14"/>
  <c r="N488" i="14"/>
  <c r="R488" i="14"/>
  <c r="V488" i="14"/>
  <c r="AB488" i="14" s="1"/>
  <c r="Z488" i="14"/>
  <c r="AA488" i="14" s="1"/>
  <c r="AG488" i="14" s="1"/>
  <c r="AH488" i="14"/>
  <c r="N489" i="14"/>
  <c r="R489" i="14"/>
  <c r="V489" i="14"/>
  <c r="AB489" i="14" s="1"/>
  <c r="Z489" i="14"/>
  <c r="AA489" i="14" s="1"/>
  <c r="AG489" i="14" s="1"/>
  <c r="AH489" i="14"/>
  <c r="N490" i="14"/>
  <c r="R490" i="14"/>
  <c r="V490" i="14"/>
  <c r="AB490" i="14" s="1"/>
  <c r="Z490" i="14"/>
  <c r="AA490" i="14" s="1"/>
  <c r="AG490" i="14" s="1"/>
  <c r="AH490" i="14"/>
  <c r="N491" i="14"/>
  <c r="R491" i="14"/>
  <c r="V491" i="14"/>
  <c r="AB491" i="14" s="1"/>
  <c r="Z491" i="14"/>
  <c r="AA491" i="14" s="1"/>
  <c r="AG491" i="14" s="1"/>
  <c r="AH491" i="14"/>
  <c r="N492" i="14"/>
  <c r="R492" i="14"/>
  <c r="V492" i="14"/>
  <c r="AB492" i="14" s="1"/>
  <c r="Z492" i="14"/>
  <c r="AA492" i="14" s="1"/>
  <c r="AG492" i="14" s="1"/>
  <c r="AH492" i="14"/>
  <c r="N493" i="14"/>
  <c r="R493" i="14"/>
  <c r="V493" i="14"/>
  <c r="AB493" i="14" s="1"/>
  <c r="Z493" i="14"/>
  <c r="AA493" i="14" s="1"/>
  <c r="AG493" i="14" s="1"/>
  <c r="AH493" i="14"/>
  <c r="N494" i="14"/>
  <c r="R494" i="14"/>
  <c r="V494" i="14"/>
  <c r="AB494" i="14" s="1"/>
  <c r="Z494" i="14"/>
  <c r="AA494" i="14" s="1"/>
  <c r="AG494" i="14" s="1"/>
  <c r="AH494" i="14"/>
  <c r="N495" i="14"/>
  <c r="R495" i="14"/>
  <c r="V495" i="14"/>
  <c r="AB495" i="14" s="1"/>
  <c r="Z495" i="14"/>
  <c r="AA495" i="14" s="1"/>
  <c r="AG495" i="14" s="1"/>
  <c r="AH495" i="14"/>
  <c r="N496" i="14"/>
  <c r="R496" i="14"/>
  <c r="V496" i="14"/>
  <c r="AB496" i="14" s="1"/>
  <c r="Z496" i="14"/>
  <c r="AA496" i="14" s="1"/>
  <c r="AG496" i="14" s="1"/>
  <c r="AH496" i="14"/>
  <c r="N497" i="14"/>
  <c r="R497" i="14"/>
  <c r="V497" i="14"/>
  <c r="AB497" i="14" s="1"/>
  <c r="Z497" i="14"/>
  <c r="AA497" i="14" s="1"/>
  <c r="AG497" i="14" s="1"/>
  <c r="AH497" i="14"/>
  <c r="N498" i="14"/>
  <c r="R498" i="14"/>
  <c r="V498" i="14"/>
  <c r="AB498" i="14" s="1"/>
  <c r="Z498" i="14"/>
  <c r="AA498" i="14" s="1"/>
  <c r="AG498" i="14" s="1"/>
  <c r="AH498" i="14"/>
  <c r="N499" i="14"/>
  <c r="R499" i="14"/>
  <c r="V499" i="14"/>
  <c r="AB499" i="14" s="1"/>
  <c r="Z499" i="14"/>
  <c r="AA499" i="14" s="1"/>
  <c r="AG499" i="14" s="1"/>
  <c r="AH499" i="14"/>
  <c r="N500" i="14"/>
  <c r="R500" i="14"/>
  <c r="V500" i="14"/>
  <c r="AB500" i="14" s="1"/>
  <c r="Z500" i="14"/>
  <c r="AA500" i="14" s="1"/>
  <c r="AG500" i="14" s="1"/>
  <c r="AH500" i="14"/>
  <c r="N501" i="14"/>
  <c r="R501" i="14"/>
  <c r="V501" i="14"/>
  <c r="AB501" i="14" s="1"/>
  <c r="Z501" i="14"/>
  <c r="AA501" i="14" s="1"/>
  <c r="AG501" i="14" s="1"/>
  <c r="AH501" i="14"/>
  <c r="P2" i="15"/>
  <c r="X2" i="15"/>
  <c r="AB2" i="15"/>
  <c r="O3" i="15"/>
  <c r="U3" i="15" s="1"/>
  <c r="W3" i="15"/>
  <c r="AD3" i="15" s="1"/>
  <c r="N4" i="15"/>
  <c r="U4" i="15" s="1"/>
  <c r="V4" i="15"/>
  <c r="AH4" i="15"/>
  <c r="P6" i="15"/>
  <c r="AH6" i="15" s="1"/>
  <c r="W7" i="15"/>
  <c r="AD7" i="15" s="1"/>
  <c r="N8" i="15"/>
  <c r="U8" i="15" s="1"/>
  <c r="R8" i="15"/>
  <c r="V8" i="15"/>
  <c r="W8" i="15" s="1"/>
  <c r="AD8" i="15" s="1"/>
  <c r="AH8" i="15"/>
  <c r="M118" i="15"/>
  <c r="AC118" i="15"/>
  <c r="AE118" i="15" s="1"/>
  <c r="M119" i="15"/>
  <c r="N119" i="15" s="1"/>
  <c r="AC119" i="15"/>
  <c r="AE119" i="15" s="1"/>
  <c r="M120" i="15"/>
  <c r="O120" i="15" s="1"/>
  <c r="Y120" i="15"/>
  <c r="AC120" i="15"/>
  <c r="AE120" i="15" s="1"/>
  <c r="M121" i="15"/>
  <c r="N121" i="15" s="1"/>
  <c r="AC121" i="15"/>
  <c r="AE121" i="15" s="1"/>
  <c r="M122" i="15"/>
  <c r="AC122" i="15"/>
  <c r="AE122" i="15" s="1"/>
  <c r="M123" i="15"/>
  <c r="N123" i="15" s="1"/>
  <c r="AC123" i="15"/>
  <c r="AE123" i="15" s="1"/>
  <c r="M124" i="15"/>
  <c r="O124" i="15" s="1"/>
  <c r="AC124" i="15"/>
  <c r="AE124" i="15" s="1"/>
  <c r="M125" i="15"/>
  <c r="N125" i="15" s="1"/>
  <c r="AC125" i="15"/>
  <c r="AE125" i="15" s="1"/>
  <c r="M126" i="15"/>
  <c r="N126" i="15" s="1"/>
  <c r="AC126" i="15"/>
  <c r="AE126" i="15" s="1"/>
  <c r="M127" i="15"/>
  <c r="N127" i="15" s="1"/>
  <c r="AC127" i="15"/>
  <c r="AE127" i="15" s="1"/>
  <c r="M128" i="15"/>
  <c r="O128" i="15" s="1"/>
  <c r="Y128" i="15"/>
  <c r="AC128" i="15"/>
  <c r="AE128" i="15" s="1"/>
  <c r="M129" i="15"/>
  <c r="N129" i="15" s="1"/>
  <c r="AC129" i="15"/>
  <c r="AE129" i="15" s="1"/>
  <c r="M130" i="15"/>
  <c r="AC130" i="15"/>
  <c r="AE130" i="15" s="1"/>
  <c r="M131" i="15"/>
  <c r="N131" i="15" s="1"/>
  <c r="AC131" i="15"/>
  <c r="AE131" i="15" s="1"/>
  <c r="M132" i="15"/>
  <c r="O132" i="15" s="1"/>
  <c r="Y132" i="15"/>
  <c r="AC132" i="15"/>
  <c r="AE132" i="15" s="1"/>
  <c r="M133" i="15"/>
  <c r="N133" i="15" s="1"/>
  <c r="AC133" i="15"/>
  <c r="AE133" i="15" s="1"/>
  <c r="M134" i="15"/>
  <c r="AC134" i="15"/>
  <c r="AE134" i="15" s="1"/>
  <c r="M135" i="15"/>
  <c r="N135" i="15" s="1"/>
  <c r="AC135" i="15"/>
  <c r="AE135" i="15" s="1"/>
  <c r="M136" i="15"/>
  <c r="O136" i="15" s="1"/>
  <c r="Y136" i="15"/>
  <c r="AC136" i="15"/>
  <c r="AE136" i="15" s="1"/>
  <c r="M137" i="15"/>
  <c r="N137" i="15" s="1"/>
  <c r="Y137" i="15"/>
  <c r="AC137" i="15"/>
  <c r="AE137" i="15" s="1"/>
  <c r="M138" i="15"/>
  <c r="N138" i="15" s="1"/>
  <c r="AC138" i="15"/>
  <c r="AE138" i="15" s="1"/>
  <c r="M139" i="15"/>
  <c r="N139" i="15" s="1"/>
  <c r="AC139" i="15"/>
  <c r="AE139" i="15" s="1"/>
  <c r="M140" i="15"/>
  <c r="O140" i="15" s="1"/>
  <c r="Y140" i="15"/>
  <c r="AC140" i="15"/>
  <c r="AE140" i="15" s="1"/>
  <c r="M141" i="15"/>
  <c r="N141" i="15" s="1"/>
  <c r="AC141" i="15"/>
  <c r="AE141" i="15" s="1"/>
  <c r="M142" i="15"/>
  <c r="AC142" i="15"/>
  <c r="AE142" i="15" s="1"/>
  <c r="M143" i="15"/>
  <c r="N143" i="15" s="1"/>
  <c r="AC143" i="15"/>
  <c r="AE143" i="15" s="1"/>
  <c r="M144" i="15"/>
  <c r="O144" i="15" s="1"/>
  <c r="Y144" i="15"/>
  <c r="AC144" i="15"/>
  <c r="AE144" i="15" s="1"/>
  <c r="M145" i="15"/>
  <c r="N145" i="15" s="1"/>
  <c r="Y145" i="15"/>
  <c r="AC145" i="15"/>
  <c r="AE145" i="15" s="1"/>
  <c r="M146" i="15"/>
  <c r="N146" i="15" s="1"/>
  <c r="AC146" i="15"/>
  <c r="AE146" i="15" s="1"/>
  <c r="M147" i="15"/>
  <c r="N147" i="15" s="1"/>
  <c r="AC147" i="15"/>
  <c r="AE147" i="15" s="1"/>
  <c r="M148" i="15"/>
  <c r="O148" i="15" s="1"/>
  <c r="Y148" i="15"/>
  <c r="AC148" i="15"/>
  <c r="AE148" i="15" s="1"/>
  <c r="M149" i="15"/>
  <c r="N149" i="15" s="1"/>
  <c r="AC149" i="15"/>
  <c r="AE149" i="15" s="1"/>
  <c r="M150" i="15"/>
  <c r="AC150" i="15"/>
  <c r="AE150" i="15" s="1"/>
  <c r="M151" i="15"/>
  <c r="N151" i="15" s="1"/>
  <c r="AC151" i="15"/>
  <c r="AE151" i="15" s="1"/>
  <c r="M152" i="15"/>
  <c r="O152" i="15" s="1"/>
  <c r="Y152" i="15"/>
  <c r="AC152" i="15"/>
  <c r="AE152" i="15" s="1"/>
  <c r="M153" i="15"/>
  <c r="N153" i="15" s="1"/>
  <c r="Y153" i="15"/>
  <c r="AC153" i="15"/>
  <c r="AE153" i="15" s="1"/>
  <c r="M154" i="15"/>
  <c r="N154" i="15" s="1"/>
  <c r="AC154" i="15"/>
  <c r="AE154" i="15" s="1"/>
  <c r="M155" i="15"/>
  <c r="N155" i="15" s="1"/>
  <c r="AC155" i="15"/>
  <c r="AE155" i="15" s="1"/>
  <c r="M156" i="15"/>
  <c r="O156" i="15" s="1"/>
  <c r="Y156" i="15"/>
  <c r="AC156" i="15"/>
  <c r="AE156" i="15" s="1"/>
  <c r="M157" i="15"/>
  <c r="N157" i="15" s="1"/>
  <c r="AC157" i="15"/>
  <c r="AE157" i="15" s="1"/>
  <c r="M158" i="15"/>
  <c r="AC158" i="15"/>
  <c r="AE158" i="15" s="1"/>
  <c r="M159" i="15"/>
  <c r="N159" i="15" s="1"/>
  <c r="AC159" i="15"/>
  <c r="AE159" i="15" s="1"/>
  <c r="M160" i="15"/>
  <c r="O160" i="15" s="1"/>
  <c r="Y160" i="15"/>
  <c r="AC160" i="15"/>
  <c r="AE160" i="15" s="1"/>
  <c r="M161" i="15"/>
  <c r="N161" i="15" s="1"/>
  <c r="Y161" i="15"/>
  <c r="AC161" i="15"/>
  <c r="AE161" i="15" s="1"/>
  <c r="M162" i="15"/>
  <c r="N162" i="15" s="1"/>
  <c r="AC162" i="15"/>
  <c r="AE162" i="15" s="1"/>
  <c r="M163" i="15"/>
  <c r="N163" i="15" s="1"/>
  <c r="AC163" i="15"/>
  <c r="AE163" i="15" s="1"/>
  <c r="M164" i="15"/>
  <c r="O164" i="15" s="1"/>
  <c r="Y164" i="15"/>
  <c r="AC164" i="15"/>
  <c r="AE164" i="15" s="1"/>
  <c r="M165" i="15"/>
  <c r="N165" i="15" s="1"/>
  <c r="AC165" i="15"/>
  <c r="AE165" i="15" s="1"/>
  <c r="M166" i="15"/>
  <c r="AC166" i="15"/>
  <c r="AE166" i="15" s="1"/>
  <c r="M167" i="15"/>
  <c r="N167" i="15" s="1"/>
  <c r="AC167" i="15"/>
  <c r="AE167" i="15" s="1"/>
  <c r="M168" i="15"/>
  <c r="O168" i="15" s="1"/>
  <c r="Y168" i="15"/>
  <c r="AC168" i="15"/>
  <c r="AE168" i="15" s="1"/>
  <c r="M169" i="15"/>
  <c r="N169" i="15" s="1"/>
  <c r="Y169" i="15"/>
  <c r="AC169" i="15"/>
  <c r="AE169" i="15" s="1"/>
  <c r="M170" i="15"/>
  <c r="N170" i="15" s="1"/>
  <c r="AC170" i="15"/>
  <c r="AE170" i="15" s="1"/>
  <c r="M171" i="15"/>
  <c r="N171" i="15" s="1"/>
  <c r="AC171" i="15"/>
  <c r="AE171" i="15" s="1"/>
  <c r="M172" i="15"/>
  <c r="O172" i="15" s="1"/>
  <c r="Y172" i="15"/>
  <c r="AC172" i="15"/>
  <c r="AE172" i="15" s="1"/>
  <c r="M173" i="15"/>
  <c r="N173" i="15" s="1"/>
  <c r="AC173" i="15"/>
  <c r="AE173" i="15" s="1"/>
  <c r="M174" i="15"/>
  <c r="AC174" i="15"/>
  <c r="AE174" i="15" s="1"/>
  <c r="M175" i="15"/>
  <c r="N175" i="15" s="1"/>
  <c r="AC175" i="15"/>
  <c r="AE175" i="15" s="1"/>
  <c r="M176" i="15"/>
  <c r="O176" i="15" s="1"/>
  <c r="Y176" i="15"/>
  <c r="AC176" i="15"/>
  <c r="AE176" i="15" s="1"/>
  <c r="M177" i="15"/>
  <c r="N177" i="15" s="1"/>
  <c r="Y177" i="15"/>
  <c r="AC177" i="15"/>
  <c r="AE177" i="15" s="1"/>
  <c r="M178" i="15"/>
  <c r="N178" i="15" s="1"/>
  <c r="Y178" i="15"/>
  <c r="AC178" i="15"/>
  <c r="AE178" i="15" s="1"/>
  <c r="M179" i="15"/>
  <c r="N179" i="15" s="1"/>
  <c r="AC179" i="15"/>
  <c r="AE179" i="15" s="1"/>
  <c r="M180" i="15"/>
  <c r="O180" i="15" s="1"/>
  <c r="Y180" i="15"/>
  <c r="AC180" i="15"/>
  <c r="AE180" i="15" s="1"/>
  <c r="M181" i="15"/>
  <c r="N181" i="15" s="1"/>
  <c r="Y181" i="15"/>
  <c r="AC181" i="15"/>
  <c r="AE181" i="15" s="1"/>
  <c r="M182" i="15"/>
  <c r="AC182" i="15"/>
  <c r="AE182" i="15" s="1"/>
  <c r="M183" i="15"/>
  <c r="N183" i="15" s="1"/>
  <c r="AC183" i="15"/>
  <c r="AE183" i="15" s="1"/>
  <c r="M184" i="15"/>
  <c r="O184" i="15" s="1"/>
  <c r="Y184" i="15"/>
  <c r="AC184" i="15"/>
  <c r="AE184" i="15" s="1"/>
  <c r="M185" i="15"/>
  <c r="N185" i="15" s="1"/>
  <c r="AC185" i="15"/>
  <c r="AE185" i="15" s="1"/>
  <c r="M186" i="15"/>
  <c r="Y186" i="15"/>
  <c r="AC186" i="15"/>
  <c r="AE186" i="15" s="1"/>
  <c r="M187" i="15"/>
  <c r="N187" i="15" s="1"/>
  <c r="AC187" i="15"/>
  <c r="AE187" i="15" s="1"/>
  <c r="M188" i="15"/>
  <c r="O188" i="15" s="1"/>
  <c r="AC188" i="15"/>
  <c r="AE188" i="15" s="1"/>
  <c r="M189" i="15"/>
  <c r="N189" i="15" s="1"/>
  <c r="Y189" i="15"/>
  <c r="AC189" i="15"/>
  <c r="AE189" i="15" s="1"/>
  <c r="M190" i="15"/>
  <c r="Y190" i="15"/>
  <c r="AC190" i="15"/>
  <c r="AE190" i="15" s="1"/>
  <c r="M191" i="15"/>
  <c r="N191" i="15" s="1"/>
  <c r="AC191" i="15"/>
  <c r="AE191" i="15" s="1"/>
  <c r="M192" i="15"/>
  <c r="O192" i="15" s="1"/>
  <c r="Y192" i="15"/>
  <c r="AC192" i="15"/>
  <c r="AE192" i="15" s="1"/>
  <c r="M193" i="15"/>
  <c r="N193" i="15" s="1"/>
  <c r="Y193" i="15"/>
  <c r="AC193" i="15"/>
  <c r="AE193" i="15" s="1"/>
  <c r="M194" i="15"/>
  <c r="Y194" i="15"/>
  <c r="AC194" i="15"/>
  <c r="AE194" i="15" s="1"/>
  <c r="M195" i="15"/>
  <c r="N195" i="15" s="1"/>
  <c r="AC195" i="15"/>
  <c r="AE195" i="15" s="1"/>
  <c r="M196" i="15"/>
  <c r="O196" i="15" s="1"/>
  <c r="Y196" i="15"/>
  <c r="AC196" i="15"/>
  <c r="AE196" i="15" s="1"/>
  <c r="M197" i="15"/>
  <c r="N197" i="15" s="1"/>
  <c r="Y197" i="15"/>
  <c r="AC197" i="15"/>
  <c r="AE197" i="15" s="1"/>
  <c r="M198" i="15"/>
  <c r="Y198" i="15"/>
  <c r="AC198" i="15"/>
  <c r="AE198" i="15" s="1"/>
  <c r="M199" i="15"/>
  <c r="N199" i="15" s="1"/>
  <c r="AC199" i="15"/>
  <c r="AE199" i="15" s="1"/>
  <c r="M200" i="15"/>
  <c r="O200" i="15" s="1"/>
  <c r="Y200" i="15"/>
  <c r="AC200" i="15"/>
  <c r="AE200" i="15" s="1"/>
  <c r="M201" i="15"/>
  <c r="N201" i="15" s="1"/>
  <c r="Y201" i="15"/>
  <c r="AC201" i="15"/>
  <c r="AE201" i="15" s="1"/>
  <c r="M202" i="15"/>
  <c r="AC202" i="15"/>
  <c r="AE202" i="15" s="1"/>
  <c r="M203" i="15"/>
  <c r="N203" i="15" s="1"/>
  <c r="AC203" i="15"/>
  <c r="AE203" i="15" s="1"/>
  <c r="M204" i="15"/>
  <c r="O204" i="15" s="1"/>
  <c r="Y204" i="15"/>
  <c r="AC204" i="15"/>
  <c r="AE204" i="15" s="1"/>
  <c r="M205" i="15"/>
  <c r="N205" i="15" s="1"/>
  <c r="AC206" i="15"/>
  <c r="AE206" i="15" s="1"/>
  <c r="Q206" i="15"/>
  <c r="AK206" i="15" s="1"/>
  <c r="M206" i="15"/>
  <c r="N206" i="15" s="1"/>
  <c r="AH206" i="15" s="1"/>
  <c r="W206" i="15"/>
  <c r="AD206" i="15" s="1"/>
  <c r="O206" i="15"/>
  <c r="R206" i="15" s="1"/>
  <c r="AJ206" i="15"/>
  <c r="P207" i="15"/>
  <c r="Q207" i="15" s="1"/>
  <c r="AK207" i="15" s="1"/>
  <c r="X207" i="15"/>
  <c r="AC208" i="15"/>
  <c r="AE208" i="15" s="1"/>
  <c r="M208" i="15"/>
  <c r="N208" i="15" s="1"/>
  <c r="AH208" i="15" s="1"/>
  <c r="W208" i="15"/>
  <c r="AD208" i="15" s="1"/>
  <c r="AB208" i="15"/>
  <c r="P209" i="15"/>
  <c r="X209" i="15"/>
  <c r="AC210" i="15"/>
  <c r="AE210" i="15" s="1"/>
  <c r="M210" i="15"/>
  <c r="N210" i="15" s="1"/>
  <c r="AH210" i="15" s="1"/>
  <c r="W210" i="15"/>
  <c r="AD210" i="15" s="1"/>
  <c r="AB210" i="15"/>
  <c r="P211" i="15"/>
  <c r="X211" i="15"/>
  <c r="Y211" i="15" s="1"/>
  <c r="AC212" i="15"/>
  <c r="AE212" i="15" s="1"/>
  <c r="Q212" i="15"/>
  <c r="AK212" i="15" s="1"/>
  <c r="M212" i="15"/>
  <c r="N212" i="15" s="1"/>
  <c r="AH212" i="15" s="1"/>
  <c r="W212" i="15"/>
  <c r="AD212" i="15" s="1"/>
  <c r="AB212" i="15"/>
  <c r="P213" i="15"/>
  <c r="AI213" i="15" s="1"/>
  <c r="X213" i="15"/>
  <c r="AC214" i="15"/>
  <c r="AE214" i="15" s="1"/>
  <c r="Q214" i="15"/>
  <c r="AK214" i="15" s="1"/>
  <c r="M214" i="15"/>
  <c r="N214" i="15" s="1"/>
  <c r="AH214" i="15" s="1"/>
  <c r="W214" i="15"/>
  <c r="AD214" i="15" s="1"/>
  <c r="O214" i="15"/>
  <c r="R214" i="15" s="1"/>
  <c r="AJ214" i="15"/>
  <c r="P215" i="15"/>
  <c r="X215" i="15"/>
  <c r="AC216" i="15"/>
  <c r="AE216" i="15" s="1"/>
  <c r="M216" i="15"/>
  <c r="N216" i="15" s="1"/>
  <c r="AH216" i="15" s="1"/>
  <c r="W216" i="15"/>
  <c r="AD216" i="15" s="1"/>
  <c r="AB216" i="15"/>
  <c r="P217" i="15"/>
  <c r="AC218" i="15"/>
  <c r="AE218" i="15" s="1"/>
  <c r="M218" i="15"/>
  <c r="N218" i="15" s="1"/>
  <c r="AH218" i="15" s="1"/>
  <c r="W218" i="15"/>
  <c r="AD218" i="15" s="1"/>
  <c r="AB218" i="15"/>
  <c r="P219" i="15"/>
  <c r="X219" i="15"/>
  <c r="Y219" i="15" s="1"/>
  <c r="AC220" i="15"/>
  <c r="AE220" i="15" s="1"/>
  <c r="Q220" i="15"/>
  <c r="AK220" i="15" s="1"/>
  <c r="M220" i="15"/>
  <c r="N220" i="15" s="1"/>
  <c r="AH220" i="15" s="1"/>
  <c r="W220" i="15"/>
  <c r="AD220" i="15" s="1"/>
  <c r="AB220" i="15"/>
  <c r="P221" i="15"/>
  <c r="AI221" i="15" s="1"/>
  <c r="X221" i="15"/>
  <c r="AC222" i="15"/>
  <c r="AE222" i="15" s="1"/>
  <c r="Q222" i="15"/>
  <c r="AK222" i="15" s="1"/>
  <c r="M222" i="15"/>
  <c r="N222" i="15" s="1"/>
  <c r="AH222" i="15" s="1"/>
  <c r="W222" i="15"/>
  <c r="AD222" i="15" s="1"/>
  <c r="O222" i="15"/>
  <c r="R222" i="15" s="1"/>
  <c r="AJ222" i="15"/>
  <c r="P223" i="15"/>
  <c r="Q223" i="15" s="1"/>
  <c r="AK223" i="15" s="1"/>
  <c r="X223" i="15"/>
  <c r="AC224" i="15"/>
  <c r="AE224" i="15" s="1"/>
  <c r="M224" i="15"/>
  <c r="N224" i="15" s="1"/>
  <c r="AH224" i="15" s="1"/>
  <c r="W224" i="15"/>
  <c r="AD224" i="15" s="1"/>
  <c r="AB224" i="15"/>
  <c r="P225" i="15"/>
  <c r="AC226" i="15"/>
  <c r="AE226" i="15" s="1"/>
  <c r="M226" i="15"/>
  <c r="N226" i="15" s="1"/>
  <c r="AH226" i="15" s="1"/>
  <c r="W226" i="15"/>
  <c r="AD226" i="15" s="1"/>
  <c r="AB226" i="15"/>
  <c r="P227" i="15"/>
  <c r="AI227" i="15" s="1"/>
  <c r="X227" i="15"/>
  <c r="Y227" i="15" s="1"/>
  <c r="AC228" i="15"/>
  <c r="AE228" i="15" s="1"/>
  <c r="Q228" i="15"/>
  <c r="AK228" i="15" s="1"/>
  <c r="M228" i="15"/>
  <c r="N228" i="15" s="1"/>
  <c r="AH228" i="15" s="1"/>
  <c r="W228" i="15"/>
  <c r="AD228" i="15" s="1"/>
  <c r="AB228" i="15"/>
  <c r="P229" i="15"/>
  <c r="AI229" i="15" s="1"/>
  <c r="X229" i="15"/>
  <c r="AC230" i="15"/>
  <c r="AE230" i="15" s="1"/>
  <c r="Q230" i="15"/>
  <c r="AK230" i="15" s="1"/>
  <c r="M230" i="15"/>
  <c r="N230" i="15" s="1"/>
  <c r="AH230" i="15" s="1"/>
  <c r="W230" i="15"/>
  <c r="AD230" i="15" s="1"/>
  <c r="O230" i="15"/>
  <c r="R230" i="15" s="1"/>
  <c r="AJ230" i="15"/>
  <c r="P231" i="15"/>
  <c r="Q231" i="15" s="1"/>
  <c r="AK231" i="15" s="1"/>
  <c r="X231" i="15"/>
  <c r="AC232" i="15"/>
  <c r="AE232" i="15" s="1"/>
  <c r="M232" i="15"/>
  <c r="N232" i="15" s="1"/>
  <c r="AH232" i="15" s="1"/>
  <c r="AB232" i="15"/>
  <c r="P233" i="15"/>
  <c r="AC234" i="15"/>
  <c r="AE234" i="15" s="1"/>
  <c r="Q234" i="15"/>
  <c r="AK234" i="15" s="1"/>
  <c r="M234" i="15"/>
  <c r="N234" i="15" s="1"/>
  <c r="AH234" i="15" s="1"/>
  <c r="W234" i="15"/>
  <c r="AD234" i="15" s="1"/>
  <c r="AB234" i="15"/>
  <c r="P235" i="15"/>
  <c r="AI235" i="15" s="1"/>
  <c r="X235" i="15"/>
  <c r="AC236" i="15"/>
  <c r="AE236" i="15" s="1"/>
  <c r="Q236" i="15"/>
  <c r="AK236" i="15" s="1"/>
  <c r="M236" i="15"/>
  <c r="N236" i="15" s="1"/>
  <c r="AH236" i="15" s="1"/>
  <c r="W236" i="15"/>
  <c r="AD236" i="15" s="1"/>
  <c r="AB236" i="15"/>
  <c r="P237" i="15"/>
  <c r="AI237" i="15" s="1"/>
  <c r="X237" i="15"/>
  <c r="AC238" i="15"/>
  <c r="AE238" i="15" s="1"/>
  <c r="M238" i="15"/>
  <c r="N238" i="15" s="1"/>
  <c r="AH238" i="15" s="1"/>
  <c r="W238" i="15"/>
  <c r="AD238" i="15" s="1"/>
  <c r="AJ238" i="15"/>
  <c r="P239" i="15"/>
  <c r="Q239" i="15" s="1"/>
  <c r="AK239" i="15" s="1"/>
  <c r="X239" i="15"/>
  <c r="AC240" i="15"/>
  <c r="AE240" i="15" s="1"/>
  <c r="M240" i="15"/>
  <c r="N240" i="15" s="1"/>
  <c r="AH240" i="15" s="1"/>
  <c r="AB240" i="15"/>
  <c r="P241" i="15"/>
  <c r="AC242" i="15"/>
  <c r="AE242" i="15" s="1"/>
  <c r="Q242" i="15"/>
  <c r="AK242" i="15" s="1"/>
  <c r="M242" i="15"/>
  <c r="N242" i="15" s="1"/>
  <c r="AH242" i="15" s="1"/>
  <c r="W242" i="15"/>
  <c r="AD242" i="15" s="1"/>
  <c r="AB242" i="15"/>
  <c r="P243" i="15"/>
  <c r="AI243" i="15" s="1"/>
  <c r="X243" i="15"/>
  <c r="AC244" i="15"/>
  <c r="AE244" i="15" s="1"/>
  <c r="M244" i="15"/>
  <c r="N244" i="15" s="1"/>
  <c r="AH244" i="15" s="1"/>
  <c r="W244" i="15"/>
  <c r="AD244" i="15" s="1"/>
  <c r="AB244" i="15"/>
  <c r="P245" i="15"/>
  <c r="AI245" i="15" s="1"/>
  <c r="X245" i="15"/>
  <c r="Y245" i="15" s="1"/>
  <c r="AC246" i="15"/>
  <c r="AE246" i="15" s="1"/>
  <c r="M246" i="15"/>
  <c r="N246" i="15" s="1"/>
  <c r="AH246" i="15" s="1"/>
  <c r="AI246" i="15"/>
  <c r="W246" i="15"/>
  <c r="AD246" i="15" s="1"/>
  <c r="P247" i="15"/>
  <c r="Q247" i="15" s="1"/>
  <c r="AK247" i="15" s="1"/>
  <c r="X247" i="15"/>
  <c r="AC248" i="15"/>
  <c r="AE248" i="15" s="1"/>
  <c r="M248" i="15"/>
  <c r="N248" i="15" s="1"/>
  <c r="AH248" i="15" s="1"/>
  <c r="AB248" i="15"/>
  <c r="P249" i="15"/>
  <c r="AC250" i="15"/>
  <c r="AE250" i="15" s="1"/>
  <c r="M250" i="15"/>
  <c r="N250" i="15" s="1"/>
  <c r="AH250" i="15" s="1"/>
  <c r="W250" i="15"/>
  <c r="AD250" i="15" s="1"/>
  <c r="AB250" i="15"/>
  <c r="P251" i="15"/>
  <c r="AI251" i="15" s="1"/>
  <c r="X251" i="15"/>
  <c r="Y251" i="15" s="1"/>
  <c r="AC252" i="15"/>
  <c r="AE252" i="15" s="1"/>
  <c r="M252" i="15"/>
  <c r="N252" i="15" s="1"/>
  <c r="AH252" i="15" s="1"/>
  <c r="W252" i="15"/>
  <c r="AD252" i="15" s="1"/>
  <c r="AB252" i="15"/>
  <c r="P253" i="15"/>
  <c r="AI253" i="15" s="1"/>
  <c r="X253" i="15"/>
  <c r="Y253" i="15" s="1"/>
  <c r="AC254" i="15"/>
  <c r="AE254" i="15" s="1"/>
  <c r="Q254" i="15"/>
  <c r="AK254" i="15" s="1"/>
  <c r="M254" i="15"/>
  <c r="N254" i="15" s="1"/>
  <c r="AH254" i="15" s="1"/>
  <c r="AI254" i="15"/>
  <c r="W254" i="15"/>
  <c r="AD254" i="15" s="1"/>
  <c r="O254" i="15"/>
  <c r="R254" i="15" s="1"/>
  <c r="AJ254" i="15"/>
  <c r="P255" i="15"/>
  <c r="Q255" i="15" s="1"/>
  <c r="AK255" i="15" s="1"/>
  <c r="X255" i="15"/>
  <c r="AC256" i="15"/>
  <c r="AE256" i="15" s="1"/>
  <c r="M256" i="15"/>
  <c r="N256" i="15" s="1"/>
  <c r="AH256" i="15" s="1"/>
  <c r="AB256" i="15"/>
  <c r="P257" i="15"/>
  <c r="AC258" i="15"/>
  <c r="AE258" i="15" s="1"/>
  <c r="M258" i="15"/>
  <c r="N258" i="15" s="1"/>
  <c r="AH258" i="15" s="1"/>
  <c r="W258" i="15"/>
  <c r="AD258" i="15" s="1"/>
  <c r="AB258" i="15"/>
  <c r="P259" i="15"/>
  <c r="AI259" i="15" s="1"/>
  <c r="X259" i="15"/>
  <c r="Y259" i="15" s="1"/>
  <c r="AC260" i="15"/>
  <c r="AE260" i="15" s="1"/>
  <c r="Q260" i="15"/>
  <c r="AK260" i="15" s="1"/>
  <c r="M260" i="15"/>
  <c r="N260" i="15" s="1"/>
  <c r="AH260" i="15" s="1"/>
  <c r="W260" i="15"/>
  <c r="AD260" i="15" s="1"/>
  <c r="AB260" i="15"/>
  <c r="P261" i="15"/>
  <c r="AI261" i="15" s="1"/>
  <c r="AC262" i="15"/>
  <c r="AE262" i="15" s="1"/>
  <c r="Q262" i="15"/>
  <c r="AK262" i="15" s="1"/>
  <c r="M262" i="15"/>
  <c r="N262" i="15" s="1"/>
  <c r="AH262" i="15" s="1"/>
  <c r="W262" i="15"/>
  <c r="AD262" i="15" s="1"/>
  <c r="O262" i="15"/>
  <c r="R262" i="15" s="1"/>
  <c r="AJ262" i="15"/>
  <c r="P263" i="15"/>
  <c r="Q263" i="15" s="1"/>
  <c r="AK263" i="15" s="1"/>
  <c r="X263" i="15"/>
  <c r="AC264" i="15"/>
  <c r="AE264" i="15" s="1"/>
  <c r="M264" i="15"/>
  <c r="N264" i="15" s="1"/>
  <c r="AH264" i="15" s="1"/>
  <c r="AB264" i="15"/>
  <c r="P265" i="15"/>
  <c r="AC266" i="15"/>
  <c r="AE266" i="15" s="1"/>
  <c r="Q266" i="15"/>
  <c r="AK266" i="15" s="1"/>
  <c r="M266" i="15"/>
  <c r="N266" i="15" s="1"/>
  <c r="AH266" i="15" s="1"/>
  <c r="W266" i="15"/>
  <c r="AD266" i="15" s="1"/>
  <c r="AB266" i="15"/>
  <c r="P267" i="15"/>
  <c r="AI267" i="15" s="1"/>
  <c r="X267" i="15"/>
  <c r="AC268" i="15"/>
  <c r="AE268" i="15" s="1"/>
  <c r="Q268" i="15"/>
  <c r="AK268" i="15" s="1"/>
  <c r="M268" i="15"/>
  <c r="N268" i="15" s="1"/>
  <c r="AH268" i="15" s="1"/>
  <c r="W268" i="15"/>
  <c r="AD268" i="15" s="1"/>
  <c r="AB268" i="15"/>
  <c r="P269" i="15"/>
  <c r="AI269" i="15" s="1"/>
  <c r="X269" i="15"/>
  <c r="AK270" i="15"/>
  <c r="AC270" i="15"/>
  <c r="AE270" i="15" s="1"/>
  <c r="Y270" i="15"/>
  <c r="U270" i="15"/>
  <c r="AF270" i="15" s="1"/>
  <c r="Q270" i="15"/>
  <c r="M270" i="15"/>
  <c r="AI270" i="15"/>
  <c r="AA270" i="15"/>
  <c r="AG270" i="15" s="1"/>
  <c r="W270" i="15"/>
  <c r="AD270" i="15" s="1"/>
  <c r="S270" i="15"/>
  <c r="O270" i="15"/>
  <c r="K270" i="15"/>
  <c r="T270" i="15"/>
  <c r="AB270" i="15"/>
  <c r="AJ270" i="15"/>
  <c r="P271" i="15"/>
  <c r="X271" i="15"/>
  <c r="Y271" i="15" s="1"/>
  <c r="AK272" i="15"/>
  <c r="AC272" i="15"/>
  <c r="AE272" i="15" s="1"/>
  <c r="Y272" i="15"/>
  <c r="U272" i="15"/>
  <c r="AF272" i="15" s="1"/>
  <c r="Q272" i="15"/>
  <c r="M272" i="15"/>
  <c r="AI272" i="15"/>
  <c r="AA272" i="15"/>
  <c r="AG272" i="15" s="1"/>
  <c r="W272" i="15"/>
  <c r="AD272" i="15" s="1"/>
  <c r="S272" i="15"/>
  <c r="O272" i="15"/>
  <c r="K272" i="15"/>
  <c r="T272" i="15"/>
  <c r="AB272" i="15"/>
  <c r="AJ272" i="15"/>
  <c r="P273" i="15"/>
  <c r="X273" i="15"/>
  <c r="Y273" i="15" s="1"/>
  <c r="AK274" i="15"/>
  <c r="AC274" i="15"/>
  <c r="AE274" i="15" s="1"/>
  <c r="Y274" i="15"/>
  <c r="U274" i="15"/>
  <c r="AF274" i="15" s="1"/>
  <c r="Q274" i="15"/>
  <c r="M274" i="15"/>
  <c r="AI274" i="15"/>
  <c r="AA274" i="15"/>
  <c r="AG274" i="15" s="1"/>
  <c r="W274" i="15"/>
  <c r="AD274" i="15" s="1"/>
  <c r="S274" i="15"/>
  <c r="O274" i="15"/>
  <c r="K274" i="15"/>
  <c r="T274" i="15"/>
  <c r="AB274" i="15"/>
  <c r="AJ274" i="15"/>
  <c r="P275" i="15"/>
  <c r="X275" i="15"/>
  <c r="Y275" i="15" s="1"/>
  <c r="AK276" i="15"/>
  <c r="AC276" i="15"/>
  <c r="AE276" i="15" s="1"/>
  <c r="Y276" i="15"/>
  <c r="U276" i="15"/>
  <c r="AF276" i="15" s="1"/>
  <c r="Q276" i="15"/>
  <c r="M276" i="15"/>
  <c r="AI276" i="15"/>
  <c r="AA276" i="15"/>
  <c r="AG276" i="15" s="1"/>
  <c r="W276" i="15"/>
  <c r="AD276" i="15" s="1"/>
  <c r="S276" i="15"/>
  <c r="O276" i="15"/>
  <c r="K276" i="15"/>
  <c r="T276" i="15"/>
  <c r="AB276" i="15"/>
  <c r="AJ276" i="15"/>
  <c r="P277" i="15"/>
  <c r="X277" i="15"/>
  <c r="Y277" i="15" s="1"/>
  <c r="AK278" i="15"/>
  <c r="AC278" i="15"/>
  <c r="AE278" i="15" s="1"/>
  <c r="Y278" i="15"/>
  <c r="U278" i="15"/>
  <c r="AF278" i="15" s="1"/>
  <c r="Q278" i="15"/>
  <c r="M278" i="15"/>
  <c r="AI278" i="15"/>
  <c r="AA278" i="15"/>
  <c r="AG278" i="15" s="1"/>
  <c r="W278" i="15"/>
  <c r="AD278" i="15" s="1"/>
  <c r="S278" i="15"/>
  <c r="O278" i="15"/>
  <c r="K278" i="15"/>
  <c r="T278" i="15"/>
  <c r="AB278" i="15"/>
  <c r="AJ278" i="15"/>
  <c r="P279" i="15"/>
  <c r="X279" i="15"/>
  <c r="Y279" i="15" s="1"/>
  <c r="AK280" i="15"/>
  <c r="AC280" i="15"/>
  <c r="AE280" i="15" s="1"/>
  <c r="Y280" i="15"/>
  <c r="U280" i="15"/>
  <c r="AF280" i="15" s="1"/>
  <c r="Q280" i="15"/>
  <c r="M280" i="15"/>
  <c r="AI280" i="15"/>
  <c r="AA280" i="15"/>
  <c r="AG280" i="15" s="1"/>
  <c r="W280" i="15"/>
  <c r="AD280" i="15" s="1"/>
  <c r="S280" i="15"/>
  <c r="O280" i="15"/>
  <c r="K280" i="15"/>
  <c r="T280" i="15"/>
  <c r="AB280" i="15"/>
  <c r="AJ280" i="15"/>
  <c r="P281" i="15"/>
  <c r="X281" i="15"/>
  <c r="Y281" i="15" s="1"/>
  <c r="AK282" i="15"/>
  <c r="AC282" i="15"/>
  <c r="AE282" i="15" s="1"/>
  <c r="Y282" i="15"/>
  <c r="U282" i="15"/>
  <c r="AF282" i="15" s="1"/>
  <c r="Q282" i="15"/>
  <c r="M282" i="15"/>
  <c r="AI282" i="15"/>
  <c r="AA282" i="15"/>
  <c r="AG282" i="15" s="1"/>
  <c r="W282" i="15"/>
  <c r="AD282" i="15" s="1"/>
  <c r="S282" i="15"/>
  <c r="O282" i="15"/>
  <c r="K282" i="15"/>
  <c r="T282" i="15"/>
  <c r="AB282" i="15"/>
  <c r="AJ282" i="15"/>
  <c r="P283" i="15"/>
  <c r="X283" i="15"/>
  <c r="Y283" i="15" s="1"/>
  <c r="AK284" i="15"/>
  <c r="AC284" i="15"/>
  <c r="AE284" i="15" s="1"/>
  <c r="Y284" i="15"/>
  <c r="U284" i="15"/>
  <c r="AF284" i="15" s="1"/>
  <c r="Q284" i="15"/>
  <c r="M284" i="15"/>
  <c r="AI284" i="15"/>
  <c r="AA284" i="15"/>
  <c r="AG284" i="15" s="1"/>
  <c r="W284" i="15"/>
  <c r="AD284" i="15" s="1"/>
  <c r="S284" i="15"/>
  <c r="O284" i="15"/>
  <c r="K284" i="15"/>
  <c r="T284" i="15"/>
  <c r="AB284" i="15"/>
  <c r="AJ284" i="15"/>
  <c r="P285" i="15"/>
  <c r="X285" i="15"/>
  <c r="Y285" i="15" s="1"/>
  <c r="AK286" i="15"/>
  <c r="AC286" i="15"/>
  <c r="AE286" i="15" s="1"/>
  <c r="Y286" i="15"/>
  <c r="U286" i="15"/>
  <c r="AF286" i="15" s="1"/>
  <c r="Q286" i="15"/>
  <c r="M286" i="15"/>
  <c r="AI286" i="15"/>
  <c r="AA286" i="15"/>
  <c r="AG286" i="15" s="1"/>
  <c r="W286" i="15"/>
  <c r="AD286" i="15" s="1"/>
  <c r="S286" i="15"/>
  <c r="O286" i="15"/>
  <c r="K286" i="15"/>
  <c r="T286" i="15"/>
  <c r="AB286" i="15"/>
  <c r="AJ286" i="15"/>
  <c r="P287" i="15"/>
  <c r="X287" i="15"/>
  <c r="Y287" i="15" s="1"/>
  <c r="AK288" i="15"/>
  <c r="AC288" i="15"/>
  <c r="AE288" i="15" s="1"/>
  <c r="Y288" i="15"/>
  <c r="U288" i="15"/>
  <c r="AF288" i="15" s="1"/>
  <c r="Q288" i="15"/>
  <c r="M288" i="15"/>
  <c r="AI288" i="15"/>
  <c r="AA288" i="15"/>
  <c r="AG288" i="15" s="1"/>
  <c r="W288" i="15"/>
  <c r="AD288" i="15" s="1"/>
  <c r="S288" i="15"/>
  <c r="O288" i="15"/>
  <c r="K288" i="15"/>
  <c r="T288" i="15"/>
  <c r="AB288" i="15"/>
  <c r="AJ288" i="15"/>
  <c r="P289" i="15"/>
  <c r="X289" i="15"/>
  <c r="Y289" i="15" s="1"/>
  <c r="AK290" i="15"/>
  <c r="AC290" i="15"/>
  <c r="AE290" i="15" s="1"/>
  <c r="Y290" i="15"/>
  <c r="U290" i="15"/>
  <c r="AF290" i="15" s="1"/>
  <c r="Q290" i="15"/>
  <c r="M290" i="15"/>
  <c r="AI290" i="15"/>
  <c r="AA290" i="15"/>
  <c r="AG290" i="15" s="1"/>
  <c r="W290" i="15"/>
  <c r="AD290" i="15" s="1"/>
  <c r="S290" i="15"/>
  <c r="O290" i="15"/>
  <c r="K290" i="15"/>
  <c r="T290" i="15"/>
  <c r="AB290" i="15"/>
  <c r="AJ290" i="15"/>
  <c r="P291" i="15"/>
  <c r="X291" i="15"/>
  <c r="Y291" i="15" s="1"/>
  <c r="AK292" i="15"/>
  <c r="AC292" i="15"/>
  <c r="AE292" i="15" s="1"/>
  <c r="Y292" i="15"/>
  <c r="U292" i="15"/>
  <c r="AF292" i="15" s="1"/>
  <c r="Q292" i="15"/>
  <c r="M292" i="15"/>
  <c r="AI292" i="15"/>
  <c r="AA292" i="15"/>
  <c r="AG292" i="15" s="1"/>
  <c r="W292" i="15"/>
  <c r="AD292" i="15" s="1"/>
  <c r="S292" i="15"/>
  <c r="O292" i="15"/>
  <c r="K292" i="15"/>
  <c r="T292" i="15"/>
  <c r="AB292" i="15"/>
  <c r="AJ292" i="15"/>
  <c r="P293" i="15"/>
  <c r="X293" i="15"/>
  <c r="Y293" i="15" s="1"/>
  <c r="AK294" i="15"/>
  <c r="AC294" i="15"/>
  <c r="AE294" i="15" s="1"/>
  <c r="Y294" i="15"/>
  <c r="U294" i="15"/>
  <c r="AF294" i="15" s="1"/>
  <c r="Q294" i="15"/>
  <c r="M294" i="15"/>
  <c r="AI294" i="15"/>
  <c r="AA294" i="15"/>
  <c r="AG294" i="15" s="1"/>
  <c r="W294" i="15"/>
  <c r="AD294" i="15" s="1"/>
  <c r="S294" i="15"/>
  <c r="O294" i="15"/>
  <c r="K294" i="15"/>
  <c r="T294" i="15"/>
  <c r="AB294" i="15"/>
  <c r="AJ294" i="15"/>
  <c r="P295" i="15"/>
  <c r="X295" i="15"/>
  <c r="Y295" i="15" s="1"/>
  <c r="AK296" i="15"/>
  <c r="AC296" i="15"/>
  <c r="AE296" i="15" s="1"/>
  <c r="Y296" i="15"/>
  <c r="U296" i="15"/>
  <c r="AF296" i="15" s="1"/>
  <c r="Q296" i="15"/>
  <c r="M296" i="15"/>
  <c r="AI296" i="15"/>
  <c r="AA296" i="15"/>
  <c r="AG296" i="15" s="1"/>
  <c r="W296" i="15"/>
  <c r="AD296" i="15" s="1"/>
  <c r="S296" i="15"/>
  <c r="O296" i="15"/>
  <c r="K296" i="15"/>
  <c r="T296" i="15"/>
  <c r="AB296" i="15"/>
  <c r="AJ296" i="15"/>
  <c r="P297" i="15"/>
  <c r="X297" i="15"/>
  <c r="Y297" i="15" s="1"/>
  <c r="AK298" i="15"/>
  <c r="AC298" i="15"/>
  <c r="AE298" i="15" s="1"/>
  <c r="Y298" i="15"/>
  <c r="U298" i="15"/>
  <c r="AF298" i="15" s="1"/>
  <c r="Q298" i="15"/>
  <c r="M298" i="15"/>
  <c r="AI298" i="15"/>
  <c r="AA298" i="15"/>
  <c r="AG298" i="15" s="1"/>
  <c r="W298" i="15"/>
  <c r="AD298" i="15" s="1"/>
  <c r="S298" i="15"/>
  <c r="O298" i="15"/>
  <c r="K298" i="15"/>
  <c r="T298" i="15"/>
  <c r="AB298" i="15"/>
  <c r="AJ298" i="15"/>
  <c r="P299" i="15"/>
  <c r="X299" i="15"/>
  <c r="Y299" i="15" s="1"/>
  <c r="AK300" i="15"/>
  <c r="AC300" i="15"/>
  <c r="AE300" i="15" s="1"/>
  <c r="Y300" i="15"/>
  <c r="U300" i="15"/>
  <c r="AF300" i="15" s="1"/>
  <c r="Q300" i="15"/>
  <c r="M300" i="15"/>
  <c r="AI300" i="15"/>
  <c r="AA300" i="15"/>
  <c r="AG300" i="15" s="1"/>
  <c r="W300" i="15"/>
  <c r="AD300" i="15" s="1"/>
  <c r="S300" i="15"/>
  <c r="O300" i="15"/>
  <c r="K300" i="15"/>
  <c r="T300" i="15"/>
  <c r="AB300" i="15"/>
  <c r="AJ300" i="15"/>
  <c r="P301" i="15"/>
  <c r="X301" i="15"/>
  <c r="Y301" i="15" s="1"/>
  <c r="AK302" i="15"/>
  <c r="AC302" i="15"/>
  <c r="AE302" i="15" s="1"/>
  <c r="Y302" i="15"/>
  <c r="U302" i="15"/>
  <c r="AF302" i="15" s="1"/>
  <c r="Q302" i="15"/>
  <c r="M302" i="15"/>
  <c r="AI302" i="15"/>
  <c r="AA302" i="15"/>
  <c r="AG302" i="15" s="1"/>
  <c r="W302" i="15"/>
  <c r="AD302" i="15" s="1"/>
  <c r="S302" i="15"/>
  <c r="O302" i="15"/>
  <c r="K302" i="15"/>
  <c r="T302" i="15"/>
  <c r="AB302" i="15"/>
  <c r="AJ302" i="15"/>
  <c r="P303" i="15"/>
  <c r="X303" i="15"/>
  <c r="Y303" i="15" s="1"/>
  <c r="AH303" i="15"/>
  <c r="K304" i="15"/>
  <c r="O304" i="15"/>
  <c r="S304" i="15"/>
  <c r="W304" i="15"/>
  <c r="AD304" i="15" s="1"/>
  <c r="AA304" i="15"/>
  <c r="AG304" i="15" s="1"/>
  <c r="AI304" i="15"/>
  <c r="K305" i="15"/>
  <c r="O305" i="15"/>
  <c r="S305" i="15"/>
  <c r="W305" i="15"/>
  <c r="AD305" i="15" s="1"/>
  <c r="AA305" i="15"/>
  <c r="AG305" i="15" s="1"/>
  <c r="AI305" i="15"/>
  <c r="K306" i="15"/>
  <c r="O306" i="15"/>
  <c r="S306" i="15"/>
  <c r="W306" i="15"/>
  <c r="AD306" i="15" s="1"/>
  <c r="AA306" i="15"/>
  <c r="AG306" i="15" s="1"/>
  <c r="AI306" i="15"/>
  <c r="K307" i="15"/>
  <c r="O307" i="15"/>
  <c r="S307" i="15"/>
  <c r="W307" i="15"/>
  <c r="AD307" i="15" s="1"/>
  <c r="AA307" i="15"/>
  <c r="AG307" i="15" s="1"/>
  <c r="AI307" i="15"/>
  <c r="K308" i="15"/>
  <c r="O308" i="15"/>
  <c r="S308" i="15"/>
  <c r="W308" i="15"/>
  <c r="AD308" i="15" s="1"/>
  <c r="AA308" i="15"/>
  <c r="AG308" i="15" s="1"/>
  <c r="AI308" i="15"/>
  <c r="K309" i="15"/>
  <c r="O309" i="15"/>
  <c r="S309" i="15"/>
  <c r="W309" i="15"/>
  <c r="AD309" i="15" s="1"/>
  <c r="AA309" i="15"/>
  <c r="AG309" i="15" s="1"/>
  <c r="AI309" i="15"/>
  <c r="K310" i="15"/>
  <c r="O310" i="15"/>
  <c r="S310" i="15"/>
  <c r="W310" i="15"/>
  <c r="AD310" i="15" s="1"/>
  <c r="AA310" i="15"/>
  <c r="AG310" i="15" s="1"/>
  <c r="AI310" i="15"/>
  <c r="K311" i="15"/>
  <c r="O311" i="15"/>
  <c r="S311" i="15"/>
  <c r="W311" i="15"/>
  <c r="AD311" i="15" s="1"/>
  <c r="AA311" i="15"/>
  <c r="AG311" i="15" s="1"/>
  <c r="AI311" i="15"/>
  <c r="K312" i="15"/>
  <c r="O312" i="15"/>
  <c r="S312" i="15"/>
  <c r="W312" i="15"/>
  <c r="AD312" i="15" s="1"/>
  <c r="AA312" i="15"/>
  <c r="AG312" i="15" s="1"/>
  <c r="AI312" i="15"/>
  <c r="K313" i="15"/>
  <c r="O313" i="15"/>
  <c r="S313" i="15"/>
  <c r="W313" i="15"/>
  <c r="AD313" i="15" s="1"/>
  <c r="AA313" i="15"/>
  <c r="AG313" i="15" s="1"/>
  <c r="AI313" i="15"/>
  <c r="K314" i="15"/>
  <c r="O314" i="15"/>
  <c r="S314" i="15"/>
  <c r="W314" i="15"/>
  <c r="AD314" i="15" s="1"/>
  <c r="AA314" i="15"/>
  <c r="AG314" i="15" s="1"/>
  <c r="AI314" i="15"/>
  <c r="K315" i="15"/>
  <c r="O315" i="15"/>
  <c r="S315" i="15"/>
  <c r="W315" i="15"/>
  <c r="AD315" i="15" s="1"/>
  <c r="AA315" i="15"/>
  <c r="AG315" i="15" s="1"/>
  <c r="AI315" i="15"/>
  <c r="K316" i="15"/>
  <c r="O316" i="15"/>
  <c r="S316" i="15"/>
  <c r="W316" i="15"/>
  <c r="AD316" i="15" s="1"/>
  <c r="AA316" i="15"/>
  <c r="AG316" i="15" s="1"/>
  <c r="AI316" i="15"/>
  <c r="K317" i="15"/>
  <c r="O317" i="15"/>
  <c r="S317" i="15"/>
  <c r="W317" i="15"/>
  <c r="AD317" i="15" s="1"/>
  <c r="AA317" i="15"/>
  <c r="AG317" i="15" s="1"/>
  <c r="AI317" i="15"/>
  <c r="K318" i="15"/>
  <c r="O318" i="15"/>
  <c r="S318" i="15"/>
  <c r="W318" i="15"/>
  <c r="AD318" i="15" s="1"/>
  <c r="AA318" i="15"/>
  <c r="AG318" i="15" s="1"/>
  <c r="AI318" i="15"/>
  <c r="K319" i="15"/>
  <c r="O319" i="15"/>
  <c r="S319" i="15"/>
  <c r="W319" i="15"/>
  <c r="AD319" i="15" s="1"/>
  <c r="AA319" i="15"/>
  <c r="AG319" i="15" s="1"/>
  <c r="AI319" i="15"/>
  <c r="K320" i="15"/>
  <c r="O320" i="15"/>
  <c r="S320" i="15"/>
  <c r="W320" i="15"/>
  <c r="AD320" i="15" s="1"/>
  <c r="AA320" i="15"/>
  <c r="AG320" i="15" s="1"/>
  <c r="AI320" i="15"/>
  <c r="K321" i="15"/>
  <c r="O321" i="15"/>
  <c r="S321" i="15"/>
  <c r="W321" i="15"/>
  <c r="AD321" i="15" s="1"/>
  <c r="AA321" i="15"/>
  <c r="AG321" i="15" s="1"/>
  <c r="AI321" i="15"/>
  <c r="K322" i="15"/>
  <c r="O322" i="15"/>
  <c r="S322" i="15"/>
  <c r="W322" i="15"/>
  <c r="AD322" i="15" s="1"/>
  <c r="AA322" i="15"/>
  <c r="AG322" i="15" s="1"/>
  <c r="AI322" i="15"/>
  <c r="K323" i="15"/>
  <c r="O323" i="15"/>
  <c r="S323" i="15"/>
  <c r="W323" i="15"/>
  <c r="AD323" i="15" s="1"/>
  <c r="AA323" i="15"/>
  <c r="AG323" i="15" s="1"/>
  <c r="AI323" i="15"/>
  <c r="K324" i="15"/>
  <c r="O324" i="15"/>
  <c r="S324" i="15"/>
  <c r="W324" i="15"/>
  <c r="AD324" i="15" s="1"/>
  <c r="AA324" i="15"/>
  <c r="AG324" i="15" s="1"/>
  <c r="AI324" i="15"/>
  <c r="K325" i="15"/>
  <c r="O325" i="15"/>
  <c r="S325" i="15"/>
  <c r="W325" i="15"/>
  <c r="AD325" i="15" s="1"/>
  <c r="AA325" i="15"/>
  <c r="AG325" i="15" s="1"/>
  <c r="AI325" i="15"/>
  <c r="K326" i="15"/>
  <c r="O326" i="15"/>
  <c r="S326" i="15"/>
  <c r="W326" i="15"/>
  <c r="AD326" i="15" s="1"/>
  <c r="AA326" i="15"/>
  <c r="AG326" i="15" s="1"/>
  <c r="AI326" i="15"/>
  <c r="K327" i="15"/>
  <c r="O327" i="15"/>
  <c r="S327" i="15"/>
  <c r="W327" i="15"/>
  <c r="AD327" i="15" s="1"/>
  <c r="AA327" i="15"/>
  <c r="AG327" i="15" s="1"/>
  <c r="AI327" i="15"/>
  <c r="K328" i="15"/>
  <c r="O328" i="15"/>
  <c r="S328" i="15"/>
  <c r="W328" i="15"/>
  <c r="AD328" i="15" s="1"/>
  <c r="AA328" i="15"/>
  <c r="AG328" i="15" s="1"/>
  <c r="AI328" i="15"/>
  <c r="K329" i="15"/>
  <c r="O329" i="15"/>
  <c r="S329" i="15"/>
  <c r="W329" i="15"/>
  <c r="AD329" i="15" s="1"/>
  <c r="AA329" i="15"/>
  <c r="AG329" i="15" s="1"/>
  <c r="AI329" i="15"/>
  <c r="K330" i="15"/>
  <c r="O330" i="15"/>
  <c r="S330" i="15"/>
  <c r="W330" i="15"/>
  <c r="AD330" i="15" s="1"/>
  <c r="AA330" i="15"/>
  <c r="AG330" i="15" s="1"/>
  <c r="AI330" i="15"/>
  <c r="K331" i="15"/>
  <c r="O331" i="15"/>
  <c r="S331" i="15"/>
  <c r="W331" i="15"/>
  <c r="AD331" i="15" s="1"/>
  <c r="AA331" i="15"/>
  <c r="AG331" i="15" s="1"/>
  <c r="AI331" i="15"/>
  <c r="K332" i="15"/>
  <c r="O332" i="15"/>
  <c r="S332" i="15"/>
  <c r="W332" i="15"/>
  <c r="AD332" i="15" s="1"/>
  <c r="AA332" i="15"/>
  <c r="AG332" i="15" s="1"/>
  <c r="AI332" i="15"/>
  <c r="K333" i="15"/>
  <c r="O333" i="15"/>
  <c r="S333" i="15"/>
  <c r="W333" i="15"/>
  <c r="AD333" i="15" s="1"/>
  <c r="AA333" i="15"/>
  <c r="AG333" i="15" s="1"/>
  <c r="AI333" i="15"/>
  <c r="K334" i="15"/>
  <c r="O334" i="15"/>
  <c r="S334" i="15"/>
  <c r="W334" i="15"/>
  <c r="AD334" i="15" s="1"/>
  <c r="AA334" i="15"/>
  <c r="AG334" i="15" s="1"/>
  <c r="AI334" i="15"/>
  <c r="K335" i="15"/>
  <c r="O335" i="15"/>
  <c r="S335" i="15"/>
  <c r="W335" i="15"/>
  <c r="AD335" i="15" s="1"/>
  <c r="AA335" i="15"/>
  <c r="AG335" i="15" s="1"/>
  <c r="AI335" i="15"/>
  <c r="K336" i="15"/>
  <c r="O336" i="15"/>
  <c r="S336" i="15"/>
  <c r="W336" i="15"/>
  <c r="AD336" i="15" s="1"/>
  <c r="AA336" i="15"/>
  <c r="AG336" i="15" s="1"/>
  <c r="AI336" i="15"/>
  <c r="K337" i="15"/>
  <c r="O337" i="15"/>
  <c r="S337" i="15"/>
  <c r="W337" i="15"/>
  <c r="AD337" i="15" s="1"/>
  <c r="AA337" i="15"/>
  <c r="AG337" i="15" s="1"/>
  <c r="AI337" i="15"/>
  <c r="K338" i="15"/>
  <c r="O338" i="15"/>
  <c r="S338" i="15"/>
  <c r="W338" i="15"/>
  <c r="AD338" i="15" s="1"/>
  <c r="AA338" i="15"/>
  <c r="AG338" i="15" s="1"/>
  <c r="AI338" i="15"/>
  <c r="K339" i="15"/>
  <c r="O339" i="15"/>
  <c r="S339" i="15"/>
  <c r="W339" i="15"/>
  <c r="AD339" i="15" s="1"/>
  <c r="AA339" i="15"/>
  <c r="AG339" i="15" s="1"/>
  <c r="AI339" i="15"/>
  <c r="K340" i="15"/>
  <c r="O340" i="15"/>
  <c r="S340" i="15"/>
  <c r="W340" i="15"/>
  <c r="AD340" i="15" s="1"/>
  <c r="AA340" i="15"/>
  <c r="AG340" i="15" s="1"/>
  <c r="AI340" i="15"/>
  <c r="K341" i="15"/>
  <c r="O341" i="15"/>
  <c r="S341" i="15"/>
  <c r="W341" i="15"/>
  <c r="AD341" i="15" s="1"/>
  <c r="AA341" i="15"/>
  <c r="AG341" i="15" s="1"/>
  <c r="AI341" i="15"/>
  <c r="K342" i="15"/>
  <c r="O342" i="15"/>
  <c r="S342" i="15"/>
  <c r="W342" i="15"/>
  <c r="AD342" i="15" s="1"/>
  <c r="AA342" i="15"/>
  <c r="AG342" i="15" s="1"/>
  <c r="AI342" i="15"/>
  <c r="K343" i="15"/>
  <c r="O343" i="15"/>
  <c r="S343" i="15"/>
  <c r="W343" i="15"/>
  <c r="AD343" i="15" s="1"/>
  <c r="AA343" i="15"/>
  <c r="AG343" i="15" s="1"/>
  <c r="AI343" i="15"/>
  <c r="K344" i="15"/>
  <c r="O344" i="15"/>
  <c r="S344" i="15"/>
  <c r="W344" i="15"/>
  <c r="AD344" i="15" s="1"/>
  <c r="AA344" i="15"/>
  <c r="AG344" i="15" s="1"/>
  <c r="AI344" i="15"/>
  <c r="K345" i="15"/>
  <c r="O345" i="15"/>
  <c r="S345" i="15"/>
  <c r="W345" i="15"/>
  <c r="AD345" i="15" s="1"/>
  <c r="AA345" i="15"/>
  <c r="AG345" i="15" s="1"/>
  <c r="AI345" i="15"/>
  <c r="K346" i="15"/>
  <c r="O346" i="15"/>
  <c r="S346" i="15"/>
  <c r="W346" i="15"/>
  <c r="AD346" i="15" s="1"/>
  <c r="AA346" i="15"/>
  <c r="AG346" i="15" s="1"/>
  <c r="AI346" i="15"/>
  <c r="K347" i="15"/>
  <c r="O347" i="15"/>
  <c r="S347" i="15"/>
  <c r="W347" i="15"/>
  <c r="AD347" i="15" s="1"/>
  <c r="AA347" i="15"/>
  <c r="AG347" i="15" s="1"/>
  <c r="AI347" i="15"/>
  <c r="K348" i="15"/>
  <c r="O348" i="15"/>
  <c r="S348" i="15"/>
  <c r="W348" i="15"/>
  <c r="AD348" i="15" s="1"/>
  <c r="AA348" i="15"/>
  <c r="AG348" i="15" s="1"/>
  <c r="AI348" i="15"/>
  <c r="K349" i="15"/>
  <c r="O349" i="15"/>
  <c r="S349" i="15"/>
  <c r="W349" i="15"/>
  <c r="AD349" i="15" s="1"/>
  <c r="AA349" i="15"/>
  <c r="AG349" i="15" s="1"/>
  <c r="AI349" i="15"/>
  <c r="K350" i="15"/>
  <c r="O350" i="15"/>
  <c r="S350" i="15"/>
  <c r="W350" i="15"/>
  <c r="AD350" i="15" s="1"/>
  <c r="AA350" i="15"/>
  <c r="AG350" i="15" s="1"/>
  <c r="AI350" i="15"/>
  <c r="K351" i="15"/>
  <c r="O351" i="15"/>
  <c r="S351" i="15"/>
  <c r="W351" i="15"/>
  <c r="AD351" i="15" s="1"/>
  <c r="AA351" i="15"/>
  <c r="AG351" i="15" s="1"/>
  <c r="AI351" i="15"/>
  <c r="K352" i="15"/>
  <c r="O352" i="15"/>
  <c r="S352" i="15"/>
  <c r="W352" i="15"/>
  <c r="AD352" i="15" s="1"/>
  <c r="AA352" i="15"/>
  <c r="AG352" i="15" s="1"/>
  <c r="AI352" i="15"/>
  <c r="K353" i="15"/>
  <c r="O353" i="15"/>
  <c r="S353" i="15"/>
  <c r="W353" i="15"/>
  <c r="AD353" i="15" s="1"/>
  <c r="AA353" i="15"/>
  <c r="AG353" i="15" s="1"/>
  <c r="AI353" i="15"/>
  <c r="K354" i="15"/>
  <c r="O354" i="15"/>
  <c r="S354" i="15"/>
  <c r="W354" i="15"/>
  <c r="AD354" i="15" s="1"/>
  <c r="AA354" i="15"/>
  <c r="AG354" i="15" s="1"/>
  <c r="AI354" i="15"/>
  <c r="K355" i="15"/>
  <c r="O355" i="15"/>
  <c r="S355" i="15"/>
  <c r="W355" i="15"/>
  <c r="AD355" i="15" s="1"/>
  <c r="AA355" i="15"/>
  <c r="AG355" i="15" s="1"/>
  <c r="AI355" i="15"/>
  <c r="K356" i="15"/>
  <c r="O356" i="15"/>
  <c r="S356" i="15"/>
  <c r="W356" i="15"/>
  <c r="AD356" i="15" s="1"/>
  <c r="AA356" i="15"/>
  <c r="AG356" i="15" s="1"/>
  <c r="AI356" i="15"/>
  <c r="K357" i="15"/>
  <c r="O357" i="15"/>
  <c r="S357" i="15"/>
  <c r="W357" i="15"/>
  <c r="AD357" i="15" s="1"/>
  <c r="AA357" i="15"/>
  <c r="AG357" i="15" s="1"/>
  <c r="AI357" i="15"/>
  <c r="K358" i="15"/>
  <c r="O358" i="15"/>
  <c r="S358" i="15"/>
  <c r="W358" i="15"/>
  <c r="AD358" i="15" s="1"/>
  <c r="AA358" i="15"/>
  <c r="AG358" i="15" s="1"/>
  <c r="AI358" i="15"/>
  <c r="K359" i="15"/>
  <c r="O359" i="15"/>
  <c r="S359" i="15"/>
  <c r="W359" i="15"/>
  <c r="AD359" i="15" s="1"/>
  <c r="AA359" i="15"/>
  <c r="AG359" i="15" s="1"/>
  <c r="AI359" i="15"/>
  <c r="K360" i="15"/>
  <c r="O360" i="15"/>
  <c r="S360" i="15"/>
  <c r="W360" i="15"/>
  <c r="AD360" i="15" s="1"/>
  <c r="AA360" i="15"/>
  <c r="AG360" i="15" s="1"/>
  <c r="AI360" i="15"/>
  <c r="K361" i="15"/>
  <c r="O361" i="15"/>
  <c r="S361" i="15"/>
  <c r="W361" i="15"/>
  <c r="AD361" i="15" s="1"/>
  <c r="AA361" i="15"/>
  <c r="AG361" i="15" s="1"/>
  <c r="AI361" i="15"/>
  <c r="K362" i="15"/>
  <c r="O362" i="15"/>
  <c r="S362" i="15"/>
  <c r="W362" i="15"/>
  <c r="AD362" i="15" s="1"/>
  <c r="AA362" i="15"/>
  <c r="AG362" i="15" s="1"/>
  <c r="AI362" i="15"/>
  <c r="K363" i="15"/>
  <c r="O363" i="15"/>
  <c r="S363" i="15"/>
  <c r="W363" i="15"/>
  <c r="AD363" i="15" s="1"/>
  <c r="AA363" i="15"/>
  <c r="AG363" i="15" s="1"/>
  <c r="AI363" i="15"/>
  <c r="K364" i="15"/>
  <c r="O364" i="15"/>
  <c r="S364" i="15"/>
  <c r="W364" i="15"/>
  <c r="AD364" i="15" s="1"/>
  <c r="AA364" i="15"/>
  <c r="AG364" i="15" s="1"/>
  <c r="AI364" i="15"/>
  <c r="K365" i="15"/>
  <c r="O365" i="15"/>
  <c r="S365" i="15"/>
  <c r="W365" i="15"/>
  <c r="AD365" i="15" s="1"/>
  <c r="AA365" i="15"/>
  <c r="AG365" i="15" s="1"/>
  <c r="AI365" i="15"/>
  <c r="K366" i="15"/>
  <c r="O366" i="15"/>
  <c r="S366" i="15"/>
  <c r="W366" i="15"/>
  <c r="AD366" i="15" s="1"/>
  <c r="AA366" i="15"/>
  <c r="AG366" i="15" s="1"/>
  <c r="AI366" i="15"/>
  <c r="K367" i="15"/>
  <c r="O367" i="15"/>
  <c r="S367" i="15"/>
  <c r="W367" i="15"/>
  <c r="AD367" i="15" s="1"/>
  <c r="AA367" i="15"/>
  <c r="AG367" i="15" s="1"/>
  <c r="AI367" i="15"/>
  <c r="K368" i="15"/>
  <c r="O368" i="15"/>
  <c r="S368" i="15"/>
  <c r="W368" i="15"/>
  <c r="AD368" i="15" s="1"/>
  <c r="AA368" i="15"/>
  <c r="AG368" i="15" s="1"/>
  <c r="AI368" i="15"/>
  <c r="K369" i="15"/>
  <c r="O369" i="15"/>
  <c r="S369" i="15"/>
  <c r="W369" i="15"/>
  <c r="AD369" i="15" s="1"/>
  <c r="AA369" i="15"/>
  <c r="AG369" i="15" s="1"/>
  <c r="AI369" i="15"/>
  <c r="AL370" i="15"/>
  <c r="AH370" i="15"/>
  <c r="Z370" i="15"/>
  <c r="AA370" i="15" s="1"/>
  <c r="AG370" i="15" s="1"/>
  <c r="V370" i="15"/>
  <c r="R370" i="15"/>
  <c r="N370" i="15"/>
  <c r="Q370" i="15"/>
  <c r="W370" i="15"/>
  <c r="AD370" i="15" s="1"/>
  <c r="AB370" i="15"/>
  <c r="K371" i="15"/>
  <c r="P371" i="15"/>
  <c r="U371" i="15"/>
  <c r="AF371" i="15" s="1"/>
  <c r="AA371" i="15"/>
  <c r="AG371" i="15" s="1"/>
  <c r="O372" i="15"/>
  <c r="T372" i="15"/>
  <c r="Y372" i="15"/>
  <c r="M373" i="15"/>
  <c r="S373" i="15"/>
  <c r="X373" i="15"/>
  <c r="AC373" i="15"/>
  <c r="AE373" i="15" s="1"/>
  <c r="AI373" i="15"/>
  <c r="AL374" i="15"/>
  <c r="AH374" i="15"/>
  <c r="Z374" i="15"/>
  <c r="AA374" i="15" s="1"/>
  <c r="AG374" i="15" s="1"/>
  <c r="V374" i="15"/>
  <c r="AB374" i="15" s="1"/>
  <c r="R374" i="15"/>
  <c r="N374" i="15"/>
  <c r="Q374" i="15"/>
  <c r="W374" i="15"/>
  <c r="AD374" i="15" s="1"/>
  <c r="K375" i="15"/>
  <c r="P375" i="15"/>
  <c r="U375" i="15"/>
  <c r="AF375" i="15" s="1"/>
  <c r="O376" i="15"/>
  <c r="T376" i="15"/>
  <c r="Y376" i="15"/>
  <c r="M377" i="15"/>
  <c r="S377" i="15"/>
  <c r="X377" i="15"/>
  <c r="AC377" i="15"/>
  <c r="AE377" i="15" s="1"/>
  <c r="AI377" i="15"/>
  <c r="AL378" i="15"/>
  <c r="AH378" i="15"/>
  <c r="Z378" i="15"/>
  <c r="AA378" i="15" s="1"/>
  <c r="AG378" i="15" s="1"/>
  <c r="V378" i="15"/>
  <c r="AB378" i="15" s="1"/>
  <c r="R378" i="15"/>
  <c r="N378" i="15"/>
  <c r="Q378" i="15"/>
  <c r="W378" i="15"/>
  <c r="AD378" i="15" s="1"/>
  <c r="K379" i="15"/>
  <c r="P379" i="15"/>
  <c r="U379" i="15"/>
  <c r="AF379" i="15" s="1"/>
  <c r="O380" i="15"/>
  <c r="T380" i="15"/>
  <c r="Y380" i="15"/>
  <c r="M381" i="15"/>
  <c r="S381" i="15"/>
  <c r="X381" i="15"/>
  <c r="Y381" i="15" s="1"/>
  <c r="AC381" i="15"/>
  <c r="AE381" i="15" s="1"/>
  <c r="AI381" i="15"/>
  <c r="AL382" i="15"/>
  <c r="AH382" i="15"/>
  <c r="Z382" i="15"/>
  <c r="AA382" i="15" s="1"/>
  <c r="AG382" i="15" s="1"/>
  <c r="V382" i="15"/>
  <c r="AB382" i="15" s="1"/>
  <c r="R382" i="15"/>
  <c r="N382" i="15"/>
  <c r="Q382" i="15"/>
  <c r="W382" i="15"/>
  <c r="AD382" i="15" s="1"/>
  <c r="K383" i="15"/>
  <c r="P383" i="15"/>
  <c r="U383" i="15"/>
  <c r="AF383" i="15" s="1"/>
  <c r="O384" i="15"/>
  <c r="T384" i="15"/>
  <c r="Y384" i="15"/>
  <c r="O385" i="15"/>
  <c r="W385" i="15"/>
  <c r="AD385" i="15" s="1"/>
  <c r="P386" i="15"/>
  <c r="W386" i="15"/>
  <c r="AD386" i="15" s="1"/>
  <c r="P387" i="15"/>
  <c r="W387" i="15"/>
  <c r="AD387" i="15" s="1"/>
  <c r="O389" i="15"/>
  <c r="W389" i="15"/>
  <c r="AD389" i="15" s="1"/>
  <c r="P390" i="15"/>
  <c r="W390" i="15"/>
  <c r="AD390" i="15" s="1"/>
  <c r="P391" i="15"/>
  <c r="W391" i="15"/>
  <c r="AD391" i="15" s="1"/>
  <c r="O393" i="15"/>
  <c r="W393" i="15"/>
  <c r="AD393" i="15" s="1"/>
  <c r="P394" i="15"/>
  <c r="W394" i="15"/>
  <c r="AD394" i="15" s="1"/>
  <c r="P395" i="15"/>
  <c r="W395" i="15"/>
  <c r="AD395" i="15" s="1"/>
  <c r="O397" i="15"/>
  <c r="W397" i="15"/>
  <c r="AD397" i="15" s="1"/>
  <c r="P398" i="15"/>
  <c r="W398" i="15"/>
  <c r="AD398" i="15" s="1"/>
  <c r="P399" i="15"/>
  <c r="W399" i="15"/>
  <c r="AD399" i="15" s="1"/>
  <c r="O401" i="15"/>
  <c r="W401" i="15"/>
  <c r="AD401" i="15" s="1"/>
  <c r="P402" i="15"/>
  <c r="W402" i="15"/>
  <c r="AD402" i="15" s="1"/>
  <c r="P403" i="15"/>
  <c r="W403" i="15"/>
  <c r="AD403" i="15" s="1"/>
  <c r="O405" i="15"/>
  <c r="W405" i="15"/>
  <c r="AD405" i="15" s="1"/>
  <c r="P406" i="15"/>
  <c r="W406" i="15"/>
  <c r="AD406" i="15" s="1"/>
  <c r="P407" i="15"/>
  <c r="W407" i="15"/>
  <c r="AD407" i="15" s="1"/>
  <c r="O409" i="15"/>
  <c r="W409" i="15"/>
  <c r="AD409" i="15" s="1"/>
  <c r="P410" i="15"/>
  <c r="X410" i="15"/>
  <c r="Y410" i="15" s="1"/>
  <c r="R411" i="15"/>
  <c r="N414" i="15"/>
  <c r="X414" i="15"/>
  <c r="AI414" i="15"/>
  <c r="R415" i="15"/>
  <c r="N418" i="15"/>
  <c r="X418" i="15"/>
  <c r="AI418" i="15"/>
  <c r="R419" i="15"/>
  <c r="N422" i="15"/>
  <c r="X422" i="15"/>
  <c r="Y422" i="15" s="1"/>
  <c r="AI422" i="15"/>
  <c r="R423" i="15"/>
  <c r="N426" i="15"/>
  <c r="AK443" i="15"/>
  <c r="AC443" i="15"/>
  <c r="AE443" i="15" s="1"/>
  <c r="U443" i="15"/>
  <c r="AF443" i="15" s="1"/>
  <c r="Q443" i="15"/>
  <c r="M443" i="15"/>
  <c r="AL443" i="15"/>
  <c r="AA443" i="15"/>
  <c r="AG443" i="15" s="1"/>
  <c r="V443" i="15"/>
  <c r="AB443" i="15" s="1"/>
  <c r="P443" i="15"/>
  <c r="K443" i="15"/>
  <c r="AJ443" i="15"/>
  <c r="Z443" i="15"/>
  <c r="T443" i="15"/>
  <c r="O443" i="15"/>
  <c r="AI443" i="15"/>
  <c r="X443" i="15"/>
  <c r="Y443" i="15" s="1"/>
  <c r="S443" i="15"/>
  <c r="N443" i="15"/>
  <c r="AH443" i="15"/>
  <c r="AK447" i="15"/>
  <c r="AC447" i="15"/>
  <c r="AE447" i="15" s="1"/>
  <c r="U447" i="15"/>
  <c r="AF447" i="15" s="1"/>
  <c r="Q447" i="15"/>
  <c r="M447" i="15"/>
  <c r="AL447" i="15"/>
  <c r="AA447" i="15"/>
  <c r="AG447" i="15" s="1"/>
  <c r="V447" i="15"/>
  <c r="AB447" i="15" s="1"/>
  <c r="P447" i="15"/>
  <c r="K447" i="15"/>
  <c r="AJ447" i="15"/>
  <c r="Z447" i="15"/>
  <c r="T447" i="15"/>
  <c r="O447" i="15"/>
  <c r="AI447" i="15"/>
  <c r="X447" i="15"/>
  <c r="Y447" i="15" s="1"/>
  <c r="S447" i="15"/>
  <c r="N447" i="15"/>
  <c r="AH447" i="15"/>
  <c r="AK451" i="15"/>
  <c r="AC451" i="15"/>
  <c r="AE451" i="15" s="1"/>
  <c r="U451" i="15"/>
  <c r="AF451" i="15" s="1"/>
  <c r="Q451" i="15"/>
  <c r="M451" i="15"/>
  <c r="AL451" i="15"/>
  <c r="V451" i="15"/>
  <c r="AB451" i="15" s="1"/>
  <c r="P451" i="15"/>
  <c r="K451" i="15"/>
  <c r="AJ451" i="15"/>
  <c r="Z451" i="15"/>
  <c r="AA451" i="15" s="1"/>
  <c r="AG451" i="15" s="1"/>
  <c r="T451" i="15"/>
  <c r="O451" i="15"/>
  <c r="AI451" i="15"/>
  <c r="X451" i="15"/>
  <c r="Y451" i="15" s="1"/>
  <c r="S451" i="15"/>
  <c r="N451" i="15"/>
  <c r="AH451" i="15"/>
  <c r="AK455" i="15"/>
  <c r="AC455" i="15"/>
  <c r="AE455" i="15" s="1"/>
  <c r="U455" i="15"/>
  <c r="AF455" i="15" s="1"/>
  <c r="Q455" i="15"/>
  <c r="M455" i="15"/>
  <c r="AL455" i="15"/>
  <c r="V455" i="15"/>
  <c r="AB455" i="15" s="1"/>
  <c r="P455" i="15"/>
  <c r="K455" i="15"/>
  <c r="AJ455" i="15"/>
  <c r="Z455" i="15"/>
  <c r="AA455" i="15" s="1"/>
  <c r="AG455" i="15" s="1"/>
  <c r="T455" i="15"/>
  <c r="O455" i="15"/>
  <c r="AI455" i="15"/>
  <c r="X455" i="15"/>
  <c r="Y455" i="15" s="1"/>
  <c r="S455" i="15"/>
  <c r="N455" i="15"/>
  <c r="AH455" i="15"/>
  <c r="AK459" i="15"/>
  <c r="AC459" i="15"/>
  <c r="AE459" i="15" s="1"/>
  <c r="U459" i="15"/>
  <c r="AF459" i="15" s="1"/>
  <c r="Q459" i="15"/>
  <c r="M459" i="15"/>
  <c r="AL459" i="15"/>
  <c r="AA459" i="15"/>
  <c r="AG459" i="15" s="1"/>
  <c r="V459" i="15"/>
  <c r="AB459" i="15" s="1"/>
  <c r="P459" i="15"/>
  <c r="K459" i="15"/>
  <c r="AJ459" i="15"/>
  <c r="Z459" i="15"/>
  <c r="T459" i="15"/>
  <c r="O459" i="15"/>
  <c r="AI459" i="15"/>
  <c r="X459" i="15"/>
  <c r="Y459" i="15" s="1"/>
  <c r="S459" i="15"/>
  <c r="N459" i="15"/>
  <c r="AH459" i="15"/>
  <c r="AK463" i="15"/>
  <c r="AC463" i="15"/>
  <c r="AE463" i="15" s="1"/>
  <c r="U463" i="15"/>
  <c r="AF463" i="15" s="1"/>
  <c r="Q463" i="15"/>
  <c r="M463" i="15"/>
  <c r="AL463" i="15"/>
  <c r="AA463" i="15"/>
  <c r="AG463" i="15" s="1"/>
  <c r="V463" i="15"/>
  <c r="AB463" i="15" s="1"/>
  <c r="P463" i="15"/>
  <c r="K463" i="15"/>
  <c r="AJ463" i="15"/>
  <c r="Z463" i="15"/>
  <c r="T463" i="15"/>
  <c r="O463" i="15"/>
  <c r="AI463" i="15"/>
  <c r="X463" i="15"/>
  <c r="Y463" i="15" s="1"/>
  <c r="S463" i="15"/>
  <c r="N463" i="15"/>
  <c r="AH463" i="15"/>
  <c r="AK467" i="15"/>
  <c r="AC467" i="15"/>
  <c r="AE467" i="15" s="1"/>
  <c r="U467" i="15"/>
  <c r="AF467" i="15" s="1"/>
  <c r="Q467" i="15"/>
  <c r="M467" i="15"/>
  <c r="AL467" i="15"/>
  <c r="V467" i="15"/>
  <c r="AB467" i="15" s="1"/>
  <c r="P467" i="15"/>
  <c r="K467" i="15"/>
  <c r="AJ467" i="15"/>
  <c r="Z467" i="15"/>
  <c r="AA467" i="15" s="1"/>
  <c r="AG467" i="15" s="1"/>
  <c r="T467" i="15"/>
  <c r="O467" i="15"/>
  <c r="AI467" i="15"/>
  <c r="X467" i="15"/>
  <c r="Y467" i="15" s="1"/>
  <c r="S467" i="15"/>
  <c r="N467" i="15"/>
  <c r="AH467" i="15"/>
  <c r="AK471" i="15"/>
  <c r="AC471" i="15"/>
  <c r="AE471" i="15" s="1"/>
  <c r="U471" i="15"/>
  <c r="AF471" i="15" s="1"/>
  <c r="Q471" i="15"/>
  <c r="M471" i="15"/>
  <c r="AL471" i="15"/>
  <c r="V471" i="15"/>
  <c r="AB471" i="15" s="1"/>
  <c r="P471" i="15"/>
  <c r="K471" i="15"/>
  <c r="AJ471" i="15"/>
  <c r="Z471" i="15"/>
  <c r="AA471" i="15" s="1"/>
  <c r="AG471" i="15" s="1"/>
  <c r="T471" i="15"/>
  <c r="O471" i="15"/>
  <c r="AI471" i="15"/>
  <c r="X471" i="15"/>
  <c r="Y471" i="15" s="1"/>
  <c r="S471" i="15"/>
  <c r="N471" i="15"/>
  <c r="AH471" i="15"/>
  <c r="AK475" i="15"/>
  <c r="AC475" i="15"/>
  <c r="AE475" i="15" s="1"/>
  <c r="U475" i="15"/>
  <c r="AF475" i="15" s="1"/>
  <c r="Q475" i="15"/>
  <c r="M475" i="15"/>
  <c r="AL475" i="15"/>
  <c r="AA475" i="15"/>
  <c r="AG475" i="15" s="1"/>
  <c r="V475" i="15"/>
  <c r="AB475" i="15" s="1"/>
  <c r="P475" i="15"/>
  <c r="K475" i="15"/>
  <c r="AJ475" i="15"/>
  <c r="Z475" i="15"/>
  <c r="T475" i="15"/>
  <c r="O475" i="15"/>
  <c r="AI475" i="15"/>
  <c r="X475" i="15"/>
  <c r="Y475" i="15" s="1"/>
  <c r="S475" i="15"/>
  <c r="N475" i="15"/>
  <c r="AH475" i="15"/>
  <c r="AK479" i="15"/>
  <c r="AC479" i="15"/>
  <c r="AE479" i="15" s="1"/>
  <c r="U479" i="15"/>
  <c r="AF479" i="15" s="1"/>
  <c r="Q479" i="15"/>
  <c r="M479" i="15"/>
  <c r="AL479" i="15"/>
  <c r="AA479" i="15"/>
  <c r="AG479" i="15" s="1"/>
  <c r="V479" i="15"/>
  <c r="AB479" i="15" s="1"/>
  <c r="P479" i="15"/>
  <c r="K479" i="15"/>
  <c r="AJ479" i="15"/>
  <c r="Z479" i="15"/>
  <c r="T479" i="15"/>
  <c r="O479" i="15"/>
  <c r="AI479" i="15"/>
  <c r="X479" i="15"/>
  <c r="Y479" i="15" s="1"/>
  <c r="S479" i="15"/>
  <c r="N479" i="15"/>
  <c r="AH479" i="15"/>
  <c r="P304" i="15"/>
  <c r="T304" i="15"/>
  <c r="X304" i="15"/>
  <c r="Y304" i="15" s="1"/>
  <c r="AB304" i="15"/>
  <c r="AJ304" i="15"/>
  <c r="P305" i="15"/>
  <c r="T305" i="15"/>
  <c r="X305" i="15"/>
  <c r="Y305" i="15" s="1"/>
  <c r="AB305" i="15"/>
  <c r="AJ305" i="15"/>
  <c r="P306" i="15"/>
  <c r="T306" i="15"/>
  <c r="X306" i="15"/>
  <c r="AB306" i="15"/>
  <c r="AJ306" i="15"/>
  <c r="P307" i="15"/>
  <c r="T307" i="15"/>
  <c r="X307" i="15"/>
  <c r="AB307" i="15"/>
  <c r="AJ307" i="15"/>
  <c r="P308" i="15"/>
  <c r="T308" i="15"/>
  <c r="X308" i="15"/>
  <c r="Y308" i="15" s="1"/>
  <c r="AB308" i="15"/>
  <c r="AJ308" i="15"/>
  <c r="P309" i="15"/>
  <c r="T309" i="15"/>
  <c r="X309" i="15"/>
  <c r="Y309" i="15" s="1"/>
  <c r="AB309" i="15"/>
  <c r="AJ309" i="15"/>
  <c r="P310" i="15"/>
  <c r="T310" i="15"/>
  <c r="X310" i="15"/>
  <c r="AB310" i="15"/>
  <c r="AJ310" i="15"/>
  <c r="P311" i="15"/>
  <c r="T311" i="15"/>
  <c r="X311" i="15"/>
  <c r="AB311" i="15"/>
  <c r="AJ311" i="15"/>
  <c r="P312" i="15"/>
  <c r="T312" i="15"/>
  <c r="X312" i="15"/>
  <c r="Y312" i="15" s="1"/>
  <c r="AB312" i="15"/>
  <c r="AJ312" i="15"/>
  <c r="P313" i="15"/>
  <c r="T313" i="15"/>
  <c r="X313" i="15"/>
  <c r="Y313" i="15" s="1"/>
  <c r="AB313" i="15"/>
  <c r="AJ313" i="15"/>
  <c r="P314" i="15"/>
  <c r="T314" i="15"/>
  <c r="X314" i="15"/>
  <c r="AB314" i="15"/>
  <c r="AJ314" i="15"/>
  <c r="P315" i="15"/>
  <c r="T315" i="15"/>
  <c r="X315" i="15"/>
  <c r="AB315" i="15"/>
  <c r="AJ315" i="15"/>
  <c r="P316" i="15"/>
  <c r="T316" i="15"/>
  <c r="X316" i="15"/>
  <c r="Y316" i="15" s="1"/>
  <c r="AB316" i="15"/>
  <c r="AJ316" i="15"/>
  <c r="P317" i="15"/>
  <c r="T317" i="15"/>
  <c r="X317" i="15"/>
  <c r="Y317" i="15" s="1"/>
  <c r="AB317" i="15"/>
  <c r="AJ317" i="15"/>
  <c r="P318" i="15"/>
  <c r="T318" i="15"/>
  <c r="X318" i="15"/>
  <c r="AB318" i="15"/>
  <c r="AJ318" i="15"/>
  <c r="P319" i="15"/>
  <c r="T319" i="15"/>
  <c r="X319" i="15"/>
  <c r="AB319" i="15"/>
  <c r="AJ319" i="15"/>
  <c r="P320" i="15"/>
  <c r="T320" i="15"/>
  <c r="X320" i="15"/>
  <c r="Y320" i="15" s="1"/>
  <c r="AB320" i="15"/>
  <c r="AJ320" i="15"/>
  <c r="P321" i="15"/>
  <c r="T321" i="15"/>
  <c r="X321" i="15"/>
  <c r="Y321" i="15" s="1"/>
  <c r="AB321" i="15"/>
  <c r="AJ321" i="15"/>
  <c r="P322" i="15"/>
  <c r="T322" i="15"/>
  <c r="X322" i="15"/>
  <c r="AB322" i="15"/>
  <c r="AJ322" i="15"/>
  <c r="P323" i="15"/>
  <c r="T323" i="15"/>
  <c r="X323" i="15"/>
  <c r="AB323" i="15"/>
  <c r="AJ323" i="15"/>
  <c r="P324" i="15"/>
  <c r="T324" i="15"/>
  <c r="X324" i="15"/>
  <c r="Y324" i="15" s="1"/>
  <c r="AB324" i="15"/>
  <c r="AJ324" i="15"/>
  <c r="P325" i="15"/>
  <c r="T325" i="15"/>
  <c r="X325" i="15"/>
  <c r="Y325" i="15" s="1"/>
  <c r="AB325" i="15"/>
  <c r="AJ325" i="15"/>
  <c r="P326" i="15"/>
  <c r="T326" i="15"/>
  <c r="X326" i="15"/>
  <c r="AB326" i="15"/>
  <c r="AJ326" i="15"/>
  <c r="P327" i="15"/>
  <c r="T327" i="15"/>
  <c r="X327" i="15"/>
  <c r="AB327" i="15"/>
  <c r="AJ327" i="15"/>
  <c r="P328" i="15"/>
  <c r="T328" i="15"/>
  <c r="X328" i="15"/>
  <c r="Y328" i="15" s="1"/>
  <c r="AB328" i="15"/>
  <c r="AJ328" i="15"/>
  <c r="P329" i="15"/>
  <c r="T329" i="15"/>
  <c r="X329" i="15"/>
  <c r="Y329" i="15" s="1"/>
  <c r="AB329" i="15"/>
  <c r="AJ329" i="15"/>
  <c r="P330" i="15"/>
  <c r="T330" i="15"/>
  <c r="X330" i="15"/>
  <c r="AB330" i="15"/>
  <c r="AJ330" i="15"/>
  <c r="P331" i="15"/>
  <c r="T331" i="15"/>
  <c r="X331" i="15"/>
  <c r="AB331" i="15"/>
  <c r="AJ331" i="15"/>
  <c r="P332" i="15"/>
  <c r="T332" i="15"/>
  <c r="X332" i="15"/>
  <c r="Y332" i="15" s="1"/>
  <c r="AB332" i="15"/>
  <c r="AJ332" i="15"/>
  <c r="P333" i="15"/>
  <c r="T333" i="15"/>
  <c r="X333" i="15"/>
  <c r="Y333" i="15" s="1"/>
  <c r="AB333" i="15"/>
  <c r="AJ333" i="15"/>
  <c r="P334" i="15"/>
  <c r="T334" i="15"/>
  <c r="X334" i="15"/>
  <c r="AB334" i="15"/>
  <c r="AJ334" i="15"/>
  <c r="P335" i="15"/>
  <c r="T335" i="15"/>
  <c r="X335" i="15"/>
  <c r="AB335" i="15"/>
  <c r="AJ335" i="15"/>
  <c r="P336" i="15"/>
  <c r="T336" i="15"/>
  <c r="X336" i="15"/>
  <c r="Y336" i="15" s="1"/>
  <c r="AB336" i="15"/>
  <c r="AJ336" i="15"/>
  <c r="P337" i="15"/>
  <c r="T337" i="15"/>
  <c r="X337" i="15"/>
  <c r="Y337" i="15" s="1"/>
  <c r="AB337" i="15"/>
  <c r="AJ337" i="15"/>
  <c r="P338" i="15"/>
  <c r="T338" i="15"/>
  <c r="X338" i="15"/>
  <c r="AB338" i="15"/>
  <c r="AJ338" i="15"/>
  <c r="P339" i="15"/>
  <c r="T339" i="15"/>
  <c r="X339" i="15"/>
  <c r="AB339" i="15"/>
  <c r="AJ339" i="15"/>
  <c r="P340" i="15"/>
  <c r="T340" i="15"/>
  <c r="X340" i="15"/>
  <c r="Y340" i="15" s="1"/>
  <c r="AB340" i="15"/>
  <c r="AJ340" i="15"/>
  <c r="P341" i="15"/>
  <c r="T341" i="15"/>
  <c r="X341" i="15"/>
  <c r="Y341" i="15" s="1"/>
  <c r="AB341" i="15"/>
  <c r="AJ341" i="15"/>
  <c r="P342" i="15"/>
  <c r="T342" i="15"/>
  <c r="X342" i="15"/>
  <c r="AB342" i="15"/>
  <c r="AJ342" i="15"/>
  <c r="P343" i="15"/>
  <c r="T343" i="15"/>
  <c r="X343" i="15"/>
  <c r="AB343" i="15"/>
  <c r="AJ343" i="15"/>
  <c r="P344" i="15"/>
  <c r="T344" i="15"/>
  <c r="X344" i="15"/>
  <c r="Y344" i="15" s="1"/>
  <c r="AB344" i="15"/>
  <c r="AJ344" i="15"/>
  <c r="P345" i="15"/>
  <c r="T345" i="15"/>
  <c r="X345" i="15"/>
  <c r="Y345" i="15" s="1"/>
  <c r="AB345" i="15"/>
  <c r="AJ345" i="15"/>
  <c r="P346" i="15"/>
  <c r="T346" i="15"/>
  <c r="X346" i="15"/>
  <c r="AB346" i="15"/>
  <c r="AJ346" i="15"/>
  <c r="P347" i="15"/>
  <c r="T347" i="15"/>
  <c r="X347" i="15"/>
  <c r="AB347" i="15"/>
  <c r="AJ347" i="15"/>
  <c r="P348" i="15"/>
  <c r="T348" i="15"/>
  <c r="X348" i="15"/>
  <c r="Y348" i="15" s="1"/>
  <c r="AB348" i="15"/>
  <c r="AJ348" i="15"/>
  <c r="P349" i="15"/>
  <c r="T349" i="15"/>
  <c r="X349" i="15"/>
  <c r="Y349" i="15" s="1"/>
  <c r="AB349" i="15"/>
  <c r="AJ349" i="15"/>
  <c r="P350" i="15"/>
  <c r="T350" i="15"/>
  <c r="X350" i="15"/>
  <c r="AB350" i="15"/>
  <c r="AJ350" i="15"/>
  <c r="P351" i="15"/>
  <c r="T351" i="15"/>
  <c r="X351" i="15"/>
  <c r="AB351" i="15"/>
  <c r="AJ351" i="15"/>
  <c r="P352" i="15"/>
  <c r="T352" i="15"/>
  <c r="X352" i="15"/>
  <c r="Y352" i="15" s="1"/>
  <c r="AB352" i="15"/>
  <c r="AJ352" i="15"/>
  <c r="P353" i="15"/>
  <c r="T353" i="15"/>
  <c r="X353" i="15"/>
  <c r="Y353" i="15" s="1"/>
  <c r="AB353" i="15"/>
  <c r="AJ353" i="15"/>
  <c r="P354" i="15"/>
  <c r="T354" i="15"/>
  <c r="X354" i="15"/>
  <c r="AB354" i="15"/>
  <c r="AJ354" i="15"/>
  <c r="P355" i="15"/>
  <c r="T355" i="15"/>
  <c r="X355" i="15"/>
  <c r="AB355" i="15"/>
  <c r="AJ355" i="15"/>
  <c r="P356" i="15"/>
  <c r="T356" i="15"/>
  <c r="X356" i="15"/>
  <c r="Y356" i="15" s="1"/>
  <c r="AB356" i="15"/>
  <c r="AJ356" i="15"/>
  <c r="P357" i="15"/>
  <c r="T357" i="15"/>
  <c r="X357" i="15"/>
  <c r="Y357" i="15" s="1"/>
  <c r="AB357" i="15"/>
  <c r="AJ357" i="15"/>
  <c r="P358" i="15"/>
  <c r="T358" i="15"/>
  <c r="X358" i="15"/>
  <c r="AB358" i="15"/>
  <c r="AJ358" i="15"/>
  <c r="P359" i="15"/>
  <c r="T359" i="15"/>
  <c r="X359" i="15"/>
  <c r="AB359" i="15"/>
  <c r="AJ359" i="15"/>
  <c r="P360" i="15"/>
  <c r="T360" i="15"/>
  <c r="X360" i="15"/>
  <c r="Y360" i="15" s="1"/>
  <c r="AB360" i="15"/>
  <c r="AJ360" i="15"/>
  <c r="P361" i="15"/>
  <c r="T361" i="15"/>
  <c r="X361" i="15"/>
  <c r="Y361" i="15" s="1"/>
  <c r="AB361" i="15"/>
  <c r="AJ361" i="15"/>
  <c r="P362" i="15"/>
  <c r="T362" i="15"/>
  <c r="X362" i="15"/>
  <c r="AB362" i="15"/>
  <c r="AJ362" i="15"/>
  <c r="P363" i="15"/>
  <c r="T363" i="15"/>
  <c r="X363" i="15"/>
  <c r="AB363" i="15"/>
  <c r="AJ363" i="15"/>
  <c r="P364" i="15"/>
  <c r="T364" i="15"/>
  <c r="X364" i="15"/>
  <c r="Y364" i="15" s="1"/>
  <c r="AB364" i="15"/>
  <c r="AJ364" i="15"/>
  <c r="P365" i="15"/>
  <c r="T365" i="15"/>
  <c r="X365" i="15"/>
  <c r="Y365" i="15" s="1"/>
  <c r="AB365" i="15"/>
  <c r="AJ365" i="15"/>
  <c r="P366" i="15"/>
  <c r="T366" i="15"/>
  <c r="X366" i="15"/>
  <c r="AB366" i="15"/>
  <c r="AJ366" i="15"/>
  <c r="P367" i="15"/>
  <c r="T367" i="15"/>
  <c r="X367" i="15"/>
  <c r="AB367" i="15"/>
  <c r="AJ367" i="15"/>
  <c r="P368" i="15"/>
  <c r="T368" i="15"/>
  <c r="X368" i="15"/>
  <c r="Y368" i="15" s="1"/>
  <c r="AB368" i="15"/>
  <c r="AJ368" i="15"/>
  <c r="P369" i="15"/>
  <c r="T369" i="15"/>
  <c r="X369" i="15"/>
  <c r="Y369" i="15" s="1"/>
  <c r="AB369" i="15"/>
  <c r="AJ369" i="15"/>
  <c r="AL371" i="15"/>
  <c r="AH371" i="15"/>
  <c r="Z371" i="15"/>
  <c r="V371" i="15"/>
  <c r="AB371" i="15" s="1"/>
  <c r="R371" i="15"/>
  <c r="N371" i="15"/>
  <c r="Q371" i="15"/>
  <c r="W371" i="15"/>
  <c r="AD371" i="15" s="1"/>
  <c r="O373" i="15"/>
  <c r="T373" i="15"/>
  <c r="Y373" i="15"/>
  <c r="AJ373" i="15"/>
  <c r="AL375" i="15"/>
  <c r="AH375" i="15"/>
  <c r="Z375" i="15"/>
  <c r="AA375" i="15" s="1"/>
  <c r="AG375" i="15" s="1"/>
  <c r="V375" i="15"/>
  <c r="AB375" i="15" s="1"/>
  <c r="R375" i="15"/>
  <c r="N375" i="15"/>
  <c r="Q375" i="15"/>
  <c r="W375" i="15"/>
  <c r="AD375" i="15" s="1"/>
  <c r="O377" i="15"/>
  <c r="T377" i="15"/>
  <c r="Y377" i="15"/>
  <c r="AJ377" i="15"/>
  <c r="AL379" i="15"/>
  <c r="AH379" i="15"/>
  <c r="Z379" i="15"/>
  <c r="AA379" i="15" s="1"/>
  <c r="AG379" i="15" s="1"/>
  <c r="V379" i="15"/>
  <c r="AB379" i="15" s="1"/>
  <c r="R379" i="15"/>
  <c r="N379" i="15"/>
  <c r="Q379" i="15"/>
  <c r="W379" i="15"/>
  <c r="AD379" i="15" s="1"/>
  <c r="O381" i="15"/>
  <c r="T381" i="15"/>
  <c r="AJ381" i="15"/>
  <c r="AL383" i="15"/>
  <c r="AH383" i="15"/>
  <c r="Z383" i="15"/>
  <c r="AA383" i="15" s="1"/>
  <c r="AG383" i="15" s="1"/>
  <c r="V383" i="15"/>
  <c r="AB383" i="15" s="1"/>
  <c r="R383" i="15"/>
  <c r="N383" i="15"/>
  <c r="Q383" i="15"/>
  <c r="W383" i="15"/>
  <c r="AD383" i="15" s="1"/>
  <c r="R414" i="15"/>
  <c r="R418" i="15"/>
  <c r="M304" i="15"/>
  <c r="Q304" i="15"/>
  <c r="U304" i="15"/>
  <c r="AF304" i="15" s="1"/>
  <c r="AC304" i="15"/>
  <c r="AE304" i="15" s="1"/>
  <c r="M305" i="15"/>
  <c r="Q305" i="15"/>
  <c r="U305" i="15"/>
  <c r="AF305" i="15" s="1"/>
  <c r="AC305" i="15"/>
  <c r="AE305" i="15" s="1"/>
  <c r="M306" i="15"/>
  <c r="Q306" i="15"/>
  <c r="U306" i="15"/>
  <c r="AF306" i="15" s="1"/>
  <c r="Y306" i="15"/>
  <c r="AC306" i="15"/>
  <c r="AE306" i="15" s="1"/>
  <c r="M307" i="15"/>
  <c r="Q307" i="15"/>
  <c r="U307" i="15"/>
  <c r="AF307" i="15" s="1"/>
  <c r="Y307" i="15"/>
  <c r="AC307" i="15"/>
  <c r="AE307" i="15" s="1"/>
  <c r="M308" i="15"/>
  <c r="Q308" i="15"/>
  <c r="U308" i="15"/>
  <c r="AF308" i="15" s="1"/>
  <c r="AC308" i="15"/>
  <c r="AE308" i="15" s="1"/>
  <c r="M309" i="15"/>
  <c r="Q309" i="15"/>
  <c r="U309" i="15"/>
  <c r="AF309" i="15" s="1"/>
  <c r="AC309" i="15"/>
  <c r="AE309" i="15" s="1"/>
  <c r="M310" i="15"/>
  <c r="Q310" i="15"/>
  <c r="U310" i="15"/>
  <c r="AF310" i="15" s="1"/>
  <c r="Y310" i="15"/>
  <c r="AC310" i="15"/>
  <c r="AE310" i="15" s="1"/>
  <c r="M311" i="15"/>
  <c r="Q311" i="15"/>
  <c r="U311" i="15"/>
  <c r="AF311" i="15" s="1"/>
  <c r="Y311" i="15"/>
  <c r="AC311" i="15"/>
  <c r="AE311" i="15" s="1"/>
  <c r="M312" i="15"/>
  <c r="Q312" i="15"/>
  <c r="U312" i="15"/>
  <c r="AF312" i="15" s="1"/>
  <c r="AC312" i="15"/>
  <c r="AE312" i="15" s="1"/>
  <c r="M313" i="15"/>
  <c r="Q313" i="15"/>
  <c r="U313" i="15"/>
  <c r="AF313" i="15" s="1"/>
  <c r="AC313" i="15"/>
  <c r="AE313" i="15" s="1"/>
  <c r="M314" i="15"/>
  <c r="Q314" i="15"/>
  <c r="U314" i="15"/>
  <c r="AF314" i="15" s="1"/>
  <c r="Y314" i="15"/>
  <c r="AC314" i="15"/>
  <c r="AE314" i="15" s="1"/>
  <c r="M315" i="15"/>
  <c r="Q315" i="15"/>
  <c r="U315" i="15"/>
  <c r="AF315" i="15" s="1"/>
  <c r="Y315" i="15"/>
  <c r="AC315" i="15"/>
  <c r="AE315" i="15" s="1"/>
  <c r="M316" i="15"/>
  <c r="Q316" i="15"/>
  <c r="U316" i="15"/>
  <c r="AF316" i="15" s="1"/>
  <c r="AC316" i="15"/>
  <c r="AE316" i="15" s="1"/>
  <c r="M317" i="15"/>
  <c r="Q317" i="15"/>
  <c r="U317" i="15"/>
  <c r="AF317" i="15" s="1"/>
  <c r="AC317" i="15"/>
  <c r="AE317" i="15" s="1"/>
  <c r="M318" i="15"/>
  <c r="Q318" i="15"/>
  <c r="U318" i="15"/>
  <c r="AF318" i="15" s="1"/>
  <c r="Y318" i="15"/>
  <c r="AC318" i="15"/>
  <c r="AE318" i="15" s="1"/>
  <c r="M319" i="15"/>
  <c r="Q319" i="15"/>
  <c r="U319" i="15"/>
  <c r="AF319" i="15" s="1"/>
  <c r="Y319" i="15"/>
  <c r="AC319" i="15"/>
  <c r="AE319" i="15" s="1"/>
  <c r="M320" i="15"/>
  <c r="Q320" i="15"/>
  <c r="U320" i="15"/>
  <c r="AF320" i="15" s="1"/>
  <c r="AC320" i="15"/>
  <c r="AE320" i="15" s="1"/>
  <c r="M321" i="15"/>
  <c r="Q321" i="15"/>
  <c r="U321" i="15"/>
  <c r="AF321" i="15" s="1"/>
  <c r="AC321" i="15"/>
  <c r="AE321" i="15" s="1"/>
  <c r="M322" i="15"/>
  <c r="Q322" i="15"/>
  <c r="U322" i="15"/>
  <c r="AF322" i="15" s="1"/>
  <c r="Y322" i="15"/>
  <c r="AC322" i="15"/>
  <c r="AE322" i="15" s="1"/>
  <c r="M323" i="15"/>
  <c r="Q323" i="15"/>
  <c r="U323" i="15"/>
  <c r="AF323" i="15" s="1"/>
  <c r="Y323" i="15"/>
  <c r="AC323" i="15"/>
  <c r="AE323" i="15" s="1"/>
  <c r="M324" i="15"/>
  <c r="Q324" i="15"/>
  <c r="U324" i="15"/>
  <c r="AF324" i="15" s="1"/>
  <c r="AC324" i="15"/>
  <c r="AE324" i="15" s="1"/>
  <c r="M325" i="15"/>
  <c r="Q325" i="15"/>
  <c r="U325" i="15"/>
  <c r="AF325" i="15" s="1"/>
  <c r="AC325" i="15"/>
  <c r="AE325" i="15" s="1"/>
  <c r="M326" i="15"/>
  <c r="Q326" i="15"/>
  <c r="U326" i="15"/>
  <c r="AF326" i="15" s="1"/>
  <c r="Y326" i="15"/>
  <c r="AC326" i="15"/>
  <c r="AE326" i="15" s="1"/>
  <c r="M327" i="15"/>
  <c r="Q327" i="15"/>
  <c r="U327" i="15"/>
  <c r="AF327" i="15" s="1"/>
  <c r="Y327" i="15"/>
  <c r="AC327" i="15"/>
  <c r="AE327" i="15" s="1"/>
  <c r="M328" i="15"/>
  <c r="Q328" i="15"/>
  <c r="U328" i="15"/>
  <c r="AF328" i="15" s="1"/>
  <c r="AC328" i="15"/>
  <c r="AE328" i="15" s="1"/>
  <c r="M329" i="15"/>
  <c r="Q329" i="15"/>
  <c r="U329" i="15"/>
  <c r="AF329" i="15" s="1"/>
  <c r="AC329" i="15"/>
  <c r="AE329" i="15" s="1"/>
  <c r="M330" i="15"/>
  <c r="Q330" i="15"/>
  <c r="U330" i="15"/>
  <c r="AF330" i="15" s="1"/>
  <c r="Y330" i="15"/>
  <c r="AC330" i="15"/>
  <c r="AE330" i="15" s="1"/>
  <c r="M331" i="15"/>
  <c r="Q331" i="15"/>
  <c r="U331" i="15"/>
  <c r="AF331" i="15" s="1"/>
  <c r="Y331" i="15"/>
  <c r="AC331" i="15"/>
  <c r="AE331" i="15" s="1"/>
  <c r="M332" i="15"/>
  <c r="Q332" i="15"/>
  <c r="U332" i="15"/>
  <c r="AF332" i="15" s="1"/>
  <c r="AC332" i="15"/>
  <c r="AE332" i="15" s="1"/>
  <c r="M333" i="15"/>
  <c r="Q333" i="15"/>
  <c r="U333" i="15"/>
  <c r="AF333" i="15" s="1"/>
  <c r="AC333" i="15"/>
  <c r="AE333" i="15" s="1"/>
  <c r="M334" i="15"/>
  <c r="Q334" i="15"/>
  <c r="U334" i="15"/>
  <c r="AF334" i="15" s="1"/>
  <c r="Y334" i="15"/>
  <c r="AC334" i="15"/>
  <c r="AE334" i="15" s="1"/>
  <c r="M335" i="15"/>
  <c r="Q335" i="15"/>
  <c r="U335" i="15"/>
  <c r="AF335" i="15" s="1"/>
  <c r="Y335" i="15"/>
  <c r="AC335" i="15"/>
  <c r="AE335" i="15" s="1"/>
  <c r="M336" i="15"/>
  <c r="Q336" i="15"/>
  <c r="U336" i="15"/>
  <c r="AF336" i="15" s="1"/>
  <c r="AC336" i="15"/>
  <c r="AE336" i="15" s="1"/>
  <c r="M337" i="15"/>
  <c r="Q337" i="15"/>
  <c r="U337" i="15"/>
  <c r="AF337" i="15" s="1"/>
  <c r="AC337" i="15"/>
  <c r="AE337" i="15" s="1"/>
  <c r="M338" i="15"/>
  <c r="Q338" i="15"/>
  <c r="U338" i="15"/>
  <c r="AF338" i="15" s="1"/>
  <c r="Y338" i="15"/>
  <c r="AC338" i="15"/>
  <c r="AE338" i="15" s="1"/>
  <c r="M339" i="15"/>
  <c r="Q339" i="15"/>
  <c r="U339" i="15"/>
  <c r="AF339" i="15" s="1"/>
  <c r="Y339" i="15"/>
  <c r="AC339" i="15"/>
  <c r="AE339" i="15" s="1"/>
  <c r="M340" i="15"/>
  <c r="Q340" i="15"/>
  <c r="U340" i="15"/>
  <c r="AF340" i="15" s="1"/>
  <c r="AC340" i="15"/>
  <c r="AE340" i="15" s="1"/>
  <c r="M341" i="15"/>
  <c r="Q341" i="15"/>
  <c r="U341" i="15"/>
  <c r="AF341" i="15" s="1"/>
  <c r="AC341" i="15"/>
  <c r="AE341" i="15" s="1"/>
  <c r="M342" i="15"/>
  <c r="Q342" i="15"/>
  <c r="U342" i="15"/>
  <c r="AF342" i="15" s="1"/>
  <c r="Y342" i="15"/>
  <c r="AC342" i="15"/>
  <c r="AE342" i="15" s="1"/>
  <c r="M343" i="15"/>
  <c r="Q343" i="15"/>
  <c r="U343" i="15"/>
  <c r="AF343" i="15" s="1"/>
  <c r="Y343" i="15"/>
  <c r="AC343" i="15"/>
  <c r="AE343" i="15" s="1"/>
  <c r="M344" i="15"/>
  <c r="Q344" i="15"/>
  <c r="U344" i="15"/>
  <c r="AF344" i="15" s="1"/>
  <c r="AC344" i="15"/>
  <c r="AE344" i="15" s="1"/>
  <c r="M345" i="15"/>
  <c r="Q345" i="15"/>
  <c r="U345" i="15"/>
  <c r="AF345" i="15" s="1"/>
  <c r="AC345" i="15"/>
  <c r="AE345" i="15" s="1"/>
  <c r="M346" i="15"/>
  <c r="Q346" i="15"/>
  <c r="U346" i="15"/>
  <c r="AF346" i="15" s="1"/>
  <c r="Y346" i="15"/>
  <c r="AC346" i="15"/>
  <c r="AE346" i="15" s="1"/>
  <c r="M347" i="15"/>
  <c r="Q347" i="15"/>
  <c r="U347" i="15"/>
  <c r="AF347" i="15" s="1"/>
  <c r="Y347" i="15"/>
  <c r="AC347" i="15"/>
  <c r="AE347" i="15" s="1"/>
  <c r="M348" i="15"/>
  <c r="Q348" i="15"/>
  <c r="U348" i="15"/>
  <c r="AF348" i="15" s="1"/>
  <c r="AC348" i="15"/>
  <c r="AE348" i="15" s="1"/>
  <c r="M349" i="15"/>
  <c r="Q349" i="15"/>
  <c r="U349" i="15"/>
  <c r="AF349" i="15" s="1"/>
  <c r="AC349" i="15"/>
  <c r="AE349" i="15" s="1"/>
  <c r="M350" i="15"/>
  <c r="Q350" i="15"/>
  <c r="U350" i="15"/>
  <c r="AF350" i="15" s="1"/>
  <c r="Y350" i="15"/>
  <c r="AC350" i="15"/>
  <c r="AE350" i="15" s="1"/>
  <c r="M351" i="15"/>
  <c r="Q351" i="15"/>
  <c r="U351" i="15"/>
  <c r="AF351" i="15" s="1"/>
  <c r="Y351" i="15"/>
  <c r="AC351" i="15"/>
  <c r="AE351" i="15" s="1"/>
  <c r="M352" i="15"/>
  <c r="Q352" i="15"/>
  <c r="U352" i="15"/>
  <c r="AF352" i="15" s="1"/>
  <c r="AC352" i="15"/>
  <c r="AE352" i="15" s="1"/>
  <c r="M353" i="15"/>
  <c r="Q353" i="15"/>
  <c r="U353" i="15"/>
  <c r="AF353" i="15" s="1"/>
  <c r="AC353" i="15"/>
  <c r="AE353" i="15" s="1"/>
  <c r="M354" i="15"/>
  <c r="Q354" i="15"/>
  <c r="U354" i="15"/>
  <c r="AF354" i="15" s="1"/>
  <c r="Y354" i="15"/>
  <c r="AC354" i="15"/>
  <c r="AE354" i="15" s="1"/>
  <c r="M355" i="15"/>
  <c r="Q355" i="15"/>
  <c r="U355" i="15"/>
  <c r="AF355" i="15" s="1"/>
  <c r="Y355" i="15"/>
  <c r="AC355" i="15"/>
  <c r="AE355" i="15" s="1"/>
  <c r="M356" i="15"/>
  <c r="Q356" i="15"/>
  <c r="U356" i="15"/>
  <c r="AF356" i="15" s="1"/>
  <c r="AC356" i="15"/>
  <c r="AE356" i="15" s="1"/>
  <c r="M357" i="15"/>
  <c r="Q357" i="15"/>
  <c r="U357" i="15"/>
  <c r="AF357" i="15" s="1"/>
  <c r="AC357" i="15"/>
  <c r="AE357" i="15" s="1"/>
  <c r="M358" i="15"/>
  <c r="Q358" i="15"/>
  <c r="U358" i="15"/>
  <c r="AF358" i="15" s="1"/>
  <c r="Y358" i="15"/>
  <c r="AC358" i="15"/>
  <c r="AE358" i="15" s="1"/>
  <c r="M359" i="15"/>
  <c r="Q359" i="15"/>
  <c r="U359" i="15"/>
  <c r="AF359" i="15" s="1"/>
  <c r="Y359" i="15"/>
  <c r="AC359" i="15"/>
  <c r="AE359" i="15" s="1"/>
  <c r="M360" i="15"/>
  <c r="Q360" i="15"/>
  <c r="U360" i="15"/>
  <c r="AF360" i="15" s="1"/>
  <c r="AC360" i="15"/>
  <c r="AE360" i="15" s="1"/>
  <c r="M361" i="15"/>
  <c r="Q361" i="15"/>
  <c r="U361" i="15"/>
  <c r="AF361" i="15" s="1"/>
  <c r="AC361" i="15"/>
  <c r="AE361" i="15" s="1"/>
  <c r="M362" i="15"/>
  <c r="Q362" i="15"/>
  <c r="U362" i="15"/>
  <c r="AF362" i="15" s="1"/>
  <c r="Y362" i="15"/>
  <c r="AC362" i="15"/>
  <c r="AE362" i="15" s="1"/>
  <c r="M363" i="15"/>
  <c r="Q363" i="15"/>
  <c r="U363" i="15"/>
  <c r="AF363" i="15" s="1"/>
  <c r="Y363" i="15"/>
  <c r="AC363" i="15"/>
  <c r="AE363" i="15" s="1"/>
  <c r="M364" i="15"/>
  <c r="Q364" i="15"/>
  <c r="U364" i="15"/>
  <c r="AF364" i="15" s="1"/>
  <c r="AC364" i="15"/>
  <c r="AE364" i="15" s="1"/>
  <c r="M365" i="15"/>
  <c r="Q365" i="15"/>
  <c r="U365" i="15"/>
  <c r="AF365" i="15" s="1"/>
  <c r="AC365" i="15"/>
  <c r="AE365" i="15" s="1"/>
  <c r="M366" i="15"/>
  <c r="Q366" i="15"/>
  <c r="U366" i="15"/>
  <c r="AF366" i="15" s="1"/>
  <c r="Y366" i="15"/>
  <c r="AC366" i="15"/>
  <c r="AE366" i="15" s="1"/>
  <c r="M367" i="15"/>
  <c r="Q367" i="15"/>
  <c r="U367" i="15"/>
  <c r="AF367" i="15" s="1"/>
  <c r="Y367" i="15"/>
  <c r="AC367" i="15"/>
  <c r="AE367" i="15" s="1"/>
  <c r="M368" i="15"/>
  <c r="Q368" i="15"/>
  <c r="U368" i="15"/>
  <c r="AF368" i="15" s="1"/>
  <c r="AC368" i="15"/>
  <c r="AE368" i="15" s="1"/>
  <c r="M369" i="15"/>
  <c r="Q369" i="15"/>
  <c r="U369" i="15"/>
  <c r="AF369" i="15" s="1"/>
  <c r="AC369" i="15"/>
  <c r="AE369" i="15" s="1"/>
  <c r="AK369" i="15"/>
  <c r="O370" i="15"/>
  <c r="T370" i="15"/>
  <c r="Y370" i="15"/>
  <c r="AJ370" i="15"/>
  <c r="M371" i="15"/>
  <c r="S371" i="15"/>
  <c r="X371" i="15"/>
  <c r="Y371" i="15" s="1"/>
  <c r="AC371" i="15"/>
  <c r="AE371" i="15" s="1"/>
  <c r="AI371" i="15"/>
  <c r="AL372" i="15"/>
  <c r="AH372" i="15"/>
  <c r="Z372" i="15"/>
  <c r="AA372" i="15" s="1"/>
  <c r="AG372" i="15" s="1"/>
  <c r="V372" i="15"/>
  <c r="AB372" i="15" s="1"/>
  <c r="R372" i="15"/>
  <c r="N372" i="15"/>
  <c r="Q372" i="15"/>
  <c r="W372" i="15"/>
  <c r="AD372" i="15" s="1"/>
  <c r="K373" i="15"/>
  <c r="P373" i="15"/>
  <c r="U373" i="15"/>
  <c r="AF373" i="15" s="1"/>
  <c r="O374" i="15"/>
  <c r="T374" i="15"/>
  <c r="Y374" i="15"/>
  <c r="AJ374" i="15"/>
  <c r="M375" i="15"/>
  <c r="S375" i="15"/>
  <c r="X375" i="15"/>
  <c r="Y375" i="15" s="1"/>
  <c r="AC375" i="15"/>
  <c r="AE375" i="15" s="1"/>
  <c r="AI375" i="15"/>
  <c r="AL376" i="15"/>
  <c r="AH376" i="15"/>
  <c r="Z376" i="15"/>
  <c r="AA376" i="15" s="1"/>
  <c r="AG376" i="15" s="1"/>
  <c r="V376" i="15"/>
  <c r="AB376" i="15" s="1"/>
  <c r="R376" i="15"/>
  <c r="N376" i="15"/>
  <c r="Q376" i="15"/>
  <c r="W376" i="15"/>
  <c r="AD376" i="15" s="1"/>
  <c r="K377" i="15"/>
  <c r="P377" i="15"/>
  <c r="U377" i="15"/>
  <c r="AF377" i="15" s="1"/>
  <c r="O378" i="15"/>
  <c r="T378" i="15"/>
  <c r="Y378" i="15"/>
  <c r="AJ378" i="15"/>
  <c r="M379" i="15"/>
  <c r="S379" i="15"/>
  <c r="X379" i="15"/>
  <c r="Y379" i="15" s="1"/>
  <c r="AC379" i="15"/>
  <c r="AE379" i="15" s="1"/>
  <c r="AI379" i="15"/>
  <c r="AL380" i="15"/>
  <c r="AH380" i="15"/>
  <c r="Z380" i="15"/>
  <c r="AA380" i="15" s="1"/>
  <c r="AG380" i="15" s="1"/>
  <c r="V380" i="15"/>
  <c r="AB380" i="15" s="1"/>
  <c r="R380" i="15"/>
  <c r="N380" i="15"/>
  <c r="Q380" i="15"/>
  <c r="W380" i="15"/>
  <c r="AD380" i="15" s="1"/>
  <c r="K381" i="15"/>
  <c r="P381" i="15"/>
  <c r="U381" i="15"/>
  <c r="AF381" i="15" s="1"/>
  <c r="O382" i="15"/>
  <c r="T382" i="15"/>
  <c r="Y382" i="15"/>
  <c r="AJ382" i="15"/>
  <c r="M383" i="15"/>
  <c r="S383" i="15"/>
  <c r="X383" i="15"/>
  <c r="Y383" i="15" s="1"/>
  <c r="AC383" i="15"/>
  <c r="AE383" i="15" s="1"/>
  <c r="AI383" i="15"/>
  <c r="AK384" i="15"/>
  <c r="AH384" i="15"/>
  <c r="Z384" i="15"/>
  <c r="AA384" i="15" s="1"/>
  <c r="AG384" i="15" s="1"/>
  <c r="V384" i="15"/>
  <c r="AB384" i="15" s="1"/>
  <c r="R384" i="15"/>
  <c r="N384" i="15"/>
  <c r="Q384" i="15"/>
  <c r="W384" i="15"/>
  <c r="AD384" i="15" s="1"/>
  <c r="AK385" i="15"/>
  <c r="AC385" i="15"/>
  <c r="AE385" i="15" s="1"/>
  <c r="Y385" i="15"/>
  <c r="U385" i="15"/>
  <c r="AF385" i="15" s="1"/>
  <c r="Q385" i="15"/>
  <c r="M385" i="15"/>
  <c r="AL385" i="15"/>
  <c r="AA385" i="15"/>
  <c r="AG385" i="15" s="1"/>
  <c r="V385" i="15"/>
  <c r="AB385" i="15" s="1"/>
  <c r="P385" i="15"/>
  <c r="K385" i="15"/>
  <c r="S385" i="15"/>
  <c r="Z385" i="15"/>
  <c r="AH385" i="15"/>
  <c r="AK386" i="15"/>
  <c r="AC386" i="15"/>
  <c r="AE386" i="15" s="1"/>
  <c r="Y386" i="15"/>
  <c r="U386" i="15"/>
  <c r="AF386" i="15" s="1"/>
  <c r="Q386" i="15"/>
  <c r="M386" i="15"/>
  <c r="AJ386" i="15"/>
  <c r="Z386" i="15"/>
  <c r="T386" i="15"/>
  <c r="O386" i="15"/>
  <c r="S386" i="15"/>
  <c r="AA386" i="15"/>
  <c r="AG386" i="15" s="1"/>
  <c r="AH386" i="15"/>
  <c r="AK387" i="15"/>
  <c r="AC387" i="15"/>
  <c r="AE387" i="15" s="1"/>
  <c r="U387" i="15"/>
  <c r="AF387" i="15" s="1"/>
  <c r="Q387" i="15"/>
  <c r="M387" i="15"/>
  <c r="AI387" i="15"/>
  <c r="X387" i="15"/>
  <c r="Y387" i="15" s="1"/>
  <c r="S387" i="15"/>
  <c r="N387" i="15"/>
  <c r="T387" i="15"/>
  <c r="AA387" i="15"/>
  <c r="AG387" i="15" s="1"/>
  <c r="AH387" i="15"/>
  <c r="AK389" i="15"/>
  <c r="AC389" i="15"/>
  <c r="AE389" i="15" s="1"/>
  <c r="Y389" i="15"/>
  <c r="U389" i="15"/>
  <c r="AF389" i="15" s="1"/>
  <c r="Q389" i="15"/>
  <c r="M389" i="15"/>
  <c r="AL389" i="15"/>
  <c r="AA389" i="15"/>
  <c r="AG389" i="15" s="1"/>
  <c r="V389" i="15"/>
  <c r="AB389" i="15" s="1"/>
  <c r="P389" i="15"/>
  <c r="K389" i="15"/>
  <c r="S389" i="15"/>
  <c r="Z389" i="15"/>
  <c r="AH389" i="15"/>
  <c r="AK390" i="15"/>
  <c r="AC390" i="15"/>
  <c r="AE390" i="15" s="1"/>
  <c r="Y390" i="15"/>
  <c r="U390" i="15"/>
  <c r="AF390" i="15" s="1"/>
  <c r="Q390" i="15"/>
  <c r="M390" i="15"/>
  <c r="AJ390" i="15"/>
  <c r="Z390" i="15"/>
  <c r="T390" i="15"/>
  <c r="O390" i="15"/>
  <c r="S390" i="15"/>
  <c r="AA390" i="15"/>
  <c r="AG390" i="15" s="1"/>
  <c r="AH390" i="15"/>
  <c r="AK391" i="15"/>
  <c r="AC391" i="15"/>
  <c r="AE391" i="15" s="1"/>
  <c r="U391" i="15"/>
  <c r="AF391" i="15" s="1"/>
  <c r="Q391" i="15"/>
  <c r="M391" i="15"/>
  <c r="AI391" i="15"/>
  <c r="X391" i="15"/>
  <c r="Y391" i="15" s="1"/>
  <c r="S391" i="15"/>
  <c r="N391" i="15"/>
  <c r="T391" i="15"/>
  <c r="AA391" i="15"/>
  <c r="AG391" i="15" s="1"/>
  <c r="AH391" i="15"/>
  <c r="AK393" i="15"/>
  <c r="AC393" i="15"/>
  <c r="AE393" i="15" s="1"/>
  <c r="Y393" i="15"/>
  <c r="U393" i="15"/>
  <c r="AF393" i="15" s="1"/>
  <c r="Q393" i="15"/>
  <c r="M393" i="15"/>
  <c r="AL393" i="15"/>
  <c r="AA393" i="15"/>
  <c r="AG393" i="15" s="1"/>
  <c r="V393" i="15"/>
  <c r="AB393" i="15" s="1"/>
  <c r="P393" i="15"/>
  <c r="K393" i="15"/>
  <c r="S393" i="15"/>
  <c r="Z393" i="15"/>
  <c r="AH393" i="15"/>
  <c r="AK394" i="15"/>
  <c r="AC394" i="15"/>
  <c r="AE394" i="15" s="1"/>
  <c r="Y394" i="15"/>
  <c r="U394" i="15"/>
  <c r="AF394" i="15" s="1"/>
  <c r="Q394" i="15"/>
  <c r="M394" i="15"/>
  <c r="AJ394" i="15"/>
  <c r="Z394" i="15"/>
  <c r="T394" i="15"/>
  <c r="O394" i="15"/>
  <c r="S394" i="15"/>
  <c r="AA394" i="15"/>
  <c r="AG394" i="15" s="1"/>
  <c r="AH394" i="15"/>
  <c r="AK395" i="15"/>
  <c r="AC395" i="15"/>
  <c r="AE395" i="15" s="1"/>
  <c r="U395" i="15"/>
  <c r="AF395" i="15" s="1"/>
  <c r="Q395" i="15"/>
  <c r="M395" i="15"/>
  <c r="AI395" i="15"/>
  <c r="X395" i="15"/>
  <c r="Y395" i="15" s="1"/>
  <c r="S395" i="15"/>
  <c r="N395" i="15"/>
  <c r="T395" i="15"/>
  <c r="AA395" i="15"/>
  <c r="AG395" i="15" s="1"/>
  <c r="AH395" i="15"/>
  <c r="AK397" i="15"/>
  <c r="AC397" i="15"/>
  <c r="AE397" i="15" s="1"/>
  <c r="Y397" i="15"/>
  <c r="U397" i="15"/>
  <c r="AF397" i="15" s="1"/>
  <c r="Q397" i="15"/>
  <c r="M397" i="15"/>
  <c r="AL397" i="15"/>
  <c r="AA397" i="15"/>
  <c r="AG397" i="15" s="1"/>
  <c r="V397" i="15"/>
  <c r="AB397" i="15" s="1"/>
  <c r="P397" i="15"/>
  <c r="K397" i="15"/>
  <c r="S397" i="15"/>
  <c r="Z397" i="15"/>
  <c r="AH397" i="15"/>
  <c r="AK398" i="15"/>
  <c r="AC398" i="15"/>
  <c r="AE398" i="15" s="1"/>
  <c r="Y398" i="15"/>
  <c r="U398" i="15"/>
  <c r="AF398" i="15" s="1"/>
  <c r="Q398" i="15"/>
  <c r="M398" i="15"/>
  <c r="AJ398" i="15"/>
  <c r="Z398" i="15"/>
  <c r="T398" i="15"/>
  <c r="O398" i="15"/>
  <c r="S398" i="15"/>
  <c r="AA398" i="15"/>
  <c r="AG398" i="15" s="1"/>
  <c r="AH398" i="15"/>
  <c r="AK399" i="15"/>
  <c r="AC399" i="15"/>
  <c r="AE399" i="15" s="1"/>
  <c r="U399" i="15"/>
  <c r="AF399" i="15" s="1"/>
  <c r="Q399" i="15"/>
  <c r="M399" i="15"/>
  <c r="AI399" i="15"/>
  <c r="X399" i="15"/>
  <c r="Y399" i="15" s="1"/>
  <c r="S399" i="15"/>
  <c r="N399" i="15"/>
  <c r="T399" i="15"/>
  <c r="AA399" i="15"/>
  <c r="AG399" i="15" s="1"/>
  <c r="AH399" i="15"/>
  <c r="AK401" i="15"/>
  <c r="AC401" i="15"/>
  <c r="AE401" i="15" s="1"/>
  <c r="Y401" i="15"/>
  <c r="U401" i="15"/>
  <c r="AF401" i="15" s="1"/>
  <c r="Q401" i="15"/>
  <c r="M401" i="15"/>
  <c r="AL401" i="15"/>
  <c r="AA401" i="15"/>
  <c r="AG401" i="15" s="1"/>
  <c r="V401" i="15"/>
  <c r="AB401" i="15" s="1"/>
  <c r="P401" i="15"/>
  <c r="K401" i="15"/>
  <c r="S401" i="15"/>
  <c r="Z401" i="15"/>
  <c r="AH401" i="15"/>
  <c r="AK402" i="15"/>
  <c r="AC402" i="15"/>
  <c r="AE402" i="15" s="1"/>
  <c r="Y402" i="15"/>
  <c r="U402" i="15"/>
  <c r="AF402" i="15" s="1"/>
  <c r="Q402" i="15"/>
  <c r="M402" i="15"/>
  <c r="AJ402" i="15"/>
  <c r="Z402" i="15"/>
  <c r="T402" i="15"/>
  <c r="O402" i="15"/>
  <c r="S402" i="15"/>
  <c r="AA402" i="15"/>
  <c r="AG402" i="15" s="1"/>
  <c r="AH402" i="15"/>
  <c r="AK403" i="15"/>
  <c r="AC403" i="15"/>
  <c r="AE403" i="15" s="1"/>
  <c r="U403" i="15"/>
  <c r="AF403" i="15" s="1"/>
  <c r="Q403" i="15"/>
  <c r="M403" i="15"/>
  <c r="AI403" i="15"/>
  <c r="X403" i="15"/>
  <c r="Y403" i="15" s="1"/>
  <c r="S403" i="15"/>
  <c r="N403" i="15"/>
  <c r="T403" i="15"/>
  <c r="AA403" i="15"/>
  <c r="AG403" i="15" s="1"/>
  <c r="AH403" i="15"/>
  <c r="AK405" i="15"/>
  <c r="AC405" i="15"/>
  <c r="AE405" i="15" s="1"/>
  <c r="Y405" i="15"/>
  <c r="U405" i="15"/>
  <c r="AF405" i="15" s="1"/>
  <c r="Q405" i="15"/>
  <c r="M405" i="15"/>
  <c r="AL405" i="15"/>
  <c r="AA405" i="15"/>
  <c r="AG405" i="15" s="1"/>
  <c r="V405" i="15"/>
  <c r="AB405" i="15" s="1"/>
  <c r="P405" i="15"/>
  <c r="K405" i="15"/>
  <c r="S405" i="15"/>
  <c r="Z405" i="15"/>
  <c r="AH405" i="15"/>
  <c r="AK406" i="15"/>
  <c r="AC406" i="15"/>
  <c r="AE406" i="15" s="1"/>
  <c r="Y406" i="15"/>
  <c r="U406" i="15"/>
  <c r="AF406" i="15" s="1"/>
  <c r="Q406" i="15"/>
  <c r="M406" i="15"/>
  <c r="AJ406" i="15"/>
  <c r="Z406" i="15"/>
  <c r="T406" i="15"/>
  <c r="O406" i="15"/>
  <c r="S406" i="15"/>
  <c r="AA406" i="15"/>
  <c r="AG406" i="15" s="1"/>
  <c r="AH406" i="15"/>
  <c r="AK407" i="15"/>
  <c r="AC407" i="15"/>
  <c r="AE407" i="15" s="1"/>
  <c r="U407" i="15"/>
  <c r="AF407" i="15" s="1"/>
  <c r="Q407" i="15"/>
  <c r="M407" i="15"/>
  <c r="AI407" i="15"/>
  <c r="X407" i="15"/>
  <c r="Y407" i="15" s="1"/>
  <c r="S407" i="15"/>
  <c r="N407" i="15"/>
  <c r="T407" i="15"/>
  <c r="AA407" i="15"/>
  <c r="AG407" i="15" s="1"/>
  <c r="AH407" i="15"/>
  <c r="AK409" i="15"/>
  <c r="AC409" i="15"/>
  <c r="AE409" i="15" s="1"/>
  <c r="Y409" i="15"/>
  <c r="U409" i="15"/>
  <c r="AF409" i="15" s="1"/>
  <c r="Q409" i="15"/>
  <c r="M409" i="15"/>
  <c r="AL409" i="15"/>
  <c r="AA409" i="15"/>
  <c r="AG409" i="15" s="1"/>
  <c r="V409" i="15"/>
  <c r="AB409" i="15" s="1"/>
  <c r="P409" i="15"/>
  <c r="K409" i="15"/>
  <c r="S409" i="15"/>
  <c r="Z409" i="15"/>
  <c r="AH409" i="15"/>
  <c r="AK410" i="15"/>
  <c r="AC410" i="15"/>
  <c r="AE410" i="15" s="1"/>
  <c r="U410" i="15"/>
  <c r="AF410" i="15" s="1"/>
  <c r="Q410" i="15"/>
  <c r="M410" i="15"/>
  <c r="AL410" i="15"/>
  <c r="V410" i="15"/>
  <c r="AB410" i="15" s="1"/>
  <c r="AJ410" i="15"/>
  <c r="Z410" i="15"/>
  <c r="AA410" i="15" s="1"/>
  <c r="AG410" i="15" s="1"/>
  <c r="T410" i="15"/>
  <c r="O410" i="15"/>
  <c r="S410" i="15"/>
  <c r="AK411" i="15"/>
  <c r="AC411" i="15"/>
  <c r="AE411" i="15" s="1"/>
  <c r="U411" i="15"/>
  <c r="AF411" i="15" s="1"/>
  <c r="Q411" i="15"/>
  <c r="M411" i="15"/>
  <c r="AJ411" i="15"/>
  <c r="Z411" i="15"/>
  <c r="AA411" i="15" s="1"/>
  <c r="AG411" i="15" s="1"/>
  <c r="T411" i="15"/>
  <c r="O411" i="15"/>
  <c r="AI411" i="15"/>
  <c r="X411" i="15"/>
  <c r="Y411" i="15" s="1"/>
  <c r="S411" i="15"/>
  <c r="N411" i="15"/>
  <c r="W411" i="15"/>
  <c r="AD411" i="15" s="1"/>
  <c r="AH411" i="15"/>
  <c r="AK415" i="15"/>
  <c r="AC415" i="15"/>
  <c r="AE415" i="15" s="1"/>
  <c r="U415" i="15"/>
  <c r="AF415" i="15" s="1"/>
  <c r="Q415" i="15"/>
  <c r="M415" i="15"/>
  <c r="AJ415" i="15"/>
  <c r="Z415" i="15"/>
  <c r="AA415" i="15" s="1"/>
  <c r="AG415" i="15" s="1"/>
  <c r="T415" i="15"/>
  <c r="O415" i="15"/>
  <c r="AI415" i="15"/>
  <c r="X415" i="15"/>
  <c r="Y415" i="15" s="1"/>
  <c r="S415" i="15"/>
  <c r="N415" i="15"/>
  <c r="W415" i="15"/>
  <c r="AD415" i="15" s="1"/>
  <c r="AH415" i="15"/>
  <c r="AK419" i="15"/>
  <c r="AC419" i="15"/>
  <c r="AE419" i="15" s="1"/>
  <c r="U419" i="15"/>
  <c r="AF419" i="15" s="1"/>
  <c r="Q419" i="15"/>
  <c r="M419" i="15"/>
  <c r="AJ419" i="15"/>
  <c r="Z419" i="15"/>
  <c r="AA419" i="15" s="1"/>
  <c r="AG419" i="15" s="1"/>
  <c r="T419" i="15"/>
  <c r="O419" i="15"/>
  <c r="AI419" i="15"/>
  <c r="X419" i="15"/>
  <c r="Y419" i="15" s="1"/>
  <c r="S419" i="15"/>
  <c r="N419" i="15"/>
  <c r="W419" i="15"/>
  <c r="AD419" i="15" s="1"/>
  <c r="AH419" i="15"/>
  <c r="AK423" i="15"/>
  <c r="AC423" i="15"/>
  <c r="AE423" i="15" s="1"/>
  <c r="U423" i="15"/>
  <c r="AF423" i="15" s="1"/>
  <c r="Q423" i="15"/>
  <c r="M423" i="15"/>
  <c r="AJ423" i="15"/>
  <c r="Z423" i="15"/>
  <c r="AA423" i="15" s="1"/>
  <c r="AG423" i="15" s="1"/>
  <c r="T423" i="15"/>
  <c r="O423" i="15"/>
  <c r="AI423" i="15"/>
  <c r="X423" i="15"/>
  <c r="Y423" i="15" s="1"/>
  <c r="S423" i="15"/>
  <c r="N423" i="15"/>
  <c r="W423" i="15"/>
  <c r="AD423" i="15" s="1"/>
  <c r="AH423" i="15"/>
  <c r="AK427" i="15"/>
  <c r="AC427" i="15"/>
  <c r="AE427" i="15" s="1"/>
  <c r="U427" i="15"/>
  <c r="AF427" i="15" s="1"/>
  <c r="Q427" i="15"/>
  <c r="M427" i="15"/>
  <c r="AL427" i="15"/>
  <c r="V427" i="15"/>
  <c r="AB427" i="15" s="1"/>
  <c r="P427" i="15"/>
  <c r="K427" i="15"/>
  <c r="AJ427" i="15"/>
  <c r="Z427" i="15"/>
  <c r="AA427" i="15" s="1"/>
  <c r="AG427" i="15" s="1"/>
  <c r="T427" i="15"/>
  <c r="O427" i="15"/>
  <c r="AI427" i="15"/>
  <c r="X427" i="15"/>
  <c r="Y427" i="15" s="1"/>
  <c r="S427" i="15"/>
  <c r="N427" i="15"/>
  <c r="AH427" i="15"/>
  <c r="AK431" i="15"/>
  <c r="AC431" i="15"/>
  <c r="AE431" i="15" s="1"/>
  <c r="U431" i="15"/>
  <c r="AF431" i="15" s="1"/>
  <c r="Q431" i="15"/>
  <c r="M431" i="15"/>
  <c r="AL431" i="15"/>
  <c r="V431" i="15"/>
  <c r="AB431" i="15" s="1"/>
  <c r="P431" i="15"/>
  <c r="K431" i="15"/>
  <c r="AJ431" i="15"/>
  <c r="Z431" i="15"/>
  <c r="AA431" i="15" s="1"/>
  <c r="AG431" i="15" s="1"/>
  <c r="T431" i="15"/>
  <c r="O431" i="15"/>
  <c r="AI431" i="15"/>
  <c r="X431" i="15"/>
  <c r="Y431" i="15" s="1"/>
  <c r="S431" i="15"/>
  <c r="N431" i="15"/>
  <c r="AH431" i="15"/>
  <c r="AK435" i="15"/>
  <c r="AC435" i="15"/>
  <c r="AE435" i="15" s="1"/>
  <c r="U435" i="15"/>
  <c r="AF435" i="15" s="1"/>
  <c r="Q435" i="15"/>
  <c r="M435" i="15"/>
  <c r="AL435" i="15"/>
  <c r="AA435" i="15"/>
  <c r="AG435" i="15" s="1"/>
  <c r="V435" i="15"/>
  <c r="AB435" i="15" s="1"/>
  <c r="P435" i="15"/>
  <c r="K435" i="15"/>
  <c r="AJ435" i="15"/>
  <c r="Z435" i="15"/>
  <c r="T435" i="15"/>
  <c r="O435" i="15"/>
  <c r="AI435" i="15"/>
  <c r="X435" i="15"/>
  <c r="Y435" i="15" s="1"/>
  <c r="S435" i="15"/>
  <c r="N435" i="15"/>
  <c r="AH435" i="15"/>
  <c r="AK439" i="15"/>
  <c r="AC439" i="15"/>
  <c r="AE439" i="15" s="1"/>
  <c r="U439" i="15"/>
  <c r="AF439" i="15" s="1"/>
  <c r="Q439" i="15"/>
  <c r="M439" i="15"/>
  <c r="AL439" i="15"/>
  <c r="AA439" i="15"/>
  <c r="AG439" i="15" s="1"/>
  <c r="V439" i="15"/>
  <c r="AB439" i="15" s="1"/>
  <c r="P439" i="15"/>
  <c r="K439" i="15"/>
  <c r="AJ439" i="15"/>
  <c r="Z439" i="15"/>
  <c r="T439" i="15"/>
  <c r="O439" i="15"/>
  <c r="AI439" i="15"/>
  <c r="X439" i="15"/>
  <c r="Y439" i="15" s="1"/>
  <c r="S439" i="15"/>
  <c r="N439" i="15"/>
  <c r="AH439" i="15"/>
  <c r="AL373" i="15"/>
  <c r="AH373" i="15"/>
  <c r="Z373" i="15"/>
  <c r="AA373" i="15" s="1"/>
  <c r="AG373" i="15" s="1"/>
  <c r="V373" i="15"/>
  <c r="AB373" i="15" s="1"/>
  <c r="R373" i="15"/>
  <c r="N373" i="15"/>
  <c r="Q373" i="15"/>
  <c r="W373" i="15"/>
  <c r="AD373" i="15" s="1"/>
  <c r="AL377" i="15"/>
  <c r="AH377" i="15"/>
  <c r="Z377" i="15"/>
  <c r="AA377" i="15" s="1"/>
  <c r="AG377" i="15" s="1"/>
  <c r="V377" i="15"/>
  <c r="AB377" i="15" s="1"/>
  <c r="R377" i="15"/>
  <c r="N377" i="15"/>
  <c r="Q377" i="15"/>
  <c r="W377" i="15"/>
  <c r="AD377" i="15" s="1"/>
  <c r="AL381" i="15"/>
  <c r="AH381" i="15"/>
  <c r="Z381" i="15"/>
  <c r="AA381" i="15" s="1"/>
  <c r="AG381" i="15" s="1"/>
  <c r="V381" i="15"/>
  <c r="AB381" i="15" s="1"/>
  <c r="R381" i="15"/>
  <c r="N381" i="15"/>
  <c r="Q381" i="15"/>
  <c r="W381" i="15"/>
  <c r="AD381" i="15" s="1"/>
  <c r="AK414" i="15"/>
  <c r="AC414" i="15"/>
  <c r="AE414" i="15" s="1"/>
  <c r="Y414" i="15"/>
  <c r="U414" i="15"/>
  <c r="AF414" i="15" s="1"/>
  <c r="Q414" i="15"/>
  <c r="M414" i="15"/>
  <c r="AL414" i="15"/>
  <c r="AA414" i="15"/>
  <c r="AG414" i="15" s="1"/>
  <c r="V414" i="15"/>
  <c r="AB414" i="15" s="1"/>
  <c r="P414" i="15"/>
  <c r="K414" i="15"/>
  <c r="AJ414" i="15"/>
  <c r="Z414" i="15"/>
  <c r="T414" i="15"/>
  <c r="O414" i="15"/>
  <c r="W414" i="15"/>
  <c r="AD414" i="15" s="1"/>
  <c r="AH414" i="15"/>
  <c r="AK418" i="15"/>
  <c r="AC418" i="15"/>
  <c r="AE418" i="15" s="1"/>
  <c r="Y418" i="15"/>
  <c r="U418" i="15"/>
  <c r="AF418" i="15" s="1"/>
  <c r="Q418" i="15"/>
  <c r="M418" i="15"/>
  <c r="AL418" i="15"/>
  <c r="V418" i="15"/>
  <c r="AB418" i="15" s="1"/>
  <c r="P418" i="15"/>
  <c r="K418" i="15"/>
  <c r="AJ418" i="15"/>
  <c r="Z418" i="15"/>
  <c r="AA418" i="15" s="1"/>
  <c r="AG418" i="15" s="1"/>
  <c r="T418" i="15"/>
  <c r="O418" i="15"/>
  <c r="W418" i="15"/>
  <c r="AD418" i="15" s="1"/>
  <c r="AH418" i="15"/>
  <c r="AK422" i="15"/>
  <c r="AC422" i="15"/>
  <c r="AE422" i="15" s="1"/>
  <c r="U422" i="15"/>
  <c r="AF422" i="15" s="1"/>
  <c r="Q422" i="15"/>
  <c r="M422" i="15"/>
  <c r="AL422" i="15"/>
  <c r="V422" i="15"/>
  <c r="AB422" i="15" s="1"/>
  <c r="P422" i="15"/>
  <c r="K422" i="15"/>
  <c r="AJ422" i="15"/>
  <c r="Z422" i="15"/>
  <c r="AA422" i="15" s="1"/>
  <c r="AG422" i="15" s="1"/>
  <c r="T422" i="15"/>
  <c r="O422" i="15"/>
  <c r="W422" i="15"/>
  <c r="AD422" i="15" s="1"/>
  <c r="AH422" i="15"/>
  <c r="AK426" i="15"/>
  <c r="AC426" i="15"/>
  <c r="AE426" i="15" s="1"/>
  <c r="U426" i="15"/>
  <c r="AF426" i="15" s="1"/>
  <c r="Q426" i="15"/>
  <c r="M426" i="15"/>
  <c r="AH426" i="15"/>
  <c r="W426" i="15"/>
  <c r="AD426" i="15" s="1"/>
  <c r="AL426" i="15"/>
  <c r="V426" i="15"/>
  <c r="AB426" i="15" s="1"/>
  <c r="P426" i="15"/>
  <c r="K426" i="15"/>
  <c r="AJ426" i="15"/>
  <c r="Z426" i="15"/>
  <c r="AA426" i="15" s="1"/>
  <c r="AG426" i="15" s="1"/>
  <c r="T426" i="15"/>
  <c r="O426" i="15"/>
  <c r="X426" i="15"/>
  <c r="Y426" i="15" s="1"/>
  <c r="AK388" i="15"/>
  <c r="AC388" i="15"/>
  <c r="AE388" i="15" s="1"/>
  <c r="Y388" i="15"/>
  <c r="U388" i="15"/>
  <c r="AF388" i="15" s="1"/>
  <c r="Q388" i="15"/>
  <c r="M388" i="15"/>
  <c r="R388" i="15"/>
  <c r="W388" i="15"/>
  <c r="AD388" i="15" s="1"/>
  <c r="AB388" i="15"/>
  <c r="AH388" i="15"/>
  <c r="AK392" i="15"/>
  <c r="AC392" i="15"/>
  <c r="AE392" i="15" s="1"/>
  <c r="Y392" i="15"/>
  <c r="U392" i="15"/>
  <c r="AF392" i="15" s="1"/>
  <c r="Q392" i="15"/>
  <c r="M392" i="15"/>
  <c r="R392" i="15"/>
  <c r="W392" i="15"/>
  <c r="AD392" i="15" s="1"/>
  <c r="AB392" i="15"/>
  <c r="AH392" i="15"/>
  <c r="AK396" i="15"/>
  <c r="AC396" i="15"/>
  <c r="AE396" i="15" s="1"/>
  <c r="Y396" i="15"/>
  <c r="U396" i="15"/>
  <c r="AF396" i="15" s="1"/>
  <c r="Q396" i="15"/>
  <c r="M396" i="15"/>
  <c r="R396" i="15"/>
  <c r="W396" i="15"/>
  <c r="AD396" i="15" s="1"/>
  <c r="AB396" i="15"/>
  <c r="AH396" i="15"/>
  <c r="AK400" i="15"/>
  <c r="AC400" i="15"/>
  <c r="AE400" i="15" s="1"/>
  <c r="Y400" i="15"/>
  <c r="U400" i="15"/>
  <c r="AF400" i="15" s="1"/>
  <c r="Q400" i="15"/>
  <c r="M400" i="15"/>
  <c r="R400" i="15"/>
  <c r="W400" i="15"/>
  <c r="AD400" i="15" s="1"/>
  <c r="AB400" i="15"/>
  <c r="AH400" i="15"/>
  <c r="AK404" i="15"/>
  <c r="AC404" i="15"/>
  <c r="AE404" i="15" s="1"/>
  <c r="Y404" i="15"/>
  <c r="U404" i="15"/>
  <c r="AF404" i="15" s="1"/>
  <c r="Q404" i="15"/>
  <c r="M404" i="15"/>
  <c r="R404" i="15"/>
  <c r="W404" i="15"/>
  <c r="AD404" i="15" s="1"/>
  <c r="AB404" i="15"/>
  <c r="AH404" i="15"/>
  <c r="AK408" i="15"/>
  <c r="AC408" i="15"/>
  <c r="AE408" i="15" s="1"/>
  <c r="Y408" i="15"/>
  <c r="U408" i="15"/>
  <c r="AF408" i="15" s="1"/>
  <c r="Q408" i="15"/>
  <c r="M408" i="15"/>
  <c r="R408" i="15"/>
  <c r="W408" i="15"/>
  <c r="AD408" i="15" s="1"/>
  <c r="AB408" i="15"/>
  <c r="AH408" i="15"/>
  <c r="AK412" i="15"/>
  <c r="AC412" i="15"/>
  <c r="AE412" i="15" s="1"/>
  <c r="Y412" i="15"/>
  <c r="U412" i="15"/>
  <c r="AF412" i="15" s="1"/>
  <c r="Q412" i="15"/>
  <c r="M412" i="15"/>
  <c r="R412" i="15"/>
  <c r="W412" i="15"/>
  <c r="AD412" i="15" s="1"/>
  <c r="AB412" i="15"/>
  <c r="AH412" i="15"/>
  <c r="K413" i="15"/>
  <c r="P413" i="15"/>
  <c r="V413" i="15"/>
  <c r="AB413" i="15" s="1"/>
  <c r="AA413" i="15"/>
  <c r="AG413" i="15" s="1"/>
  <c r="AK416" i="15"/>
  <c r="AC416" i="15"/>
  <c r="AE416" i="15" s="1"/>
  <c r="Y416" i="15"/>
  <c r="U416" i="15"/>
  <c r="AF416" i="15" s="1"/>
  <c r="Q416" i="15"/>
  <c r="M416" i="15"/>
  <c r="R416" i="15"/>
  <c r="W416" i="15"/>
  <c r="AD416" i="15" s="1"/>
  <c r="AB416" i="15"/>
  <c r="AH416" i="15"/>
  <c r="K417" i="15"/>
  <c r="P417" i="15"/>
  <c r="V417" i="15"/>
  <c r="AA417" i="15"/>
  <c r="AG417" i="15" s="1"/>
  <c r="AK420" i="15"/>
  <c r="AC420" i="15"/>
  <c r="AE420" i="15" s="1"/>
  <c r="Y420" i="15"/>
  <c r="U420" i="15"/>
  <c r="AF420" i="15" s="1"/>
  <c r="Q420" i="15"/>
  <c r="M420" i="15"/>
  <c r="R420" i="15"/>
  <c r="W420" i="15"/>
  <c r="AD420" i="15" s="1"/>
  <c r="AB420" i="15"/>
  <c r="AH420" i="15"/>
  <c r="K421" i="15"/>
  <c r="P421" i="15"/>
  <c r="V421" i="15"/>
  <c r="AB421" i="15" s="1"/>
  <c r="AA421" i="15"/>
  <c r="AG421" i="15" s="1"/>
  <c r="AK424" i="15"/>
  <c r="AC424" i="15"/>
  <c r="AE424" i="15" s="1"/>
  <c r="Y424" i="15"/>
  <c r="U424" i="15"/>
  <c r="AF424" i="15" s="1"/>
  <c r="Q424" i="15"/>
  <c r="M424" i="15"/>
  <c r="R424" i="15"/>
  <c r="W424" i="15"/>
  <c r="AD424" i="15" s="1"/>
  <c r="AB424" i="15"/>
  <c r="AH424" i="15"/>
  <c r="K425" i="15"/>
  <c r="P425" i="15"/>
  <c r="V425" i="15"/>
  <c r="AA425" i="15"/>
  <c r="AG425" i="15" s="1"/>
  <c r="AK428" i="15"/>
  <c r="AC428" i="15"/>
  <c r="AE428" i="15" s="1"/>
  <c r="Y428" i="15"/>
  <c r="U428" i="15"/>
  <c r="AF428" i="15" s="1"/>
  <c r="Q428" i="15"/>
  <c r="M428" i="15"/>
  <c r="R428" i="15"/>
  <c r="W428" i="15"/>
  <c r="AD428" i="15" s="1"/>
  <c r="AB428" i="15"/>
  <c r="AH428" i="15"/>
  <c r="K429" i="15"/>
  <c r="P429" i="15"/>
  <c r="V429" i="15"/>
  <c r="AB429" i="15" s="1"/>
  <c r="AA429" i="15"/>
  <c r="AG429" i="15" s="1"/>
  <c r="O430" i="15"/>
  <c r="T430" i="15"/>
  <c r="Z430" i="15"/>
  <c r="AA430" i="15" s="1"/>
  <c r="AG430" i="15" s="1"/>
  <c r="AJ430" i="15"/>
  <c r="AK432" i="15"/>
  <c r="AC432" i="15"/>
  <c r="AE432" i="15" s="1"/>
  <c r="Y432" i="15"/>
  <c r="U432" i="15"/>
  <c r="AF432" i="15" s="1"/>
  <c r="Q432" i="15"/>
  <c r="M432" i="15"/>
  <c r="R432" i="15"/>
  <c r="W432" i="15"/>
  <c r="AD432" i="15" s="1"/>
  <c r="AB432" i="15"/>
  <c r="AH432" i="15"/>
  <c r="K433" i="15"/>
  <c r="P433" i="15"/>
  <c r="V433" i="15"/>
  <c r="AA433" i="15"/>
  <c r="AG433" i="15" s="1"/>
  <c r="O434" i="15"/>
  <c r="T434" i="15"/>
  <c r="Z434" i="15"/>
  <c r="AJ434" i="15"/>
  <c r="AK436" i="15"/>
  <c r="AC436" i="15"/>
  <c r="AE436" i="15" s="1"/>
  <c r="Y436" i="15"/>
  <c r="U436" i="15"/>
  <c r="AF436" i="15" s="1"/>
  <c r="Q436" i="15"/>
  <c r="M436" i="15"/>
  <c r="R436" i="15"/>
  <c r="W436" i="15"/>
  <c r="AD436" i="15" s="1"/>
  <c r="AB436" i="15"/>
  <c r="AH436" i="15"/>
  <c r="K437" i="15"/>
  <c r="P437" i="15"/>
  <c r="V437" i="15"/>
  <c r="AB437" i="15" s="1"/>
  <c r="AA437" i="15"/>
  <c r="AG437" i="15" s="1"/>
  <c r="O438" i="15"/>
  <c r="T438" i="15"/>
  <c r="Z438" i="15"/>
  <c r="AJ438" i="15"/>
  <c r="AK440" i="15"/>
  <c r="AC440" i="15"/>
  <c r="AE440" i="15" s="1"/>
  <c r="U440" i="15"/>
  <c r="AF440" i="15" s="1"/>
  <c r="Q440" i="15"/>
  <c r="M440" i="15"/>
  <c r="R440" i="15"/>
  <c r="W440" i="15"/>
  <c r="AD440" i="15" s="1"/>
  <c r="AB440" i="15"/>
  <c r="AH440" i="15"/>
  <c r="O442" i="15"/>
  <c r="T442" i="15"/>
  <c r="Z442" i="15"/>
  <c r="AA442" i="15" s="1"/>
  <c r="AG442" i="15" s="1"/>
  <c r="AJ442" i="15"/>
  <c r="AK444" i="15"/>
  <c r="AC444" i="15"/>
  <c r="AE444" i="15" s="1"/>
  <c r="U444" i="15"/>
  <c r="AF444" i="15" s="1"/>
  <c r="Q444" i="15"/>
  <c r="M444" i="15"/>
  <c r="R444" i="15"/>
  <c r="W444" i="15"/>
  <c r="AD444" i="15" s="1"/>
  <c r="AB444" i="15"/>
  <c r="AH444" i="15"/>
  <c r="O446" i="15"/>
  <c r="T446" i="15"/>
  <c r="Z446" i="15"/>
  <c r="AA446" i="15" s="1"/>
  <c r="AG446" i="15" s="1"/>
  <c r="AJ446" i="15"/>
  <c r="AK448" i="15"/>
  <c r="AC448" i="15"/>
  <c r="AE448" i="15" s="1"/>
  <c r="U448" i="15"/>
  <c r="AF448" i="15" s="1"/>
  <c r="Q448" i="15"/>
  <c r="M448" i="15"/>
  <c r="R448" i="15"/>
  <c r="W448" i="15"/>
  <c r="AD448" i="15" s="1"/>
  <c r="AB448" i="15"/>
  <c r="AH448" i="15"/>
  <c r="O450" i="15"/>
  <c r="T450" i="15"/>
  <c r="Z450" i="15"/>
  <c r="AJ450" i="15"/>
  <c r="AK452" i="15"/>
  <c r="AC452" i="15"/>
  <c r="AE452" i="15" s="1"/>
  <c r="U452" i="15"/>
  <c r="AF452" i="15" s="1"/>
  <c r="Q452" i="15"/>
  <c r="M452" i="15"/>
  <c r="R452" i="15"/>
  <c r="W452" i="15"/>
  <c r="AD452" i="15" s="1"/>
  <c r="AB452" i="15"/>
  <c r="AH452" i="15"/>
  <c r="O454" i="15"/>
  <c r="T454" i="15"/>
  <c r="Z454" i="15"/>
  <c r="AA454" i="15" s="1"/>
  <c r="AG454" i="15" s="1"/>
  <c r="AJ454" i="15"/>
  <c r="AK456" i="15"/>
  <c r="AC456" i="15"/>
  <c r="AE456" i="15" s="1"/>
  <c r="U456" i="15"/>
  <c r="AF456" i="15" s="1"/>
  <c r="Q456" i="15"/>
  <c r="M456" i="15"/>
  <c r="R456" i="15"/>
  <c r="W456" i="15"/>
  <c r="AD456" i="15" s="1"/>
  <c r="AB456" i="15"/>
  <c r="AH456" i="15"/>
  <c r="O458" i="15"/>
  <c r="T458" i="15"/>
  <c r="Z458" i="15"/>
  <c r="AJ458" i="15"/>
  <c r="AK460" i="15"/>
  <c r="AC460" i="15"/>
  <c r="AE460" i="15" s="1"/>
  <c r="U460" i="15"/>
  <c r="AF460" i="15" s="1"/>
  <c r="Q460" i="15"/>
  <c r="M460" i="15"/>
  <c r="R460" i="15"/>
  <c r="W460" i="15"/>
  <c r="AD460" i="15" s="1"/>
  <c r="AB460" i="15"/>
  <c r="AH460" i="15"/>
  <c r="O462" i="15"/>
  <c r="T462" i="15"/>
  <c r="Z462" i="15"/>
  <c r="AA462" i="15" s="1"/>
  <c r="AG462" i="15" s="1"/>
  <c r="AJ462" i="15"/>
  <c r="AK464" i="15"/>
  <c r="AC464" i="15"/>
  <c r="AE464" i="15" s="1"/>
  <c r="U464" i="15"/>
  <c r="AF464" i="15" s="1"/>
  <c r="Q464" i="15"/>
  <c r="M464" i="15"/>
  <c r="R464" i="15"/>
  <c r="W464" i="15"/>
  <c r="AD464" i="15" s="1"/>
  <c r="AB464" i="15"/>
  <c r="AH464" i="15"/>
  <c r="O466" i="15"/>
  <c r="T466" i="15"/>
  <c r="Z466" i="15"/>
  <c r="AA466" i="15" s="1"/>
  <c r="AG466" i="15" s="1"/>
  <c r="AJ466" i="15"/>
  <c r="AK468" i="15"/>
  <c r="AC468" i="15"/>
  <c r="AE468" i="15" s="1"/>
  <c r="U468" i="15"/>
  <c r="AF468" i="15" s="1"/>
  <c r="Q468" i="15"/>
  <c r="M468" i="15"/>
  <c r="R468" i="15"/>
  <c r="W468" i="15"/>
  <c r="AD468" i="15" s="1"/>
  <c r="AB468" i="15"/>
  <c r="AH468" i="15"/>
  <c r="O470" i="15"/>
  <c r="T470" i="15"/>
  <c r="Z470" i="15"/>
  <c r="AA470" i="15" s="1"/>
  <c r="AG470" i="15" s="1"/>
  <c r="AJ470" i="15"/>
  <c r="AK472" i="15"/>
  <c r="AC472" i="15"/>
  <c r="AE472" i="15" s="1"/>
  <c r="U472" i="15"/>
  <c r="AF472" i="15" s="1"/>
  <c r="Q472" i="15"/>
  <c r="M472" i="15"/>
  <c r="R472" i="15"/>
  <c r="W472" i="15"/>
  <c r="AD472" i="15" s="1"/>
  <c r="AB472" i="15"/>
  <c r="AH472" i="15"/>
  <c r="O474" i="15"/>
  <c r="T474" i="15"/>
  <c r="Z474" i="15"/>
  <c r="AA474" i="15" s="1"/>
  <c r="AG474" i="15" s="1"/>
  <c r="AJ474" i="15"/>
  <c r="AK476" i="15"/>
  <c r="AC476" i="15"/>
  <c r="AE476" i="15" s="1"/>
  <c r="U476" i="15"/>
  <c r="AF476" i="15" s="1"/>
  <c r="Q476" i="15"/>
  <c r="M476" i="15"/>
  <c r="R476" i="15"/>
  <c r="W476" i="15"/>
  <c r="AD476" i="15" s="1"/>
  <c r="AB476" i="15"/>
  <c r="AH476" i="15"/>
  <c r="O478" i="15"/>
  <c r="T478" i="15"/>
  <c r="Z478" i="15"/>
  <c r="AA478" i="15" s="1"/>
  <c r="AG478" i="15" s="1"/>
  <c r="AJ478" i="15"/>
  <c r="AK480" i="15"/>
  <c r="AC480" i="15"/>
  <c r="AE480" i="15" s="1"/>
  <c r="U480" i="15"/>
  <c r="AF480" i="15" s="1"/>
  <c r="Q480" i="15"/>
  <c r="M480" i="15"/>
  <c r="R480" i="15"/>
  <c r="W480" i="15"/>
  <c r="AD480" i="15" s="1"/>
  <c r="AB480" i="15"/>
  <c r="AH480" i="15"/>
  <c r="O482" i="15"/>
  <c r="T482" i="15"/>
  <c r="Z482" i="15"/>
  <c r="AJ482" i="15"/>
  <c r="N483" i="15"/>
  <c r="S483" i="15"/>
  <c r="X483" i="15"/>
  <c r="AI6" i="16"/>
  <c r="W6" i="16"/>
  <c r="AD6" i="16" s="1"/>
  <c r="S6" i="16"/>
  <c r="O6" i="16"/>
  <c r="K6" i="16"/>
  <c r="AL6" i="16"/>
  <c r="AH6" i="16"/>
  <c r="Z6" i="16"/>
  <c r="AA6" i="16" s="1"/>
  <c r="AG6" i="16" s="1"/>
  <c r="V6" i="16"/>
  <c r="R6" i="16"/>
  <c r="N6" i="16"/>
  <c r="T6" i="16"/>
  <c r="AB6" i="16"/>
  <c r="AJ6" i="16"/>
  <c r="AL7" i="16"/>
  <c r="AH7" i="16"/>
  <c r="Z7" i="16"/>
  <c r="AA7" i="16" s="1"/>
  <c r="AG7" i="16" s="1"/>
  <c r="V7" i="16"/>
  <c r="AB7" i="16" s="1"/>
  <c r="R7" i="16"/>
  <c r="N7" i="16"/>
  <c r="AK7" i="16"/>
  <c r="AC7" i="16"/>
  <c r="AE7" i="16" s="1"/>
  <c r="Y7" i="16"/>
  <c r="U7" i="16"/>
  <c r="AF7" i="16" s="1"/>
  <c r="Q7" i="16"/>
  <c r="M7" i="16"/>
  <c r="T7" i="16"/>
  <c r="AJ7" i="16"/>
  <c r="AK150" i="16"/>
  <c r="AC150" i="16"/>
  <c r="AE150" i="16" s="1"/>
  <c r="U150" i="16"/>
  <c r="AF150" i="16" s="1"/>
  <c r="Q150" i="16"/>
  <c r="M150" i="16"/>
  <c r="AI150" i="16"/>
  <c r="W150" i="16"/>
  <c r="AD150" i="16" s="1"/>
  <c r="S150" i="16"/>
  <c r="O150" i="16"/>
  <c r="K150" i="16"/>
  <c r="AH150" i="16"/>
  <c r="Z150" i="16"/>
  <c r="AA150" i="16" s="1"/>
  <c r="AG150" i="16" s="1"/>
  <c r="R150" i="16"/>
  <c r="X150" i="16"/>
  <c r="Y150" i="16" s="1"/>
  <c r="P150" i="16"/>
  <c r="AL150" i="16"/>
  <c r="V150" i="16"/>
  <c r="N150" i="16"/>
  <c r="T152" i="16"/>
  <c r="AK158" i="16"/>
  <c r="AC158" i="16"/>
  <c r="AE158" i="16" s="1"/>
  <c r="U158" i="16"/>
  <c r="AF158" i="16" s="1"/>
  <c r="Q158" i="16"/>
  <c r="M158" i="16"/>
  <c r="AI158" i="16"/>
  <c r="W158" i="16"/>
  <c r="AD158" i="16" s="1"/>
  <c r="S158" i="16"/>
  <c r="O158" i="16"/>
  <c r="K158" i="16"/>
  <c r="AH158" i="16"/>
  <c r="Z158" i="16"/>
  <c r="AA158" i="16" s="1"/>
  <c r="AG158" i="16" s="1"/>
  <c r="R158" i="16"/>
  <c r="X158" i="16"/>
  <c r="Y158" i="16" s="1"/>
  <c r="P158" i="16"/>
  <c r="AL158" i="16"/>
  <c r="V158" i="16"/>
  <c r="AB158" i="16" s="1"/>
  <c r="N158" i="16"/>
  <c r="T160" i="16"/>
  <c r="AK166" i="16"/>
  <c r="AC166" i="16"/>
  <c r="AE166" i="16" s="1"/>
  <c r="U166" i="16"/>
  <c r="AF166" i="16" s="1"/>
  <c r="Q166" i="16"/>
  <c r="M166" i="16"/>
  <c r="AI166" i="16"/>
  <c r="W166" i="16"/>
  <c r="AD166" i="16" s="1"/>
  <c r="S166" i="16"/>
  <c r="O166" i="16"/>
  <c r="K166" i="16"/>
  <c r="AH166" i="16"/>
  <c r="Z166" i="16"/>
  <c r="AA166" i="16" s="1"/>
  <c r="AG166" i="16" s="1"/>
  <c r="R166" i="16"/>
  <c r="X166" i="16"/>
  <c r="Y166" i="16" s="1"/>
  <c r="P166" i="16"/>
  <c r="AL166" i="16"/>
  <c r="V166" i="16"/>
  <c r="N166" i="16"/>
  <c r="T168" i="16"/>
  <c r="AK174" i="16"/>
  <c r="AC174" i="16"/>
  <c r="AE174" i="16" s="1"/>
  <c r="U174" i="16"/>
  <c r="AF174" i="16" s="1"/>
  <c r="Q174" i="16"/>
  <c r="M174" i="16"/>
  <c r="AI174" i="16"/>
  <c r="W174" i="16"/>
  <c r="AD174" i="16" s="1"/>
  <c r="S174" i="16"/>
  <c r="O174" i="16"/>
  <c r="K174" i="16"/>
  <c r="AH174" i="16"/>
  <c r="Z174" i="16"/>
  <c r="AA174" i="16" s="1"/>
  <c r="AG174" i="16" s="1"/>
  <c r="R174" i="16"/>
  <c r="X174" i="16"/>
  <c r="Y174" i="16" s="1"/>
  <c r="P174" i="16"/>
  <c r="AL174" i="16"/>
  <c r="V174" i="16"/>
  <c r="AB174" i="16" s="1"/>
  <c r="N174" i="16"/>
  <c r="T176" i="16"/>
  <c r="AK182" i="16"/>
  <c r="AC182" i="16"/>
  <c r="AE182" i="16" s="1"/>
  <c r="U182" i="16"/>
  <c r="AF182" i="16" s="1"/>
  <c r="Q182" i="16"/>
  <c r="M182" i="16"/>
  <c r="AI182" i="16"/>
  <c r="W182" i="16"/>
  <c r="AD182" i="16" s="1"/>
  <c r="S182" i="16"/>
  <c r="O182" i="16"/>
  <c r="K182" i="16"/>
  <c r="AH182" i="16"/>
  <c r="Z182" i="16"/>
  <c r="AA182" i="16" s="1"/>
  <c r="AG182" i="16" s="1"/>
  <c r="R182" i="16"/>
  <c r="X182" i="16"/>
  <c r="Y182" i="16" s="1"/>
  <c r="P182" i="16"/>
  <c r="AL182" i="16"/>
  <c r="V182" i="16"/>
  <c r="N182" i="16"/>
  <c r="T184" i="16"/>
  <c r="AK190" i="16"/>
  <c r="AC190" i="16"/>
  <c r="AE190" i="16" s="1"/>
  <c r="U190" i="16"/>
  <c r="AF190" i="16" s="1"/>
  <c r="Q190" i="16"/>
  <c r="M190" i="16"/>
  <c r="AI190" i="16"/>
  <c r="W190" i="16"/>
  <c r="AD190" i="16" s="1"/>
  <c r="S190" i="16"/>
  <c r="O190" i="16"/>
  <c r="K190" i="16"/>
  <c r="AH190" i="16"/>
  <c r="Z190" i="16"/>
  <c r="AA190" i="16" s="1"/>
  <c r="AG190" i="16" s="1"/>
  <c r="R190" i="16"/>
  <c r="X190" i="16"/>
  <c r="Y190" i="16" s="1"/>
  <c r="P190" i="16"/>
  <c r="AL190" i="16"/>
  <c r="V190" i="16"/>
  <c r="AB190" i="16" s="1"/>
  <c r="N190" i="16"/>
  <c r="T192" i="16"/>
  <c r="AK198" i="16"/>
  <c r="AC198" i="16"/>
  <c r="AE198" i="16" s="1"/>
  <c r="U198" i="16"/>
  <c r="AF198" i="16" s="1"/>
  <c r="Q198" i="16"/>
  <c r="M198" i="16"/>
  <c r="AI198" i="16"/>
  <c r="W198" i="16"/>
  <c r="AD198" i="16" s="1"/>
  <c r="S198" i="16"/>
  <c r="O198" i="16"/>
  <c r="K198" i="16"/>
  <c r="AH198" i="16"/>
  <c r="Z198" i="16"/>
  <c r="AA198" i="16" s="1"/>
  <c r="AG198" i="16" s="1"/>
  <c r="R198" i="16"/>
  <c r="X198" i="16"/>
  <c r="Y198" i="16" s="1"/>
  <c r="P198" i="16"/>
  <c r="AL198" i="16"/>
  <c r="V198" i="16"/>
  <c r="AB198" i="16" s="1"/>
  <c r="N198" i="16"/>
  <c r="T200" i="16"/>
  <c r="AK206" i="16"/>
  <c r="AC206" i="16"/>
  <c r="AE206" i="16" s="1"/>
  <c r="U206" i="16"/>
  <c r="AF206" i="16" s="1"/>
  <c r="Q206" i="16"/>
  <c r="M206" i="16"/>
  <c r="AI206" i="16"/>
  <c r="W206" i="16"/>
  <c r="AD206" i="16" s="1"/>
  <c r="S206" i="16"/>
  <c r="O206" i="16"/>
  <c r="K206" i="16"/>
  <c r="AH206" i="16"/>
  <c r="Z206" i="16"/>
  <c r="AA206" i="16" s="1"/>
  <c r="AG206" i="16" s="1"/>
  <c r="R206" i="16"/>
  <c r="X206" i="16"/>
  <c r="Y206" i="16" s="1"/>
  <c r="P206" i="16"/>
  <c r="AL206" i="16"/>
  <c r="V206" i="16"/>
  <c r="AB206" i="16" s="1"/>
  <c r="N206" i="16"/>
  <c r="T208" i="16"/>
  <c r="AK214" i="16"/>
  <c r="AC214" i="16"/>
  <c r="AE214" i="16" s="1"/>
  <c r="U214" i="16"/>
  <c r="AF214" i="16" s="1"/>
  <c r="Q214" i="16"/>
  <c r="M214" i="16"/>
  <c r="AI214" i="16"/>
  <c r="W214" i="16"/>
  <c r="AD214" i="16" s="1"/>
  <c r="S214" i="16"/>
  <c r="O214" i="16"/>
  <c r="K214" i="16"/>
  <c r="AH214" i="16"/>
  <c r="Z214" i="16"/>
  <c r="AA214" i="16" s="1"/>
  <c r="AG214" i="16" s="1"/>
  <c r="R214" i="16"/>
  <c r="X214" i="16"/>
  <c r="Y214" i="16" s="1"/>
  <c r="P214" i="16"/>
  <c r="AL214" i="16"/>
  <c r="V214" i="16"/>
  <c r="AB214" i="16" s="1"/>
  <c r="N214" i="16"/>
  <c r="T216" i="16"/>
  <c r="AK222" i="16"/>
  <c r="AC222" i="16"/>
  <c r="AE222" i="16" s="1"/>
  <c r="Y222" i="16"/>
  <c r="U222" i="16"/>
  <c r="AF222" i="16" s="1"/>
  <c r="Q222" i="16"/>
  <c r="M222" i="16"/>
  <c r="AI222" i="16"/>
  <c r="W222" i="16"/>
  <c r="AD222" i="16" s="1"/>
  <c r="S222" i="16"/>
  <c r="O222" i="16"/>
  <c r="K222" i="16"/>
  <c r="AH222" i="16"/>
  <c r="Z222" i="16"/>
  <c r="AA222" i="16" s="1"/>
  <c r="AG222" i="16" s="1"/>
  <c r="R222" i="16"/>
  <c r="X222" i="16"/>
  <c r="P222" i="16"/>
  <c r="AL222" i="16"/>
  <c r="V222" i="16"/>
  <c r="AB222" i="16" s="1"/>
  <c r="N222" i="16"/>
  <c r="T224" i="16"/>
  <c r="AK232" i="16"/>
  <c r="AC232" i="16"/>
  <c r="AE232" i="16" s="1"/>
  <c r="U232" i="16"/>
  <c r="AF232" i="16" s="1"/>
  <c r="Q232" i="16"/>
  <c r="M232" i="16"/>
  <c r="AI232" i="16"/>
  <c r="W232" i="16"/>
  <c r="AD232" i="16" s="1"/>
  <c r="S232" i="16"/>
  <c r="O232" i="16"/>
  <c r="K232" i="16"/>
  <c r="AH232" i="16"/>
  <c r="Z232" i="16"/>
  <c r="AA232" i="16" s="1"/>
  <c r="AG232" i="16" s="1"/>
  <c r="R232" i="16"/>
  <c r="X232" i="16"/>
  <c r="Y232" i="16" s="1"/>
  <c r="P232" i="16"/>
  <c r="AL232" i="16"/>
  <c r="V232" i="16"/>
  <c r="AB232" i="16" s="1"/>
  <c r="N232" i="16"/>
  <c r="T234" i="16"/>
  <c r="AK240" i="16"/>
  <c r="AC240" i="16"/>
  <c r="AE240" i="16" s="1"/>
  <c r="U240" i="16"/>
  <c r="AF240" i="16" s="1"/>
  <c r="Q240" i="16"/>
  <c r="M240" i="16"/>
  <c r="AI240" i="16"/>
  <c r="W240" i="16"/>
  <c r="AD240" i="16" s="1"/>
  <c r="S240" i="16"/>
  <c r="O240" i="16"/>
  <c r="K240" i="16"/>
  <c r="AH240" i="16"/>
  <c r="Z240" i="16"/>
  <c r="AA240" i="16" s="1"/>
  <c r="AG240" i="16" s="1"/>
  <c r="R240" i="16"/>
  <c r="X240" i="16"/>
  <c r="Y240" i="16" s="1"/>
  <c r="P240" i="16"/>
  <c r="AL240" i="16"/>
  <c r="V240" i="16"/>
  <c r="AB240" i="16" s="1"/>
  <c r="N240" i="16"/>
  <c r="T242" i="16"/>
  <c r="AK248" i="16"/>
  <c r="AC248" i="16"/>
  <c r="AE248" i="16" s="1"/>
  <c r="U248" i="16"/>
  <c r="AF248" i="16" s="1"/>
  <c r="Q248" i="16"/>
  <c r="M248" i="16"/>
  <c r="AI248" i="16"/>
  <c r="W248" i="16"/>
  <c r="AD248" i="16" s="1"/>
  <c r="S248" i="16"/>
  <c r="O248" i="16"/>
  <c r="K248" i="16"/>
  <c r="AH248" i="16"/>
  <c r="Z248" i="16"/>
  <c r="AA248" i="16" s="1"/>
  <c r="AG248" i="16" s="1"/>
  <c r="R248" i="16"/>
  <c r="X248" i="16"/>
  <c r="Y248" i="16" s="1"/>
  <c r="P248" i="16"/>
  <c r="AL248" i="16"/>
  <c r="V248" i="16"/>
  <c r="AB248" i="16" s="1"/>
  <c r="N248" i="16"/>
  <c r="T250" i="16"/>
  <c r="AK256" i="16"/>
  <c r="AC256" i="16"/>
  <c r="AE256" i="16" s="1"/>
  <c r="U256" i="16"/>
  <c r="AF256" i="16" s="1"/>
  <c r="Q256" i="16"/>
  <c r="M256" i="16"/>
  <c r="AI256" i="16"/>
  <c r="W256" i="16"/>
  <c r="AD256" i="16" s="1"/>
  <c r="S256" i="16"/>
  <c r="O256" i="16"/>
  <c r="K256" i="16"/>
  <c r="AH256" i="16"/>
  <c r="Z256" i="16"/>
  <c r="AA256" i="16" s="1"/>
  <c r="AG256" i="16" s="1"/>
  <c r="R256" i="16"/>
  <c r="X256" i="16"/>
  <c r="Y256" i="16" s="1"/>
  <c r="P256" i="16"/>
  <c r="AL256" i="16"/>
  <c r="V256" i="16"/>
  <c r="AB256" i="16" s="1"/>
  <c r="N256" i="16"/>
  <c r="T258" i="16"/>
  <c r="AK264" i="16"/>
  <c r="AC264" i="16"/>
  <c r="AE264" i="16" s="1"/>
  <c r="U264" i="16"/>
  <c r="AF264" i="16" s="1"/>
  <c r="Q264" i="16"/>
  <c r="M264" i="16"/>
  <c r="AI264" i="16"/>
  <c r="W264" i="16"/>
  <c r="AD264" i="16" s="1"/>
  <c r="S264" i="16"/>
  <c r="O264" i="16"/>
  <c r="K264" i="16"/>
  <c r="AH264" i="16"/>
  <c r="Z264" i="16"/>
  <c r="AA264" i="16" s="1"/>
  <c r="AG264" i="16" s="1"/>
  <c r="R264" i="16"/>
  <c r="X264" i="16"/>
  <c r="Y264" i="16" s="1"/>
  <c r="P264" i="16"/>
  <c r="AL264" i="16"/>
  <c r="V264" i="16"/>
  <c r="AB264" i="16" s="1"/>
  <c r="N264" i="16"/>
  <c r="T266" i="16"/>
  <c r="AK272" i="16"/>
  <c r="AC272" i="16"/>
  <c r="AE272" i="16" s="1"/>
  <c r="U272" i="16"/>
  <c r="AF272" i="16" s="1"/>
  <c r="Q272" i="16"/>
  <c r="M272" i="16"/>
  <c r="AI272" i="16"/>
  <c r="W272" i="16"/>
  <c r="AD272" i="16" s="1"/>
  <c r="S272" i="16"/>
  <c r="O272" i="16"/>
  <c r="K272" i="16"/>
  <c r="AH272" i="16"/>
  <c r="Z272" i="16"/>
  <c r="AA272" i="16" s="1"/>
  <c r="AG272" i="16" s="1"/>
  <c r="R272" i="16"/>
  <c r="X272" i="16"/>
  <c r="Y272" i="16" s="1"/>
  <c r="P272" i="16"/>
  <c r="AL272" i="16"/>
  <c r="V272" i="16"/>
  <c r="AB272" i="16" s="1"/>
  <c r="N272" i="16"/>
  <c r="T274" i="16"/>
  <c r="AK413" i="15"/>
  <c r="AC413" i="15"/>
  <c r="AE413" i="15" s="1"/>
  <c r="Y413" i="15"/>
  <c r="U413" i="15"/>
  <c r="AF413" i="15" s="1"/>
  <c r="Q413" i="15"/>
  <c r="M413" i="15"/>
  <c r="R413" i="15"/>
  <c r="W413" i="15"/>
  <c r="AD413" i="15" s="1"/>
  <c r="AH413" i="15"/>
  <c r="AK417" i="15"/>
  <c r="AC417" i="15"/>
  <c r="AE417" i="15" s="1"/>
  <c r="Y417" i="15"/>
  <c r="U417" i="15"/>
  <c r="AF417" i="15" s="1"/>
  <c r="Q417" i="15"/>
  <c r="M417" i="15"/>
  <c r="R417" i="15"/>
  <c r="W417" i="15"/>
  <c r="AD417" i="15" s="1"/>
  <c r="AB417" i="15"/>
  <c r="AH417" i="15"/>
  <c r="AK421" i="15"/>
  <c r="AC421" i="15"/>
  <c r="AE421" i="15" s="1"/>
  <c r="Y421" i="15"/>
  <c r="U421" i="15"/>
  <c r="AF421" i="15" s="1"/>
  <c r="Q421" i="15"/>
  <c r="M421" i="15"/>
  <c r="R421" i="15"/>
  <c r="W421" i="15"/>
  <c r="AD421" i="15" s="1"/>
  <c r="AH421" i="15"/>
  <c r="AK425" i="15"/>
  <c r="AC425" i="15"/>
  <c r="AE425" i="15" s="1"/>
  <c r="Y425" i="15"/>
  <c r="U425" i="15"/>
  <c r="AF425" i="15" s="1"/>
  <c r="Q425" i="15"/>
  <c r="M425" i="15"/>
  <c r="R425" i="15"/>
  <c r="W425" i="15"/>
  <c r="AD425" i="15" s="1"/>
  <c r="AB425" i="15"/>
  <c r="AH425" i="15"/>
  <c r="AK429" i="15"/>
  <c r="AC429" i="15"/>
  <c r="AE429" i="15" s="1"/>
  <c r="Y429" i="15"/>
  <c r="U429" i="15"/>
  <c r="AF429" i="15" s="1"/>
  <c r="Q429" i="15"/>
  <c r="M429" i="15"/>
  <c r="R429" i="15"/>
  <c r="W429" i="15"/>
  <c r="AD429" i="15" s="1"/>
  <c r="AH429" i="15"/>
  <c r="K430" i="15"/>
  <c r="P430" i="15"/>
  <c r="V430" i="15"/>
  <c r="AK433" i="15"/>
  <c r="AC433" i="15"/>
  <c r="AE433" i="15" s="1"/>
  <c r="Y433" i="15"/>
  <c r="U433" i="15"/>
  <c r="AF433" i="15" s="1"/>
  <c r="Q433" i="15"/>
  <c r="M433" i="15"/>
  <c r="R433" i="15"/>
  <c r="W433" i="15"/>
  <c r="AD433" i="15" s="1"/>
  <c r="AB433" i="15"/>
  <c r="AH433" i="15"/>
  <c r="K434" i="15"/>
  <c r="P434" i="15"/>
  <c r="V434" i="15"/>
  <c r="AA434" i="15"/>
  <c r="AG434" i="15" s="1"/>
  <c r="AK437" i="15"/>
  <c r="AC437" i="15"/>
  <c r="AE437" i="15" s="1"/>
  <c r="Y437" i="15"/>
  <c r="U437" i="15"/>
  <c r="AF437" i="15" s="1"/>
  <c r="Q437" i="15"/>
  <c r="M437" i="15"/>
  <c r="R437" i="15"/>
  <c r="W437" i="15"/>
  <c r="AD437" i="15" s="1"/>
  <c r="AH437" i="15"/>
  <c r="K438" i="15"/>
  <c r="P438" i="15"/>
  <c r="V438" i="15"/>
  <c r="AB438" i="15" s="1"/>
  <c r="AA438" i="15"/>
  <c r="AG438" i="15" s="1"/>
  <c r="X440" i="15"/>
  <c r="Y440" i="15" s="1"/>
  <c r="AI440" i="15"/>
  <c r="AK441" i="15"/>
  <c r="AC441" i="15"/>
  <c r="AE441" i="15" s="1"/>
  <c r="Y441" i="15"/>
  <c r="U441" i="15"/>
  <c r="AF441" i="15" s="1"/>
  <c r="Q441" i="15"/>
  <c r="M441" i="15"/>
  <c r="R441" i="15"/>
  <c r="W441" i="15"/>
  <c r="AD441" i="15" s="1"/>
  <c r="AB441" i="15"/>
  <c r="AH441" i="15"/>
  <c r="K442" i="15"/>
  <c r="P442" i="15"/>
  <c r="V442" i="15"/>
  <c r="AB442" i="15" s="1"/>
  <c r="N444" i="15"/>
  <c r="S444" i="15"/>
  <c r="X444" i="15"/>
  <c r="Y444" i="15" s="1"/>
  <c r="AI444" i="15"/>
  <c r="AK445" i="15"/>
  <c r="AC445" i="15"/>
  <c r="AE445" i="15" s="1"/>
  <c r="Y445" i="15"/>
  <c r="U445" i="15"/>
  <c r="AF445" i="15" s="1"/>
  <c r="Q445" i="15"/>
  <c r="M445" i="15"/>
  <c r="R445" i="15"/>
  <c r="W445" i="15"/>
  <c r="AD445" i="15" s="1"/>
  <c r="AB445" i="15"/>
  <c r="AH445" i="15"/>
  <c r="K446" i="15"/>
  <c r="P446" i="15"/>
  <c r="V446" i="15"/>
  <c r="AB446" i="15" s="1"/>
  <c r="N448" i="15"/>
  <c r="S448" i="15"/>
  <c r="X448" i="15"/>
  <c r="Y448" i="15" s="1"/>
  <c r="AI448" i="15"/>
  <c r="AK449" i="15"/>
  <c r="AC449" i="15"/>
  <c r="AE449" i="15" s="1"/>
  <c r="Y449" i="15"/>
  <c r="U449" i="15"/>
  <c r="AF449" i="15" s="1"/>
  <c r="Q449" i="15"/>
  <c r="M449" i="15"/>
  <c r="R449" i="15"/>
  <c r="W449" i="15"/>
  <c r="AD449" i="15" s="1"/>
  <c r="AB449" i="15"/>
  <c r="AH449" i="15"/>
  <c r="K450" i="15"/>
  <c r="P450" i="15"/>
  <c r="V450" i="15"/>
  <c r="AB450" i="15" s="1"/>
  <c r="AA450" i="15"/>
  <c r="AG450" i="15" s="1"/>
  <c r="N452" i="15"/>
  <c r="S452" i="15"/>
  <c r="X452" i="15"/>
  <c r="Y452" i="15" s="1"/>
  <c r="AI452" i="15"/>
  <c r="AK453" i="15"/>
  <c r="AC453" i="15"/>
  <c r="AE453" i="15" s="1"/>
  <c r="Y453" i="15"/>
  <c r="U453" i="15"/>
  <c r="AF453" i="15" s="1"/>
  <c r="Q453" i="15"/>
  <c r="M453" i="15"/>
  <c r="R453" i="15"/>
  <c r="W453" i="15"/>
  <c r="AD453" i="15" s="1"/>
  <c r="AB453" i="15"/>
  <c r="AH453" i="15"/>
  <c r="K454" i="15"/>
  <c r="P454" i="15"/>
  <c r="V454" i="15"/>
  <c r="AB454" i="15" s="1"/>
  <c r="N456" i="15"/>
  <c r="S456" i="15"/>
  <c r="X456" i="15"/>
  <c r="Y456" i="15" s="1"/>
  <c r="AI456" i="15"/>
  <c r="AK457" i="15"/>
  <c r="AC457" i="15"/>
  <c r="AE457" i="15" s="1"/>
  <c r="Y457" i="15"/>
  <c r="U457" i="15"/>
  <c r="AF457" i="15" s="1"/>
  <c r="Q457" i="15"/>
  <c r="M457" i="15"/>
  <c r="R457" i="15"/>
  <c r="W457" i="15"/>
  <c r="AD457" i="15" s="1"/>
  <c r="AB457" i="15"/>
  <c r="AH457" i="15"/>
  <c r="K458" i="15"/>
  <c r="P458" i="15"/>
  <c r="V458" i="15"/>
  <c r="AA458" i="15"/>
  <c r="AG458" i="15" s="1"/>
  <c r="N460" i="15"/>
  <c r="S460" i="15"/>
  <c r="X460" i="15"/>
  <c r="Y460" i="15" s="1"/>
  <c r="AI460" i="15"/>
  <c r="AK461" i="15"/>
  <c r="AC461" i="15"/>
  <c r="AE461" i="15" s="1"/>
  <c r="Y461" i="15"/>
  <c r="U461" i="15"/>
  <c r="AF461" i="15" s="1"/>
  <c r="Q461" i="15"/>
  <c r="M461" i="15"/>
  <c r="R461" i="15"/>
  <c r="W461" i="15"/>
  <c r="AD461" i="15" s="1"/>
  <c r="AB461" i="15"/>
  <c r="AH461" i="15"/>
  <c r="K462" i="15"/>
  <c r="P462" i="15"/>
  <c r="V462" i="15"/>
  <c r="AB462" i="15" s="1"/>
  <c r="N464" i="15"/>
  <c r="S464" i="15"/>
  <c r="X464" i="15"/>
  <c r="Y464" i="15" s="1"/>
  <c r="AI464" i="15"/>
  <c r="AK465" i="15"/>
  <c r="AC465" i="15"/>
  <c r="AE465" i="15" s="1"/>
  <c r="Y465" i="15"/>
  <c r="U465" i="15"/>
  <c r="AF465" i="15" s="1"/>
  <c r="Q465" i="15"/>
  <c r="M465" i="15"/>
  <c r="R465" i="15"/>
  <c r="W465" i="15"/>
  <c r="AD465" i="15" s="1"/>
  <c r="AB465" i="15"/>
  <c r="AH465" i="15"/>
  <c r="K466" i="15"/>
  <c r="P466" i="15"/>
  <c r="V466" i="15"/>
  <c r="N468" i="15"/>
  <c r="S468" i="15"/>
  <c r="X468" i="15"/>
  <c r="Y468" i="15" s="1"/>
  <c r="AI468" i="15"/>
  <c r="AK469" i="15"/>
  <c r="AC469" i="15"/>
  <c r="AE469" i="15" s="1"/>
  <c r="Y469" i="15"/>
  <c r="U469" i="15"/>
  <c r="AF469" i="15" s="1"/>
  <c r="Q469" i="15"/>
  <c r="M469" i="15"/>
  <c r="R469" i="15"/>
  <c r="W469" i="15"/>
  <c r="AD469" i="15" s="1"/>
  <c r="AB469" i="15"/>
  <c r="AH469" i="15"/>
  <c r="K470" i="15"/>
  <c r="P470" i="15"/>
  <c r="V470" i="15"/>
  <c r="AB470" i="15" s="1"/>
  <c r="N472" i="15"/>
  <c r="S472" i="15"/>
  <c r="X472" i="15"/>
  <c r="Y472" i="15" s="1"/>
  <c r="AI472" i="15"/>
  <c r="AK473" i="15"/>
  <c r="AC473" i="15"/>
  <c r="AE473" i="15" s="1"/>
  <c r="Y473" i="15"/>
  <c r="U473" i="15"/>
  <c r="AF473" i="15" s="1"/>
  <c r="Q473" i="15"/>
  <c r="M473" i="15"/>
  <c r="R473" i="15"/>
  <c r="W473" i="15"/>
  <c r="AD473" i="15" s="1"/>
  <c r="AB473" i="15"/>
  <c r="AH473" i="15"/>
  <c r="K474" i="15"/>
  <c r="P474" i="15"/>
  <c r="V474" i="15"/>
  <c r="AB474" i="15" s="1"/>
  <c r="N476" i="15"/>
  <c r="S476" i="15"/>
  <c r="X476" i="15"/>
  <c r="Y476" i="15" s="1"/>
  <c r="AI476" i="15"/>
  <c r="AK477" i="15"/>
  <c r="AC477" i="15"/>
  <c r="AE477" i="15" s="1"/>
  <c r="Y477" i="15"/>
  <c r="U477" i="15"/>
  <c r="AF477" i="15" s="1"/>
  <c r="Q477" i="15"/>
  <c r="M477" i="15"/>
  <c r="R477" i="15"/>
  <c r="W477" i="15"/>
  <c r="AD477" i="15" s="1"/>
  <c r="AB477" i="15"/>
  <c r="AH477" i="15"/>
  <c r="K478" i="15"/>
  <c r="P478" i="15"/>
  <c r="V478" i="15"/>
  <c r="AB478" i="15" s="1"/>
  <c r="N480" i="15"/>
  <c r="S480" i="15"/>
  <c r="X480" i="15"/>
  <c r="Y480" i="15" s="1"/>
  <c r="AI480" i="15"/>
  <c r="AK481" i="15"/>
  <c r="AC481" i="15"/>
  <c r="AE481" i="15" s="1"/>
  <c r="Y481" i="15"/>
  <c r="U481" i="15"/>
  <c r="AF481" i="15" s="1"/>
  <c r="Q481" i="15"/>
  <c r="M481" i="15"/>
  <c r="R481" i="15"/>
  <c r="W481" i="15"/>
  <c r="AD481" i="15" s="1"/>
  <c r="AB481" i="15"/>
  <c r="AH481" i="15"/>
  <c r="K482" i="15"/>
  <c r="P482" i="15"/>
  <c r="V482" i="15"/>
  <c r="AB482" i="15" s="1"/>
  <c r="AA482" i="15"/>
  <c r="AG482" i="15" s="1"/>
  <c r="O483" i="15"/>
  <c r="T483" i="15"/>
  <c r="Z483" i="15"/>
  <c r="AH483" i="15"/>
  <c r="AI2" i="16"/>
  <c r="W2" i="16"/>
  <c r="AD2" i="16" s="1"/>
  <c r="S2" i="16"/>
  <c r="O2" i="16"/>
  <c r="K2" i="16"/>
  <c r="AL2" i="16"/>
  <c r="AH2" i="16"/>
  <c r="Z2" i="16"/>
  <c r="AA2" i="16" s="1"/>
  <c r="AG2" i="16" s="1"/>
  <c r="V2" i="16"/>
  <c r="R2" i="16"/>
  <c r="N2" i="16"/>
  <c r="T2" i="16"/>
  <c r="AB2" i="16"/>
  <c r="AJ2" i="16"/>
  <c r="AL3" i="16"/>
  <c r="AH3" i="16"/>
  <c r="Z3" i="16"/>
  <c r="AA3" i="16" s="1"/>
  <c r="AG3" i="16" s="1"/>
  <c r="V3" i="16"/>
  <c r="AB3" i="16" s="1"/>
  <c r="R3" i="16"/>
  <c r="N3" i="16"/>
  <c r="AK3" i="16"/>
  <c r="AC3" i="16"/>
  <c r="AE3" i="16" s="1"/>
  <c r="Y3" i="16"/>
  <c r="U3" i="16"/>
  <c r="AF3" i="16" s="1"/>
  <c r="Q3" i="16"/>
  <c r="M3" i="16"/>
  <c r="T3" i="16"/>
  <c r="AJ3" i="16"/>
  <c r="M6" i="16"/>
  <c r="U6" i="16"/>
  <c r="AF6" i="16" s="1"/>
  <c r="AC6" i="16"/>
  <c r="AE6" i="16" s="1"/>
  <c r="AK6" i="16"/>
  <c r="O7" i="16"/>
  <c r="W7" i="16"/>
  <c r="AD7" i="16" s="1"/>
  <c r="AK148" i="16"/>
  <c r="AC148" i="16"/>
  <c r="AE148" i="16" s="1"/>
  <c r="U148" i="16"/>
  <c r="AF148" i="16" s="1"/>
  <c r="Q148" i="16"/>
  <c r="M148" i="16"/>
  <c r="AI148" i="16"/>
  <c r="AA148" i="16"/>
  <c r="AG148" i="16" s="1"/>
  <c r="W148" i="16"/>
  <c r="AD148" i="16" s="1"/>
  <c r="S148" i="16"/>
  <c r="O148" i="16"/>
  <c r="K148" i="16"/>
  <c r="AH148" i="16"/>
  <c r="Z148" i="16"/>
  <c r="R148" i="16"/>
  <c r="X148" i="16"/>
  <c r="Y148" i="16" s="1"/>
  <c r="P148" i="16"/>
  <c r="AL148" i="16"/>
  <c r="V148" i="16"/>
  <c r="AB148" i="16" s="1"/>
  <c r="N148" i="16"/>
  <c r="AK156" i="16"/>
  <c r="AC156" i="16"/>
  <c r="AE156" i="16" s="1"/>
  <c r="Y156" i="16"/>
  <c r="U156" i="16"/>
  <c r="AF156" i="16" s="1"/>
  <c r="Q156" i="16"/>
  <c r="M156" i="16"/>
  <c r="AI156" i="16"/>
  <c r="AA156" i="16"/>
  <c r="AG156" i="16" s="1"/>
  <c r="W156" i="16"/>
  <c r="AD156" i="16" s="1"/>
  <c r="S156" i="16"/>
  <c r="O156" i="16"/>
  <c r="K156" i="16"/>
  <c r="AH156" i="16"/>
  <c r="Z156" i="16"/>
  <c r="R156" i="16"/>
  <c r="X156" i="16"/>
  <c r="P156" i="16"/>
  <c r="AL156" i="16"/>
  <c r="V156" i="16"/>
  <c r="AB156" i="16" s="1"/>
  <c r="N156" i="16"/>
  <c r="AK164" i="16"/>
  <c r="AC164" i="16"/>
  <c r="AE164" i="16" s="1"/>
  <c r="U164" i="16"/>
  <c r="AF164" i="16" s="1"/>
  <c r="Q164" i="16"/>
  <c r="M164" i="16"/>
  <c r="AI164" i="16"/>
  <c r="W164" i="16"/>
  <c r="AD164" i="16" s="1"/>
  <c r="S164" i="16"/>
  <c r="O164" i="16"/>
  <c r="K164" i="16"/>
  <c r="AH164" i="16"/>
  <c r="Z164" i="16"/>
  <c r="AA164" i="16" s="1"/>
  <c r="AG164" i="16" s="1"/>
  <c r="R164" i="16"/>
  <c r="X164" i="16"/>
  <c r="Y164" i="16" s="1"/>
  <c r="P164" i="16"/>
  <c r="AL164" i="16"/>
  <c r="V164" i="16"/>
  <c r="AB164" i="16" s="1"/>
  <c r="N164" i="16"/>
  <c r="AK172" i="16"/>
  <c r="AC172" i="16"/>
  <c r="AE172" i="16" s="1"/>
  <c r="U172" i="16"/>
  <c r="AF172" i="16" s="1"/>
  <c r="Q172" i="16"/>
  <c r="M172" i="16"/>
  <c r="AI172" i="16"/>
  <c r="W172" i="16"/>
  <c r="AD172" i="16" s="1"/>
  <c r="S172" i="16"/>
  <c r="O172" i="16"/>
  <c r="K172" i="16"/>
  <c r="AH172" i="16"/>
  <c r="Z172" i="16"/>
  <c r="AA172" i="16" s="1"/>
  <c r="AG172" i="16" s="1"/>
  <c r="R172" i="16"/>
  <c r="X172" i="16"/>
  <c r="Y172" i="16" s="1"/>
  <c r="P172" i="16"/>
  <c r="AL172" i="16"/>
  <c r="V172" i="16"/>
  <c r="AB172" i="16" s="1"/>
  <c r="N172" i="16"/>
  <c r="AK180" i="16"/>
  <c r="AC180" i="16"/>
  <c r="AE180" i="16" s="1"/>
  <c r="U180" i="16"/>
  <c r="AF180" i="16" s="1"/>
  <c r="Q180" i="16"/>
  <c r="M180" i="16"/>
  <c r="AI180" i="16"/>
  <c r="W180" i="16"/>
  <c r="AD180" i="16" s="1"/>
  <c r="S180" i="16"/>
  <c r="O180" i="16"/>
  <c r="K180" i="16"/>
  <c r="AH180" i="16"/>
  <c r="Z180" i="16"/>
  <c r="AA180" i="16" s="1"/>
  <c r="AG180" i="16" s="1"/>
  <c r="R180" i="16"/>
  <c r="X180" i="16"/>
  <c r="Y180" i="16" s="1"/>
  <c r="P180" i="16"/>
  <c r="AL180" i="16"/>
  <c r="V180" i="16"/>
  <c r="AB180" i="16" s="1"/>
  <c r="N180" i="16"/>
  <c r="AK188" i="16"/>
  <c r="AC188" i="16"/>
  <c r="AE188" i="16" s="1"/>
  <c r="U188" i="16"/>
  <c r="AF188" i="16" s="1"/>
  <c r="Q188" i="16"/>
  <c r="M188" i="16"/>
  <c r="AI188" i="16"/>
  <c r="W188" i="16"/>
  <c r="AD188" i="16" s="1"/>
  <c r="S188" i="16"/>
  <c r="O188" i="16"/>
  <c r="K188" i="16"/>
  <c r="AH188" i="16"/>
  <c r="Z188" i="16"/>
  <c r="AA188" i="16" s="1"/>
  <c r="AG188" i="16" s="1"/>
  <c r="R188" i="16"/>
  <c r="X188" i="16"/>
  <c r="Y188" i="16" s="1"/>
  <c r="P188" i="16"/>
  <c r="AL188" i="16"/>
  <c r="V188" i="16"/>
  <c r="N188" i="16"/>
  <c r="AK196" i="16"/>
  <c r="AC196" i="16"/>
  <c r="AE196" i="16" s="1"/>
  <c r="U196" i="16"/>
  <c r="AF196" i="16" s="1"/>
  <c r="Q196" i="16"/>
  <c r="M196" i="16"/>
  <c r="AI196" i="16"/>
  <c r="W196" i="16"/>
  <c r="AD196" i="16" s="1"/>
  <c r="S196" i="16"/>
  <c r="O196" i="16"/>
  <c r="K196" i="16"/>
  <c r="AH196" i="16"/>
  <c r="Z196" i="16"/>
  <c r="AA196" i="16" s="1"/>
  <c r="AG196" i="16" s="1"/>
  <c r="R196" i="16"/>
  <c r="X196" i="16"/>
  <c r="Y196" i="16" s="1"/>
  <c r="P196" i="16"/>
  <c r="AL196" i="16"/>
  <c r="V196" i="16"/>
  <c r="AB196" i="16" s="1"/>
  <c r="N196" i="16"/>
  <c r="AK204" i="16"/>
  <c r="AC204" i="16"/>
  <c r="AE204" i="16" s="1"/>
  <c r="U204" i="16"/>
  <c r="AF204" i="16" s="1"/>
  <c r="Q204" i="16"/>
  <c r="M204" i="16"/>
  <c r="AI204" i="16"/>
  <c r="W204" i="16"/>
  <c r="AD204" i="16" s="1"/>
  <c r="S204" i="16"/>
  <c r="O204" i="16"/>
  <c r="K204" i="16"/>
  <c r="AH204" i="16"/>
  <c r="Z204" i="16"/>
  <c r="AA204" i="16" s="1"/>
  <c r="AG204" i="16" s="1"/>
  <c r="R204" i="16"/>
  <c r="X204" i="16"/>
  <c r="Y204" i="16" s="1"/>
  <c r="P204" i="16"/>
  <c r="AL204" i="16"/>
  <c r="V204" i="16"/>
  <c r="AB204" i="16" s="1"/>
  <c r="N204" i="16"/>
  <c r="AK212" i="16"/>
  <c r="AC212" i="16"/>
  <c r="AE212" i="16" s="1"/>
  <c r="U212" i="16"/>
  <c r="AF212" i="16" s="1"/>
  <c r="Q212" i="16"/>
  <c r="M212" i="16"/>
  <c r="AI212" i="16"/>
  <c r="W212" i="16"/>
  <c r="AD212" i="16" s="1"/>
  <c r="S212" i="16"/>
  <c r="O212" i="16"/>
  <c r="K212" i="16"/>
  <c r="AH212" i="16"/>
  <c r="Z212" i="16"/>
  <c r="AA212" i="16" s="1"/>
  <c r="AG212" i="16" s="1"/>
  <c r="R212" i="16"/>
  <c r="X212" i="16"/>
  <c r="Y212" i="16" s="1"/>
  <c r="P212" i="16"/>
  <c r="AL212" i="16"/>
  <c r="V212" i="16"/>
  <c r="N212" i="16"/>
  <c r="AK220" i="16"/>
  <c r="AC220" i="16"/>
  <c r="AE220" i="16" s="1"/>
  <c r="U220" i="16"/>
  <c r="AF220" i="16" s="1"/>
  <c r="Q220" i="16"/>
  <c r="M220" i="16"/>
  <c r="AI220" i="16"/>
  <c r="W220" i="16"/>
  <c r="AD220" i="16" s="1"/>
  <c r="S220" i="16"/>
  <c r="O220" i="16"/>
  <c r="K220" i="16"/>
  <c r="AH220" i="16"/>
  <c r="Z220" i="16"/>
  <c r="AA220" i="16" s="1"/>
  <c r="AG220" i="16" s="1"/>
  <c r="R220" i="16"/>
  <c r="X220" i="16"/>
  <c r="Y220" i="16" s="1"/>
  <c r="P220" i="16"/>
  <c r="AL220" i="16"/>
  <c r="V220" i="16"/>
  <c r="AB220" i="16" s="1"/>
  <c r="N220" i="16"/>
  <c r="AK228" i="16"/>
  <c r="AC228" i="16"/>
  <c r="AE228" i="16" s="1"/>
  <c r="U228" i="16"/>
  <c r="AF228" i="16" s="1"/>
  <c r="Q228" i="16"/>
  <c r="M228" i="16"/>
  <c r="AI228" i="16"/>
  <c r="W228" i="16"/>
  <c r="AD228" i="16" s="1"/>
  <c r="S228" i="16"/>
  <c r="O228" i="16"/>
  <c r="K228" i="16"/>
  <c r="AH228" i="16"/>
  <c r="Z228" i="16"/>
  <c r="AA228" i="16" s="1"/>
  <c r="AG228" i="16" s="1"/>
  <c r="R228" i="16"/>
  <c r="X228" i="16"/>
  <c r="Y228" i="16" s="1"/>
  <c r="P228" i="16"/>
  <c r="AL228" i="16"/>
  <c r="V228" i="16"/>
  <c r="AB228" i="16" s="1"/>
  <c r="N228" i="16"/>
  <c r="AK230" i="16"/>
  <c r="AC230" i="16"/>
  <c r="AE230" i="16" s="1"/>
  <c r="U230" i="16"/>
  <c r="AF230" i="16" s="1"/>
  <c r="Q230" i="16"/>
  <c r="M230" i="16"/>
  <c r="AI230" i="16"/>
  <c r="W230" i="16"/>
  <c r="AD230" i="16" s="1"/>
  <c r="S230" i="16"/>
  <c r="O230" i="16"/>
  <c r="K230" i="16"/>
  <c r="AH230" i="16"/>
  <c r="Z230" i="16"/>
  <c r="AA230" i="16" s="1"/>
  <c r="AG230" i="16" s="1"/>
  <c r="R230" i="16"/>
  <c r="X230" i="16"/>
  <c r="Y230" i="16" s="1"/>
  <c r="P230" i="16"/>
  <c r="AL230" i="16"/>
  <c r="V230" i="16"/>
  <c r="N230" i="16"/>
  <c r="AK238" i="16"/>
  <c r="AC238" i="16"/>
  <c r="AE238" i="16" s="1"/>
  <c r="U238" i="16"/>
  <c r="AF238" i="16" s="1"/>
  <c r="Q238" i="16"/>
  <c r="M238" i="16"/>
  <c r="AI238" i="16"/>
  <c r="W238" i="16"/>
  <c r="AD238" i="16" s="1"/>
  <c r="S238" i="16"/>
  <c r="O238" i="16"/>
  <c r="K238" i="16"/>
  <c r="AH238" i="16"/>
  <c r="Z238" i="16"/>
  <c r="AA238" i="16" s="1"/>
  <c r="AG238" i="16" s="1"/>
  <c r="R238" i="16"/>
  <c r="X238" i="16"/>
  <c r="Y238" i="16" s="1"/>
  <c r="P238" i="16"/>
  <c r="AL238" i="16"/>
  <c r="V238" i="16"/>
  <c r="AB238" i="16" s="1"/>
  <c r="N238" i="16"/>
  <c r="AK246" i="16"/>
  <c r="AC246" i="16"/>
  <c r="AE246" i="16" s="1"/>
  <c r="U246" i="16"/>
  <c r="AF246" i="16" s="1"/>
  <c r="Q246" i="16"/>
  <c r="M246" i="16"/>
  <c r="AI246" i="16"/>
  <c r="W246" i="16"/>
  <c r="AD246" i="16" s="1"/>
  <c r="S246" i="16"/>
  <c r="O246" i="16"/>
  <c r="K246" i="16"/>
  <c r="AH246" i="16"/>
  <c r="Z246" i="16"/>
  <c r="AA246" i="16" s="1"/>
  <c r="AG246" i="16" s="1"/>
  <c r="R246" i="16"/>
  <c r="X246" i="16"/>
  <c r="Y246" i="16" s="1"/>
  <c r="P246" i="16"/>
  <c r="AL246" i="16"/>
  <c r="V246" i="16"/>
  <c r="AB246" i="16" s="1"/>
  <c r="N246" i="16"/>
  <c r="AK254" i="16"/>
  <c r="AC254" i="16"/>
  <c r="AE254" i="16" s="1"/>
  <c r="U254" i="16"/>
  <c r="AF254" i="16" s="1"/>
  <c r="Q254" i="16"/>
  <c r="M254" i="16"/>
  <c r="AI254" i="16"/>
  <c r="W254" i="16"/>
  <c r="AD254" i="16" s="1"/>
  <c r="S254" i="16"/>
  <c r="O254" i="16"/>
  <c r="K254" i="16"/>
  <c r="AH254" i="16"/>
  <c r="Z254" i="16"/>
  <c r="AA254" i="16" s="1"/>
  <c r="AG254" i="16" s="1"/>
  <c r="R254" i="16"/>
  <c r="X254" i="16"/>
  <c r="Y254" i="16" s="1"/>
  <c r="P254" i="16"/>
  <c r="AL254" i="16"/>
  <c r="V254" i="16"/>
  <c r="AB254" i="16" s="1"/>
  <c r="N254" i="16"/>
  <c r="AK262" i="16"/>
  <c r="AC262" i="16"/>
  <c r="AE262" i="16" s="1"/>
  <c r="U262" i="16"/>
  <c r="AF262" i="16" s="1"/>
  <c r="Q262" i="16"/>
  <c r="M262" i="16"/>
  <c r="AI262" i="16"/>
  <c r="W262" i="16"/>
  <c r="AD262" i="16" s="1"/>
  <c r="S262" i="16"/>
  <c r="O262" i="16"/>
  <c r="K262" i="16"/>
  <c r="AH262" i="16"/>
  <c r="Z262" i="16"/>
  <c r="AA262" i="16" s="1"/>
  <c r="AG262" i="16" s="1"/>
  <c r="R262" i="16"/>
  <c r="X262" i="16"/>
  <c r="Y262" i="16" s="1"/>
  <c r="P262" i="16"/>
  <c r="AL262" i="16"/>
  <c r="V262" i="16"/>
  <c r="AB262" i="16" s="1"/>
  <c r="N262" i="16"/>
  <c r="AK270" i="16"/>
  <c r="AC270" i="16"/>
  <c r="AE270" i="16" s="1"/>
  <c r="U270" i="16"/>
  <c r="AF270" i="16" s="1"/>
  <c r="Q270" i="16"/>
  <c r="M270" i="16"/>
  <c r="AI270" i="16"/>
  <c r="W270" i="16"/>
  <c r="AD270" i="16" s="1"/>
  <c r="S270" i="16"/>
  <c r="O270" i="16"/>
  <c r="K270" i="16"/>
  <c r="AH270" i="16"/>
  <c r="Z270" i="16"/>
  <c r="AA270" i="16" s="1"/>
  <c r="AG270" i="16" s="1"/>
  <c r="R270" i="16"/>
  <c r="X270" i="16"/>
  <c r="Y270" i="16" s="1"/>
  <c r="P270" i="16"/>
  <c r="AL270" i="16"/>
  <c r="V270" i="16"/>
  <c r="AB270" i="16" s="1"/>
  <c r="N270" i="16"/>
  <c r="AK278" i="16"/>
  <c r="AC278" i="16"/>
  <c r="AE278" i="16" s="1"/>
  <c r="U278" i="16"/>
  <c r="AF278" i="16" s="1"/>
  <c r="Q278" i="16"/>
  <c r="M278" i="16"/>
  <c r="AI278" i="16"/>
  <c r="W278" i="16"/>
  <c r="AD278" i="16" s="1"/>
  <c r="S278" i="16"/>
  <c r="O278" i="16"/>
  <c r="K278" i="16"/>
  <c r="AH278" i="16"/>
  <c r="Z278" i="16"/>
  <c r="AA278" i="16" s="1"/>
  <c r="AG278" i="16" s="1"/>
  <c r="R278" i="16"/>
  <c r="X278" i="16"/>
  <c r="Y278" i="16" s="1"/>
  <c r="P278" i="16"/>
  <c r="AL278" i="16"/>
  <c r="V278" i="16"/>
  <c r="AB278" i="16" s="1"/>
  <c r="N278" i="16"/>
  <c r="AK430" i="15"/>
  <c r="AC430" i="15"/>
  <c r="AE430" i="15" s="1"/>
  <c r="Y430" i="15"/>
  <c r="U430" i="15"/>
  <c r="AF430" i="15" s="1"/>
  <c r="Q430" i="15"/>
  <c r="M430" i="15"/>
  <c r="R430" i="15"/>
  <c r="W430" i="15"/>
  <c r="AD430" i="15" s="1"/>
  <c r="AB430" i="15"/>
  <c r="AH430" i="15"/>
  <c r="AK434" i="15"/>
  <c r="AC434" i="15"/>
  <c r="AE434" i="15" s="1"/>
  <c r="Y434" i="15"/>
  <c r="U434" i="15"/>
  <c r="AF434" i="15" s="1"/>
  <c r="Q434" i="15"/>
  <c r="M434" i="15"/>
  <c r="R434" i="15"/>
  <c r="W434" i="15"/>
  <c r="AD434" i="15" s="1"/>
  <c r="AB434" i="15"/>
  <c r="AH434" i="15"/>
  <c r="AK438" i="15"/>
  <c r="AC438" i="15"/>
  <c r="AE438" i="15" s="1"/>
  <c r="Y438" i="15"/>
  <c r="U438" i="15"/>
  <c r="AF438" i="15" s="1"/>
  <c r="Q438" i="15"/>
  <c r="M438" i="15"/>
  <c r="R438" i="15"/>
  <c r="W438" i="15"/>
  <c r="AD438" i="15" s="1"/>
  <c r="AH438" i="15"/>
  <c r="AK442" i="15"/>
  <c r="AC442" i="15"/>
  <c r="AE442" i="15" s="1"/>
  <c r="Y442" i="15"/>
  <c r="U442" i="15"/>
  <c r="AF442" i="15" s="1"/>
  <c r="Q442" i="15"/>
  <c r="M442" i="15"/>
  <c r="R442" i="15"/>
  <c r="W442" i="15"/>
  <c r="AD442" i="15" s="1"/>
  <c r="AH442" i="15"/>
  <c r="AK446" i="15"/>
  <c r="AC446" i="15"/>
  <c r="AE446" i="15" s="1"/>
  <c r="Y446" i="15"/>
  <c r="U446" i="15"/>
  <c r="AF446" i="15" s="1"/>
  <c r="Q446" i="15"/>
  <c r="M446" i="15"/>
  <c r="R446" i="15"/>
  <c r="W446" i="15"/>
  <c r="AD446" i="15" s="1"/>
  <c r="AH446" i="15"/>
  <c r="AK450" i="15"/>
  <c r="AC450" i="15"/>
  <c r="AE450" i="15" s="1"/>
  <c r="Y450" i="15"/>
  <c r="U450" i="15"/>
  <c r="AF450" i="15" s="1"/>
  <c r="Q450" i="15"/>
  <c r="M450" i="15"/>
  <c r="R450" i="15"/>
  <c r="W450" i="15"/>
  <c r="AD450" i="15" s="1"/>
  <c r="AH450" i="15"/>
  <c r="AK454" i="15"/>
  <c r="AC454" i="15"/>
  <c r="AE454" i="15" s="1"/>
  <c r="Y454" i="15"/>
  <c r="U454" i="15"/>
  <c r="AF454" i="15" s="1"/>
  <c r="Q454" i="15"/>
  <c r="M454" i="15"/>
  <c r="R454" i="15"/>
  <c r="W454" i="15"/>
  <c r="AD454" i="15" s="1"/>
  <c r="AH454" i="15"/>
  <c r="AK458" i="15"/>
  <c r="AC458" i="15"/>
  <c r="AE458" i="15" s="1"/>
  <c r="Y458" i="15"/>
  <c r="U458" i="15"/>
  <c r="AF458" i="15" s="1"/>
  <c r="Q458" i="15"/>
  <c r="M458" i="15"/>
  <c r="R458" i="15"/>
  <c r="W458" i="15"/>
  <c r="AD458" i="15" s="1"/>
  <c r="AB458" i="15"/>
  <c r="AH458" i="15"/>
  <c r="AK462" i="15"/>
  <c r="AC462" i="15"/>
  <c r="AE462" i="15" s="1"/>
  <c r="Y462" i="15"/>
  <c r="U462" i="15"/>
  <c r="AF462" i="15" s="1"/>
  <c r="Q462" i="15"/>
  <c r="M462" i="15"/>
  <c r="R462" i="15"/>
  <c r="W462" i="15"/>
  <c r="AD462" i="15" s="1"/>
  <c r="AH462" i="15"/>
  <c r="AK466" i="15"/>
  <c r="AC466" i="15"/>
  <c r="AE466" i="15" s="1"/>
  <c r="Y466" i="15"/>
  <c r="U466" i="15"/>
  <c r="AF466" i="15" s="1"/>
  <c r="Q466" i="15"/>
  <c r="M466" i="15"/>
  <c r="R466" i="15"/>
  <c r="W466" i="15"/>
  <c r="AD466" i="15" s="1"/>
  <c r="AB466" i="15"/>
  <c r="AH466" i="15"/>
  <c r="AK470" i="15"/>
  <c r="AC470" i="15"/>
  <c r="AE470" i="15" s="1"/>
  <c r="Y470" i="15"/>
  <c r="U470" i="15"/>
  <c r="AF470" i="15" s="1"/>
  <c r="Q470" i="15"/>
  <c r="M470" i="15"/>
  <c r="R470" i="15"/>
  <c r="W470" i="15"/>
  <c r="AD470" i="15" s="1"/>
  <c r="AH470" i="15"/>
  <c r="AK474" i="15"/>
  <c r="AC474" i="15"/>
  <c r="AE474" i="15" s="1"/>
  <c r="Y474" i="15"/>
  <c r="U474" i="15"/>
  <c r="AF474" i="15" s="1"/>
  <c r="Q474" i="15"/>
  <c r="M474" i="15"/>
  <c r="R474" i="15"/>
  <c r="W474" i="15"/>
  <c r="AD474" i="15" s="1"/>
  <c r="AH474" i="15"/>
  <c r="AK478" i="15"/>
  <c r="AC478" i="15"/>
  <c r="AE478" i="15" s="1"/>
  <c r="Y478" i="15"/>
  <c r="U478" i="15"/>
  <c r="AF478" i="15" s="1"/>
  <c r="Q478" i="15"/>
  <c r="M478" i="15"/>
  <c r="R478" i="15"/>
  <c r="W478" i="15"/>
  <c r="AD478" i="15" s="1"/>
  <c r="AH478" i="15"/>
  <c r="AK482" i="15"/>
  <c r="AC482" i="15"/>
  <c r="AE482" i="15" s="1"/>
  <c r="Y482" i="15"/>
  <c r="U482" i="15"/>
  <c r="AF482" i="15" s="1"/>
  <c r="Q482" i="15"/>
  <c r="M482" i="15"/>
  <c r="R482" i="15"/>
  <c r="W482" i="15"/>
  <c r="AD482" i="15" s="1"/>
  <c r="AH482" i="15"/>
  <c r="K483" i="15"/>
  <c r="P483" i="15"/>
  <c r="V483" i="15"/>
  <c r="AB483" i="15" s="1"/>
  <c r="AA483" i="15"/>
  <c r="AG483" i="15" s="1"/>
  <c r="T148" i="16"/>
  <c r="AB150" i="16"/>
  <c r="AK154" i="16"/>
  <c r="AC154" i="16"/>
  <c r="AE154" i="16" s="1"/>
  <c r="U154" i="16"/>
  <c r="AF154" i="16" s="1"/>
  <c r="Q154" i="16"/>
  <c r="M154" i="16"/>
  <c r="AI154" i="16"/>
  <c r="W154" i="16"/>
  <c r="AD154" i="16" s="1"/>
  <c r="S154" i="16"/>
  <c r="O154" i="16"/>
  <c r="K154" i="16"/>
  <c r="AH154" i="16"/>
  <c r="Z154" i="16"/>
  <c r="AA154" i="16" s="1"/>
  <c r="AG154" i="16" s="1"/>
  <c r="R154" i="16"/>
  <c r="X154" i="16"/>
  <c r="Y154" i="16" s="1"/>
  <c r="P154" i="16"/>
  <c r="AL154" i="16"/>
  <c r="V154" i="16"/>
  <c r="AB154" i="16" s="1"/>
  <c r="N154" i="16"/>
  <c r="T156" i="16"/>
  <c r="AK162" i="16"/>
  <c r="AC162" i="16"/>
  <c r="AE162" i="16" s="1"/>
  <c r="U162" i="16"/>
  <c r="AF162" i="16" s="1"/>
  <c r="Q162" i="16"/>
  <c r="M162" i="16"/>
  <c r="AI162" i="16"/>
  <c r="W162" i="16"/>
  <c r="AD162" i="16" s="1"/>
  <c r="S162" i="16"/>
  <c r="O162" i="16"/>
  <c r="K162" i="16"/>
  <c r="AH162" i="16"/>
  <c r="Z162" i="16"/>
  <c r="AA162" i="16" s="1"/>
  <c r="AG162" i="16" s="1"/>
  <c r="R162" i="16"/>
  <c r="X162" i="16"/>
  <c r="Y162" i="16" s="1"/>
  <c r="P162" i="16"/>
  <c r="AL162" i="16"/>
  <c r="V162" i="16"/>
  <c r="AB162" i="16" s="1"/>
  <c r="N162" i="16"/>
  <c r="T164" i="16"/>
  <c r="AB166" i="16"/>
  <c r="AK170" i="16"/>
  <c r="AC170" i="16"/>
  <c r="AE170" i="16" s="1"/>
  <c r="U170" i="16"/>
  <c r="AF170" i="16" s="1"/>
  <c r="Q170" i="16"/>
  <c r="M170" i="16"/>
  <c r="AI170" i="16"/>
  <c r="W170" i="16"/>
  <c r="AD170" i="16" s="1"/>
  <c r="S170" i="16"/>
  <c r="O170" i="16"/>
  <c r="K170" i="16"/>
  <c r="AH170" i="16"/>
  <c r="Z170" i="16"/>
  <c r="AA170" i="16" s="1"/>
  <c r="AG170" i="16" s="1"/>
  <c r="R170" i="16"/>
  <c r="X170" i="16"/>
  <c r="Y170" i="16" s="1"/>
  <c r="P170" i="16"/>
  <c r="AL170" i="16"/>
  <c r="V170" i="16"/>
  <c r="AB170" i="16" s="1"/>
  <c r="N170" i="16"/>
  <c r="T172" i="16"/>
  <c r="AK178" i="16"/>
  <c r="AC178" i="16"/>
  <c r="AE178" i="16" s="1"/>
  <c r="U178" i="16"/>
  <c r="AF178" i="16" s="1"/>
  <c r="Q178" i="16"/>
  <c r="M178" i="16"/>
  <c r="AI178" i="16"/>
  <c r="W178" i="16"/>
  <c r="AD178" i="16" s="1"/>
  <c r="S178" i="16"/>
  <c r="O178" i="16"/>
  <c r="K178" i="16"/>
  <c r="AH178" i="16"/>
  <c r="Z178" i="16"/>
  <c r="AA178" i="16" s="1"/>
  <c r="AG178" i="16" s="1"/>
  <c r="R178" i="16"/>
  <c r="X178" i="16"/>
  <c r="Y178" i="16" s="1"/>
  <c r="P178" i="16"/>
  <c r="AL178" i="16"/>
  <c r="V178" i="16"/>
  <c r="AB178" i="16" s="1"/>
  <c r="N178" i="16"/>
  <c r="T180" i="16"/>
  <c r="AB182" i="16"/>
  <c r="AK186" i="16"/>
  <c r="AC186" i="16"/>
  <c r="AE186" i="16" s="1"/>
  <c r="U186" i="16"/>
  <c r="AF186" i="16" s="1"/>
  <c r="Q186" i="16"/>
  <c r="M186" i="16"/>
  <c r="AI186" i="16"/>
  <c r="W186" i="16"/>
  <c r="AD186" i="16" s="1"/>
  <c r="S186" i="16"/>
  <c r="O186" i="16"/>
  <c r="K186" i="16"/>
  <c r="AH186" i="16"/>
  <c r="Z186" i="16"/>
  <c r="AA186" i="16" s="1"/>
  <c r="AG186" i="16" s="1"/>
  <c r="R186" i="16"/>
  <c r="X186" i="16"/>
  <c r="Y186" i="16" s="1"/>
  <c r="P186" i="16"/>
  <c r="AL186" i="16"/>
  <c r="V186" i="16"/>
  <c r="AB186" i="16" s="1"/>
  <c r="N186" i="16"/>
  <c r="T188" i="16"/>
  <c r="AK194" i="16"/>
  <c r="AC194" i="16"/>
  <c r="AE194" i="16" s="1"/>
  <c r="U194" i="16"/>
  <c r="AF194" i="16" s="1"/>
  <c r="Q194" i="16"/>
  <c r="M194" i="16"/>
  <c r="AI194" i="16"/>
  <c r="W194" i="16"/>
  <c r="AD194" i="16" s="1"/>
  <c r="S194" i="16"/>
  <c r="O194" i="16"/>
  <c r="K194" i="16"/>
  <c r="AH194" i="16"/>
  <c r="Z194" i="16"/>
  <c r="AA194" i="16" s="1"/>
  <c r="AG194" i="16" s="1"/>
  <c r="R194" i="16"/>
  <c r="X194" i="16"/>
  <c r="Y194" i="16" s="1"/>
  <c r="P194" i="16"/>
  <c r="AL194" i="16"/>
  <c r="V194" i="16"/>
  <c r="AB194" i="16" s="1"/>
  <c r="N194" i="16"/>
  <c r="T196" i="16"/>
  <c r="AK202" i="16"/>
  <c r="AC202" i="16"/>
  <c r="AE202" i="16" s="1"/>
  <c r="U202" i="16"/>
  <c r="AF202" i="16" s="1"/>
  <c r="Q202" i="16"/>
  <c r="M202" i="16"/>
  <c r="AI202" i="16"/>
  <c r="W202" i="16"/>
  <c r="AD202" i="16" s="1"/>
  <c r="S202" i="16"/>
  <c r="O202" i="16"/>
  <c r="K202" i="16"/>
  <c r="AH202" i="16"/>
  <c r="Z202" i="16"/>
  <c r="AA202" i="16" s="1"/>
  <c r="AG202" i="16" s="1"/>
  <c r="R202" i="16"/>
  <c r="X202" i="16"/>
  <c r="Y202" i="16" s="1"/>
  <c r="P202" i="16"/>
  <c r="AL202" i="16"/>
  <c r="V202" i="16"/>
  <c r="AB202" i="16" s="1"/>
  <c r="N202" i="16"/>
  <c r="T204" i="16"/>
  <c r="AK210" i="16"/>
  <c r="AC210" i="16"/>
  <c r="AE210" i="16" s="1"/>
  <c r="U210" i="16"/>
  <c r="AF210" i="16" s="1"/>
  <c r="Q210" i="16"/>
  <c r="M210" i="16"/>
  <c r="AI210" i="16"/>
  <c r="W210" i="16"/>
  <c r="AD210" i="16" s="1"/>
  <c r="S210" i="16"/>
  <c r="O210" i="16"/>
  <c r="K210" i="16"/>
  <c r="AH210" i="16"/>
  <c r="Z210" i="16"/>
  <c r="AA210" i="16" s="1"/>
  <c r="AG210" i="16" s="1"/>
  <c r="R210" i="16"/>
  <c r="X210" i="16"/>
  <c r="Y210" i="16" s="1"/>
  <c r="P210" i="16"/>
  <c r="AL210" i="16"/>
  <c r="V210" i="16"/>
  <c r="AB210" i="16" s="1"/>
  <c r="N210" i="16"/>
  <c r="T212" i="16"/>
  <c r="AK218" i="16"/>
  <c r="AC218" i="16"/>
  <c r="AE218" i="16" s="1"/>
  <c r="U218" i="16"/>
  <c r="AF218" i="16" s="1"/>
  <c r="Q218" i="16"/>
  <c r="M218" i="16"/>
  <c r="AI218" i="16"/>
  <c r="W218" i="16"/>
  <c r="AD218" i="16" s="1"/>
  <c r="S218" i="16"/>
  <c r="O218" i="16"/>
  <c r="K218" i="16"/>
  <c r="AH218" i="16"/>
  <c r="Z218" i="16"/>
  <c r="AA218" i="16" s="1"/>
  <c r="AG218" i="16" s="1"/>
  <c r="R218" i="16"/>
  <c r="X218" i="16"/>
  <c r="Y218" i="16" s="1"/>
  <c r="P218" i="16"/>
  <c r="AL218" i="16"/>
  <c r="V218" i="16"/>
  <c r="AB218" i="16" s="1"/>
  <c r="N218" i="16"/>
  <c r="T220" i="16"/>
  <c r="AK226" i="16"/>
  <c r="AC226" i="16"/>
  <c r="AE226" i="16" s="1"/>
  <c r="U226" i="16"/>
  <c r="AF226" i="16" s="1"/>
  <c r="Q226" i="16"/>
  <c r="M226" i="16"/>
  <c r="AI226" i="16"/>
  <c r="W226" i="16"/>
  <c r="AD226" i="16" s="1"/>
  <c r="S226" i="16"/>
  <c r="O226" i="16"/>
  <c r="K226" i="16"/>
  <c r="AH226" i="16"/>
  <c r="Z226" i="16"/>
  <c r="AA226" i="16" s="1"/>
  <c r="AG226" i="16" s="1"/>
  <c r="R226" i="16"/>
  <c r="X226" i="16"/>
  <c r="Y226" i="16" s="1"/>
  <c r="P226" i="16"/>
  <c r="AL226" i="16"/>
  <c r="V226" i="16"/>
  <c r="AB226" i="16" s="1"/>
  <c r="N226" i="16"/>
  <c r="T228" i="16"/>
  <c r="AK236" i="16"/>
  <c r="AC236" i="16"/>
  <c r="AE236" i="16" s="1"/>
  <c r="U236" i="16"/>
  <c r="AF236" i="16" s="1"/>
  <c r="Q236" i="16"/>
  <c r="M236" i="16"/>
  <c r="AI236" i="16"/>
  <c r="W236" i="16"/>
  <c r="AD236" i="16" s="1"/>
  <c r="S236" i="16"/>
  <c r="O236" i="16"/>
  <c r="K236" i="16"/>
  <c r="AH236" i="16"/>
  <c r="Z236" i="16"/>
  <c r="AA236" i="16" s="1"/>
  <c r="AG236" i="16" s="1"/>
  <c r="R236" i="16"/>
  <c r="X236" i="16"/>
  <c r="Y236" i="16" s="1"/>
  <c r="P236" i="16"/>
  <c r="AL236" i="16"/>
  <c r="V236" i="16"/>
  <c r="AB236" i="16" s="1"/>
  <c r="N236" i="16"/>
  <c r="AK244" i="16"/>
  <c r="AC244" i="16"/>
  <c r="AE244" i="16" s="1"/>
  <c r="U244" i="16"/>
  <c r="AF244" i="16" s="1"/>
  <c r="Q244" i="16"/>
  <c r="M244" i="16"/>
  <c r="AI244" i="16"/>
  <c r="W244" i="16"/>
  <c r="AD244" i="16" s="1"/>
  <c r="S244" i="16"/>
  <c r="O244" i="16"/>
  <c r="K244" i="16"/>
  <c r="AH244" i="16"/>
  <c r="Z244" i="16"/>
  <c r="AA244" i="16" s="1"/>
  <c r="AG244" i="16" s="1"/>
  <c r="R244" i="16"/>
  <c r="X244" i="16"/>
  <c r="Y244" i="16" s="1"/>
  <c r="P244" i="16"/>
  <c r="AL244" i="16"/>
  <c r="V244" i="16"/>
  <c r="AB244" i="16" s="1"/>
  <c r="N244" i="16"/>
  <c r="AK252" i="16"/>
  <c r="AC252" i="16"/>
  <c r="AE252" i="16" s="1"/>
  <c r="U252" i="16"/>
  <c r="AF252" i="16" s="1"/>
  <c r="Q252" i="16"/>
  <c r="M252" i="16"/>
  <c r="AI252" i="16"/>
  <c r="W252" i="16"/>
  <c r="AD252" i="16" s="1"/>
  <c r="S252" i="16"/>
  <c r="O252" i="16"/>
  <c r="K252" i="16"/>
  <c r="AH252" i="16"/>
  <c r="Z252" i="16"/>
  <c r="AA252" i="16" s="1"/>
  <c r="AG252" i="16" s="1"/>
  <c r="R252" i="16"/>
  <c r="X252" i="16"/>
  <c r="Y252" i="16" s="1"/>
  <c r="P252" i="16"/>
  <c r="AL252" i="16"/>
  <c r="V252" i="16"/>
  <c r="AB252" i="16" s="1"/>
  <c r="N252" i="16"/>
  <c r="AK260" i="16"/>
  <c r="AC260" i="16"/>
  <c r="AE260" i="16" s="1"/>
  <c r="U260" i="16"/>
  <c r="AF260" i="16" s="1"/>
  <c r="Q260" i="16"/>
  <c r="M260" i="16"/>
  <c r="AI260" i="16"/>
  <c r="W260" i="16"/>
  <c r="AD260" i="16" s="1"/>
  <c r="S260" i="16"/>
  <c r="O260" i="16"/>
  <c r="K260" i="16"/>
  <c r="AH260" i="16"/>
  <c r="Z260" i="16"/>
  <c r="AA260" i="16" s="1"/>
  <c r="AG260" i="16" s="1"/>
  <c r="R260" i="16"/>
  <c r="X260" i="16"/>
  <c r="Y260" i="16" s="1"/>
  <c r="P260" i="16"/>
  <c r="AL260" i="16"/>
  <c r="V260" i="16"/>
  <c r="AB260" i="16" s="1"/>
  <c r="N260" i="16"/>
  <c r="AK268" i="16"/>
  <c r="AC268" i="16"/>
  <c r="AE268" i="16" s="1"/>
  <c r="U268" i="16"/>
  <c r="AF268" i="16" s="1"/>
  <c r="Q268" i="16"/>
  <c r="M268" i="16"/>
  <c r="AI268" i="16"/>
  <c r="W268" i="16"/>
  <c r="AD268" i="16" s="1"/>
  <c r="S268" i="16"/>
  <c r="O268" i="16"/>
  <c r="K268" i="16"/>
  <c r="AH268" i="16"/>
  <c r="Z268" i="16"/>
  <c r="AA268" i="16" s="1"/>
  <c r="AG268" i="16" s="1"/>
  <c r="R268" i="16"/>
  <c r="X268" i="16"/>
  <c r="Y268" i="16" s="1"/>
  <c r="P268" i="16"/>
  <c r="AL268" i="16"/>
  <c r="V268" i="16"/>
  <c r="AB268" i="16" s="1"/>
  <c r="N268" i="16"/>
  <c r="AK276" i="16"/>
  <c r="AC276" i="16"/>
  <c r="AE276" i="16" s="1"/>
  <c r="U276" i="16"/>
  <c r="AF276" i="16" s="1"/>
  <c r="Q276" i="16"/>
  <c r="M276" i="16"/>
  <c r="AI276" i="16"/>
  <c r="W276" i="16"/>
  <c r="AD276" i="16" s="1"/>
  <c r="S276" i="16"/>
  <c r="O276" i="16"/>
  <c r="K276" i="16"/>
  <c r="AH276" i="16"/>
  <c r="Z276" i="16"/>
  <c r="AA276" i="16" s="1"/>
  <c r="AG276" i="16" s="1"/>
  <c r="R276" i="16"/>
  <c r="X276" i="16"/>
  <c r="Y276" i="16" s="1"/>
  <c r="P276" i="16"/>
  <c r="AL276" i="16"/>
  <c r="V276" i="16"/>
  <c r="AB276" i="16" s="1"/>
  <c r="N276" i="16"/>
  <c r="AK483" i="15"/>
  <c r="AC483" i="15"/>
  <c r="AE483" i="15" s="1"/>
  <c r="Y483" i="15"/>
  <c r="U483" i="15"/>
  <c r="AF483" i="15" s="1"/>
  <c r="Q483" i="15"/>
  <c r="M483" i="15"/>
  <c r="AJ483" i="15"/>
  <c r="R483" i="15"/>
  <c r="W483" i="15"/>
  <c r="AD483" i="15" s="1"/>
  <c r="AL483" i="15"/>
  <c r="AK152" i="16"/>
  <c r="AC152" i="16"/>
  <c r="AE152" i="16" s="1"/>
  <c r="U152" i="16"/>
  <c r="AF152" i="16" s="1"/>
  <c r="Q152" i="16"/>
  <c r="M152" i="16"/>
  <c r="AI152" i="16"/>
  <c r="W152" i="16"/>
  <c r="AD152" i="16" s="1"/>
  <c r="S152" i="16"/>
  <c r="O152" i="16"/>
  <c r="K152" i="16"/>
  <c r="AH152" i="16"/>
  <c r="Z152" i="16"/>
  <c r="AA152" i="16" s="1"/>
  <c r="AG152" i="16" s="1"/>
  <c r="R152" i="16"/>
  <c r="X152" i="16"/>
  <c r="Y152" i="16" s="1"/>
  <c r="P152" i="16"/>
  <c r="AL152" i="16"/>
  <c r="V152" i="16"/>
  <c r="AB152" i="16" s="1"/>
  <c r="N152" i="16"/>
  <c r="AK160" i="16"/>
  <c r="AC160" i="16"/>
  <c r="AE160" i="16" s="1"/>
  <c r="U160" i="16"/>
  <c r="AF160" i="16" s="1"/>
  <c r="Q160" i="16"/>
  <c r="M160" i="16"/>
  <c r="AI160" i="16"/>
  <c r="W160" i="16"/>
  <c r="AD160" i="16" s="1"/>
  <c r="S160" i="16"/>
  <c r="O160" i="16"/>
  <c r="K160" i="16"/>
  <c r="AH160" i="16"/>
  <c r="Z160" i="16"/>
  <c r="AA160" i="16" s="1"/>
  <c r="AG160" i="16" s="1"/>
  <c r="R160" i="16"/>
  <c r="X160" i="16"/>
  <c r="Y160" i="16" s="1"/>
  <c r="P160" i="16"/>
  <c r="AL160" i="16"/>
  <c r="V160" i="16"/>
  <c r="AB160" i="16" s="1"/>
  <c r="N160" i="16"/>
  <c r="AK168" i="16"/>
  <c r="AC168" i="16"/>
  <c r="AE168" i="16" s="1"/>
  <c r="U168" i="16"/>
  <c r="AF168" i="16" s="1"/>
  <c r="Q168" i="16"/>
  <c r="M168" i="16"/>
  <c r="AI168" i="16"/>
  <c r="W168" i="16"/>
  <c r="AD168" i="16" s="1"/>
  <c r="S168" i="16"/>
  <c r="O168" i="16"/>
  <c r="K168" i="16"/>
  <c r="AH168" i="16"/>
  <c r="Z168" i="16"/>
  <c r="AA168" i="16" s="1"/>
  <c r="AG168" i="16" s="1"/>
  <c r="R168" i="16"/>
  <c r="X168" i="16"/>
  <c r="Y168" i="16" s="1"/>
  <c r="P168" i="16"/>
  <c r="AL168" i="16"/>
  <c r="V168" i="16"/>
  <c r="AB168" i="16" s="1"/>
  <c r="N168" i="16"/>
  <c r="AK176" i="16"/>
  <c r="AC176" i="16"/>
  <c r="AE176" i="16" s="1"/>
  <c r="U176" i="16"/>
  <c r="AF176" i="16" s="1"/>
  <c r="Q176" i="16"/>
  <c r="M176" i="16"/>
  <c r="AI176" i="16"/>
  <c r="W176" i="16"/>
  <c r="AD176" i="16" s="1"/>
  <c r="S176" i="16"/>
  <c r="O176" i="16"/>
  <c r="K176" i="16"/>
  <c r="AH176" i="16"/>
  <c r="Z176" i="16"/>
  <c r="AA176" i="16" s="1"/>
  <c r="AG176" i="16" s="1"/>
  <c r="R176" i="16"/>
  <c r="X176" i="16"/>
  <c r="Y176" i="16" s="1"/>
  <c r="P176" i="16"/>
  <c r="AL176" i="16"/>
  <c r="V176" i="16"/>
  <c r="AB176" i="16" s="1"/>
  <c r="N176" i="16"/>
  <c r="AK184" i="16"/>
  <c r="AC184" i="16"/>
  <c r="AE184" i="16" s="1"/>
  <c r="U184" i="16"/>
  <c r="AF184" i="16" s="1"/>
  <c r="Q184" i="16"/>
  <c r="M184" i="16"/>
  <c r="AI184" i="16"/>
  <c r="W184" i="16"/>
  <c r="AD184" i="16" s="1"/>
  <c r="S184" i="16"/>
  <c r="O184" i="16"/>
  <c r="K184" i="16"/>
  <c r="AH184" i="16"/>
  <c r="Z184" i="16"/>
  <c r="AA184" i="16" s="1"/>
  <c r="AG184" i="16" s="1"/>
  <c r="R184" i="16"/>
  <c r="X184" i="16"/>
  <c r="Y184" i="16" s="1"/>
  <c r="P184" i="16"/>
  <c r="AL184" i="16"/>
  <c r="V184" i="16"/>
  <c r="AB184" i="16" s="1"/>
  <c r="N184" i="16"/>
  <c r="AB188" i="16"/>
  <c r="AK192" i="16"/>
  <c r="AC192" i="16"/>
  <c r="AE192" i="16" s="1"/>
  <c r="U192" i="16"/>
  <c r="AF192" i="16" s="1"/>
  <c r="Q192" i="16"/>
  <c r="M192" i="16"/>
  <c r="AI192" i="16"/>
  <c r="W192" i="16"/>
  <c r="AD192" i="16" s="1"/>
  <c r="S192" i="16"/>
  <c r="O192" i="16"/>
  <c r="K192" i="16"/>
  <c r="AH192" i="16"/>
  <c r="Z192" i="16"/>
  <c r="AA192" i="16" s="1"/>
  <c r="AG192" i="16" s="1"/>
  <c r="R192" i="16"/>
  <c r="X192" i="16"/>
  <c r="Y192" i="16" s="1"/>
  <c r="P192" i="16"/>
  <c r="AL192" i="16"/>
  <c r="V192" i="16"/>
  <c r="AB192" i="16" s="1"/>
  <c r="N192" i="16"/>
  <c r="AK200" i="16"/>
  <c r="AC200" i="16"/>
  <c r="AE200" i="16" s="1"/>
  <c r="U200" i="16"/>
  <c r="AF200" i="16" s="1"/>
  <c r="Q200" i="16"/>
  <c r="M200" i="16"/>
  <c r="AI200" i="16"/>
  <c r="W200" i="16"/>
  <c r="AD200" i="16" s="1"/>
  <c r="S200" i="16"/>
  <c r="O200" i="16"/>
  <c r="K200" i="16"/>
  <c r="AH200" i="16"/>
  <c r="Z200" i="16"/>
  <c r="AA200" i="16" s="1"/>
  <c r="AG200" i="16" s="1"/>
  <c r="R200" i="16"/>
  <c r="X200" i="16"/>
  <c r="Y200" i="16" s="1"/>
  <c r="P200" i="16"/>
  <c r="AL200" i="16"/>
  <c r="V200" i="16"/>
  <c r="AB200" i="16" s="1"/>
  <c r="N200" i="16"/>
  <c r="AK208" i="16"/>
  <c r="AC208" i="16"/>
  <c r="AE208" i="16" s="1"/>
  <c r="U208" i="16"/>
  <c r="AF208" i="16" s="1"/>
  <c r="Q208" i="16"/>
  <c r="M208" i="16"/>
  <c r="AI208" i="16"/>
  <c r="W208" i="16"/>
  <c r="AD208" i="16" s="1"/>
  <c r="S208" i="16"/>
  <c r="O208" i="16"/>
  <c r="K208" i="16"/>
  <c r="AH208" i="16"/>
  <c r="Z208" i="16"/>
  <c r="AA208" i="16" s="1"/>
  <c r="AG208" i="16" s="1"/>
  <c r="R208" i="16"/>
  <c r="X208" i="16"/>
  <c r="Y208" i="16" s="1"/>
  <c r="P208" i="16"/>
  <c r="AL208" i="16"/>
  <c r="V208" i="16"/>
  <c r="AB208" i="16" s="1"/>
  <c r="N208" i="16"/>
  <c r="AB212" i="16"/>
  <c r="AK216" i="16"/>
  <c r="AC216" i="16"/>
  <c r="AE216" i="16" s="1"/>
  <c r="U216" i="16"/>
  <c r="AF216" i="16" s="1"/>
  <c r="Q216" i="16"/>
  <c r="M216" i="16"/>
  <c r="AI216" i="16"/>
  <c r="W216" i="16"/>
  <c r="AD216" i="16" s="1"/>
  <c r="S216" i="16"/>
  <c r="O216" i="16"/>
  <c r="K216" i="16"/>
  <c r="AH216" i="16"/>
  <c r="Z216" i="16"/>
  <c r="AA216" i="16" s="1"/>
  <c r="AG216" i="16" s="1"/>
  <c r="R216" i="16"/>
  <c r="X216" i="16"/>
  <c r="Y216" i="16" s="1"/>
  <c r="P216" i="16"/>
  <c r="AL216" i="16"/>
  <c r="V216" i="16"/>
  <c r="AB216" i="16" s="1"/>
  <c r="N216" i="16"/>
  <c r="AK224" i="16"/>
  <c r="AC224" i="16"/>
  <c r="AE224" i="16" s="1"/>
  <c r="U224" i="16"/>
  <c r="AF224" i="16" s="1"/>
  <c r="Q224" i="16"/>
  <c r="M224" i="16"/>
  <c r="AI224" i="16"/>
  <c r="W224" i="16"/>
  <c r="AD224" i="16" s="1"/>
  <c r="S224" i="16"/>
  <c r="O224" i="16"/>
  <c r="K224" i="16"/>
  <c r="AH224" i="16"/>
  <c r="Z224" i="16"/>
  <c r="AA224" i="16" s="1"/>
  <c r="AG224" i="16" s="1"/>
  <c r="R224" i="16"/>
  <c r="X224" i="16"/>
  <c r="Y224" i="16" s="1"/>
  <c r="P224" i="16"/>
  <c r="AL224" i="16"/>
  <c r="V224" i="16"/>
  <c r="AB224" i="16" s="1"/>
  <c r="N224" i="16"/>
  <c r="AB230" i="16"/>
  <c r="AK234" i="16"/>
  <c r="AC234" i="16"/>
  <c r="AE234" i="16" s="1"/>
  <c r="U234" i="16"/>
  <c r="AF234" i="16" s="1"/>
  <c r="Q234" i="16"/>
  <c r="M234" i="16"/>
  <c r="AI234" i="16"/>
  <c r="W234" i="16"/>
  <c r="AD234" i="16" s="1"/>
  <c r="S234" i="16"/>
  <c r="O234" i="16"/>
  <c r="K234" i="16"/>
  <c r="AH234" i="16"/>
  <c r="Z234" i="16"/>
  <c r="AA234" i="16" s="1"/>
  <c r="AG234" i="16" s="1"/>
  <c r="R234" i="16"/>
  <c r="X234" i="16"/>
  <c r="Y234" i="16" s="1"/>
  <c r="P234" i="16"/>
  <c r="AL234" i="16"/>
  <c r="V234" i="16"/>
  <c r="AB234" i="16" s="1"/>
  <c r="N234" i="16"/>
  <c r="T236" i="16"/>
  <c r="AK242" i="16"/>
  <c r="AC242" i="16"/>
  <c r="AE242" i="16" s="1"/>
  <c r="U242" i="16"/>
  <c r="AF242" i="16" s="1"/>
  <c r="Q242" i="16"/>
  <c r="M242" i="16"/>
  <c r="AI242" i="16"/>
  <c r="W242" i="16"/>
  <c r="AD242" i="16" s="1"/>
  <c r="S242" i="16"/>
  <c r="O242" i="16"/>
  <c r="K242" i="16"/>
  <c r="AH242" i="16"/>
  <c r="Z242" i="16"/>
  <c r="AA242" i="16" s="1"/>
  <c r="AG242" i="16" s="1"/>
  <c r="R242" i="16"/>
  <c r="X242" i="16"/>
  <c r="Y242" i="16" s="1"/>
  <c r="P242" i="16"/>
  <c r="AL242" i="16"/>
  <c r="V242" i="16"/>
  <c r="AB242" i="16" s="1"/>
  <c r="N242" i="16"/>
  <c r="T244" i="16"/>
  <c r="AK250" i="16"/>
  <c r="AC250" i="16"/>
  <c r="AE250" i="16" s="1"/>
  <c r="U250" i="16"/>
  <c r="AF250" i="16" s="1"/>
  <c r="Q250" i="16"/>
  <c r="M250" i="16"/>
  <c r="AI250" i="16"/>
  <c r="W250" i="16"/>
  <c r="AD250" i="16" s="1"/>
  <c r="S250" i="16"/>
  <c r="O250" i="16"/>
  <c r="K250" i="16"/>
  <c r="AH250" i="16"/>
  <c r="Z250" i="16"/>
  <c r="AA250" i="16" s="1"/>
  <c r="AG250" i="16" s="1"/>
  <c r="R250" i="16"/>
  <c r="X250" i="16"/>
  <c r="Y250" i="16" s="1"/>
  <c r="P250" i="16"/>
  <c r="AL250" i="16"/>
  <c r="V250" i="16"/>
  <c r="AB250" i="16" s="1"/>
  <c r="N250" i="16"/>
  <c r="T252" i="16"/>
  <c r="AK258" i="16"/>
  <c r="AC258" i="16"/>
  <c r="AE258" i="16" s="1"/>
  <c r="U258" i="16"/>
  <c r="AF258" i="16" s="1"/>
  <c r="Q258" i="16"/>
  <c r="M258" i="16"/>
  <c r="AI258" i="16"/>
  <c r="W258" i="16"/>
  <c r="AD258" i="16" s="1"/>
  <c r="S258" i="16"/>
  <c r="O258" i="16"/>
  <c r="K258" i="16"/>
  <c r="AH258" i="16"/>
  <c r="Z258" i="16"/>
  <c r="AA258" i="16" s="1"/>
  <c r="AG258" i="16" s="1"/>
  <c r="R258" i="16"/>
  <c r="X258" i="16"/>
  <c r="Y258" i="16" s="1"/>
  <c r="P258" i="16"/>
  <c r="AL258" i="16"/>
  <c r="V258" i="16"/>
  <c r="AB258" i="16" s="1"/>
  <c r="N258" i="16"/>
  <c r="T260" i="16"/>
  <c r="AK266" i="16"/>
  <c r="AC266" i="16"/>
  <c r="AE266" i="16" s="1"/>
  <c r="U266" i="16"/>
  <c r="AF266" i="16" s="1"/>
  <c r="Q266" i="16"/>
  <c r="M266" i="16"/>
  <c r="AI266" i="16"/>
  <c r="W266" i="16"/>
  <c r="AD266" i="16" s="1"/>
  <c r="S266" i="16"/>
  <c r="O266" i="16"/>
  <c r="K266" i="16"/>
  <c r="AH266" i="16"/>
  <c r="Z266" i="16"/>
  <c r="AA266" i="16" s="1"/>
  <c r="AG266" i="16" s="1"/>
  <c r="R266" i="16"/>
  <c r="X266" i="16"/>
  <c r="Y266" i="16" s="1"/>
  <c r="P266" i="16"/>
  <c r="AL266" i="16"/>
  <c r="V266" i="16"/>
  <c r="AB266" i="16" s="1"/>
  <c r="N266" i="16"/>
  <c r="T268" i="16"/>
  <c r="AK274" i="16"/>
  <c r="AC274" i="16"/>
  <c r="AE274" i="16" s="1"/>
  <c r="U274" i="16"/>
  <c r="AF274" i="16" s="1"/>
  <c r="Q274" i="16"/>
  <c r="M274" i="16"/>
  <c r="AI274" i="16"/>
  <c r="W274" i="16"/>
  <c r="AD274" i="16" s="1"/>
  <c r="S274" i="16"/>
  <c r="O274" i="16"/>
  <c r="K274" i="16"/>
  <c r="AH274" i="16"/>
  <c r="Z274" i="16"/>
  <c r="AA274" i="16" s="1"/>
  <c r="AG274" i="16" s="1"/>
  <c r="R274" i="16"/>
  <c r="X274" i="16"/>
  <c r="Y274" i="16" s="1"/>
  <c r="P274" i="16"/>
  <c r="AL274" i="16"/>
  <c r="V274" i="16"/>
  <c r="AB274" i="16" s="1"/>
  <c r="N274" i="16"/>
  <c r="T276" i="16"/>
  <c r="AK280" i="16"/>
  <c r="AC280" i="16"/>
  <c r="AE280" i="16" s="1"/>
  <c r="U280" i="16"/>
  <c r="AF280" i="16" s="1"/>
  <c r="Q280" i="16"/>
  <c r="M280" i="16"/>
  <c r="AI280" i="16"/>
  <c r="W280" i="16"/>
  <c r="AD280" i="16" s="1"/>
  <c r="S280" i="16"/>
  <c r="O280" i="16"/>
  <c r="K280" i="16"/>
  <c r="T280" i="16"/>
  <c r="AJ280" i="16"/>
  <c r="AK282" i="16"/>
  <c r="AC282" i="16"/>
  <c r="AE282" i="16" s="1"/>
  <c r="U282" i="16"/>
  <c r="AF282" i="16" s="1"/>
  <c r="Q282" i="16"/>
  <c r="M282" i="16"/>
  <c r="AI282" i="16"/>
  <c r="W282" i="16"/>
  <c r="AD282" i="16" s="1"/>
  <c r="S282" i="16"/>
  <c r="O282" i="16"/>
  <c r="K282" i="16"/>
  <c r="T282" i="16"/>
  <c r="AJ282" i="16"/>
  <c r="AK284" i="16"/>
  <c r="AC284" i="16"/>
  <c r="AE284" i="16" s="1"/>
  <c r="U284" i="16"/>
  <c r="AF284" i="16" s="1"/>
  <c r="Q284" i="16"/>
  <c r="M284" i="16"/>
  <c r="AI284" i="16"/>
  <c r="W284" i="16"/>
  <c r="AD284" i="16" s="1"/>
  <c r="S284" i="16"/>
  <c r="O284" i="16"/>
  <c r="K284" i="16"/>
  <c r="T284" i="16"/>
  <c r="AJ284" i="16"/>
  <c r="AK286" i="16"/>
  <c r="AC286" i="16"/>
  <c r="AE286" i="16" s="1"/>
  <c r="U286" i="16"/>
  <c r="AF286" i="16" s="1"/>
  <c r="Q286" i="16"/>
  <c r="M286" i="16"/>
  <c r="AI286" i="16"/>
  <c r="W286" i="16"/>
  <c r="AD286" i="16" s="1"/>
  <c r="S286" i="16"/>
  <c r="O286" i="16"/>
  <c r="K286" i="16"/>
  <c r="T286" i="16"/>
  <c r="AJ286" i="16"/>
  <c r="AK288" i="16"/>
  <c r="AC288" i="16"/>
  <c r="AE288" i="16" s="1"/>
  <c r="U288" i="16"/>
  <c r="AF288" i="16" s="1"/>
  <c r="Q288" i="16"/>
  <c r="M288" i="16"/>
  <c r="AI288" i="16"/>
  <c r="W288" i="16"/>
  <c r="AD288" i="16" s="1"/>
  <c r="S288" i="16"/>
  <c r="O288" i="16"/>
  <c r="K288" i="16"/>
  <c r="T288" i="16"/>
  <c r="AJ288" i="16"/>
  <c r="AK290" i="16"/>
  <c r="AC290" i="16"/>
  <c r="AE290" i="16" s="1"/>
  <c r="U290" i="16"/>
  <c r="AF290" i="16" s="1"/>
  <c r="Q290" i="16"/>
  <c r="M290" i="16"/>
  <c r="AI290" i="16"/>
  <c r="W290" i="16"/>
  <c r="AD290" i="16" s="1"/>
  <c r="S290" i="16"/>
  <c r="O290" i="16"/>
  <c r="K290" i="16"/>
  <c r="T290" i="16"/>
  <c r="AJ290" i="16"/>
  <c r="AK292" i="16"/>
  <c r="AC292" i="16"/>
  <c r="AE292" i="16" s="1"/>
  <c r="U292" i="16"/>
  <c r="AF292" i="16" s="1"/>
  <c r="Q292" i="16"/>
  <c r="M292" i="16"/>
  <c r="AI292" i="16"/>
  <c r="W292" i="16"/>
  <c r="AD292" i="16" s="1"/>
  <c r="S292" i="16"/>
  <c r="O292" i="16"/>
  <c r="K292" i="16"/>
  <c r="T292" i="16"/>
  <c r="AJ292" i="16"/>
  <c r="AK294" i="16"/>
  <c r="AC294" i="16"/>
  <c r="AE294" i="16" s="1"/>
  <c r="U294" i="16"/>
  <c r="AF294" i="16" s="1"/>
  <c r="Q294" i="16"/>
  <c r="M294" i="16"/>
  <c r="AI294" i="16"/>
  <c r="W294" i="16"/>
  <c r="AD294" i="16" s="1"/>
  <c r="S294" i="16"/>
  <c r="O294" i="16"/>
  <c r="K294" i="16"/>
  <c r="T294" i="16"/>
  <c r="AJ294" i="16"/>
  <c r="AK296" i="16"/>
  <c r="AC296" i="16"/>
  <c r="AE296" i="16" s="1"/>
  <c r="U296" i="16"/>
  <c r="AF296" i="16" s="1"/>
  <c r="Q296" i="16"/>
  <c r="M296" i="16"/>
  <c r="AI296" i="16"/>
  <c r="W296" i="16"/>
  <c r="AD296" i="16" s="1"/>
  <c r="S296" i="16"/>
  <c r="O296" i="16"/>
  <c r="K296" i="16"/>
  <c r="T296" i="16"/>
  <c r="AJ296" i="16"/>
  <c r="AK298" i="16"/>
  <c r="AC298" i="16"/>
  <c r="AE298" i="16" s="1"/>
  <c r="U298" i="16"/>
  <c r="AF298" i="16" s="1"/>
  <c r="Q298" i="16"/>
  <c r="M298" i="16"/>
  <c r="AI298" i="16"/>
  <c r="W298" i="16"/>
  <c r="AD298" i="16" s="1"/>
  <c r="S298" i="16"/>
  <c r="O298" i="16"/>
  <c r="K298" i="16"/>
  <c r="T298" i="16"/>
  <c r="AJ298" i="16"/>
  <c r="AK300" i="16"/>
  <c r="AC300" i="16"/>
  <c r="AE300" i="16" s="1"/>
  <c r="U300" i="16"/>
  <c r="AF300" i="16" s="1"/>
  <c r="Q300" i="16"/>
  <c r="M300" i="16"/>
  <c r="AI300" i="16"/>
  <c r="W300" i="16"/>
  <c r="AD300" i="16" s="1"/>
  <c r="S300" i="16"/>
  <c r="O300" i="16"/>
  <c r="K300" i="16"/>
  <c r="T300" i="16"/>
  <c r="AJ300" i="16"/>
  <c r="AK302" i="16"/>
  <c r="AC302" i="16"/>
  <c r="AE302" i="16" s="1"/>
  <c r="U302" i="16"/>
  <c r="AF302" i="16" s="1"/>
  <c r="Q302" i="16"/>
  <c r="M302" i="16"/>
  <c r="AI302" i="16"/>
  <c r="W302" i="16"/>
  <c r="AD302" i="16" s="1"/>
  <c r="S302" i="16"/>
  <c r="O302" i="16"/>
  <c r="K302" i="16"/>
  <c r="T302" i="16"/>
  <c r="AJ302" i="16"/>
  <c r="AK304" i="16"/>
  <c r="AC304" i="16"/>
  <c r="AE304" i="16" s="1"/>
  <c r="U304" i="16"/>
  <c r="AF304" i="16" s="1"/>
  <c r="Q304" i="16"/>
  <c r="M304" i="16"/>
  <c r="AI304" i="16"/>
  <c r="W304" i="16"/>
  <c r="AD304" i="16" s="1"/>
  <c r="S304" i="16"/>
  <c r="O304" i="16"/>
  <c r="K304" i="16"/>
  <c r="T304" i="16"/>
  <c r="AJ304" i="16"/>
  <c r="AK306" i="16"/>
  <c r="AC306" i="16"/>
  <c r="AE306" i="16" s="1"/>
  <c r="U306" i="16"/>
  <c r="AF306" i="16" s="1"/>
  <c r="Q306" i="16"/>
  <c r="M306" i="16"/>
  <c r="AI306" i="16"/>
  <c r="W306" i="16"/>
  <c r="AD306" i="16" s="1"/>
  <c r="S306" i="16"/>
  <c r="O306" i="16"/>
  <c r="K306" i="16"/>
  <c r="T306" i="16"/>
  <c r="AJ306" i="16"/>
  <c r="AK308" i="16"/>
  <c r="AC308" i="16"/>
  <c r="AE308" i="16" s="1"/>
  <c r="U308" i="16"/>
  <c r="AF308" i="16" s="1"/>
  <c r="Q308" i="16"/>
  <c r="M308" i="16"/>
  <c r="AI308" i="16"/>
  <c r="W308" i="16"/>
  <c r="AD308" i="16" s="1"/>
  <c r="S308" i="16"/>
  <c r="O308" i="16"/>
  <c r="K308" i="16"/>
  <c r="T308" i="16"/>
  <c r="AJ308" i="16"/>
  <c r="AK310" i="16"/>
  <c r="AC310" i="16"/>
  <c r="AE310" i="16" s="1"/>
  <c r="U310" i="16"/>
  <c r="AF310" i="16" s="1"/>
  <c r="Q310" i="16"/>
  <c r="M310" i="16"/>
  <c r="AI310" i="16"/>
  <c r="W310" i="16"/>
  <c r="AD310" i="16" s="1"/>
  <c r="S310" i="16"/>
  <c r="O310" i="16"/>
  <c r="K310" i="16"/>
  <c r="T310" i="16"/>
  <c r="AJ310" i="16"/>
  <c r="AK312" i="16"/>
  <c r="AC312" i="16"/>
  <c r="AE312" i="16" s="1"/>
  <c r="U312" i="16"/>
  <c r="AF312" i="16" s="1"/>
  <c r="Q312" i="16"/>
  <c r="M312" i="16"/>
  <c r="AI312" i="16"/>
  <c r="W312" i="16"/>
  <c r="AD312" i="16" s="1"/>
  <c r="S312" i="16"/>
  <c r="O312" i="16"/>
  <c r="K312" i="16"/>
  <c r="T312" i="16"/>
  <c r="AJ312" i="16"/>
  <c r="AK314" i="16"/>
  <c r="AC314" i="16"/>
  <c r="AE314" i="16" s="1"/>
  <c r="U314" i="16"/>
  <c r="AF314" i="16" s="1"/>
  <c r="Q314" i="16"/>
  <c r="M314" i="16"/>
  <c r="AI314" i="16"/>
  <c r="W314" i="16"/>
  <c r="AD314" i="16" s="1"/>
  <c r="S314" i="16"/>
  <c r="O314" i="16"/>
  <c r="K314" i="16"/>
  <c r="T314" i="16"/>
  <c r="AJ314" i="16"/>
  <c r="AK316" i="16"/>
  <c r="AC316" i="16"/>
  <c r="AE316" i="16" s="1"/>
  <c r="U316" i="16"/>
  <c r="AF316" i="16" s="1"/>
  <c r="Q316" i="16"/>
  <c r="M316" i="16"/>
  <c r="AI316" i="16"/>
  <c r="W316" i="16"/>
  <c r="AD316" i="16" s="1"/>
  <c r="S316" i="16"/>
  <c r="O316" i="16"/>
  <c r="K316" i="16"/>
  <c r="T316" i="16"/>
  <c r="AJ316" i="16"/>
  <c r="AK318" i="16"/>
  <c r="AC318" i="16"/>
  <c r="AE318" i="16" s="1"/>
  <c r="U318" i="16"/>
  <c r="AF318" i="16" s="1"/>
  <c r="Q318" i="16"/>
  <c r="M318" i="16"/>
  <c r="AI318" i="16"/>
  <c r="W318" i="16"/>
  <c r="AD318" i="16" s="1"/>
  <c r="S318" i="16"/>
  <c r="O318" i="16"/>
  <c r="K318" i="16"/>
  <c r="T318" i="16"/>
  <c r="AJ318" i="16"/>
  <c r="AK320" i="16"/>
  <c r="AC320" i="16"/>
  <c r="AE320" i="16" s="1"/>
  <c r="U320" i="16"/>
  <c r="AF320" i="16" s="1"/>
  <c r="Q320" i="16"/>
  <c r="M320" i="16"/>
  <c r="AI320" i="16"/>
  <c r="W320" i="16"/>
  <c r="AD320" i="16" s="1"/>
  <c r="S320" i="16"/>
  <c r="O320" i="16"/>
  <c r="K320" i="16"/>
  <c r="T320" i="16"/>
  <c r="AJ320" i="16"/>
  <c r="AK322" i="16"/>
  <c r="AC322" i="16"/>
  <c r="AE322" i="16" s="1"/>
  <c r="U322" i="16"/>
  <c r="AF322" i="16" s="1"/>
  <c r="Q322" i="16"/>
  <c r="M322" i="16"/>
  <c r="AI322" i="16"/>
  <c r="W322" i="16"/>
  <c r="AD322" i="16" s="1"/>
  <c r="S322" i="16"/>
  <c r="O322" i="16"/>
  <c r="K322" i="16"/>
  <c r="T322" i="16"/>
  <c r="AJ322" i="16"/>
  <c r="AK324" i="16"/>
  <c r="AC324" i="16"/>
  <c r="AE324" i="16" s="1"/>
  <c r="U324" i="16"/>
  <c r="AF324" i="16" s="1"/>
  <c r="Q324" i="16"/>
  <c r="M324" i="16"/>
  <c r="AI324" i="16"/>
  <c r="W324" i="16"/>
  <c r="AD324" i="16" s="1"/>
  <c r="S324" i="16"/>
  <c r="O324" i="16"/>
  <c r="K324" i="16"/>
  <c r="T324" i="16"/>
  <c r="AJ324" i="16"/>
  <c r="AK326" i="16"/>
  <c r="AC326" i="16"/>
  <c r="AE326" i="16" s="1"/>
  <c r="U326" i="16"/>
  <c r="AF326" i="16" s="1"/>
  <c r="Q326" i="16"/>
  <c r="M326" i="16"/>
  <c r="AI326" i="16"/>
  <c r="W326" i="16"/>
  <c r="AD326" i="16" s="1"/>
  <c r="S326" i="16"/>
  <c r="O326" i="16"/>
  <c r="K326" i="16"/>
  <c r="T326" i="16"/>
  <c r="AJ326" i="16"/>
  <c r="AK328" i="16"/>
  <c r="AC328" i="16"/>
  <c r="AE328" i="16" s="1"/>
  <c r="U328" i="16"/>
  <c r="AF328" i="16" s="1"/>
  <c r="Q328" i="16"/>
  <c r="M328" i="16"/>
  <c r="AI328" i="16"/>
  <c r="W328" i="16"/>
  <c r="AD328" i="16" s="1"/>
  <c r="S328" i="16"/>
  <c r="O328" i="16"/>
  <c r="K328" i="16"/>
  <c r="T328" i="16"/>
  <c r="AJ328" i="16"/>
  <c r="AK330" i="16"/>
  <c r="AC330" i="16"/>
  <c r="AE330" i="16" s="1"/>
  <c r="U330" i="16"/>
  <c r="AF330" i="16" s="1"/>
  <c r="Q330" i="16"/>
  <c r="M330" i="16"/>
  <c r="AI330" i="16"/>
  <c r="W330" i="16"/>
  <c r="AD330" i="16" s="1"/>
  <c r="S330" i="16"/>
  <c r="O330" i="16"/>
  <c r="K330" i="16"/>
  <c r="T330" i="16"/>
  <c r="AJ330" i="16"/>
  <c r="AK332" i="16"/>
  <c r="AC332" i="16"/>
  <c r="AE332" i="16" s="1"/>
  <c r="U332" i="16"/>
  <c r="AF332" i="16" s="1"/>
  <c r="Q332" i="16"/>
  <c r="M332" i="16"/>
  <c r="AI332" i="16"/>
  <c r="W332" i="16"/>
  <c r="AD332" i="16" s="1"/>
  <c r="S332" i="16"/>
  <c r="O332" i="16"/>
  <c r="K332" i="16"/>
  <c r="T332" i="16"/>
  <c r="AJ332" i="16"/>
  <c r="AK334" i="16"/>
  <c r="AC334" i="16"/>
  <c r="AE334" i="16" s="1"/>
  <c r="U334" i="16"/>
  <c r="AF334" i="16" s="1"/>
  <c r="Q334" i="16"/>
  <c r="M334" i="16"/>
  <c r="AI334" i="16"/>
  <c r="W334" i="16"/>
  <c r="AD334" i="16" s="1"/>
  <c r="S334" i="16"/>
  <c r="O334" i="16"/>
  <c r="K334" i="16"/>
  <c r="T334" i="16"/>
  <c r="AJ334" i="16"/>
  <c r="AK336" i="16"/>
  <c r="AC336" i="16"/>
  <c r="AE336" i="16" s="1"/>
  <c r="U336" i="16"/>
  <c r="AF336" i="16" s="1"/>
  <c r="Q336" i="16"/>
  <c r="M336" i="16"/>
  <c r="AI336" i="16"/>
  <c r="W336" i="16"/>
  <c r="AD336" i="16" s="1"/>
  <c r="S336" i="16"/>
  <c r="O336" i="16"/>
  <c r="K336" i="16"/>
  <c r="T336" i="16"/>
  <c r="AJ336" i="16"/>
  <c r="AK338" i="16"/>
  <c r="AC338" i="16"/>
  <c r="AE338" i="16" s="1"/>
  <c r="U338" i="16"/>
  <c r="AF338" i="16" s="1"/>
  <c r="Q338" i="16"/>
  <c r="M338" i="16"/>
  <c r="AI338" i="16"/>
  <c r="W338" i="16"/>
  <c r="AD338" i="16" s="1"/>
  <c r="S338" i="16"/>
  <c r="O338" i="16"/>
  <c r="K338" i="16"/>
  <c r="T338" i="16"/>
  <c r="AJ338" i="16"/>
  <c r="AK340" i="16"/>
  <c r="AC340" i="16"/>
  <c r="AE340" i="16" s="1"/>
  <c r="U340" i="16"/>
  <c r="AF340" i="16" s="1"/>
  <c r="Q340" i="16"/>
  <c r="M340" i="16"/>
  <c r="AI340" i="16"/>
  <c r="W340" i="16"/>
  <c r="AD340" i="16" s="1"/>
  <c r="S340" i="16"/>
  <c r="O340" i="16"/>
  <c r="K340" i="16"/>
  <c r="T340" i="16"/>
  <c r="AJ340" i="16"/>
  <c r="AK342" i="16"/>
  <c r="AC342" i="16"/>
  <c r="AE342" i="16" s="1"/>
  <c r="U342" i="16"/>
  <c r="AF342" i="16" s="1"/>
  <c r="Q342" i="16"/>
  <c r="M342" i="16"/>
  <c r="AI342" i="16"/>
  <c r="W342" i="16"/>
  <c r="AD342" i="16" s="1"/>
  <c r="S342" i="16"/>
  <c r="O342" i="16"/>
  <c r="K342" i="16"/>
  <c r="T342" i="16"/>
  <c r="AJ342" i="16"/>
  <c r="AK344" i="16"/>
  <c r="AC344" i="16"/>
  <c r="AE344" i="16" s="1"/>
  <c r="U344" i="16"/>
  <c r="AF344" i="16" s="1"/>
  <c r="Q344" i="16"/>
  <c r="M344" i="16"/>
  <c r="AI344" i="16"/>
  <c r="W344" i="16"/>
  <c r="AD344" i="16" s="1"/>
  <c r="S344" i="16"/>
  <c r="O344" i="16"/>
  <c r="K344" i="16"/>
  <c r="T344" i="16"/>
  <c r="AJ344" i="16"/>
  <c r="AK346" i="16"/>
  <c r="AC346" i="16"/>
  <c r="AE346" i="16" s="1"/>
  <c r="U346" i="16"/>
  <c r="AF346" i="16" s="1"/>
  <c r="Q346" i="16"/>
  <c r="M346" i="16"/>
  <c r="AI346" i="16"/>
  <c r="W346" i="16"/>
  <c r="AD346" i="16" s="1"/>
  <c r="S346" i="16"/>
  <c r="O346" i="16"/>
  <c r="K346" i="16"/>
  <c r="T346" i="16"/>
  <c r="AJ346" i="16"/>
  <c r="AK348" i="16"/>
  <c r="AC348" i="16"/>
  <c r="AE348" i="16" s="1"/>
  <c r="U348" i="16"/>
  <c r="AF348" i="16" s="1"/>
  <c r="Q348" i="16"/>
  <c r="M348" i="16"/>
  <c r="AI348" i="16"/>
  <c r="W348" i="16"/>
  <c r="AD348" i="16" s="1"/>
  <c r="S348" i="16"/>
  <c r="O348" i="16"/>
  <c r="K348" i="16"/>
  <c r="T348" i="16"/>
  <c r="AJ348" i="16"/>
  <c r="AK350" i="16"/>
  <c r="AC350" i="16"/>
  <c r="AE350" i="16" s="1"/>
  <c r="U350" i="16"/>
  <c r="AF350" i="16" s="1"/>
  <c r="Q350" i="16"/>
  <c r="M350" i="16"/>
  <c r="AI350" i="16"/>
  <c r="W350" i="16"/>
  <c r="AD350" i="16" s="1"/>
  <c r="S350" i="16"/>
  <c r="O350" i="16"/>
  <c r="K350" i="16"/>
  <c r="T350" i="16"/>
  <c r="AJ350" i="16"/>
  <c r="AK352" i="16"/>
  <c r="AC352" i="16"/>
  <c r="AE352" i="16" s="1"/>
  <c r="U352" i="16"/>
  <c r="AF352" i="16" s="1"/>
  <c r="Q352" i="16"/>
  <c r="M352" i="16"/>
  <c r="AI352" i="16"/>
  <c r="W352" i="16"/>
  <c r="AD352" i="16" s="1"/>
  <c r="S352" i="16"/>
  <c r="O352" i="16"/>
  <c r="K352" i="16"/>
  <c r="T352" i="16"/>
  <c r="AJ352" i="16"/>
  <c r="AK354" i="16"/>
  <c r="AC354" i="16"/>
  <c r="AE354" i="16" s="1"/>
  <c r="U354" i="16"/>
  <c r="AF354" i="16" s="1"/>
  <c r="Q354" i="16"/>
  <c r="M354" i="16"/>
  <c r="AI354" i="16"/>
  <c r="W354" i="16"/>
  <c r="AD354" i="16" s="1"/>
  <c r="S354" i="16"/>
  <c r="O354" i="16"/>
  <c r="K354" i="16"/>
  <c r="T354" i="16"/>
  <c r="AJ354" i="16"/>
  <c r="AK356" i="16"/>
  <c r="AC356" i="16"/>
  <c r="AE356" i="16" s="1"/>
  <c r="U356" i="16"/>
  <c r="AF356" i="16" s="1"/>
  <c r="Q356" i="16"/>
  <c r="M356" i="16"/>
  <c r="AI356" i="16"/>
  <c r="W356" i="16"/>
  <c r="AD356" i="16" s="1"/>
  <c r="S356" i="16"/>
  <c r="O356" i="16"/>
  <c r="K356" i="16"/>
  <c r="T356" i="16"/>
  <c r="AJ356" i="16"/>
  <c r="AK358" i="16"/>
  <c r="AC358" i="16"/>
  <c r="AE358" i="16" s="1"/>
  <c r="U358" i="16"/>
  <c r="AF358" i="16" s="1"/>
  <c r="Q358" i="16"/>
  <c r="M358" i="16"/>
  <c r="AI358" i="16"/>
  <c r="W358" i="16"/>
  <c r="AD358" i="16" s="1"/>
  <c r="S358" i="16"/>
  <c r="O358" i="16"/>
  <c r="K358" i="16"/>
  <c r="T358" i="16"/>
  <c r="AJ358" i="16"/>
  <c r="AK360" i="16"/>
  <c r="AC360" i="16"/>
  <c r="AE360" i="16" s="1"/>
  <c r="U360" i="16"/>
  <c r="AF360" i="16" s="1"/>
  <c r="Q360" i="16"/>
  <c r="M360" i="16"/>
  <c r="AI360" i="16"/>
  <c r="W360" i="16"/>
  <c r="AD360" i="16" s="1"/>
  <c r="S360" i="16"/>
  <c r="O360" i="16"/>
  <c r="K360" i="16"/>
  <c r="T360" i="16"/>
  <c r="AJ360" i="16"/>
  <c r="AK362" i="16"/>
  <c r="AC362" i="16"/>
  <c r="AE362" i="16" s="1"/>
  <c r="Y362" i="16"/>
  <c r="U362" i="16"/>
  <c r="AF362" i="16" s="1"/>
  <c r="Q362" i="16"/>
  <c r="M362" i="16"/>
  <c r="AI362" i="16"/>
  <c r="W362" i="16"/>
  <c r="AD362" i="16" s="1"/>
  <c r="S362" i="16"/>
  <c r="O362" i="16"/>
  <c r="K362" i="16"/>
  <c r="T362" i="16"/>
  <c r="AJ362" i="16"/>
  <c r="AK364" i="16"/>
  <c r="AC364" i="16"/>
  <c r="AE364" i="16" s="1"/>
  <c r="U364" i="16"/>
  <c r="AF364" i="16" s="1"/>
  <c r="Q364" i="16"/>
  <c r="M364" i="16"/>
  <c r="AI364" i="16"/>
  <c r="W364" i="16"/>
  <c r="AD364" i="16" s="1"/>
  <c r="S364" i="16"/>
  <c r="O364" i="16"/>
  <c r="K364" i="16"/>
  <c r="T364" i="16"/>
  <c r="AJ364" i="16"/>
  <c r="AK366" i="16"/>
  <c r="AC366" i="16"/>
  <c r="AE366" i="16" s="1"/>
  <c r="U366" i="16"/>
  <c r="AF366" i="16" s="1"/>
  <c r="Q366" i="16"/>
  <c r="M366" i="16"/>
  <c r="AI366" i="16"/>
  <c r="W366" i="16"/>
  <c r="AD366" i="16" s="1"/>
  <c r="S366" i="16"/>
  <c r="O366" i="16"/>
  <c r="K366" i="16"/>
  <c r="T366" i="16"/>
  <c r="AJ366" i="16"/>
  <c r="AK368" i="16"/>
  <c r="AC368" i="16"/>
  <c r="AE368" i="16" s="1"/>
  <c r="U368" i="16"/>
  <c r="AF368" i="16" s="1"/>
  <c r="Q368" i="16"/>
  <c r="M368" i="16"/>
  <c r="AI368" i="16"/>
  <c r="W368" i="16"/>
  <c r="AD368" i="16" s="1"/>
  <c r="S368" i="16"/>
  <c r="O368" i="16"/>
  <c r="K368" i="16"/>
  <c r="T368" i="16"/>
  <c r="AJ368" i="16"/>
  <c r="AK370" i="16"/>
  <c r="AC370" i="16"/>
  <c r="AE370" i="16" s="1"/>
  <c r="U370" i="16"/>
  <c r="AF370" i="16" s="1"/>
  <c r="Q370" i="16"/>
  <c r="M370" i="16"/>
  <c r="AI370" i="16"/>
  <c r="W370" i="16"/>
  <c r="AD370" i="16" s="1"/>
  <c r="S370" i="16"/>
  <c r="O370" i="16"/>
  <c r="K370" i="16"/>
  <c r="T370" i="16"/>
  <c r="AJ370" i="16"/>
  <c r="AK372" i="16"/>
  <c r="AC372" i="16"/>
  <c r="AE372" i="16" s="1"/>
  <c r="U372" i="16"/>
  <c r="AF372" i="16" s="1"/>
  <c r="Q372" i="16"/>
  <c r="M372" i="16"/>
  <c r="AI372" i="16"/>
  <c r="W372" i="16"/>
  <c r="AD372" i="16" s="1"/>
  <c r="S372" i="16"/>
  <c r="O372" i="16"/>
  <c r="K372" i="16"/>
  <c r="T372" i="16"/>
  <c r="AJ372" i="16"/>
  <c r="AK374" i="16"/>
  <c r="AC374" i="16"/>
  <c r="AE374" i="16" s="1"/>
  <c r="U374" i="16"/>
  <c r="AF374" i="16" s="1"/>
  <c r="Q374" i="16"/>
  <c r="M374" i="16"/>
  <c r="AI374" i="16"/>
  <c r="W374" i="16"/>
  <c r="AD374" i="16" s="1"/>
  <c r="S374" i="16"/>
  <c r="O374" i="16"/>
  <c r="K374" i="16"/>
  <c r="T374" i="16"/>
  <c r="AJ374" i="16"/>
  <c r="AK376" i="16"/>
  <c r="AC376" i="16"/>
  <c r="AE376" i="16" s="1"/>
  <c r="U376" i="16"/>
  <c r="AF376" i="16" s="1"/>
  <c r="Q376" i="16"/>
  <c r="M376" i="16"/>
  <c r="AJ376" i="16"/>
  <c r="AI376" i="16"/>
  <c r="W376" i="16"/>
  <c r="AD376" i="16" s="1"/>
  <c r="S376" i="16"/>
  <c r="O376" i="16"/>
  <c r="K376" i="16"/>
  <c r="T376" i="16"/>
  <c r="N280" i="16"/>
  <c r="V280" i="16"/>
  <c r="AB280" i="16" s="1"/>
  <c r="AL280" i="16"/>
  <c r="N282" i="16"/>
  <c r="V282" i="16"/>
  <c r="AB282" i="16" s="1"/>
  <c r="AL282" i="16"/>
  <c r="N284" i="16"/>
  <c r="V284" i="16"/>
  <c r="AB284" i="16" s="1"/>
  <c r="AL284" i="16"/>
  <c r="N286" i="16"/>
  <c r="V286" i="16"/>
  <c r="AB286" i="16" s="1"/>
  <c r="AL286" i="16"/>
  <c r="N288" i="16"/>
  <c r="V288" i="16"/>
  <c r="AB288" i="16" s="1"/>
  <c r="AL288" i="16"/>
  <c r="N290" i="16"/>
  <c r="V290" i="16"/>
  <c r="AB290" i="16" s="1"/>
  <c r="AL290" i="16"/>
  <c r="N292" i="16"/>
  <c r="V292" i="16"/>
  <c r="AB292" i="16" s="1"/>
  <c r="AL292" i="16"/>
  <c r="N294" i="16"/>
  <c r="V294" i="16"/>
  <c r="AB294" i="16" s="1"/>
  <c r="AL294" i="16"/>
  <c r="N296" i="16"/>
  <c r="V296" i="16"/>
  <c r="AB296" i="16" s="1"/>
  <c r="AL296" i="16"/>
  <c r="N298" i="16"/>
  <c r="V298" i="16"/>
  <c r="AB298" i="16" s="1"/>
  <c r="AL298" i="16"/>
  <c r="N300" i="16"/>
  <c r="V300" i="16"/>
  <c r="AB300" i="16" s="1"/>
  <c r="AL300" i="16"/>
  <c r="N302" i="16"/>
  <c r="V302" i="16"/>
  <c r="AB302" i="16" s="1"/>
  <c r="AL302" i="16"/>
  <c r="N304" i="16"/>
  <c r="V304" i="16"/>
  <c r="AB304" i="16" s="1"/>
  <c r="AL304" i="16"/>
  <c r="N306" i="16"/>
  <c r="V306" i="16"/>
  <c r="AB306" i="16" s="1"/>
  <c r="AL306" i="16"/>
  <c r="N308" i="16"/>
  <c r="V308" i="16"/>
  <c r="AB308" i="16" s="1"/>
  <c r="AL308" i="16"/>
  <c r="N310" i="16"/>
  <c r="V310" i="16"/>
  <c r="AB310" i="16" s="1"/>
  <c r="AL310" i="16"/>
  <c r="N312" i="16"/>
  <c r="V312" i="16"/>
  <c r="AB312" i="16" s="1"/>
  <c r="AL312" i="16"/>
  <c r="N314" i="16"/>
  <c r="V314" i="16"/>
  <c r="AB314" i="16" s="1"/>
  <c r="AL314" i="16"/>
  <c r="N316" i="16"/>
  <c r="V316" i="16"/>
  <c r="AB316" i="16" s="1"/>
  <c r="AL316" i="16"/>
  <c r="N318" i="16"/>
  <c r="V318" i="16"/>
  <c r="AB318" i="16" s="1"/>
  <c r="AL318" i="16"/>
  <c r="N320" i="16"/>
  <c r="V320" i="16"/>
  <c r="AB320" i="16" s="1"/>
  <c r="AL320" i="16"/>
  <c r="N322" i="16"/>
  <c r="V322" i="16"/>
  <c r="AB322" i="16" s="1"/>
  <c r="AL322" i="16"/>
  <c r="N324" i="16"/>
  <c r="V324" i="16"/>
  <c r="AB324" i="16" s="1"/>
  <c r="AL324" i="16"/>
  <c r="N326" i="16"/>
  <c r="V326" i="16"/>
  <c r="AB326" i="16" s="1"/>
  <c r="AL326" i="16"/>
  <c r="N328" i="16"/>
  <c r="V328" i="16"/>
  <c r="AB328" i="16" s="1"/>
  <c r="AL328" i="16"/>
  <c r="N330" i="16"/>
  <c r="V330" i="16"/>
  <c r="AB330" i="16" s="1"/>
  <c r="AL330" i="16"/>
  <c r="N332" i="16"/>
  <c r="V332" i="16"/>
  <c r="AB332" i="16" s="1"/>
  <c r="AL332" i="16"/>
  <c r="N334" i="16"/>
  <c r="V334" i="16"/>
  <c r="AB334" i="16" s="1"/>
  <c r="AL334" i="16"/>
  <c r="N336" i="16"/>
  <c r="V336" i="16"/>
  <c r="AB336" i="16" s="1"/>
  <c r="AL336" i="16"/>
  <c r="N338" i="16"/>
  <c r="V338" i="16"/>
  <c r="AB338" i="16" s="1"/>
  <c r="AL338" i="16"/>
  <c r="N340" i="16"/>
  <c r="V340" i="16"/>
  <c r="AB340" i="16" s="1"/>
  <c r="AL340" i="16"/>
  <c r="N342" i="16"/>
  <c r="V342" i="16"/>
  <c r="AB342" i="16" s="1"/>
  <c r="AL342" i="16"/>
  <c r="N344" i="16"/>
  <c r="V344" i="16"/>
  <c r="AB344" i="16" s="1"/>
  <c r="AL344" i="16"/>
  <c r="N346" i="16"/>
  <c r="V346" i="16"/>
  <c r="AB346" i="16" s="1"/>
  <c r="AL346" i="16"/>
  <c r="N348" i="16"/>
  <c r="V348" i="16"/>
  <c r="AB348" i="16" s="1"/>
  <c r="AL348" i="16"/>
  <c r="N350" i="16"/>
  <c r="V350" i="16"/>
  <c r="AB350" i="16" s="1"/>
  <c r="AL350" i="16"/>
  <c r="N352" i="16"/>
  <c r="V352" i="16"/>
  <c r="AB352" i="16" s="1"/>
  <c r="AL352" i="16"/>
  <c r="N354" i="16"/>
  <c r="V354" i="16"/>
  <c r="AB354" i="16" s="1"/>
  <c r="AL354" i="16"/>
  <c r="N356" i="16"/>
  <c r="V356" i="16"/>
  <c r="AB356" i="16" s="1"/>
  <c r="AL356" i="16"/>
  <c r="N358" i="16"/>
  <c r="V358" i="16"/>
  <c r="AB358" i="16" s="1"/>
  <c r="AL358" i="16"/>
  <c r="N360" i="16"/>
  <c r="V360" i="16"/>
  <c r="AB360" i="16" s="1"/>
  <c r="AL360" i="16"/>
  <c r="N362" i="16"/>
  <c r="V362" i="16"/>
  <c r="AB362" i="16" s="1"/>
  <c r="AL362" i="16"/>
  <c r="N364" i="16"/>
  <c r="V364" i="16"/>
  <c r="AB364" i="16" s="1"/>
  <c r="AL364" i="16"/>
  <c r="N366" i="16"/>
  <c r="V366" i="16"/>
  <c r="AB366" i="16" s="1"/>
  <c r="AL366" i="16"/>
  <c r="N368" i="16"/>
  <c r="V368" i="16"/>
  <c r="AB368" i="16" s="1"/>
  <c r="AL368" i="16"/>
  <c r="N370" i="16"/>
  <c r="V370" i="16"/>
  <c r="AB370" i="16" s="1"/>
  <c r="AL370" i="16"/>
  <c r="N372" i="16"/>
  <c r="V372" i="16"/>
  <c r="AB372" i="16" s="1"/>
  <c r="AL372" i="16"/>
  <c r="N374" i="16"/>
  <c r="V374" i="16"/>
  <c r="AB374" i="16" s="1"/>
  <c r="AL374" i="16"/>
  <c r="N376" i="16"/>
  <c r="V376" i="16"/>
  <c r="AB376" i="16" s="1"/>
  <c r="AI296" i="17"/>
  <c r="W296" i="17"/>
  <c r="AD296" i="17" s="1"/>
  <c r="S296" i="17"/>
  <c r="O296" i="17"/>
  <c r="K296" i="17"/>
  <c r="AK296" i="17"/>
  <c r="AC296" i="17"/>
  <c r="AE296" i="17" s="1"/>
  <c r="U296" i="17"/>
  <c r="AF296" i="17" s="1"/>
  <c r="Q296" i="17"/>
  <c r="M296" i="17"/>
  <c r="AH296" i="17"/>
  <c r="Z296" i="17"/>
  <c r="AA296" i="17" s="1"/>
  <c r="AG296" i="17" s="1"/>
  <c r="R296" i="17"/>
  <c r="X296" i="17"/>
  <c r="Y296" i="17" s="1"/>
  <c r="P296" i="17"/>
  <c r="AJ296" i="17"/>
  <c r="T296" i="17"/>
  <c r="N296" i="17"/>
  <c r="AL296" i="17"/>
  <c r="V296" i="17"/>
  <c r="AB296" i="17" s="1"/>
  <c r="P484" i="15"/>
  <c r="T484" i="15"/>
  <c r="X484" i="15"/>
  <c r="AB484" i="15"/>
  <c r="AJ484" i="15"/>
  <c r="P485" i="15"/>
  <c r="T485" i="15"/>
  <c r="X485" i="15"/>
  <c r="Y485" i="15" s="1"/>
  <c r="AB485" i="15"/>
  <c r="AJ485" i="15"/>
  <c r="P486" i="15"/>
  <c r="T486" i="15"/>
  <c r="X486" i="15"/>
  <c r="Y486" i="15" s="1"/>
  <c r="AB486" i="15"/>
  <c r="AJ486" i="15"/>
  <c r="P487" i="15"/>
  <c r="T487" i="15"/>
  <c r="X487" i="15"/>
  <c r="AB487" i="15"/>
  <c r="AJ487" i="15"/>
  <c r="P488" i="15"/>
  <c r="T488" i="15"/>
  <c r="X488" i="15"/>
  <c r="AB488" i="15"/>
  <c r="AJ488" i="15"/>
  <c r="P489" i="15"/>
  <c r="T489" i="15"/>
  <c r="X489" i="15"/>
  <c r="Y489" i="15" s="1"/>
  <c r="AB489" i="15"/>
  <c r="AJ489" i="15"/>
  <c r="P490" i="15"/>
  <c r="T490" i="15"/>
  <c r="X490" i="15"/>
  <c r="AB490" i="15"/>
  <c r="AJ490" i="15"/>
  <c r="P491" i="15"/>
  <c r="T491" i="15"/>
  <c r="X491" i="15"/>
  <c r="AB491" i="15"/>
  <c r="AJ491" i="15"/>
  <c r="P492" i="15"/>
  <c r="T492" i="15"/>
  <c r="X492" i="15"/>
  <c r="AB492" i="15"/>
  <c r="AJ492" i="15"/>
  <c r="P493" i="15"/>
  <c r="T493" i="15"/>
  <c r="X493" i="15"/>
  <c r="Y493" i="15" s="1"/>
  <c r="AB493" i="15"/>
  <c r="AJ493" i="15"/>
  <c r="P494" i="15"/>
  <c r="T494" i="15"/>
  <c r="X494" i="15"/>
  <c r="AB494" i="15"/>
  <c r="AJ494" i="15"/>
  <c r="P495" i="15"/>
  <c r="T495" i="15"/>
  <c r="X495" i="15"/>
  <c r="AB495" i="15"/>
  <c r="AJ495" i="15"/>
  <c r="P496" i="15"/>
  <c r="T496" i="15"/>
  <c r="X496" i="15"/>
  <c r="Y496" i="15" s="1"/>
  <c r="AB496" i="15"/>
  <c r="AJ496" i="15"/>
  <c r="P497" i="15"/>
  <c r="T497" i="15"/>
  <c r="X497" i="15"/>
  <c r="Y497" i="15" s="1"/>
  <c r="AB497" i="15"/>
  <c r="AJ497" i="15"/>
  <c r="P498" i="15"/>
  <c r="T498" i="15"/>
  <c r="X498" i="15"/>
  <c r="AB498" i="15"/>
  <c r="AJ498" i="15"/>
  <c r="P499" i="15"/>
  <c r="T499" i="15"/>
  <c r="X499" i="15"/>
  <c r="AB499" i="15"/>
  <c r="AJ499" i="15"/>
  <c r="P500" i="15"/>
  <c r="T500" i="15"/>
  <c r="X500" i="15"/>
  <c r="AB500" i="15"/>
  <c r="AJ500" i="15"/>
  <c r="P4" i="16"/>
  <c r="T4" i="16"/>
  <c r="X4" i="16"/>
  <c r="Y4" i="16" s="1"/>
  <c r="AB4" i="16"/>
  <c r="AJ4" i="16"/>
  <c r="P8" i="16"/>
  <c r="T8" i="16"/>
  <c r="X8" i="16"/>
  <c r="Y8" i="16" s="1"/>
  <c r="AB8" i="16"/>
  <c r="AJ8" i="16"/>
  <c r="AI106" i="16"/>
  <c r="K107" i="16"/>
  <c r="O107" i="16"/>
  <c r="S107" i="16"/>
  <c r="W107" i="16"/>
  <c r="AD107" i="16" s="1"/>
  <c r="AA107" i="16"/>
  <c r="AG107" i="16" s="1"/>
  <c r="AI107" i="16"/>
  <c r="K108" i="16"/>
  <c r="O108" i="16"/>
  <c r="S108" i="16"/>
  <c r="W108" i="16"/>
  <c r="AD108" i="16" s="1"/>
  <c r="AA108" i="16"/>
  <c r="AG108" i="16" s="1"/>
  <c r="AI108" i="16"/>
  <c r="K109" i="16"/>
  <c r="O109" i="16"/>
  <c r="S109" i="16"/>
  <c r="W109" i="16"/>
  <c r="AD109" i="16" s="1"/>
  <c r="AA109" i="16"/>
  <c r="AG109" i="16" s="1"/>
  <c r="AI109" i="16"/>
  <c r="K110" i="16"/>
  <c r="O110" i="16"/>
  <c r="S110" i="16"/>
  <c r="W110" i="16"/>
  <c r="AD110" i="16" s="1"/>
  <c r="AA110" i="16"/>
  <c r="AG110" i="16" s="1"/>
  <c r="AI110" i="16"/>
  <c r="K111" i="16"/>
  <c r="O111" i="16"/>
  <c r="S111" i="16"/>
  <c r="W111" i="16"/>
  <c r="AD111" i="16" s="1"/>
  <c r="AA111" i="16"/>
  <c r="AG111" i="16" s="1"/>
  <c r="AI111" i="16"/>
  <c r="K112" i="16"/>
  <c r="O112" i="16"/>
  <c r="S112" i="16"/>
  <c r="W112" i="16"/>
  <c r="AD112" i="16" s="1"/>
  <c r="AA112" i="16"/>
  <c r="AG112" i="16" s="1"/>
  <c r="AI112" i="16"/>
  <c r="K113" i="16"/>
  <c r="O113" i="16"/>
  <c r="S113" i="16"/>
  <c r="W113" i="16"/>
  <c r="AD113" i="16" s="1"/>
  <c r="AA113" i="16"/>
  <c r="AG113" i="16" s="1"/>
  <c r="AI113" i="16"/>
  <c r="K114" i="16"/>
  <c r="O114" i="16"/>
  <c r="S114" i="16"/>
  <c r="W114" i="16"/>
  <c r="AD114" i="16" s="1"/>
  <c r="AA114" i="16"/>
  <c r="AG114" i="16" s="1"/>
  <c r="AI114" i="16"/>
  <c r="K115" i="16"/>
  <c r="O115" i="16"/>
  <c r="S115" i="16"/>
  <c r="W115" i="16"/>
  <c r="AD115" i="16" s="1"/>
  <c r="AA115" i="16"/>
  <c r="AG115" i="16" s="1"/>
  <c r="AI115" i="16"/>
  <c r="K116" i="16"/>
  <c r="O116" i="16"/>
  <c r="S116" i="16"/>
  <c r="W116" i="16"/>
  <c r="AD116" i="16" s="1"/>
  <c r="AA116" i="16"/>
  <c r="AG116" i="16" s="1"/>
  <c r="AI116" i="16"/>
  <c r="K117" i="16"/>
  <c r="O117" i="16"/>
  <c r="S117" i="16"/>
  <c r="W117" i="16"/>
  <c r="AD117" i="16" s="1"/>
  <c r="AA117" i="16"/>
  <c r="AG117" i="16" s="1"/>
  <c r="AI117" i="16"/>
  <c r="K118" i="16"/>
  <c r="O118" i="16"/>
  <c r="S118" i="16"/>
  <c r="W118" i="16"/>
  <c r="AD118" i="16" s="1"/>
  <c r="AA118" i="16"/>
  <c r="AG118" i="16" s="1"/>
  <c r="AI118" i="16"/>
  <c r="K119" i="16"/>
  <c r="O119" i="16"/>
  <c r="S119" i="16"/>
  <c r="W119" i="16"/>
  <c r="AD119" i="16" s="1"/>
  <c r="AA119" i="16"/>
  <c r="AG119" i="16" s="1"/>
  <c r="AI119" i="16"/>
  <c r="K120" i="16"/>
  <c r="O120" i="16"/>
  <c r="S120" i="16"/>
  <c r="W120" i="16"/>
  <c r="AD120" i="16" s="1"/>
  <c r="AA120" i="16"/>
  <c r="AG120" i="16" s="1"/>
  <c r="AI120" i="16"/>
  <c r="K121" i="16"/>
  <c r="O121" i="16"/>
  <c r="S121" i="16"/>
  <c r="W121" i="16"/>
  <c r="AD121" i="16" s="1"/>
  <c r="AA121" i="16"/>
  <c r="AG121" i="16" s="1"/>
  <c r="AI121" i="16"/>
  <c r="K122" i="16"/>
  <c r="O122" i="16"/>
  <c r="S122" i="16"/>
  <c r="W122" i="16"/>
  <c r="AD122" i="16" s="1"/>
  <c r="AA122" i="16"/>
  <c r="AG122" i="16" s="1"/>
  <c r="AI122" i="16"/>
  <c r="K123" i="16"/>
  <c r="O123" i="16"/>
  <c r="S123" i="16"/>
  <c r="W123" i="16"/>
  <c r="AD123" i="16" s="1"/>
  <c r="AA123" i="16"/>
  <c r="AG123" i="16" s="1"/>
  <c r="AI123" i="16"/>
  <c r="K124" i="16"/>
  <c r="O124" i="16"/>
  <c r="S124" i="16"/>
  <c r="W124" i="16"/>
  <c r="AD124" i="16" s="1"/>
  <c r="AA124" i="16"/>
  <c r="AG124" i="16" s="1"/>
  <c r="AI124" i="16"/>
  <c r="K125" i="16"/>
  <c r="O125" i="16"/>
  <c r="S125" i="16"/>
  <c r="W125" i="16"/>
  <c r="AD125" i="16" s="1"/>
  <c r="AA125" i="16"/>
  <c r="AG125" i="16" s="1"/>
  <c r="AI125" i="16"/>
  <c r="K126" i="16"/>
  <c r="O126" i="16"/>
  <c r="S126" i="16"/>
  <c r="W126" i="16"/>
  <c r="AD126" i="16" s="1"/>
  <c r="AA126" i="16"/>
  <c r="AG126" i="16" s="1"/>
  <c r="AI126" i="16"/>
  <c r="K127" i="16"/>
  <c r="O127" i="16"/>
  <c r="S127" i="16"/>
  <c r="W127" i="16"/>
  <c r="AD127" i="16" s="1"/>
  <c r="AA127" i="16"/>
  <c r="AG127" i="16" s="1"/>
  <c r="AI127" i="16"/>
  <c r="K128" i="16"/>
  <c r="O128" i="16"/>
  <c r="S128" i="16"/>
  <c r="W128" i="16"/>
  <c r="AD128" i="16" s="1"/>
  <c r="AA128" i="16"/>
  <c r="AG128" i="16" s="1"/>
  <c r="AI128" i="16"/>
  <c r="K129" i="16"/>
  <c r="O129" i="16"/>
  <c r="S129" i="16"/>
  <c r="W129" i="16"/>
  <c r="AD129" i="16" s="1"/>
  <c r="AA129" i="16"/>
  <c r="AG129" i="16" s="1"/>
  <c r="AI129" i="16"/>
  <c r="K130" i="16"/>
  <c r="O130" i="16"/>
  <c r="S130" i="16"/>
  <c r="W130" i="16"/>
  <c r="AD130" i="16" s="1"/>
  <c r="AA130" i="16"/>
  <c r="AG130" i="16" s="1"/>
  <c r="AI130" i="16"/>
  <c r="K131" i="16"/>
  <c r="O131" i="16"/>
  <c r="S131" i="16"/>
  <c r="W131" i="16"/>
  <c r="AD131" i="16" s="1"/>
  <c r="AA131" i="16"/>
  <c r="AG131" i="16" s="1"/>
  <c r="AI131" i="16"/>
  <c r="K132" i="16"/>
  <c r="O132" i="16"/>
  <c r="S132" i="16"/>
  <c r="W132" i="16"/>
  <c r="AD132" i="16" s="1"/>
  <c r="AA132" i="16"/>
  <c r="AG132" i="16" s="1"/>
  <c r="AI132" i="16"/>
  <c r="K133" i="16"/>
  <c r="O133" i="16"/>
  <c r="S133" i="16"/>
  <c r="W133" i="16"/>
  <c r="AD133" i="16" s="1"/>
  <c r="AA133" i="16"/>
  <c r="AG133" i="16" s="1"/>
  <c r="AI133" i="16"/>
  <c r="K134" i="16"/>
  <c r="O134" i="16"/>
  <c r="S134" i="16"/>
  <c r="W134" i="16"/>
  <c r="AD134" i="16" s="1"/>
  <c r="AA134" i="16"/>
  <c r="AG134" i="16" s="1"/>
  <c r="AI134" i="16"/>
  <c r="K135" i="16"/>
  <c r="O135" i="16"/>
  <c r="S135" i="16"/>
  <c r="W135" i="16"/>
  <c r="AD135" i="16" s="1"/>
  <c r="AA135" i="16"/>
  <c r="AG135" i="16" s="1"/>
  <c r="AI135" i="16"/>
  <c r="K136" i="16"/>
  <c r="O136" i="16"/>
  <c r="S136" i="16"/>
  <c r="W136" i="16"/>
  <c r="AD136" i="16" s="1"/>
  <c r="AA136" i="16"/>
  <c r="AG136" i="16" s="1"/>
  <c r="AI136" i="16"/>
  <c r="K137" i="16"/>
  <c r="O137" i="16"/>
  <c r="S137" i="16"/>
  <c r="W137" i="16"/>
  <c r="AD137" i="16" s="1"/>
  <c r="AA137" i="16"/>
  <c r="AG137" i="16" s="1"/>
  <c r="AI137" i="16"/>
  <c r="K138" i="16"/>
  <c r="O138" i="16"/>
  <c r="S138" i="16"/>
  <c r="W138" i="16"/>
  <c r="AD138" i="16" s="1"/>
  <c r="AA138" i="16"/>
  <c r="AG138" i="16" s="1"/>
  <c r="AI138" i="16"/>
  <c r="K139" i="16"/>
  <c r="O139" i="16"/>
  <c r="S139" i="16"/>
  <c r="W139" i="16"/>
  <c r="AD139" i="16" s="1"/>
  <c r="AA139" i="16"/>
  <c r="AG139" i="16" s="1"/>
  <c r="AI139" i="16"/>
  <c r="K140" i="16"/>
  <c r="O140" i="16"/>
  <c r="S140" i="16"/>
  <c r="W140" i="16"/>
  <c r="AD140" i="16" s="1"/>
  <c r="AA140" i="16"/>
  <c r="AG140" i="16" s="1"/>
  <c r="AI140" i="16"/>
  <c r="K141" i="16"/>
  <c r="O141" i="16"/>
  <c r="S141" i="16"/>
  <c r="W141" i="16"/>
  <c r="AD141" i="16" s="1"/>
  <c r="AA141" i="16"/>
  <c r="AG141" i="16" s="1"/>
  <c r="AI141" i="16"/>
  <c r="K142" i="16"/>
  <c r="O142" i="16"/>
  <c r="S142" i="16"/>
  <c r="W142" i="16"/>
  <c r="AD142" i="16" s="1"/>
  <c r="AA142" i="16"/>
  <c r="AG142" i="16" s="1"/>
  <c r="AI142" i="16"/>
  <c r="K143" i="16"/>
  <c r="O143" i="16"/>
  <c r="S143" i="16"/>
  <c r="W143" i="16"/>
  <c r="AD143" i="16" s="1"/>
  <c r="AA143" i="16"/>
  <c r="AG143" i="16" s="1"/>
  <c r="AI143" i="16"/>
  <c r="K144" i="16"/>
  <c r="O144" i="16"/>
  <c r="S144" i="16"/>
  <c r="W144" i="16"/>
  <c r="AD144" i="16" s="1"/>
  <c r="AA144" i="16"/>
  <c r="AG144" i="16" s="1"/>
  <c r="AI144" i="16"/>
  <c r="K145" i="16"/>
  <c r="O145" i="16"/>
  <c r="S145" i="16"/>
  <c r="W145" i="16"/>
  <c r="AD145" i="16" s="1"/>
  <c r="AA145" i="16"/>
  <c r="AG145" i="16" s="1"/>
  <c r="AI145" i="16"/>
  <c r="K146" i="16"/>
  <c r="O146" i="16"/>
  <c r="S146" i="16"/>
  <c r="W146" i="16"/>
  <c r="AD146" i="16" s="1"/>
  <c r="AA146" i="16"/>
  <c r="AG146" i="16" s="1"/>
  <c r="AI146" i="16"/>
  <c r="K147" i="16"/>
  <c r="O147" i="16"/>
  <c r="S147" i="16"/>
  <c r="W147" i="16"/>
  <c r="AD147" i="16" s="1"/>
  <c r="AA147" i="16"/>
  <c r="AG147" i="16" s="1"/>
  <c r="AJ147" i="16"/>
  <c r="AK149" i="16"/>
  <c r="AC149" i="16"/>
  <c r="AE149" i="16" s="1"/>
  <c r="Y149" i="16"/>
  <c r="U149" i="16"/>
  <c r="AF149" i="16" s="1"/>
  <c r="Q149" i="16"/>
  <c r="M149" i="16"/>
  <c r="AI149" i="16"/>
  <c r="AA149" i="16"/>
  <c r="AG149" i="16" s="1"/>
  <c r="W149" i="16"/>
  <c r="AD149" i="16" s="1"/>
  <c r="S149" i="16"/>
  <c r="O149" i="16"/>
  <c r="K149" i="16"/>
  <c r="T149" i="16"/>
  <c r="AJ149" i="16"/>
  <c r="AK151" i="16"/>
  <c r="AC151" i="16"/>
  <c r="AE151" i="16" s="1"/>
  <c r="Y151" i="16"/>
  <c r="U151" i="16"/>
  <c r="AF151" i="16" s="1"/>
  <c r="Q151" i="16"/>
  <c r="M151" i="16"/>
  <c r="AI151" i="16"/>
  <c r="AA151" i="16"/>
  <c r="AG151" i="16" s="1"/>
  <c r="W151" i="16"/>
  <c r="AD151" i="16" s="1"/>
  <c r="S151" i="16"/>
  <c r="O151" i="16"/>
  <c r="K151" i="16"/>
  <c r="T151" i="16"/>
  <c r="AJ151" i="16"/>
  <c r="AK153" i="16"/>
  <c r="AC153" i="16"/>
  <c r="AE153" i="16" s="1"/>
  <c r="Y153" i="16"/>
  <c r="U153" i="16"/>
  <c r="AF153" i="16" s="1"/>
  <c r="Q153" i="16"/>
  <c r="M153" i="16"/>
  <c r="AI153" i="16"/>
  <c r="AA153" i="16"/>
  <c r="AG153" i="16" s="1"/>
  <c r="W153" i="16"/>
  <c r="AD153" i="16" s="1"/>
  <c r="S153" i="16"/>
  <c r="O153" i="16"/>
  <c r="K153" i="16"/>
  <c r="T153" i="16"/>
  <c r="AJ153" i="16"/>
  <c r="AK155" i="16"/>
  <c r="AC155" i="16"/>
  <c r="AE155" i="16" s="1"/>
  <c r="Y155" i="16"/>
  <c r="U155" i="16"/>
  <c r="AF155" i="16" s="1"/>
  <c r="Q155" i="16"/>
  <c r="M155" i="16"/>
  <c r="AI155" i="16"/>
  <c r="AA155" i="16"/>
  <c r="AG155" i="16" s="1"/>
  <c r="W155" i="16"/>
  <c r="AD155" i="16" s="1"/>
  <c r="S155" i="16"/>
  <c r="O155" i="16"/>
  <c r="K155" i="16"/>
  <c r="T155" i="16"/>
  <c r="AJ155" i="16"/>
  <c r="AK157" i="16"/>
  <c r="AC157" i="16"/>
  <c r="AE157" i="16" s="1"/>
  <c r="Y157" i="16"/>
  <c r="U157" i="16"/>
  <c r="AF157" i="16" s="1"/>
  <c r="Q157" i="16"/>
  <c r="M157" i="16"/>
  <c r="AI157" i="16"/>
  <c r="AA157" i="16"/>
  <c r="AG157" i="16" s="1"/>
  <c r="W157" i="16"/>
  <c r="AD157" i="16" s="1"/>
  <c r="S157" i="16"/>
  <c r="O157" i="16"/>
  <c r="K157" i="16"/>
  <c r="T157" i="16"/>
  <c r="AJ157" i="16"/>
  <c r="AK159" i="16"/>
  <c r="AC159" i="16"/>
  <c r="AE159" i="16" s="1"/>
  <c r="Y159" i="16"/>
  <c r="U159" i="16"/>
  <c r="AF159" i="16" s="1"/>
  <c r="Q159" i="16"/>
  <c r="M159" i="16"/>
  <c r="AI159" i="16"/>
  <c r="AA159" i="16"/>
  <c r="AG159" i="16" s="1"/>
  <c r="W159" i="16"/>
  <c r="AD159" i="16" s="1"/>
  <c r="S159" i="16"/>
  <c r="O159" i="16"/>
  <c r="K159" i="16"/>
  <c r="T159" i="16"/>
  <c r="AJ159" i="16"/>
  <c r="AK161" i="16"/>
  <c r="AC161" i="16"/>
  <c r="AE161" i="16" s="1"/>
  <c r="Y161" i="16"/>
  <c r="U161" i="16"/>
  <c r="AF161" i="16" s="1"/>
  <c r="Q161" i="16"/>
  <c r="M161" i="16"/>
  <c r="AI161" i="16"/>
  <c r="AA161" i="16"/>
  <c r="AG161" i="16" s="1"/>
  <c r="W161" i="16"/>
  <c r="AD161" i="16" s="1"/>
  <c r="S161" i="16"/>
  <c r="O161" i="16"/>
  <c r="K161" i="16"/>
  <c r="T161" i="16"/>
  <c r="AJ161" i="16"/>
  <c r="AK163" i="16"/>
  <c r="AC163" i="16"/>
  <c r="AE163" i="16" s="1"/>
  <c r="Y163" i="16"/>
  <c r="U163" i="16"/>
  <c r="AF163" i="16" s="1"/>
  <c r="Q163" i="16"/>
  <c r="M163" i="16"/>
  <c r="AI163" i="16"/>
  <c r="AA163" i="16"/>
  <c r="AG163" i="16" s="1"/>
  <c r="W163" i="16"/>
  <c r="AD163" i="16" s="1"/>
  <c r="S163" i="16"/>
  <c r="O163" i="16"/>
  <c r="K163" i="16"/>
  <c r="T163" i="16"/>
  <c r="AJ163" i="16"/>
  <c r="AK165" i="16"/>
  <c r="AC165" i="16"/>
  <c r="AE165" i="16" s="1"/>
  <c r="Y165" i="16"/>
  <c r="U165" i="16"/>
  <c r="AF165" i="16" s="1"/>
  <c r="Q165" i="16"/>
  <c r="M165" i="16"/>
  <c r="AI165" i="16"/>
  <c r="AA165" i="16"/>
  <c r="AG165" i="16" s="1"/>
  <c r="W165" i="16"/>
  <c r="AD165" i="16" s="1"/>
  <c r="S165" i="16"/>
  <c r="O165" i="16"/>
  <c r="K165" i="16"/>
  <c r="T165" i="16"/>
  <c r="AJ165" i="16"/>
  <c r="AK167" i="16"/>
  <c r="AC167" i="16"/>
  <c r="AE167" i="16" s="1"/>
  <c r="Y167" i="16"/>
  <c r="U167" i="16"/>
  <c r="AF167" i="16" s="1"/>
  <c r="Q167" i="16"/>
  <c r="M167" i="16"/>
  <c r="AI167" i="16"/>
  <c r="AA167" i="16"/>
  <c r="AG167" i="16" s="1"/>
  <c r="W167" i="16"/>
  <c r="AD167" i="16" s="1"/>
  <c r="S167" i="16"/>
  <c r="O167" i="16"/>
  <c r="K167" i="16"/>
  <c r="T167" i="16"/>
  <c r="AJ167" i="16"/>
  <c r="AK169" i="16"/>
  <c r="AC169" i="16"/>
  <c r="AE169" i="16" s="1"/>
  <c r="Y169" i="16"/>
  <c r="U169" i="16"/>
  <c r="AF169" i="16" s="1"/>
  <c r="Q169" i="16"/>
  <c r="M169" i="16"/>
  <c r="AI169" i="16"/>
  <c r="AA169" i="16"/>
  <c r="AG169" i="16" s="1"/>
  <c r="W169" i="16"/>
  <c r="AD169" i="16" s="1"/>
  <c r="S169" i="16"/>
  <c r="O169" i="16"/>
  <c r="K169" i="16"/>
  <c r="T169" i="16"/>
  <c r="AJ169" i="16"/>
  <c r="AK171" i="16"/>
  <c r="AC171" i="16"/>
  <c r="AE171" i="16" s="1"/>
  <c r="Y171" i="16"/>
  <c r="U171" i="16"/>
  <c r="AF171" i="16" s="1"/>
  <c r="Q171" i="16"/>
  <c r="M171" i="16"/>
  <c r="AI171" i="16"/>
  <c r="AA171" i="16"/>
  <c r="AG171" i="16" s="1"/>
  <c r="W171" i="16"/>
  <c r="AD171" i="16" s="1"/>
  <c r="S171" i="16"/>
  <c r="O171" i="16"/>
  <c r="K171" i="16"/>
  <c r="T171" i="16"/>
  <c r="AJ171" i="16"/>
  <c r="AK173" i="16"/>
  <c r="AC173" i="16"/>
  <c r="AE173" i="16" s="1"/>
  <c r="Y173" i="16"/>
  <c r="U173" i="16"/>
  <c r="AF173" i="16" s="1"/>
  <c r="Q173" i="16"/>
  <c r="M173" i="16"/>
  <c r="AI173" i="16"/>
  <c r="AA173" i="16"/>
  <c r="AG173" i="16" s="1"/>
  <c r="W173" i="16"/>
  <c r="AD173" i="16" s="1"/>
  <c r="S173" i="16"/>
  <c r="O173" i="16"/>
  <c r="K173" i="16"/>
  <c r="T173" i="16"/>
  <c r="AJ173" i="16"/>
  <c r="AK175" i="16"/>
  <c r="AC175" i="16"/>
  <c r="AE175" i="16" s="1"/>
  <c r="Y175" i="16"/>
  <c r="U175" i="16"/>
  <c r="AF175" i="16" s="1"/>
  <c r="Q175" i="16"/>
  <c r="M175" i="16"/>
  <c r="AI175" i="16"/>
  <c r="AA175" i="16"/>
  <c r="AG175" i="16" s="1"/>
  <c r="W175" i="16"/>
  <c r="AD175" i="16" s="1"/>
  <c r="S175" i="16"/>
  <c r="O175" i="16"/>
  <c r="K175" i="16"/>
  <c r="T175" i="16"/>
  <c r="AJ175" i="16"/>
  <c r="AK177" i="16"/>
  <c r="AC177" i="16"/>
  <c r="AE177" i="16" s="1"/>
  <c r="Y177" i="16"/>
  <c r="U177" i="16"/>
  <c r="AF177" i="16" s="1"/>
  <c r="Q177" i="16"/>
  <c r="M177" i="16"/>
  <c r="AI177" i="16"/>
  <c r="AA177" i="16"/>
  <c r="AG177" i="16" s="1"/>
  <c r="W177" i="16"/>
  <c r="AD177" i="16" s="1"/>
  <c r="S177" i="16"/>
  <c r="O177" i="16"/>
  <c r="K177" i="16"/>
  <c r="T177" i="16"/>
  <c r="AJ177" i="16"/>
  <c r="AK179" i="16"/>
  <c r="AC179" i="16"/>
  <c r="AE179" i="16" s="1"/>
  <c r="Y179" i="16"/>
  <c r="U179" i="16"/>
  <c r="AF179" i="16" s="1"/>
  <c r="Q179" i="16"/>
  <c r="M179" i="16"/>
  <c r="AI179" i="16"/>
  <c r="AA179" i="16"/>
  <c r="AG179" i="16" s="1"/>
  <c r="W179" i="16"/>
  <c r="AD179" i="16" s="1"/>
  <c r="S179" i="16"/>
  <c r="O179" i="16"/>
  <c r="K179" i="16"/>
  <c r="T179" i="16"/>
  <c r="AJ179" i="16"/>
  <c r="AK181" i="16"/>
  <c r="AC181" i="16"/>
  <c r="AE181" i="16" s="1"/>
  <c r="Y181" i="16"/>
  <c r="U181" i="16"/>
  <c r="AF181" i="16" s="1"/>
  <c r="Q181" i="16"/>
  <c r="M181" i="16"/>
  <c r="AI181" i="16"/>
  <c r="AA181" i="16"/>
  <c r="AG181" i="16" s="1"/>
  <c r="W181" i="16"/>
  <c r="AD181" i="16" s="1"/>
  <c r="S181" i="16"/>
  <c r="O181" i="16"/>
  <c r="K181" i="16"/>
  <c r="T181" i="16"/>
  <c r="AJ181" i="16"/>
  <c r="AK183" i="16"/>
  <c r="AC183" i="16"/>
  <c r="AE183" i="16" s="1"/>
  <c r="Y183" i="16"/>
  <c r="U183" i="16"/>
  <c r="AF183" i="16" s="1"/>
  <c r="Q183" i="16"/>
  <c r="M183" i="16"/>
  <c r="AI183" i="16"/>
  <c r="AA183" i="16"/>
  <c r="AG183" i="16" s="1"/>
  <c r="W183" i="16"/>
  <c r="AD183" i="16" s="1"/>
  <c r="S183" i="16"/>
  <c r="O183" i="16"/>
  <c r="K183" i="16"/>
  <c r="T183" i="16"/>
  <c r="AJ183" i="16"/>
  <c r="AK185" i="16"/>
  <c r="AC185" i="16"/>
  <c r="AE185" i="16" s="1"/>
  <c r="Y185" i="16"/>
  <c r="U185" i="16"/>
  <c r="AF185" i="16" s="1"/>
  <c r="Q185" i="16"/>
  <c r="M185" i="16"/>
  <c r="AI185" i="16"/>
  <c r="AA185" i="16"/>
  <c r="AG185" i="16" s="1"/>
  <c r="W185" i="16"/>
  <c r="AD185" i="16" s="1"/>
  <c r="S185" i="16"/>
  <c r="O185" i="16"/>
  <c r="K185" i="16"/>
  <c r="T185" i="16"/>
  <c r="AJ185" i="16"/>
  <c r="AK187" i="16"/>
  <c r="AC187" i="16"/>
  <c r="AE187" i="16" s="1"/>
  <c r="Y187" i="16"/>
  <c r="U187" i="16"/>
  <c r="AF187" i="16" s="1"/>
  <c r="Q187" i="16"/>
  <c r="M187" i="16"/>
  <c r="AI187" i="16"/>
  <c r="AA187" i="16"/>
  <c r="AG187" i="16" s="1"/>
  <c r="W187" i="16"/>
  <c r="AD187" i="16" s="1"/>
  <c r="S187" i="16"/>
  <c r="O187" i="16"/>
  <c r="K187" i="16"/>
  <c r="T187" i="16"/>
  <c r="AJ187" i="16"/>
  <c r="AK189" i="16"/>
  <c r="AC189" i="16"/>
  <c r="AE189" i="16" s="1"/>
  <c r="Y189" i="16"/>
  <c r="U189" i="16"/>
  <c r="AF189" i="16" s="1"/>
  <c r="Q189" i="16"/>
  <c r="M189" i="16"/>
  <c r="AI189" i="16"/>
  <c r="AA189" i="16"/>
  <c r="AG189" i="16" s="1"/>
  <c r="W189" i="16"/>
  <c r="AD189" i="16" s="1"/>
  <c r="S189" i="16"/>
  <c r="O189" i="16"/>
  <c r="K189" i="16"/>
  <c r="T189" i="16"/>
  <c r="AJ189" i="16"/>
  <c r="AK191" i="16"/>
  <c r="AC191" i="16"/>
  <c r="AE191" i="16" s="1"/>
  <c r="Y191" i="16"/>
  <c r="U191" i="16"/>
  <c r="AF191" i="16" s="1"/>
  <c r="Q191" i="16"/>
  <c r="M191" i="16"/>
  <c r="AI191" i="16"/>
  <c r="AA191" i="16"/>
  <c r="AG191" i="16" s="1"/>
  <c r="W191" i="16"/>
  <c r="AD191" i="16" s="1"/>
  <c r="S191" i="16"/>
  <c r="O191" i="16"/>
  <c r="K191" i="16"/>
  <c r="T191" i="16"/>
  <c r="AJ191" i="16"/>
  <c r="AK193" i="16"/>
  <c r="AC193" i="16"/>
  <c r="AE193" i="16" s="1"/>
  <c r="Y193" i="16"/>
  <c r="U193" i="16"/>
  <c r="AF193" i="16" s="1"/>
  <c r="Q193" i="16"/>
  <c r="M193" i="16"/>
  <c r="AI193" i="16"/>
  <c r="AA193" i="16"/>
  <c r="AG193" i="16" s="1"/>
  <c r="W193" i="16"/>
  <c r="AD193" i="16" s="1"/>
  <c r="S193" i="16"/>
  <c r="O193" i="16"/>
  <c r="K193" i="16"/>
  <c r="T193" i="16"/>
  <c r="AJ193" i="16"/>
  <c r="AK195" i="16"/>
  <c r="AC195" i="16"/>
  <c r="AE195" i="16" s="1"/>
  <c r="Y195" i="16"/>
  <c r="U195" i="16"/>
  <c r="AF195" i="16" s="1"/>
  <c r="Q195" i="16"/>
  <c r="M195" i="16"/>
  <c r="AI195" i="16"/>
  <c r="AA195" i="16"/>
  <c r="AG195" i="16" s="1"/>
  <c r="W195" i="16"/>
  <c r="AD195" i="16" s="1"/>
  <c r="S195" i="16"/>
  <c r="O195" i="16"/>
  <c r="K195" i="16"/>
  <c r="T195" i="16"/>
  <c r="AJ195" i="16"/>
  <c r="AK197" i="16"/>
  <c r="AC197" i="16"/>
  <c r="AE197" i="16" s="1"/>
  <c r="Y197" i="16"/>
  <c r="U197" i="16"/>
  <c r="AF197" i="16" s="1"/>
  <c r="Q197" i="16"/>
  <c r="M197" i="16"/>
  <c r="AI197" i="16"/>
  <c r="AA197" i="16"/>
  <c r="AG197" i="16" s="1"/>
  <c r="W197" i="16"/>
  <c r="AD197" i="16" s="1"/>
  <c r="S197" i="16"/>
  <c r="O197" i="16"/>
  <c r="K197" i="16"/>
  <c r="T197" i="16"/>
  <c r="AJ197" i="16"/>
  <c r="AK199" i="16"/>
  <c r="AC199" i="16"/>
  <c r="AE199" i="16" s="1"/>
  <c r="Y199" i="16"/>
  <c r="U199" i="16"/>
  <c r="AF199" i="16" s="1"/>
  <c r="Q199" i="16"/>
  <c r="M199" i="16"/>
  <c r="AI199" i="16"/>
  <c r="AA199" i="16"/>
  <c r="AG199" i="16" s="1"/>
  <c r="W199" i="16"/>
  <c r="AD199" i="16" s="1"/>
  <c r="S199" i="16"/>
  <c r="O199" i="16"/>
  <c r="K199" i="16"/>
  <c r="T199" i="16"/>
  <c r="AJ199" i="16"/>
  <c r="AK201" i="16"/>
  <c r="AC201" i="16"/>
  <c r="AE201" i="16" s="1"/>
  <c r="Y201" i="16"/>
  <c r="U201" i="16"/>
  <c r="AF201" i="16" s="1"/>
  <c r="Q201" i="16"/>
  <c r="M201" i="16"/>
  <c r="AI201" i="16"/>
  <c r="AA201" i="16"/>
  <c r="AG201" i="16" s="1"/>
  <c r="W201" i="16"/>
  <c r="AD201" i="16" s="1"/>
  <c r="S201" i="16"/>
  <c r="O201" i="16"/>
  <c r="K201" i="16"/>
  <c r="T201" i="16"/>
  <c r="AJ201" i="16"/>
  <c r="AK203" i="16"/>
  <c r="AC203" i="16"/>
  <c r="AE203" i="16" s="1"/>
  <c r="Y203" i="16"/>
  <c r="U203" i="16"/>
  <c r="AF203" i="16" s="1"/>
  <c r="Q203" i="16"/>
  <c r="M203" i="16"/>
  <c r="AI203" i="16"/>
  <c r="AA203" i="16"/>
  <c r="AG203" i="16" s="1"/>
  <c r="W203" i="16"/>
  <c r="AD203" i="16" s="1"/>
  <c r="S203" i="16"/>
  <c r="O203" i="16"/>
  <c r="K203" i="16"/>
  <c r="T203" i="16"/>
  <c r="AJ203" i="16"/>
  <c r="AK205" i="16"/>
  <c r="AC205" i="16"/>
  <c r="AE205" i="16" s="1"/>
  <c r="Y205" i="16"/>
  <c r="U205" i="16"/>
  <c r="AF205" i="16" s="1"/>
  <c r="Q205" i="16"/>
  <c r="M205" i="16"/>
  <c r="AI205" i="16"/>
  <c r="AA205" i="16"/>
  <c r="AG205" i="16" s="1"/>
  <c r="W205" i="16"/>
  <c r="AD205" i="16" s="1"/>
  <c r="S205" i="16"/>
  <c r="O205" i="16"/>
  <c r="K205" i="16"/>
  <c r="T205" i="16"/>
  <c r="AJ205" i="16"/>
  <c r="AK207" i="16"/>
  <c r="AC207" i="16"/>
  <c r="AE207" i="16" s="1"/>
  <c r="Y207" i="16"/>
  <c r="U207" i="16"/>
  <c r="AF207" i="16" s="1"/>
  <c r="Q207" i="16"/>
  <c r="M207" i="16"/>
  <c r="AI207" i="16"/>
  <c r="AA207" i="16"/>
  <c r="AG207" i="16" s="1"/>
  <c r="W207" i="16"/>
  <c r="AD207" i="16" s="1"/>
  <c r="S207" i="16"/>
  <c r="O207" i="16"/>
  <c r="K207" i="16"/>
  <c r="T207" i="16"/>
  <c r="AJ207" i="16"/>
  <c r="AK209" i="16"/>
  <c r="AC209" i="16"/>
  <c r="AE209" i="16" s="1"/>
  <c r="Y209" i="16"/>
  <c r="U209" i="16"/>
  <c r="AF209" i="16" s="1"/>
  <c r="Q209" i="16"/>
  <c r="M209" i="16"/>
  <c r="AI209" i="16"/>
  <c r="AA209" i="16"/>
  <c r="AG209" i="16" s="1"/>
  <c r="W209" i="16"/>
  <c r="AD209" i="16" s="1"/>
  <c r="S209" i="16"/>
  <c r="O209" i="16"/>
  <c r="K209" i="16"/>
  <c r="T209" i="16"/>
  <c r="AJ209" i="16"/>
  <c r="AK211" i="16"/>
  <c r="AC211" i="16"/>
  <c r="AE211" i="16" s="1"/>
  <c r="Y211" i="16"/>
  <c r="U211" i="16"/>
  <c r="AF211" i="16" s="1"/>
  <c r="Q211" i="16"/>
  <c r="M211" i="16"/>
  <c r="AI211" i="16"/>
  <c r="AA211" i="16"/>
  <c r="AG211" i="16" s="1"/>
  <c r="W211" i="16"/>
  <c r="AD211" i="16" s="1"/>
  <c r="S211" i="16"/>
  <c r="O211" i="16"/>
  <c r="K211" i="16"/>
  <c r="T211" i="16"/>
  <c r="AJ211" i="16"/>
  <c r="AK213" i="16"/>
  <c r="AC213" i="16"/>
  <c r="AE213" i="16" s="1"/>
  <c r="Y213" i="16"/>
  <c r="U213" i="16"/>
  <c r="AF213" i="16" s="1"/>
  <c r="Q213" i="16"/>
  <c r="M213" i="16"/>
  <c r="AI213" i="16"/>
  <c r="AA213" i="16"/>
  <c r="AG213" i="16" s="1"/>
  <c r="W213" i="16"/>
  <c r="AD213" i="16" s="1"/>
  <c r="S213" i="16"/>
  <c r="O213" i="16"/>
  <c r="K213" i="16"/>
  <c r="T213" i="16"/>
  <c r="AJ213" i="16"/>
  <c r="AK215" i="16"/>
  <c r="AC215" i="16"/>
  <c r="AE215" i="16" s="1"/>
  <c r="Y215" i="16"/>
  <c r="U215" i="16"/>
  <c r="AF215" i="16" s="1"/>
  <c r="Q215" i="16"/>
  <c r="M215" i="16"/>
  <c r="AI215" i="16"/>
  <c r="AA215" i="16"/>
  <c r="AG215" i="16" s="1"/>
  <c r="W215" i="16"/>
  <c r="AD215" i="16" s="1"/>
  <c r="S215" i="16"/>
  <c r="O215" i="16"/>
  <c r="K215" i="16"/>
  <c r="T215" i="16"/>
  <c r="AJ215" i="16"/>
  <c r="AK217" i="16"/>
  <c r="AC217" i="16"/>
  <c r="AE217" i="16" s="1"/>
  <c r="Y217" i="16"/>
  <c r="U217" i="16"/>
  <c r="AF217" i="16" s="1"/>
  <c r="Q217" i="16"/>
  <c r="M217" i="16"/>
  <c r="AI217" i="16"/>
  <c r="AA217" i="16"/>
  <c r="AG217" i="16" s="1"/>
  <c r="W217" i="16"/>
  <c r="AD217" i="16" s="1"/>
  <c r="S217" i="16"/>
  <c r="O217" i="16"/>
  <c r="K217" i="16"/>
  <c r="T217" i="16"/>
  <c r="AJ217" i="16"/>
  <c r="AK219" i="16"/>
  <c r="AC219" i="16"/>
  <c r="AE219" i="16" s="1"/>
  <c r="Y219" i="16"/>
  <c r="U219" i="16"/>
  <c r="AF219" i="16" s="1"/>
  <c r="Q219" i="16"/>
  <c r="M219" i="16"/>
  <c r="AI219" i="16"/>
  <c r="AA219" i="16"/>
  <c r="AG219" i="16" s="1"/>
  <c r="W219" i="16"/>
  <c r="AD219" i="16" s="1"/>
  <c r="S219" i="16"/>
  <c r="O219" i="16"/>
  <c r="K219" i="16"/>
  <c r="T219" i="16"/>
  <c r="AJ219" i="16"/>
  <c r="AK221" i="16"/>
  <c r="AC221" i="16"/>
  <c r="AE221" i="16" s="1"/>
  <c r="Y221" i="16"/>
  <c r="U221" i="16"/>
  <c r="AF221" i="16" s="1"/>
  <c r="Q221" i="16"/>
  <c r="M221" i="16"/>
  <c r="AI221" i="16"/>
  <c r="AA221" i="16"/>
  <c r="AG221" i="16" s="1"/>
  <c r="W221" i="16"/>
  <c r="AD221" i="16" s="1"/>
  <c r="S221" i="16"/>
  <c r="O221" i="16"/>
  <c r="K221" i="16"/>
  <c r="T221" i="16"/>
  <c r="AJ221" i="16"/>
  <c r="AK223" i="16"/>
  <c r="AC223" i="16"/>
  <c r="AE223" i="16" s="1"/>
  <c r="Y223" i="16"/>
  <c r="U223" i="16"/>
  <c r="AF223" i="16" s="1"/>
  <c r="Q223" i="16"/>
  <c r="M223" i="16"/>
  <c r="AI223" i="16"/>
  <c r="AA223" i="16"/>
  <c r="AG223" i="16" s="1"/>
  <c r="W223" i="16"/>
  <c r="AD223" i="16" s="1"/>
  <c r="S223" i="16"/>
  <c r="O223" i="16"/>
  <c r="K223" i="16"/>
  <c r="T223" i="16"/>
  <c r="AJ223" i="16"/>
  <c r="AK225" i="16"/>
  <c r="AC225" i="16"/>
  <c r="AE225" i="16" s="1"/>
  <c r="Y225" i="16"/>
  <c r="U225" i="16"/>
  <c r="AF225" i="16" s="1"/>
  <c r="Q225" i="16"/>
  <c r="M225" i="16"/>
  <c r="AI225" i="16"/>
  <c r="AA225" i="16"/>
  <c r="AG225" i="16" s="1"/>
  <c r="W225" i="16"/>
  <c r="AD225" i="16" s="1"/>
  <c r="S225" i="16"/>
  <c r="O225" i="16"/>
  <c r="K225" i="16"/>
  <c r="T225" i="16"/>
  <c r="AJ225" i="16"/>
  <c r="AK227" i="16"/>
  <c r="AC227" i="16"/>
  <c r="AE227" i="16" s="1"/>
  <c r="Y227" i="16"/>
  <c r="U227" i="16"/>
  <c r="AF227" i="16" s="1"/>
  <c r="Q227" i="16"/>
  <c r="M227" i="16"/>
  <c r="AI227" i="16"/>
  <c r="AA227" i="16"/>
  <c r="AG227" i="16" s="1"/>
  <c r="W227" i="16"/>
  <c r="AD227" i="16" s="1"/>
  <c r="S227" i="16"/>
  <c r="O227" i="16"/>
  <c r="K227" i="16"/>
  <c r="T227" i="16"/>
  <c r="AJ227" i="16"/>
  <c r="AK229" i="16"/>
  <c r="AC229" i="16"/>
  <c r="AE229" i="16" s="1"/>
  <c r="Y229" i="16"/>
  <c r="U229" i="16"/>
  <c r="AF229" i="16" s="1"/>
  <c r="Q229" i="16"/>
  <c r="M229" i="16"/>
  <c r="AI229" i="16"/>
  <c r="AA229" i="16"/>
  <c r="AG229" i="16" s="1"/>
  <c r="W229" i="16"/>
  <c r="AD229" i="16" s="1"/>
  <c r="S229" i="16"/>
  <c r="O229" i="16"/>
  <c r="K229" i="16"/>
  <c r="T229" i="16"/>
  <c r="AJ229" i="16"/>
  <c r="AK231" i="16"/>
  <c r="AC231" i="16"/>
  <c r="AE231" i="16" s="1"/>
  <c r="Y231" i="16"/>
  <c r="U231" i="16"/>
  <c r="AF231" i="16" s="1"/>
  <c r="Q231" i="16"/>
  <c r="M231" i="16"/>
  <c r="AI231" i="16"/>
  <c r="AA231" i="16"/>
  <c r="AG231" i="16" s="1"/>
  <c r="W231" i="16"/>
  <c r="AD231" i="16" s="1"/>
  <c r="S231" i="16"/>
  <c r="O231" i="16"/>
  <c r="K231" i="16"/>
  <c r="T231" i="16"/>
  <c r="AJ231" i="16"/>
  <c r="AK233" i="16"/>
  <c r="AC233" i="16"/>
  <c r="AE233" i="16" s="1"/>
  <c r="Y233" i="16"/>
  <c r="U233" i="16"/>
  <c r="AF233" i="16" s="1"/>
  <c r="Q233" i="16"/>
  <c r="M233" i="16"/>
  <c r="AI233" i="16"/>
  <c r="AA233" i="16"/>
  <c r="AG233" i="16" s="1"/>
  <c r="W233" i="16"/>
  <c r="AD233" i="16" s="1"/>
  <c r="S233" i="16"/>
  <c r="O233" i="16"/>
  <c r="K233" i="16"/>
  <c r="T233" i="16"/>
  <c r="AJ233" i="16"/>
  <c r="AK235" i="16"/>
  <c r="AC235" i="16"/>
  <c r="AE235" i="16" s="1"/>
  <c r="Y235" i="16"/>
  <c r="U235" i="16"/>
  <c r="AF235" i="16" s="1"/>
  <c r="Q235" i="16"/>
  <c r="M235" i="16"/>
  <c r="AI235" i="16"/>
  <c r="AA235" i="16"/>
  <c r="AG235" i="16" s="1"/>
  <c r="W235" i="16"/>
  <c r="AD235" i="16" s="1"/>
  <c r="S235" i="16"/>
  <c r="O235" i="16"/>
  <c r="K235" i="16"/>
  <c r="T235" i="16"/>
  <c r="AJ235" i="16"/>
  <c r="AK237" i="16"/>
  <c r="AC237" i="16"/>
  <c r="AE237" i="16" s="1"/>
  <c r="Y237" i="16"/>
  <c r="U237" i="16"/>
  <c r="AF237" i="16" s="1"/>
  <c r="Q237" i="16"/>
  <c r="M237" i="16"/>
  <c r="AI237" i="16"/>
  <c r="AA237" i="16"/>
  <c r="AG237" i="16" s="1"/>
  <c r="W237" i="16"/>
  <c r="AD237" i="16" s="1"/>
  <c r="S237" i="16"/>
  <c r="O237" i="16"/>
  <c r="K237" i="16"/>
  <c r="T237" i="16"/>
  <c r="AJ237" i="16"/>
  <c r="AK239" i="16"/>
  <c r="AC239" i="16"/>
  <c r="AE239" i="16" s="1"/>
  <c r="Y239" i="16"/>
  <c r="U239" i="16"/>
  <c r="AF239" i="16" s="1"/>
  <c r="Q239" i="16"/>
  <c r="M239" i="16"/>
  <c r="AI239" i="16"/>
  <c r="AA239" i="16"/>
  <c r="AG239" i="16" s="1"/>
  <c r="W239" i="16"/>
  <c r="AD239" i="16" s="1"/>
  <c r="S239" i="16"/>
  <c r="O239" i="16"/>
  <c r="K239" i="16"/>
  <c r="T239" i="16"/>
  <c r="AJ239" i="16"/>
  <c r="AK241" i="16"/>
  <c r="AC241" i="16"/>
  <c r="AE241" i="16" s="1"/>
  <c r="Y241" i="16"/>
  <c r="U241" i="16"/>
  <c r="AF241" i="16" s="1"/>
  <c r="Q241" i="16"/>
  <c r="M241" i="16"/>
  <c r="AI241" i="16"/>
  <c r="AA241" i="16"/>
  <c r="AG241" i="16" s="1"/>
  <c r="W241" i="16"/>
  <c r="AD241" i="16" s="1"/>
  <c r="S241" i="16"/>
  <c r="O241" i="16"/>
  <c r="K241" i="16"/>
  <c r="T241" i="16"/>
  <c r="AJ241" i="16"/>
  <c r="AK243" i="16"/>
  <c r="AC243" i="16"/>
  <c r="AE243" i="16" s="1"/>
  <c r="Y243" i="16"/>
  <c r="U243" i="16"/>
  <c r="AF243" i="16" s="1"/>
  <c r="Q243" i="16"/>
  <c r="M243" i="16"/>
  <c r="AI243" i="16"/>
  <c r="AA243" i="16"/>
  <c r="AG243" i="16" s="1"/>
  <c r="W243" i="16"/>
  <c r="AD243" i="16" s="1"/>
  <c r="S243" i="16"/>
  <c r="O243" i="16"/>
  <c r="K243" i="16"/>
  <c r="T243" i="16"/>
  <c r="AJ243" i="16"/>
  <c r="AK245" i="16"/>
  <c r="AC245" i="16"/>
  <c r="AE245" i="16" s="1"/>
  <c r="Y245" i="16"/>
  <c r="U245" i="16"/>
  <c r="AF245" i="16" s="1"/>
  <c r="Q245" i="16"/>
  <c r="M245" i="16"/>
  <c r="AI245" i="16"/>
  <c r="AA245" i="16"/>
  <c r="AG245" i="16" s="1"/>
  <c r="W245" i="16"/>
  <c r="AD245" i="16" s="1"/>
  <c r="S245" i="16"/>
  <c r="O245" i="16"/>
  <c r="K245" i="16"/>
  <c r="T245" i="16"/>
  <c r="AJ245" i="16"/>
  <c r="AK247" i="16"/>
  <c r="AC247" i="16"/>
  <c r="AE247" i="16" s="1"/>
  <c r="Y247" i="16"/>
  <c r="U247" i="16"/>
  <c r="AF247" i="16" s="1"/>
  <c r="Q247" i="16"/>
  <c r="M247" i="16"/>
  <c r="AI247" i="16"/>
  <c r="AA247" i="16"/>
  <c r="AG247" i="16" s="1"/>
  <c r="W247" i="16"/>
  <c r="AD247" i="16" s="1"/>
  <c r="S247" i="16"/>
  <c r="O247" i="16"/>
  <c r="K247" i="16"/>
  <c r="T247" i="16"/>
  <c r="AJ247" i="16"/>
  <c r="AK249" i="16"/>
  <c r="AC249" i="16"/>
  <c r="AE249" i="16" s="1"/>
  <c r="Y249" i="16"/>
  <c r="U249" i="16"/>
  <c r="AF249" i="16" s="1"/>
  <c r="Q249" i="16"/>
  <c r="M249" i="16"/>
  <c r="AI249" i="16"/>
  <c r="AA249" i="16"/>
  <c r="AG249" i="16" s="1"/>
  <c r="W249" i="16"/>
  <c r="AD249" i="16" s="1"/>
  <c r="S249" i="16"/>
  <c r="O249" i="16"/>
  <c r="K249" i="16"/>
  <c r="T249" i="16"/>
  <c r="AJ249" i="16"/>
  <c r="AK251" i="16"/>
  <c r="AC251" i="16"/>
  <c r="AE251" i="16" s="1"/>
  <c r="Y251" i="16"/>
  <c r="U251" i="16"/>
  <c r="AF251" i="16" s="1"/>
  <c r="Q251" i="16"/>
  <c r="M251" i="16"/>
  <c r="AI251" i="16"/>
  <c r="AA251" i="16"/>
  <c r="AG251" i="16" s="1"/>
  <c r="W251" i="16"/>
  <c r="AD251" i="16" s="1"/>
  <c r="S251" i="16"/>
  <c r="O251" i="16"/>
  <c r="K251" i="16"/>
  <c r="T251" i="16"/>
  <c r="AB251" i="16"/>
  <c r="AJ251" i="16"/>
  <c r="AK253" i="16"/>
  <c r="AC253" i="16"/>
  <c r="AE253" i="16" s="1"/>
  <c r="Y253" i="16"/>
  <c r="U253" i="16"/>
  <c r="AF253" i="16" s="1"/>
  <c r="Q253" i="16"/>
  <c r="M253" i="16"/>
  <c r="AI253" i="16"/>
  <c r="AA253" i="16"/>
  <c r="AG253" i="16" s="1"/>
  <c r="W253" i="16"/>
  <c r="AD253" i="16" s="1"/>
  <c r="S253" i="16"/>
  <c r="O253" i="16"/>
  <c r="K253" i="16"/>
  <c r="T253" i="16"/>
  <c r="AJ253" i="16"/>
  <c r="AK255" i="16"/>
  <c r="AC255" i="16"/>
  <c r="AE255" i="16" s="1"/>
  <c r="Y255" i="16"/>
  <c r="U255" i="16"/>
  <c r="AF255" i="16" s="1"/>
  <c r="Q255" i="16"/>
  <c r="M255" i="16"/>
  <c r="AI255" i="16"/>
  <c r="AA255" i="16"/>
  <c r="AG255" i="16" s="1"/>
  <c r="W255" i="16"/>
  <c r="AD255" i="16" s="1"/>
  <c r="S255" i="16"/>
  <c r="O255" i="16"/>
  <c r="K255" i="16"/>
  <c r="T255" i="16"/>
  <c r="AJ255" i="16"/>
  <c r="AK257" i="16"/>
  <c r="AC257" i="16"/>
  <c r="AE257" i="16" s="1"/>
  <c r="Y257" i="16"/>
  <c r="U257" i="16"/>
  <c r="AF257" i="16" s="1"/>
  <c r="Q257" i="16"/>
  <c r="M257" i="16"/>
  <c r="AI257" i="16"/>
  <c r="AA257" i="16"/>
  <c r="AG257" i="16" s="1"/>
  <c r="W257" i="16"/>
  <c r="AD257" i="16" s="1"/>
  <c r="S257" i="16"/>
  <c r="O257" i="16"/>
  <c r="K257" i="16"/>
  <c r="T257" i="16"/>
  <c r="AJ257" i="16"/>
  <c r="AK259" i="16"/>
  <c r="AC259" i="16"/>
  <c r="AE259" i="16" s="1"/>
  <c r="Y259" i="16"/>
  <c r="U259" i="16"/>
  <c r="AF259" i="16" s="1"/>
  <c r="Q259" i="16"/>
  <c r="M259" i="16"/>
  <c r="AI259" i="16"/>
  <c r="AA259" i="16"/>
  <c r="AG259" i="16" s="1"/>
  <c r="W259" i="16"/>
  <c r="AD259" i="16" s="1"/>
  <c r="S259" i="16"/>
  <c r="O259" i="16"/>
  <c r="K259" i="16"/>
  <c r="T259" i="16"/>
  <c r="AJ259" i="16"/>
  <c r="AK261" i="16"/>
  <c r="AC261" i="16"/>
  <c r="AE261" i="16" s="1"/>
  <c r="Y261" i="16"/>
  <c r="U261" i="16"/>
  <c r="AF261" i="16" s="1"/>
  <c r="Q261" i="16"/>
  <c r="M261" i="16"/>
  <c r="AI261" i="16"/>
  <c r="AA261" i="16"/>
  <c r="AG261" i="16" s="1"/>
  <c r="W261" i="16"/>
  <c r="AD261" i="16" s="1"/>
  <c r="S261" i="16"/>
  <c r="O261" i="16"/>
  <c r="K261" i="16"/>
  <c r="T261" i="16"/>
  <c r="AJ261" i="16"/>
  <c r="AK263" i="16"/>
  <c r="AC263" i="16"/>
  <c r="AE263" i="16" s="1"/>
  <c r="Y263" i="16"/>
  <c r="U263" i="16"/>
  <c r="AF263" i="16" s="1"/>
  <c r="Q263" i="16"/>
  <c r="M263" i="16"/>
  <c r="AI263" i="16"/>
  <c r="AA263" i="16"/>
  <c r="AG263" i="16" s="1"/>
  <c r="W263" i="16"/>
  <c r="AD263" i="16" s="1"/>
  <c r="S263" i="16"/>
  <c r="O263" i="16"/>
  <c r="K263" i="16"/>
  <c r="T263" i="16"/>
  <c r="AJ263" i="16"/>
  <c r="AK265" i="16"/>
  <c r="AC265" i="16"/>
  <c r="AE265" i="16" s="1"/>
  <c r="Y265" i="16"/>
  <c r="U265" i="16"/>
  <c r="AF265" i="16" s="1"/>
  <c r="Q265" i="16"/>
  <c r="M265" i="16"/>
  <c r="AI265" i="16"/>
  <c r="AA265" i="16"/>
  <c r="AG265" i="16" s="1"/>
  <c r="W265" i="16"/>
  <c r="AD265" i="16" s="1"/>
  <c r="S265" i="16"/>
  <c r="O265" i="16"/>
  <c r="K265" i="16"/>
  <c r="T265" i="16"/>
  <c r="AJ265" i="16"/>
  <c r="AK267" i="16"/>
  <c r="AC267" i="16"/>
  <c r="AE267" i="16" s="1"/>
  <c r="Y267" i="16"/>
  <c r="U267" i="16"/>
  <c r="AF267" i="16" s="1"/>
  <c r="Q267" i="16"/>
  <c r="M267" i="16"/>
  <c r="AI267" i="16"/>
  <c r="AA267" i="16"/>
  <c r="AG267" i="16" s="1"/>
  <c r="W267" i="16"/>
  <c r="AD267" i="16" s="1"/>
  <c r="S267" i="16"/>
  <c r="O267" i="16"/>
  <c r="K267" i="16"/>
  <c r="T267" i="16"/>
  <c r="AJ267" i="16"/>
  <c r="AK269" i="16"/>
  <c r="AC269" i="16"/>
  <c r="AE269" i="16" s="1"/>
  <c r="Y269" i="16"/>
  <c r="U269" i="16"/>
  <c r="AF269" i="16" s="1"/>
  <c r="Q269" i="16"/>
  <c r="M269" i="16"/>
  <c r="AI269" i="16"/>
  <c r="AA269" i="16"/>
  <c r="AG269" i="16" s="1"/>
  <c r="W269" i="16"/>
  <c r="AD269" i="16" s="1"/>
  <c r="S269" i="16"/>
  <c r="O269" i="16"/>
  <c r="K269" i="16"/>
  <c r="T269" i="16"/>
  <c r="AJ269" i="16"/>
  <c r="AK271" i="16"/>
  <c r="AC271" i="16"/>
  <c r="AE271" i="16" s="1"/>
  <c r="Y271" i="16"/>
  <c r="U271" i="16"/>
  <c r="AF271" i="16" s="1"/>
  <c r="Q271" i="16"/>
  <c r="M271" i="16"/>
  <c r="AI271" i="16"/>
  <c r="AA271" i="16"/>
  <c r="AG271" i="16" s="1"/>
  <c r="W271" i="16"/>
  <c r="AD271" i="16" s="1"/>
  <c r="S271" i="16"/>
  <c r="O271" i="16"/>
  <c r="K271" i="16"/>
  <c r="T271" i="16"/>
  <c r="AJ271" i="16"/>
  <c r="AK273" i="16"/>
  <c r="AC273" i="16"/>
  <c r="AE273" i="16" s="1"/>
  <c r="Y273" i="16"/>
  <c r="U273" i="16"/>
  <c r="AF273" i="16" s="1"/>
  <c r="Q273" i="16"/>
  <c r="M273" i="16"/>
  <c r="AI273" i="16"/>
  <c r="AA273" i="16"/>
  <c r="AG273" i="16" s="1"/>
  <c r="W273" i="16"/>
  <c r="AD273" i="16" s="1"/>
  <c r="S273" i="16"/>
  <c r="O273" i="16"/>
  <c r="K273" i="16"/>
  <c r="T273" i="16"/>
  <c r="AJ273" i="16"/>
  <c r="AK275" i="16"/>
  <c r="AC275" i="16"/>
  <c r="AE275" i="16" s="1"/>
  <c r="Y275" i="16"/>
  <c r="U275" i="16"/>
  <c r="AF275" i="16" s="1"/>
  <c r="Q275" i="16"/>
  <c r="M275" i="16"/>
  <c r="AI275" i="16"/>
  <c r="AA275" i="16"/>
  <c r="AG275" i="16" s="1"/>
  <c r="W275" i="16"/>
  <c r="AD275" i="16" s="1"/>
  <c r="S275" i="16"/>
  <c r="O275" i="16"/>
  <c r="K275" i="16"/>
  <c r="T275" i="16"/>
  <c r="AJ275" i="16"/>
  <c r="AK277" i="16"/>
  <c r="AC277" i="16"/>
  <c r="AE277" i="16" s="1"/>
  <c r="Y277" i="16"/>
  <c r="U277" i="16"/>
  <c r="AF277" i="16" s="1"/>
  <c r="Q277" i="16"/>
  <c r="M277" i="16"/>
  <c r="AI277" i="16"/>
  <c r="AA277" i="16"/>
  <c r="AG277" i="16" s="1"/>
  <c r="W277" i="16"/>
  <c r="AD277" i="16" s="1"/>
  <c r="S277" i="16"/>
  <c r="O277" i="16"/>
  <c r="K277" i="16"/>
  <c r="T277" i="16"/>
  <c r="AJ277" i="16"/>
  <c r="AK279" i="16"/>
  <c r="AC279" i="16"/>
  <c r="AE279" i="16" s="1"/>
  <c r="Y279" i="16"/>
  <c r="U279" i="16"/>
  <c r="AF279" i="16" s="1"/>
  <c r="Q279" i="16"/>
  <c r="M279" i="16"/>
  <c r="AI279" i="16"/>
  <c r="AA279" i="16"/>
  <c r="AG279" i="16" s="1"/>
  <c r="W279" i="16"/>
  <c r="AD279" i="16" s="1"/>
  <c r="S279" i="16"/>
  <c r="O279" i="16"/>
  <c r="K279" i="16"/>
  <c r="T279" i="16"/>
  <c r="AJ279" i="16"/>
  <c r="P280" i="16"/>
  <c r="X280" i="16"/>
  <c r="Y280" i="16" s="1"/>
  <c r="AK281" i="16"/>
  <c r="AC281" i="16"/>
  <c r="AE281" i="16" s="1"/>
  <c r="Y281" i="16"/>
  <c r="U281" i="16"/>
  <c r="AF281" i="16" s="1"/>
  <c r="Q281" i="16"/>
  <c r="M281" i="16"/>
  <c r="AI281" i="16"/>
  <c r="AA281" i="16"/>
  <c r="AG281" i="16" s="1"/>
  <c r="W281" i="16"/>
  <c r="AD281" i="16" s="1"/>
  <c r="S281" i="16"/>
  <c r="O281" i="16"/>
  <c r="K281" i="16"/>
  <c r="T281" i="16"/>
  <c r="AJ281" i="16"/>
  <c r="P282" i="16"/>
  <c r="X282" i="16"/>
  <c r="Y282" i="16" s="1"/>
  <c r="AK283" i="16"/>
  <c r="AC283" i="16"/>
  <c r="AE283" i="16" s="1"/>
  <c r="Y283" i="16"/>
  <c r="U283" i="16"/>
  <c r="AF283" i="16" s="1"/>
  <c r="Q283" i="16"/>
  <c r="M283" i="16"/>
  <c r="AI283" i="16"/>
  <c r="AA283" i="16"/>
  <c r="AG283" i="16" s="1"/>
  <c r="W283" i="16"/>
  <c r="AD283" i="16" s="1"/>
  <c r="S283" i="16"/>
  <c r="O283" i="16"/>
  <c r="K283" i="16"/>
  <c r="T283" i="16"/>
  <c r="AB283" i="16"/>
  <c r="AJ283" i="16"/>
  <c r="P284" i="16"/>
  <c r="X284" i="16"/>
  <c r="Y284" i="16" s="1"/>
  <c r="AK285" i="16"/>
  <c r="AC285" i="16"/>
  <c r="AE285" i="16" s="1"/>
  <c r="Y285" i="16"/>
  <c r="U285" i="16"/>
  <c r="AF285" i="16" s="1"/>
  <c r="Q285" i="16"/>
  <c r="M285" i="16"/>
  <c r="AI285" i="16"/>
  <c r="AA285" i="16"/>
  <c r="AG285" i="16" s="1"/>
  <c r="W285" i="16"/>
  <c r="AD285" i="16" s="1"/>
  <c r="S285" i="16"/>
  <c r="O285" i="16"/>
  <c r="K285" i="16"/>
  <c r="T285" i="16"/>
  <c r="AJ285" i="16"/>
  <c r="P286" i="16"/>
  <c r="X286" i="16"/>
  <c r="Y286" i="16" s="1"/>
  <c r="AK287" i="16"/>
  <c r="AC287" i="16"/>
  <c r="AE287" i="16" s="1"/>
  <c r="Y287" i="16"/>
  <c r="U287" i="16"/>
  <c r="AF287" i="16" s="1"/>
  <c r="Q287" i="16"/>
  <c r="M287" i="16"/>
  <c r="AI287" i="16"/>
  <c r="AA287" i="16"/>
  <c r="AG287" i="16" s="1"/>
  <c r="W287" i="16"/>
  <c r="AD287" i="16" s="1"/>
  <c r="S287" i="16"/>
  <c r="O287" i="16"/>
  <c r="K287" i="16"/>
  <c r="T287" i="16"/>
  <c r="AJ287" i="16"/>
  <c r="P288" i="16"/>
  <c r="X288" i="16"/>
  <c r="Y288" i="16" s="1"/>
  <c r="AK289" i="16"/>
  <c r="AC289" i="16"/>
  <c r="AE289" i="16" s="1"/>
  <c r="Y289" i="16"/>
  <c r="U289" i="16"/>
  <c r="AF289" i="16" s="1"/>
  <c r="Q289" i="16"/>
  <c r="M289" i="16"/>
  <c r="AI289" i="16"/>
  <c r="AA289" i="16"/>
  <c r="AG289" i="16" s="1"/>
  <c r="W289" i="16"/>
  <c r="AD289" i="16" s="1"/>
  <c r="S289" i="16"/>
  <c r="O289" i="16"/>
  <c r="K289" i="16"/>
  <c r="T289" i="16"/>
  <c r="AJ289" i="16"/>
  <c r="P290" i="16"/>
  <c r="X290" i="16"/>
  <c r="Y290" i="16" s="1"/>
  <c r="AK291" i="16"/>
  <c r="AC291" i="16"/>
  <c r="AE291" i="16" s="1"/>
  <c r="Y291" i="16"/>
  <c r="U291" i="16"/>
  <c r="AF291" i="16" s="1"/>
  <c r="Q291" i="16"/>
  <c r="M291" i="16"/>
  <c r="AI291" i="16"/>
  <c r="AA291" i="16"/>
  <c r="AG291" i="16" s="1"/>
  <c r="W291" i="16"/>
  <c r="AD291" i="16" s="1"/>
  <c r="S291" i="16"/>
  <c r="O291" i="16"/>
  <c r="K291" i="16"/>
  <c r="T291" i="16"/>
  <c r="AJ291" i="16"/>
  <c r="P292" i="16"/>
  <c r="X292" i="16"/>
  <c r="Y292" i="16" s="1"/>
  <c r="AK293" i="16"/>
  <c r="AC293" i="16"/>
  <c r="AE293" i="16" s="1"/>
  <c r="Y293" i="16"/>
  <c r="U293" i="16"/>
  <c r="AF293" i="16" s="1"/>
  <c r="Q293" i="16"/>
  <c r="M293" i="16"/>
  <c r="AI293" i="16"/>
  <c r="AA293" i="16"/>
  <c r="AG293" i="16" s="1"/>
  <c r="W293" i="16"/>
  <c r="AD293" i="16" s="1"/>
  <c r="S293" i="16"/>
  <c r="O293" i="16"/>
  <c r="K293" i="16"/>
  <c r="T293" i="16"/>
  <c r="AJ293" i="16"/>
  <c r="P294" i="16"/>
  <c r="X294" i="16"/>
  <c r="Y294" i="16" s="1"/>
  <c r="AK295" i="16"/>
  <c r="AC295" i="16"/>
  <c r="AE295" i="16" s="1"/>
  <c r="Y295" i="16"/>
  <c r="U295" i="16"/>
  <c r="AF295" i="16" s="1"/>
  <c r="Q295" i="16"/>
  <c r="M295" i="16"/>
  <c r="AI295" i="16"/>
  <c r="AA295" i="16"/>
  <c r="AG295" i="16" s="1"/>
  <c r="W295" i="16"/>
  <c r="AD295" i="16" s="1"/>
  <c r="S295" i="16"/>
  <c r="O295" i="16"/>
  <c r="K295" i="16"/>
  <c r="T295" i="16"/>
  <c r="AJ295" i="16"/>
  <c r="P296" i="16"/>
  <c r="X296" i="16"/>
  <c r="Y296" i="16" s="1"/>
  <c r="AK297" i="16"/>
  <c r="AC297" i="16"/>
  <c r="AE297" i="16" s="1"/>
  <c r="Y297" i="16"/>
  <c r="U297" i="16"/>
  <c r="AF297" i="16" s="1"/>
  <c r="Q297" i="16"/>
  <c r="M297" i="16"/>
  <c r="AI297" i="16"/>
  <c r="AA297" i="16"/>
  <c r="AG297" i="16" s="1"/>
  <c r="W297" i="16"/>
  <c r="AD297" i="16" s="1"/>
  <c r="S297" i="16"/>
  <c r="O297" i="16"/>
  <c r="K297" i="16"/>
  <c r="T297" i="16"/>
  <c r="AJ297" i="16"/>
  <c r="P298" i="16"/>
  <c r="X298" i="16"/>
  <c r="Y298" i="16" s="1"/>
  <c r="AK299" i="16"/>
  <c r="AC299" i="16"/>
  <c r="AE299" i="16" s="1"/>
  <c r="Y299" i="16"/>
  <c r="U299" i="16"/>
  <c r="AF299" i="16" s="1"/>
  <c r="Q299" i="16"/>
  <c r="M299" i="16"/>
  <c r="AI299" i="16"/>
  <c r="AA299" i="16"/>
  <c r="AG299" i="16" s="1"/>
  <c r="W299" i="16"/>
  <c r="AD299" i="16" s="1"/>
  <c r="S299" i="16"/>
  <c r="O299" i="16"/>
  <c r="K299" i="16"/>
  <c r="T299" i="16"/>
  <c r="AB299" i="16"/>
  <c r="AJ299" i="16"/>
  <c r="P300" i="16"/>
  <c r="X300" i="16"/>
  <c r="Y300" i="16" s="1"/>
  <c r="AK301" i="16"/>
  <c r="AC301" i="16"/>
  <c r="AE301" i="16" s="1"/>
  <c r="Y301" i="16"/>
  <c r="U301" i="16"/>
  <c r="AF301" i="16" s="1"/>
  <c r="Q301" i="16"/>
  <c r="M301" i="16"/>
  <c r="AI301" i="16"/>
  <c r="AA301" i="16"/>
  <c r="AG301" i="16" s="1"/>
  <c r="W301" i="16"/>
  <c r="AD301" i="16" s="1"/>
  <c r="S301" i="16"/>
  <c r="O301" i="16"/>
  <c r="K301" i="16"/>
  <c r="T301" i="16"/>
  <c r="AJ301" i="16"/>
  <c r="P302" i="16"/>
  <c r="X302" i="16"/>
  <c r="Y302" i="16" s="1"/>
  <c r="AK303" i="16"/>
  <c r="AC303" i="16"/>
  <c r="AE303" i="16" s="1"/>
  <c r="Y303" i="16"/>
  <c r="U303" i="16"/>
  <c r="AF303" i="16" s="1"/>
  <c r="Q303" i="16"/>
  <c r="M303" i="16"/>
  <c r="AI303" i="16"/>
  <c r="AA303" i="16"/>
  <c r="AG303" i="16" s="1"/>
  <c r="W303" i="16"/>
  <c r="AD303" i="16" s="1"/>
  <c r="S303" i="16"/>
  <c r="O303" i="16"/>
  <c r="K303" i="16"/>
  <c r="T303" i="16"/>
  <c r="AJ303" i="16"/>
  <c r="P304" i="16"/>
  <c r="X304" i="16"/>
  <c r="Y304" i="16" s="1"/>
  <c r="AK305" i="16"/>
  <c r="AC305" i="16"/>
  <c r="AE305" i="16" s="1"/>
  <c r="Y305" i="16"/>
  <c r="U305" i="16"/>
  <c r="AF305" i="16" s="1"/>
  <c r="Q305" i="16"/>
  <c r="M305" i="16"/>
  <c r="AI305" i="16"/>
  <c r="AA305" i="16"/>
  <c r="AG305" i="16" s="1"/>
  <c r="W305" i="16"/>
  <c r="AD305" i="16" s="1"/>
  <c r="S305" i="16"/>
  <c r="O305" i="16"/>
  <c r="K305" i="16"/>
  <c r="T305" i="16"/>
  <c r="AJ305" i="16"/>
  <c r="P306" i="16"/>
  <c r="X306" i="16"/>
  <c r="Y306" i="16" s="1"/>
  <c r="AK307" i="16"/>
  <c r="AC307" i="16"/>
  <c r="AE307" i="16" s="1"/>
  <c r="Y307" i="16"/>
  <c r="U307" i="16"/>
  <c r="AF307" i="16" s="1"/>
  <c r="Q307" i="16"/>
  <c r="M307" i="16"/>
  <c r="AI307" i="16"/>
  <c r="AA307" i="16"/>
  <c r="AG307" i="16" s="1"/>
  <c r="W307" i="16"/>
  <c r="AD307" i="16" s="1"/>
  <c r="S307" i="16"/>
  <c r="O307" i="16"/>
  <c r="K307" i="16"/>
  <c r="T307" i="16"/>
  <c r="AJ307" i="16"/>
  <c r="P308" i="16"/>
  <c r="X308" i="16"/>
  <c r="Y308" i="16" s="1"/>
  <c r="AK309" i="16"/>
  <c r="AC309" i="16"/>
  <c r="AE309" i="16" s="1"/>
  <c r="Y309" i="16"/>
  <c r="U309" i="16"/>
  <c r="AF309" i="16" s="1"/>
  <c r="Q309" i="16"/>
  <c r="M309" i="16"/>
  <c r="AI309" i="16"/>
  <c r="AA309" i="16"/>
  <c r="AG309" i="16" s="1"/>
  <c r="W309" i="16"/>
  <c r="AD309" i="16" s="1"/>
  <c r="S309" i="16"/>
  <c r="O309" i="16"/>
  <c r="K309" i="16"/>
  <c r="T309" i="16"/>
  <c r="AJ309" i="16"/>
  <c r="P310" i="16"/>
  <c r="X310" i="16"/>
  <c r="Y310" i="16" s="1"/>
  <c r="AK311" i="16"/>
  <c r="AC311" i="16"/>
  <c r="AE311" i="16" s="1"/>
  <c r="Y311" i="16"/>
  <c r="U311" i="16"/>
  <c r="AF311" i="16" s="1"/>
  <c r="Q311" i="16"/>
  <c r="M311" i="16"/>
  <c r="AI311" i="16"/>
  <c r="AA311" i="16"/>
  <c r="AG311" i="16" s="1"/>
  <c r="W311" i="16"/>
  <c r="AD311" i="16" s="1"/>
  <c r="S311" i="16"/>
  <c r="O311" i="16"/>
  <c r="K311" i="16"/>
  <c r="T311" i="16"/>
  <c r="AJ311" i="16"/>
  <c r="P312" i="16"/>
  <c r="X312" i="16"/>
  <c r="Y312" i="16" s="1"/>
  <c r="AK313" i="16"/>
  <c r="AC313" i="16"/>
  <c r="AE313" i="16" s="1"/>
  <c r="Y313" i="16"/>
  <c r="U313" i="16"/>
  <c r="AF313" i="16" s="1"/>
  <c r="Q313" i="16"/>
  <c r="M313" i="16"/>
  <c r="AI313" i="16"/>
  <c r="AA313" i="16"/>
  <c r="AG313" i="16" s="1"/>
  <c r="W313" i="16"/>
  <c r="AD313" i="16" s="1"/>
  <c r="S313" i="16"/>
  <c r="O313" i="16"/>
  <c r="K313" i="16"/>
  <c r="T313" i="16"/>
  <c r="AJ313" i="16"/>
  <c r="P314" i="16"/>
  <c r="X314" i="16"/>
  <c r="Y314" i="16" s="1"/>
  <c r="AK315" i="16"/>
  <c r="AC315" i="16"/>
  <c r="AE315" i="16" s="1"/>
  <c r="Y315" i="16"/>
  <c r="U315" i="16"/>
  <c r="AF315" i="16" s="1"/>
  <c r="Q315" i="16"/>
  <c r="M315" i="16"/>
  <c r="AI315" i="16"/>
  <c r="AA315" i="16"/>
  <c r="AG315" i="16" s="1"/>
  <c r="W315" i="16"/>
  <c r="AD315" i="16" s="1"/>
  <c r="S315" i="16"/>
  <c r="O315" i="16"/>
  <c r="K315" i="16"/>
  <c r="T315" i="16"/>
  <c r="AJ315" i="16"/>
  <c r="P316" i="16"/>
  <c r="X316" i="16"/>
  <c r="Y316" i="16" s="1"/>
  <c r="AK317" i="16"/>
  <c r="AC317" i="16"/>
  <c r="AE317" i="16" s="1"/>
  <c r="Y317" i="16"/>
  <c r="U317" i="16"/>
  <c r="AF317" i="16" s="1"/>
  <c r="Q317" i="16"/>
  <c r="M317" i="16"/>
  <c r="AI317" i="16"/>
  <c r="AA317" i="16"/>
  <c r="AG317" i="16" s="1"/>
  <c r="W317" i="16"/>
  <c r="AD317" i="16" s="1"/>
  <c r="S317" i="16"/>
  <c r="O317" i="16"/>
  <c r="K317" i="16"/>
  <c r="T317" i="16"/>
  <c r="AJ317" i="16"/>
  <c r="P318" i="16"/>
  <c r="X318" i="16"/>
  <c r="Y318" i="16" s="1"/>
  <c r="AK319" i="16"/>
  <c r="AC319" i="16"/>
  <c r="AE319" i="16" s="1"/>
  <c r="Y319" i="16"/>
  <c r="U319" i="16"/>
  <c r="AF319" i="16" s="1"/>
  <c r="Q319" i="16"/>
  <c r="M319" i="16"/>
  <c r="AI319" i="16"/>
  <c r="AA319" i="16"/>
  <c r="AG319" i="16" s="1"/>
  <c r="W319" i="16"/>
  <c r="AD319" i="16" s="1"/>
  <c r="S319" i="16"/>
  <c r="O319" i="16"/>
  <c r="K319" i="16"/>
  <c r="T319" i="16"/>
  <c r="AJ319" i="16"/>
  <c r="P320" i="16"/>
  <c r="X320" i="16"/>
  <c r="Y320" i="16" s="1"/>
  <c r="AK321" i="16"/>
  <c r="AC321" i="16"/>
  <c r="AE321" i="16" s="1"/>
  <c r="Y321" i="16"/>
  <c r="U321" i="16"/>
  <c r="AF321" i="16" s="1"/>
  <c r="Q321" i="16"/>
  <c r="M321" i="16"/>
  <c r="AI321" i="16"/>
  <c r="AA321" i="16"/>
  <c r="AG321" i="16" s="1"/>
  <c r="W321" i="16"/>
  <c r="AD321" i="16" s="1"/>
  <c r="S321" i="16"/>
  <c r="O321" i="16"/>
  <c r="K321" i="16"/>
  <c r="T321" i="16"/>
  <c r="AJ321" i="16"/>
  <c r="P322" i="16"/>
  <c r="X322" i="16"/>
  <c r="Y322" i="16" s="1"/>
  <c r="AK323" i="16"/>
  <c r="AC323" i="16"/>
  <c r="AE323" i="16" s="1"/>
  <c r="Y323" i="16"/>
  <c r="U323" i="16"/>
  <c r="AF323" i="16" s="1"/>
  <c r="Q323" i="16"/>
  <c r="M323" i="16"/>
  <c r="AI323" i="16"/>
  <c r="AA323" i="16"/>
  <c r="AG323" i="16" s="1"/>
  <c r="W323" i="16"/>
  <c r="AD323" i="16" s="1"/>
  <c r="S323" i="16"/>
  <c r="O323" i="16"/>
  <c r="K323" i="16"/>
  <c r="T323" i="16"/>
  <c r="AB323" i="16"/>
  <c r="AJ323" i="16"/>
  <c r="P324" i="16"/>
  <c r="X324" i="16"/>
  <c r="Y324" i="16" s="1"/>
  <c r="AK325" i="16"/>
  <c r="AC325" i="16"/>
  <c r="AE325" i="16" s="1"/>
  <c r="Y325" i="16"/>
  <c r="U325" i="16"/>
  <c r="AF325" i="16" s="1"/>
  <c r="Q325" i="16"/>
  <c r="M325" i="16"/>
  <c r="AI325" i="16"/>
  <c r="AA325" i="16"/>
  <c r="AG325" i="16" s="1"/>
  <c r="W325" i="16"/>
  <c r="AD325" i="16" s="1"/>
  <c r="S325" i="16"/>
  <c r="O325" i="16"/>
  <c r="K325" i="16"/>
  <c r="T325" i="16"/>
  <c r="AJ325" i="16"/>
  <c r="P326" i="16"/>
  <c r="X326" i="16"/>
  <c r="Y326" i="16" s="1"/>
  <c r="AK327" i="16"/>
  <c r="AC327" i="16"/>
  <c r="AE327" i="16" s="1"/>
  <c r="Y327" i="16"/>
  <c r="U327" i="16"/>
  <c r="AF327" i="16" s="1"/>
  <c r="Q327" i="16"/>
  <c r="M327" i="16"/>
  <c r="AI327" i="16"/>
  <c r="AA327" i="16"/>
  <c r="AG327" i="16" s="1"/>
  <c r="W327" i="16"/>
  <c r="AD327" i="16" s="1"/>
  <c r="S327" i="16"/>
  <c r="O327" i="16"/>
  <c r="K327" i="16"/>
  <c r="T327" i="16"/>
  <c r="AB327" i="16"/>
  <c r="AJ327" i="16"/>
  <c r="P328" i="16"/>
  <c r="X328" i="16"/>
  <c r="Y328" i="16" s="1"/>
  <c r="AK329" i="16"/>
  <c r="AC329" i="16"/>
  <c r="AE329" i="16" s="1"/>
  <c r="Y329" i="16"/>
  <c r="U329" i="16"/>
  <c r="AF329" i="16" s="1"/>
  <c r="Q329" i="16"/>
  <c r="M329" i="16"/>
  <c r="AI329" i="16"/>
  <c r="AA329" i="16"/>
  <c r="AG329" i="16" s="1"/>
  <c r="W329" i="16"/>
  <c r="AD329" i="16" s="1"/>
  <c r="S329" i="16"/>
  <c r="O329" i="16"/>
  <c r="K329" i="16"/>
  <c r="T329" i="16"/>
  <c r="AJ329" i="16"/>
  <c r="P330" i="16"/>
  <c r="X330" i="16"/>
  <c r="Y330" i="16" s="1"/>
  <c r="AK331" i="16"/>
  <c r="AC331" i="16"/>
  <c r="AE331" i="16" s="1"/>
  <c r="Y331" i="16"/>
  <c r="U331" i="16"/>
  <c r="AF331" i="16" s="1"/>
  <c r="Q331" i="16"/>
  <c r="M331" i="16"/>
  <c r="AI331" i="16"/>
  <c r="AA331" i="16"/>
  <c r="AG331" i="16" s="1"/>
  <c r="W331" i="16"/>
  <c r="AD331" i="16" s="1"/>
  <c r="S331" i="16"/>
  <c r="O331" i="16"/>
  <c r="K331" i="16"/>
  <c r="T331" i="16"/>
  <c r="AJ331" i="16"/>
  <c r="P332" i="16"/>
  <c r="X332" i="16"/>
  <c r="Y332" i="16" s="1"/>
  <c r="AK333" i="16"/>
  <c r="AC333" i="16"/>
  <c r="AE333" i="16" s="1"/>
  <c r="Y333" i="16"/>
  <c r="U333" i="16"/>
  <c r="AF333" i="16" s="1"/>
  <c r="Q333" i="16"/>
  <c r="M333" i="16"/>
  <c r="AI333" i="16"/>
  <c r="AA333" i="16"/>
  <c r="AG333" i="16" s="1"/>
  <c r="W333" i="16"/>
  <c r="AD333" i="16" s="1"/>
  <c r="S333" i="16"/>
  <c r="O333" i="16"/>
  <c r="K333" i="16"/>
  <c r="T333" i="16"/>
  <c r="AJ333" i="16"/>
  <c r="P334" i="16"/>
  <c r="X334" i="16"/>
  <c r="Y334" i="16" s="1"/>
  <c r="AK335" i="16"/>
  <c r="AC335" i="16"/>
  <c r="AE335" i="16" s="1"/>
  <c r="Y335" i="16"/>
  <c r="U335" i="16"/>
  <c r="AF335" i="16" s="1"/>
  <c r="Q335" i="16"/>
  <c r="M335" i="16"/>
  <c r="AI335" i="16"/>
  <c r="AA335" i="16"/>
  <c r="AG335" i="16" s="1"/>
  <c r="W335" i="16"/>
  <c r="AD335" i="16" s="1"/>
  <c r="S335" i="16"/>
  <c r="O335" i="16"/>
  <c r="K335" i="16"/>
  <c r="T335" i="16"/>
  <c r="AJ335" i="16"/>
  <c r="P336" i="16"/>
  <c r="X336" i="16"/>
  <c r="Y336" i="16" s="1"/>
  <c r="AK337" i="16"/>
  <c r="AC337" i="16"/>
  <c r="AE337" i="16" s="1"/>
  <c r="Y337" i="16"/>
  <c r="U337" i="16"/>
  <c r="AF337" i="16" s="1"/>
  <c r="Q337" i="16"/>
  <c r="M337" i="16"/>
  <c r="AI337" i="16"/>
  <c r="AA337" i="16"/>
  <c r="AG337" i="16" s="1"/>
  <c r="W337" i="16"/>
  <c r="AD337" i="16" s="1"/>
  <c r="S337" i="16"/>
  <c r="O337" i="16"/>
  <c r="K337" i="16"/>
  <c r="T337" i="16"/>
  <c r="AJ337" i="16"/>
  <c r="P338" i="16"/>
  <c r="X338" i="16"/>
  <c r="Y338" i="16" s="1"/>
  <c r="AK339" i="16"/>
  <c r="AC339" i="16"/>
  <c r="AE339" i="16" s="1"/>
  <c r="Y339" i="16"/>
  <c r="U339" i="16"/>
  <c r="AF339" i="16" s="1"/>
  <c r="Q339" i="16"/>
  <c r="M339" i="16"/>
  <c r="AI339" i="16"/>
  <c r="AA339" i="16"/>
  <c r="AG339" i="16" s="1"/>
  <c r="W339" i="16"/>
  <c r="AD339" i="16" s="1"/>
  <c r="S339" i="16"/>
  <c r="O339" i="16"/>
  <c r="K339" i="16"/>
  <c r="T339" i="16"/>
  <c r="AB339" i="16"/>
  <c r="AJ339" i="16"/>
  <c r="P340" i="16"/>
  <c r="X340" i="16"/>
  <c r="Y340" i="16" s="1"/>
  <c r="AK341" i="16"/>
  <c r="AC341" i="16"/>
  <c r="AE341" i="16" s="1"/>
  <c r="Y341" i="16"/>
  <c r="U341" i="16"/>
  <c r="AF341" i="16" s="1"/>
  <c r="Q341" i="16"/>
  <c r="M341" i="16"/>
  <c r="AI341" i="16"/>
  <c r="AA341" i="16"/>
  <c r="AG341" i="16" s="1"/>
  <c r="W341" i="16"/>
  <c r="AD341" i="16" s="1"/>
  <c r="S341" i="16"/>
  <c r="O341" i="16"/>
  <c r="K341" i="16"/>
  <c r="T341" i="16"/>
  <c r="AJ341" i="16"/>
  <c r="P342" i="16"/>
  <c r="X342" i="16"/>
  <c r="Y342" i="16" s="1"/>
  <c r="AK343" i="16"/>
  <c r="AC343" i="16"/>
  <c r="AE343" i="16" s="1"/>
  <c r="Y343" i="16"/>
  <c r="U343" i="16"/>
  <c r="AF343" i="16" s="1"/>
  <c r="Q343" i="16"/>
  <c r="M343" i="16"/>
  <c r="AI343" i="16"/>
  <c r="AA343" i="16"/>
  <c r="AG343" i="16" s="1"/>
  <c r="W343" i="16"/>
  <c r="AD343" i="16" s="1"/>
  <c r="S343" i="16"/>
  <c r="O343" i="16"/>
  <c r="K343" i="16"/>
  <c r="T343" i="16"/>
  <c r="AJ343" i="16"/>
  <c r="P344" i="16"/>
  <c r="X344" i="16"/>
  <c r="Y344" i="16" s="1"/>
  <c r="AK345" i="16"/>
  <c r="AC345" i="16"/>
  <c r="AE345" i="16" s="1"/>
  <c r="Y345" i="16"/>
  <c r="U345" i="16"/>
  <c r="AF345" i="16" s="1"/>
  <c r="Q345" i="16"/>
  <c r="M345" i="16"/>
  <c r="AI345" i="16"/>
  <c r="AA345" i="16"/>
  <c r="AG345" i="16" s="1"/>
  <c r="W345" i="16"/>
  <c r="AD345" i="16" s="1"/>
  <c r="S345" i="16"/>
  <c r="O345" i="16"/>
  <c r="K345" i="16"/>
  <c r="T345" i="16"/>
  <c r="AJ345" i="16"/>
  <c r="P346" i="16"/>
  <c r="X346" i="16"/>
  <c r="Y346" i="16" s="1"/>
  <c r="AK347" i="16"/>
  <c r="AC347" i="16"/>
  <c r="AE347" i="16" s="1"/>
  <c r="Y347" i="16"/>
  <c r="U347" i="16"/>
  <c r="AF347" i="16" s="1"/>
  <c r="Q347" i="16"/>
  <c r="M347" i="16"/>
  <c r="AI347" i="16"/>
  <c r="AA347" i="16"/>
  <c r="AG347" i="16" s="1"/>
  <c r="W347" i="16"/>
  <c r="AD347" i="16" s="1"/>
  <c r="S347" i="16"/>
  <c r="O347" i="16"/>
  <c r="K347" i="16"/>
  <c r="T347" i="16"/>
  <c r="AJ347" i="16"/>
  <c r="P348" i="16"/>
  <c r="X348" i="16"/>
  <c r="Y348" i="16" s="1"/>
  <c r="AK349" i="16"/>
  <c r="AC349" i="16"/>
  <c r="AE349" i="16" s="1"/>
  <c r="Y349" i="16"/>
  <c r="U349" i="16"/>
  <c r="AF349" i="16" s="1"/>
  <c r="Q349" i="16"/>
  <c r="M349" i="16"/>
  <c r="AI349" i="16"/>
  <c r="AA349" i="16"/>
  <c r="AG349" i="16" s="1"/>
  <c r="W349" i="16"/>
  <c r="AD349" i="16" s="1"/>
  <c r="S349" i="16"/>
  <c r="O349" i="16"/>
  <c r="K349" i="16"/>
  <c r="T349" i="16"/>
  <c r="AJ349" i="16"/>
  <c r="P350" i="16"/>
  <c r="X350" i="16"/>
  <c r="Y350" i="16" s="1"/>
  <c r="AK351" i="16"/>
  <c r="AC351" i="16"/>
  <c r="AE351" i="16" s="1"/>
  <c r="Y351" i="16"/>
  <c r="U351" i="16"/>
  <c r="AF351" i="16" s="1"/>
  <c r="Q351" i="16"/>
  <c r="M351" i="16"/>
  <c r="AI351" i="16"/>
  <c r="AA351" i="16"/>
  <c r="AG351" i="16" s="1"/>
  <c r="W351" i="16"/>
  <c r="AD351" i="16" s="1"/>
  <c r="S351" i="16"/>
  <c r="O351" i="16"/>
  <c r="K351" i="16"/>
  <c r="T351" i="16"/>
  <c r="AJ351" i="16"/>
  <c r="P352" i="16"/>
  <c r="X352" i="16"/>
  <c r="Y352" i="16" s="1"/>
  <c r="AK353" i="16"/>
  <c r="AC353" i="16"/>
  <c r="AE353" i="16" s="1"/>
  <c r="Y353" i="16"/>
  <c r="U353" i="16"/>
  <c r="AF353" i="16" s="1"/>
  <c r="Q353" i="16"/>
  <c r="M353" i="16"/>
  <c r="AI353" i="16"/>
  <c r="AA353" i="16"/>
  <c r="AG353" i="16" s="1"/>
  <c r="W353" i="16"/>
  <c r="AD353" i="16" s="1"/>
  <c r="S353" i="16"/>
  <c r="O353" i="16"/>
  <c r="K353" i="16"/>
  <c r="T353" i="16"/>
  <c r="AJ353" i="16"/>
  <c r="P354" i="16"/>
  <c r="X354" i="16"/>
  <c r="Y354" i="16" s="1"/>
  <c r="AK355" i="16"/>
  <c r="AC355" i="16"/>
  <c r="AE355" i="16" s="1"/>
  <c r="Y355" i="16"/>
  <c r="U355" i="16"/>
  <c r="AF355" i="16" s="1"/>
  <c r="Q355" i="16"/>
  <c r="M355" i="16"/>
  <c r="AI355" i="16"/>
  <c r="AA355" i="16"/>
  <c r="AG355" i="16" s="1"/>
  <c r="W355" i="16"/>
  <c r="AD355" i="16" s="1"/>
  <c r="S355" i="16"/>
  <c r="O355" i="16"/>
  <c r="K355" i="16"/>
  <c r="T355" i="16"/>
  <c r="AJ355" i="16"/>
  <c r="P356" i="16"/>
  <c r="X356" i="16"/>
  <c r="Y356" i="16" s="1"/>
  <c r="AK357" i="16"/>
  <c r="AC357" i="16"/>
  <c r="AE357" i="16" s="1"/>
  <c r="Y357" i="16"/>
  <c r="U357" i="16"/>
  <c r="AF357" i="16" s="1"/>
  <c r="Q357" i="16"/>
  <c r="M357" i="16"/>
  <c r="AI357" i="16"/>
  <c r="AA357" i="16"/>
  <c r="AG357" i="16" s="1"/>
  <c r="W357" i="16"/>
  <c r="AD357" i="16" s="1"/>
  <c r="S357" i="16"/>
  <c r="O357" i="16"/>
  <c r="K357" i="16"/>
  <c r="T357" i="16"/>
  <c r="AB357" i="16"/>
  <c r="AJ357" i="16"/>
  <c r="P358" i="16"/>
  <c r="X358" i="16"/>
  <c r="Y358" i="16" s="1"/>
  <c r="AK359" i="16"/>
  <c r="AC359" i="16"/>
  <c r="AE359" i="16" s="1"/>
  <c r="Y359" i="16"/>
  <c r="U359" i="16"/>
  <c r="AF359" i="16" s="1"/>
  <c r="Q359" i="16"/>
  <c r="M359" i="16"/>
  <c r="AI359" i="16"/>
  <c r="AA359" i="16"/>
  <c r="AG359" i="16" s="1"/>
  <c r="W359" i="16"/>
  <c r="AD359" i="16" s="1"/>
  <c r="S359" i="16"/>
  <c r="O359" i="16"/>
  <c r="K359" i="16"/>
  <c r="T359" i="16"/>
  <c r="AJ359" i="16"/>
  <c r="P360" i="16"/>
  <c r="X360" i="16"/>
  <c r="Y360" i="16" s="1"/>
  <c r="AK361" i="16"/>
  <c r="AC361" i="16"/>
  <c r="AE361" i="16" s="1"/>
  <c r="Y361" i="16"/>
  <c r="U361" i="16"/>
  <c r="AF361" i="16" s="1"/>
  <c r="Q361" i="16"/>
  <c r="M361" i="16"/>
  <c r="AI361" i="16"/>
  <c r="AA361" i="16"/>
  <c r="AG361" i="16" s="1"/>
  <c r="W361" i="16"/>
  <c r="AD361" i="16" s="1"/>
  <c r="S361" i="16"/>
  <c r="O361" i="16"/>
  <c r="K361" i="16"/>
  <c r="T361" i="16"/>
  <c r="AB361" i="16"/>
  <c r="AJ361" i="16"/>
  <c r="P362" i="16"/>
  <c r="X362" i="16"/>
  <c r="AK363" i="16"/>
  <c r="AC363" i="16"/>
  <c r="AE363" i="16" s="1"/>
  <c r="Y363" i="16"/>
  <c r="U363" i="16"/>
  <c r="AF363" i="16" s="1"/>
  <c r="Q363" i="16"/>
  <c r="M363" i="16"/>
  <c r="AI363" i="16"/>
  <c r="AA363" i="16"/>
  <c r="AG363" i="16" s="1"/>
  <c r="W363" i="16"/>
  <c r="AD363" i="16" s="1"/>
  <c r="S363" i="16"/>
  <c r="O363" i="16"/>
  <c r="K363" i="16"/>
  <c r="T363" i="16"/>
  <c r="AJ363" i="16"/>
  <c r="P364" i="16"/>
  <c r="X364" i="16"/>
  <c r="Y364" i="16" s="1"/>
  <c r="AK365" i="16"/>
  <c r="AC365" i="16"/>
  <c r="AE365" i="16" s="1"/>
  <c r="Y365" i="16"/>
  <c r="U365" i="16"/>
  <c r="AF365" i="16" s="1"/>
  <c r="Q365" i="16"/>
  <c r="M365" i="16"/>
  <c r="AI365" i="16"/>
  <c r="AA365" i="16"/>
  <c r="AG365" i="16" s="1"/>
  <c r="W365" i="16"/>
  <c r="AD365" i="16" s="1"/>
  <c r="S365" i="16"/>
  <c r="O365" i="16"/>
  <c r="K365" i="16"/>
  <c r="T365" i="16"/>
  <c r="AJ365" i="16"/>
  <c r="P366" i="16"/>
  <c r="X366" i="16"/>
  <c r="Y366" i="16" s="1"/>
  <c r="AK367" i="16"/>
  <c r="AC367" i="16"/>
  <c r="AE367" i="16" s="1"/>
  <c r="Y367" i="16"/>
  <c r="U367" i="16"/>
  <c r="AF367" i="16" s="1"/>
  <c r="Q367" i="16"/>
  <c r="M367" i="16"/>
  <c r="AI367" i="16"/>
  <c r="AA367" i="16"/>
  <c r="AG367" i="16" s="1"/>
  <c r="W367" i="16"/>
  <c r="AD367" i="16" s="1"/>
  <c r="S367" i="16"/>
  <c r="O367" i="16"/>
  <c r="K367" i="16"/>
  <c r="T367" i="16"/>
  <c r="AJ367" i="16"/>
  <c r="P368" i="16"/>
  <c r="X368" i="16"/>
  <c r="Y368" i="16" s="1"/>
  <c r="AK369" i="16"/>
  <c r="AC369" i="16"/>
  <c r="AE369" i="16" s="1"/>
  <c r="Y369" i="16"/>
  <c r="U369" i="16"/>
  <c r="AF369" i="16" s="1"/>
  <c r="Q369" i="16"/>
  <c r="M369" i="16"/>
  <c r="AI369" i="16"/>
  <c r="AA369" i="16"/>
  <c r="AG369" i="16" s="1"/>
  <c r="W369" i="16"/>
  <c r="AD369" i="16" s="1"/>
  <c r="S369" i="16"/>
  <c r="O369" i="16"/>
  <c r="K369" i="16"/>
  <c r="T369" i="16"/>
  <c r="AJ369" i="16"/>
  <c r="P370" i="16"/>
  <c r="X370" i="16"/>
  <c r="Y370" i="16" s="1"/>
  <c r="AK371" i="16"/>
  <c r="AC371" i="16"/>
  <c r="AE371" i="16" s="1"/>
  <c r="Y371" i="16"/>
  <c r="U371" i="16"/>
  <c r="AF371" i="16" s="1"/>
  <c r="Q371" i="16"/>
  <c r="M371" i="16"/>
  <c r="AI371" i="16"/>
  <c r="AA371" i="16"/>
  <c r="AG371" i="16" s="1"/>
  <c r="W371" i="16"/>
  <c r="AD371" i="16" s="1"/>
  <c r="S371" i="16"/>
  <c r="O371" i="16"/>
  <c r="K371" i="16"/>
  <c r="T371" i="16"/>
  <c r="AB371" i="16"/>
  <c r="AJ371" i="16"/>
  <c r="P372" i="16"/>
  <c r="X372" i="16"/>
  <c r="Y372" i="16" s="1"/>
  <c r="AK373" i="16"/>
  <c r="AC373" i="16"/>
  <c r="AE373" i="16" s="1"/>
  <c r="Y373" i="16"/>
  <c r="U373" i="16"/>
  <c r="AF373" i="16" s="1"/>
  <c r="Q373" i="16"/>
  <c r="M373" i="16"/>
  <c r="AI373" i="16"/>
  <c r="AA373" i="16"/>
  <c r="AG373" i="16" s="1"/>
  <c r="W373" i="16"/>
  <c r="AD373" i="16" s="1"/>
  <c r="S373" i="16"/>
  <c r="O373" i="16"/>
  <c r="K373" i="16"/>
  <c r="T373" i="16"/>
  <c r="AJ373" i="16"/>
  <c r="P374" i="16"/>
  <c r="X374" i="16"/>
  <c r="Y374" i="16" s="1"/>
  <c r="AK375" i="16"/>
  <c r="AC375" i="16"/>
  <c r="AE375" i="16" s="1"/>
  <c r="Y375" i="16"/>
  <c r="U375" i="16"/>
  <c r="AF375" i="16" s="1"/>
  <c r="Q375" i="16"/>
  <c r="M375" i="16"/>
  <c r="AI375" i="16"/>
  <c r="AA375" i="16"/>
  <c r="AG375" i="16" s="1"/>
  <c r="W375" i="16"/>
  <c r="AD375" i="16" s="1"/>
  <c r="S375" i="16"/>
  <c r="O375" i="16"/>
  <c r="K375" i="16"/>
  <c r="T375" i="16"/>
  <c r="AJ375" i="16"/>
  <c r="P376" i="16"/>
  <c r="X376" i="16"/>
  <c r="Y376" i="16" s="1"/>
  <c r="AH376" i="16"/>
  <c r="AI2" i="17"/>
  <c r="AA2" i="17"/>
  <c r="AG2" i="17" s="1"/>
  <c r="W2" i="17"/>
  <c r="AD2" i="17" s="1"/>
  <c r="S2" i="17"/>
  <c r="O2" i="17"/>
  <c r="K2" i="17"/>
  <c r="AL2" i="17"/>
  <c r="AH2" i="17"/>
  <c r="Z2" i="17"/>
  <c r="V2" i="17"/>
  <c r="AB2" i="17" s="1"/>
  <c r="R2" i="17"/>
  <c r="N2" i="17"/>
  <c r="AK2" i="17"/>
  <c r="AC2" i="17"/>
  <c r="AE2" i="17" s="1"/>
  <c r="Y2" i="17"/>
  <c r="U2" i="17"/>
  <c r="AF2" i="17" s="1"/>
  <c r="Q2" i="17"/>
  <c r="M2" i="17"/>
  <c r="AI280" i="17"/>
  <c r="W280" i="17"/>
  <c r="AD280" i="17" s="1"/>
  <c r="S280" i="17"/>
  <c r="O280" i="17"/>
  <c r="K280" i="17"/>
  <c r="AK280" i="17"/>
  <c r="AC280" i="17"/>
  <c r="AE280" i="17" s="1"/>
  <c r="Y280" i="17"/>
  <c r="U280" i="17"/>
  <c r="AF280" i="17" s="1"/>
  <c r="Q280" i="17"/>
  <c r="M280" i="17"/>
  <c r="AH280" i="17"/>
  <c r="Z280" i="17"/>
  <c r="AA280" i="17" s="1"/>
  <c r="AG280" i="17" s="1"/>
  <c r="R280" i="17"/>
  <c r="X280" i="17"/>
  <c r="P280" i="17"/>
  <c r="AJ280" i="17"/>
  <c r="T280" i="17"/>
  <c r="N280" i="17"/>
  <c r="AL280" i="17"/>
  <c r="AB280" i="17"/>
  <c r="V280" i="17"/>
  <c r="M484" i="15"/>
  <c r="Q484" i="15"/>
  <c r="U484" i="15"/>
  <c r="AF484" i="15" s="1"/>
  <c r="Y484" i="15"/>
  <c r="AC484" i="15"/>
  <c r="AE484" i="15" s="1"/>
  <c r="M485" i="15"/>
  <c r="Q485" i="15"/>
  <c r="U485" i="15"/>
  <c r="AF485" i="15" s="1"/>
  <c r="AC485" i="15"/>
  <c r="AE485" i="15" s="1"/>
  <c r="M486" i="15"/>
  <c r="Q486" i="15"/>
  <c r="U486" i="15"/>
  <c r="AF486" i="15" s="1"/>
  <c r="AC486" i="15"/>
  <c r="AE486" i="15" s="1"/>
  <c r="M487" i="15"/>
  <c r="Q487" i="15"/>
  <c r="U487" i="15"/>
  <c r="AF487" i="15" s="1"/>
  <c r="Y487" i="15"/>
  <c r="AC487" i="15"/>
  <c r="AE487" i="15" s="1"/>
  <c r="M488" i="15"/>
  <c r="Q488" i="15"/>
  <c r="U488" i="15"/>
  <c r="AF488" i="15" s="1"/>
  <c r="Y488" i="15"/>
  <c r="AC488" i="15"/>
  <c r="AE488" i="15" s="1"/>
  <c r="M489" i="15"/>
  <c r="Q489" i="15"/>
  <c r="U489" i="15"/>
  <c r="AF489" i="15" s="1"/>
  <c r="AC489" i="15"/>
  <c r="AE489" i="15" s="1"/>
  <c r="M490" i="15"/>
  <c r="Q490" i="15"/>
  <c r="U490" i="15"/>
  <c r="AF490" i="15" s="1"/>
  <c r="Y490" i="15"/>
  <c r="AC490" i="15"/>
  <c r="AE490" i="15" s="1"/>
  <c r="M491" i="15"/>
  <c r="Q491" i="15"/>
  <c r="U491" i="15"/>
  <c r="AF491" i="15" s="1"/>
  <c r="Y491" i="15"/>
  <c r="AC491" i="15"/>
  <c r="AE491" i="15" s="1"/>
  <c r="M492" i="15"/>
  <c r="Q492" i="15"/>
  <c r="U492" i="15"/>
  <c r="AF492" i="15" s="1"/>
  <c r="Y492" i="15"/>
  <c r="AC492" i="15"/>
  <c r="AE492" i="15" s="1"/>
  <c r="M493" i="15"/>
  <c r="Q493" i="15"/>
  <c r="U493" i="15"/>
  <c r="AF493" i="15" s="1"/>
  <c r="AC493" i="15"/>
  <c r="AE493" i="15" s="1"/>
  <c r="M494" i="15"/>
  <c r="Q494" i="15"/>
  <c r="U494" i="15"/>
  <c r="AF494" i="15" s="1"/>
  <c r="Y494" i="15"/>
  <c r="AC494" i="15"/>
  <c r="AE494" i="15" s="1"/>
  <c r="M495" i="15"/>
  <c r="Q495" i="15"/>
  <c r="U495" i="15"/>
  <c r="AF495" i="15" s="1"/>
  <c r="Y495" i="15"/>
  <c r="AC495" i="15"/>
  <c r="AE495" i="15" s="1"/>
  <c r="M496" i="15"/>
  <c r="Q496" i="15"/>
  <c r="U496" i="15"/>
  <c r="AF496" i="15" s="1"/>
  <c r="AC496" i="15"/>
  <c r="AE496" i="15" s="1"/>
  <c r="M497" i="15"/>
  <c r="Q497" i="15"/>
  <c r="U497" i="15"/>
  <c r="AF497" i="15" s="1"/>
  <c r="AC497" i="15"/>
  <c r="AE497" i="15" s="1"/>
  <c r="M498" i="15"/>
  <c r="Q498" i="15"/>
  <c r="U498" i="15"/>
  <c r="AF498" i="15" s="1"/>
  <c r="Y498" i="15"/>
  <c r="AC498" i="15"/>
  <c r="AE498" i="15" s="1"/>
  <c r="M499" i="15"/>
  <c r="Q499" i="15"/>
  <c r="U499" i="15"/>
  <c r="AF499" i="15" s="1"/>
  <c r="Y499" i="15"/>
  <c r="AC499" i="15"/>
  <c r="AE499" i="15" s="1"/>
  <c r="M500" i="15"/>
  <c r="Q500" i="15"/>
  <c r="U500" i="15"/>
  <c r="AF500" i="15" s="1"/>
  <c r="Y500" i="15"/>
  <c r="AC500" i="15"/>
  <c r="AE500" i="15" s="1"/>
  <c r="M4" i="16"/>
  <c r="Q4" i="16"/>
  <c r="U4" i="16"/>
  <c r="AF4" i="16" s="1"/>
  <c r="AC4" i="16"/>
  <c r="AE4" i="16" s="1"/>
  <c r="P5" i="16"/>
  <c r="T5" i="16"/>
  <c r="X5" i="16"/>
  <c r="Y5" i="16" s="1"/>
  <c r="AB5" i="16"/>
  <c r="M8" i="16"/>
  <c r="Q8" i="16"/>
  <c r="U8" i="16"/>
  <c r="AF8" i="16" s="1"/>
  <c r="AC8" i="16"/>
  <c r="AE8" i="16" s="1"/>
  <c r="P9" i="16"/>
  <c r="T9" i="16"/>
  <c r="X9" i="16"/>
  <c r="Y9" i="16" s="1"/>
  <c r="AB9" i="16"/>
  <c r="P10" i="16"/>
  <c r="T10" i="16"/>
  <c r="X10" i="16"/>
  <c r="Y10" i="16" s="1"/>
  <c r="AB10" i="16"/>
  <c r="P11" i="16"/>
  <c r="T11" i="16"/>
  <c r="X11" i="16"/>
  <c r="Y11" i="16" s="1"/>
  <c r="AB11" i="16"/>
  <c r="P12" i="16"/>
  <c r="T12" i="16"/>
  <c r="X12" i="16"/>
  <c r="Y12" i="16" s="1"/>
  <c r="AB12" i="16"/>
  <c r="P13" i="16"/>
  <c r="T13" i="16"/>
  <c r="X13" i="16"/>
  <c r="Y13" i="16" s="1"/>
  <c r="AB13" i="16"/>
  <c r="P14" i="16"/>
  <c r="T14" i="16"/>
  <c r="X14" i="16"/>
  <c r="Y14" i="16" s="1"/>
  <c r="AB14" i="16"/>
  <c r="P15" i="16"/>
  <c r="T15" i="16"/>
  <c r="X15" i="16"/>
  <c r="Y15" i="16" s="1"/>
  <c r="AB15" i="16"/>
  <c r="P16" i="16"/>
  <c r="T16" i="16"/>
  <c r="X16" i="16"/>
  <c r="Y16" i="16" s="1"/>
  <c r="AB16" i="16"/>
  <c r="P17" i="16"/>
  <c r="T17" i="16"/>
  <c r="X17" i="16"/>
  <c r="Y17" i="16" s="1"/>
  <c r="AB17" i="16"/>
  <c r="P18" i="16"/>
  <c r="T18" i="16"/>
  <c r="X18" i="16"/>
  <c r="Y18" i="16" s="1"/>
  <c r="AB18" i="16"/>
  <c r="P19" i="16"/>
  <c r="T19" i="16"/>
  <c r="X19" i="16"/>
  <c r="Y19" i="16" s="1"/>
  <c r="AB19" i="16"/>
  <c r="P20" i="16"/>
  <c r="T20" i="16"/>
  <c r="X20" i="16"/>
  <c r="Y20" i="16" s="1"/>
  <c r="AB20" i="16"/>
  <c r="P21" i="16"/>
  <c r="T21" i="16"/>
  <c r="X21" i="16"/>
  <c r="Y21" i="16" s="1"/>
  <c r="AB21" i="16"/>
  <c r="P22" i="16"/>
  <c r="T22" i="16"/>
  <c r="X22" i="16"/>
  <c r="Y22" i="16" s="1"/>
  <c r="AB22" i="16"/>
  <c r="P23" i="16"/>
  <c r="T23" i="16"/>
  <c r="X23" i="16"/>
  <c r="Y23" i="16" s="1"/>
  <c r="AB23" i="16"/>
  <c r="P24" i="16"/>
  <c r="T24" i="16"/>
  <c r="X24" i="16"/>
  <c r="Y24" i="16" s="1"/>
  <c r="AB24" i="16"/>
  <c r="P25" i="16"/>
  <c r="T25" i="16"/>
  <c r="X25" i="16"/>
  <c r="Y25" i="16" s="1"/>
  <c r="AB25" i="16"/>
  <c r="P26" i="16"/>
  <c r="T26" i="16"/>
  <c r="X26" i="16"/>
  <c r="Y26" i="16" s="1"/>
  <c r="AB26" i="16"/>
  <c r="P27" i="16"/>
  <c r="T27" i="16"/>
  <c r="X27" i="16"/>
  <c r="Y27" i="16" s="1"/>
  <c r="AB27" i="16"/>
  <c r="P28" i="16"/>
  <c r="T28" i="16"/>
  <c r="X28" i="16"/>
  <c r="Y28" i="16" s="1"/>
  <c r="AB28" i="16"/>
  <c r="P29" i="16"/>
  <c r="T29" i="16"/>
  <c r="X29" i="16"/>
  <c r="Y29" i="16" s="1"/>
  <c r="AB29" i="16"/>
  <c r="P30" i="16"/>
  <c r="T30" i="16"/>
  <c r="X30" i="16"/>
  <c r="Y30" i="16" s="1"/>
  <c r="AB30" i="16"/>
  <c r="P31" i="16"/>
  <c r="T31" i="16"/>
  <c r="X31" i="16"/>
  <c r="Y31" i="16" s="1"/>
  <c r="AB31" i="16"/>
  <c r="P32" i="16"/>
  <c r="T32" i="16"/>
  <c r="X32" i="16"/>
  <c r="Y32" i="16" s="1"/>
  <c r="AB32" i="16"/>
  <c r="P33" i="16"/>
  <c r="T33" i="16"/>
  <c r="X33" i="16"/>
  <c r="Y33" i="16" s="1"/>
  <c r="AB33" i="16"/>
  <c r="P34" i="16"/>
  <c r="T34" i="16"/>
  <c r="X34" i="16"/>
  <c r="Y34" i="16" s="1"/>
  <c r="AB34" i="16"/>
  <c r="P35" i="16"/>
  <c r="T35" i="16"/>
  <c r="X35" i="16"/>
  <c r="Y35" i="16" s="1"/>
  <c r="AB35" i="16"/>
  <c r="P36" i="16"/>
  <c r="T36" i="16"/>
  <c r="X36" i="16"/>
  <c r="Y36" i="16" s="1"/>
  <c r="AB36" i="16"/>
  <c r="P37" i="16"/>
  <c r="T37" i="16"/>
  <c r="X37" i="16"/>
  <c r="Y37" i="16" s="1"/>
  <c r="AB37" i="16"/>
  <c r="P38" i="16"/>
  <c r="T38" i="16"/>
  <c r="X38" i="16"/>
  <c r="Y38" i="16" s="1"/>
  <c r="AB38" i="16"/>
  <c r="P39" i="16"/>
  <c r="T39" i="16"/>
  <c r="X39" i="16"/>
  <c r="Y39" i="16" s="1"/>
  <c r="AB39" i="16"/>
  <c r="P40" i="16"/>
  <c r="T40" i="16"/>
  <c r="X40" i="16"/>
  <c r="Y40" i="16" s="1"/>
  <c r="AB40" i="16"/>
  <c r="P41" i="16"/>
  <c r="T41" i="16"/>
  <c r="X41" i="16"/>
  <c r="Y41" i="16" s="1"/>
  <c r="AB41" i="16"/>
  <c r="P42" i="16"/>
  <c r="T42" i="16"/>
  <c r="X42" i="16"/>
  <c r="Y42" i="16" s="1"/>
  <c r="AB42" i="16"/>
  <c r="P43" i="16"/>
  <c r="T43" i="16"/>
  <c r="X43" i="16"/>
  <c r="Y43" i="16" s="1"/>
  <c r="AB43" i="16"/>
  <c r="P44" i="16"/>
  <c r="T44" i="16"/>
  <c r="X44" i="16"/>
  <c r="Y44" i="16" s="1"/>
  <c r="AB44" i="16"/>
  <c r="P45" i="16"/>
  <c r="T45" i="16"/>
  <c r="X45" i="16"/>
  <c r="Y45" i="16" s="1"/>
  <c r="AB45" i="16"/>
  <c r="P46" i="16"/>
  <c r="T46" i="16"/>
  <c r="X46" i="16"/>
  <c r="Y46" i="16" s="1"/>
  <c r="AB46" i="16"/>
  <c r="P47" i="16"/>
  <c r="T47" i="16"/>
  <c r="X47" i="16"/>
  <c r="Y47" i="16" s="1"/>
  <c r="AB47" i="16"/>
  <c r="P48" i="16"/>
  <c r="T48" i="16"/>
  <c r="X48" i="16"/>
  <c r="Y48" i="16" s="1"/>
  <c r="AB48" i="16"/>
  <c r="P49" i="16"/>
  <c r="T49" i="16"/>
  <c r="X49" i="16"/>
  <c r="Y49" i="16" s="1"/>
  <c r="AB49" i="16"/>
  <c r="P50" i="16"/>
  <c r="T50" i="16"/>
  <c r="X50" i="16"/>
  <c r="Y50" i="16" s="1"/>
  <c r="AB50" i="16"/>
  <c r="P51" i="16"/>
  <c r="T51" i="16"/>
  <c r="X51" i="16"/>
  <c r="Y51" i="16" s="1"/>
  <c r="AB51" i="16"/>
  <c r="P52" i="16"/>
  <c r="T52" i="16"/>
  <c r="X52" i="16"/>
  <c r="Y52" i="16" s="1"/>
  <c r="AB52" i="16"/>
  <c r="P53" i="16"/>
  <c r="T53" i="16"/>
  <c r="X53" i="16"/>
  <c r="Y53" i="16" s="1"/>
  <c r="AB53" i="16"/>
  <c r="P54" i="16"/>
  <c r="T54" i="16"/>
  <c r="X54" i="16"/>
  <c r="Y54" i="16" s="1"/>
  <c r="AB54" i="16"/>
  <c r="P55" i="16"/>
  <c r="T55" i="16"/>
  <c r="X55" i="16"/>
  <c r="Y55" i="16" s="1"/>
  <c r="AB55" i="16"/>
  <c r="P56" i="16"/>
  <c r="T56" i="16"/>
  <c r="X56" i="16"/>
  <c r="Y56" i="16" s="1"/>
  <c r="AB56" i="16"/>
  <c r="P57" i="16"/>
  <c r="T57" i="16"/>
  <c r="X57" i="16"/>
  <c r="Y57" i="16" s="1"/>
  <c r="AB57" i="16"/>
  <c r="P58" i="16"/>
  <c r="T58" i="16"/>
  <c r="X58" i="16"/>
  <c r="Y58" i="16" s="1"/>
  <c r="AB58" i="16"/>
  <c r="P59" i="16"/>
  <c r="T59" i="16"/>
  <c r="X59" i="16"/>
  <c r="Y59" i="16" s="1"/>
  <c r="AB59" i="16"/>
  <c r="P60" i="16"/>
  <c r="T60" i="16"/>
  <c r="X60" i="16"/>
  <c r="Y60" i="16" s="1"/>
  <c r="AB60" i="16"/>
  <c r="P61" i="16"/>
  <c r="T61" i="16"/>
  <c r="X61" i="16"/>
  <c r="Y61" i="16" s="1"/>
  <c r="AB61" i="16"/>
  <c r="P62" i="16"/>
  <c r="T62" i="16"/>
  <c r="X62" i="16"/>
  <c r="Y62" i="16" s="1"/>
  <c r="AB62" i="16"/>
  <c r="P63" i="16"/>
  <c r="T63" i="16"/>
  <c r="X63" i="16"/>
  <c r="Y63" i="16" s="1"/>
  <c r="AB63" i="16"/>
  <c r="P64" i="16"/>
  <c r="T64" i="16"/>
  <c r="X64" i="16"/>
  <c r="Y64" i="16" s="1"/>
  <c r="AB64" i="16"/>
  <c r="P65" i="16"/>
  <c r="T65" i="16"/>
  <c r="X65" i="16"/>
  <c r="Y65" i="16" s="1"/>
  <c r="AB65" i="16"/>
  <c r="P66" i="16"/>
  <c r="T66" i="16"/>
  <c r="X66" i="16"/>
  <c r="Y66" i="16" s="1"/>
  <c r="AB66" i="16"/>
  <c r="P67" i="16"/>
  <c r="T67" i="16"/>
  <c r="X67" i="16"/>
  <c r="Y67" i="16" s="1"/>
  <c r="AB67" i="16"/>
  <c r="P68" i="16"/>
  <c r="T68" i="16"/>
  <c r="X68" i="16"/>
  <c r="Y68" i="16" s="1"/>
  <c r="AB68" i="16"/>
  <c r="P69" i="16"/>
  <c r="T69" i="16"/>
  <c r="X69" i="16"/>
  <c r="Y69" i="16" s="1"/>
  <c r="AB69" i="16"/>
  <c r="P70" i="16"/>
  <c r="T70" i="16"/>
  <c r="X70" i="16"/>
  <c r="Y70" i="16" s="1"/>
  <c r="AB70" i="16"/>
  <c r="P71" i="16"/>
  <c r="T71" i="16"/>
  <c r="X71" i="16"/>
  <c r="Y71" i="16" s="1"/>
  <c r="AB71" i="16"/>
  <c r="P72" i="16"/>
  <c r="T72" i="16"/>
  <c r="X72" i="16"/>
  <c r="Y72" i="16" s="1"/>
  <c r="AB72" i="16"/>
  <c r="P73" i="16"/>
  <c r="T73" i="16"/>
  <c r="X73" i="16"/>
  <c r="Y73" i="16" s="1"/>
  <c r="AB73" i="16"/>
  <c r="P74" i="16"/>
  <c r="T74" i="16"/>
  <c r="X74" i="16"/>
  <c r="Y74" i="16" s="1"/>
  <c r="AB74" i="16"/>
  <c r="P75" i="16"/>
  <c r="T75" i="16"/>
  <c r="X75" i="16"/>
  <c r="Y75" i="16" s="1"/>
  <c r="AB75" i="16"/>
  <c r="P76" i="16"/>
  <c r="T76" i="16"/>
  <c r="X76" i="16"/>
  <c r="Y76" i="16" s="1"/>
  <c r="AB76" i="16"/>
  <c r="P77" i="16"/>
  <c r="T77" i="16"/>
  <c r="X77" i="16"/>
  <c r="Y77" i="16" s="1"/>
  <c r="AB77" i="16"/>
  <c r="P78" i="16"/>
  <c r="T78" i="16"/>
  <c r="X78" i="16"/>
  <c r="Y78" i="16" s="1"/>
  <c r="AB78" i="16"/>
  <c r="P79" i="16"/>
  <c r="T79" i="16"/>
  <c r="X79" i="16"/>
  <c r="Y79" i="16" s="1"/>
  <c r="AB79" i="16"/>
  <c r="P80" i="16"/>
  <c r="T80" i="16"/>
  <c r="X80" i="16"/>
  <c r="Y80" i="16" s="1"/>
  <c r="AB80" i="16"/>
  <c r="P81" i="16"/>
  <c r="T81" i="16"/>
  <c r="X81" i="16"/>
  <c r="Y81" i="16" s="1"/>
  <c r="AB81" i="16"/>
  <c r="P82" i="16"/>
  <c r="T82" i="16"/>
  <c r="X82" i="16"/>
  <c r="Y82" i="16" s="1"/>
  <c r="AB82" i="16"/>
  <c r="P83" i="16"/>
  <c r="T83" i="16"/>
  <c r="X83" i="16"/>
  <c r="Y83" i="16" s="1"/>
  <c r="AB83" i="16"/>
  <c r="P84" i="16"/>
  <c r="T84" i="16"/>
  <c r="X84" i="16"/>
  <c r="Y84" i="16" s="1"/>
  <c r="AB84" i="16"/>
  <c r="P85" i="16"/>
  <c r="T85" i="16"/>
  <c r="X85" i="16"/>
  <c r="Y85" i="16" s="1"/>
  <c r="AB85" i="16"/>
  <c r="P86" i="16"/>
  <c r="T86" i="16"/>
  <c r="X86" i="16"/>
  <c r="Y86" i="16" s="1"/>
  <c r="AB86" i="16"/>
  <c r="P87" i="16"/>
  <c r="T87" i="16"/>
  <c r="X87" i="16"/>
  <c r="Y87" i="16" s="1"/>
  <c r="AB87" i="16"/>
  <c r="P88" i="16"/>
  <c r="T88" i="16"/>
  <c r="X88" i="16"/>
  <c r="Y88" i="16" s="1"/>
  <c r="AB88" i="16"/>
  <c r="P89" i="16"/>
  <c r="T89" i="16"/>
  <c r="X89" i="16"/>
  <c r="Y89" i="16" s="1"/>
  <c r="AB89" i="16"/>
  <c r="P90" i="16"/>
  <c r="T90" i="16"/>
  <c r="X90" i="16"/>
  <c r="Y90" i="16" s="1"/>
  <c r="AB90" i="16"/>
  <c r="P91" i="16"/>
  <c r="T91" i="16"/>
  <c r="X91" i="16"/>
  <c r="Y91" i="16" s="1"/>
  <c r="AB91" i="16"/>
  <c r="P92" i="16"/>
  <c r="T92" i="16"/>
  <c r="X92" i="16"/>
  <c r="Y92" i="16" s="1"/>
  <c r="AB92" i="16"/>
  <c r="P93" i="16"/>
  <c r="T93" i="16"/>
  <c r="X93" i="16"/>
  <c r="Y93" i="16" s="1"/>
  <c r="AB93" i="16"/>
  <c r="P94" i="16"/>
  <c r="T94" i="16"/>
  <c r="X94" i="16"/>
  <c r="Y94" i="16" s="1"/>
  <c r="AB94" i="16"/>
  <c r="P95" i="16"/>
  <c r="T95" i="16"/>
  <c r="X95" i="16"/>
  <c r="Y95" i="16" s="1"/>
  <c r="AB95" i="16"/>
  <c r="P96" i="16"/>
  <c r="T96" i="16"/>
  <c r="X96" i="16"/>
  <c r="Y96" i="16" s="1"/>
  <c r="AB96" i="16"/>
  <c r="P97" i="16"/>
  <c r="T97" i="16"/>
  <c r="X97" i="16"/>
  <c r="Y97" i="16" s="1"/>
  <c r="AB97" i="16"/>
  <c r="P98" i="16"/>
  <c r="T98" i="16"/>
  <c r="X98" i="16"/>
  <c r="Y98" i="16" s="1"/>
  <c r="AB98" i="16"/>
  <c r="P99" i="16"/>
  <c r="T99" i="16"/>
  <c r="X99" i="16"/>
  <c r="Y99" i="16" s="1"/>
  <c r="AB99" i="16"/>
  <c r="P100" i="16"/>
  <c r="T100" i="16"/>
  <c r="X100" i="16"/>
  <c r="Y100" i="16" s="1"/>
  <c r="AB100" i="16"/>
  <c r="P101" i="16"/>
  <c r="T101" i="16"/>
  <c r="X101" i="16"/>
  <c r="Y101" i="16" s="1"/>
  <c r="AB101" i="16"/>
  <c r="P102" i="16"/>
  <c r="T102" i="16"/>
  <c r="X102" i="16"/>
  <c r="Y102" i="16" s="1"/>
  <c r="AB102" i="16"/>
  <c r="P103" i="16"/>
  <c r="T103" i="16"/>
  <c r="X103" i="16"/>
  <c r="Y103" i="16" s="1"/>
  <c r="AB103" i="16"/>
  <c r="P104" i="16"/>
  <c r="T104" i="16"/>
  <c r="X104" i="16"/>
  <c r="Y104" i="16" s="1"/>
  <c r="AB104" i="16"/>
  <c r="P105" i="16"/>
  <c r="T105" i="16"/>
  <c r="X105" i="16"/>
  <c r="Y105" i="16" s="1"/>
  <c r="AB105" i="16"/>
  <c r="P106" i="16"/>
  <c r="T106" i="16"/>
  <c r="X106" i="16"/>
  <c r="Y106" i="16" s="1"/>
  <c r="AB106" i="16"/>
  <c r="P107" i="16"/>
  <c r="T107" i="16"/>
  <c r="X107" i="16"/>
  <c r="Y107" i="16" s="1"/>
  <c r="AB107" i="16"/>
  <c r="P108" i="16"/>
  <c r="T108" i="16"/>
  <c r="X108" i="16"/>
  <c r="Y108" i="16" s="1"/>
  <c r="AB108" i="16"/>
  <c r="P109" i="16"/>
  <c r="T109" i="16"/>
  <c r="X109" i="16"/>
  <c r="Y109" i="16" s="1"/>
  <c r="AB109" i="16"/>
  <c r="P110" i="16"/>
  <c r="T110" i="16"/>
  <c r="X110" i="16"/>
  <c r="Y110" i="16" s="1"/>
  <c r="AB110" i="16"/>
  <c r="P111" i="16"/>
  <c r="T111" i="16"/>
  <c r="X111" i="16"/>
  <c r="Y111" i="16" s="1"/>
  <c r="AB111" i="16"/>
  <c r="P112" i="16"/>
  <c r="T112" i="16"/>
  <c r="X112" i="16"/>
  <c r="Y112" i="16" s="1"/>
  <c r="AB112" i="16"/>
  <c r="P113" i="16"/>
  <c r="T113" i="16"/>
  <c r="X113" i="16"/>
  <c r="Y113" i="16" s="1"/>
  <c r="AB113" i="16"/>
  <c r="P114" i="16"/>
  <c r="T114" i="16"/>
  <c r="X114" i="16"/>
  <c r="Y114" i="16" s="1"/>
  <c r="AB114" i="16"/>
  <c r="P115" i="16"/>
  <c r="T115" i="16"/>
  <c r="X115" i="16"/>
  <c r="Y115" i="16" s="1"/>
  <c r="AB115" i="16"/>
  <c r="P116" i="16"/>
  <c r="T116" i="16"/>
  <c r="X116" i="16"/>
  <c r="Y116" i="16" s="1"/>
  <c r="AB116" i="16"/>
  <c r="P117" i="16"/>
  <c r="T117" i="16"/>
  <c r="X117" i="16"/>
  <c r="Y117" i="16" s="1"/>
  <c r="AB117" i="16"/>
  <c r="P118" i="16"/>
  <c r="T118" i="16"/>
  <c r="X118" i="16"/>
  <c r="Y118" i="16" s="1"/>
  <c r="AB118" i="16"/>
  <c r="P119" i="16"/>
  <c r="T119" i="16"/>
  <c r="X119" i="16"/>
  <c r="Y119" i="16" s="1"/>
  <c r="AB119" i="16"/>
  <c r="P120" i="16"/>
  <c r="T120" i="16"/>
  <c r="X120" i="16"/>
  <c r="Y120" i="16" s="1"/>
  <c r="AB120" i="16"/>
  <c r="P121" i="16"/>
  <c r="T121" i="16"/>
  <c r="X121" i="16"/>
  <c r="Y121" i="16" s="1"/>
  <c r="AB121" i="16"/>
  <c r="P122" i="16"/>
  <c r="T122" i="16"/>
  <c r="X122" i="16"/>
  <c r="Y122" i="16" s="1"/>
  <c r="AB122" i="16"/>
  <c r="P123" i="16"/>
  <c r="T123" i="16"/>
  <c r="X123" i="16"/>
  <c r="Y123" i="16" s="1"/>
  <c r="AB123" i="16"/>
  <c r="P124" i="16"/>
  <c r="T124" i="16"/>
  <c r="X124" i="16"/>
  <c r="Y124" i="16" s="1"/>
  <c r="AB124" i="16"/>
  <c r="P125" i="16"/>
  <c r="T125" i="16"/>
  <c r="X125" i="16"/>
  <c r="Y125" i="16" s="1"/>
  <c r="AB125" i="16"/>
  <c r="P126" i="16"/>
  <c r="T126" i="16"/>
  <c r="X126" i="16"/>
  <c r="Y126" i="16" s="1"/>
  <c r="AB126" i="16"/>
  <c r="P127" i="16"/>
  <c r="T127" i="16"/>
  <c r="X127" i="16"/>
  <c r="Y127" i="16" s="1"/>
  <c r="AB127" i="16"/>
  <c r="P128" i="16"/>
  <c r="T128" i="16"/>
  <c r="X128" i="16"/>
  <c r="Y128" i="16" s="1"/>
  <c r="AB128" i="16"/>
  <c r="P129" i="16"/>
  <c r="T129" i="16"/>
  <c r="X129" i="16"/>
  <c r="Y129" i="16" s="1"/>
  <c r="AB129" i="16"/>
  <c r="P130" i="16"/>
  <c r="T130" i="16"/>
  <c r="X130" i="16"/>
  <c r="Y130" i="16" s="1"/>
  <c r="AB130" i="16"/>
  <c r="P131" i="16"/>
  <c r="T131" i="16"/>
  <c r="X131" i="16"/>
  <c r="Y131" i="16" s="1"/>
  <c r="AB131" i="16"/>
  <c r="P132" i="16"/>
  <c r="T132" i="16"/>
  <c r="X132" i="16"/>
  <c r="Y132" i="16" s="1"/>
  <c r="AB132" i="16"/>
  <c r="P133" i="16"/>
  <c r="T133" i="16"/>
  <c r="X133" i="16"/>
  <c r="Y133" i="16" s="1"/>
  <c r="AB133" i="16"/>
  <c r="P134" i="16"/>
  <c r="T134" i="16"/>
  <c r="X134" i="16"/>
  <c r="Y134" i="16" s="1"/>
  <c r="AB134" i="16"/>
  <c r="P135" i="16"/>
  <c r="T135" i="16"/>
  <c r="X135" i="16"/>
  <c r="Y135" i="16" s="1"/>
  <c r="AB135" i="16"/>
  <c r="P136" i="16"/>
  <c r="T136" i="16"/>
  <c r="X136" i="16"/>
  <c r="Y136" i="16" s="1"/>
  <c r="AB136" i="16"/>
  <c r="P137" i="16"/>
  <c r="T137" i="16"/>
  <c r="X137" i="16"/>
  <c r="Y137" i="16" s="1"/>
  <c r="AB137" i="16"/>
  <c r="P138" i="16"/>
  <c r="T138" i="16"/>
  <c r="X138" i="16"/>
  <c r="Y138" i="16" s="1"/>
  <c r="AB138" i="16"/>
  <c r="P139" i="16"/>
  <c r="T139" i="16"/>
  <c r="X139" i="16"/>
  <c r="Y139" i="16" s="1"/>
  <c r="AB139" i="16"/>
  <c r="P140" i="16"/>
  <c r="T140" i="16"/>
  <c r="X140" i="16"/>
  <c r="Y140" i="16" s="1"/>
  <c r="AB140" i="16"/>
  <c r="P141" i="16"/>
  <c r="T141" i="16"/>
  <c r="X141" i="16"/>
  <c r="Y141" i="16" s="1"/>
  <c r="AB141" i="16"/>
  <c r="P142" i="16"/>
  <c r="T142" i="16"/>
  <c r="X142" i="16"/>
  <c r="Y142" i="16" s="1"/>
  <c r="AB142" i="16"/>
  <c r="P143" i="16"/>
  <c r="T143" i="16"/>
  <c r="X143" i="16"/>
  <c r="Y143" i="16" s="1"/>
  <c r="AB143" i="16"/>
  <c r="P144" i="16"/>
  <c r="T144" i="16"/>
  <c r="X144" i="16"/>
  <c r="Y144" i="16" s="1"/>
  <c r="AB144" i="16"/>
  <c r="P145" i="16"/>
  <c r="T145" i="16"/>
  <c r="X145" i="16"/>
  <c r="Y145" i="16" s="1"/>
  <c r="AB145" i="16"/>
  <c r="P146" i="16"/>
  <c r="T146" i="16"/>
  <c r="X146" i="16"/>
  <c r="Y146" i="16" s="1"/>
  <c r="AB146" i="16"/>
  <c r="P147" i="16"/>
  <c r="T147" i="16"/>
  <c r="X147" i="16"/>
  <c r="Y147" i="16" s="1"/>
  <c r="AB147" i="16"/>
  <c r="AL147" i="16"/>
  <c r="N149" i="16"/>
  <c r="V149" i="16"/>
  <c r="AB149" i="16" s="1"/>
  <c r="AL149" i="16"/>
  <c r="N151" i="16"/>
  <c r="V151" i="16"/>
  <c r="AB151" i="16" s="1"/>
  <c r="AL151" i="16"/>
  <c r="N153" i="16"/>
  <c r="V153" i="16"/>
  <c r="AB153" i="16" s="1"/>
  <c r="AL153" i="16"/>
  <c r="N155" i="16"/>
  <c r="V155" i="16"/>
  <c r="AB155" i="16" s="1"/>
  <c r="AL155" i="16"/>
  <c r="N157" i="16"/>
  <c r="V157" i="16"/>
  <c r="AB157" i="16" s="1"/>
  <c r="AL157" i="16"/>
  <c r="N159" i="16"/>
  <c r="V159" i="16"/>
  <c r="AB159" i="16" s="1"/>
  <c r="AL159" i="16"/>
  <c r="N161" i="16"/>
  <c r="V161" i="16"/>
  <c r="AB161" i="16" s="1"/>
  <c r="AL161" i="16"/>
  <c r="N163" i="16"/>
  <c r="V163" i="16"/>
  <c r="AB163" i="16" s="1"/>
  <c r="AL163" i="16"/>
  <c r="N165" i="16"/>
  <c r="V165" i="16"/>
  <c r="AB165" i="16" s="1"/>
  <c r="AL165" i="16"/>
  <c r="N167" i="16"/>
  <c r="V167" i="16"/>
  <c r="AB167" i="16" s="1"/>
  <c r="AL167" i="16"/>
  <c r="N169" i="16"/>
  <c r="V169" i="16"/>
  <c r="AB169" i="16" s="1"/>
  <c r="AL169" i="16"/>
  <c r="N171" i="16"/>
  <c r="V171" i="16"/>
  <c r="AB171" i="16" s="1"/>
  <c r="AL171" i="16"/>
  <c r="N173" i="16"/>
  <c r="V173" i="16"/>
  <c r="AB173" i="16" s="1"/>
  <c r="AL173" i="16"/>
  <c r="N175" i="16"/>
  <c r="V175" i="16"/>
  <c r="AB175" i="16" s="1"/>
  <c r="AL175" i="16"/>
  <c r="N177" i="16"/>
  <c r="V177" i="16"/>
  <c r="AB177" i="16" s="1"/>
  <c r="AL177" i="16"/>
  <c r="N179" i="16"/>
  <c r="V179" i="16"/>
  <c r="AB179" i="16" s="1"/>
  <c r="AL179" i="16"/>
  <c r="N181" i="16"/>
  <c r="V181" i="16"/>
  <c r="AB181" i="16" s="1"/>
  <c r="AL181" i="16"/>
  <c r="N183" i="16"/>
  <c r="V183" i="16"/>
  <c r="AB183" i="16" s="1"/>
  <c r="AL183" i="16"/>
  <c r="N185" i="16"/>
  <c r="V185" i="16"/>
  <c r="AB185" i="16" s="1"/>
  <c r="AL185" i="16"/>
  <c r="N187" i="16"/>
  <c r="V187" i="16"/>
  <c r="AB187" i="16" s="1"/>
  <c r="AL187" i="16"/>
  <c r="N189" i="16"/>
  <c r="V189" i="16"/>
  <c r="AB189" i="16" s="1"/>
  <c r="AL189" i="16"/>
  <c r="N191" i="16"/>
  <c r="V191" i="16"/>
  <c r="AB191" i="16" s="1"/>
  <c r="AL191" i="16"/>
  <c r="N193" i="16"/>
  <c r="V193" i="16"/>
  <c r="AB193" i="16" s="1"/>
  <c r="AL193" i="16"/>
  <c r="N195" i="16"/>
  <c r="V195" i="16"/>
  <c r="AB195" i="16" s="1"/>
  <c r="AL195" i="16"/>
  <c r="N197" i="16"/>
  <c r="V197" i="16"/>
  <c r="AB197" i="16" s="1"/>
  <c r="AL197" i="16"/>
  <c r="N199" i="16"/>
  <c r="V199" i="16"/>
  <c r="AB199" i="16" s="1"/>
  <c r="AL199" i="16"/>
  <c r="N201" i="16"/>
  <c r="V201" i="16"/>
  <c r="AB201" i="16" s="1"/>
  <c r="AL201" i="16"/>
  <c r="N203" i="16"/>
  <c r="V203" i="16"/>
  <c r="AB203" i="16" s="1"/>
  <c r="AL203" i="16"/>
  <c r="N205" i="16"/>
  <c r="V205" i="16"/>
  <c r="AB205" i="16" s="1"/>
  <c r="AL205" i="16"/>
  <c r="N207" i="16"/>
  <c r="V207" i="16"/>
  <c r="AB207" i="16" s="1"/>
  <c r="AL207" i="16"/>
  <c r="N209" i="16"/>
  <c r="V209" i="16"/>
  <c r="AB209" i="16" s="1"/>
  <c r="AL209" i="16"/>
  <c r="N211" i="16"/>
  <c r="V211" i="16"/>
  <c r="AB211" i="16" s="1"/>
  <c r="AL211" i="16"/>
  <c r="N213" i="16"/>
  <c r="V213" i="16"/>
  <c r="AB213" i="16" s="1"/>
  <c r="AL213" i="16"/>
  <c r="N215" i="16"/>
  <c r="V215" i="16"/>
  <c r="AB215" i="16" s="1"/>
  <c r="AL215" i="16"/>
  <c r="N217" i="16"/>
  <c r="V217" i="16"/>
  <c r="AB217" i="16" s="1"/>
  <c r="AL217" i="16"/>
  <c r="N219" i="16"/>
  <c r="V219" i="16"/>
  <c r="AB219" i="16" s="1"/>
  <c r="AL219" i="16"/>
  <c r="N221" i="16"/>
  <c r="V221" i="16"/>
  <c r="AB221" i="16" s="1"/>
  <c r="AL221" i="16"/>
  <c r="N223" i="16"/>
  <c r="V223" i="16"/>
  <c r="AB223" i="16" s="1"/>
  <c r="AL223" i="16"/>
  <c r="N225" i="16"/>
  <c r="V225" i="16"/>
  <c r="AB225" i="16" s="1"/>
  <c r="AL225" i="16"/>
  <c r="N227" i="16"/>
  <c r="V227" i="16"/>
  <c r="AB227" i="16" s="1"/>
  <c r="AL227" i="16"/>
  <c r="V229" i="16"/>
  <c r="AB229" i="16" s="1"/>
  <c r="AL229" i="16"/>
  <c r="N231" i="16"/>
  <c r="V231" i="16"/>
  <c r="AB231" i="16" s="1"/>
  <c r="AL231" i="16"/>
  <c r="N233" i="16"/>
  <c r="V233" i="16"/>
  <c r="AB233" i="16" s="1"/>
  <c r="AL233" i="16"/>
  <c r="N235" i="16"/>
  <c r="V235" i="16"/>
  <c r="AB235" i="16" s="1"/>
  <c r="AL235" i="16"/>
  <c r="N237" i="16"/>
  <c r="V237" i="16"/>
  <c r="AB237" i="16" s="1"/>
  <c r="AL237" i="16"/>
  <c r="N239" i="16"/>
  <c r="V239" i="16"/>
  <c r="AB239" i="16" s="1"/>
  <c r="AL239" i="16"/>
  <c r="N241" i="16"/>
  <c r="V241" i="16"/>
  <c r="AB241" i="16" s="1"/>
  <c r="AL241" i="16"/>
  <c r="N243" i="16"/>
  <c r="V243" i="16"/>
  <c r="AB243" i="16" s="1"/>
  <c r="AL243" i="16"/>
  <c r="N245" i="16"/>
  <c r="V245" i="16"/>
  <c r="AB245" i="16" s="1"/>
  <c r="AL245" i="16"/>
  <c r="N247" i="16"/>
  <c r="V247" i="16"/>
  <c r="AB247" i="16" s="1"/>
  <c r="AL247" i="16"/>
  <c r="N249" i="16"/>
  <c r="V249" i="16"/>
  <c r="AB249" i="16" s="1"/>
  <c r="AL249" i="16"/>
  <c r="N251" i="16"/>
  <c r="V251" i="16"/>
  <c r="AL251" i="16"/>
  <c r="N253" i="16"/>
  <c r="V253" i="16"/>
  <c r="AB253" i="16" s="1"/>
  <c r="AL253" i="16"/>
  <c r="N255" i="16"/>
  <c r="V255" i="16"/>
  <c r="AB255" i="16" s="1"/>
  <c r="AL255" i="16"/>
  <c r="N257" i="16"/>
  <c r="V257" i="16"/>
  <c r="AB257" i="16" s="1"/>
  <c r="AL257" i="16"/>
  <c r="N259" i="16"/>
  <c r="V259" i="16"/>
  <c r="AB259" i="16" s="1"/>
  <c r="AL259" i="16"/>
  <c r="N261" i="16"/>
  <c r="V261" i="16"/>
  <c r="AB261" i="16" s="1"/>
  <c r="AL261" i="16"/>
  <c r="N263" i="16"/>
  <c r="V263" i="16"/>
  <c r="AB263" i="16" s="1"/>
  <c r="AL263" i="16"/>
  <c r="N265" i="16"/>
  <c r="V265" i="16"/>
  <c r="AB265" i="16" s="1"/>
  <c r="AL265" i="16"/>
  <c r="N267" i="16"/>
  <c r="V267" i="16"/>
  <c r="AB267" i="16" s="1"/>
  <c r="AL267" i="16"/>
  <c r="N269" i="16"/>
  <c r="V269" i="16"/>
  <c r="AB269" i="16" s="1"/>
  <c r="AL269" i="16"/>
  <c r="N271" i="16"/>
  <c r="V271" i="16"/>
  <c r="AB271" i="16" s="1"/>
  <c r="AL271" i="16"/>
  <c r="N273" i="16"/>
  <c r="V273" i="16"/>
  <c r="AB273" i="16" s="1"/>
  <c r="AL273" i="16"/>
  <c r="N275" i="16"/>
  <c r="V275" i="16"/>
  <c r="AB275" i="16" s="1"/>
  <c r="AL275" i="16"/>
  <c r="N277" i="16"/>
  <c r="V277" i="16"/>
  <c r="AB277" i="16" s="1"/>
  <c r="AL277" i="16"/>
  <c r="N279" i="16"/>
  <c r="V279" i="16"/>
  <c r="AB279" i="16" s="1"/>
  <c r="AL279" i="16"/>
  <c r="R280" i="16"/>
  <c r="Z280" i="16"/>
  <c r="AA280" i="16" s="1"/>
  <c r="AG280" i="16" s="1"/>
  <c r="AH280" i="16"/>
  <c r="N281" i="16"/>
  <c r="V281" i="16"/>
  <c r="AB281" i="16" s="1"/>
  <c r="AL281" i="16"/>
  <c r="R282" i="16"/>
  <c r="Z282" i="16"/>
  <c r="AA282" i="16" s="1"/>
  <c r="AG282" i="16" s="1"/>
  <c r="AH282" i="16"/>
  <c r="N283" i="16"/>
  <c r="V283" i="16"/>
  <c r="AL283" i="16"/>
  <c r="R284" i="16"/>
  <c r="Z284" i="16"/>
  <c r="AA284" i="16" s="1"/>
  <c r="AG284" i="16" s="1"/>
  <c r="AH284" i="16"/>
  <c r="N285" i="16"/>
  <c r="V285" i="16"/>
  <c r="AB285" i="16" s="1"/>
  <c r="AL285" i="16"/>
  <c r="R286" i="16"/>
  <c r="Z286" i="16"/>
  <c r="AA286" i="16" s="1"/>
  <c r="AG286" i="16" s="1"/>
  <c r="AH286" i="16"/>
  <c r="N287" i="16"/>
  <c r="V287" i="16"/>
  <c r="AB287" i="16" s="1"/>
  <c r="AL287" i="16"/>
  <c r="R288" i="16"/>
  <c r="Z288" i="16"/>
  <c r="AA288" i="16" s="1"/>
  <c r="AG288" i="16" s="1"/>
  <c r="AH288" i="16"/>
  <c r="N289" i="16"/>
  <c r="V289" i="16"/>
  <c r="AB289" i="16" s="1"/>
  <c r="AL289" i="16"/>
  <c r="R290" i="16"/>
  <c r="Z290" i="16"/>
  <c r="AA290" i="16" s="1"/>
  <c r="AG290" i="16" s="1"/>
  <c r="AH290" i="16"/>
  <c r="N291" i="16"/>
  <c r="V291" i="16"/>
  <c r="AB291" i="16" s="1"/>
  <c r="AL291" i="16"/>
  <c r="R292" i="16"/>
  <c r="Z292" i="16"/>
  <c r="AA292" i="16" s="1"/>
  <c r="AG292" i="16" s="1"/>
  <c r="AH292" i="16"/>
  <c r="N293" i="16"/>
  <c r="V293" i="16"/>
  <c r="AB293" i="16" s="1"/>
  <c r="AL293" i="16"/>
  <c r="R294" i="16"/>
  <c r="Z294" i="16"/>
  <c r="AA294" i="16" s="1"/>
  <c r="AG294" i="16" s="1"/>
  <c r="AH294" i="16"/>
  <c r="N295" i="16"/>
  <c r="V295" i="16"/>
  <c r="AB295" i="16" s="1"/>
  <c r="AL295" i="16"/>
  <c r="R296" i="16"/>
  <c r="Z296" i="16"/>
  <c r="AA296" i="16" s="1"/>
  <c r="AG296" i="16" s="1"/>
  <c r="AH296" i="16"/>
  <c r="N297" i="16"/>
  <c r="V297" i="16"/>
  <c r="AB297" i="16" s="1"/>
  <c r="AL297" i="16"/>
  <c r="R298" i="16"/>
  <c r="Z298" i="16"/>
  <c r="AA298" i="16" s="1"/>
  <c r="AG298" i="16" s="1"/>
  <c r="AH298" i="16"/>
  <c r="N299" i="16"/>
  <c r="V299" i="16"/>
  <c r="AL299" i="16"/>
  <c r="R300" i="16"/>
  <c r="Z300" i="16"/>
  <c r="AA300" i="16" s="1"/>
  <c r="AG300" i="16" s="1"/>
  <c r="AH300" i="16"/>
  <c r="N301" i="16"/>
  <c r="V301" i="16"/>
  <c r="AB301" i="16" s="1"/>
  <c r="AL301" i="16"/>
  <c r="R302" i="16"/>
  <c r="Z302" i="16"/>
  <c r="AA302" i="16" s="1"/>
  <c r="AG302" i="16" s="1"/>
  <c r="AH302" i="16"/>
  <c r="N303" i="16"/>
  <c r="V303" i="16"/>
  <c r="AB303" i="16" s="1"/>
  <c r="AL303" i="16"/>
  <c r="R304" i="16"/>
  <c r="Z304" i="16"/>
  <c r="AA304" i="16" s="1"/>
  <c r="AG304" i="16" s="1"/>
  <c r="AH304" i="16"/>
  <c r="N305" i="16"/>
  <c r="V305" i="16"/>
  <c r="AB305" i="16" s="1"/>
  <c r="AL305" i="16"/>
  <c r="R306" i="16"/>
  <c r="Z306" i="16"/>
  <c r="AA306" i="16" s="1"/>
  <c r="AG306" i="16" s="1"/>
  <c r="AH306" i="16"/>
  <c r="N307" i="16"/>
  <c r="V307" i="16"/>
  <c r="AB307" i="16" s="1"/>
  <c r="AL307" i="16"/>
  <c r="R308" i="16"/>
  <c r="Z308" i="16"/>
  <c r="AA308" i="16" s="1"/>
  <c r="AG308" i="16" s="1"/>
  <c r="AH308" i="16"/>
  <c r="N309" i="16"/>
  <c r="V309" i="16"/>
  <c r="AB309" i="16" s="1"/>
  <c r="AL309" i="16"/>
  <c r="R310" i="16"/>
  <c r="Z310" i="16"/>
  <c r="AA310" i="16" s="1"/>
  <c r="AG310" i="16" s="1"/>
  <c r="AH310" i="16"/>
  <c r="N311" i="16"/>
  <c r="V311" i="16"/>
  <c r="AB311" i="16" s="1"/>
  <c r="AL311" i="16"/>
  <c r="R312" i="16"/>
  <c r="Z312" i="16"/>
  <c r="AA312" i="16" s="1"/>
  <c r="AG312" i="16" s="1"/>
  <c r="AH312" i="16"/>
  <c r="N313" i="16"/>
  <c r="V313" i="16"/>
  <c r="AB313" i="16" s="1"/>
  <c r="AL313" i="16"/>
  <c r="R314" i="16"/>
  <c r="Z314" i="16"/>
  <c r="AA314" i="16" s="1"/>
  <c r="AG314" i="16" s="1"/>
  <c r="AH314" i="16"/>
  <c r="N315" i="16"/>
  <c r="V315" i="16"/>
  <c r="AB315" i="16" s="1"/>
  <c r="AL315" i="16"/>
  <c r="R316" i="16"/>
  <c r="Z316" i="16"/>
  <c r="AA316" i="16" s="1"/>
  <c r="AG316" i="16" s="1"/>
  <c r="AH316" i="16"/>
  <c r="N317" i="16"/>
  <c r="V317" i="16"/>
  <c r="AB317" i="16" s="1"/>
  <c r="AL317" i="16"/>
  <c r="R318" i="16"/>
  <c r="Z318" i="16"/>
  <c r="AA318" i="16" s="1"/>
  <c r="AG318" i="16" s="1"/>
  <c r="AH318" i="16"/>
  <c r="N319" i="16"/>
  <c r="V319" i="16"/>
  <c r="AB319" i="16" s="1"/>
  <c r="AL319" i="16"/>
  <c r="R320" i="16"/>
  <c r="Z320" i="16"/>
  <c r="AA320" i="16" s="1"/>
  <c r="AG320" i="16" s="1"/>
  <c r="AH320" i="16"/>
  <c r="N321" i="16"/>
  <c r="V321" i="16"/>
  <c r="AB321" i="16" s="1"/>
  <c r="AL321" i="16"/>
  <c r="R322" i="16"/>
  <c r="Z322" i="16"/>
  <c r="AA322" i="16" s="1"/>
  <c r="AG322" i="16" s="1"/>
  <c r="AH322" i="16"/>
  <c r="AL323" i="16"/>
  <c r="R324" i="16"/>
  <c r="Z324" i="16"/>
  <c r="AA324" i="16" s="1"/>
  <c r="AG324" i="16" s="1"/>
  <c r="AH324" i="16"/>
  <c r="N325" i="16"/>
  <c r="V325" i="16"/>
  <c r="AB325" i="16" s="1"/>
  <c r="AL325" i="16"/>
  <c r="R326" i="16"/>
  <c r="Z326" i="16"/>
  <c r="AA326" i="16" s="1"/>
  <c r="AG326" i="16" s="1"/>
  <c r="AH326" i="16"/>
  <c r="AL327" i="16"/>
  <c r="R328" i="16"/>
  <c r="Z328" i="16"/>
  <c r="AA328" i="16" s="1"/>
  <c r="AG328" i="16" s="1"/>
  <c r="AH328" i="16"/>
  <c r="N329" i="16"/>
  <c r="V329" i="16"/>
  <c r="AB329" i="16" s="1"/>
  <c r="AL329" i="16"/>
  <c r="R330" i="16"/>
  <c r="Z330" i="16"/>
  <c r="AA330" i="16" s="1"/>
  <c r="AG330" i="16" s="1"/>
  <c r="AH330" i="16"/>
  <c r="N331" i="16"/>
  <c r="V331" i="16"/>
  <c r="AB331" i="16" s="1"/>
  <c r="AL331" i="16"/>
  <c r="R332" i="16"/>
  <c r="Z332" i="16"/>
  <c r="AA332" i="16" s="1"/>
  <c r="AG332" i="16" s="1"/>
  <c r="AH332" i="16"/>
  <c r="N333" i="16"/>
  <c r="V333" i="16"/>
  <c r="AB333" i="16" s="1"/>
  <c r="AL333" i="16"/>
  <c r="R334" i="16"/>
  <c r="Z334" i="16"/>
  <c r="AA334" i="16" s="1"/>
  <c r="AG334" i="16" s="1"/>
  <c r="AH334" i="16"/>
  <c r="N335" i="16"/>
  <c r="V335" i="16"/>
  <c r="AB335" i="16" s="1"/>
  <c r="AL335" i="16"/>
  <c r="R336" i="16"/>
  <c r="Z336" i="16"/>
  <c r="AA336" i="16" s="1"/>
  <c r="AG336" i="16" s="1"/>
  <c r="AH336" i="16"/>
  <c r="N337" i="16"/>
  <c r="V337" i="16"/>
  <c r="AB337" i="16" s="1"/>
  <c r="AL337" i="16"/>
  <c r="R338" i="16"/>
  <c r="Z338" i="16"/>
  <c r="AA338" i="16" s="1"/>
  <c r="AG338" i="16" s="1"/>
  <c r="AH338" i="16"/>
  <c r="N339" i="16"/>
  <c r="V339" i="16"/>
  <c r="AL339" i="16"/>
  <c r="R340" i="16"/>
  <c r="Z340" i="16"/>
  <c r="AA340" i="16" s="1"/>
  <c r="AG340" i="16" s="1"/>
  <c r="AH340" i="16"/>
  <c r="N341" i="16"/>
  <c r="V341" i="16"/>
  <c r="AB341" i="16" s="1"/>
  <c r="AL341" i="16"/>
  <c r="R342" i="16"/>
  <c r="Z342" i="16"/>
  <c r="AA342" i="16" s="1"/>
  <c r="AG342" i="16" s="1"/>
  <c r="AH342" i="16"/>
  <c r="N343" i="16"/>
  <c r="V343" i="16"/>
  <c r="AB343" i="16" s="1"/>
  <c r="AL343" i="16"/>
  <c r="R344" i="16"/>
  <c r="Z344" i="16"/>
  <c r="AA344" i="16" s="1"/>
  <c r="AG344" i="16" s="1"/>
  <c r="AH344" i="16"/>
  <c r="N345" i="16"/>
  <c r="V345" i="16"/>
  <c r="AB345" i="16" s="1"/>
  <c r="AL345" i="16"/>
  <c r="R346" i="16"/>
  <c r="Z346" i="16"/>
  <c r="AA346" i="16" s="1"/>
  <c r="AG346" i="16" s="1"/>
  <c r="AH346" i="16"/>
  <c r="N347" i="16"/>
  <c r="V347" i="16"/>
  <c r="AB347" i="16" s="1"/>
  <c r="AL347" i="16"/>
  <c r="R348" i="16"/>
  <c r="Z348" i="16"/>
  <c r="AA348" i="16" s="1"/>
  <c r="AG348" i="16" s="1"/>
  <c r="AH348" i="16"/>
  <c r="N349" i="16"/>
  <c r="V349" i="16"/>
  <c r="AB349" i="16" s="1"/>
  <c r="AL349" i="16"/>
  <c r="R350" i="16"/>
  <c r="Z350" i="16"/>
  <c r="AA350" i="16" s="1"/>
  <c r="AG350" i="16" s="1"/>
  <c r="AH350" i="16"/>
  <c r="N351" i="16"/>
  <c r="V351" i="16"/>
  <c r="AB351" i="16" s="1"/>
  <c r="AL351" i="16"/>
  <c r="R352" i="16"/>
  <c r="Z352" i="16"/>
  <c r="AA352" i="16" s="1"/>
  <c r="AG352" i="16" s="1"/>
  <c r="AH352" i="16"/>
  <c r="N353" i="16"/>
  <c r="V353" i="16"/>
  <c r="AB353" i="16" s="1"/>
  <c r="AL353" i="16"/>
  <c r="R354" i="16"/>
  <c r="Z354" i="16"/>
  <c r="AA354" i="16" s="1"/>
  <c r="AG354" i="16" s="1"/>
  <c r="AH354" i="16"/>
  <c r="N355" i="16"/>
  <c r="V355" i="16"/>
  <c r="AB355" i="16" s="1"/>
  <c r="AL355" i="16"/>
  <c r="R356" i="16"/>
  <c r="Z356" i="16"/>
  <c r="AA356" i="16" s="1"/>
  <c r="AG356" i="16" s="1"/>
  <c r="AH356" i="16"/>
  <c r="AL357" i="16"/>
  <c r="R358" i="16"/>
  <c r="Z358" i="16"/>
  <c r="AA358" i="16" s="1"/>
  <c r="AG358" i="16" s="1"/>
  <c r="AH358" i="16"/>
  <c r="N359" i="16"/>
  <c r="V359" i="16"/>
  <c r="AB359" i="16" s="1"/>
  <c r="AL359" i="16"/>
  <c r="R360" i="16"/>
  <c r="Z360" i="16"/>
  <c r="AA360" i="16" s="1"/>
  <c r="AG360" i="16" s="1"/>
  <c r="AH360" i="16"/>
  <c r="AL361" i="16"/>
  <c r="R362" i="16"/>
  <c r="Z362" i="16"/>
  <c r="AA362" i="16" s="1"/>
  <c r="AG362" i="16" s="1"/>
  <c r="AH362" i="16"/>
  <c r="N363" i="16"/>
  <c r="V363" i="16"/>
  <c r="AB363" i="16" s="1"/>
  <c r="AL363" i="16"/>
  <c r="R364" i="16"/>
  <c r="Z364" i="16"/>
  <c r="AA364" i="16" s="1"/>
  <c r="AG364" i="16" s="1"/>
  <c r="AH364" i="16"/>
  <c r="N365" i="16"/>
  <c r="V365" i="16"/>
  <c r="AB365" i="16" s="1"/>
  <c r="AL365" i="16"/>
  <c r="R366" i="16"/>
  <c r="Z366" i="16"/>
  <c r="AA366" i="16" s="1"/>
  <c r="AG366" i="16" s="1"/>
  <c r="AH366" i="16"/>
  <c r="N367" i="16"/>
  <c r="V367" i="16"/>
  <c r="AB367" i="16" s="1"/>
  <c r="AL367" i="16"/>
  <c r="R368" i="16"/>
  <c r="Z368" i="16"/>
  <c r="AA368" i="16" s="1"/>
  <c r="AG368" i="16" s="1"/>
  <c r="AH368" i="16"/>
  <c r="N369" i="16"/>
  <c r="V369" i="16"/>
  <c r="AB369" i="16" s="1"/>
  <c r="AL369" i="16"/>
  <c r="R370" i="16"/>
  <c r="Z370" i="16"/>
  <c r="AA370" i="16" s="1"/>
  <c r="AG370" i="16" s="1"/>
  <c r="AH370" i="16"/>
  <c r="N371" i="16"/>
  <c r="V371" i="16"/>
  <c r="AL371" i="16"/>
  <c r="R372" i="16"/>
  <c r="Z372" i="16"/>
  <c r="AA372" i="16" s="1"/>
  <c r="AG372" i="16" s="1"/>
  <c r="AH372" i="16"/>
  <c r="N373" i="16"/>
  <c r="V373" i="16"/>
  <c r="AB373" i="16" s="1"/>
  <c r="AL373" i="16"/>
  <c r="R374" i="16"/>
  <c r="Z374" i="16"/>
  <c r="AA374" i="16" s="1"/>
  <c r="AG374" i="16" s="1"/>
  <c r="AH374" i="16"/>
  <c r="N375" i="16"/>
  <c r="V375" i="16"/>
  <c r="AB375" i="16" s="1"/>
  <c r="AL375" i="16"/>
  <c r="R376" i="16"/>
  <c r="Z376" i="16"/>
  <c r="AA376" i="16" s="1"/>
  <c r="AG376" i="16" s="1"/>
  <c r="AL376" i="16"/>
  <c r="P2" i="17"/>
  <c r="K377" i="16"/>
  <c r="O377" i="16"/>
  <c r="S377" i="16"/>
  <c r="W377" i="16"/>
  <c r="AD377" i="16" s="1"/>
  <c r="AA377" i="16"/>
  <c r="AG377" i="16" s="1"/>
  <c r="AI377" i="16"/>
  <c r="K378" i="16"/>
  <c r="O378" i="16"/>
  <c r="S378" i="16"/>
  <c r="W378" i="16"/>
  <c r="AD378" i="16" s="1"/>
  <c r="AA378" i="16"/>
  <c r="AG378" i="16" s="1"/>
  <c r="AI378" i="16"/>
  <c r="K379" i="16"/>
  <c r="O379" i="16"/>
  <c r="S379" i="16"/>
  <c r="W379" i="16"/>
  <c r="AD379" i="16" s="1"/>
  <c r="AA379" i="16"/>
  <c r="AG379" i="16" s="1"/>
  <c r="AI379" i="16"/>
  <c r="K380" i="16"/>
  <c r="O380" i="16"/>
  <c r="S380" i="16"/>
  <c r="W380" i="16"/>
  <c r="AD380" i="16" s="1"/>
  <c r="AA380" i="16"/>
  <c r="AG380" i="16" s="1"/>
  <c r="AI380" i="16"/>
  <c r="K381" i="16"/>
  <c r="O381" i="16"/>
  <c r="S381" i="16"/>
  <c r="W381" i="16"/>
  <c r="AD381" i="16" s="1"/>
  <c r="AA381" i="16"/>
  <c r="AG381" i="16" s="1"/>
  <c r="AI381" i="16"/>
  <c r="K382" i="16"/>
  <c r="O382" i="16"/>
  <c r="S382" i="16"/>
  <c r="W382" i="16"/>
  <c r="AD382" i="16" s="1"/>
  <c r="AA382" i="16"/>
  <c r="AG382" i="16" s="1"/>
  <c r="AI382" i="16"/>
  <c r="K383" i="16"/>
  <c r="O383" i="16"/>
  <c r="S383" i="16"/>
  <c r="W383" i="16"/>
  <c r="AD383" i="16" s="1"/>
  <c r="AA383" i="16"/>
  <c r="AG383" i="16" s="1"/>
  <c r="AI383" i="16"/>
  <c r="K384" i="16"/>
  <c r="O384" i="16"/>
  <c r="S384" i="16"/>
  <c r="W384" i="16"/>
  <c r="AD384" i="16" s="1"/>
  <c r="AA384" i="16"/>
  <c r="AG384" i="16" s="1"/>
  <c r="AI384" i="16"/>
  <c r="K385" i="16"/>
  <c r="O385" i="16"/>
  <c r="S385" i="16"/>
  <c r="W385" i="16"/>
  <c r="AD385" i="16" s="1"/>
  <c r="AA385" i="16"/>
  <c r="AG385" i="16" s="1"/>
  <c r="AI385" i="16"/>
  <c r="K386" i="16"/>
  <c r="O386" i="16"/>
  <c r="S386" i="16"/>
  <c r="W386" i="16"/>
  <c r="AD386" i="16" s="1"/>
  <c r="AA386" i="16"/>
  <c r="AG386" i="16" s="1"/>
  <c r="AI386" i="16"/>
  <c r="K387" i="16"/>
  <c r="O387" i="16"/>
  <c r="S387" i="16"/>
  <c r="W387" i="16"/>
  <c r="AD387" i="16" s="1"/>
  <c r="AA387" i="16"/>
  <c r="AG387" i="16" s="1"/>
  <c r="AI387" i="16"/>
  <c r="K388" i="16"/>
  <c r="O388" i="16"/>
  <c r="S388" i="16"/>
  <c r="W388" i="16"/>
  <c r="AD388" i="16" s="1"/>
  <c r="AA388" i="16"/>
  <c r="AG388" i="16" s="1"/>
  <c r="AI388" i="16"/>
  <c r="K389" i="16"/>
  <c r="O389" i="16"/>
  <c r="S389" i="16"/>
  <c r="W389" i="16"/>
  <c r="AD389" i="16" s="1"/>
  <c r="AA389" i="16"/>
  <c r="AG389" i="16" s="1"/>
  <c r="AI389" i="16"/>
  <c r="K390" i="16"/>
  <c r="O390" i="16"/>
  <c r="S390" i="16"/>
  <c r="W390" i="16"/>
  <c r="AD390" i="16" s="1"/>
  <c r="AA390" i="16"/>
  <c r="AG390" i="16" s="1"/>
  <c r="AI390" i="16"/>
  <c r="K391" i="16"/>
  <c r="O391" i="16"/>
  <c r="S391" i="16"/>
  <c r="W391" i="16"/>
  <c r="AD391" i="16" s="1"/>
  <c r="AA391" i="16"/>
  <c r="AG391" i="16" s="1"/>
  <c r="AI391" i="16"/>
  <c r="K392" i="16"/>
  <c r="O392" i="16"/>
  <c r="S392" i="16"/>
  <c r="W392" i="16"/>
  <c r="AD392" i="16" s="1"/>
  <c r="AA392" i="16"/>
  <c r="AG392" i="16" s="1"/>
  <c r="AI392" i="16"/>
  <c r="K393" i="16"/>
  <c r="O393" i="16"/>
  <c r="S393" i="16"/>
  <c r="W393" i="16"/>
  <c r="AD393" i="16" s="1"/>
  <c r="AA393" i="16"/>
  <c r="AG393" i="16" s="1"/>
  <c r="AI393" i="16"/>
  <c r="K394" i="16"/>
  <c r="O394" i="16"/>
  <c r="S394" i="16"/>
  <c r="W394" i="16"/>
  <c r="AD394" i="16" s="1"/>
  <c r="AA394" i="16"/>
  <c r="AG394" i="16" s="1"/>
  <c r="AI394" i="16"/>
  <c r="K395" i="16"/>
  <c r="O395" i="16"/>
  <c r="S395" i="16"/>
  <c r="W395" i="16"/>
  <c r="AD395" i="16" s="1"/>
  <c r="AA395" i="16"/>
  <c r="AG395" i="16" s="1"/>
  <c r="AI395" i="16"/>
  <c r="K396" i="16"/>
  <c r="O396" i="16"/>
  <c r="S396" i="16"/>
  <c r="W396" i="16"/>
  <c r="AD396" i="16" s="1"/>
  <c r="AA396" i="16"/>
  <c r="AG396" i="16" s="1"/>
  <c r="AI396" i="16"/>
  <c r="K397" i="16"/>
  <c r="O397" i="16"/>
  <c r="S397" i="16"/>
  <c r="W397" i="16"/>
  <c r="AD397" i="16" s="1"/>
  <c r="AA397" i="16"/>
  <c r="AG397" i="16" s="1"/>
  <c r="AI397" i="16"/>
  <c r="K398" i="16"/>
  <c r="O398" i="16"/>
  <c r="S398" i="16"/>
  <c r="W398" i="16"/>
  <c r="AD398" i="16" s="1"/>
  <c r="AA398" i="16"/>
  <c r="AG398" i="16" s="1"/>
  <c r="AI398" i="16"/>
  <c r="K399" i="16"/>
  <c r="O399" i="16"/>
  <c r="S399" i="16"/>
  <c r="W399" i="16"/>
  <c r="AD399" i="16" s="1"/>
  <c r="AA399" i="16"/>
  <c r="AG399" i="16" s="1"/>
  <c r="AI399" i="16"/>
  <c r="K400" i="16"/>
  <c r="O400" i="16"/>
  <c r="S400" i="16"/>
  <c r="W400" i="16"/>
  <c r="AD400" i="16" s="1"/>
  <c r="AA400" i="16"/>
  <c r="AG400" i="16" s="1"/>
  <c r="AI400" i="16"/>
  <c r="K401" i="16"/>
  <c r="O401" i="16"/>
  <c r="S401" i="16"/>
  <c r="W401" i="16"/>
  <c r="AD401" i="16" s="1"/>
  <c r="AA401" i="16"/>
  <c r="AG401" i="16" s="1"/>
  <c r="AI401" i="16"/>
  <c r="K402" i="16"/>
  <c r="O402" i="16"/>
  <c r="S402" i="16"/>
  <c r="W402" i="16"/>
  <c r="AD402" i="16" s="1"/>
  <c r="AA402" i="16"/>
  <c r="AG402" i="16" s="1"/>
  <c r="AI402" i="16"/>
  <c r="K403" i="16"/>
  <c r="O403" i="16"/>
  <c r="S403" i="16"/>
  <c r="W403" i="16"/>
  <c r="AD403" i="16" s="1"/>
  <c r="AA403" i="16"/>
  <c r="AG403" i="16" s="1"/>
  <c r="AI403" i="16"/>
  <c r="K404" i="16"/>
  <c r="O404" i="16"/>
  <c r="S404" i="16"/>
  <c r="W404" i="16"/>
  <c r="AD404" i="16" s="1"/>
  <c r="AA404" i="16"/>
  <c r="AG404" i="16" s="1"/>
  <c r="AI404" i="16"/>
  <c r="K405" i="16"/>
  <c r="O405" i="16"/>
  <c r="S405" i="16"/>
  <c r="W405" i="16"/>
  <c r="AD405" i="16" s="1"/>
  <c r="AA405" i="16"/>
  <c r="AG405" i="16" s="1"/>
  <c r="AI405" i="16"/>
  <c r="K406" i="16"/>
  <c r="O406" i="16"/>
  <c r="S406" i="16"/>
  <c r="W406" i="16"/>
  <c r="AD406" i="16" s="1"/>
  <c r="AA406" i="16"/>
  <c r="AG406" i="16" s="1"/>
  <c r="AI406" i="16"/>
  <c r="K407" i="16"/>
  <c r="O407" i="16"/>
  <c r="S407" i="16"/>
  <c r="W407" i="16"/>
  <c r="AD407" i="16" s="1"/>
  <c r="AA407" i="16"/>
  <c r="AG407" i="16" s="1"/>
  <c r="AI407" i="16"/>
  <c r="K408" i="16"/>
  <c r="O408" i="16"/>
  <c r="S408" i="16"/>
  <c r="W408" i="16"/>
  <c r="AD408" i="16" s="1"/>
  <c r="AA408" i="16"/>
  <c r="AG408" i="16" s="1"/>
  <c r="AI408" i="16"/>
  <c r="K409" i="16"/>
  <c r="O409" i="16"/>
  <c r="S409" i="16"/>
  <c r="W409" i="16"/>
  <c r="AD409" i="16" s="1"/>
  <c r="AA409" i="16"/>
  <c r="AG409" i="16" s="1"/>
  <c r="AI409" i="16"/>
  <c r="K410" i="16"/>
  <c r="O410" i="16"/>
  <c r="S410" i="16"/>
  <c r="W410" i="16"/>
  <c r="AD410" i="16" s="1"/>
  <c r="AA410" i="16"/>
  <c r="AG410" i="16" s="1"/>
  <c r="AI410" i="16"/>
  <c r="K411" i="16"/>
  <c r="O411" i="16"/>
  <c r="S411" i="16"/>
  <c r="W411" i="16"/>
  <c r="AD411" i="16" s="1"/>
  <c r="AA411" i="16"/>
  <c r="AG411" i="16" s="1"/>
  <c r="AI411" i="16"/>
  <c r="K412" i="16"/>
  <c r="O412" i="16"/>
  <c r="S412" i="16"/>
  <c r="W412" i="16"/>
  <c r="AD412" i="16" s="1"/>
  <c r="AA412" i="16"/>
  <c r="AG412" i="16" s="1"/>
  <c r="AI412" i="16"/>
  <c r="K413" i="16"/>
  <c r="O413" i="16"/>
  <c r="S413" i="16"/>
  <c r="W413" i="16"/>
  <c r="AD413" i="16" s="1"/>
  <c r="AA413" i="16"/>
  <c r="AG413" i="16" s="1"/>
  <c r="AI413" i="16"/>
  <c r="K414" i="16"/>
  <c r="O414" i="16"/>
  <c r="S414" i="16"/>
  <c r="W414" i="16"/>
  <c r="AD414" i="16" s="1"/>
  <c r="AA414" i="16"/>
  <c r="AG414" i="16" s="1"/>
  <c r="AI414" i="16"/>
  <c r="K415" i="16"/>
  <c r="O415" i="16"/>
  <c r="S415" i="16"/>
  <c r="W415" i="16"/>
  <c r="AD415" i="16" s="1"/>
  <c r="AA415" i="16"/>
  <c r="AG415" i="16" s="1"/>
  <c r="AI415" i="16"/>
  <c r="K416" i="16"/>
  <c r="O416" i="16"/>
  <c r="S416" i="16"/>
  <c r="W416" i="16"/>
  <c r="AD416" i="16" s="1"/>
  <c r="AA416" i="16"/>
  <c r="AG416" i="16" s="1"/>
  <c r="AI416" i="16"/>
  <c r="K417" i="16"/>
  <c r="O417" i="16"/>
  <c r="S417" i="16"/>
  <c r="W417" i="16"/>
  <c r="AD417" i="16" s="1"/>
  <c r="AA417" i="16"/>
  <c r="AG417" i="16" s="1"/>
  <c r="AI417" i="16"/>
  <c r="K418" i="16"/>
  <c r="O418" i="16"/>
  <c r="S418" i="16"/>
  <c r="W418" i="16"/>
  <c r="AD418" i="16" s="1"/>
  <c r="AA418" i="16"/>
  <c r="AG418" i="16" s="1"/>
  <c r="AI418" i="16"/>
  <c r="K419" i="16"/>
  <c r="O419" i="16"/>
  <c r="S419" i="16"/>
  <c r="W419" i="16"/>
  <c r="AD419" i="16" s="1"/>
  <c r="AA419" i="16"/>
  <c r="AG419" i="16" s="1"/>
  <c r="AI419" i="16"/>
  <c r="K420" i="16"/>
  <c r="O420" i="16"/>
  <c r="S420" i="16"/>
  <c r="W420" i="16"/>
  <c r="AD420" i="16" s="1"/>
  <c r="AA420" i="16"/>
  <c r="AG420" i="16" s="1"/>
  <c r="AI420" i="16"/>
  <c r="K421" i="16"/>
  <c r="O421" i="16"/>
  <c r="S421" i="16"/>
  <c r="W421" i="16"/>
  <c r="AD421" i="16" s="1"/>
  <c r="AA421" i="16"/>
  <c r="AG421" i="16" s="1"/>
  <c r="AI421" i="16"/>
  <c r="K422" i="16"/>
  <c r="O422" i="16"/>
  <c r="S422" i="16"/>
  <c r="W422" i="16"/>
  <c r="AD422" i="16" s="1"/>
  <c r="AA422" i="16"/>
  <c r="AG422" i="16" s="1"/>
  <c r="AI422" i="16"/>
  <c r="K423" i="16"/>
  <c r="O423" i="16"/>
  <c r="S423" i="16"/>
  <c r="W423" i="16"/>
  <c r="AD423" i="16" s="1"/>
  <c r="AA423" i="16"/>
  <c r="AG423" i="16" s="1"/>
  <c r="AI423" i="16"/>
  <c r="K424" i="16"/>
  <c r="O424" i="16"/>
  <c r="S424" i="16"/>
  <c r="W424" i="16"/>
  <c r="AD424" i="16" s="1"/>
  <c r="AA424" i="16"/>
  <c r="AG424" i="16" s="1"/>
  <c r="AI424" i="16"/>
  <c r="K425" i="16"/>
  <c r="O425" i="16"/>
  <c r="S425" i="16"/>
  <c r="W425" i="16"/>
  <c r="AD425" i="16" s="1"/>
  <c r="AA425" i="16"/>
  <c r="AG425" i="16" s="1"/>
  <c r="AI425" i="16"/>
  <c r="K426" i="16"/>
  <c r="O426" i="16"/>
  <c r="S426" i="16"/>
  <c r="W426" i="16"/>
  <c r="AD426" i="16" s="1"/>
  <c r="AA426" i="16"/>
  <c r="AG426" i="16" s="1"/>
  <c r="AI426" i="16"/>
  <c r="K427" i="16"/>
  <c r="O427" i="16"/>
  <c r="S427" i="16"/>
  <c r="W427" i="16"/>
  <c r="AD427" i="16" s="1"/>
  <c r="AA427" i="16"/>
  <c r="AG427" i="16" s="1"/>
  <c r="AI427" i="16"/>
  <c r="K428" i="16"/>
  <c r="O428" i="16"/>
  <c r="S428" i="16"/>
  <c r="W428" i="16"/>
  <c r="AD428" i="16" s="1"/>
  <c r="AA428" i="16"/>
  <c r="AG428" i="16" s="1"/>
  <c r="AI428" i="16"/>
  <c r="K429" i="16"/>
  <c r="O429" i="16"/>
  <c r="S429" i="16"/>
  <c r="W429" i="16"/>
  <c r="AD429" i="16" s="1"/>
  <c r="AA429" i="16"/>
  <c r="AG429" i="16" s="1"/>
  <c r="AI429" i="16"/>
  <c r="K430" i="16"/>
  <c r="O430" i="16"/>
  <c r="S430" i="16"/>
  <c r="W430" i="16"/>
  <c r="AD430" i="16" s="1"/>
  <c r="AA430" i="16"/>
  <c r="AG430" i="16" s="1"/>
  <c r="AI430" i="16"/>
  <c r="K431" i="16"/>
  <c r="O431" i="16"/>
  <c r="S431" i="16"/>
  <c r="W431" i="16"/>
  <c r="AD431" i="16" s="1"/>
  <c r="AA431" i="16"/>
  <c r="AG431" i="16" s="1"/>
  <c r="AI431" i="16"/>
  <c r="K432" i="16"/>
  <c r="O432" i="16"/>
  <c r="S432" i="16"/>
  <c r="W432" i="16"/>
  <c r="AD432" i="16" s="1"/>
  <c r="AA432" i="16"/>
  <c r="AG432" i="16" s="1"/>
  <c r="AI432" i="16"/>
  <c r="K433" i="16"/>
  <c r="O433" i="16"/>
  <c r="S433" i="16"/>
  <c r="W433" i="16"/>
  <c r="AD433" i="16" s="1"/>
  <c r="AA433" i="16"/>
  <c r="AG433" i="16" s="1"/>
  <c r="AI433" i="16"/>
  <c r="K434" i="16"/>
  <c r="O434" i="16"/>
  <c r="S434" i="16"/>
  <c r="W434" i="16"/>
  <c r="AD434" i="16" s="1"/>
  <c r="AA434" i="16"/>
  <c r="AG434" i="16" s="1"/>
  <c r="AI434" i="16"/>
  <c r="K435" i="16"/>
  <c r="O435" i="16"/>
  <c r="S435" i="16"/>
  <c r="W435" i="16"/>
  <c r="AD435" i="16" s="1"/>
  <c r="AA435" i="16"/>
  <c r="AG435" i="16" s="1"/>
  <c r="AI435" i="16"/>
  <c r="K436" i="16"/>
  <c r="O436" i="16"/>
  <c r="S436" i="16"/>
  <c r="W436" i="16"/>
  <c r="AD436" i="16" s="1"/>
  <c r="AA436" i="16"/>
  <c r="AG436" i="16" s="1"/>
  <c r="AI436" i="16"/>
  <c r="K437" i="16"/>
  <c r="O437" i="16"/>
  <c r="S437" i="16"/>
  <c r="W437" i="16"/>
  <c r="AD437" i="16" s="1"/>
  <c r="AA437" i="16"/>
  <c r="AG437" i="16" s="1"/>
  <c r="AI437" i="16"/>
  <c r="K438" i="16"/>
  <c r="O438" i="16"/>
  <c r="S438" i="16"/>
  <c r="W438" i="16"/>
  <c r="AD438" i="16" s="1"/>
  <c r="AA438" i="16"/>
  <c r="AG438" i="16" s="1"/>
  <c r="AI438" i="16"/>
  <c r="K439" i="16"/>
  <c r="O439" i="16"/>
  <c r="S439" i="16"/>
  <c r="W439" i="16"/>
  <c r="AD439" i="16" s="1"/>
  <c r="AA439" i="16"/>
  <c r="AG439" i="16" s="1"/>
  <c r="AI439" i="16"/>
  <c r="K440" i="16"/>
  <c r="O440" i="16"/>
  <c r="S440" i="16"/>
  <c r="W440" i="16"/>
  <c r="AD440" i="16" s="1"/>
  <c r="AA440" i="16"/>
  <c r="AG440" i="16" s="1"/>
  <c r="AI440" i="16"/>
  <c r="K441" i="16"/>
  <c r="O441" i="16"/>
  <c r="S441" i="16"/>
  <c r="W441" i="16"/>
  <c r="AD441" i="16" s="1"/>
  <c r="AA441" i="16"/>
  <c r="AG441" i="16" s="1"/>
  <c r="AI441" i="16"/>
  <c r="K442" i="16"/>
  <c r="O442" i="16"/>
  <c r="S442" i="16"/>
  <c r="W442" i="16"/>
  <c r="AD442" i="16" s="1"/>
  <c r="AA442" i="16"/>
  <c r="AG442" i="16" s="1"/>
  <c r="AI442" i="16"/>
  <c r="K443" i="16"/>
  <c r="O443" i="16"/>
  <c r="S443" i="16"/>
  <c r="W443" i="16"/>
  <c r="AD443" i="16" s="1"/>
  <c r="AA443" i="16"/>
  <c r="AG443" i="16" s="1"/>
  <c r="AI443" i="16"/>
  <c r="K444" i="16"/>
  <c r="O444" i="16"/>
  <c r="S444" i="16"/>
  <c r="W444" i="16"/>
  <c r="AD444" i="16" s="1"/>
  <c r="AA444" i="16"/>
  <c r="AG444" i="16" s="1"/>
  <c r="AI444" i="16"/>
  <c r="K445" i="16"/>
  <c r="O445" i="16"/>
  <c r="S445" i="16"/>
  <c r="W445" i="16"/>
  <c r="AD445" i="16" s="1"/>
  <c r="AA445" i="16"/>
  <c r="AG445" i="16" s="1"/>
  <c r="AI445" i="16"/>
  <c r="K446" i="16"/>
  <c r="O446" i="16"/>
  <c r="S446" i="16"/>
  <c r="W446" i="16"/>
  <c r="AD446" i="16" s="1"/>
  <c r="AA446" i="16"/>
  <c r="AG446" i="16" s="1"/>
  <c r="AI446" i="16"/>
  <c r="K447" i="16"/>
  <c r="O447" i="16"/>
  <c r="S447" i="16"/>
  <c r="W447" i="16"/>
  <c r="AD447" i="16" s="1"/>
  <c r="AA447" i="16"/>
  <c r="AG447" i="16" s="1"/>
  <c r="AI447" i="16"/>
  <c r="K448" i="16"/>
  <c r="O448" i="16"/>
  <c r="S448" i="16"/>
  <c r="W448" i="16"/>
  <c r="AD448" i="16" s="1"/>
  <c r="AA448" i="16"/>
  <c r="AG448" i="16" s="1"/>
  <c r="AI448" i="16"/>
  <c r="K449" i="16"/>
  <c r="O449" i="16"/>
  <c r="S449" i="16"/>
  <c r="W449" i="16"/>
  <c r="AD449" i="16" s="1"/>
  <c r="AA449" i="16"/>
  <c r="AG449" i="16" s="1"/>
  <c r="AI449" i="16"/>
  <c r="K450" i="16"/>
  <c r="O450" i="16"/>
  <c r="S450" i="16"/>
  <c r="W450" i="16"/>
  <c r="AD450" i="16" s="1"/>
  <c r="AA450" i="16"/>
  <c r="AG450" i="16" s="1"/>
  <c r="AI450" i="16"/>
  <c r="K451" i="16"/>
  <c r="O451" i="16"/>
  <c r="S451" i="16"/>
  <c r="W451" i="16"/>
  <c r="AD451" i="16" s="1"/>
  <c r="AA451" i="16"/>
  <c r="AG451" i="16" s="1"/>
  <c r="AI451" i="16"/>
  <c r="K452" i="16"/>
  <c r="O452" i="16"/>
  <c r="S452" i="16"/>
  <c r="W452" i="16"/>
  <c r="AD452" i="16" s="1"/>
  <c r="AA452" i="16"/>
  <c r="AG452" i="16" s="1"/>
  <c r="AI452" i="16"/>
  <c r="K453" i="16"/>
  <c r="O453" i="16"/>
  <c r="S453" i="16"/>
  <c r="W453" i="16"/>
  <c r="AD453" i="16" s="1"/>
  <c r="AA453" i="16"/>
  <c r="AG453" i="16" s="1"/>
  <c r="AI453" i="16"/>
  <c r="K454" i="16"/>
  <c r="O454" i="16"/>
  <c r="S454" i="16"/>
  <c r="W454" i="16"/>
  <c r="AD454" i="16" s="1"/>
  <c r="AA454" i="16"/>
  <c r="AG454" i="16" s="1"/>
  <c r="AI454" i="16"/>
  <c r="K455" i="16"/>
  <c r="O455" i="16"/>
  <c r="S455" i="16"/>
  <c r="W455" i="16"/>
  <c r="AD455" i="16" s="1"/>
  <c r="AA455" i="16"/>
  <c r="AG455" i="16" s="1"/>
  <c r="AI455" i="16"/>
  <c r="K456" i="16"/>
  <c r="O456" i="16"/>
  <c r="S456" i="16"/>
  <c r="W456" i="16"/>
  <c r="AD456" i="16" s="1"/>
  <c r="AA456" i="16"/>
  <c r="AG456" i="16" s="1"/>
  <c r="AI456" i="16"/>
  <c r="K457" i="16"/>
  <c r="O457" i="16"/>
  <c r="S457" i="16"/>
  <c r="W457" i="16"/>
  <c r="AD457" i="16" s="1"/>
  <c r="AA457" i="16"/>
  <c r="AG457" i="16" s="1"/>
  <c r="AI457" i="16"/>
  <c r="K458" i="16"/>
  <c r="O458" i="16"/>
  <c r="S458" i="16"/>
  <c r="W458" i="16"/>
  <c r="AD458" i="16" s="1"/>
  <c r="AA458" i="16"/>
  <c r="AG458" i="16" s="1"/>
  <c r="AI458" i="16"/>
  <c r="K459" i="16"/>
  <c r="O459" i="16"/>
  <c r="S459" i="16"/>
  <c r="W459" i="16"/>
  <c r="AD459" i="16" s="1"/>
  <c r="AA459" i="16"/>
  <c r="AG459" i="16" s="1"/>
  <c r="AI459" i="16"/>
  <c r="K460" i="16"/>
  <c r="O460" i="16"/>
  <c r="S460" i="16"/>
  <c r="W460" i="16"/>
  <c r="AD460" i="16" s="1"/>
  <c r="AA460" i="16"/>
  <c r="AG460" i="16" s="1"/>
  <c r="AI460" i="16"/>
  <c r="K461" i="16"/>
  <c r="O461" i="16"/>
  <c r="S461" i="16"/>
  <c r="W461" i="16"/>
  <c r="AD461" i="16" s="1"/>
  <c r="AA461" i="16"/>
  <c r="AG461" i="16" s="1"/>
  <c r="AI461" i="16"/>
  <c r="K462" i="16"/>
  <c r="O462" i="16"/>
  <c r="S462" i="16"/>
  <c r="W462" i="16"/>
  <c r="AD462" i="16" s="1"/>
  <c r="AA462" i="16"/>
  <c r="AG462" i="16" s="1"/>
  <c r="AI462" i="16"/>
  <c r="K463" i="16"/>
  <c r="O463" i="16"/>
  <c r="S463" i="16"/>
  <c r="W463" i="16"/>
  <c r="AD463" i="16" s="1"/>
  <c r="AA463" i="16"/>
  <c r="AG463" i="16" s="1"/>
  <c r="AI463" i="16"/>
  <c r="K464" i="16"/>
  <c r="O464" i="16"/>
  <c r="S464" i="16"/>
  <c r="W464" i="16"/>
  <c r="AD464" i="16" s="1"/>
  <c r="AA464" i="16"/>
  <c r="AG464" i="16" s="1"/>
  <c r="AI464" i="16"/>
  <c r="K465" i="16"/>
  <c r="O465" i="16"/>
  <c r="S465" i="16"/>
  <c r="W465" i="16"/>
  <c r="AD465" i="16" s="1"/>
  <c r="AA465" i="16"/>
  <c r="AG465" i="16" s="1"/>
  <c r="AI465" i="16"/>
  <c r="K466" i="16"/>
  <c r="O466" i="16"/>
  <c r="S466" i="16"/>
  <c r="W466" i="16"/>
  <c r="AD466" i="16" s="1"/>
  <c r="AA466" i="16"/>
  <c r="AG466" i="16" s="1"/>
  <c r="AI466" i="16"/>
  <c r="K467" i="16"/>
  <c r="O467" i="16"/>
  <c r="S467" i="16"/>
  <c r="W467" i="16"/>
  <c r="AD467" i="16" s="1"/>
  <c r="AA467" i="16"/>
  <c r="AG467" i="16" s="1"/>
  <c r="AI467" i="16"/>
  <c r="K468" i="16"/>
  <c r="O468" i="16"/>
  <c r="S468" i="16"/>
  <c r="W468" i="16"/>
  <c r="AD468" i="16" s="1"/>
  <c r="AA468" i="16"/>
  <c r="AG468" i="16" s="1"/>
  <c r="AI468" i="16"/>
  <c r="K469" i="16"/>
  <c r="O469" i="16"/>
  <c r="S469" i="16"/>
  <c r="W469" i="16"/>
  <c r="AD469" i="16" s="1"/>
  <c r="AA469" i="16"/>
  <c r="AG469" i="16" s="1"/>
  <c r="AI469" i="16"/>
  <c r="K470" i="16"/>
  <c r="O470" i="16"/>
  <c r="S470" i="16"/>
  <c r="W470" i="16"/>
  <c r="AD470" i="16" s="1"/>
  <c r="AA470" i="16"/>
  <c r="AG470" i="16" s="1"/>
  <c r="AI470" i="16"/>
  <c r="K471" i="16"/>
  <c r="O471" i="16"/>
  <c r="S471" i="16"/>
  <c r="W471" i="16"/>
  <c r="AD471" i="16" s="1"/>
  <c r="AA471" i="16"/>
  <c r="AG471" i="16" s="1"/>
  <c r="AI471" i="16"/>
  <c r="K472" i="16"/>
  <c r="O472" i="16"/>
  <c r="S472" i="16"/>
  <c r="W472" i="16"/>
  <c r="AD472" i="16" s="1"/>
  <c r="AA472" i="16"/>
  <c r="AG472" i="16" s="1"/>
  <c r="AI472" i="16"/>
  <c r="K473" i="16"/>
  <c r="O473" i="16"/>
  <c r="S473" i="16"/>
  <c r="W473" i="16"/>
  <c r="AD473" i="16" s="1"/>
  <c r="AA473" i="16"/>
  <c r="AG473" i="16" s="1"/>
  <c r="AI473" i="16"/>
  <c r="K474" i="16"/>
  <c r="O474" i="16"/>
  <c r="S474" i="16"/>
  <c r="W474" i="16"/>
  <c r="AD474" i="16" s="1"/>
  <c r="AA474" i="16"/>
  <c r="AG474" i="16" s="1"/>
  <c r="AI474" i="16"/>
  <c r="K475" i="16"/>
  <c r="O475" i="16"/>
  <c r="S475" i="16"/>
  <c r="W475" i="16"/>
  <c r="AD475" i="16" s="1"/>
  <c r="AA475" i="16"/>
  <c r="AG475" i="16" s="1"/>
  <c r="AI475" i="16"/>
  <c r="K476" i="16"/>
  <c r="O476" i="16"/>
  <c r="S476" i="16"/>
  <c r="W476" i="16"/>
  <c r="AD476" i="16" s="1"/>
  <c r="AA476" i="16"/>
  <c r="AG476" i="16" s="1"/>
  <c r="AI476" i="16"/>
  <c r="K477" i="16"/>
  <c r="O477" i="16"/>
  <c r="S477" i="16"/>
  <c r="W477" i="16"/>
  <c r="AD477" i="16" s="1"/>
  <c r="AA477" i="16"/>
  <c r="AG477" i="16" s="1"/>
  <c r="AI477" i="16"/>
  <c r="K478" i="16"/>
  <c r="O478" i="16"/>
  <c r="S478" i="16"/>
  <c r="W478" i="16"/>
  <c r="AD478" i="16" s="1"/>
  <c r="AA478" i="16"/>
  <c r="AG478" i="16" s="1"/>
  <c r="AI478" i="16"/>
  <c r="K479" i="16"/>
  <c r="O479" i="16"/>
  <c r="S479" i="16"/>
  <c r="W479" i="16"/>
  <c r="AD479" i="16" s="1"/>
  <c r="AA479" i="16"/>
  <c r="AG479" i="16" s="1"/>
  <c r="AI479" i="16"/>
  <c r="K480" i="16"/>
  <c r="O480" i="16"/>
  <c r="S480" i="16"/>
  <c r="W480" i="16"/>
  <c r="AD480" i="16" s="1"/>
  <c r="AA480" i="16"/>
  <c r="AG480" i="16" s="1"/>
  <c r="AI480" i="16"/>
  <c r="K481" i="16"/>
  <c r="O481" i="16"/>
  <c r="S481" i="16"/>
  <c r="W481" i="16"/>
  <c r="AD481" i="16" s="1"/>
  <c r="AA481" i="16"/>
  <c r="AG481" i="16" s="1"/>
  <c r="AI481" i="16"/>
  <c r="K482" i="16"/>
  <c r="O482" i="16"/>
  <c r="S482" i="16"/>
  <c r="W482" i="16"/>
  <c r="AD482" i="16" s="1"/>
  <c r="AA482" i="16"/>
  <c r="AG482" i="16" s="1"/>
  <c r="AI482" i="16"/>
  <c r="K483" i="16"/>
  <c r="O483" i="16"/>
  <c r="S483" i="16"/>
  <c r="W483" i="16"/>
  <c r="AD483" i="16" s="1"/>
  <c r="AA483" i="16"/>
  <c r="AG483" i="16" s="1"/>
  <c r="AI483" i="16"/>
  <c r="K484" i="16"/>
  <c r="O484" i="16"/>
  <c r="S484" i="16"/>
  <c r="W484" i="16"/>
  <c r="AD484" i="16" s="1"/>
  <c r="AA484" i="16"/>
  <c r="AG484" i="16" s="1"/>
  <c r="AI484" i="16"/>
  <c r="K485" i="16"/>
  <c r="O485" i="16"/>
  <c r="S485" i="16"/>
  <c r="W485" i="16"/>
  <c r="AD485" i="16" s="1"/>
  <c r="AA485" i="16"/>
  <c r="AG485" i="16" s="1"/>
  <c r="AI485" i="16"/>
  <c r="K486" i="16"/>
  <c r="O486" i="16"/>
  <c r="S486" i="16"/>
  <c r="W486" i="16"/>
  <c r="AD486" i="16" s="1"/>
  <c r="AA486" i="16"/>
  <c r="AG486" i="16" s="1"/>
  <c r="AI486" i="16"/>
  <c r="K487" i="16"/>
  <c r="O487" i="16"/>
  <c r="S487" i="16"/>
  <c r="W487" i="16"/>
  <c r="AD487" i="16" s="1"/>
  <c r="AA487" i="16"/>
  <c r="AG487" i="16" s="1"/>
  <c r="AI487" i="16"/>
  <c r="K488" i="16"/>
  <c r="O488" i="16"/>
  <c r="S488" i="16"/>
  <c r="W488" i="16"/>
  <c r="AD488" i="16" s="1"/>
  <c r="AA488" i="16"/>
  <c r="AG488" i="16" s="1"/>
  <c r="AI488" i="16"/>
  <c r="K489" i="16"/>
  <c r="O489" i="16"/>
  <c r="S489" i="16"/>
  <c r="W489" i="16"/>
  <c r="AD489" i="16" s="1"/>
  <c r="AA489" i="16"/>
  <c r="AG489" i="16" s="1"/>
  <c r="AI489" i="16"/>
  <c r="K490" i="16"/>
  <c r="O490" i="16"/>
  <c r="S490" i="16"/>
  <c r="W490" i="16"/>
  <c r="AD490" i="16" s="1"/>
  <c r="AA490" i="16"/>
  <c r="AG490" i="16" s="1"/>
  <c r="AI490" i="16"/>
  <c r="K491" i="16"/>
  <c r="O491" i="16"/>
  <c r="S491" i="16"/>
  <c r="W491" i="16"/>
  <c r="AD491" i="16" s="1"/>
  <c r="AA491" i="16"/>
  <c r="AG491" i="16" s="1"/>
  <c r="AI491" i="16"/>
  <c r="K492" i="16"/>
  <c r="O492" i="16"/>
  <c r="S492" i="16"/>
  <c r="W492" i="16"/>
  <c r="AD492" i="16" s="1"/>
  <c r="AA492" i="16"/>
  <c r="AG492" i="16" s="1"/>
  <c r="AI492" i="16"/>
  <c r="K493" i="16"/>
  <c r="O493" i="16"/>
  <c r="S493" i="16"/>
  <c r="W493" i="16"/>
  <c r="AD493" i="16" s="1"/>
  <c r="AA493" i="16"/>
  <c r="AG493" i="16" s="1"/>
  <c r="AI493" i="16"/>
  <c r="K494" i="16"/>
  <c r="O494" i="16"/>
  <c r="S494" i="16"/>
  <c r="W494" i="16"/>
  <c r="AD494" i="16" s="1"/>
  <c r="AA494" i="16"/>
  <c r="AG494" i="16" s="1"/>
  <c r="AI494" i="16"/>
  <c r="K495" i="16"/>
  <c r="O495" i="16"/>
  <c r="S495" i="16"/>
  <c r="W495" i="16"/>
  <c r="AD495" i="16" s="1"/>
  <c r="AA495" i="16"/>
  <c r="AG495" i="16" s="1"/>
  <c r="AI495" i="16"/>
  <c r="K496" i="16"/>
  <c r="O496" i="16"/>
  <c r="S496" i="16"/>
  <c r="W496" i="16"/>
  <c r="AD496" i="16" s="1"/>
  <c r="AA496" i="16"/>
  <c r="AG496" i="16" s="1"/>
  <c r="AI496" i="16"/>
  <c r="K497" i="16"/>
  <c r="O497" i="16"/>
  <c r="S497" i="16"/>
  <c r="W497" i="16"/>
  <c r="AD497" i="16" s="1"/>
  <c r="AA497" i="16"/>
  <c r="AG497" i="16" s="1"/>
  <c r="AI497" i="16"/>
  <c r="K498" i="16"/>
  <c r="O498" i="16"/>
  <c r="S498" i="16"/>
  <c r="W498" i="16"/>
  <c r="AD498" i="16" s="1"/>
  <c r="AA498" i="16"/>
  <c r="AG498" i="16" s="1"/>
  <c r="AI498" i="16"/>
  <c r="K499" i="16"/>
  <c r="O499" i="16"/>
  <c r="S499" i="16"/>
  <c r="W499" i="16"/>
  <c r="AD499" i="16" s="1"/>
  <c r="AA499" i="16"/>
  <c r="AG499" i="16" s="1"/>
  <c r="AI499" i="16"/>
  <c r="K500" i="16"/>
  <c r="O500" i="16"/>
  <c r="S500" i="16"/>
  <c r="W500" i="16"/>
  <c r="AD500" i="16" s="1"/>
  <c r="AA500" i="16"/>
  <c r="AG500" i="16" s="1"/>
  <c r="AI500" i="16"/>
  <c r="K501" i="16"/>
  <c r="O501" i="16"/>
  <c r="S501" i="16"/>
  <c r="W501" i="16"/>
  <c r="AD501" i="16" s="1"/>
  <c r="AA501" i="16"/>
  <c r="AG501" i="16" s="1"/>
  <c r="AI501" i="16"/>
  <c r="P3" i="17"/>
  <c r="T3" i="17"/>
  <c r="X3" i="17"/>
  <c r="Y3" i="17" s="1"/>
  <c r="AB3" i="17"/>
  <c r="K4" i="17"/>
  <c r="O4" i="17"/>
  <c r="S4" i="17"/>
  <c r="W4" i="17"/>
  <c r="AD4" i="17" s="1"/>
  <c r="AA4" i="17"/>
  <c r="AG4" i="17" s="1"/>
  <c r="AI4" i="17"/>
  <c r="N5" i="17"/>
  <c r="R5" i="17"/>
  <c r="V5" i="17"/>
  <c r="Z5" i="17"/>
  <c r="AA5" i="17" s="1"/>
  <c r="AG5" i="17" s="1"/>
  <c r="AH5" i="17"/>
  <c r="P6" i="17"/>
  <c r="U6" i="17"/>
  <c r="AF6" i="17" s="1"/>
  <c r="Z6" i="17"/>
  <c r="AL7" i="17"/>
  <c r="AH7" i="17"/>
  <c r="Z7" i="17"/>
  <c r="AA7" i="17" s="1"/>
  <c r="AG7" i="17" s="1"/>
  <c r="V7" i="17"/>
  <c r="R7" i="17"/>
  <c r="N7" i="17"/>
  <c r="Q7" i="17"/>
  <c r="W7" i="17"/>
  <c r="AD7" i="17" s="1"/>
  <c r="AB7" i="17"/>
  <c r="O8" i="17"/>
  <c r="T8" i="17"/>
  <c r="Z8" i="17"/>
  <c r="AA8" i="17" s="1"/>
  <c r="AG8" i="17" s="1"/>
  <c r="AI208" i="17"/>
  <c r="AA208" i="17"/>
  <c r="AG208" i="17" s="1"/>
  <c r="W208" i="17"/>
  <c r="AD208" i="17" s="1"/>
  <c r="S208" i="17"/>
  <c r="O208" i="17"/>
  <c r="K208" i="17"/>
  <c r="AK208" i="17"/>
  <c r="Z208" i="17"/>
  <c r="U208" i="17"/>
  <c r="AF208" i="17" s="1"/>
  <c r="P208" i="17"/>
  <c r="AJ208" i="17"/>
  <c r="T208" i="17"/>
  <c r="N208" i="17"/>
  <c r="AH208" i="17"/>
  <c r="AC208" i="17"/>
  <c r="AE208" i="17" s="1"/>
  <c r="X208" i="17"/>
  <c r="Y208" i="17" s="1"/>
  <c r="R208" i="17"/>
  <c r="M208" i="17"/>
  <c r="V216" i="17"/>
  <c r="AB216" i="17" s="1"/>
  <c r="P377" i="16"/>
  <c r="T377" i="16"/>
  <c r="X377" i="16"/>
  <c r="Y377" i="16" s="1"/>
  <c r="AB377" i="16"/>
  <c r="AJ377" i="16"/>
  <c r="P378" i="16"/>
  <c r="T378" i="16"/>
  <c r="X378" i="16"/>
  <c r="AB378" i="16"/>
  <c r="AJ378" i="16"/>
  <c r="P379" i="16"/>
  <c r="T379" i="16"/>
  <c r="X379" i="16"/>
  <c r="AB379" i="16"/>
  <c r="AJ379" i="16"/>
  <c r="P380" i="16"/>
  <c r="T380" i="16"/>
  <c r="X380" i="16"/>
  <c r="Y380" i="16" s="1"/>
  <c r="AB380" i="16"/>
  <c r="AJ380" i="16"/>
  <c r="P381" i="16"/>
  <c r="T381" i="16"/>
  <c r="X381" i="16"/>
  <c r="Y381" i="16" s="1"/>
  <c r="AB381" i="16"/>
  <c r="AJ381" i="16"/>
  <c r="P382" i="16"/>
  <c r="T382" i="16"/>
  <c r="X382" i="16"/>
  <c r="AB382" i="16"/>
  <c r="AJ382" i="16"/>
  <c r="P383" i="16"/>
  <c r="T383" i="16"/>
  <c r="X383" i="16"/>
  <c r="Y383" i="16" s="1"/>
  <c r="AB383" i="16"/>
  <c r="AJ383" i="16"/>
  <c r="P384" i="16"/>
  <c r="T384" i="16"/>
  <c r="X384" i="16"/>
  <c r="Y384" i="16" s="1"/>
  <c r="AB384" i="16"/>
  <c r="AJ384" i="16"/>
  <c r="P385" i="16"/>
  <c r="T385" i="16"/>
  <c r="X385" i="16"/>
  <c r="Y385" i="16" s="1"/>
  <c r="AB385" i="16"/>
  <c r="AJ385" i="16"/>
  <c r="P386" i="16"/>
  <c r="T386" i="16"/>
  <c r="X386" i="16"/>
  <c r="AB386" i="16"/>
  <c r="AJ386" i="16"/>
  <c r="P387" i="16"/>
  <c r="T387" i="16"/>
  <c r="X387" i="16"/>
  <c r="AB387" i="16"/>
  <c r="AJ387" i="16"/>
  <c r="P388" i="16"/>
  <c r="T388" i="16"/>
  <c r="X388" i="16"/>
  <c r="Y388" i="16" s="1"/>
  <c r="AB388" i="16"/>
  <c r="AJ388" i="16"/>
  <c r="P389" i="16"/>
  <c r="T389" i="16"/>
  <c r="X389" i="16"/>
  <c r="Y389" i="16" s="1"/>
  <c r="AB389" i="16"/>
  <c r="AJ389" i="16"/>
  <c r="P390" i="16"/>
  <c r="T390" i="16"/>
  <c r="X390" i="16"/>
  <c r="AB390" i="16"/>
  <c r="AJ390" i="16"/>
  <c r="P391" i="16"/>
  <c r="T391" i="16"/>
  <c r="X391" i="16"/>
  <c r="Y391" i="16" s="1"/>
  <c r="AB391" i="16"/>
  <c r="AJ391" i="16"/>
  <c r="P392" i="16"/>
  <c r="T392" i="16"/>
  <c r="X392" i="16"/>
  <c r="Y392" i="16" s="1"/>
  <c r="AB392" i="16"/>
  <c r="AJ392" i="16"/>
  <c r="P393" i="16"/>
  <c r="T393" i="16"/>
  <c r="X393" i="16"/>
  <c r="Y393" i="16" s="1"/>
  <c r="AB393" i="16"/>
  <c r="AJ393" i="16"/>
  <c r="P394" i="16"/>
  <c r="T394" i="16"/>
  <c r="X394" i="16"/>
  <c r="AB394" i="16"/>
  <c r="AJ394" i="16"/>
  <c r="P395" i="16"/>
  <c r="T395" i="16"/>
  <c r="X395" i="16"/>
  <c r="AB395" i="16"/>
  <c r="AJ395" i="16"/>
  <c r="P396" i="16"/>
  <c r="T396" i="16"/>
  <c r="X396" i="16"/>
  <c r="Y396" i="16" s="1"/>
  <c r="AB396" i="16"/>
  <c r="AJ396" i="16"/>
  <c r="P397" i="16"/>
  <c r="T397" i="16"/>
  <c r="X397" i="16"/>
  <c r="Y397" i="16" s="1"/>
  <c r="AB397" i="16"/>
  <c r="AJ397" i="16"/>
  <c r="P398" i="16"/>
  <c r="T398" i="16"/>
  <c r="X398" i="16"/>
  <c r="AB398" i="16"/>
  <c r="AJ398" i="16"/>
  <c r="P399" i="16"/>
  <c r="T399" i="16"/>
  <c r="X399" i="16"/>
  <c r="Y399" i="16" s="1"/>
  <c r="AB399" i="16"/>
  <c r="AJ399" i="16"/>
  <c r="P400" i="16"/>
  <c r="T400" i="16"/>
  <c r="X400" i="16"/>
  <c r="Y400" i="16" s="1"/>
  <c r="AB400" i="16"/>
  <c r="AJ400" i="16"/>
  <c r="P401" i="16"/>
  <c r="T401" i="16"/>
  <c r="X401" i="16"/>
  <c r="Y401" i="16" s="1"/>
  <c r="AB401" i="16"/>
  <c r="AJ401" i="16"/>
  <c r="P402" i="16"/>
  <c r="T402" i="16"/>
  <c r="X402" i="16"/>
  <c r="AB402" i="16"/>
  <c r="AJ402" i="16"/>
  <c r="P403" i="16"/>
  <c r="T403" i="16"/>
  <c r="X403" i="16"/>
  <c r="AB403" i="16"/>
  <c r="AJ403" i="16"/>
  <c r="P404" i="16"/>
  <c r="T404" i="16"/>
  <c r="X404" i="16"/>
  <c r="Y404" i="16" s="1"/>
  <c r="AB404" i="16"/>
  <c r="AJ404" i="16"/>
  <c r="P405" i="16"/>
  <c r="T405" i="16"/>
  <c r="X405" i="16"/>
  <c r="Y405" i="16" s="1"/>
  <c r="AB405" i="16"/>
  <c r="AJ405" i="16"/>
  <c r="P406" i="16"/>
  <c r="T406" i="16"/>
  <c r="X406" i="16"/>
  <c r="AB406" i="16"/>
  <c r="AJ406" i="16"/>
  <c r="P407" i="16"/>
  <c r="T407" i="16"/>
  <c r="X407" i="16"/>
  <c r="Y407" i="16" s="1"/>
  <c r="AB407" i="16"/>
  <c r="AJ407" i="16"/>
  <c r="P408" i="16"/>
  <c r="T408" i="16"/>
  <c r="X408" i="16"/>
  <c r="Y408" i="16" s="1"/>
  <c r="AB408" i="16"/>
  <c r="AJ408" i="16"/>
  <c r="P409" i="16"/>
  <c r="T409" i="16"/>
  <c r="X409" i="16"/>
  <c r="Y409" i="16" s="1"/>
  <c r="AB409" i="16"/>
  <c r="AJ409" i="16"/>
  <c r="P410" i="16"/>
  <c r="T410" i="16"/>
  <c r="X410" i="16"/>
  <c r="AB410" i="16"/>
  <c r="AJ410" i="16"/>
  <c r="P411" i="16"/>
  <c r="T411" i="16"/>
  <c r="X411" i="16"/>
  <c r="AB411" i="16"/>
  <c r="AJ411" i="16"/>
  <c r="P412" i="16"/>
  <c r="T412" i="16"/>
  <c r="X412" i="16"/>
  <c r="Y412" i="16" s="1"/>
  <c r="AB412" i="16"/>
  <c r="AJ412" i="16"/>
  <c r="P413" i="16"/>
  <c r="T413" i="16"/>
  <c r="X413" i="16"/>
  <c r="Y413" i="16" s="1"/>
  <c r="AB413" i="16"/>
  <c r="AJ413" i="16"/>
  <c r="P414" i="16"/>
  <c r="T414" i="16"/>
  <c r="X414" i="16"/>
  <c r="AB414" i="16"/>
  <c r="AJ414" i="16"/>
  <c r="P415" i="16"/>
  <c r="T415" i="16"/>
  <c r="X415" i="16"/>
  <c r="Y415" i="16" s="1"/>
  <c r="AB415" i="16"/>
  <c r="AJ415" i="16"/>
  <c r="P416" i="16"/>
  <c r="T416" i="16"/>
  <c r="X416" i="16"/>
  <c r="Y416" i="16" s="1"/>
  <c r="AB416" i="16"/>
  <c r="AJ416" i="16"/>
  <c r="P417" i="16"/>
  <c r="T417" i="16"/>
  <c r="X417" i="16"/>
  <c r="Y417" i="16" s="1"/>
  <c r="AB417" i="16"/>
  <c r="AJ417" i="16"/>
  <c r="P418" i="16"/>
  <c r="T418" i="16"/>
  <c r="X418" i="16"/>
  <c r="AB418" i="16"/>
  <c r="AJ418" i="16"/>
  <c r="P419" i="16"/>
  <c r="T419" i="16"/>
  <c r="X419" i="16"/>
  <c r="AB419" i="16"/>
  <c r="AJ419" i="16"/>
  <c r="P420" i="16"/>
  <c r="T420" i="16"/>
  <c r="X420" i="16"/>
  <c r="Y420" i="16" s="1"/>
  <c r="AB420" i="16"/>
  <c r="AJ420" i="16"/>
  <c r="P421" i="16"/>
  <c r="T421" i="16"/>
  <c r="X421" i="16"/>
  <c r="Y421" i="16" s="1"/>
  <c r="AB421" i="16"/>
  <c r="AJ421" i="16"/>
  <c r="P422" i="16"/>
  <c r="T422" i="16"/>
  <c r="X422" i="16"/>
  <c r="AB422" i="16"/>
  <c r="AJ422" i="16"/>
  <c r="P423" i="16"/>
  <c r="T423" i="16"/>
  <c r="X423" i="16"/>
  <c r="Y423" i="16" s="1"/>
  <c r="AB423" i="16"/>
  <c r="AJ423" i="16"/>
  <c r="P424" i="16"/>
  <c r="T424" i="16"/>
  <c r="X424" i="16"/>
  <c r="Y424" i="16" s="1"/>
  <c r="AB424" i="16"/>
  <c r="AJ424" i="16"/>
  <c r="P425" i="16"/>
  <c r="T425" i="16"/>
  <c r="X425" i="16"/>
  <c r="Y425" i="16" s="1"/>
  <c r="AB425" i="16"/>
  <c r="AJ425" i="16"/>
  <c r="P426" i="16"/>
  <c r="T426" i="16"/>
  <c r="X426" i="16"/>
  <c r="AB426" i="16"/>
  <c r="AJ426" i="16"/>
  <c r="P427" i="16"/>
  <c r="T427" i="16"/>
  <c r="X427" i="16"/>
  <c r="AB427" i="16"/>
  <c r="AJ427" i="16"/>
  <c r="P428" i="16"/>
  <c r="T428" i="16"/>
  <c r="X428" i="16"/>
  <c r="Y428" i="16" s="1"/>
  <c r="AB428" i="16"/>
  <c r="AJ428" i="16"/>
  <c r="P429" i="16"/>
  <c r="T429" i="16"/>
  <c r="X429" i="16"/>
  <c r="Y429" i="16" s="1"/>
  <c r="AB429" i="16"/>
  <c r="AJ429" i="16"/>
  <c r="P430" i="16"/>
  <c r="T430" i="16"/>
  <c r="X430" i="16"/>
  <c r="AB430" i="16"/>
  <c r="AJ430" i="16"/>
  <c r="P431" i="16"/>
  <c r="T431" i="16"/>
  <c r="X431" i="16"/>
  <c r="Y431" i="16" s="1"/>
  <c r="AB431" i="16"/>
  <c r="AJ431" i="16"/>
  <c r="P432" i="16"/>
  <c r="T432" i="16"/>
  <c r="X432" i="16"/>
  <c r="Y432" i="16" s="1"/>
  <c r="AB432" i="16"/>
  <c r="AJ432" i="16"/>
  <c r="P433" i="16"/>
  <c r="T433" i="16"/>
  <c r="X433" i="16"/>
  <c r="Y433" i="16" s="1"/>
  <c r="AB433" i="16"/>
  <c r="AJ433" i="16"/>
  <c r="P434" i="16"/>
  <c r="T434" i="16"/>
  <c r="X434" i="16"/>
  <c r="AB434" i="16"/>
  <c r="AJ434" i="16"/>
  <c r="P435" i="16"/>
  <c r="T435" i="16"/>
  <c r="X435" i="16"/>
  <c r="AB435" i="16"/>
  <c r="AJ435" i="16"/>
  <c r="P436" i="16"/>
  <c r="T436" i="16"/>
  <c r="X436" i="16"/>
  <c r="Y436" i="16" s="1"/>
  <c r="AB436" i="16"/>
  <c r="AJ436" i="16"/>
  <c r="P437" i="16"/>
  <c r="T437" i="16"/>
  <c r="X437" i="16"/>
  <c r="Y437" i="16" s="1"/>
  <c r="AB437" i="16"/>
  <c r="AJ437" i="16"/>
  <c r="P438" i="16"/>
  <c r="T438" i="16"/>
  <c r="X438" i="16"/>
  <c r="AB438" i="16"/>
  <c r="AJ438" i="16"/>
  <c r="P439" i="16"/>
  <c r="T439" i="16"/>
  <c r="X439" i="16"/>
  <c r="Y439" i="16" s="1"/>
  <c r="AB439" i="16"/>
  <c r="AJ439" i="16"/>
  <c r="P440" i="16"/>
  <c r="T440" i="16"/>
  <c r="X440" i="16"/>
  <c r="Y440" i="16" s="1"/>
  <c r="AB440" i="16"/>
  <c r="AJ440" i="16"/>
  <c r="P441" i="16"/>
  <c r="T441" i="16"/>
  <c r="X441" i="16"/>
  <c r="Y441" i="16" s="1"/>
  <c r="AB441" i="16"/>
  <c r="AJ441" i="16"/>
  <c r="P442" i="16"/>
  <c r="T442" i="16"/>
  <c r="X442" i="16"/>
  <c r="AB442" i="16"/>
  <c r="AJ442" i="16"/>
  <c r="P443" i="16"/>
  <c r="T443" i="16"/>
  <c r="X443" i="16"/>
  <c r="AB443" i="16"/>
  <c r="AJ443" i="16"/>
  <c r="P444" i="16"/>
  <c r="T444" i="16"/>
  <c r="X444" i="16"/>
  <c r="Y444" i="16" s="1"/>
  <c r="AB444" i="16"/>
  <c r="AJ444" i="16"/>
  <c r="P445" i="16"/>
  <c r="T445" i="16"/>
  <c r="X445" i="16"/>
  <c r="Y445" i="16" s="1"/>
  <c r="AB445" i="16"/>
  <c r="AJ445" i="16"/>
  <c r="P446" i="16"/>
  <c r="T446" i="16"/>
  <c r="X446" i="16"/>
  <c r="AB446" i="16"/>
  <c r="AJ446" i="16"/>
  <c r="P447" i="16"/>
  <c r="T447" i="16"/>
  <c r="X447" i="16"/>
  <c r="Y447" i="16" s="1"/>
  <c r="AB447" i="16"/>
  <c r="AJ447" i="16"/>
  <c r="P448" i="16"/>
  <c r="T448" i="16"/>
  <c r="X448" i="16"/>
  <c r="Y448" i="16" s="1"/>
  <c r="AB448" i="16"/>
  <c r="AJ448" i="16"/>
  <c r="P449" i="16"/>
  <c r="T449" i="16"/>
  <c r="X449" i="16"/>
  <c r="Y449" i="16" s="1"/>
  <c r="AB449" i="16"/>
  <c r="AJ449" i="16"/>
  <c r="P450" i="16"/>
  <c r="T450" i="16"/>
  <c r="X450" i="16"/>
  <c r="AB450" i="16"/>
  <c r="AJ450" i="16"/>
  <c r="P451" i="16"/>
  <c r="T451" i="16"/>
  <c r="X451" i="16"/>
  <c r="AB451" i="16"/>
  <c r="AJ451" i="16"/>
  <c r="P452" i="16"/>
  <c r="T452" i="16"/>
  <c r="X452" i="16"/>
  <c r="Y452" i="16" s="1"/>
  <c r="AB452" i="16"/>
  <c r="AJ452" i="16"/>
  <c r="P453" i="16"/>
  <c r="T453" i="16"/>
  <c r="X453" i="16"/>
  <c r="Y453" i="16" s="1"/>
  <c r="AB453" i="16"/>
  <c r="AJ453" i="16"/>
  <c r="P454" i="16"/>
  <c r="T454" i="16"/>
  <c r="X454" i="16"/>
  <c r="AB454" i="16"/>
  <c r="AJ454" i="16"/>
  <c r="P455" i="16"/>
  <c r="T455" i="16"/>
  <c r="X455" i="16"/>
  <c r="Y455" i="16" s="1"/>
  <c r="AB455" i="16"/>
  <c r="AJ455" i="16"/>
  <c r="P456" i="16"/>
  <c r="T456" i="16"/>
  <c r="X456" i="16"/>
  <c r="Y456" i="16" s="1"/>
  <c r="AB456" i="16"/>
  <c r="AJ456" i="16"/>
  <c r="P457" i="16"/>
  <c r="T457" i="16"/>
  <c r="X457" i="16"/>
  <c r="Y457" i="16" s="1"/>
  <c r="AB457" i="16"/>
  <c r="AJ457" i="16"/>
  <c r="P458" i="16"/>
  <c r="T458" i="16"/>
  <c r="X458" i="16"/>
  <c r="AB458" i="16"/>
  <c r="AJ458" i="16"/>
  <c r="P459" i="16"/>
  <c r="T459" i="16"/>
  <c r="X459" i="16"/>
  <c r="AB459" i="16"/>
  <c r="AJ459" i="16"/>
  <c r="P460" i="16"/>
  <c r="T460" i="16"/>
  <c r="X460" i="16"/>
  <c r="Y460" i="16" s="1"/>
  <c r="AB460" i="16"/>
  <c r="AJ460" i="16"/>
  <c r="P461" i="16"/>
  <c r="T461" i="16"/>
  <c r="X461" i="16"/>
  <c r="Y461" i="16" s="1"/>
  <c r="AB461" i="16"/>
  <c r="AJ461" i="16"/>
  <c r="P462" i="16"/>
  <c r="T462" i="16"/>
  <c r="X462" i="16"/>
  <c r="AB462" i="16"/>
  <c r="AJ462" i="16"/>
  <c r="P463" i="16"/>
  <c r="T463" i="16"/>
  <c r="X463" i="16"/>
  <c r="Y463" i="16" s="1"/>
  <c r="AB463" i="16"/>
  <c r="AJ463" i="16"/>
  <c r="P464" i="16"/>
  <c r="T464" i="16"/>
  <c r="X464" i="16"/>
  <c r="Y464" i="16" s="1"/>
  <c r="AB464" i="16"/>
  <c r="AJ464" i="16"/>
  <c r="P465" i="16"/>
  <c r="T465" i="16"/>
  <c r="X465" i="16"/>
  <c r="Y465" i="16" s="1"/>
  <c r="AB465" i="16"/>
  <c r="AJ465" i="16"/>
  <c r="P466" i="16"/>
  <c r="T466" i="16"/>
  <c r="X466" i="16"/>
  <c r="AB466" i="16"/>
  <c r="AJ466" i="16"/>
  <c r="P467" i="16"/>
  <c r="T467" i="16"/>
  <c r="X467" i="16"/>
  <c r="AB467" i="16"/>
  <c r="AJ467" i="16"/>
  <c r="P468" i="16"/>
  <c r="T468" i="16"/>
  <c r="X468" i="16"/>
  <c r="Y468" i="16" s="1"/>
  <c r="AB468" i="16"/>
  <c r="AJ468" i="16"/>
  <c r="P469" i="16"/>
  <c r="T469" i="16"/>
  <c r="X469" i="16"/>
  <c r="Y469" i="16" s="1"/>
  <c r="AB469" i="16"/>
  <c r="AJ469" i="16"/>
  <c r="P470" i="16"/>
  <c r="T470" i="16"/>
  <c r="X470" i="16"/>
  <c r="AB470" i="16"/>
  <c r="AJ470" i="16"/>
  <c r="P471" i="16"/>
  <c r="T471" i="16"/>
  <c r="X471" i="16"/>
  <c r="Y471" i="16" s="1"/>
  <c r="AB471" i="16"/>
  <c r="AJ471" i="16"/>
  <c r="P472" i="16"/>
  <c r="T472" i="16"/>
  <c r="X472" i="16"/>
  <c r="Y472" i="16" s="1"/>
  <c r="AB472" i="16"/>
  <c r="AJ472" i="16"/>
  <c r="P473" i="16"/>
  <c r="T473" i="16"/>
  <c r="X473" i="16"/>
  <c r="Y473" i="16" s="1"/>
  <c r="AB473" i="16"/>
  <c r="AJ473" i="16"/>
  <c r="P474" i="16"/>
  <c r="T474" i="16"/>
  <c r="X474" i="16"/>
  <c r="AB474" i="16"/>
  <c r="AJ474" i="16"/>
  <c r="P475" i="16"/>
  <c r="T475" i="16"/>
  <c r="X475" i="16"/>
  <c r="AB475" i="16"/>
  <c r="AJ475" i="16"/>
  <c r="P476" i="16"/>
  <c r="T476" i="16"/>
  <c r="X476" i="16"/>
  <c r="Y476" i="16" s="1"/>
  <c r="AB476" i="16"/>
  <c r="AJ476" i="16"/>
  <c r="P477" i="16"/>
  <c r="T477" i="16"/>
  <c r="X477" i="16"/>
  <c r="Y477" i="16" s="1"/>
  <c r="AB477" i="16"/>
  <c r="AJ477" i="16"/>
  <c r="P478" i="16"/>
  <c r="T478" i="16"/>
  <c r="X478" i="16"/>
  <c r="AB478" i="16"/>
  <c r="AJ478" i="16"/>
  <c r="P479" i="16"/>
  <c r="T479" i="16"/>
  <c r="X479" i="16"/>
  <c r="Y479" i="16" s="1"/>
  <c r="AB479" i="16"/>
  <c r="AJ479" i="16"/>
  <c r="P480" i="16"/>
  <c r="T480" i="16"/>
  <c r="X480" i="16"/>
  <c r="Y480" i="16" s="1"/>
  <c r="AB480" i="16"/>
  <c r="AJ480" i="16"/>
  <c r="P481" i="16"/>
  <c r="T481" i="16"/>
  <c r="X481" i="16"/>
  <c r="Y481" i="16" s="1"/>
  <c r="AB481" i="16"/>
  <c r="AJ481" i="16"/>
  <c r="P482" i="16"/>
  <c r="T482" i="16"/>
  <c r="X482" i="16"/>
  <c r="AB482" i="16"/>
  <c r="AJ482" i="16"/>
  <c r="P483" i="16"/>
  <c r="T483" i="16"/>
  <c r="X483" i="16"/>
  <c r="AB483" i="16"/>
  <c r="AJ483" i="16"/>
  <c r="P484" i="16"/>
  <c r="T484" i="16"/>
  <c r="X484" i="16"/>
  <c r="Y484" i="16" s="1"/>
  <c r="AB484" i="16"/>
  <c r="AJ484" i="16"/>
  <c r="P485" i="16"/>
  <c r="T485" i="16"/>
  <c r="X485" i="16"/>
  <c r="Y485" i="16" s="1"/>
  <c r="AB485" i="16"/>
  <c r="AJ485" i="16"/>
  <c r="P486" i="16"/>
  <c r="T486" i="16"/>
  <c r="X486" i="16"/>
  <c r="AB486" i="16"/>
  <c r="AJ486" i="16"/>
  <c r="P487" i="16"/>
  <c r="T487" i="16"/>
  <c r="X487" i="16"/>
  <c r="Y487" i="16" s="1"/>
  <c r="AB487" i="16"/>
  <c r="AJ487" i="16"/>
  <c r="P488" i="16"/>
  <c r="T488" i="16"/>
  <c r="X488" i="16"/>
  <c r="Y488" i="16" s="1"/>
  <c r="AB488" i="16"/>
  <c r="AJ488" i="16"/>
  <c r="P489" i="16"/>
  <c r="T489" i="16"/>
  <c r="X489" i="16"/>
  <c r="Y489" i="16" s="1"/>
  <c r="AB489" i="16"/>
  <c r="AJ489" i="16"/>
  <c r="P490" i="16"/>
  <c r="T490" i="16"/>
  <c r="X490" i="16"/>
  <c r="AB490" i="16"/>
  <c r="AJ490" i="16"/>
  <c r="P491" i="16"/>
  <c r="T491" i="16"/>
  <c r="X491" i="16"/>
  <c r="AB491" i="16"/>
  <c r="AJ491" i="16"/>
  <c r="P492" i="16"/>
  <c r="T492" i="16"/>
  <c r="X492" i="16"/>
  <c r="Y492" i="16" s="1"/>
  <c r="AB492" i="16"/>
  <c r="AJ492" i="16"/>
  <c r="P493" i="16"/>
  <c r="T493" i="16"/>
  <c r="X493" i="16"/>
  <c r="Y493" i="16" s="1"/>
  <c r="AB493" i="16"/>
  <c r="AJ493" i="16"/>
  <c r="P494" i="16"/>
  <c r="T494" i="16"/>
  <c r="X494" i="16"/>
  <c r="AB494" i="16"/>
  <c r="AJ494" i="16"/>
  <c r="P495" i="16"/>
  <c r="T495" i="16"/>
  <c r="X495" i="16"/>
  <c r="Y495" i="16" s="1"/>
  <c r="AB495" i="16"/>
  <c r="AJ495" i="16"/>
  <c r="P496" i="16"/>
  <c r="T496" i="16"/>
  <c r="X496" i="16"/>
  <c r="Y496" i="16" s="1"/>
  <c r="AB496" i="16"/>
  <c r="AJ496" i="16"/>
  <c r="P497" i="16"/>
  <c r="T497" i="16"/>
  <c r="X497" i="16"/>
  <c r="Y497" i="16" s="1"/>
  <c r="AB497" i="16"/>
  <c r="AJ497" i="16"/>
  <c r="P498" i="16"/>
  <c r="T498" i="16"/>
  <c r="X498" i="16"/>
  <c r="AB498" i="16"/>
  <c r="AJ498" i="16"/>
  <c r="P499" i="16"/>
  <c r="T499" i="16"/>
  <c r="X499" i="16"/>
  <c r="AB499" i="16"/>
  <c r="AJ499" i="16"/>
  <c r="P500" i="16"/>
  <c r="T500" i="16"/>
  <c r="X500" i="16"/>
  <c r="Y500" i="16" s="1"/>
  <c r="AB500" i="16"/>
  <c r="AJ500" i="16"/>
  <c r="P501" i="16"/>
  <c r="T501" i="16"/>
  <c r="X501" i="16"/>
  <c r="Y501" i="16" s="1"/>
  <c r="AB501" i="16"/>
  <c r="AJ501" i="16"/>
  <c r="P4" i="17"/>
  <c r="T4" i="17"/>
  <c r="X4" i="17"/>
  <c r="AB4" i="17"/>
  <c r="AJ4" i="17"/>
  <c r="AI6" i="17"/>
  <c r="AA6" i="17"/>
  <c r="AG6" i="17" s="1"/>
  <c r="W6" i="17"/>
  <c r="AD6" i="17" s="1"/>
  <c r="S6" i="17"/>
  <c r="O6" i="17"/>
  <c r="K6" i="17"/>
  <c r="Q6" i="17"/>
  <c r="V6" i="17"/>
  <c r="AB6" i="17" s="1"/>
  <c r="AL6" i="17"/>
  <c r="Q208" i="17"/>
  <c r="AL208" i="17"/>
  <c r="AI212" i="17"/>
  <c r="W212" i="17"/>
  <c r="AD212" i="17" s="1"/>
  <c r="S212" i="17"/>
  <c r="O212" i="17"/>
  <c r="K212" i="17"/>
  <c r="AK212" i="17"/>
  <c r="Z212" i="17"/>
  <c r="AA212" i="17" s="1"/>
  <c r="AG212" i="17" s="1"/>
  <c r="U212" i="17"/>
  <c r="AF212" i="17" s="1"/>
  <c r="P212" i="17"/>
  <c r="AJ212" i="17"/>
  <c r="Y212" i="17"/>
  <c r="T212" i="17"/>
  <c r="N212" i="17"/>
  <c r="AH212" i="17"/>
  <c r="AC212" i="17"/>
  <c r="AE212" i="17" s="1"/>
  <c r="X212" i="17"/>
  <c r="R212" i="17"/>
  <c r="M212" i="17"/>
  <c r="AJ220" i="17"/>
  <c r="AB220" i="17"/>
  <c r="AI220" i="17"/>
  <c r="AA220" i="17"/>
  <c r="AG220" i="17" s="1"/>
  <c r="W220" i="17"/>
  <c r="AD220" i="17" s="1"/>
  <c r="S220" i="17"/>
  <c r="O220" i="17"/>
  <c r="K220" i="17"/>
  <c r="AH220" i="17"/>
  <c r="Z220" i="17"/>
  <c r="U220" i="17"/>
  <c r="AF220" i="17" s="1"/>
  <c r="P220" i="17"/>
  <c r="T220" i="17"/>
  <c r="N220" i="17"/>
  <c r="AL220" i="17"/>
  <c r="X220" i="17"/>
  <c r="Y220" i="17" s="1"/>
  <c r="R220" i="17"/>
  <c r="M220" i="17"/>
  <c r="AK220" i="17"/>
  <c r="AI290" i="17"/>
  <c r="W290" i="17"/>
  <c r="AD290" i="17" s="1"/>
  <c r="S290" i="17"/>
  <c r="O290" i="17"/>
  <c r="K290" i="17"/>
  <c r="AK290" i="17"/>
  <c r="AC290" i="17"/>
  <c r="AE290" i="17" s="1"/>
  <c r="Y290" i="17"/>
  <c r="U290" i="17"/>
  <c r="AF290" i="17" s="1"/>
  <c r="Q290" i="17"/>
  <c r="M290" i="17"/>
  <c r="AH290" i="17"/>
  <c r="Z290" i="17"/>
  <c r="AA290" i="17" s="1"/>
  <c r="AG290" i="17" s="1"/>
  <c r="R290" i="17"/>
  <c r="X290" i="17"/>
  <c r="P290" i="17"/>
  <c r="AL290" i="17"/>
  <c r="V290" i="17"/>
  <c r="AJ290" i="17"/>
  <c r="T290" i="17"/>
  <c r="AB290" i="17"/>
  <c r="N290" i="17"/>
  <c r="M377" i="16"/>
  <c r="Q377" i="16"/>
  <c r="U377" i="16"/>
  <c r="AF377" i="16" s="1"/>
  <c r="AC377" i="16"/>
  <c r="AE377" i="16" s="1"/>
  <c r="M378" i="16"/>
  <c r="Q378" i="16"/>
  <c r="U378" i="16"/>
  <c r="AF378" i="16" s="1"/>
  <c r="Y378" i="16"/>
  <c r="AC378" i="16"/>
  <c r="AE378" i="16" s="1"/>
  <c r="M379" i="16"/>
  <c r="Q379" i="16"/>
  <c r="U379" i="16"/>
  <c r="AF379" i="16" s="1"/>
  <c r="Y379" i="16"/>
  <c r="AC379" i="16"/>
  <c r="AE379" i="16" s="1"/>
  <c r="M380" i="16"/>
  <c r="Q380" i="16"/>
  <c r="U380" i="16"/>
  <c r="AF380" i="16" s="1"/>
  <c r="AC380" i="16"/>
  <c r="AE380" i="16" s="1"/>
  <c r="M381" i="16"/>
  <c r="Q381" i="16"/>
  <c r="U381" i="16"/>
  <c r="AF381" i="16" s="1"/>
  <c r="AC381" i="16"/>
  <c r="AE381" i="16" s="1"/>
  <c r="M382" i="16"/>
  <c r="Q382" i="16"/>
  <c r="U382" i="16"/>
  <c r="AF382" i="16" s="1"/>
  <c r="Y382" i="16"/>
  <c r="AC382" i="16"/>
  <c r="AE382" i="16" s="1"/>
  <c r="M383" i="16"/>
  <c r="Q383" i="16"/>
  <c r="U383" i="16"/>
  <c r="AF383" i="16" s="1"/>
  <c r="AC383" i="16"/>
  <c r="AE383" i="16" s="1"/>
  <c r="M384" i="16"/>
  <c r="Q384" i="16"/>
  <c r="U384" i="16"/>
  <c r="AF384" i="16" s="1"/>
  <c r="AC384" i="16"/>
  <c r="AE384" i="16" s="1"/>
  <c r="M385" i="16"/>
  <c r="Q385" i="16"/>
  <c r="U385" i="16"/>
  <c r="AF385" i="16" s="1"/>
  <c r="AC385" i="16"/>
  <c r="AE385" i="16" s="1"/>
  <c r="M386" i="16"/>
  <c r="Q386" i="16"/>
  <c r="U386" i="16"/>
  <c r="AF386" i="16" s="1"/>
  <c r="Y386" i="16"/>
  <c r="AC386" i="16"/>
  <c r="AE386" i="16" s="1"/>
  <c r="M387" i="16"/>
  <c r="Q387" i="16"/>
  <c r="U387" i="16"/>
  <c r="AF387" i="16" s="1"/>
  <c r="Y387" i="16"/>
  <c r="AC387" i="16"/>
  <c r="AE387" i="16" s="1"/>
  <c r="M388" i="16"/>
  <c r="Q388" i="16"/>
  <c r="U388" i="16"/>
  <c r="AF388" i="16" s="1"/>
  <c r="AC388" i="16"/>
  <c r="AE388" i="16" s="1"/>
  <c r="M389" i="16"/>
  <c r="Q389" i="16"/>
  <c r="U389" i="16"/>
  <c r="AF389" i="16" s="1"/>
  <c r="AC389" i="16"/>
  <c r="AE389" i="16" s="1"/>
  <c r="M390" i="16"/>
  <c r="Q390" i="16"/>
  <c r="U390" i="16"/>
  <c r="AF390" i="16" s="1"/>
  <c r="Y390" i="16"/>
  <c r="AC390" i="16"/>
  <c r="AE390" i="16" s="1"/>
  <c r="M391" i="16"/>
  <c r="Q391" i="16"/>
  <c r="U391" i="16"/>
  <c r="AF391" i="16" s="1"/>
  <c r="AC391" i="16"/>
  <c r="AE391" i="16" s="1"/>
  <c r="M392" i="16"/>
  <c r="Q392" i="16"/>
  <c r="U392" i="16"/>
  <c r="AF392" i="16" s="1"/>
  <c r="AC392" i="16"/>
  <c r="AE392" i="16" s="1"/>
  <c r="M393" i="16"/>
  <c r="Q393" i="16"/>
  <c r="U393" i="16"/>
  <c r="AF393" i="16" s="1"/>
  <c r="AC393" i="16"/>
  <c r="AE393" i="16" s="1"/>
  <c r="M394" i="16"/>
  <c r="Q394" i="16"/>
  <c r="U394" i="16"/>
  <c r="AF394" i="16" s="1"/>
  <c r="Y394" i="16"/>
  <c r="AC394" i="16"/>
  <c r="AE394" i="16" s="1"/>
  <c r="M395" i="16"/>
  <c r="Q395" i="16"/>
  <c r="U395" i="16"/>
  <c r="AF395" i="16" s="1"/>
  <c r="Y395" i="16"/>
  <c r="AC395" i="16"/>
  <c r="AE395" i="16" s="1"/>
  <c r="M396" i="16"/>
  <c r="Q396" i="16"/>
  <c r="U396" i="16"/>
  <c r="AF396" i="16" s="1"/>
  <c r="AC396" i="16"/>
  <c r="AE396" i="16" s="1"/>
  <c r="M397" i="16"/>
  <c r="Q397" i="16"/>
  <c r="U397" i="16"/>
  <c r="AF397" i="16" s="1"/>
  <c r="AC397" i="16"/>
  <c r="AE397" i="16" s="1"/>
  <c r="M398" i="16"/>
  <c r="Q398" i="16"/>
  <c r="U398" i="16"/>
  <c r="AF398" i="16" s="1"/>
  <c r="Y398" i="16"/>
  <c r="AC398" i="16"/>
  <c r="AE398" i="16" s="1"/>
  <c r="M399" i="16"/>
  <c r="Q399" i="16"/>
  <c r="U399" i="16"/>
  <c r="AF399" i="16" s="1"/>
  <c r="AC399" i="16"/>
  <c r="AE399" i="16" s="1"/>
  <c r="M400" i="16"/>
  <c r="Q400" i="16"/>
  <c r="U400" i="16"/>
  <c r="AF400" i="16" s="1"/>
  <c r="AC400" i="16"/>
  <c r="AE400" i="16" s="1"/>
  <c r="M401" i="16"/>
  <c r="Q401" i="16"/>
  <c r="U401" i="16"/>
  <c r="AF401" i="16" s="1"/>
  <c r="AC401" i="16"/>
  <c r="AE401" i="16" s="1"/>
  <c r="M402" i="16"/>
  <c r="Q402" i="16"/>
  <c r="U402" i="16"/>
  <c r="AF402" i="16" s="1"/>
  <c r="Y402" i="16"/>
  <c r="AC402" i="16"/>
  <c r="AE402" i="16" s="1"/>
  <c r="M403" i="16"/>
  <c r="Q403" i="16"/>
  <c r="U403" i="16"/>
  <c r="AF403" i="16" s="1"/>
  <c r="Y403" i="16"/>
  <c r="AC403" i="16"/>
  <c r="AE403" i="16" s="1"/>
  <c r="M404" i="16"/>
  <c r="Q404" i="16"/>
  <c r="U404" i="16"/>
  <c r="AF404" i="16" s="1"/>
  <c r="AC404" i="16"/>
  <c r="AE404" i="16" s="1"/>
  <c r="M405" i="16"/>
  <c r="Q405" i="16"/>
  <c r="U405" i="16"/>
  <c r="AF405" i="16" s="1"/>
  <c r="AC405" i="16"/>
  <c r="AE405" i="16" s="1"/>
  <c r="M406" i="16"/>
  <c r="Q406" i="16"/>
  <c r="U406" i="16"/>
  <c r="AF406" i="16" s="1"/>
  <c r="Y406" i="16"/>
  <c r="AC406" i="16"/>
  <c r="AE406" i="16" s="1"/>
  <c r="M407" i="16"/>
  <c r="Q407" i="16"/>
  <c r="U407" i="16"/>
  <c r="AF407" i="16" s="1"/>
  <c r="AC407" i="16"/>
  <c r="AE407" i="16" s="1"/>
  <c r="M408" i="16"/>
  <c r="Q408" i="16"/>
  <c r="U408" i="16"/>
  <c r="AF408" i="16" s="1"/>
  <c r="AC408" i="16"/>
  <c r="AE408" i="16" s="1"/>
  <c r="M409" i="16"/>
  <c r="Q409" i="16"/>
  <c r="U409" i="16"/>
  <c r="AF409" i="16" s="1"/>
  <c r="AC409" i="16"/>
  <c r="AE409" i="16" s="1"/>
  <c r="M410" i="16"/>
  <c r="Q410" i="16"/>
  <c r="U410" i="16"/>
  <c r="AF410" i="16" s="1"/>
  <c r="Y410" i="16"/>
  <c r="AC410" i="16"/>
  <c r="AE410" i="16" s="1"/>
  <c r="M411" i="16"/>
  <c r="Q411" i="16"/>
  <c r="U411" i="16"/>
  <c r="AF411" i="16" s="1"/>
  <c r="Y411" i="16"/>
  <c r="AC411" i="16"/>
  <c r="AE411" i="16" s="1"/>
  <c r="M412" i="16"/>
  <c r="Q412" i="16"/>
  <c r="U412" i="16"/>
  <c r="AF412" i="16" s="1"/>
  <c r="AC412" i="16"/>
  <c r="AE412" i="16" s="1"/>
  <c r="M413" i="16"/>
  <c r="Q413" i="16"/>
  <c r="U413" i="16"/>
  <c r="AF413" i="16" s="1"/>
  <c r="AC413" i="16"/>
  <c r="AE413" i="16" s="1"/>
  <c r="M414" i="16"/>
  <c r="Q414" i="16"/>
  <c r="U414" i="16"/>
  <c r="AF414" i="16" s="1"/>
  <c r="Y414" i="16"/>
  <c r="AC414" i="16"/>
  <c r="AE414" i="16" s="1"/>
  <c r="M415" i="16"/>
  <c r="Q415" i="16"/>
  <c r="U415" i="16"/>
  <c r="AF415" i="16" s="1"/>
  <c r="AC415" i="16"/>
  <c r="AE415" i="16" s="1"/>
  <c r="M416" i="16"/>
  <c r="Q416" i="16"/>
  <c r="U416" i="16"/>
  <c r="AF416" i="16" s="1"/>
  <c r="AC416" i="16"/>
  <c r="AE416" i="16" s="1"/>
  <c r="M417" i="16"/>
  <c r="Q417" i="16"/>
  <c r="U417" i="16"/>
  <c r="AF417" i="16" s="1"/>
  <c r="AC417" i="16"/>
  <c r="AE417" i="16" s="1"/>
  <c r="M418" i="16"/>
  <c r="Q418" i="16"/>
  <c r="U418" i="16"/>
  <c r="AF418" i="16" s="1"/>
  <c r="Y418" i="16"/>
  <c r="AC418" i="16"/>
  <c r="AE418" i="16" s="1"/>
  <c r="M419" i="16"/>
  <c r="Q419" i="16"/>
  <c r="U419" i="16"/>
  <c r="AF419" i="16" s="1"/>
  <c r="Y419" i="16"/>
  <c r="AC419" i="16"/>
  <c r="AE419" i="16" s="1"/>
  <c r="M420" i="16"/>
  <c r="Q420" i="16"/>
  <c r="U420" i="16"/>
  <c r="AF420" i="16" s="1"/>
  <c r="AC420" i="16"/>
  <c r="AE420" i="16" s="1"/>
  <c r="M421" i="16"/>
  <c r="Q421" i="16"/>
  <c r="U421" i="16"/>
  <c r="AF421" i="16" s="1"/>
  <c r="AC421" i="16"/>
  <c r="AE421" i="16" s="1"/>
  <c r="M422" i="16"/>
  <c r="Q422" i="16"/>
  <c r="U422" i="16"/>
  <c r="AF422" i="16" s="1"/>
  <c r="Y422" i="16"/>
  <c r="AC422" i="16"/>
  <c r="AE422" i="16" s="1"/>
  <c r="M423" i="16"/>
  <c r="Q423" i="16"/>
  <c r="U423" i="16"/>
  <c r="AF423" i="16" s="1"/>
  <c r="AC423" i="16"/>
  <c r="AE423" i="16" s="1"/>
  <c r="M424" i="16"/>
  <c r="Q424" i="16"/>
  <c r="U424" i="16"/>
  <c r="AF424" i="16" s="1"/>
  <c r="AC424" i="16"/>
  <c r="AE424" i="16" s="1"/>
  <c r="M425" i="16"/>
  <c r="Q425" i="16"/>
  <c r="U425" i="16"/>
  <c r="AF425" i="16" s="1"/>
  <c r="AC425" i="16"/>
  <c r="AE425" i="16" s="1"/>
  <c r="M426" i="16"/>
  <c r="Q426" i="16"/>
  <c r="U426" i="16"/>
  <c r="AF426" i="16" s="1"/>
  <c r="Y426" i="16"/>
  <c r="AC426" i="16"/>
  <c r="AE426" i="16" s="1"/>
  <c r="M427" i="16"/>
  <c r="Q427" i="16"/>
  <c r="U427" i="16"/>
  <c r="AF427" i="16" s="1"/>
  <c r="Y427" i="16"/>
  <c r="AC427" i="16"/>
  <c r="AE427" i="16" s="1"/>
  <c r="M428" i="16"/>
  <c r="Q428" i="16"/>
  <c r="U428" i="16"/>
  <c r="AF428" i="16" s="1"/>
  <c r="AC428" i="16"/>
  <c r="AE428" i="16" s="1"/>
  <c r="M429" i="16"/>
  <c r="Q429" i="16"/>
  <c r="U429" i="16"/>
  <c r="AF429" i="16" s="1"/>
  <c r="AC429" i="16"/>
  <c r="AE429" i="16" s="1"/>
  <c r="M430" i="16"/>
  <c r="Q430" i="16"/>
  <c r="U430" i="16"/>
  <c r="AF430" i="16" s="1"/>
  <c r="Y430" i="16"/>
  <c r="AC430" i="16"/>
  <c r="AE430" i="16" s="1"/>
  <c r="M431" i="16"/>
  <c r="Q431" i="16"/>
  <c r="U431" i="16"/>
  <c r="AF431" i="16" s="1"/>
  <c r="AC431" i="16"/>
  <c r="AE431" i="16" s="1"/>
  <c r="M432" i="16"/>
  <c r="Q432" i="16"/>
  <c r="U432" i="16"/>
  <c r="AF432" i="16" s="1"/>
  <c r="AC432" i="16"/>
  <c r="AE432" i="16" s="1"/>
  <c r="M433" i="16"/>
  <c r="Q433" i="16"/>
  <c r="U433" i="16"/>
  <c r="AF433" i="16" s="1"/>
  <c r="AC433" i="16"/>
  <c r="AE433" i="16" s="1"/>
  <c r="M434" i="16"/>
  <c r="Q434" i="16"/>
  <c r="U434" i="16"/>
  <c r="AF434" i="16" s="1"/>
  <c r="Y434" i="16"/>
  <c r="AC434" i="16"/>
  <c r="AE434" i="16" s="1"/>
  <c r="M435" i="16"/>
  <c r="Q435" i="16"/>
  <c r="U435" i="16"/>
  <c r="AF435" i="16" s="1"/>
  <c r="Y435" i="16"/>
  <c r="AC435" i="16"/>
  <c r="AE435" i="16" s="1"/>
  <c r="M436" i="16"/>
  <c r="Q436" i="16"/>
  <c r="U436" i="16"/>
  <c r="AF436" i="16" s="1"/>
  <c r="AC436" i="16"/>
  <c r="AE436" i="16" s="1"/>
  <c r="M437" i="16"/>
  <c r="Q437" i="16"/>
  <c r="U437" i="16"/>
  <c r="AF437" i="16" s="1"/>
  <c r="AC437" i="16"/>
  <c r="AE437" i="16" s="1"/>
  <c r="M438" i="16"/>
  <c r="Q438" i="16"/>
  <c r="U438" i="16"/>
  <c r="AF438" i="16" s="1"/>
  <c r="Y438" i="16"/>
  <c r="AC438" i="16"/>
  <c r="AE438" i="16" s="1"/>
  <c r="M439" i="16"/>
  <c r="Q439" i="16"/>
  <c r="U439" i="16"/>
  <c r="AF439" i="16" s="1"/>
  <c r="AC439" i="16"/>
  <c r="AE439" i="16" s="1"/>
  <c r="M440" i="16"/>
  <c r="Q440" i="16"/>
  <c r="U440" i="16"/>
  <c r="AF440" i="16" s="1"/>
  <c r="AC440" i="16"/>
  <c r="AE440" i="16" s="1"/>
  <c r="M441" i="16"/>
  <c r="Q441" i="16"/>
  <c r="U441" i="16"/>
  <c r="AF441" i="16" s="1"/>
  <c r="AC441" i="16"/>
  <c r="AE441" i="16" s="1"/>
  <c r="M442" i="16"/>
  <c r="Q442" i="16"/>
  <c r="U442" i="16"/>
  <c r="AF442" i="16" s="1"/>
  <c r="Y442" i="16"/>
  <c r="AC442" i="16"/>
  <c r="AE442" i="16" s="1"/>
  <c r="M443" i="16"/>
  <c r="Q443" i="16"/>
  <c r="U443" i="16"/>
  <c r="AF443" i="16" s="1"/>
  <c r="Y443" i="16"/>
  <c r="AC443" i="16"/>
  <c r="AE443" i="16" s="1"/>
  <c r="M444" i="16"/>
  <c r="Q444" i="16"/>
  <c r="U444" i="16"/>
  <c r="AF444" i="16" s="1"/>
  <c r="AC444" i="16"/>
  <c r="AE444" i="16" s="1"/>
  <c r="M445" i="16"/>
  <c r="Q445" i="16"/>
  <c r="U445" i="16"/>
  <c r="AF445" i="16" s="1"/>
  <c r="AC445" i="16"/>
  <c r="AE445" i="16" s="1"/>
  <c r="M446" i="16"/>
  <c r="Q446" i="16"/>
  <c r="U446" i="16"/>
  <c r="AF446" i="16" s="1"/>
  <c r="Y446" i="16"/>
  <c r="AC446" i="16"/>
  <c r="AE446" i="16" s="1"/>
  <c r="M447" i="16"/>
  <c r="Q447" i="16"/>
  <c r="U447" i="16"/>
  <c r="AF447" i="16" s="1"/>
  <c r="AC447" i="16"/>
  <c r="AE447" i="16" s="1"/>
  <c r="M448" i="16"/>
  <c r="Q448" i="16"/>
  <c r="U448" i="16"/>
  <c r="AF448" i="16" s="1"/>
  <c r="AC448" i="16"/>
  <c r="AE448" i="16" s="1"/>
  <c r="M449" i="16"/>
  <c r="Q449" i="16"/>
  <c r="U449" i="16"/>
  <c r="AF449" i="16" s="1"/>
  <c r="AC449" i="16"/>
  <c r="AE449" i="16" s="1"/>
  <c r="M450" i="16"/>
  <c r="Q450" i="16"/>
  <c r="U450" i="16"/>
  <c r="AF450" i="16" s="1"/>
  <c r="Y450" i="16"/>
  <c r="AC450" i="16"/>
  <c r="AE450" i="16" s="1"/>
  <c r="M451" i="16"/>
  <c r="Q451" i="16"/>
  <c r="U451" i="16"/>
  <c r="AF451" i="16" s="1"/>
  <c r="Y451" i="16"/>
  <c r="AC451" i="16"/>
  <c r="AE451" i="16" s="1"/>
  <c r="M452" i="16"/>
  <c r="Q452" i="16"/>
  <c r="U452" i="16"/>
  <c r="AF452" i="16" s="1"/>
  <c r="AC452" i="16"/>
  <c r="AE452" i="16" s="1"/>
  <c r="M453" i="16"/>
  <c r="Q453" i="16"/>
  <c r="U453" i="16"/>
  <c r="AF453" i="16" s="1"/>
  <c r="AC453" i="16"/>
  <c r="AE453" i="16" s="1"/>
  <c r="M454" i="16"/>
  <c r="Q454" i="16"/>
  <c r="U454" i="16"/>
  <c r="AF454" i="16" s="1"/>
  <c r="Y454" i="16"/>
  <c r="AC454" i="16"/>
  <c r="AE454" i="16" s="1"/>
  <c r="M455" i="16"/>
  <c r="Q455" i="16"/>
  <c r="U455" i="16"/>
  <c r="AF455" i="16" s="1"/>
  <c r="AC455" i="16"/>
  <c r="AE455" i="16" s="1"/>
  <c r="M456" i="16"/>
  <c r="Q456" i="16"/>
  <c r="U456" i="16"/>
  <c r="AF456" i="16" s="1"/>
  <c r="AC456" i="16"/>
  <c r="AE456" i="16" s="1"/>
  <c r="M457" i="16"/>
  <c r="Q457" i="16"/>
  <c r="U457" i="16"/>
  <c r="AF457" i="16" s="1"/>
  <c r="AC457" i="16"/>
  <c r="AE457" i="16" s="1"/>
  <c r="M458" i="16"/>
  <c r="Q458" i="16"/>
  <c r="U458" i="16"/>
  <c r="AF458" i="16" s="1"/>
  <c r="Y458" i="16"/>
  <c r="AC458" i="16"/>
  <c r="AE458" i="16" s="1"/>
  <c r="M459" i="16"/>
  <c r="Q459" i="16"/>
  <c r="U459" i="16"/>
  <c r="AF459" i="16" s="1"/>
  <c r="Y459" i="16"/>
  <c r="AC459" i="16"/>
  <c r="AE459" i="16" s="1"/>
  <c r="M460" i="16"/>
  <c r="Q460" i="16"/>
  <c r="U460" i="16"/>
  <c r="AF460" i="16" s="1"/>
  <c r="AC460" i="16"/>
  <c r="AE460" i="16" s="1"/>
  <c r="M461" i="16"/>
  <c r="Q461" i="16"/>
  <c r="U461" i="16"/>
  <c r="AF461" i="16" s="1"/>
  <c r="AC461" i="16"/>
  <c r="AE461" i="16" s="1"/>
  <c r="M462" i="16"/>
  <c r="Q462" i="16"/>
  <c r="U462" i="16"/>
  <c r="AF462" i="16" s="1"/>
  <c r="Y462" i="16"/>
  <c r="AC462" i="16"/>
  <c r="AE462" i="16" s="1"/>
  <c r="M463" i="16"/>
  <c r="Q463" i="16"/>
  <c r="U463" i="16"/>
  <c r="AF463" i="16" s="1"/>
  <c r="AC463" i="16"/>
  <c r="AE463" i="16" s="1"/>
  <c r="M464" i="16"/>
  <c r="Q464" i="16"/>
  <c r="U464" i="16"/>
  <c r="AF464" i="16" s="1"/>
  <c r="AC464" i="16"/>
  <c r="AE464" i="16" s="1"/>
  <c r="M465" i="16"/>
  <c r="Q465" i="16"/>
  <c r="U465" i="16"/>
  <c r="AF465" i="16" s="1"/>
  <c r="AC465" i="16"/>
  <c r="AE465" i="16" s="1"/>
  <c r="M466" i="16"/>
  <c r="Q466" i="16"/>
  <c r="U466" i="16"/>
  <c r="AF466" i="16" s="1"/>
  <c r="Y466" i="16"/>
  <c r="AC466" i="16"/>
  <c r="AE466" i="16" s="1"/>
  <c r="M467" i="16"/>
  <c r="Q467" i="16"/>
  <c r="U467" i="16"/>
  <c r="AF467" i="16" s="1"/>
  <c r="Y467" i="16"/>
  <c r="AC467" i="16"/>
  <c r="AE467" i="16" s="1"/>
  <c r="M468" i="16"/>
  <c r="Q468" i="16"/>
  <c r="U468" i="16"/>
  <c r="AF468" i="16" s="1"/>
  <c r="AC468" i="16"/>
  <c r="AE468" i="16" s="1"/>
  <c r="M469" i="16"/>
  <c r="Q469" i="16"/>
  <c r="U469" i="16"/>
  <c r="AF469" i="16" s="1"/>
  <c r="AC469" i="16"/>
  <c r="AE469" i="16" s="1"/>
  <c r="M470" i="16"/>
  <c r="Q470" i="16"/>
  <c r="U470" i="16"/>
  <c r="AF470" i="16" s="1"/>
  <c r="Y470" i="16"/>
  <c r="AC470" i="16"/>
  <c r="AE470" i="16" s="1"/>
  <c r="M471" i="16"/>
  <c r="Q471" i="16"/>
  <c r="U471" i="16"/>
  <c r="AF471" i="16" s="1"/>
  <c r="AC471" i="16"/>
  <c r="AE471" i="16" s="1"/>
  <c r="M472" i="16"/>
  <c r="Q472" i="16"/>
  <c r="U472" i="16"/>
  <c r="AF472" i="16" s="1"/>
  <c r="AC472" i="16"/>
  <c r="AE472" i="16" s="1"/>
  <c r="M473" i="16"/>
  <c r="Q473" i="16"/>
  <c r="U473" i="16"/>
  <c r="AF473" i="16" s="1"/>
  <c r="AC473" i="16"/>
  <c r="AE473" i="16" s="1"/>
  <c r="M474" i="16"/>
  <c r="Q474" i="16"/>
  <c r="U474" i="16"/>
  <c r="AF474" i="16" s="1"/>
  <c r="Y474" i="16"/>
  <c r="AC474" i="16"/>
  <c r="AE474" i="16" s="1"/>
  <c r="M475" i="16"/>
  <c r="Q475" i="16"/>
  <c r="U475" i="16"/>
  <c r="AF475" i="16" s="1"/>
  <c r="Y475" i="16"/>
  <c r="AC475" i="16"/>
  <c r="AE475" i="16" s="1"/>
  <c r="M476" i="16"/>
  <c r="Q476" i="16"/>
  <c r="U476" i="16"/>
  <c r="AF476" i="16" s="1"/>
  <c r="AC476" i="16"/>
  <c r="AE476" i="16" s="1"/>
  <c r="M477" i="16"/>
  <c r="Q477" i="16"/>
  <c r="U477" i="16"/>
  <c r="AF477" i="16" s="1"/>
  <c r="AC477" i="16"/>
  <c r="AE477" i="16" s="1"/>
  <c r="M478" i="16"/>
  <c r="Q478" i="16"/>
  <c r="U478" i="16"/>
  <c r="AF478" i="16" s="1"/>
  <c r="Y478" i="16"/>
  <c r="AC478" i="16"/>
  <c r="AE478" i="16" s="1"/>
  <c r="M479" i="16"/>
  <c r="Q479" i="16"/>
  <c r="U479" i="16"/>
  <c r="AF479" i="16" s="1"/>
  <c r="AC479" i="16"/>
  <c r="AE479" i="16" s="1"/>
  <c r="M480" i="16"/>
  <c r="Q480" i="16"/>
  <c r="U480" i="16"/>
  <c r="AF480" i="16" s="1"/>
  <c r="AC480" i="16"/>
  <c r="AE480" i="16" s="1"/>
  <c r="M481" i="16"/>
  <c r="Q481" i="16"/>
  <c r="U481" i="16"/>
  <c r="AF481" i="16" s="1"/>
  <c r="AC481" i="16"/>
  <c r="AE481" i="16" s="1"/>
  <c r="M482" i="16"/>
  <c r="Q482" i="16"/>
  <c r="U482" i="16"/>
  <c r="AF482" i="16" s="1"/>
  <c r="Y482" i="16"/>
  <c r="AC482" i="16"/>
  <c r="AE482" i="16" s="1"/>
  <c r="M483" i="16"/>
  <c r="Q483" i="16"/>
  <c r="U483" i="16"/>
  <c r="AF483" i="16" s="1"/>
  <c r="Y483" i="16"/>
  <c r="AC483" i="16"/>
  <c r="AE483" i="16" s="1"/>
  <c r="M484" i="16"/>
  <c r="Q484" i="16"/>
  <c r="U484" i="16"/>
  <c r="AF484" i="16" s="1"/>
  <c r="AC484" i="16"/>
  <c r="AE484" i="16" s="1"/>
  <c r="M485" i="16"/>
  <c r="Q485" i="16"/>
  <c r="U485" i="16"/>
  <c r="AF485" i="16" s="1"/>
  <c r="AC485" i="16"/>
  <c r="AE485" i="16" s="1"/>
  <c r="M486" i="16"/>
  <c r="Q486" i="16"/>
  <c r="U486" i="16"/>
  <c r="AF486" i="16" s="1"/>
  <c r="Y486" i="16"/>
  <c r="AC486" i="16"/>
  <c r="AE486" i="16" s="1"/>
  <c r="M487" i="16"/>
  <c r="Q487" i="16"/>
  <c r="U487" i="16"/>
  <c r="AF487" i="16" s="1"/>
  <c r="AC487" i="16"/>
  <c r="AE487" i="16" s="1"/>
  <c r="M488" i="16"/>
  <c r="Q488" i="16"/>
  <c r="U488" i="16"/>
  <c r="AF488" i="16" s="1"/>
  <c r="AC488" i="16"/>
  <c r="AE488" i="16" s="1"/>
  <c r="M489" i="16"/>
  <c r="Q489" i="16"/>
  <c r="U489" i="16"/>
  <c r="AF489" i="16" s="1"/>
  <c r="AC489" i="16"/>
  <c r="AE489" i="16" s="1"/>
  <c r="M490" i="16"/>
  <c r="Q490" i="16"/>
  <c r="U490" i="16"/>
  <c r="AF490" i="16" s="1"/>
  <c r="Y490" i="16"/>
  <c r="AC490" i="16"/>
  <c r="AE490" i="16" s="1"/>
  <c r="M491" i="16"/>
  <c r="Q491" i="16"/>
  <c r="U491" i="16"/>
  <c r="AF491" i="16" s="1"/>
  <c r="Y491" i="16"/>
  <c r="AC491" i="16"/>
  <c r="AE491" i="16" s="1"/>
  <c r="M492" i="16"/>
  <c r="Q492" i="16"/>
  <c r="U492" i="16"/>
  <c r="AF492" i="16" s="1"/>
  <c r="AC492" i="16"/>
  <c r="AE492" i="16" s="1"/>
  <c r="M493" i="16"/>
  <c r="Q493" i="16"/>
  <c r="U493" i="16"/>
  <c r="AF493" i="16" s="1"/>
  <c r="AC493" i="16"/>
  <c r="AE493" i="16" s="1"/>
  <c r="M494" i="16"/>
  <c r="Q494" i="16"/>
  <c r="U494" i="16"/>
  <c r="AF494" i="16" s="1"/>
  <c r="Y494" i="16"/>
  <c r="AC494" i="16"/>
  <c r="AE494" i="16" s="1"/>
  <c r="M495" i="16"/>
  <c r="Q495" i="16"/>
  <c r="U495" i="16"/>
  <c r="AF495" i="16" s="1"/>
  <c r="AC495" i="16"/>
  <c r="AE495" i="16" s="1"/>
  <c r="M496" i="16"/>
  <c r="Q496" i="16"/>
  <c r="U496" i="16"/>
  <c r="AF496" i="16" s="1"/>
  <c r="AC496" i="16"/>
  <c r="AE496" i="16" s="1"/>
  <c r="M497" i="16"/>
  <c r="Q497" i="16"/>
  <c r="U497" i="16"/>
  <c r="AF497" i="16" s="1"/>
  <c r="AC497" i="16"/>
  <c r="AE497" i="16" s="1"/>
  <c r="M498" i="16"/>
  <c r="Q498" i="16"/>
  <c r="U498" i="16"/>
  <c r="AF498" i="16" s="1"/>
  <c r="Y498" i="16"/>
  <c r="AC498" i="16"/>
  <c r="AE498" i="16" s="1"/>
  <c r="M499" i="16"/>
  <c r="Q499" i="16"/>
  <c r="U499" i="16"/>
  <c r="AF499" i="16" s="1"/>
  <c r="Y499" i="16"/>
  <c r="AC499" i="16"/>
  <c r="AE499" i="16" s="1"/>
  <c r="M500" i="16"/>
  <c r="Q500" i="16"/>
  <c r="U500" i="16"/>
  <c r="AF500" i="16" s="1"/>
  <c r="AC500" i="16"/>
  <c r="AE500" i="16" s="1"/>
  <c r="M501" i="16"/>
  <c r="Q501" i="16"/>
  <c r="U501" i="16"/>
  <c r="AF501" i="16" s="1"/>
  <c r="AC501" i="16"/>
  <c r="AE501" i="16" s="1"/>
  <c r="M4" i="17"/>
  <c r="Q4" i="17"/>
  <c r="U4" i="17"/>
  <c r="AF4" i="17" s="1"/>
  <c r="Y4" i="17"/>
  <c r="AC4" i="17"/>
  <c r="AE4" i="17" s="1"/>
  <c r="P5" i="17"/>
  <c r="T5" i="17"/>
  <c r="X5" i="17"/>
  <c r="Y5" i="17" s="1"/>
  <c r="AB5" i="17"/>
  <c r="AK5" i="17"/>
  <c r="M6" i="17"/>
  <c r="R6" i="17"/>
  <c r="X6" i="17"/>
  <c r="Y6" i="17" s="1"/>
  <c r="AC6" i="17"/>
  <c r="AE6" i="17" s="1"/>
  <c r="AH6" i="17"/>
  <c r="AK8" i="17"/>
  <c r="AC8" i="17"/>
  <c r="AE8" i="17" s="1"/>
  <c r="Y8" i="17"/>
  <c r="U8" i="17"/>
  <c r="AF8" i="17" s="1"/>
  <c r="Q8" i="17"/>
  <c r="M8" i="17"/>
  <c r="R8" i="17"/>
  <c r="W8" i="17"/>
  <c r="AD8" i="17" s="1"/>
  <c r="AB8" i="17"/>
  <c r="AH8" i="17"/>
  <c r="AI216" i="17"/>
  <c r="W216" i="17"/>
  <c r="AD216" i="17" s="1"/>
  <c r="S216" i="17"/>
  <c r="O216" i="17"/>
  <c r="K216" i="17"/>
  <c r="AK216" i="17"/>
  <c r="Z216" i="17"/>
  <c r="AA216" i="17" s="1"/>
  <c r="AG216" i="17" s="1"/>
  <c r="U216" i="17"/>
  <c r="AF216" i="17" s="1"/>
  <c r="P216" i="17"/>
  <c r="AJ216" i="17"/>
  <c r="Y216" i="17"/>
  <c r="T216" i="17"/>
  <c r="N216" i="17"/>
  <c r="AH216" i="17"/>
  <c r="AC216" i="17"/>
  <c r="AE216" i="17" s="1"/>
  <c r="X216" i="17"/>
  <c r="R216" i="17"/>
  <c r="M216" i="17"/>
  <c r="P9" i="17"/>
  <c r="T9" i="17"/>
  <c r="X9" i="17"/>
  <c r="Y9" i="17" s="1"/>
  <c r="AB9" i="17"/>
  <c r="P10" i="17"/>
  <c r="T10" i="17"/>
  <c r="X10" i="17"/>
  <c r="Y10" i="17" s="1"/>
  <c r="AB10" i="17"/>
  <c r="P11" i="17"/>
  <c r="T11" i="17"/>
  <c r="X11" i="17"/>
  <c r="Y11" i="17" s="1"/>
  <c r="AB11" i="17"/>
  <c r="P12" i="17"/>
  <c r="T12" i="17"/>
  <c r="X12" i="17"/>
  <c r="Y12" i="17" s="1"/>
  <c r="AB12" i="17"/>
  <c r="P13" i="17"/>
  <c r="T13" i="17"/>
  <c r="X13" i="17"/>
  <c r="Y13" i="17" s="1"/>
  <c r="AB13" i="17"/>
  <c r="P14" i="17"/>
  <c r="T14" i="17"/>
  <c r="X14" i="17"/>
  <c r="Y14" i="17" s="1"/>
  <c r="AB14" i="17"/>
  <c r="P15" i="17"/>
  <c r="T15" i="17"/>
  <c r="X15" i="17"/>
  <c r="Y15" i="17" s="1"/>
  <c r="AB15" i="17"/>
  <c r="P16" i="17"/>
  <c r="T16" i="17"/>
  <c r="X16" i="17"/>
  <c r="Y16" i="17" s="1"/>
  <c r="AB16" i="17"/>
  <c r="P17" i="17"/>
  <c r="T17" i="17"/>
  <c r="X17" i="17"/>
  <c r="Y17" i="17" s="1"/>
  <c r="AB17" i="17"/>
  <c r="P18" i="17"/>
  <c r="T18" i="17"/>
  <c r="X18" i="17"/>
  <c r="Y18" i="17" s="1"/>
  <c r="AB18" i="17"/>
  <c r="P19" i="17"/>
  <c r="T19" i="17"/>
  <c r="X19" i="17"/>
  <c r="Y19" i="17" s="1"/>
  <c r="AB19" i="17"/>
  <c r="P20" i="17"/>
  <c r="T20" i="17"/>
  <c r="X20" i="17"/>
  <c r="Y20" i="17" s="1"/>
  <c r="AB20" i="17"/>
  <c r="P21" i="17"/>
  <c r="T21" i="17"/>
  <c r="X21" i="17"/>
  <c r="Y21" i="17" s="1"/>
  <c r="AB21" i="17"/>
  <c r="P22" i="17"/>
  <c r="T22" i="17"/>
  <c r="X22" i="17"/>
  <c r="Y22" i="17" s="1"/>
  <c r="AB22" i="17"/>
  <c r="P23" i="17"/>
  <c r="T23" i="17"/>
  <c r="X23" i="17"/>
  <c r="Y23" i="17" s="1"/>
  <c r="AB23" i="17"/>
  <c r="P24" i="17"/>
  <c r="T24" i="17"/>
  <c r="X24" i="17"/>
  <c r="Y24" i="17" s="1"/>
  <c r="AB24" i="17"/>
  <c r="P25" i="17"/>
  <c r="T25" i="17"/>
  <c r="X25" i="17"/>
  <c r="Y25" i="17" s="1"/>
  <c r="AB25" i="17"/>
  <c r="P26" i="17"/>
  <c r="T26" i="17"/>
  <c r="X26" i="17"/>
  <c r="Y26" i="17" s="1"/>
  <c r="AB26" i="17"/>
  <c r="P27" i="17"/>
  <c r="T27" i="17"/>
  <c r="X27" i="17"/>
  <c r="Y27" i="17" s="1"/>
  <c r="AB27" i="17"/>
  <c r="P28" i="17"/>
  <c r="T28" i="17"/>
  <c r="X28" i="17"/>
  <c r="Y28" i="17" s="1"/>
  <c r="AB28" i="17"/>
  <c r="P29" i="17"/>
  <c r="T29" i="17"/>
  <c r="X29" i="17"/>
  <c r="Y29" i="17" s="1"/>
  <c r="AB29" i="17"/>
  <c r="P30" i="17"/>
  <c r="T30" i="17"/>
  <c r="X30" i="17"/>
  <c r="Y30" i="17" s="1"/>
  <c r="AB30" i="17"/>
  <c r="P31" i="17"/>
  <c r="T31" i="17"/>
  <c r="X31" i="17"/>
  <c r="Y31" i="17" s="1"/>
  <c r="AB31" i="17"/>
  <c r="P32" i="17"/>
  <c r="T32" i="17"/>
  <c r="X32" i="17"/>
  <c r="Y32" i="17" s="1"/>
  <c r="AB32" i="17"/>
  <c r="P33" i="17"/>
  <c r="T33" i="17"/>
  <c r="X33" i="17"/>
  <c r="Y33" i="17" s="1"/>
  <c r="AB33" i="17"/>
  <c r="P34" i="17"/>
  <c r="T34" i="17"/>
  <c r="X34" i="17"/>
  <c r="Y34" i="17" s="1"/>
  <c r="AB34" i="17"/>
  <c r="P35" i="17"/>
  <c r="T35" i="17"/>
  <c r="X35" i="17"/>
  <c r="Y35" i="17" s="1"/>
  <c r="AB35" i="17"/>
  <c r="P36" i="17"/>
  <c r="T36" i="17"/>
  <c r="X36" i="17"/>
  <c r="Y36" i="17" s="1"/>
  <c r="AB36" i="17"/>
  <c r="P37" i="17"/>
  <c r="T37" i="17"/>
  <c r="X37" i="17"/>
  <c r="Y37" i="17" s="1"/>
  <c r="AB37" i="17"/>
  <c r="P38" i="17"/>
  <c r="T38" i="17"/>
  <c r="X38" i="17"/>
  <c r="Y38" i="17" s="1"/>
  <c r="AB38" i="17"/>
  <c r="P39" i="17"/>
  <c r="T39" i="17"/>
  <c r="X39" i="17"/>
  <c r="Y39" i="17" s="1"/>
  <c r="AB39" i="17"/>
  <c r="P40" i="17"/>
  <c r="T40" i="17"/>
  <c r="X40" i="17"/>
  <c r="Y40" i="17" s="1"/>
  <c r="AB40" i="17"/>
  <c r="P41" i="17"/>
  <c r="T41" i="17"/>
  <c r="X41" i="17"/>
  <c r="Y41" i="17" s="1"/>
  <c r="AB41" i="17"/>
  <c r="P42" i="17"/>
  <c r="T42" i="17"/>
  <c r="X42" i="17"/>
  <c r="Y42" i="17" s="1"/>
  <c r="AB42" i="17"/>
  <c r="P43" i="17"/>
  <c r="T43" i="17"/>
  <c r="X43" i="17"/>
  <c r="Y43" i="17" s="1"/>
  <c r="AB43" i="17"/>
  <c r="P44" i="17"/>
  <c r="T44" i="17"/>
  <c r="X44" i="17"/>
  <c r="Y44" i="17" s="1"/>
  <c r="AB44" i="17"/>
  <c r="P45" i="17"/>
  <c r="T45" i="17"/>
  <c r="X45" i="17"/>
  <c r="Y45" i="17" s="1"/>
  <c r="AB45" i="17"/>
  <c r="P46" i="17"/>
  <c r="T46" i="17"/>
  <c r="X46" i="17"/>
  <c r="Y46" i="17" s="1"/>
  <c r="AB46" i="17"/>
  <c r="P47" i="17"/>
  <c r="T47" i="17"/>
  <c r="X47" i="17"/>
  <c r="Y47" i="17" s="1"/>
  <c r="AB47" i="17"/>
  <c r="P48" i="17"/>
  <c r="T48" i="17"/>
  <c r="X48" i="17"/>
  <c r="Y48" i="17" s="1"/>
  <c r="AB48" i="17"/>
  <c r="P49" i="17"/>
  <c r="T49" i="17"/>
  <c r="X49" i="17"/>
  <c r="Y49" i="17" s="1"/>
  <c r="AB49" i="17"/>
  <c r="P50" i="17"/>
  <c r="T50" i="17"/>
  <c r="X50" i="17"/>
  <c r="Y50" i="17" s="1"/>
  <c r="AB50" i="17"/>
  <c r="P51" i="17"/>
  <c r="T51" i="17"/>
  <c r="X51" i="17"/>
  <c r="Y51" i="17" s="1"/>
  <c r="AB51" i="17"/>
  <c r="P52" i="17"/>
  <c r="T52" i="17"/>
  <c r="X52" i="17"/>
  <c r="Y52" i="17" s="1"/>
  <c r="AB52" i="17"/>
  <c r="P53" i="17"/>
  <c r="T53" i="17"/>
  <c r="X53" i="17"/>
  <c r="Y53" i="17" s="1"/>
  <c r="AB53" i="17"/>
  <c r="P54" i="17"/>
  <c r="T54" i="17"/>
  <c r="X54" i="17"/>
  <c r="Y54" i="17" s="1"/>
  <c r="AB54" i="17"/>
  <c r="P55" i="17"/>
  <c r="T55" i="17"/>
  <c r="X55" i="17"/>
  <c r="Y55" i="17" s="1"/>
  <c r="AB55" i="17"/>
  <c r="P56" i="17"/>
  <c r="T56" i="17"/>
  <c r="X56" i="17"/>
  <c r="Y56" i="17" s="1"/>
  <c r="AB56" i="17"/>
  <c r="P57" i="17"/>
  <c r="T57" i="17"/>
  <c r="X57" i="17"/>
  <c r="Y57" i="17" s="1"/>
  <c r="AB57" i="17"/>
  <c r="P58" i="17"/>
  <c r="T58" i="17"/>
  <c r="X58" i="17"/>
  <c r="Y58" i="17" s="1"/>
  <c r="AB58" i="17"/>
  <c r="P59" i="17"/>
  <c r="T59" i="17"/>
  <c r="X59" i="17"/>
  <c r="Y59" i="17" s="1"/>
  <c r="AB59" i="17"/>
  <c r="P60" i="17"/>
  <c r="T60" i="17"/>
  <c r="X60" i="17"/>
  <c r="Y60" i="17" s="1"/>
  <c r="AB60" i="17"/>
  <c r="P61" i="17"/>
  <c r="T61" i="17"/>
  <c r="X61" i="17"/>
  <c r="Y61" i="17" s="1"/>
  <c r="AB61" i="17"/>
  <c r="P62" i="17"/>
  <c r="T62" i="17"/>
  <c r="X62" i="17"/>
  <c r="Y62" i="17" s="1"/>
  <c r="AB62" i="17"/>
  <c r="P63" i="17"/>
  <c r="T63" i="17"/>
  <c r="X63" i="17"/>
  <c r="Y63" i="17" s="1"/>
  <c r="AB63" i="17"/>
  <c r="P64" i="17"/>
  <c r="T64" i="17"/>
  <c r="X64" i="17"/>
  <c r="Y64" i="17" s="1"/>
  <c r="AB64" i="17"/>
  <c r="P65" i="17"/>
  <c r="T65" i="17"/>
  <c r="X65" i="17"/>
  <c r="Y65" i="17" s="1"/>
  <c r="AB65" i="17"/>
  <c r="P66" i="17"/>
  <c r="T66" i="17"/>
  <c r="X66" i="17"/>
  <c r="Y66" i="17" s="1"/>
  <c r="AB66" i="17"/>
  <c r="P67" i="17"/>
  <c r="T67" i="17"/>
  <c r="X67" i="17"/>
  <c r="Y67" i="17" s="1"/>
  <c r="AB67" i="17"/>
  <c r="P68" i="17"/>
  <c r="T68" i="17"/>
  <c r="X68" i="17"/>
  <c r="Y68" i="17" s="1"/>
  <c r="AB68" i="17"/>
  <c r="P69" i="17"/>
  <c r="T69" i="17"/>
  <c r="X69" i="17"/>
  <c r="Y69" i="17" s="1"/>
  <c r="AB69" i="17"/>
  <c r="P70" i="17"/>
  <c r="T70" i="17"/>
  <c r="X70" i="17"/>
  <c r="Y70" i="17" s="1"/>
  <c r="AB70" i="17"/>
  <c r="P71" i="17"/>
  <c r="T71" i="17"/>
  <c r="X71" i="17"/>
  <c r="Y71" i="17" s="1"/>
  <c r="AB71" i="17"/>
  <c r="P72" i="17"/>
  <c r="T72" i="17"/>
  <c r="X72" i="17"/>
  <c r="Y72" i="17" s="1"/>
  <c r="AB72" i="17"/>
  <c r="P73" i="17"/>
  <c r="T73" i="17"/>
  <c r="X73" i="17"/>
  <c r="Y73" i="17" s="1"/>
  <c r="AB73" i="17"/>
  <c r="P74" i="17"/>
  <c r="T74" i="17"/>
  <c r="X74" i="17"/>
  <c r="Y74" i="17" s="1"/>
  <c r="AB74" i="17"/>
  <c r="P75" i="17"/>
  <c r="T75" i="17"/>
  <c r="X75" i="17"/>
  <c r="Y75" i="17" s="1"/>
  <c r="AB75" i="17"/>
  <c r="P76" i="17"/>
  <c r="T76" i="17"/>
  <c r="X76" i="17"/>
  <c r="Y76" i="17" s="1"/>
  <c r="AB76" i="17"/>
  <c r="P77" i="17"/>
  <c r="T77" i="17"/>
  <c r="X77" i="17"/>
  <c r="Y77" i="17" s="1"/>
  <c r="AB77" i="17"/>
  <c r="P78" i="17"/>
  <c r="T78" i="17"/>
  <c r="X78" i="17"/>
  <c r="Y78" i="17" s="1"/>
  <c r="AB78" i="17"/>
  <c r="P79" i="17"/>
  <c r="T79" i="17"/>
  <c r="X79" i="17"/>
  <c r="Y79" i="17" s="1"/>
  <c r="AB79" i="17"/>
  <c r="P80" i="17"/>
  <c r="T80" i="17"/>
  <c r="X80" i="17"/>
  <c r="Y80" i="17" s="1"/>
  <c r="AB80" i="17"/>
  <c r="P81" i="17"/>
  <c r="T81" i="17"/>
  <c r="X81" i="17"/>
  <c r="Y81" i="17" s="1"/>
  <c r="AB81" i="17"/>
  <c r="P82" i="17"/>
  <c r="T82" i="17"/>
  <c r="X82" i="17"/>
  <c r="Y82" i="17" s="1"/>
  <c r="AB82" i="17"/>
  <c r="P83" i="17"/>
  <c r="T83" i="17"/>
  <c r="X83" i="17"/>
  <c r="Y83" i="17" s="1"/>
  <c r="AB83" i="17"/>
  <c r="P84" i="17"/>
  <c r="T84" i="17"/>
  <c r="X84" i="17"/>
  <c r="Y84" i="17" s="1"/>
  <c r="AB84" i="17"/>
  <c r="P85" i="17"/>
  <c r="T85" i="17"/>
  <c r="X85" i="17"/>
  <c r="Y85" i="17" s="1"/>
  <c r="AB85" i="17"/>
  <c r="P86" i="17"/>
  <c r="T86" i="17"/>
  <c r="X86" i="17"/>
  <c r="Y86" i="17" s="1"/>
  <c r="AB86" i="17"/>
  <c r="P87" i="17"/>
  <c r="T87" i="17"/>
  <c r="X87" i="17"/>
  <c r="Y87" i="17" s="1"/>
  <c r="AB87" i="17"/>
  <c r="P88" i="17"/>
  <c r="T88" i="17"/>
  <c r="X88" i="17"/>
  <c r="Y88" i="17" s="1"/>
  <c r="AB88" i="17"/>
  <c r="P89" i="17"/>
  <c r="T89" i="17"/>
  <c r="X89" i="17"/>
  <c r="Y89" i="17" s="1"/>
  <c r="AB89" i="17"/>
  <c r="P90" i="17"/>
  <c r="T90" i="17"/>
  <c r="X90" i="17"/>
  <c r="Y90" i="17" s="1"/>
  <c r="AB90" i="17"/>
  <c r="P91" i="17"/>
  <c r="T91" i="17"/>
  <c r="X91" i="17"/>
  <c r="Y91" i="17" s="1"/>
  <c r="AB91" i="17"/>
  <c r="P92" i="17"/>
  <c r="T92" i="17"/>
  <c r="X92" i="17"/>
  <c r="Y92" i="17" s="1"/>
  <c r="AB92" i="17"/>
  <c r="P93" i="17"/>
  <c r="T93" i="17"/>
  <c r="X93" i="17"/>
  <c r="Y93" i="17" s="1"/>
  <c r="AB93" i="17"/>
  <c r="P94" i="17"/>
  <c r="T94" i="17"/>
  <c r="X94" i="17"/>
  <c r="Y94" i="17" s="1"/>
  <c r="AB94" i="17"/>
  <c r="P95" i="17"/>
  <c r="T95" i="17"/>
  <c r="X95" i="17"/>
  <c r="Y95" i="17" s="1"/>
  <c r="AB95" i="17"/>
  <c r="P96" i="17"/>
  <c r="T96" i="17"/>
  <c r="X96" i="17"/>
  <c r="Y96" i="17" s="1"/>
  <c r="AB96" i="17"/>
  <c r="P97" i="17"/>
  <c r="T97" i="17"/>
  <c r="X97" i="17"/>
  <c r="Y97" i="17" s="1"/>
  <c r="AB97" i="17"/>
  <c r="P98" i="17"/>
  <c r="T98" i="17"/>
  <c r="X98" i="17"/>
  <c r="Y98" i="17" s="1"/>
  <c r="AB98" i="17"/>
  <c r="P99" i="17"/>
  <c r="T99" i="17"/>
  <c r="X99" i="17"/>
  <c r="Y99" i="17" s="1"/>
  <c r="AB99" i="17"/>
  <c r="P100" i="17"/>
  <c r="T100" i="17"/>
  <c r="X100" i="17"/>
  <c r="Y100" i="17" s="1"/>
  <c r="AB100" i="17"/>
  <c r="P101" i="17"/>
  <c r="T101" i="17"/>
  <c r="X101" i="17"/>
  <c r="Y101" i="17" s="1"/>
  <c r="AB101" i="17"/>
  <c r="P102" i="17"/>
  <c r="T102" i="17"/>
  <c r="X102" i="17"/>
  <c r="Y102" i="17" s="1"/>
  <c r="AB102" i="17"/>
  <c r="P103" i="17"/>
  <c r="T103" i="17"/>
  <c r="X103" i="17"/>
  <c r="Y103" i="17" s="1"/>
  <c r="AB103" i="17"/>
  <c r="P104" i="17"/>
  <c r="T104" i="17"/>
  <c r="X104" i="17"/>
  <c r="Y104" i="17" s="1"/>
  <c r="AB104" i="17"/>
  <c r="P105" i="17"/>
  <c r="T105" i="17"/>
  <c r="X105" i="17"/>
  <c r="Y105" i="17" s="1"/>
  <c r="AB105" i="17"/>
  <c r="P106" i="17"/>
  <c r="T106" i="17"/>
  <c r="X106" i="17"/>
  <c r="Y106" i="17" s="1"/>
  <c r="AB106" i="17"/>
  <c r="P107" i="17"/>
  <c r="T107" i="17"/>
  <c r="X107" i="17"/>
  <c r="Y107" i="17" s="1"/>
  <c r="AB107" i="17"/>
  <c r="P108" i="17"/>
  <c r="T108" i="17"/>
  <c r="X108" i="17"/>
  <c r="Y108" i="17" s="1"/>
  <c r="AB108" i="17"/>
  <c r="P109" i="17"/>
  <c r="T109" i="17"/>
  <c r="X109" i="17"/>
  <c r="Y109" i="17" s="1"/>
  <c r="AB109" i="17"/>
  <c r="P110" i="17"/>
  <c r="T110" i="17"/>
  <c r="X110" i="17"/>
  <c r="Y110" i="17" s="1"/>
  <c r="AB110" i="17"/>
  <c r="P111" i="17"/>
  <c r="T111" i="17"/>
  <c r="X111" i="17"/>
  <c r="Y111" i="17" s="1"/>
  <c r="AB111" i="17"/>
  <c r="P112" i="17"/>
  <c r="T112" i="17"/>
  <c r="X112" i="17"/>
  <c r="Y112" i="17" s="1"/>
  <c r="AB112" i="17"/>
  <c r="P113" i="17"/>
  <c r="T113" i="17"/>
  <c r="X113" i="17"/>
  <c r="Y113" i="17" s="1"/>
  <c r="AB113" i="17"/>
  <c r="P114" i="17"/>
  <c r="T114" i="17"/>
  <c r="X114" i="17"/>
  <c r="Y114" i="17" s="1"/>
  <c r="AB114" i="17"/>
  <c r="P115" i="17"/>
  <c r="T115" i="17"/>
  <c r="X115" i="17"/>
  <c r="Y115" i="17" s="1"/>
  <c r="AB115" i="17"/>
  <c r="P116" i="17"/>
  <c r="T116" i="17"/>
  <c r="X116" i="17"/>
  <c r="Y116" i="17" s="1"/>
  <c r="AB116" i="17"/>
  <c r="P117" i="17"/>
  <c r="T117" i="17"/>
  <c r="X117" i="17"/>
  <c r="Y117" i="17" s="1"/>
  <c r="AB117" i="17"/>
  <c r="P118" i="17"/>
  <c r="T118" i="17"/>
  <c r="X118" i="17"/>
  <c r="Y118" i="17" s="1"/>
  <c r="AB118" i="17"/>
  <c r="P119" i="17"/>
  <c r="T119" i="17"/>
  <c r="X119" i="17"/>
  <c r="Y119" i="17" s="1"/>
  <c r="AB119" i="17"/>
  <c r="P120" i="17"/>
  <c r="T120" i="17"/>
  <c r="X120" i="17"/>
  <c r="Y120" i="17" s="1"/>
  <c r="AB120" i="17"/>
  <c r="P121" i="17"/>
  <c r="T121" i="17"/>
  <c r="X121" i="17"/>
  <c r="Y121" i="17" s="1"/>
  <c r="AB121" i="17"/>
  <c r="P122" i="17"/>
  <c r="T122" i="17"/>
  <c r="X122" i="17"/>
  <c r="Y122" i="17" s="1"/>
  <c r="AB122" i="17"/>
  <c r="P123" i="17"/>
  <c r="T123" i="17"/>
  <c r="X123" i="17"/>
  <c r="Y123" i="17" s="1"/>
  <c r="AB123" i="17"/>
  <c r="P124" i="17"/>
  <c r="T124" i="17"/>
  <c r="X124" i="17"/>
  <c r="Y124" i="17" s="1"/>
  <c r="AB124" i="17"/>
  <c r="P125" i="17"/>
  <c r="T125" i="17"/>
  <c r="X125" i="17"/>
  <c r="Y125" i="17" s="1"/>
  <c r="AB125" i="17"/>
  <c r="P126" i="17"/>
  <c r="T126" i="17"/>
  <c r="X126" i="17"/>
  <c r="Y126" i="17" s="1"/>
  <c r="AB126" i="17"/>
  <c r="P127" i="17"/>
  <c r="T127" i="17"/>
  <c r="X127" i="17"/>
  <c r="Y127" i="17" s="1"/>
  <c r="AB127" i="17"/>
  <c r="P128" i="17"/>
  <c r="T128" i="17"/>
  <c r="X128" i="17"/>
  <c r="Y128" i="17" s="1"/>
  <c r="AB128" i="17"/>
  <c r="P129" i="17"/>
  <c r="T129" i="17"/>
  <c r="X129" i="17"/>
  <c r="Y129" i="17" s="1"/>
  <c r="AB129" i="17"/>
  <c r="P130" i="17"/>
  <c r="T130" i="17"/>
  <c r="X130" i="17"/>
  <c r="Y130" i="17" s="1"/>
  <c r="AB130" i="17"/>
  <c r="P131" i="17"/>
  <c r="T131" i="17"/>
  <c r="X131" i="17"/>
  <c r="Y131" i="17" s="1"/>
  <c r="AB131" i="17"/>
  <c r="P132" i="17"/>
  <c r="T132" i="17"/>
  <c r="X132" i="17"/>
  <c r="Y132" i="17" s="1"/>
  <c r="AB132" i="17"/>
  <c r="P133" i="17"/>
  <c r="T133" i="17"/>
  <c r="X133" i="17"/>
  <c r="Y133" i="17" s="1"/>
  <c r="AB133" i="17"/>
  <c r="P134" i="17"/>
  <c r="T134" i="17"/>
  <c r="X134" i="17"/>
  <c r="Y134" i="17" s="1"/>
  <c r="AB134" i="17"/>
  <c r="P135" i="17"/>
  <c r="T135" i="17"/>
  <c r="X135" i="17"/>
  <c r="Y135" i="17" s="1"/>
  <c r="AB135" i="17"/>
  <c r="P136" i="17"/>
  <c r="T136" i="17"/>
  <c r="X136" i="17"/>
  <c r="Y136" i="17" s="1"/>
  <c r="AB136" i="17"/>
  <c r="P137" i="17"/>
  <c r="T137" i="17"/>
  <c r="X137" i="17"/>
  <c r="Y137" i="17" s="1"/>
  <c r="AB137" i="17"/>
  <c r="P138" i="17"/>
  <c r="T138" i="17"/>
  <c r="X138" i="17"/>
  <c r="Y138" i="17" s="1"/>
  <c r="AB138" i="17"/>
  <c r="P139" i="17"/>
  <c r="T139" i="17"/>
  <c r="X139" i="17"/>
  <c r="Y139" i="17" s="1"/>
  <c r="AB139" i="17"/>
  <c r="P140" i="17"/>
  <c r="T140" i="17"/>
  <c r="X140" i="17"/>
  <c r="Y140" i="17" s="1"/>
  <c r="AB140" i="17"/>
  <c r="P141" i="17"/>
  <c r="T141" i="17"/>
  <c r="X141" i="17"/>
  <c r="Y141" i="17" s="1"/>
  <c r="AB141" i="17"/>
  <c r="P142" i="17"/>
  <c r="T142" i="17"/>
  <c r="X142" i="17"/>
  <c r="Y142" i="17" s="1"/>
  <c r="AB142" i="17"/>
  <c r="P143" i="17"/>
  <c r="T143" i="17"/>
  <c r="X143" i="17"/>
  <c r="Y143" i="17" s="1"/>
  <c r="AB143" i="17"/>
  <c r="P144" i="17"/>
  <c r="T144" i="17"/>
  <c r="X144" i="17"/>
  <c r="Y144" i="17" s="1"/>
  <c r="AB144" i="17"/>
  <c r="P145" i="17"/>
  <c r="T145" i="17"/>
  <c r="X145" i="17"/>
  <c r="Y145" i="17" s="1"/>
  <c r="AB145" i="17"/>
  <c r="P146" i="17"/>
  <c r="T146" i="17"/>
  <c r="X146" i="17"/>
  <c r="Y146" i="17" s="1"/>
  <c r="AB146" i="17"/>
  <c r="P147" i="17"/>
  <c r="T147" i="17"/>
  <c r="X147" i="17"/>
  <c r="Y147" i="17" s="1"/>
  <c r="AB147" i="17"/>
  <c r="P148" i="17"/>
  <c r="T148" i="17"/>
  <c r="X148" i="17"/>
  <c r="Y148" i="17" s="1"/>
  <c r="AB148" i="17"/>
  <c r="P149" i="17"/>
  <c r="T149" i="17"/>
  <c r="X149" i="17"/>
  <c r="Y149" i="17" s="1"/>
  <c r="AB149" i="17"/>
  <c r="P150" i="17"/>
  <c r="T150" i="17"/>
  <c r="X150" i="17"/>
  <c r="Y150" i="17" s="1"/>
  <c r="AB150" i="17"/>
  <c r="P151" i="17"/>
  <c r="T151" i="17"/>
  <c r="X151" i="17"/>
  <c r="Y151" i="17" s="1"/>
  <c r="AB151" i="17"/>
  <c r="P152" i="17"/>
  <c r="T152" i="17"/>
  <c r="X152" i="17"/>
  <c r="Y152" i="17" s="1"/>
  <c r="AB152" i="17"/>
  <c r="P153" i="17"/>
  <c r="T153" i="17"/>
  <c r="X153" i="17"/>
  <c r="Y153" i="17" s="1"/>
  <c r="AB153" i="17"/>
  <c r="P154" i="17"/>
  <c r="T154" i="17"/>
  <c r="X154" i="17"/>
  <c r="Y154" i="17" s="1"/>
  <c r="AB154" i="17"/>
  <c r="P155" i="17"/>
  <c r="T155" i="17"/>
  <c r="X155" i="17"/>
  <c r="Y155" i="17" s="1"/>
  <c r="AB155" i="17"/>
  <c r="P156" i="17"/>
  <c r="T156" i="17"/>
  <c r="X156" i="17"/>
  <c r="Y156" i="17" s="1"/>
  <c r="AB156" i="17"/>
  <c r="P157" i="17"/>
  <c r="T157" i="17"/>
  <c r="X157" i="17"/>
  <c r="Y157" i="17" s="1"/>
  <c r="AB157" i="17"/>
  <c r="P158" i="17"/>
  <c r="T158" i="17"/>
  <c r="X158" i="17"/>
  <c r="Y158" i="17" s="1"/>
  <c r="AB158" i="17"/>
  <c r="P159" i="17"/>
  <c r="T159" i="17"/>
  <c r="X159" i="17"/>
  <c r="Y159" i="17" s="1"/>
  <c r="AB159" i="17"/>
  <c r="P160" i="17"/>
  <c r="T160" i="17"/>
  <c r="X160" i="17"/>
  <c r="Y160" i="17" s="1"/>
  <c r="AB160" i="17"/>
  <c r="P161" i="17"/>
  <c r="T161" i="17"/>
  <c r="X161" i="17"/>
  <c r="Y161" i="17" s="1"/>
  <c r="AB161" i="17"/>
  <c r="P162" i="17"/>
  <c r="T162" i="17"/>
  <c r="X162" i="17"/>
  <c r="Y162" i="17" s="1"/>
  <c r="AB162" i="17"/>
  <c r="P163" i="17"/>
  <c r="T163" i="17"/>
  <c r="X163" i="17"/>
  <c r="Y163" i="17" s="1"/>
  <c r="AB163" i="17"/>
  <c r="P164" i="17"/>
  <c r="T164" i="17"/>
  <c r="X164" i="17"/>
  <c r="Y164" i="17" s="1"/>
  <c r="AB164" i="17"/>
  <c r="P165" i="17"/>
  <c r="T165" i="17"/>
  <c r="X165" i="17"/>
  <c r="Y165" i="17" s="1"/>
  <c r="AB165" i="17"/>
  <c r="P166" i="17"/>
  <c r="T166" i="17"/>
  <c r="X166" i="17"/>
  <c r="Y166" i="17" s="1"/>
  <c r="AB166" i="17"/>
  <c r="P167" i="17"/>
  <c r="T167" i="17"/>
  <c r="X167" i="17"/>
  <c r="Y167" i="17" s="1"/>
  <c r="AB167" i="17"/>
  <c r="P168" i="17"/>
  <c r="T168" i="17"/>
  <c r="X168" i="17"/>
  <c r="Y168" i="17" s="1"/>
  <c r="AB168" i="17"/>
  <c r="P169" i="17"/>
  <c r="T169" i="17"/>
  <c r="X169" i="17"/>
  <c r="Y169" i="17" s="1"/>
  <c r="AB169" i="17"/>
  <c r="P170" i="17"/>
  <c r="T170" i="17"/>
  <c r="X170" i="17"/>
  <c r="Y170" i="17" s="1"/>
  <c r="AB170" i="17"/>
  <c r="P171" i="17"/>
  <c r="T171" i="17"/>
  <c r="X171" i="17"/>
  <c r="Y171" i="17" s="1"/>
  <c r="AB171" i="17"/>
  <c r="P172" i="17"/>
  <c r="T172" i="17"/>
  <c r="X172" i="17"/>
  <c r="Y172" i="17" s="1"/>
  <c r="AB172" i="17"/>
  <c r="P173" i="17"/>
  <c r="T173" i="17"/>
  <c r="X173" i="17"/>
  <c r="Y173" i="17" s="1"/>
  <c r="AB173" i="17"/>
  <c r="P174" i="17"/>
  <c r="T174" i="17"/>
  <c r="X174" i="17"/>
  <c r="Y174" i="17" s="1"/>
  <c r="AB174" i="17"/>
  <c r="P175" i="17"/>
  <c r="T175" i="17"/>
  <c r="X175" i="17"/>
  <c r="Y175" i="17" s="1"/>
  <c r="AB175" i="17"/>
  <c r="P176" i="17"/>
  <c r="T176" i="17"/>
  <c r="X176" i="17"/>
  <c r="Y176" i="17" s="1"/>
  <c r="AB176" i="17"/>
  <c r="P177" i="17"/>
  <c r="T177" i="17"/>
  <c r="X177" i="17"/>
  <c r="Y177" i="17" s="1"/>
  <c r="AB177" i="17"/>
  <c r="P178" i="17"/>
  <c r="T178" i="17"/>
  <c r="X178" i="17"/>
  <c r="Y178" i="17" s="1"/>
  <c r="AB178" i="17"/>
  <c r="P179" i="17"/>
  <c r="T179" i="17"/>
  <c r="X179" i="17"/>
  <c r="Y179" i="17" s="1"/>
  <c r="AB179" i="17"/>
  <c r="P180" i="17"/>
  <c r="T180" i="17"/>
  <c r="X180" i="17"/>
  <c r="Y180" i="17" s="1"/>
  <c r="AB180" i="17"/>
  <c r="P181" i="17"/>
  <c r="T181" i="17"/>
  <c r="X181" i="17"/>
  <c r="Y181" i="17" s="1"/>
  <c r="AB181" i="17"/>
  <c r="P182" i="17"/>
  <c r="T182" i="17"/>
  <c r="X182" i="17"/>
  <c r="Y182" i="17" s="1"/>
  <c r="AB182" i="17"/>
  <c r="P183" i="17"/>
  <c r="T183" i="17"/>
  <c r="X183" i="17"/>
  <c r="Y183" i="17" s="1"/>
  <c r="AB183" i="17"/>
  <c r="P184" i="17"/>
  <c r="T184" i="17"/>
  <c r="X184" i="17"/>
  <c r="Y184" i="17" s="1"/>
  <c r="AB184" i="17"/>
  <c r="P185" i="17"/>
  <c r="T185" i="17"/>
  <c r="X185" i="17"/>
  <c r="Y185" i="17" s="1"/>
  <c r="AB185" i="17"/>
  <c r="P186" i="17"/>
  <c r="T186" i="17"/>
  <c r="X186" i="17"/>
  <c r="Y186" i="17" s="1"/>
  <c r="AB186" i="17"/>
  <c r="P187" i="17"/>
  <c r="T187" i="17"/>
  <c r="X187" i="17"/>
  <c r="Y187" i="17" s="1"/>
  <c r="AB187" i="17"/>
  <c r="P188" i="17"/>
  <c r="T188" i="17"/>
  <c r="X188" i="17"/>
  <c r="Y188" i="17" s="1"/>
  <c r="AB188" i="17"/>
  <c r="P189" i="17"/>
  <c r="T189" i="17"/>
  <c r="X189" i="17"/>
  <c r="Y189" i="17" s="1"/>
  <c r="AB189" i="17"/>
  <c r="P190" i="17"/>
  <c r="T190" i="17"/>
  <c r="X190" i="17"/>
  <c r="Y190" i="17" s="1"/>
  <c r="AB190" i="17"/>
  <c r="P191" i="17"/>
  <c r="T191" i="17"/>
  <c r="X191" i="17"/>
  <c r="Y191" i="17" s="1"/>
  <c r="AB191" i="17"/>
  <c r="P192" i="17"/>
  <c r="T192" i="17"/>
  <c r="X192" i="17"/>
  <c r="Y192" i="17" s="1"/>
  <c r="AB192" i="17"/>
  <c r="P193" i="17"/>
  <c r="T193" i="17"/>
  <c r="X193" i="17"/>
  <c r="Y193" i="17" s="1"/>
  <c r="AB193" i="17"/>
  <c r="P194" i="17"/>
  <c r="T194" i="17"/>
  <c r="X194" i="17"/>
  <c r="Y194" i="17" s="1"/>
  <c r="AB194" i="17"/>
  <c r="P195" i="17"/>
  <c r="T195" i="17"/>
  <c r="X195" i="17"/>
  <c r="Y195" i="17" s="1"/>
  <c r="AB195" i="17"/>
  <c r="P196" i="17"/>
  <c r="T196" i="17"/>
  <c r="X196" i="17"/>
  <c r="Y196" i="17" s="1"/>
  <c r="AB196" i="17"/>
  <c r="P197" i="17"/>
  <c r="T197" i="17"/>
  <c r="X197" i="17"/>
  <c r="Y197" i="17" s="1"/>
  <c r="AB197" i="17"/>
  <c r="P198" i="17"/>
  <c r="T198" i="17"/>
  <c r="X198" i="17"/>
  <c r="Y198" i="17" s="1"/>
  <c r="AB198" i="17"/>
  <c r="P199" i="17"/>
  <c r="T199" i="17"/>
  <c r="X199" i="17"/>
  <c r="Y199" i="17" s="1"/>
  <c r="AB199" i="17"/>
  <c r="P200" i="17"/>
  <c r="T200" i="17"/>
  <c r="X200" i="17"/>
  <c r="Y200" i="17" s="1"/>
  <c r="AB200" i="17"/>
  <c r="P201" i="17"/>
  <c r="T201" i="17"/>
  <c r="X201" i="17"/>
  <c r="Y201" i="17" s="1"/>
  <c r="AB201" i="17"/>
  <c r="P202" i="17"/>
  <c r="T202" i="17"/>
  <c r="X202" i="17"/>
  <c r="Y202" i="17" s="1"/>
  <c r="AB202" i="17"/>
  <c r="P203" i="17"/>
  <c r="T203" i="17"/>
  <c r="X203" i="17"/>
  <c r="Y203" i="17" s="1"/>
  <c r="AB203" i="17"/>
  <c r="P204" i="17"/>
  <c r="T204" i="17"/>
  <c r="X204" i="17"/>
  <c r="Y204" i="17" s="1"/>
  <c r="AB204" i="17"/>
  <c r="P205" i="17"/>
  <c r="T205" i="17"/>
  <c r="X205" i="17"/>
  <c r="Y205" i="17" s="1"/>
  <c r="AB205" i="17"/>
  <c r="P206" i="17"/>
  <c r="T206" i="17"/>
  <c r="X206" i="17"/>
  <c r="Y206" i="17" s="1"/>
  <c r="AJ206" i="17"/>
  <c r="AI207" i="17"/>
  <c r="AA207" i="17"/>
  <c r="AG207" i="17" s="1"/>
  <c r="W207" i="17"/>
  <c r="AD207" i="17" s="1"/>
  <c r="P207" i="17"/>
  <c r="T207" i="17"/>
  <c r="Y207" i="17"/>
  <c r="AJ207" i="17"/>
  <c r="AI209" i="17"/>
  <c r="AA209" i="17"/>
  <c r="AG209" i="17" s="1"/>
  <c r="W209" i="17"/>
  <c r="AD209" i="17" s="1"/>
  <c r="S209" i="17"/>
  <c r="O209" i="17"/>
  <c r="K209" i="17"/>
  <c r="Q209" i="17"/>
  <c r="V209" i="17"/>
  <c r="AB209" i="17"/>
  <c r="AL209" i="17"/>
  <c r="P210" i="17"/>
  <c r="U210" i="17"/>
  <c r="AF210" i="17" s="1"/>
  <c r="Z210" i="17"/>
  <c r="AA210" i="17" s="1"/>
  <c r="AG210" i="17" s="1"/>
  <c r="N211" i="17"/>
  <c r="T211" i="17"/>
  <c r="Y211" i="17"/>
  <c r="AI213" i="17"/>
  <c r="AA213" i="17"/>
  <c r="AG213" i="17" s="1"/>
  <c r="W213" i="17"/>
  <c r="AD213" i="17" s="1"/>
  <c r="S213" i="17"/>
  <c r="O213" i="17"/>
  <c r="K213" i="17"/>
  <c r="Q213" i="17"/>
  <c r="V213" i="17"/>
  <c r="AB213" i="17"/>
  <c r="AL213" i="17"/>
  <c r="P214" i="17"/>
  <c r="U214" i="17"/>
  <c r="AF214" i="17" s="1"/>
  <c r="Z214" i="17"/>
  <c r="N215" i="17"/>
  <c r="T215" i="17"/>
  <c r="Y215" i="17"/>
  <c r="AI217" i="17"/>
  <c r="AA217" i="17"/>
  <c r="AG217" i="17" s="1"/>
  <c r="W217" i="17"/>
  <c r="AD217" i="17" s="1"/>
  <c r="S217" i="17"/>
  <c r="O217" i="17"/>
  <c r="K217" i="17"/>
  <c r="Q217" i="17"/>
  <c r="V217" i="17"/>
  <c r="AB217" i="17"/>
  <c r="AL217" i="17"/>
  <c r="P218" i="17"/>
  <c r="U218" i="17"/>
  <c r="AF218" i="17" s="1"/>
  <c r="Z218" i="17"/>
  <c r="AA218" i="17" s="1"/>
  <c r="AG218" i="17" s="1"/>
  <c r="N219" i="17"/>
  <c r="T219" i="17"/>
  <c r="Y219" i="17"/>
  <c r="R225" i="17"/>
  <c r="AI226" i="17"/>
  <c r="AA226" i="17"/>
  <c r="AG226" i="17" s="1"/>
  <c r="W226" i="17"/>
  <c r="AD226" i="17" s="1"/>
  <c r="S226" i="17"/>
  <c r="O226" i="17"/>
  <c r="K226" i="17"/>
  <c r="AJ226" i="17"/>
  <c r="Y226" i="17"/>
  <c r="T226" i="17"/>
  <c r="N226" i="17"/>
  <c r="AH226" i="17"/>
  <c r="AC226" i="17"/>
  <c r="AE226" i="17" s="1"/>
  <c r="X226" i="17"/>
  <c r="R226" i="17"/>
  <c r="M226" i="17"/>
  <c r="V226" i="17"/>
  <c r="AB226" i="17" s="1"/>
  <c r="Q229" i="17"/>
  <c r="Q233" i="17"/>
  <c r="AB233" i="17"/>
  <c r="Q237" i="17"/>
  <c r="Q241" i="17"/>
  <c r="AB241" i="17"/>
  <c r="Q245" i="17"/>
  <c r="Q249" i="17"/>
  <c r="AB249" i="17"/>
  <c r="Q253" i="17"/>
  <c r="Q257" i="17"/>
  <c r="AB257" i="17"/>
  <c r="Q261" i="17"/>
  <c r="AI265" i="17"/>
  <c r="AA265" i="17"/>
  <c r="AG265" i="17" s="1"/>
  <c r="W265" i="17"/>
  <c r="AD265" i="17" s="1"/>
  <c r="S265" i="17"/>
  <c r="O265" i="17"/>
  <c r="K265" i="17"/>
  <c r="AK265" i="17"/>
  <c r="AC265" i="17"/>
  <c r="AE265" i="17" s="1"/>
  <c r="U265" i="17"/>
  <c r="AF265" i="17" s="1"/>
  <c r="Q265" i="17"/>
  <c r="M265" i="17"/>
  <c r="X265" i="17"/>
  <c r="Y265" i="17" s="1"/>
  <c r="P265" i="17"/>
  <c r="AL265" i="17"/>
  <c r="V265" i="17"/>
  <c r="N265" i="17"/>
  <c r="AB265" i="17"/>
  <c r="T267" i="17"/>
  <c r="AI269" i="17"/>
  <c r="AA269" i="17"/>
  <c r="AG269" i="17" s="1"/>
  <c r="W269" i="17"/>
  <c r="AD269" i="17" s="1"/>
  <c r="S269" i="17"/>
  <c r="O269" i="17"/>
  <c r="K269" i="17"/>
  <c r="AK269" i="17"/>
  <c r="AC269" i="17"/>
  <c r="AE269" i="17" s="1"/>
  <c r="U269" i="17"/>
  <c r="AF269" i="17" s="1"/>
  <c r="Q269" i="17"/>
  <c r="M269" i="17"/>
  <c r="X269" i="17"/>
  <c r="Y269" i="17" s="1"/>
  <c r="P269" i="17"/>
  <c r="AL269" i="17"/>
  <c r="V269" i="17"/>
  <c r="N269" i="17"/>
  <c r="AB269" i="17"/>
  <c r="AI272" i="17"/>
  <c r="W272" i="17"/>
  <c r="AD272" i="17" s="1"/>
  <c r="S272" i="17"/>
  <c r="O272" i="17"/>
  <c r="K272" i="17"/>
  <c r="AK272" i="17"/>
  <c r="AC272" i="17"/>
  <c r="AE272" i="17" s="1"/>
  <c r="Y272" i="17"/>
  <c r="U272" i="17"/>
  <c r="AF272" i="17" s="1"/>
  <c r="Q272" i="17"/>
  <c r="M272" i="17"/>
  <c r="AH272" i="17"/>
  <c r="Z272" i="17"/>
  <c r="AA272" i="17" s="1"/>
  <c r="AG272" i="17" s="1"/>
  <c r="R272" i="17"/>
  <c r="AL272" i="17"/>
  <c r="P272" i="17"/>
  <c r="AJ272" i="17"/>
  <c r="X272" i="17"/>
  <c r="N272" i="17"/>
  <c r="AI210" i="17"/>
  <c r="W210" i="17"/>
  <c r="AD210" i="17" s="1"/>
  <c r="S210" i="17"/>
  <c r="O210" i="17"/>
  <c r="K210" i="17"/>
  <c r="Q210" i="17"/>
  <c r="V210" i="17"/>
  <c r="AB210" i="17" s="1"/>
  <c r="AL210" i="17"/>
  <c r="AI214" i="17"/>
  <c r="AA214" i="17"/>
  <c r="AG214" i="17" s="1"/>
  <c r="W214" i="17"/>
  <c r="AD214" i="17" s="1"/>
  <c r="S214" i="17"/>
  <c r="O214" i="17"/>
  <c r="K214" i="17"/>
  <c r="Q214" i="17"/>
  <c r="V214" i="17"/>
  <c r="AB214" i="17"/>
  <c r="AL214" i="17"/>
  <c r="AI218" i="17"/>
  <c r="W218" i="17"/>
  <c r="AD218" i="17" s="1"/>
  <c r="S218" i="17"/>
  <c r="O218" i="17"/>
  <c r="K218" i="17"/>
  <c r="Q218" i="17"/>
  <c r="V218" i="17"/>
  <c r="AB218" i="17" s="1"/>
  <c r="AL218" i="17"/>
  <c r="AI225" i="17"/>
  <c r="AA225" i="17"/>
  <c r="AG225" i="17" s="1"/>
  <c r="W225" i="17"/>
  <c r="AD225" i="17" s="1"/>
  <c r="S225" i="17"/>
  <c r="O225" i="17"/>
  <c r="K225" i="17"/>
  <c r="AK225" i="17"/>
  <c r="Z225" i="17"/>
  <c r="U225" i="17"/>
  <c r="AF225" i="17" s="1"/>
  <c r="P225" i="17"/>
  <c r="AJ225" i="17"/>
  <c r="T225" i="17"/>
  <c r="N225" i="17"/>
  <c r="V225" i="17"/>
  <c r="AB225" i="17" s="1"/>
  <c r="AI230" i="17"/>
  <c r="AA230" i="17"/>
  <c r="AG230" i="17" s="1"/>
  <c r="W230" i="17"/>
  <c r="AD230" i="17" s="1"/>
  <c r="S230" i="17"/>
  <c r="O230" i="17"/>
  <c r="K230" i="17"/>
  <c r="AJ230" i="17"/>
  <c r="Y230" i="17"/>
  <c r="T230" i="17"/>
  <c r="N230" i="17"/>
  <c r="AH230" i="17"/>
  <c r="AC230" i="17"/>
  <c r="AE230" i="17" s="1"/>
  <c r="X230" i="17"/>
  <c r="R230" i="17"/>
  <c r="M230" i="17"/>
  <c r="V230" i="17"/>
  <c r="AB230" i="17" s="1"/>
  <c r="AI234" i="17"/>
  <c r="W234" i="17"/>
  <c r="AD234" i="17" s="1"/>
  <c r="S234" i="17"/>
  <c r="O234" i="17"/>
  <c r="K234" i="17"/>
  <c r="AJ234" i="17"/>
  <c r="Y234" i="17"/>
  <c r="T234" i="17"/>
  <c r="N234" i="17"/>
  <c r="AH234" i="17"/>
  <c r="AC234" i="17"/>
  <c r="AE234" i="17" s="1"/>
  <c r="X234" i="17"/>
  <c r="R234" i="17"/>
  <c r="M234" i="17"/>
  <c r="V234" i="17"/>
  <c r="AB234" i="17" s="1"/>
  <c r="AI238" i="17"/>
  <c r="AA238" i="17"/>
  <c r="AG238" i="17" s="1"/>
  <c r="W238" i="17"/>
  <c r="AD238" i="17" s="1"/>
  <c r="S238" i="17"/>
  <c r="O238" i="17"/>
  <c r="K238" i="17"/>
  <c r="AJ238" i="17"/>
  <c r="Y238" i="17"/>
  <c r="T238" i="17"/>
  <c r="N238" i="17"/>
  <c r="AH238" i="17"/>
  <c r="AC238" i="17"/>
  <c r="AE238" i="17" s="1"/>
  <c r="X238" i="17"/>
  <c r="R238" i="17"/>
  <c r="M238" i="17"/>
  <c r="V238" i="17"/>
  <c r="AB238" i="17" s="1"/>
  <c r="AI242" i="17"/>
  <c r="W242" i="17"/>
  <c r="AD242" i="17" s="1"/>
  <c r="S242" i="17"/>
  <c r="O242" i="17"/>
  <c r="K242" i="17"/>
  <c r="AJ242" i="17"/>
  <c r="Y242" i="17"/>
  <c r="T242" i="17"/>
  <c r="N242" i="17"/>
  <c r="AH242" i="17"/>
  <c r="AC242" i="17"/>
  <c r="AE242" i="17" s="1"/>
  <c r="X242" i="17"/>
  <c r="R242" i="17"/>
  <c r="M242" i="17"/>
  <c r="V242" i="17"/>
  <c r="AB242" i="17" s="1"/>
  <c r="AI246" i="17"/>
  <c r="AA246" i="17"/>
  <c r="AG246" i="17" s="1"/>
  <c r="W246" i="17"/>
  <c r="AD246" i="17" s="1"/>
  <c r="S246" i="17"/>
  <c r="O246" i="17"/>
  <c r="K246" i="17"/>
  <c r="AJ246" i="17"/>
  <c r="Y246" i="17"/>
  <c r="T246" i="17"/>
  <c r="N246" i="17"/>
  <c r="AH246" i="17"/>
  <c r="AC246" i="17"/>
  <c r="AE246" i="17" s="1"/>
  <c r="X246" i="17"/>
  <c r="R246" i="17"/>
  <c r="M246" i="17"/>
  <c r="V246" i="17"/>
  <c r="AB246" i="17" s="1"/>
  <c r="AI250" i="17"/>
  <c r="W250" i="17"/>
  <c r="AD250" i="17" s="1"/>
  <c r="S250" i="17"/>
  <c r="O250" i="17"/>
  <c r="K250" i="17"/>
  <c r="AJ250" i="17"/>
  <c r="Y250" i="17"/>
  <c r="T250" i="17"/>
  <c r="N250" i="17"/>
  <c r="AH250" i="17"/>
  <c r="AC250" i="17"/>
  <c r="AE250" i="17" s="1"/>
  <c r="X250" i="17"/>
  <c r="R250" i="17"/>
  <c r="M250" i="17"/>
  <c r="V250" i="17"/>
  <c r="AB250" i="17" s="1"/>
  <c r="AI254" i="17"/>
  <c r="AA254" i="17"/>
  <c r="AG254" i="17" s="1"/>
  <c r="W254" i="17"/>
  <c r="AD254" i="17" s="1"/>
  <c r="S254" i="17"/>
  <c r="O254" i="17"/>
  <c r="K254" i="17"/>
  <c r="AJ254" i="17"/>
  <c r="Y254" i="17"/>
  <c r="T254" i="17"/>
  <c r="N254" i="17"/>
  <c r="AH254" i="17"/>
  <c r="AC254" i="17"/>
  <c r="AE254" i="17" s="1"/>
  <c r="X254" i="17"/>
  <c r="R254" i="17"/>
  <c r="M254" i="17"/>
  <c r="V254" i="17"/>
  <c r="AB254" i="17" s="1"/>
  <c r="AI258" i="17"/>
  <c r="W258" i="17"/>
  <c r="AD258" i="17" s="1"/>
  <c r="S258" i="17"/>
  <c r="O258" i="17"/>
  <c r="K258" i="17"/>
  <c r="AJ258" i="17"/>
  <c r="Y258" i="17"/>
  <c r="T258" i="17"/>
  <c r="N258" i="17"/>
  <c r="AH258" i="17"/>
  <c r="AC258" i="17"/>
  <c r="AE258" i="17" s="1"/>
  <c r="X258" i="17"/>
  <c r="R258" i="17"/>
  <c r="M258" i="17"/>
  <c r="V258" i="17"/>
  <c r="AB258" i="17" s="1"/>
  <c r="AI262" i="17"/>
  <c r="AA262" i="17"/>
  <c r="AG262" i="17" s="1"/>
  <c r="W262" i="17"/>
  <c r="AD262" i="17" s="1"/>
  <c r="S262" i="17"/>
  <c r="O262" i="17"/>
  <c r="K262" i="17"/>
  <c r="AJ262" i="17"/>
  <c r="Y262" i="17"/>
  <c r="T262" i="17"/>
  <c r="N262" i="17"/>
  <c r="AH262" i="17"/>
  <c r="AC262" i="17"/>
  <c r="AE262" i="17" s="1"/>
  <c r="X262" i="17"/>
  <c r="R262" i="17"/>
  <c r="M262" i="17"/>
  <c r="V262" i="17"/>
  <c r="AB262" i="17" s="1"/>
  <c r="AI273" i="17"/>
  <c r="AA273" i="17"/>
  <c r="AG273" i="17" s="1"/>
  <c r="W273" i="17"/>
  <c r="AD273" i="17" s="1"/>
  <c r="S273" i="17"/>
  <c r="O273" i="17"/>
  <c r="K273" i="17"/>
  <c r="AK273" i="17"/>
  <c r="AC273" i="17"/>
  <c r="AE273" i="17" s="1"/>
  <c r="Y273" i="17"/>
  <c r="U273" i="17"/>
  <c r="AF273" i="17" s="1"/>
  <c r="Q273" i="17"/>
  <c r="M273" i="17"/>
  <c r="AL273" i="17"/>
  <c r="V273" i="17"/>
  <c r="AB273" i="17" s="1"/>
  <c r="N273" i="17"/>
  <c r="T273" i="17"/>
  <c r="R273" i="17"/>
  <c r="AH273" i="17"/>
  <c r="AI275" i="17"/>
  <c r="W275" i="17"/>
  <c r="AD275" i="17" s="1"/>
  <c r="S275" i="17"/>
  <c r="O275" i="17"/>
  <c r="K275" i="17"/>
  <c r="AK275" i="17"/>
  <c r="AC275" i="17"/>
  <c r="AE275" i="17" s="1"/>
  <c r="Y275" i="17"/>
  <c r="U275" i="17"/>
  <c r="AF275" i="17" s="1"/>
  <c r="Q275" i="17"/>
  <c r="M275" i="17"/>
  <c r="AL275" i="17"/>
  <c r="V275" i="17"/>
  <c r="N275" i="17"/>
  <c r="AB275" i="17"/>
  <c r="R275" i="17"/>
  <c r="AJ275" i="17"/>
  <c r="Z275" i="17"/>
  <c r="AA275" i="17" s="1"/>
  <c r="AG275" i="17" s="1"/>
  <c r="P275" i="17"/>
  <c r="AH275" i="17"/>
  <c r="AI282" i="17"/>
  <c r="W282" i="17"/>
  <c r="AD282" i="17" s="1"/>
  <c r="S282" i="17"/>
  <c r="O282" i="17"/>
  <c r="K282" i="17"/>
  <c r="AK282" i="17"/>
  <c r="AC282" i="17"/>
  <c r="AE282" i="17" s="1"/>
  <c r="U282" i="17"/>
  <c r="AF282" i="17" s="1"/>
  <c r="Q282" i="17"/>
  <c r="M282" i="17"/>
  <c r="AH282" i="17"/>
  <c r="Z282" i="17"/>
  <c r="AA282" i="17" s="1"/>
  <c r="AG282" i="17" s="1"/>
  <c r="R282" i="17"/>
  <c r="X282" i="17"/>
  <c r="Y282" i="17" s="1"/>
  <c r="P282" i="17"/>
  <c r="AL282" i="17"/>
  <c r="V282" i="17"/>
  <c r="AB282" i="17" s="1"/>
  <c r="AJ282" i="17"/>
  <c r="T282" i="17"/>
  <c r="AI288" i="17"/>
  <c r="W288" i="17"/>
  <c r="AD288" i="17" s="1"/>
  <c r="S288" i="17"/>
  <c r="O288" i="17"/>
  <c r="K288" i="17"/>
  <c r="AK288" i="17"/>
  <c r="AC288" i="17"/>
  <c r="AE288" i="17" s="1"/>
  <c r="Y288" i="17"/>
  <c r="U288" i="17"/>
  <c r="AF288" i="17" s="1"/>
  <c r="Q288" i="17"/>
  <c r="M288" i="17"/>
  <c r="AH288" i="17"/>
  <c r="Z288" i="17"/>
  <c r="AA288" i="17" s="1"/>
  <c r="AG288" i="17" s="1"/>
  <c r="R288" i="17"/>
  <c r="X288" i="17"/>
  <c r="P288" i="17"/>
  <c r="AJ288" i="17"/>
  <c r="T288" i="17"/>
  <c r="N288" i="17"/>
  <c r="AI298" i="17"/>
  <c r="W298" i="17"/>
  <c r="AD298" i="17" s="1"/>
  <c r="S298" i="17"/>
  <c r="O298" i="17"/>
  <c r="K298" i="17"/>
  <c r="AK298" i="17"/>
  <c r="AC298" i="17"/>
  <c r="AE298" i="17" s="1"/>
  <c r="Y298" i="17"/>
  <c r="U298" i="17"/>
  <c r="AF298" i="17" s="1"/>
  <c r="Q298" i="17"/>
  <c r="M298" i="17"/>
  <c r="AH298" i="17"/>
  <c r="Z298" i="17"/>
  <c r="AA298" i="17" s="1"/>
  <c r="AG298" i="17" s="1"/>
  <c r="R298" i="17"/>
  <c r="X298" i="17"/>
  <c r="P298" i="17"/>
  <c r="AL298" i="17"/>
  <c r="V298" i="17"/>
  <c r="AB298" i="17" s="1"/>
  <c r="AJ298" i="17"/>
  <c r="T298" i="17"/>
  <c r="AB306" i="17"/>
  <c r="AI313" i="17"/>
  <c r="W313" i="17"/>
  <c r="AD313" i="17" s="1"/>
  <c r="S313" i="17"/>
  <c r="O313" i="17"/>
  <c r="K313" i="17"/>
  <c r="AL313" i="17"/>
  <c r="AH313" i="17"/>
  <c r="Z313" i="17"/>
  <c r="AA313" i="17" s="1"/>
  <c r="AG313" i="17" s="1"/>
  <c r="V313" i="17"/>
  <c r="R313" i="17"/>
  <c r="N313" i="17"/>
  <c r="AK313" i="17"/>
  <c r="AC313" i="17"/>
  <c r="AE313" i="17" s="1"/>
  <c r="Y313" i="17"/>
  <c r="U313" i="17"/>
  <c r="AF313" i="17" s="1"/>
  <c r="Q313" i="17"/>
  <c r="M313" i="17"/>
  <c r="AJ313" i="17"/>
  <c r="T313" i="17"/>
  <c r="P313" i="17"/>
  <c r="X313" i="17"/>
  <c r="AB313" i="17"/>
  <c r="AB317" i="17"/>
  <c r="AB369" i="17"/>
  <c r="V206" i="17"/>
  <c r="AB206" i="17" s="1"/>
  <c r="Z206" i="17"/>
  <c r="AA206" i="17" s="1"/>
  <c r="AG206" i="17" s="1"/>
  <c r="AH206" i="17"/>
  <c r="N207" i="17"/>
  <c r="R207" i="17"/>
  <c r="V207" i="17"/>
  <c r="AB207" i="17" s="1"/>
  <c r="AL207" i="17"/>
  <c r="N209" i="17"/>
  <c r="T209" i="17"/>
  <c r="Y209" i="17"/>
  <c r="AJ209" i="17"/>
  <c r="M210" i="17"/>
  <c r="R210" i="17"/>
  <c r="X210" i="17"/>
  <c r="Y210" i="17" s="1"/>
  <c r="AC210" i="17"/>
  <c r="AE210" i="17" s="1"/>
  <c r="AH210" i="17"/>
  <c r="AI211" i="17"/>
  <c r="AA211" i="17"/>
  <c r="AG211" i="17" s="1"/>
  <c r="W211" i="17"/>
  <c r="AD211" i="17" s="1"/>
  <c r="S211" i="17"/>
  <c r="O211" i="17"/>
  <c r="K211" i="17"/>
  <c r="Q211" i="17"/>
  <c r="V211" i="17"/>
  <c r="AB211" i="17" s="1"/>
  <c r="AL211" i="17"/>
  <c r="N213" i="17"/>
  <c r="T213" i="17"/>
  <c r="Y213" i="17"/>
  <c r="AJ213" i="17"/>
  <c r="M214" i="17"/>
  <c r="R214" i="17"/>
  <c r="X214" i="17"/>
  <c r="Y214" i="17" s="1"/>
  <c r="AC214" i="17"/>
  <c r="AE214" i="17" s="1"/>
  <c r="AH214" i="17"/>
  <c r="AI215" i="17"/>
  <c r="AA215" i="17"/>
  <c r="AG215" i="17" s="1"/>
  <c r="W215" i="17"/>
  <c r="AD215" i="17" s="1"/>
  <c r="S215" i="17"/>
  <c r="O215" i="17"/>
  <c r="K215" i="17"/>
  <c r="Q215" i="17"/>
  <c r="V215" i="17"/>
  <c r="AB215" i="17"/>
  <c r="AL215" i="17"/>
  <c r="AJ217" i="17"/>
  <c r="M218" i="17"/>
  <c r="R218" i="17"/>
  <c r="X218" i="17"/>
  <c r="Y218" i="17" s="1"/>
  <c r="AC218" i="17"/>
  <c r="AE218" i="17" s="1"/>
  <c r="AH218" i="17"/>
  <c r="AI219" i="17"/>
  <c r="AA219" i="17"/>
  <c r="AG219" i="17" s="1"/>
  <c r="W219" i="17"/>
  <c r="AD219" i="17" s="1"/>
  <c r="S219" i="17"/>
  <c r="O219" i="17"/>
  <c r="K219" i="17"/>
  <c r="Q219" i="17"/>
  <c r="V219" i="17"/>
  <c r="AB219" i="17"/>
  <c r="AL219" i="17"/>
  <c r="M225" i="17"/>
  <c r="X225" i="17"/>
  <c r="Y225" i="17" s="1"/>
  <c r="AH225" i="17"/>
  <c r="AI229" i="17"/>
  <c r="W229" i="17"/>
  <c r="AD229" i="17" s="1"/>
  <c r="S229" i="17"/>
  <c r="O229" i="17"/>
  <c r="K229" i="17"/>
  <c r="AK229" i="17"/>
  <c r="Z229" i="17"/>
  <c r="AA229" i="17" s="1"/>
  <c r="AG229" i="17" s="1"/>
  <c r="U229" i="17"/>
  <c r="AF229" i="17" s="1"/>
  <c r="P229" i="17"/>
  <c r="AJ229" i="17"/>
  <c r="Y229" i="17"/>
  <c r="T229" i="17"/>
  <c r="N229" i="17"/>
  <c r="V229" i="17"/>
  <c r="AB229" i="17" s="1"/>
  <c r="P230" i="17"/>
  <c r="Z230" i="17"/>
  <c r="AK230" i="17"/>
  <c r="AI233" i="17"/>
  <c r="AA233" i="17"/>
  <c r="AG233" i="17" s="1"/>
  <c r="W233" i="17"/>
  <c r="AD233" i="17" s="1"/>
  <c r="S233" i="17"/>
  <c r="O233" i="17"/>
  <c r="K233" i="17"/>
  <c r="AK233" i="17"/>
  <c r="Z233" i="17"/>
  <c r="U233" i="17"/>
  <c r="AF233" i="17" s="1"/>
  <c r="P233" i="17"/>
  <c r="AJ233" i="17"/>
  <c r="Y233" i="17"/>
  <c r="T233" i="17"/>
  <c r="N233" i="17"/>
  <c r="V233" i="17"/>
  <c r="P234" i="17"/>
  <c r="Z234" i="17"/>
  <c r="AA234" i="17" s="1"/>
  <c r="AG234" i="17" s="1"/>
  <c r="AK234" i="17"/>
  <c r="AI237" i="17"/>
  <c r="W237" i="17"/>
  <c r="AD237" i="17" s="1"/>
  <c r="S237" i="17"/>
  <c r="O237" i="17"/>
  <c r="K237" i="17"/>
  <c r="AK237" i="17"/>
  <c r="Z237" i="17"/>
  <c r="AA237" i="17" s="1"/>
  <c r="AG237" i="17" s="1"/>
  <c r="U237" i="17"/>
  <c r="AF237" i="17" s="1"/>
  <c r="P237" i="17"/>
  <c r="AJ237" i="17"/>
  <c r="Y237" i="17"/>
  <c r="T237" i="17"/>
  <c r="N237" i="17"/>
  <c r="V237" i="17"/>
  <c r="AB237" i="17" s="1"/>
  <c r="P238" i="17"/>
  <c r="Z238" i="17"/>
  <c r="AK238" i="17"/>
  <c r="AI241" i="17"/>
  <c r="AA241" i="17"/>
  <c r="AG241" i="17" s="1"/>
  <c r="W241" i="17"/>
  <c r="AD241" i="17" s="1"/>
  <c r="S241" i="17"/>
  <c r="O241" i="17"/>
  <c r="K241" i="17"/>
  <c r="AK241" i="17"/>
  <c r="Z241" i="17"/>
  <c r="U241" i="17"/>
  <c r="AF241" i="17" s="1"/>
  <c r="P241" i="17"/>
  <c r="AJ241" i="17"/>
  <c r="Y241" i="17"/>
  <c r="T241" i="17"/>
  <c r="N241" i="17"/>
  <c r="V241" i="17"/>
  <c r="P242" i="17"/>
  <c r="Z242" i="17"/>
  <c r="AA242" i="17" s="1"/>
  <c r="AG242" i="17" s="1"/>
  <c r="AK242" i="17"/>
  <c r="AI245" i="17"/>
  <c r="W245" i="17"/>
  <c r="AD245" i="17" s="1"/>
  <c r="S245" i="17"/>
  <c r="O245" i="17"/>
  <c r="K245" i="17"/>
  <c r="AK245" i="17"/>
  <c r="Z245" i="17"/>
  <c r="AA245" i="17" s="1"/>
  <c r="AG245" i="17" s="1"/>
  <c r="U245" i="17"/>
  <c r="AF245" i="17" s="1"/>
  <c r="P245" i="17"/>
  <c r="AJ245" i="17"/>
  <c r="Y245" i="17"/>
  <c r="T245" i="17"/>
  <c r="N245" i="17"/>
  <c r="V245" i="17"/>
  <c r="AB245" i="17" s="1"/>
  <c r="P246" i="17"/>
  <c r="Z246" i="17"/>
  <c r="AK246" i="17"/>
  <c r="AI249" i="17"/>
  <c r="AA249" i="17"/>
  <c r="AG249" i="17" s="1"/>
  <c r="W249" i="17"/>
  <c r="AD249" i="17" s="1"/>
  <c r="S249" i="17"/>
  <c r="O249" i="17"/>
  <c r="K249" i="17"/>
  <c r="AK249" i="17"/>
  <c r="Z249" i="17"/>
  <c r="U249" i="17"/>
  <c r="AF249" i="17" s="1"/>
  <c r="P249" i="17"/>
  <c r="AJ249" i="17"/>
  <c r="Y249" i="17"/>
  <c r="T249" i="17"/>
  <c r="N249" i="17"/>
  <c r="V249" i="17"/>
  <c r="P250" i="17"/>
  <c r="Z250" i="17"/>
  <c r="AA250" i="17" s="1"/>
  <c r="AG250" i="17" s="1"/>
  <c r="AK250" i="17"/>
  <c r="AI253" i="17"/>
  <c r="W253" i="17"/>
  <c r="AD253" i="17" s="1"/>
  <c r="S253" i="17"/>
  <c r="O253" i="17"/>
  <c r="K253" i="17"/>
  <c r="AK253" i="17"/>
  <c r="Z253" i="17"/>
  <c r="AA253" i="17" s="1"/>
  <c r="AG253" i="17" s="1"/>
  <c r="U253" i="17"/>
  <c r="AF253" i="17" s="1"/>
  <c r="P253" i="17"/>
  <c r="AJ253" i="17"/>
  <c r="Y253" i="17"/>
  <c r="T253" i="17"/>
  <c r="N253" i="17"/>
  <c r="V253" i="17"/>
  <c r="AB253" i="17" s="1"/>
  <c r="P254" i="17"/>
  <c r="Z254" i="17"/>
  <c r="AK254" i="17"/>
  <c r="AI257" i="17"/>
  <c r="AA257" i="17"/>
  <c r="AG257" i="17" s="1"/>
  <c r="W257" i="17"/>
  <c r="AD257" i="17" s="1"/>
  <c r="S257" i="17"/>
  <c r="O257" i="17"/>
  <c r="K257" i="17"/>
  <c r="AK257" i="17"/>
  <c r="Z257" i="17"/>
  <c r="U257" i="17"/>
  <c r="AF257" i="17" s="1"/>
  <c r="P257" i="17"/>
  <c r="AJ257" i="17"/>
  <c r="Y257" i="17"/>
  <c r="T257" i="17"/>
  <c r="N257" i="17"/>
  <c r="V257" i="17"/>
  <c r="P258" i="17"/>
  <c r="Z258" i="17"/>
  <c r="AA258" i="17" s="1"/>
  <c r="AG258" i="17" s="1"/>
  <c r="AK258" i="17"/>
  <c r="AI261" i="17"/>
  <c r="W261" i="17"/>
  <c r="AD261" i="17" s="1"/>
  <c r="S261" i="17"/>
  <c r="O261" i="17"/>
  <c r="K261" i="17"/>
  <c r="AK261" i="17"/>
  <c r="Z261" i="17"/>
  <c r="AA261" i="17" s="1"/>
  <c r="AG261" i="17" s="1"/>
  <c r="U261" i="17"/>
  <c r="AF261" i="17" s="1"/>
  <c r="P261" i="17"/>
  <c r="AJ261" i="17"/>
  <c r="Y261" i="17"/>
  <c r="T261" i="17"/>
  <c r="N261" i="17"/>
  <c r="V261" i="17"/>
  <c r="AB261" i="17" s="1"/>
  <c r="P262" i="17"/>
  <c r="Z262" i="17"/>
  <c r="AK262" i="17"/>
  <c r="T265" i="17"/>
  <c r="AJ265" i="17"/>
  <c r="AI267" i="17"/>
  <c r="AA267" i="17"/>
  <c r="AG267" i="17" s="1"/>
  <c r="W267" i="17"/>
  <c r="AD267" i="17" s="1"/>
  <c r="S267" i="17"/>
  <c r="O267" i="17"/>
  <c r="K267" i="17"/>
  <c r="AK267" i="17"/>
  <c r="AC267" i="17"/>
  <c r="AE267" i="17" s="1"/>
  <c r="U267" i="17"/>
  <c r="AF267" i="17" s="1"/>
  <c r="Q267" i="17"/>
  <c r="M267" i="17"/>
  <c r="X267" i="17"/>
  <c r="Y267" i="17" s="1"/>
  <c r="P267" i="17"/>
  <c r="AL267" i="17"/>
  <c r="V267" i="17"/>
  <c r="AB267" i="17" s="1"/>
  <c r="N267" i="17"/>
  <c r="T269" i="17"/>
  <c r="AJ269" i="17"/>
  <c r="AI271" i="17"/>
  <c r="AA271" i="17"/>
  <c r="AG271" i="17" s="1"/>
  <c r="W271" i="17"/>
  <c r="AD271" i="17" s="1"/>
  <c r="S271" i="17"/>
  <c r="O271" i="17"/>
  <c r="K271" i="17"/>
  <c r="AK271" i="17"/>
  <c r="AC271" i="17"/>
  <c r="AE271" i="17" s="1"/>
  <c r="U271" i="17"/>
  <c r="AF271" i="17" s="1"/>
  <c r="Q271" i="17"/>
  <c r="M271" i="17"/>
  <c r="AL271" i="17"/>
  <c r="AH271" i="17"/>
  <c r="X271" i="17"/>
  <c r="Y271" i="17" s="1"/>
  <c r="P271" i="17"/>
  <c r="V271" i="17"/>
  <c r="N271" i="17"/>
  <c r="AB271" i="17"/>
  <c r="V272" i="17"/>
  <c r="AB272" i="17" s="1"/>
  <c r="P273" i="17"/>
  <c r="AJ273" i="17"/>
  <c r="T275" i="17"/>
  <c r="N282" i="17"/>
  <c r="V288" i="17"/>
  <c r="AB288" i="17" s="1"/>
  <c r="N298" i="17"/>
  <c r="K221" i="17"/>
  <c r="O221" i="17"/>
  <c r="S221" i="17"/>
  <c r="W221" i="17"/>
  <c r="AD221" i="17" s="1"/>
  <c r="AA221" i="17"/>
  <c r="AG221" i="17" s="1"/>
  <c r="AI221" i="17"/>
  <c r="K222" i="17"/>
  <c r="O222" i="17"/>
  <c r="S222" i="17"/>
  <c r="W222" i="17"/>
  <c r="AD222" i="17" s="1"/>
  <c r="AA222" i="17"/>
  <c r="AG222" i="17" s="1"/>
  <c r="AI222" i="17"/>
  <c r="K223" i="17"/>
  <c r="O223" i="17"/>
  <c r="S223" i="17"/>
  <c r="W223" i="17"/>
  <c r="AD223" i="17" s="1"/>
  <c r="AA223" i="17"/>
  <c r="AG223" i="17" s="1"/>
  <c r="AI223" i="17"/>
  <c r="K224" i="17"/>
  <c r="P224" i="17"/>
  <c r="U224" i="17"/>
  <c r="AF224" i="17" s="1"/>
  <c r="Z224" i="17"/>
  <c r="AA224" i="17" s="1"/>
  <c r="AG224" i="17" s="1"/>
  <c r="AI227" i="17"/>
  <c r="AA227" i="17"/>
  <c r="AG227" i="17" s="1"/>
  <c r="W227" i="17"/>
  <c r="AD227" i="17" s="1"/>
  <c r="S227" i="17"/>
  <c r="O227" i="17"/>
  <c r="K227" i="17"/>
  <c r="Q227" i="17"/>
  <c r="V227" i="17"/>
  <c r="AB227" i="17" s="1"/>
  <c r="AL227" i="17"/>
  <c r="P228" i="17"/>
  <c r="U228" i="17"/>
  <c r="AF228" i="17" s="1"/>
  <c r="Z228" i="17"/>
  <c r="AI231" i="17"/>
  <c r="AA231" i="17"/>
  <c r="AG231" i="17" s="1"/>
  <c r="W231" i="17"/>
  <c r="AD231" i="17" s="1"/>
  <c r="S231" i="17"/>
  <c r="O231" i="17"/>
  <c r="K231" i="17"/>
  <c r="Q231" i="17"/>
  <c r="V231" i="17"/>
  <c r="AB231" i="17" s="1"/>
  <c r="AL231" i="17"/>
  <c r="AI235" i="17"/>
  <c r="AA235" i="17"/>
  <c r="AG235" i="17" s="1"/>
  <c r="W235" i="17"/>
  <c r="AD235" i="17" s="1"/>
  <c r="S235" i="17"/>
  <c r="O235" i="17"/>
  <c r="K235" i="17"/>
  <c r="Q235" i="17"/>
  <c r="V235" i="17"/>
  <c r="AB235" i="17"/>
  <c r="AL235" i="17"/>
  <c r="AI239" i="17"/>
  <c r="AA239" i="17"/>
  <c r="AG239" i="17" s="1"/>
  <c r="W239" i="17"/>
  <c r="AD239" i="17" s="1"/>
  <c r="S239" i="17"/>
  <c r="O239" i="17"/>
  <c r="K239" i="17"/>
  <c r="Q239" i="17"/>
  <c r="V239" i="17"/>
  <c r="AB239" i="17" s="1"/>
  <c r="AL239" i="17"/>
  <c r="AI243" i="17"/>
  <c r="AA243" i="17"/>
  <c r="AG243" i="17" s="1"/>
  <c r="W243" i="17"/>
  <c r="AD243" i="17" s="1"/>
  <c r="S243" i="17"/>
  <c r="O243" i="17"/>
  <c r="K243" i="17"/>
  <c r="Q243" i="17"/>
  <c r="V243" i="17"/>
  <c r="AB243" i="17"/>
  <c r="AL243" i="17"/>
  <c r="AI247" i="17"/>
  <c r="AA247" i="17"/>
  <c r="AG247" i="17" s="1"/>
  <c r="W247" i="17"/>
  <c r="AD247" i="17" s="1"/>
  <c r="S247" i="17"/>
  <c r="O247" i="17"/>
  <c r="K247" i="17"/>
  <c r="Q247" i="17"/>
  <c r="V247" i="17"/>
  <c r="AB247" i="17" s="1"/>
  <c r="AL247" i="17"/>
  <c r="AI251" i="17"/>
  <c r="AA251" i="17"/>
  <c r="AG251" i="17" s="1"/>
  <c r="W251" i="17"/>
  <c r="AD251" i="17" s="1"/>
  <c r="S251" i="17"/>
  <c r="O251" i="17"/>
  <c r="K251" i="17"/>
  <c r="Q251" i="17"/>
  <c r="V251" i="17"/>
  <c r="AB251" i="17"/>
  <c r="AL251" i="17"/>
  <c r="AI255" i="17"/>
  <c r="AA255" i="17"/>
  <c r="AG255" i="17" s="1"/>
  <c r="W255" i="17"/>
  <c r="AD255" i="17" s="1"/>
  <c r="S255" i="17"/>
  <c r="O255" i="17"/>
  <c r="K255" i="17"/>
  <c r="Q255" i="17"/>
  <c r="V255" i="17"/>
  <c r="AB255" i="17" s="1"/>
  <c r="AL255" i="17"/>
  <c r="AI259" i="17"/>
  <c r="AA259" i="17"/>
  <c r="AG259" i="17" s="1"/>
  <c r="W259" i="17"/>
  <c r="AD259" i="17" s="1"/>
  <c r="S259" i="17"/>
  <c r="O259" i="17"/>
  <c r="K259" i="17"/>
  <c r="Q259" i="17"/>
  <c r="V259" i="17"/>
  <c r="AB259" i="17"/>
  <c r="AL259" i="17"/>
  <c r="AI263" i="17"/>
  <c r="AA263" i="17"/>
  <c r="AG263" i="17" s="1"/>
  <c r="W263" i="17"/>
  <c r="AD263" i="17" s="1"/>
  <c r="S263" i="17"/>
  <c r="O263" i="17"/>
  <c r="K263" i="17"/>
  <c r="AK263" i="17"/>
  <c r="AC263" i="17"/>
  <c r="AE263" i="17" s="1"/>
  <c r="Q263" i="17"/>
  <c r="V263" i="17"/>
  <c r="AB263" i="17" s="1"/>
  <c r="AL263" i="17"/>
  <c r="AI274" i="17"/>
  <c r="W274" i="17"/>
  <c r="AD274" i="17" s="1"/>
  <c r="S274" i="17"/>
  <c r="O274" i="17"/>
  <c r="K274" i="17"/>
  <c r="AK274" i="17"/>
  <c r="AC274" i="17"/>
  <c r="AE274" i="17" s="1"/>
  <c r="U274" i="17"/>
  <c r="AF274" i="17" s="1"/>
  <c r="Q274" i="17"/>
  <c r="M274" i="17"/>
  <c r="AH274" i="17"/>
  <c r="Z274" i="17"/>
  <c r="AA274" i="17" s="1"/>
  <c r="AG274" i="17" s="1"/>
  <c r="R274" i="17"/>
  <c r="V274" i="17"/>
  <c r="AB274" i="17" s="1"/>
  <c r="AI278" i="17"/>
  <c r="W278" i="17"/>
  <c r="AD278" i="17" s="1"/>
  <c r="S278" i="17"/>
  <c r="O278" i="17"/>
  <c r="K278" i="17"/>
  <c r="AK278" i="17"/>
  <c r="AC278" i="17"/>
  <c r="AE278" i="17" s="1"/>
  <c r="U278" i="17"/>
  <c r="AF278" i="17" s="1"/>
  <c r="Q278" i="17"/>
  <c r="M278" i="17"/>
  <c r="AH278" i="17"/>
  <c r="Z278" i="17"/>
  <c r="AA278" i="17" s="1"/>
  <c r="AG278" i="17" s="1"/>
  <c r="R278" i="17"/>
  <c r="X278" i="17"/>
  <c r="Y278" i="17" s="1"/>
  <c r="P278" i="17"/>
  <c r="AB278" i="17"/>
  <c r="AI286" i="17"/>
  <c r="W286" i="17"/>
  <c r="AD286" i="17" s="1"/>
  <c r="S286" i="17"/>
  <c r="O286" i="17"/>
  <c r="K286" i="17"/>
  <c r="AK286" i="17"/>
  <c r="AC286" i="17"/>
  <c r="AE286" i="17" s="1"/>
  <c r="Y286" i="17"/>
  <c r="U286" i="17"/>
  <c r="AF286" i="17" s="1"/>
  <c r="Q286" i="17"/>
  <c r="M286" i="17"/>
  <c r="AH286" i="17"/>
  <c r="Z286" i="17"/>
  <c r="AA286" i="17" s="1"/>
  <c r="AG286" i="17" s="1"/>
  <c r="R286" i="17"/>
  <c r="X286" i="17"/>
  <c r="P286" i="17"/>
  <c r="AB286" i="17"/>
  <c r="AI294" i="17"/>
  <c r="W294" i="17"/>
  <c r="AD294" i="17" s="1"/>
  <c r="S294" i="17"/>
  <c r="O294" i="17"/>
  <c r="K294" i="17"/>
  <c r="AK294" i="17"/>
  <c r="AC294" i="17"/>
  <c r="AE294" i="17" s="1"/>
  <c r="U294" i="17"/>
  <c r="AF294" i="17" s="1"/>
  <c r="Q294" i="17"/>
  <c r="M294" i="17"/>
  <c r="AH294" i="17"/>
  <c r="Z294" i="17"/>
  <c r="AA294" i="17" s="1"/>
  <c r="AG294" i="17" s="1"/>
  <c r="R294" i="17"/>
  <c r="X294" i="17"/>
  <c r="Y294" i="17" s="1"/>
  <c r="P294" i="17"/>
  <c r="AB294" i="17"/>
  <c r="AI302" i="17"/>
  <c r="AA302" i="17"/>
  <c r="AG302" i="17" s="1"/>
  <c r="W302" i="17"/>
  <c r="AD302" i="17" s="1"/>
  <c r="S302" i="17"/>
  <c r="O302" i="17"/>
  <c r="K302" i="17"/>
  <c r="AL302" i="17"/>
  <c r="AH302" i="17"/>
  <c r="AK302" i="17"/>
  <c r="AC302" i="17"/>
  <c r="AE302" i="17" s="1"/>
  <c r="U302" i="17"/>
  <c r="AF302" i="17" s="1"/>
  <c r="Q302" i="17"/>
  <c r="M302" i="17"/>
  <c r="Z302" i="17"/>
  <c r="R302" i="17"/>
  <c r="AJ302" i="17"/>
  <c r="X302" i="17"/>
  <c r="Y302" i="17" s="1"/>
  <c r="P302" i="17"/>
  <c r="AB302" i="17"/>
  <c r="AI305" i="17"/>
  <c r="W305" i="17"/>
  <c r="AD305" i="17" s="1"/>
  <c r="S305" i="17"/>
  <c r="O305" i="17"/>
  <c r="K305" i="17"/>
  <c r="AL305" i="17"/>
  <c r="AH305" i="17"/>
  <c r="Z305" i="17"/>
  <c r="AA305" i="17" s="1"/>
  <c r="AG305" i="17" s="1"/>
  <c r="V305" i="17"/>
  <c r="AB305" i="17" s="1"/>
  <c r="R305" i="17"/>
  <c r="N305" i="17"/>
  <c r="AK305" i="17"/>
  <c r="AC305" i="17"/>
  <c r="AE305" i="17" s="1"/>
  <c r="U305" i="17"/>
  <c r="AF305" i="17" s="1"/>
  <c r="Q305" i="17"/>
  <c r="M305" i="17"/>
  <c r="AJ305" i="17"/>
  <c r="T305" i="17"/>
  <c r="P305" i="17"/>
  <c r="P306" i="17"/>
  <c r="AI310" i="17"/>
  <c r="AA310" i="17"/>
  <c r="AG310" i="17" s="1"/>
  <c r="W310" i="17"/>
  <c r="AD310" i="17" s="1"/>
  <c r="S310" i="17"/>
  <c r="O310" i="17"/>
  <c r="K310" i="17"/>
  <c r="AL310" i="17"/>
  <c r="AH310" i="17"/>
  <c r="Z310" i="17"/>
  <c r="V310" i="17"/>
  <c r="AB310" i="17" s="1"/>
  <c r="R310" i="17"/>
  <c r="N310" i="17"/>
  <c r="AK310" i="17"/>
  <c r="AC310" i="17"/>
  <c r="AE310" i="17" s="1"/>
  <c r="U310" i="17"/>
  <c r="AF310" i="17" s="1"/>
  <c r="Q310" i="17"/>
  <c r="M310" i="17"/>
  <c r="X310" i="17"/>
  <c r="Y310" i="17" s="1"/>
  <c r="AJ310" i="17"/>
  <c r="T310" i="17"/>
  <c r="P221" i="17"/>
  <c r="T221" i="17"/>
  <c r="X221" i="17"/>
  <c r="Y221" i="17" s="1"/>
  <c r="AB221" i="17"/>
  <c r="P222" i="17"/>
  <c r="T222" i="17"/>
  <c r="X222" i="17"/>
  <c r="Y222" i="17" s="1"/>
  <c r="AB222" i="17"/>
  <c r="P223" i="17"/>
  <c r="T223" i="17"/>
  <c r="X223" i="17"/>
  <c r="Y223" i="17" s="1"/>
  <c r="AB223" i="17"/>
  <c r="AI224" i="17"/>
  <c r="W224" i="17"/>
  <c r="AD224" i="17" s="1"/>
  <c r="S224" i="17"/>
  <c r="O224" i="17"/>
  <c r="Q224" i="17"/>
  <c r="V224" i="17"/>
  <c r="AB224" i="17"/>
  <c r="AL224" i="17"/>
  <c r="AI228" i="17"/>
  <c r="AA228" i="17"/>
  <c r="AG228" i="17" s="1"/>
  <c r="W228" i="17"/>
  <c r="AD228" i="17" s="1"/>
  <c r="S228" i="17"/>
  <c r="O228" i="17"/>
  <c r="K228" i="17"/>
  <c r="Q228" i="17"/>
  <c r="V228" i="17"/>
  <c r="AB228" i="17" s="1"/>
  <c r="AL228" i="17"/>
  <c r="M231" i="17"/>
  <c r="R231" i="17"/>
  <c r="X231" i="17"/>
  <c r="Y231" i="17" s="1"/>
  <c r="AC231" i="17"/>
  <c r="AE231" i="17" s="1"/>
  <c r="AH231" i="17"/>
  <c r="AI232" i="17"/>
  <c r="AA232" i="17"/>
  <c r="AG232" i="17" s="1"/>
  <c r="W232" i="17"/>
  <c r="AD232" i="17" s="1"/>
  <c r="S232" i="17"/>
  <c r="O232" i="17"/>
  <c r="K232" i="17"/>
  <c r="Q232" i="17"/>
  <c r="V232" i="17"/>
  <c r="AB232" i="17" s="1"/>
  <c r="AL232" i="17"/>
  <c r="M235" i="17"/>
  <c r="R235" i="17"/>
  <c r="X235" i="17"/>
  <c r="Y235" i="17" s="1"/>
  <c r="AC235" i="17"/>
  <c r="AE235" i="17" s="1"/>
  <c r="AH235" i="17"/>
  <c r="AI236" i="17"/>
  <c r="AA236" i="17"/>
  <c r="AG236" i="17" s="1"/>
  <c r="W236" i="17"/>
  <c r="AD236" i="17" s="1"/>
  <c r="S236" i="17"/>
  <c r="O236" i="17"/>
  <c r="K236" i="17"/>
  <c r="Q236" i="17"/>
  <c r="V236" i="17"/>
  <c r="AB236" i="17"/>
  <c r="AL236" i="17"/>
  <c r="M239" i="17"/>
  <c r="R239" i="17"/>
  <c r="X239" i="17"/>
  <c r="Y239" i="17" s="1"/>
  <c r="AC239" i="17"/>
  <c r="AE239" i="17" s="1"/>
  <c r="AH239" i="17"/>
  <c r="AI240" i="17"/>
  <c r="AA240" i="17"/>
  <c r="AG240" i="17" s="1"/>
  <c r="W240" i="17"/>
  <c r="AD240" i="17" s="1"/>
  <c r="S240" i="17"/>
  <c r="O240" i="17"/>
  <c r="K240" i="17"/>
  <c r="Q240" i="17"/>
  <c r="V240" i="17"/>
  <c r="AB240" i="17"/>
  <c r="AL240" i="17"/>
  <c r="M243" i="17"/>
  <c r="R243" i="17"/>
  <c r="X243" i="17"/>
  <c r="Y243" i="17" s="1"/>
  <c r="AC243" i="17"/>
  <c r="AE243" i="17" s="1"/>
  <c r="AH243" i="17"/>
  <c r="AI244" i="17"/>
  <c r="AA244" i="17"/>
  <c r="AG244" i="17" s="1"/>
  <c r="W244" i="17"/>
  <c r="AD244" i="17" s="1"/>
  <c r="S244" i="17"/>
  <c r="O244" i="17"/>
  <c r="K244" i="17"/>
  <c r="Q244" i="17"/>
  <c r="V244" i="17"/>
  <c r="AB244" i="17" s="1"/>
  <c r="AL244" i="17"/>
  <c r="M247" i="17"/>
  <c r="R247" i="17"/>
  <c r="X247" i="17"/>
  <c r="Y247" i="17" s="1"/>
  <c r="AC247" i="17"/>
  <c r="AE247" i="17" s="1"/>
  <c r="AH247" i="17"/>
  <c r="AI248" i="17"/>
  <c r="AA248" i="17"/>
  <c r="AG248" i="17" s="1"/>
  <c r="W248" i="17"/>
  <c r="AD248" i="17" s="1"/>
  <c r="S248" i="17"/>
  <c r="O248" i="17"/>
  <c r="K248" i="17"/>
  <c r="Q248" i="17"/>
  <c r="V248" i="17"/>
  <c r="AB248" i="17" s="1"/>
  <c r="AL248" i="17"/>
  <c r="M251" i="17"/>
  <c r="R251" i="17"/>
  <c r="X251" i="17"/>
  <c r="Y251" i="17" s="1"/>
  <c r="AC251" i="17"/>
  <c r="AE251" i="17" s="1"/>
  <c r="AH251" i="17"/>
  <c r="AI252" i="17"/>
  <c r="AA252" i="17"/>
  <c r="AG252" i="17" s="1"/>
  <c r="W252" i="17"/>
  <c r="AD252" i="17" s="1"/>
  <c r="S252" i="17"/>
  <c r="O252" i="17"/>
  <c r="K252" i="17"/>
  <c r="Q252" i="17"/>
  <c r="V252" i="17"/>
  <c r="AB252" i="17"/>
  <c r="AL252" i="17"/>
  <c r="M255" i="17"/>
  <c r="R255" i="17"/>
  <c r="X255" i="17"/>
  <c r="Y255" i="17" s="1"/>
  <c r="AC255" i="17"/>
  <c r="AE255" i="17" s="1"/>
  <c r="AH255" i="17"/>
  <c r="AI256" i="17"/>
  <c r="AA256" i="17"/>
  <c r="AG256" i="17" s="1"/>
  <c r="W256" i="17"/>
  <c r="AD256" i="17" s="1"/>
  <c r="S256" i="17"/>
  <c r="O256" i="17"/>
  <c r="K256" i="17"/>
  <c r="Q256" i="17"/>
  <c r="V256" i="17"/>
  <c r="AB256" i="17"/>
  <c r="AL256" i="17"/>
  <c r="M259" i="17"/>
  <c r="R259" i="17"/>
  <c r="X259" i="17"/>
  <c r="Y259" i="17" s="1"/>
  <c r="AC259" i="17"/>
  <c r="AE259" i="17" s="1"/>
  <c r="AH259" i="17"/>
  <c r="AI260" i="17"/>
  <c r="AA260" i="17"/>
  <c r="AG260" i="17" s="1"/>
  <c r="W260" i="17"/>
  <c r="AD260" i="17" s="1"/>
  <c r="S260" i="17"/>
  <c r="O260" i="17"/>
  <c r="K260" i="17"/>
  <c r="Q260" i="17"/>
  <c r="V260" i="17"/>
  <c r="AB260" i="17" s="1"/>
  <c r="AL260" i="17"/>
  <c r="M263" i="17"/>
  <c r="R263" i="17"/>
  <c r="X263" i="17"/>
  <c r="Y263" i="17" s="1"/>
  <c r="AI264" i="17"/>
  <c r="AA264" i="17"/>
  <c r="AG264" i="17" s="1"/>
  <c r="W264" i="17"/>
  <c r="AD264" i="17" s="1"/>
  <c r="S264" i="17"/>
  <c r="O264" i="17"/>
  <c r="K264" i="17"/>
  <c r="AK264" i="17"/>
  <c r="AC264" i="17"/>
  <c r="AE264" i="17" s="1"/>
  <c r="Y264" i="17"/>
  <c r="U264" i="17"/>
  <c r="AF264" i="17" s="1"/>
  <c r="Q264" i="17"/>
  <c r="M264" i="17"/>
  <c r="T264" i="17"/>
  <c r="AB264" i="17"/>
  <c r="AJ264" i="17"/>
  <c r="AI266" i="17"/>
  <c r="AA266" i="17"/>
  <c r="AG266" i="17" s="1"/>
  <c r="W266" i="17"/>
  <c r="AD266" i="17" s="1"/>
  <c r="S266" i="17"/>
  <c r="O266" i="17"/>
  <c r="K266" i="17"/>
  <c r="AK266" i="17"/>
  <c r="AC266" i="17"/>
  <c r="AE266" i="17" s="1"/>
  <c r="Y266" i="17"/>
  <c r="U266" i="17"/>
  <c r="AF266" i="17" s="1"/>
  <c r="Q266" i="17"/>
  <c r="M266" i="17"/>
  <c r="T266" i="17"/>
  <c r="AB266" i="17"/>
  <c r="AJ266" i="17"/>
  <c r="AI268" i="17"/>
  <c r="AA268" i="17"/>
  <c r="AG268" i="17" s="1"/>
  <c r="W268" i="17"/>
  <c r="AD268" i="17" s="1"/>
  <c r="S268" i="17"/>
  <c r="O268" i="17"/>
  <c r="K268" i="17"/>
  <c r="AK268" i="17"/>
  <c r="AC268" i="17"/>
  <c r="AE268" i="17" s="1"/>
  <c r="Y268" i="17"/>
  <c r="U268" i="17"/>
  <c r="AF268" i="17" s="1"/>
  <c r="Q268" i="17"/>
  <c r="M268" i="17"/>
  <c r="T268" i="17"/>
  <c r="AB268" i="17"/>
  <c r="AJ268" i="17"/>
  <c r="AI270" i="17"/>
  <c r="AA270" i="17"/>
  <c r="AG270" i="17" s="1"/>
  <c r="W270" i="17"/>
  <c r="AD270" i="17" s="1"/>
  <c r="S270" i="17"/>
  <c r="O270" i="17"/>
  <c r="K270" i="17"/>
  <c r="AK270" i="17"/>
  <c r="AC270" i="17"/>
  <c r="AE270" i="17" s="1"/>
  <c r="Y270" i="17"/>
  <c r="U270" i="17"/>
  <c r="AF270" i="17" s="1"/>
  <c r="Q270" i="17"/>
  <c r="M270" i="17"/>
  <c r="T270" i="17"/>
  <c r="AB270" i="17"/>
  <c r="AJ270" i="17"/>
  <c r="N274" i="17"/>
  <c r="X274" i="17"/>
  <c r="Y274" i="17" s="1"/>
  <c r="AJ274" i="17"/>
  <c r="AI276" i="17"/>
  <c r="W276" i="17"/>
  <c r="AD276" i="17" s="1"/>
  <c r="S276" i="17"/>
  <c r="O276" i="17"/>
  <c r="K276" i="17"/>
  <c r="AK276" i="17"/>
  <c r="AC276" i="17"/>
  <c r="AE276" i="17" s="1"/>
  <c r="U276" i="17"/>
  <c r="AF276" i="17" s="1"/>
  <c r="Q276" i="17"/>
  <c r="M276" i="17"/>
  <c r="AH276" i="17"/>
  <c r="Z276" i="17"/>
  <c r="AA276" i="17" s="1"/>
  <c r="AG276" i="17" s="1"/>
  <c r="R276" i="17"/>
  <c r="X276" i="17"/>
  <c r="Y276" i="17" s="1"/>
  <c r="P276" i="17"/>
  <c r="AB276" i="17"/>
  <c r="N278" i="17"/>
  <c r="AI284" i="17"/>
  <c r="W284" i="17"/>
  <c r="AD284" i="17" s="1"/>
  <c r="S284" i="17"/>
  <c r="O284" i="17"/>
  <c r="K284" i="17"/>
  <c r="AK284" i="17"/>
  <c r="AC284" i="17"/>
  <c r="AE284" i="17" s="1"/>
  <c r="U284" i="17"/>
  <c r="AF284" i="17" s="1"/>
  <c r="Q284" i="17"/>
  <c r="M284" i="17"/>
  <c r="AH284" i="17"/>
  <c r="Z284" i="17"/>
  <c r="AA284" i="17" s="1"/>
  <c r="AG284" i="17" s="1"/>
  <c r="R284" i="17"/>
  <c r="X284" i="17"/>
  <c r="Y284" i="17" s="1"/>
  <c r="P284" i="17"/>
  <c r="AB284" i="17"/>
  <c r="N286" i="17"/>
  <c r="AI292" i="17"/>
  <c r="W292" i="17"/>
  <c r="AD292" i="17" s="1"/>
  <c r="S292" i="17"/>
  <c r="O292" i="17"/>
  <c r="K292" i="17"/>
  <c r="AK292" i="17"/>
  <c r="AC292" i="17"/>
  <c r="AE292" i="17" s="1"/>
  <c r="Y292" i="17"/>
  <c r="U292" i="17"/>
  <c r="AF292" i="17" s="1"/>
  <c r="Q292" i="17"/>
  <c r="M292" i="17"/>
  <c r="AH292" i="17"/>
  <c r="Z292" i="17"/>
  <c r="AA292" i="17" s="1"/>
  <c r="AG292" i="17" s="1"/>
  <c r="R292" i="17"/>
  <c r="X292" i="17"/>
  <c r="P292" i="17"/>
  <c r="AB292" i="17"/>
  <c r="N294" i="17"/>
  <c r="AI300" i="17"/>
  <c r="W300" i="17"/>
  <c r="AD300" i="17" s="1"/>
  <c r="S300" i="17"/>
  <c r="O300" i="17"/>
  <c r="K300" i="17"/>
  <c r="AK300" i="17"/>
  <c r="AC300" i="17"/>
  <c r="AE300" i="17" s="1"/>
  <c r="Y300" i="17"/>
  <c r="U300" i="17"/>
  <c r="AF300" i="17" s="1"/>
  <c r="Q300" i="17"/>
  <c r="M300" i="17"/>
  <c r="AH300" i="17"/>
  <c r="Z300" i="17"/>
  <c r="AA300" i="17" s="1"/>
  <c r="AG300" i="17" s="1"/>
  <c r="R300" i="17"/>
  <c r="X300" i="17"/>
  <c r="P300" i="17"/>
  <c r="AB300" i="17"/>
  <c r="N302" i="17"/>
  <c r="X305" i="17"/>
  <c r="Y305" i="17" s="1"/>
  <c r="AI309" i="17"/>
  <c r="AA309" i="17"/>
  <c r="AG309" i="17" s="1"/>
  <c r="W309" i="17"/>
  <c r="AD309" i="17" s="1"/>
  <c r="S309" i="17"/>
  <c r="O309" i="17"/>
  <c r="K309" i="17"/>
  <c r="AL309" i="17"/>
  <c r="AH309" i="17"/>
  <c r="Z309" i="17"/>
  <c r="V309" i="17"/>
  <c r="AB309" i="17" s="1"/>
  <c r="R309" i="17"/>
  <c r="N309" i="17"/>
  <c r="AK309" i="17"/>
  <c r="AC309" i="17"/>
  <c r="AE309" i="17" s="1"/>
  <c r="Y309" i="17"/>
  <c r="U309" i="17"/>
  <c r="AF309" i="17" s="1"/>
  <c r="Q309" i="17"/>
  <c r="M309" i="17"/>
  <c r="AJ309" i="17"/>
  <c r="T309" i="17"/>
  <c r="P309" i="17"/>
  <c r="P310" i="17"/>
  <c r="AI314" i="17"/>
  <c r="W314" i="17"/>
  <c r="AD314" i="17" s="1"/>
  <c r="S314" i="17"/>
  <c r="O314" i="17"/>
  <c r="K314" i="17"/>
  <c r="AL314" i="17"/>
  <c r="AH314" i="17"/>
  <c r="Z314" i="17"/>
  <c r="AA314" i="17" s="1"/>
  <c r="AG314" i="17" s="1"/>
  <c r="V314" i="17"/>
  <c r="AB314" i="17" s="1"/>
  <c r="R314" i="17"/>
  <c r="N314" i="17"/>
  <c r="AK314" i="17"/>
  <c r="AC314" i="17"/>
  <c r="AE314" i="17" s="1"/>
  <c r="U314" i="17"/>
  <c r="AF314" i="17" s="1"/>
  <c r="Q314" i="17"/>
  <c r="M314" i="17"/>
  <c r="X314" i="17"/>
  <c r="Y314" i="17" s="1"/>
  <c r="AJ314" i="17"/>
  <c r="T314" i="17"/>
  <c r="AI321" i="17"/>
  <c r="AA321" i="17"/>
  <c r="AG321" i="17" s="1"/>
  <c r="W321" i="17"/>
  <c r="AD321" i="17" s="1"/>
  <c r="S321" i="17"/>
  <c r="O321" i="17"/>
  <c r="K321" i="17"/>
  <c r="AL321" i="17"/>
  <c r="AH321" i="17"/>
  <c r="Z321" i="17"/>
  <c r="V321" i="17"/>
  <c r="AB321" i="17" s="1"/>
  <c r="R321" i="17"/>
  <c r="N321" i="17"/>
  <c r="AK321" i="17"/>
  <c r="AC321" i="17"/>
  <c r="AE321" i="17" s="1"/>
  <c r="U321" i="17"/>
  <c r="AF321" i="17" s="1"/>
  <c r="Q321" i="17"/>
  <c r="M321" i="17"/>
  <c r="X321" i="17"/>
  <c r="Y321" i="17" s="1"/>
  <c r="AJ321" i="17"/>
  <c r="T321" i="17"/>
  <c r="P321" i="17"/>
  <c r="AI306" i="17"/>
  <c r="W306" i="17"/>
  <c r="AD306" i="17" s="1"/>
  <c r="S306" i="17"/>
  <c r="O306" i="17"/>
  <c r="K306" i="17"/>
  <c r="AL306" i="17"/>
  <c r="AH306" i="17"/>
  <c r="Z306" i="17"/>
  <c r="AA306" i="17" s="1"/>
  <c r="AG306" i="17" s="1"/>
  <c r="V306" i="17"/>
  <c r="R306" i="17"/>
  <c r="N306" i="17"/>
  <c r="AK306" i="17"/>
  <c r="AC306" i="17"/>
  <c r="AE306" i="17" s="1"/>
  <c r="U306" i="17"/>
  <c r="AF306" i="17" s="1"/>
  <c r="Q306" i="17"/>
  <c r="M306" i="17"/>
  <c r="X306" i="17"/>
  <c r="Y306" i="17" s="1"/>
  <c r="AJ306" i="17"/>
  <c r="T306" i="17"/>
  <c r="AI317" i="17"/>
  <c r="AA317" i="17"/>
  <c r="AG317" i="17" s="1"/>
  <c r="W317" i="17"/>
  <c r="AD317" i="17" s="1"/>
  <c r="S317" i="17"/>
  <c r="O317" i="17"/>
  <c r="K317" i="17"/>
  <c r="AL317" i="17"/>
  <c r="AH317" i="17"/>
  <c r="Z317" i="17"/>
  <c r="V317" i="17"/>
  <c r="R317" i="17"/>
  <c r="N317" i="17"/>
  <c r="AK317" i="17"/>
  <c r="AC317" i="17"/>
  <c r="AE317" i="17" s="1"/>
  <c r="U317" i="17"/>
  <c r="AF317" i="17" s="1"/>
  <c r="Q317" i="17"/>
  <c r="M317" i="17"/>
  <c r="X317" i="17"/>
  <c r="Y317" i="17" s="1"/>
  <c r="AJ317" i="17"/>
  <c r="T317" i="17"/>
  <c r="P317" i="17"/>
  <c r="AB359" i="17"/>
  <c r="AB361" i="17"/>
  <c r="AI277" i="17"/>
  <c r="AA277" i="17"/>
  <c r="AG277" i="17" s="1"/>
  <c r="W277" i="17"/>
  <c r="AD277" i="17" s="1"/>
  <c r="S277" i="17"/>
  <c r="O277" i="17"/>
  <c r="K277" i="17"/>
  <c r="AK277" i="17"/>
  <c r="AC277" i="17"/>
  <c r="AE277" i="17" s="1"/>
  <c r="Y277" i="17"/>
  <c r="U277" i="17"/>
  <c r="AF277" i="17" s="1"/>
  <c r="Q277" i="17"/>
  <c r="M277" i="17"/>
  <c r="T277" i="17"/>
  <c r="AJ277" i="17"/>
  <c r="AI279" i="17"/>
  <c r="AA279" i="17"/>
  <c r="AG279" i="17" s="1"/>
  <c r="W279" i="17"/>
  <c r="AD279" i="17" s="1"/>
  <c r="S279" i="17"/>
  <c r="O279" i="17"/>
  <c r="K279" i="17"/>
  <c r="AK279" i="17"/>
  <c r="AC279" i="17"/>
  <c r="AE279" i="17" s="1"/>
  <c r="Y279" i="17"/>
  <c r="U279" i="17"/>
  <c r="AF279" i="17" s="1"/>
  <c r="Q279" i="17"/>
  <c r="M279" i="17"/>
  <c r="T279" i="17"/>
  <c r="AJ279" i="17"/>
  <c r="AI281" i="17"/>
  <c r="AA281" i="17"/>
  <c r="AG281" i="17" s="1"/>
  <c r="W281" i="17"/>
  <c r="AD281" i="17" s="1"/>
  <c r="S281" i="17"/>
  <c r="O281" i="17"/>
  <c r="K281" i="17"/>
  <c r="AK281" i="17"/>
  <c r="AC281" i="17"/>
  <c r="AE281" i="17" s="1"/>
  <c r="Y281" i="17"/>
  <c r="U281" i="17"/>
  <c r="AF281" i="17" s="1"/>
  <c r="Q281" i="17"/>
  <c r="M281" i="17"/>
  <c r="T281" i="17"/>
  <c r="AB281" i="17"/>
  <c r="AJ281" i="17"/>
  <c r="AI283" i="17"/>
  <c r="AA283" i="17"/>
  <c r="AG283" i="17" s="1"/>
  <c r="W283" i="17"/>
  <c r="AD283" i="17" s="1"/>
  <c r="S283" i="17"/>
  <c r="O283" i="17"/>
  <c r="K283" i="17"/>
  <c r="AK283" i="17"/>
  <c r="AC283" i="17"/>
  <c r="AE283" i="17" s="1"/>
  <c r="Y283" i="17"/>
  <c r="U283" i="17"/>
  <c r="AF283" i="17" s="1"/>
  <c r="Q283" i="17"/>
  <c r="M283" i="17"/>
  <c r="T283" i="17"/>
  <c r="AB283" i="17"/>
  <c r="AJ283" i="17"/>
  <c r="AI285" i="17"/>
  <c r="AA285" i="17"/>
  <c r="AG285" i="17" s="1"/>
  <c r="W285" i="17"/>
  <c r="AD285" i="17" s="1"/>
  <c r="S285" i="17"/>
  <c r="O285" i="17"/>
  <c r="K285" i="17"/>
  <c r="AK285" i="17"/>
  <c r="AC285" i="17"/>
  <c r="AE285" i="17" s="1"/>
  <c r="Y285" i="17"/>
  <c r="U285" i="17"/>
  <c r="AF285" i="17" s="1"/>
  <c r="Q285" i="17"/>
  <c r="M285" i="17"/>
  <c r="T285" i="17"/>
  <c r="AJ285" i="17"/>
  <c r="AI287" i="17"/>
  <c r="AA287" i="17"/>
  <c r="AG287" i="17" s="1"/>
  <c r="W287" i="17"/>
  <c r="AD287" i="17" s="1"/>
  <c r="S287" i="17"/>
  <c r="O287" i="17"/>
  <c r="K287" i="17"/>
  <c r="AK287" i="17"/>
  <c r="AC287" i="17"/>
  <c r="AE287" i="17" s="1"/>
  <c r="Y287" i="17"/>
  <c r="U287" i="17"/>
  <c r="AF287" i="17" s="1"/>
  <c r="Q287" i="17"/>
  <c r="M287" i="17"/>
  <c r="T287" i="17"/>
  <c r="AJ287" i="17"/>
  <c r="AI289" i="17"/>
  <c r="AA289" i="17"/>
  <c r="AG289" i="17" s="1"/>
  <c r="W289" i="17"/>
  <c r="AD289" i="17" s="1"/>
  <c r="S289" i="17"/>
  <c r="O289" i="17"/>
  <c r="K289" i="17"/>
  <c r="AK289" i="17"/>
  <c r="AC289" i="17"/>
  <c r="AE289" i="17" s="1"/>
  <c r="Y289" i="17"/>
  <c r="U289" i="17"/>
  <c r="AF289" i="17" s="1"/>
  <c r="Q289" i="17"/>
  <c r="M289" i="17"/>
  <c r="T289" i="17"/>
  <c r="AB289" i="17"/>
  <c r="AJ289" i="17"/>
  <c r="AI291" i="17"/>
  <c r="AA291" i="17"/>
  <c r="AG291" i="17" s="1"/>
  <c r="W291" i="17"/>
  <c r="AD291" i="17" s="1"/>
  <c r="S291" i="17"/>
  <c r="O291" i="17"/>
  <c r="K291" i="17"/>
  <c r="AK291" i="17"/>
  <c r="AC291" i="17"/>
  <c r="AE291" i="17" s="1"/>
  <c r="Y291" i="17"/>
  <c r="U291" i="17"/>
  <c r="AF291" i="17" s="1"/>
  <c r="Q291" i="17"/>
  <c r="M291" i="17"/>
  <c r="T291" i="17"/>
  <c r="AB291" i="17"/>
  <c r="AJ291" i="17"/>
  <c r="AI293" i="17"/>
  <c r="AA293" i="17"/>
  <c r="AG293" i="17" s="1"/>
  <c r="W293" i="17"/>
  <c r="AD293" i="17" s="1"/>
  <c r="S293" i="17"/>
  <c r="O293" i="17"/>
  <c r="K293" i="17"/>
  <c r="AK293" i="17"/>
  <c r="AC293" i="17"/>
  <c r="AE293" i="17" s="1"/>
  <c r="Y293" i="17"/>
  <c r="U293" i="17"/>
  <c r="AF293" i="17" s="1"/>
  <c r="Q293" i="17"/>
  <c r="M293" i="17"/>
  <c r="T293" i="17"/>
  <c r="AJ293" i="17"/>
  <c r="AI295" i="17"/>
  <c r="AA295" i="17"/>
  <c r="AG295" i="17" s="1"/>
  <c r="W295" i="17"/>
  <c r="AD295" i="17" s="1"/>
  <c r="S295" i="17"/>
  <c r="O295" i="17"/>
  <c r="K295" i="17"/>
  <c r="AK295" i="17"/>
  <c r="AC295" i="17"/>
  <c r="AE295" i="17" s="1"/>
  <c r="Y295" i="17"/>
  <c r="U295" i="17"/>
  <c r="AF295" i="17" s="1"/>
  <c r="Q295" i="17"/>
  <c r="M295" i="17"/>
  <c r="T295" i="17"/>
  <c r="AJ295" i="17"/>
  <c r="AI297" i="17"/>
  <c r="AA297" i="17"/>
  <c r="AG297" i="17" s="1"/>
  <c r="W297" i="17"/>
  <c r="AD297" i="17" s="1"/>
  <c r="S297" i="17"/>
  <c r="O297" i="17"/>
  <c r="K297" i="17"/>
  <c r="AK297" i="17"/>
  <c r="AC297" i="17"/>
  <c r="AE297" i="17" s="1"/>
  <c r="Y297" i="17"/>
  <c r="U297" i="17"/>
  <c r="AF297" i="17" s="1"/>
  <c r="Q297" i="17"/>
  <c r="M297" i="17"/>
  <c r="T297" i="17"/>
  <c r="AB297" i="17"/>
  <c r="AJ297" i="17"/>
  <c r="AI299" i="17"/>
  <c r="AA299" i="17"/>
  <c r="AG299" i="17" s="1"/>
  <c r="W299" i="17"/>
  <c r="AD299" i="17" s="1"/>
  <c r="S299" i="17"/>
  <c r="O299" i="17"/>
  <c r="K299" i="17"/>
  <c r="AK299" i="17"/>
  <c r="AC299" i="17"/>
  <c r="AE299" i="17" s="1"/>
  <c r="Y299" i="17"/>
  <c r="U299" i="17"/>
  <c r="AF299" i="17" s="1"/>
  <c r="Q299" i="17"/>
  <c r="M299" i="17"/>
  <c r="T299" i="17"/>
  <c r="AB299" i="17"/>
  <c r="AJ299" i="17"/>
  <c r="AI301" i="17"/>
  <c r="AA301" i="17"/>
  <c r="AG301" i="17" s="1"/>
  <c r="W301" i="17"/>
  <c r="AD301" i="17" s="1"/>
  <c r="S301" i="17"/>
  <c r="O301" i="17"/>
  <c r="K301" i="17"/>
  <c r="AK301" i="17"/>
  <c r="AC301" i="17"/>
  <c r="AE301" i="17" s="1"/>
  <c r="Y301" i="17"/>
  <c r="U301" i="17"/>
  <c r="AF301" i="17" s="1"/>
  <c r="Q301" i="17"/>
  <c r="M301" i="17"/>
  <c r="T301" i="17"/>
  <c r="AJ301" i="17"/>
  <c r="AI304" i="17"/>
  <c r="W304" i="17"/>
  <c r="AD304" i="17" s="1"/>
  <c r="S304" i="17"/>
  <c r="O304" i="17"/>
  <c r="K304" i="17"/>
  <c r="AL304" i="17"/>
  <c r="AH304" i="17"/>
  <c r="Z304" i="17"/>
  <c r="AA304" i="17" s="1"/>
  <c r="AG304" i="17" s="1"/>
  <c r="V304" i="17"/>
  <c r="R304" i="17"/>
  <c r="N304" i="17"/>
  <c r="AK304" i="17"/>
  <c r="AC304" i="17"/>
  <c r="AE304" i="17" s="1"/>
  <c r="Y304" i="17"/>
  <c r="U304" i="17"/>
  <c r="AF304" i="17" s="1"/>
  <c r="Q304" i="17"/>
  <c r="M304" i="17"/>
  <c r="AB304" i="17"/>
  <c r="AI308" i="17"/>
  <c r="W308" i="17"/>
  <c r="AD308" i="17" s="1"/>
  <c r="S308" i="17"/>
  <c r="O308" i="17"/>
  <c r="K308" i="17"/>
  <c r="AL308" i="17"/>
  <c r="AH308" i="17"/>
  <c r="Z308" i="17"/>
  <c r="AA308" i="17" s="1"/>
  <c r="AG308" i="17" s="1"/>
  <c r="V308" i="17"/>
  <c r="AB308" i="17" s="1"/>
  <c r="R308" i="17"/>
  <c r="N308" i="17"/>
  <c r="AK308" i="17"/>
  <c r="AC308" i="17"/>
  <c r="AE308" i="17" s="1"/>
  <c r="Y308" i="17"/>
  <c r="U308" i="17"/>
  <c r="AF308" i="17" s="1"/>
  <c r="Q308" i="17"/>
  <c r="M308" i="17"/>
  <c r="AI312" i="17"/>
  <c r="AA312" i="17"/>
  <c r="AG312" i="17" s="1"/>
  <c r="W312" i="17"/>
  <c r="AD312" i="17" s="1"/>
  <c r="S312" i="17"/>
  <c r="O312" i="17"/>
  <c r="K312" i="17"/>
  <c r="AL312" i="17"/>
  <c r="AH312" i="17"/>
  <c r="Z312" i="17"/>
  <c r="V312" i="17"/>
  <c r="AB312" i="17" s="1"/>
  <c r="R312" i="17"/>
  <c r="N312" i="17"/>
  <c r="AK312" i="17"/>
  <c r="AC312" i="17"/>
  <c r="AE312" i="17" s="1"/>
  <c r="Y312" i="17"/>
  <c r="U312" i="17"/>
  <c r="AF312" i="17" s="1"/>
  <c r="Q312" i="17"/>
  <c r="M312" i="17"/>
  <c r="AI316" i="17"/>
  <c r="AA316" i="17"/>
  <c r="AG316" i="17" s="1"/>
  <c r="W316" i="17"/>
  <c r="AD316" i="17" s="1"/>
  <c r="S316" i="17"/>
  <c r="O316" i="17"/>
  <c r="K316" i="17"/>
  <c r="AL316" i="17"/>
  <c r="AH316" i="17"/>
  <c r="Z316" i="17"/>
  <c r="V316" i="17"/>
  <c r="R316" i="17"/>
  <c r="N316" i="17"/>
  <c r="AK316" i="17"/>
  <c r="AC316" i="17"/>
  <c r="AE316" i="17" s="1"/>
  <c r="Y316" i="17"/>
  <c r="U316" i="17"/>
  <c r="AF316" i="17" s="1"/>
  <c r="Q316" i="17"/>
  <c r="M316" i="17"/>
  <c r="AB316" i="17"/>
  <c r="T318" i="17"/>
  <c r="AJ318" i="17"/>
  <c r="AI320" i="17"/>
  <c r="AA320" i="17"/>
  <c r="AG320" i="17" s="1"/>
  <c r="W320" i="17"/>
  <c r="AD320" i="17" s="1"/>
  <c r="S320" i="17"/>
  <c r="O320" i="17"/>
  <c r="K320" i="17"/>
  <c r="AL320" i="17"/>
  <c r="AH320" i="17"/>
  <c r="Z320" i="17"/>
  <c r="V320" i="17"/>
  <c r="AB320" i="17" s="1"/>
  <c r="R320" i="17"/>
  <c r="N320" i="17"/>
  <c r="AK320" i="17"/>
  <c r="AC320" i="17"/>
  <c r="AE320" i="17" s="1"/>
  <c r="Y320" i="17"/>
  <c r="U320" i="17"/>
  <c r="AF320" i="17" s="1"/>
  <c r="Q320" i="17"/>
  <c r="M320" i="17"/>
  <c r="T322" i="17"/>
  <c r="AJ322" i="17"/>
  <c r="AI324" i="17"/>
  <c r="W324" i="17"/>
  <c r="AD324" i="17" s="1"/>
  <c r="S324" i="17"/>
  <c r="O324" i="17"/>
  <c r="K324" i="17"/>
  <c r="AL324" i="17"/>
  <c r="AH324" i="17"/>
  <c r="Z324" i="17"/>
  <c r="AA324" i="17" s="1"/>
  <c r="AG324" i="17" s="1"/>
  <c r="V324" i="17"/>
  <c r="AB324" i="17" s="1"/>
  <c r="R324" i="17"/>
  <c r="N324" i="17"/>
  <c r="AK324" i="17"/>
  <c r="AC324" i="17"/>
  <c r="AE324" i="17" s="1"/>
  <c r="Y324" i="17"/>
  <c r="U324" i="17"/>
  <c r="AF324" i="17" s="1"/>
  <c r="Q324" i="17"/>
  <c r="M324" i="17"/>
  <c r="P325" i="17"/>
  <c r="T326" i="17"/>
  <c r="AJ326" i="17"/>
  <c r="AI328" i="17"/>
  <c r="AA328" i="17"/>
  <c r="AG328" i="17" s="1"/>
  <c r="W328" i="17"/>
  <c r="AD328" i="17" s="1"/>
  <c r="S328" i="17"/>
  <c r="O328" i="17"/>
  <c r="K328" i="17"/>
  <c r="AL328" i="17"/>
  <c r="AH328" i="17"/>
  <c r="Z328" i="17"/>
  <c r="V328" i="17"/>
  <c r="R328" i="17"/>
  <c r="N328" i="17"/>
  <c r="AK328" i="17"/>
  <c r="AC328" i="17"/>
  <c r="AE328" i="17" s="1"/>
  <c r="Y328" i="17"/>
  <c r="U328" i="17"/>
  <c r="AF328" i="17" s="1"/>
  <c r="Q328" i="17"/>
  <c r="M328" i="17"/>
  <c r="AB328" i="17"/>
  <c r="P329" i="17"/>
  <c r="T330" i="17"/>
  <c r="AJ330" i="17"/>
  <c r="AI332" i="17"/>
  <c r="W332" i="17"/>
  <c r="AD332" i="17" s="1"/>
  <c r="S332" i="17"/>
  <c r="O332" i="17"/>
  <c r="K332" i="17"/>
  <c r="AL332" i="17"/>
  <c r="AH332" i="17"/>
  <c r="Z332" i="17"/>
  <c r="AA332" i="17" s="1"/>
  <c r="AG332" i="17" s="1"/>
  <c r="V332" i="17"/>
  <c r="AB332" i="17" s="1"/>
  <c r="R332" i="17"/>
  <c r="N332" i="17"/>
  <c r="AK332" i="17"/>
  <c r="AC332" i="17"/>
  <c r="AE332" i="17" s="1"/>
  <c r="Y332" i="17"/>
  <c r="U332" i="17"/>
  <c r="AF332" i="17" s="1"/>
  <c r="Q332" i="17"/>
  <c r="M332" i="17"/>
  <c r="P333" i="17"/>
  <c r="T334" i="17"/>
  <c r="AJ334" i="17"/>
  <c r="AI336" i="17"/>
  <c r="AA336" i="17"/>
  <c r="AG336" i="17" s="1"/>
  <c r="W336" i="17"/>
  <c r="AD336" i="17" s="1"/>
  <c r="S336" i="17"/>
  <c r="O336" i="17"/>
  <c r="K336" i="17"/>
  <c r="AL336" i="17"/>
  <c r="AH336" i="17"/>
  <c r="Z336" i="17"/>
  <c r="V336" i="17"/>
  <c r="R336" i="17"/>
  <c r="N336" i="17"/>
  <c r="AK336" i="17"/>
  <c r="AC336" i="17"/>
  <c r="AE336" i="17" s="1"/>
  <c r="Y336" i="17"/>
  <c r="U336" i="17"/>
  <c r="AF336" i="17" s="1"/>
  <c r="Q336" i="17"/>
  <c r="M336" i="17"/>
  <c r="AB336" i="17"/>
  <c r="P337" i="17"/>
  <c r="T338" i="17"/>
  <c r="AJ338" i="17"/>
  <c r="AI340" i="17"/>
  <c r="W340" i="17"/>
  <c r="AD340" i="17" s="1"/>
  <c r="S340" i="17"/>
  <c r="O340" i="17"/>
  <c r="K340" i="17"/>
  <c r="AL340" i="17"/>
  <c r="AH340" i="17"/>
  <c r="Z340" i="17"/>
  <c r="AA340" i="17" s="1"/>
  <c r="AG340" i="17" s="1"/>
  <c r="V340" i="17"/>
  <c r="AB340" i="17" s="1"/>
  <c r="R340" i="17"/>
  <c r="N340" i="17"/>
  <c r="AK340" i="17"/>
  <c r="AC340" i="17"/>
  <c r="AE340" i="17" s="1"/>
  <c r="Y340" i="17"/>
  <c r="U340" i="17"/>
  <c r="AF340" i="17" s="1"/>
  <c r="Q340" i="17"/>
  <c r="M340" i="17"/>
  <c r="P341" i="17"/>
  <c r="T342" i="17"/>
  <c r="AJ342" i="17"/>
  <c r="AI344" i="17"/>
  <c r="AA344" i="17"/>
  <c r="AG344" i="17" s="1"/>
  <c r="W344" i="17"/>
  <c r="AD344" i="17" s="1"/>
  <c r="S344" i="17"/>
  <c r="O344" i="17"/>
  <c r="K344" i="17"/>
  <c r="AL344" i="17"/>
  <c r="AH344" i="17"/>
  <c r="Z344" i="17"/>
  <c r="V344" i="17"/>
  <c r="R344" i="17"/>
  <c r="N344" i="17"/>
  <c r="AK344" i="17"/>
  <c r="AC344" i="17"/>
  <c r="AE344" i="17" s="1"/>
  <c r="Y344" i="17"/>
  <c r="U344" i="17"/>
  <c r="AF344" i="17" s="1"/>
  <c r="Q344" i="17"/>
  <c r="M344" i="17"/>
  <c r="AB344" i="17"/>
  <c r="P345" i="17"/>
  <c r="T346" i="17"/>
  <c r="AJ346" i="17"/>
  <c r="AI348" i="17"/>
  <c r="W348" i="17"/>
  <c r="AD348" i="17" s="1"/>
  <c r="S348" i="17"/>
  <c r="O348" i="17"/>
  <c r="K348" i="17"/>
  <c r="AL348" i="17"/>
  <c r="AH348" i="17"/>
  <c r="Z348" i="17"/>
  <c r="AA348" i="17" s="1"/>
  <c r="AG348" i="17" s="1"/>
  <c r="V348" i="17"/>
  <c r="AB348" i="17" s="1"/>
  <c r="R348" i="17"/>
  <c r="N348" i="17"/>
  <c r="AK348" i="17"/>
  <c r="AC348" i="17"/>
  <c r="AE348" i="17" s="1"/>
  <c r="Y348" i="17"/>
  <c r="U348" i="17"/>
  <c r="AF348" i="17" s="1"/>
  <c r="Q348" i="17"/>
  <c r="M348" i="17"/>
  <c r="P349" i="17"/>
  <c r="T350" i="17"/>
  <c r="AJ350" i="17"/>
  <c r="X353" i="17"/>
  <c r="P354" i="17"/>
  <c r="AI355" i="17"/>
  <c r="W355" i="17"/>
  <c r="AD355" i="17" s="1"/>
  <c r="S355" i="17"/>
  <c r="O355" i="17"/>
  <c r="K355" i="17"/>
  <c r="AL355" i="17"/>
  <c r="AH355" i="17"/>
  <c r="Z355" i="17"/>
  <c r="AA355" i="17" s="1"/>
  <c r="AG355" i="17" s="1"/>
  <c r="V355" i="17"/>
  <c r="AB355" i="17" s="1"/>
  <c r="R355" i="17"/>
  <c r="N355" i="17"/>
  <c r="AK355" i="17"/>
  <c r="AC355" i="17"/>
  <c r="AE355" i="17" s="1"/>
  <c r="U355" i="17"/>
  <c r="AF355" i="17" s="1"/>
  <c r="Q355" i="17"/>
  <c r="M355" i="17"/>
  <c r="X355" i="17"/>
  <c r="Y355" i="17" s="1"/>
  <c r="AI357" i="17"/>
  <c r="AA357" i="17"/>
  <c r="AG357" i="17" s="1"/>
  <c r="W357" i="17"/>
  <c r="AD357" i="17" s="1"/>
  <c r="S357" i="17"/>
  <c r="O357" i="17"/>
  <c r="K357" i="17"/>
  <c r="AL357" i="17"/>
  <c r="AH357" i="17"/>
  <c r="Z357" i="17"/>
  <c r="V357" i="17"/>
  <c r="AB357" i="17" s="1"/>
  <c r="R357" i="17"/>
  <c r="N357" i="17"/>
  <c r="AK357" i="17"/>
  <c r="AC357" i="17"/>
  <c r="AE357" i="17" s="1"/>
  <c r="Y357" i="17"/>
  <c r="U357" i="17"/>
  <c r="AF357" i="17" s="1"/>
  <c r="Q357" i="17"/>
  <c r="M357" i="17"/>
  <c r="P357" i="17"/>
  <c r="AJ357" i="17"/>
  <c r="T359" i="17"/>
  <c r="X361" i="17"/>
  <c r="Y361" i="17" s="1"/>
  <c r="P362" i="17"/>
  <c r="AI363" i="17"/>
  <c r="AA363" i="17"/>
  <c r="AG363" i="17" s="1"/>
  <c r="W363" i="17"/>
  <c r="AD363" i="17" s="1"/>
  <c r="S363" i="17"/>
  <c r="O363" i="17"/>
  <c r="K363" i="17"/>
  <c r="AL363" i="17"/>
  <c r="AH363" i="17"/>
  <c r="Z363" i="17"/>
  <c r="V363" i="17"/>
  <c r="AB363" i="17" s="1"/>
  <c r="R363" i="17"/>
  <c r="N363" i="17"/>
  <c r="AK363" i="17"/>
  <c r="AC363" i="17"/>
  <c r="AE363" i="17" s="1"/>
  <c r="U363" i="17"/>
  <c r="AF363" i="17" s="1"/>
  <c r="Q363" i="17"/>
  <c r="M363" i="17"/>
  <c r="X363" i="17"/>
  <c r="Y363" i="17" s="1"/>
  <c r="AI365" i="17"/>
  <c r="W365" i="17"/>
  <c r="AD365" i="17" s="1"/>
  <c r="S365" i="17"/>
  <c r="O365" i="17"/>
  <c r="K365" i="17"/>
  <c r="AL365" i="17"/>
  <c r="AH365" i="17"/>
  <c r="Z365" i="17"/>
  <c r="AA365" i="17" s="1"/>
  <c r="AG365" i="17" s="1"/>
  <c r="V365" i="17"/>
  <c r="AB365" i="17" s="1"/>
  <c r="R365" i="17"/>
  <c r="N365" i="17"/>
  <c r="AK365" i="17"/>
  <c r="AC365" i="17"/>
  <c r="AE365" i="17" s="1"/>
  <c r="Y365" i="17"/>
  <c r="U365" i="17"/>
  <c r="AF365" i="17" s="1"/>
  <c r="Q365" i="17"/>
  <c r="M365" i="17"/>
  <c r="P365" i="17"/>
  <c r="AJ365" i="17"/>
  <c r="T367" i="17"/>
  <c r="X369" i="17"/>
  <c r="P370" i="17"/>
  <c r="AI371" i="17"/>
  <c r="W371" i="17"/>
  <c r="AD371" i="17" s="1"/>
  <c r="S371" i="17"/>
  <c r="O371" i="17"/>
  <c r="K371" i="17"/>
  <c r="AL371" i="17"/>
  <c r="AH371" i="17"/>
  <c r="Z371" i="17"/>
  <c r="AA371" i="17" s="1"/>
  <c r="AG371" i="17" s="1"/>
  <c r="V371" i="17"/>
  <c r="AB371" i="17" s="1"/>
  <c r="R371" i="17"/>
  <c r="N371" i="17"/>
  <c r="AK371" i="17"/>
  <c r="AC371" i="17"/>
  <c r="AE371" i="17" s="1"/>
  <c r="U371" i="17"/>
  <c r="AF371" i="17" s="1"/>
  <c r="Q371" i="17"/>
  <c r="M371" i="17"/>
  <c r="X371" i="17"/>
  <c r="Y371" i="17" s="1"/>
  <c r="AI373" i="17"/>
  <c r="AA373" i="17"/>
  <c r="AG373" i="17" s="1"/>
  <c r="W373" i="17"/>
  <c r="AD373" i="17" s="1"/>
  <c r="S373" i="17"/>
  <c r="O373" i="17"/>
  <c r="K373" i="17"/>
  <c r="AL373" i="17"/>
  <c r="AH373" i="17"/>
  <c r="Z373" i="17"/>
  <c r="V373" i="17"/>
  <c r="AB373" i="17" s="1"/>
  <c r="R373" i="17"/>
  <c r="N373" i="17"/>
  <c r="AK373" i="17"/>
  <c r="AC373" i="17"/>
  <c r="AE373" i="17" s="1"/>
  <c r="U373" i="17"/>
  <c r="AF373" i="17" s="1"/>
  <c r="Q373" i="17"/>
  <c r="M373" i="17"/>
  <c r="X373" i="17"/>
  <c r="Y373" i="17" s="1"/>
  <c r="P373" i="17"/>
  <c r="AI377" i="17"/>
  <c r="AA377" i="17"/>
  <c r="AG377" i="17" s="1"/>
  <c r="W377" i="17"/>
  <c r="AD377" i="17" s="1"/>
  <c r="S377" i="17"/>
  <c r="O377" i="17"/>
  <c r="K377" i="17"/>
  <c r="AL377" i="17"/>
  <c r="AH377" i="17"/>
  <c r="Z377" i="17"/>
  <c r="V377" i="17"/>
  <c r="AB377" i="17" s="1"/>
  <c r="R377" i="17"/>
  <c r="N377" i="17"/>
  <c r="AK377" i="17"/>
  <c r="AC377" i="17"/>
  <c r="AE377" i="17" s="1"/>
  <c r="U377" i="17"/>
  <c r="AF377" i="17" s="1"/>
  <c r="Q377" i="17"/>
  <c r="M377" i="17"/>
  <c r="X377" i="17"/>
  <c r="Y377" i="17" s="1"/>
  <c r="AJ377" i="17"/>
  <c r="T377" i="17"/>
  <c r="P377" i="17"/>
  <c r="AI385" i="17"/>
  <c r="W385" i="17"/>
  <c r="AD385" i="17" s="1"/>
  <c r="S385" i="17"/>
  <c r="O385" i="17"/>
  <c r="K385" i="17"/>
  <c r="AL385" i="17"/>
  <c r="AH385" i="17"/>
  <c r="Z385" i="17"/>
  <c r="AA385" i="17" s="1"/>
  <c r="AG385" i="17" s="1"/>
  <c r="V385" i="17"/>
  <c r="R385" i="17"/>
  <c r="N385" i="17"/>
  <c r="AK385" i="17"/>
  <c r="AC385" i="17"/>
  <c r="AE385" i="17" s="1"/>
  <c r="U385" i="17"/>
  <c r="AF385" i="17" s="1"/>
  <c r="Q385" i="17"/>
  <c r="M385" i="17"/>
  <c r="X385" i="17"/>
  <c r="Y385" i="17" s="1"/>
  <c r="AJ385" i="17"/>
  <c r="T385" i="17"/>
  <c r="P385" i="17"/>
  <c r="AI393" i="17"/>
  <c r="AA393" i="17"/>
  <c r="AG393" i="17" s="1"/>
  <c r="W393" i="17"/>
  <c r="AD393" i="17" s="1"/>
  <c r="S393" i="17"/>
  <c r="O393" i="17"/>
  <c r="K393" i="17"/>
  <c r="AL393" i="17"/>
  <c r="AH393" i="17"/>
  <c r="Z393" i="17"/>
  <c r="V393" i="17"/>
  <c r="AB393" i="17" s="1"/>
  <c r="R393" i="17"/>
  <c r="N393" i="17"/>
  <c r="AK393" i="17"/>
  <c r="AC393" i="17"/>
  <c r="AE393" i="17" s="1"/>
  <c r="U393" i="17"/>
  <c r="AF393" i="17" s="1"/>
  <c r="Q393" i="17"/>
  <c r="M393" i="17"/>
  <c r="X393" i="17"/>
  <c r="Y393" i="17" s="1"/>
  <c r="AJ393" i="17"/>
  <c r="T393" i="17"/>
  <c r="P393" i="17"/>
  <c r="AJ401" i="17"/>
  <c r="AI401" i="17"/>
  <c r="AA401" i="17"/>
  <c r="AG401" i="17" s="1"/>
  <c r="W401" i="17"/>
  <c r="AD401" i="17" s="1"/>
  <c r="S401" i="17"/>
  <c r="O401" i="17"/>
  <c r="K401" i="17"/>
  <c r="AH401" i="17"/>
  <c r="Z401" i="17"/>
  <c r="V401" i="17"/>
  <c r="R401" i="17"/>
  <c r="N401" i="17"/>
  <c r="AL401" i="17"/>
  <c r="AC401" i="17"/>
  <c r="AE401" i="17" s="1"/>
  <c r="U401" i="17"/>
  <c r="AF401" i="17" s="1"/>
  <c r="Q401" i="17"/>
  <c r="M401" i="17"/>
  <c r="X401" i="17"/>
  <c r="Y401" i="17" s="1"/>
  <c r="AK401" i="17"/>
  <c r="T401" i="17"/>
  <c r="P401" i="17"/>
  <c r="N277" i="17"/>
  <c r="V277" i="17"/>
  <c r="AB277" i="17" s="1"/>
  <c r="AL277" i="17"/>
  <c r="N279" i="17"/>
  <c r="V279" i="17"/>
  <c r="AB279" i="17" s="1"/>
  <c r="AL279" i="17"/>
  <c r="N281" i="17"/>
  <c r="V281" i="17"/>
  <c r="AL281" i="17"/>
  <c r="N283" i="17"/>
  <c r="V283" i="17"/>
  <c r="AL283" i="17"/>
  <c r="N285" i="17"/>
  <c r="V285" i="17"/>
  <c r="AB285" i="17" s="1"/>
  <c r="AL285" i="17"/>
  <c r="N287" i="17"/>
  <c r="V287" i="17"/>
  <c r="AB287" i="17" s="1"/>
  <c r="AL287" i="17"/>
  <c r="N289" i="17"/>
  <c r="V289" i="17"/>
  <c r="AL289" i="17"/>
  <c r="N291" i="17"/>
  <c r="V291" i="17"/>
  <c r="AL291" i="17"/>
  <c r="N293" i="17"/>
  <c r="V293" i="17"/>
  <c r="AB293" i="17" s="1"/>
  <c r="AL293" i="17"/>
  <c r="N295" i="17"/>
  <c r="V295" i="17"/>
  <c r="AB295" i="17" s="1"/>
  <c r="AL295" i="17"/>
  <c r="N297" i="17"/>
  <c r="V297" i="17"/>
  <c r="AL297" i="17"/>
  <c r="N299" i="17"/>
  <c r="V299" i="17"/>
  <c r="AL299" i="17"/>
  <c r="N301" i="17"/>
  <c r="V301" i="17"/>
  <c r="AB301" i="17" s="1"/>
  <c r="AL301" i="17"/>
  <c r="AI303" i="17"/>
  <c r="AA303" i="17"/>
  <c r="AG303" i="17" s="1"/>
  <c r="W303" i="17"/>
  <c r="AD303" i="17" s="1"/>
  <c r="S303" i="17"/>
  <c r="O303" i="17"/>
  <c r="K303" i="17"/>
  <c r="AL303" i="17"/>
  <c r="AH303" i="17"/>
  <c r="Z303" i="17"/>
  <c r="V303" i="17"/>
  <c r="R303" i="17"/>
  <c r="N303" i="17"/>
  <c r="AK303" i="17"/>
  <c r="AC303" i="17"/>
  <c r="AE303" i="17" s="1"/>
  <c r="Y303" i="17"/>
  <c r="U303" i="17"/>
  <c r="AF303" i="17" s="1"/>
  <c r="Q303" i="17"/>
  <c r="M303" i="17"/>
  <c r="AB303" i="17"/>
  <c r="P304" i="17"/>
  <c r="AI307" i="17"/>
  <c r="AA307" i="17"/>
  <c r="AG307" i="17" s="1"/>
  <c r="W307" i="17"/>
  <c r="AD307" i="17" s="1"/>
  <c r="S307" i="17"/>
  <c r="O307" i="17"/>
  <c r="K307" i="17"/>
  <c r="AL307" i="17"/>
  <c r="AH307" i="17"/>
  <c r="Z307" i="17"/>
  <c r="V307" i="17"/>
  <c r="R307" i="17"/>
  <c r="N307" i="17"/>
  <c r="AK307" i="17"/>
  <c r="AC307" i="17"/>
  <c r="AE307" i="17" s="1"/>
  <c r="Y307" i="17"/>
  <c r="U307" i="17"/>
  <c r="AF307" i="17" s="1"/>
  <c r="Q307" i="17"/>
  <c r="M307" i="17"/>
  <c r="AB307" i="17"/>
  <c r="P308" i="17"/>
  <c r="AI311" i="17"/>
  <c r="AA311" i="17"/>
  <c r="AG311" i="17" s="1"/>
  <c r="W311" i="17"/>
  <c r="AD311" i="17" s="1"/>
  <c r="S311" i="17"/>
  <c r="O311" i="17"/>
  <c r="K311" i="17"/>
  <c r="AL311" i="17"/>
  <c r="AH311" i="17"/>
  <c r="Z311" i="17"/>
  <c r="V311" i="17"/>
  <c r="R311" i="17"/>
  <c r="N311" i="17"/>
  <c r="AK311" i="17"/>
  <c r="AC311" i="17"/>
  <c r="AE311" i="17" s="1"/>
  <c r="Y311" i="17"/>
  <c r="U311" i="17"/>
  <c r="AF311" i="17" s="1"/>
  <c r="Q311" i="17"/>
  <c r="M311" i="17"/>
  <c r="AB311" i="17"/>
  <c r="P312" i="17"/>
  <c r="AI315" i="17"/>
  <c r="AA315" i="17"/>
  <c r="AG315" i="17" s="1"/>
  <c r="W315" i="17"/>
  <c r="AD315" i="17" s="1"/>
  <c r="S315" i="17"/>
  <c r="O315" i="17"/>
  <c r="K315" i="17"/>
  <c r="AL315" i="17"/>
  <c r="AH315" i="17"/>
  <c r="Z315" i="17"/>
  <c r="V315" i="17"/>
  <c r="R315" i="17"/>
  <c r="N315" i="17"/>
  <c r="AK315" i="17"/>
  <c r="AC315" i="17"/>
  <c r="AE315" i="17" s="1"/>
  <c r="Y315" i="17"/>
  <c r="U315" i="17"/>
  <c r="AF315" i="17" s="1"/>
  <c r="Q315" i="17"/>
  <c r="M315" i="17"/>
  <c r="AB315" i="17"/>
  <c r="P316" i="17"/>
  <c r="AI319" i="17"/>
  <c r="AA319" i="17"/>
  <c r="AG319" i="17" s="1"/>
  <c r="W319" i="17"/>
  <c r="AD319" i="17" s="1"/>
  <c r="S319" i="17"/>
  <c r="O319" i="17"/>
  <c r="K319" i="17"/>
  <c r="AL319" i="17"/>
  <c r="AH319" i="17"/>
  <c r="Z319" i="17"/>
  <c r="V319" i="17"/>
  <c r="R319" i="17"/>
  <c r="N319" i="17"/>
  <c r="AK319" i="17"/>
  <c r="AC319" i="17"/>
  <c r="AE319" i="17" s="1"/>
  <c r="Y319" i="17"/>
  <c r="U319" i="17"/>
  <c r="AF319" i="17" s="1"/>
  <c r="Q319" i="17"/>
  <c r="M319" i="17"/>
  <c r="AB319" i="17"/>
  <c r="P320" i="17"/>
  <c r="AI323" i="17"/>
  <c r="AA323" i="17"/>
  <c r="AG323" i="17" s="1"/>
  <c r="W323" i="17"/>
  <c r="AD323" i="17" s="1"/>
  <c r="S323" i="17"/>
  <c r="O323" i="17"/>
  <c r="K323" i="17"/>
  <c r="AL323" i="17"/>
  <c r="AH323" i="17"/>
  <c r="Z323" i="17"/>
  <c r="V323" i="17"/>
  <c r="R323" i="17"/>
  <c r="N323" i="17"/>
  <c r="AK323" i="17"/>
  <c r="AC323" i="17"/>
  <c r="AE323" i="17" s="1"/>
  <c r="Y323" i="17"/>
  <c r="U323" i="17"/>
  <c r="AF323" i="17" s="1"/>
  <c r="Q323" i="17"/>
  <c r="M323" i="17"/>
  <c r="AB323" i="17"/>
  <c r="P324" i="17"/>
  <c r="T325" i="17"/>
  <c r="AJ325" i="17"/>
  <c r="AI327" i="17"/>
  <c r="W327" i="17"/>
  <c r="AD327" i="17" s="1"/>
  <c r="S327" i="17"/>
  <c r="O327" i="17"/>
  <c r="K327" i="17"/>
  <c r="AL327" i="17"/>
  <c r="AH327" i="17"/>
  <c r="Z327" i="17"/>
  <c r="AA327" i="17" s="1"/>
  <c r="AG327" i="17" s="1"/>
  <c r="V327" i="17"/>
  <c r="AB327" i="17" s="1"/>
  <c r="R327" i="17"/>
  <c r="N327" i="17"/>
  <c r="AK327" i="17"/>
  <c r="AC327" i="17"/>
  <c r="AE327" i="17" s="1"/>
  <c r="Y327" i="17"/>
  <c r="U327" i="17"/>
  <c r="AF327" i="17" s="1"/>
  <c r="Q327" i="17"/>
  <c r="M327" i="17"/>
  <c r="P328" i="17"/>
  <c r="T329" i="17"/>
  <c r="AJ329" i="17"/>
  <c r="AI331" i="17"/>
  <c r="AA331" i="17"/>
  <c r="AG331" i="17" s="1"/>
  <c r="W331" i="17"/>
  <c r="AD331" i="17" s="1"/>
  <c r="S331" i="17"/>
  <c r="O331" i="17"/>
  <c r="K331" i="17"/>
  <c r="AL331" i="17"/>
  <c r="AH331" i="17"/>
  <c r="Z331" i="17"/>
  <c r="V331" i="17"/>
  <c r="R331" i="17"/>
  <c r="N331" i="17"/>
  <c r="AK331" i="17"/>
  <c r="AC331" i="17"/>
  <c r="AE331" i="17" s="1"/>
  <c r="Y331" i="17"/>
  <c r="U331" i="17"/>
  <c r="AF331" i="17" s="1"/>
  <c r="Q331" i="17"/>
  <c r="M331" i="17"/>
  <c r="AB331" i="17"/>
  <c r="P332" i="17"/>
  <c r="T333" i="17"/>
  <c r="AJ333" i="17"/>
  <c r="AI335" i="17"/>
  <c r="W335" i="17"/>
  <c r="AD335" i="17" s="1"/>
  <c r="S335" i="17"/>
  <c r="O335" i="17"/>
  <c r="K335" i="17"/>
  <c r="AL335" i="17"/>
  <c r="AH335" i="17"/>
  <c r="Z335" i="17"/>
  <c r="AA335" i="17" s="1"/>
  <c r="AG335" i="17" s="1"/>
  <c r="V335" i="17"/>
  <c r="AB335" i="17" s="1"/>
  <c r="R335" i="17"/>
  <c r="N335" i="17"/>
  <c r="AK335" i="17"/>
  <c r="AC335" i="17"/>
  <c r="AE335" i="17" s="1"/>
  <c r="Y335" i="17"/>
  <c r="U335" i="17"/>
  <c r="AF335" i="17" s="1"/>
  <c r="Q335" i="17"/>
  <c r="M335" i="17"/>
  <c r="P336" i="17"/>
  <c r="T337" i="17"/>
  <c r="AJ337" i="17"/>
  <c r="AI339" i="17"/>
  <c r="AA339" i="17"/>
  <c r="AG339" i="17" s="1"/>
  <c r="W339" i="17"/>
  <c r="AD339" i="17" s="1"/>
  <c r="S339" i="17"/>
  <c r="O339" i="17"/>
  <c r="K339" i="17"/>
  <c r="AL339" i="17"/>
  <c r="AH339" i="17"/>
  <c r="Z339" i="17"/>
  <c r="V339" i="17"/>
  <c r="R339" i="17"/>
  <c r="N339" i="17"/>
  <c r="AK339" i="17"/>
  <c r="AC339" i="17"/>
  <c r="AE339" i="17" s="1"/>
  <c r="Y339" i="17"/>
  <c r="U339" i="17"/>
  <c r="AF339" i="17" s="1"/>
  <c r="Q339" i="17"/>
  <c r="M339" i="17"/>
  <c r="AB339" i="17"/>
  <c r="P340" i="17"/>
  <c r="T341" i="17"/>
  <c r="AJ341" i="17"/>
  <c r="AI343" i="17"/>
  <c r="W343" i="17"/>
  <c r="AD343" i="17" s="1"/>
  <c r="S343" i="17"/>
  <c r="O343" i="17"/>
  <c r="K343" i="17"/>
  <c r="AL343" i="17"/>
  <c r="AH343" i="17"/>
  <c r="Z343" i="17"/>
  <c r="AA343" i="17" s="1"/>
  <c r="AG343" i="17" s="1"/>
  <c r="V343" i="17"/>
  <c r="AB343" i="17" s="1"/>
  <c r="R343" i="17"/>
  <c r="N343" i="17"/>
  <c r="AK343" i="17"/>
  <c r="AC343" i="17"/>
  <c r="AE343" i="17" s="1"/>
  <c r="Y343" i="17"/>
  <c r="U343" i="17"/>
  <c r="AF343" i="17" s="1"/>
  <c r="Q343" i="17"/>
  <c r="M343" i="17"/>
  <c r="P344" i="17"/>
  <c r="T345" i="17"/>
  <c r="AJ345" i="17"/>
  <c r="AI347" i="17"/>
  <c r="AA347" i="17"/>
  <c r="AG347" i="17" s="1"/>
  <c r="W347" i="17"/>
  <c r="AD347" i="17" s="1"/>
  <c r="S347" i="17"/>
  <c r="O347" i="17"/>
  <c r="K347" i="17"/>
  <c r="AL347" i="17"/>
  <c r="AH347" i="17"/>
  <c r="Z347" i="17"/>
  <c r="V347" i="17"/>
  <c r="R347" i="17"/>
  <c r="N347" i="17"/>
  <c r="AK347" i="17"/>
  <c r="AC347" i="17"/>
  <c r="AE347" i="17" s="1"/>
  <c r="Y347" i="17"/>
  <c r="U347" i="17"/>
  <c r="AF347" i="17" s="1"/>
  <c r="Q347" i="17"/>
  <c r="M347" i="17"/>
  <c r="AB347" i="17"/>
  <c r="P348" i="17"/>
  <c r="T349" i="17"/>
  <c r="AJ349" i="17"/>
  <c r="AI351" i="17"/>
  <c r="W351" i="17"/>
  <c r="AD351" i="17" s="1"/>
  <c r="S351" i="17"/>
  <c r="O351" i="17"/>
  <c r="K351" i="17"/>
  <c r="AL351" i="17"/>
  <c r="AH351" i="17"/>
  <c r="Z351" i="17"/>
  <c r="AA351" i="17" s="1"/>
  <c r="AG351" i="17" s="1"/>
  <c r="V351" i="17"/>
  <c r="AB351" i="17" s="1"/>
  <c r="R351" i="17"/>
  <c r="N351" i="17"/>
  <c r="AK351" i="17"/>
  <c r="AC351" i="17"/>
  <c r="AE351" i="17" s="1"/>
  <c r="Y351" i="17"/>
  <c r="U351" i="17"/>
  <c r="AF351" i="17" s="1"/>
  <c r="Q351" i="17"/>
  <c r="M351" i="17"/>
  <c r="X354" i="17"/>
  <c r="Y354" i="17" s="1"/>
  <c r="P355" i="17"/>
  <c r="AJ355" i="17"/>
  <c r="T357" i="17"/>
  <c r="AI358" i="17"/>
  <c r="AA358" i="17"/>
  <c r="AG358" i="17" s="1"/>
  <c r="W358" i="17"/>
  <c r="AD358" i="17" s="1"/>
  <c r="S358" i="17"/>
  <c r="O358" i="17"/>
  <c r="K358" i="17"/>
  <c r="AL358" i="17"/>
  <c r="AH358" i="17"/>
  <c r="Z358" i="17"/>
  <c r="V358" i="17"/>
  <c r="AB358" i="17" s="1"/>
  <c r="R358" i="17"/>
  <c r="N358" i="17"/>
  <c r="AK358" i="17"/>
  <c r="AC358" i="17"/>
  <c r="AE358" i="17" s="1"/>
  <c r="Y358" i="17"/>
  <c r="U358" i="17"/>
  <c r="AF358" i="17" s="1"/>
  <c r="Q358" i="17"/>
  <c r="M358" i="17"/>
  <c r="AJ358" i="17"/>
  <c r="T358" i="17"/>
  <c r="X362" i="17"/>
  <c r="Y362" i="17" s="1"/>
  <c r="P363" i="17"/>
  <c r="AJ363" i="17"/>
  <c r="T365" i="17"/>
  <c r="AI366" i="17"/>
  <c r="AA366" i="17"/>
  <c r="AG366" i="17" s="1"/>
  <c r="W366" i="17"/>
  <c r="AD366" i="17" s="1"/>
  <c r="S366" i="17"/>
  <c r="O366" i="17"/>
  <c r="K366" i="17"/>
  <c r="AL366" i="17"/>
  <c r="AH366" i="17"/>
  <c r="Z366" i="17"/>
  <c r="V366" i="17"/>
  <c r="AB366" i="17" s="1"/>
  <c r="R366" i="17"/>
  <c r="N366" i="17"/>
  <c r="AK366" i="17"/>
  <c r="AC366" i="17"/>
  <c r="AE366" i="17" s="1"/>
  <c r="Y366" i="17"/>
  <c r="U366" i="17"/>
  <c r="AF366" i="17" s="1"/>
  <c r="Q366" i="17"/>
  <c r="M366" i="17"/>
  <c r="AJ366" i="17"/>
  <c r="T366" i="17"/>
  <c r="X370" i="17"/>
  <c r="Y370" i="17" s="1"/>
  <c r="P371" i="17"/>
  <c r="AJ371" i="17"/>
  <c r="T373" i="17"/>
  <c r="AB385" i="17"/>
  <c r="AB401" i="17"/>
  <c r="AI318" i="17"/>
  <c r="AA318" i="17"/>
  <c r="AG318" i="17" s="1"/>
  <c r="W318" i="17"/>
  <c r="AD318" i="17" s="1"/>
  <c r="S318" i="17"/>
  <c r="O318" i="17"/>
  <c r="K318" i="17"/>
  <c r="AL318" i="17"/>
  <c r="AH318" i="17"/>
  <c r="Z318" i="17"/>
  <c r="V318" i="17"/>
  <c r="AB318" i="17" s="1"/>
  <c r="R318" i="17"/>
  <c r="N318" i="17"/>
  <c r="AK318" i="17"/>
  <c r="AC318" i="17"/>
  <c r="AE318" i="17" s="1"/>
  <c r="Y318" i="17"/>
  <c r="U318" i="17"/>
  <c r="AF318" i="17" s="1"/>
  <c r="Q318" i="17"/>
  <c r="M318" i="17"/>
  <c r="AI322" i="17"/>
  <c r="AA322" i="17"/>
  <c r="AG322" i="17" s="1"/>
  <c r="W322" i="17"/>
  <c r="AD322" i="17" s="1"/>
  <c r="S322" i="17"/>
  <c r="O322" i="17"/>
  <c r="K322" i="17"/>
  <c r="AL322" i="17"/>
  <c r="AH322" i="17"/>
  <c r="Z322" i="17"/>
  <c r="V322" i="17"/>
  <c r="R322" i="17"/>
  <c r="N322" i="17"/>
  <c r="AK322" i="17"/>
  <c r="AC322" i="17"/>
  <c r="AE322" i="17" s="1"/>
  <c r="Y322" i="17"/>
  <c r="U322" i="17"/>
  <c r="AF322" i="17" s="1"/>
  <c r="Q322" i="17"/>
  <c r="M322" i="17"/>
  <c r="AB322" i="17"/>
  <c r="AI326" i="17"/>
  <c r="W326" i="17"/>
  <c r="AD326" i="17" s="1"/>
  <c r="S326" i="17"/>
  <c r="O326" i="17"/>
  <c r="K326" i="17"/>
  <c r="AL326" i="17"/>
  <c r="AH326" i="17"/>
  <c r="Z326" i="17"/>
  <c r="AA326" i="17" s="1"/>
  <c r="AG326" i="17" s="1"/>
  <c r="V326" i="17"/>
  <c r="R326" i="17"/>
  <c r="N326" i="17"/>
  <c r="AK326" i="17"/>
  <c r="AC326" i="17"/>
  <c r="AE326" i="17" s="1"/>
  <c r="Y326" i="17"/>
  <c r="U326" i="17"/>
  <c r="AF326" i="17" s="1"/>
  <c r="Q326" i="17"/>
  <c r="M326" i="17"/>
  <c r="AB326" i="17"/>
  <c r="AI330" i="17"/>
  <c r="W330" i="17"/>
  <c r="AD330" i="17" s="1"/>
  <c r="S330" i="17"/>
  <c r="O330" i="17"/>
  <c r="K330" i="17"/>
  <c r="AL330" i="17"/>
  <c r="AH330" i="17"/>
  <c r="Z330" i="17"/>
  <c r="AA330" i="17" s="1"/>
  <c r="AG330" i="17" s="1"/>
  <c r="V330" i="17"/>
  <c r="AB330" i="17" s="1"/>
  <c r="R330" i="17"/>
  <c r="N330" i="17"/>
  <c r="AK330" i="17"/>
  <c r="AC330" i="17"/>
  <c r="AE330" i="17" s="1"/>
  <c r="Y330" i="17"/>
  <c r="U330" i="17"/>
  <c r="AF330" i="17" s="1"/>
  <c r="Q330" i="17"/>
  <c r="M330" i="17"/>
  <c r="AI334" i="17"/>
  <c r="AA334" i="17"/>
  <c r="AG334" i="17" s="1"/>
  <c r="W334" i="17"/>
  <c r="AD334" i="17" s="1"/>
  <c r="S334" i="17"/>
  <c r="O334" i="17"/>
  <c r="K334" i="17"/>
  <c r="AL334" i="17"/>
  <c r="AH334" i="17"/>
  <c r="Z334" i="17"/>
  <c r="V334" i="17"/>
  <c r="AB334" i="17" s="1"/>
  <c r="R334" i="17"/>
  <c r="N334" i="17"/>
  <c r="AK334" i="17"/>
  <c r="AC334" i="17"/>
  <c r="AE334" i="17" s="1"/>
  <c r="Y334" i="17"/>
  <c r="U334" i="17"/>
  <c r="AF334" i="17" s="1"/>
  <c r="Q334" i="17"/>
  <c r="M334" i="17"/>
  <c r="AI338" i="17"/>
  <c r="AA338" i="17"/>
  <c r="AG338" i="17" s="1"/>
  <c r="W338" i="17"/>
  <c r="AD338" i="17" s="1"/>
  <c r="S338" i="17"/>
  <c r="O338" i="17"/>
  <c r="K338" i="17"/>
  <c r="AL338" i="17"/>
  <c r="AH338" i="17"/>
  <c r="Z338" i="17"/>
  <c r="V338" i="17"/>
  <c r="R338" i="17"/>
  <c r="N338" i="17"/>
  <c r="AK338" i="17"/>
  <c r="AC338" i="17"/>
  <c r="AE338" i="17" s="1"/>
  <c r="Y338" i="17"/>
  <c r="U338" i="17"/>
  <c r="AF338" i="17" s="1"/>
  <c r="Q338" i="17"/>
  <c r="M338" i="17"/>
  <c r="AB338" i="17"/>
  <c r="AI342" i="17"/>
  <c r="W342" i="17"/>
  <c r="AD342" i="17" s="1"/>
  <c r="S342" i="17"/>
  <c r="O342" i="17"/>
  <c r="K342" i="17"/>
  <c r="AL342" i="17"/>
  <c r="AH342" i="17"/>
  <c r="Z342" i="17"/>
  <c r="AA342" i="17" s="1"/>
  <c r="AG342" i="17" s="1"/>
  <c r="V342" i="17"/>
  <c r="R342" i="17"/>
  <c r="N342" i="17"/>
  <c r="AK342" i="17"/>
  <c r="AC342" i="17"/>
  <c r="AE342" i="17" s="1"/>
  <c r="Y342" i="17"/>
  <c r="U342" i="17"/>
  <c r="AF342" i="17" s="1"/>
  <c r="Q342" i="17"/>
  <c r="M342" i="17"/>
  <c r="AB342" i="17"/>
  <c r="AI346" i="17"/>
  <c r="W346" i="17"/>
  <c r="AD346" i="17" s="1"/>
  <c r="S346" i="17"/>
  <c r="O346" i="17"/>
  <c r="K346" i="17"/>
  <c r="AL346" i="17"/>
  <c r="AH346" i="17"/>
  <c r="Z346" i="17"/>
  <c r="AA346" i="17" s="1"/>
  <c r="AG346" i="17" s="1"/>
  <c r="V346" i="17"/>
  <c r="AB346" i="17" s="1"/>
  <c r="R346" i="17"/>
  <c r="N346" i="17"/>
  <c r="AK346" i="17"/>
  <c r="AC346" i="17"/>
  <c r="AE346" i="17" s="1"/>
  <c r="Y346" i="17"/>
  <c r="U346" i="17"/>
  <c r="AF346" i="17" s="1"/>
  <c r="Q346" i="17"/>
  <c r="M346" i="17"/>
  <c r="AI350" i="17"/>
  <c r="AA350" i="17"/>
  <c r="AG350" i="17" s="1"/>
  <c r="W350" i="17"/>
  <c r="AD350" i="17" s="1"/>
  <c r="S350" i="17"/>
  <c r="O350" i="17"/>
  <c r="K350" i="17"/>
  <c r="AL350" i="17"/>
  <c r="AH350" i="17"/>
  <c r="Z350" i="17"/>
  <c r="V350" i="17"/>
  <c r="AB350" i="17" s="1"/>
  <c r="R350" i="17"/>
  <c r="N350" i="17"/>
  <c r="AK350" i="17"/>
  <c r="AC350" i="17"/>
  <c r="AE350" i="17" s="1"/>
  <c r="Y350" i="17"/>
  <c r="U350" i="17"/>
  <c r="AF350" i="17" s="1"/>
  <c r="Q350" i="17"/>
  <c r="M350" i="17"/>
  <c r="AI353" i="17"/>
  <c r="AA353" i="17"/>
  <c r="AG353" i="17" s="1"/>
  <c r="W353" i="17"/>
  <c r="AD353" i="17" s="1"/>
  <c r="S353" i="17"/>
  <c r="O353" i="17"/>
  <c r="K353" i="17"/>
  <c r="AL353" i="17"/>
  <c r="AH353" i="17"/>
  <c r="Z353" i="17"/>
  <c r="V353" i="17"/>
  <c r="AB353" i="17" s="1"/>
  <c r="R353" i="17"/>
  <c r="N353" i="17"/>
  <c r="AK353" i="17"/>
  <c r="AC353" i="17"/>
  <c r="AE353" i="17" s="1"/>
  <c r="Y353" i="17"/>
  <c r="U353" i="17"/>
  <c r="AF353" i="17" s="1"/>
  <c r="Q353" i="17"/>
  <c r="M353" i="17"/>
  <c r="P353" i="17"/>
  <c r="AJ353" i="17"/>
  <c r="AI359" i="17"/>
  <c r="AA359" i="17"/>
  <c r="AG359" i="17" s="1"/>
  <c r="W359" i="17"/>
  <c r="AD359" i="17" s="1"/>
  <c r="S359" i="17"/>
  <c r="O359" i="17"/>
  <c r="K359" i="17"/>
  <c r="AL359" i="17"/>
  <c r="AH359" i="17"/>
  <c r="Z359" i="17"/>
  <c r="V359" i="17"/>
  <c r="R359" i="17"/>
  <c r="N359" i="17"/>
  <c r="AK359" i="17"/>
  <c r="AC359" i="17"/>
  <c r="AE359" i="17" s="1"/>
  <c r="U359" i="17"/>
  <c r="AF359" i="17" s="1"/>
  <c r="Q359" i="17"/>
  <c r="M359" i="17"/>
  <c r="X359" i="17"/>
  <c r="Y359" i="17" s="1"/>
  <c r="AI361" i="17"/>
  <c r="W361" i="17"/>
  <c r="AD361" i="17" s="1"/>
  <c r="S361" i="17"/>
  <c r="O361" i="17"/>
  <c r="K361" i="17"/>
  <c r="AL361" i="17"/>
  <c r="AH361" i="17"/>
  <c r="Z361" i="17"/>
  <c r="AA361" i="17" s="1"/>
  <c r="AG361" i="17" s="1"/>
  <c r="V361" i="17"/>
  <c r="R361" i="17"/>
  <c r="N361" i="17"/>
  <c r="AK361" i="17"/>
  <c r="AC361" i="17"/>
  <c r="AE361" i="17" s="1"/>
  <c r="U361" i="17"/>
  <c r="AF361" i="17" s="1"/>
  <c r="Q361" i="17"/>
  <c r="M361" i="17"/>
  <c r="P361" i="17"/>
  <c r="AJ361" i="17"/>
  <c r="AI367" i="17"/>
  <c r="W367" i="17"/>
  <c r="AD367" i="17" s="1"/>
  <c r="S367" i="17"/>
  <c r="O367" i="17"/>
  <c r="K367" i="17"/>
  <c r="AL367" i="17"/>
  <c r="AH367" i="17"/>
  <c r="Z367" i="17"/>
  <c r="AA367" i="17" s="1"/>
  <c r="AG367" i="17" s="1"/>
  <c r="V367" i="17"/>
  <c r="AB367" i="17" s="1"/>
  <c r="R367" i="17"/>
  <c r="N367" i="17"/>
  <c r="AK367" i="17"/>
  <c r="AC367" i="17"/>
  <c r="AE367" i="17" s="1"/>
  <c r="U367" i="17"/>
  <c r="AF367" i="17" s="1"/>
  <c r="Q367" i="17"/>
  <c r="M367" i="17"/>
  <c r="X367" i="17"/>
  <c r="Y367" i="17" s="1"/>
  <c r="AI369" i="17"/>
  <c r="W369" i="17"/>
  <c r="AD369" i="17" s="1"/>
  <c r="S369" i="17"/>
  <c r="O369" i="17"/>
  <c r="K369" i="17"/>
  <c r="AL369" i="17"/>
  <c r="AH369" i="17"/>
  <c r="Z369" i="17"/>
  <c r="AA369" i="17" s="1"/>
  <c r="AG369" i="17" s="1"/>
  <c r="V369" i="17"/>
  <c r="R369" i="17"/>
  <c r="N369" i="17"/>
  <c r="AK369" i="17"/>
  <c r="AC369" i="17"/>
  <c r="AE369" i="17" s="1"/>
  <c r="Y369" i="17"/>
  <c r="U369" i="17"/>
  <c r="AF369" i="17" s="1"/>
  <c r="Q369" i="17"/>
  <c r="M369" i="17"/>
  <c r="P369" i="17"/>
  <c r="AJ369" i="17"/>
  <c r="AI381" i="17"/>
  <c r="W381" i="17"/>
  <c r="AD381" i="17" s="1"/>
  <c r="S381" i="17"/>
  <c r="O381" i="17"/>
  <c r="K381" i="17"/>
  <c r="AL381" i="17"/>
  <c r="AH381" i="17"/>
  <c r="Z381" i="17"/>
  <c r="AA381" i="17" s="1"/>
  <c r="AG381" i="17" s="1"/>
  <c r="V381" i="17"/>
  <c r="AB381" i="17" s="1"/>
  <c r="R381" i="17"/>
  <c r="N381" i="17"/>
  <c r="AK381" i="17"/>
  <c r="AC381" i="17"/>
  <c r="AE381" i="17" s="1"/>
  <c r="U381" i="17"/>
  <c r="AF381" i="17" s="1"/>
  <c r="Q381" i="17"/>
  <c r="M381" i="17"/>
  <c r="X381" i="17"/>
  <c r="Y381" i="17" s="1"/>
  <c r="AJ381" i="17"/>
  <c r="T381" i="17"/>
  <c r="P381" i="17"/>
  <c r="AI389" i="17"/>
  <c r="AA389" i="17"/>
  <c r="AG389" i="17" s="1"/>
  <c r="W389" i="17"/>
  <c r="AD389" i="17" s="1"/>
  <c r="S389" i="17"/>
  <c r="O389" i="17"/>
  <c r="K389" i="17"/>
  <c r="AL389" i="17"/>
  <c r="AH389" i="17"/>
  <c r="Z389" i="17"/>
  <c r="V389" i="17"/>
  <c r="AB389" i="17" s="1"/>
  <c r="R389" i="17"/>
  <c r="N389" i="17"/>
  <c r="AK389" i="17"/>
  <c r="AC389" i="17"/>
  <c r="AE389" i="17" s="1"/>
  <c r="U389" i="17"/>
  <c r="AF389" i="17" s="1"/>
  <c r="Q389" i="17"/>
  <c r="M389" i="17"/>
  <c r="X389" i="17"/>
  <c r="Y389" i="17" s="1"/>
  <c r="AJ389" i="17"/>
  <c r="T389" i="17"/>
  <c r="P389" i="17"/>
  <c r="AI397" i="17"/>
  <c r="W397" i="17"/>
  <c r="AD397" i="17" s="1"/>
  <c r="S397" i="17"/>
  <c r="O397" i="17"/>
  <c r="K397" i="17"/>
  <c r="AL397" i="17"/>
  <c r="AH397" i="17"/>
  <c r="Z397" i="17"/>
  <c r="AA397" i="17" s="1"/>
  <c r="AG397" i="17" s="1"/>
  <c r="V397" i="17"/>
  <c r="AB397" i="17" s="1"/>
  <c r="R397" i="17"/>
  <c r="N397" i="17"/>
  <c r="AK397" i="17"/>
  <c r="AC397" i="17"/>
  <c r="AE397" i="17" s="1"/>
  <c r="U397" i="17"/>
  <c r="AF397" i="17" s="1"/>
  <c r="Q397" i="17"/>
  <c r="M397" i="17"/>
  <c r="X397" i="17"/>
  <c r="Y397" i="17" s="1"/>
  <c r="AJ397" i="17"/>
  <c r="T397" i="17"/>
  <c r="P397" i="17"/>
  <c r="AI325" i="17"/>
  <c r="AA325" i="17"/>
  <c r="AG325" i="17" s="1"/>
  <c r="W325" i="17"/>
  <c r="AD325" i="17" s="1"/>
  <c r="S325" i="17"/>
  <c r="O325" i="17"/>
  <c r="K325" i="17"/>
  <c r="AL325" i="17"/>
  <c r="AH325" i="17"/>
  <c r="Z325" i="17"/>
  <c r="V325" i="17"/>
  <c r="R325" i="17"/>
  <c r="N325" i="17"/>
  <c r="AK325" i="17"/>
  <c r="AC325" i="17"/>
  <c r="AE325" i="17" s="1"/>
  <c r="Y325" i="17"/>
  <c r="U325" i="17"/>
  <c r="AF325" i="17" s="1"/>
  <c r="Q325" i="17"/>
  <c r="M325" i="17"/>
  <c r="AB325" i="17"/>
  <c r="AI329" i="17"/>
  <c r="W329" i="17"/>
  <c r="AD329" i="17" s="1"/>
  <c r="S329" i="17"/>
  <c r="O329" i="17"/>
  <c r="K329" i="17"/>
  <c r="AL329" i="17"/>
  <c r="AH329" i="17"/>
  <c r="Z329" i="17"/>
  <c r="AA329" i="17" s="1"/>
  <c r="AG329" i="17" s="1"/>
  <c r="V329" i="17"/>
  <c r="R329" i="17"/>
  <c r="N329" i="17"/>
  <c r="AK329" i="17"/>
  <c r="AC329" i="17"/>
  <c r="AE329" i="17" s="1"/>
  <c r="Y329" i="17"/>
  <c r="U329" i="17"/>
  <c r="AF329" i="17" s="1"/>
  <c r="Q329" i="17"/>
  <c r="M329" i="17"/>
  <c r="AB329" i="17"/>
  <c r="AI333" i="17"/>
  <c r="W333" i="17"/>
  <c r="AD333" i="17" s="1"/>
  <c r="S333" i="17"/>
  <c r="O333" i="17"/>
  <c r="K333" i="17"/>
  <c r="AL333" i="17"/>
  <c r="AH333" i="17"/>
  <c r="Z333" i="17"/>
  <c r="AA333" i="17" s="1"/>
  <c r="AG333" i="17" s="1"/>
  <c r="V333" i="17"/>
  <c r="AB333" i="17" s="1"/>
  <c r="R333" i="17"/>
  <c r="N333" i="17"/>
  <c r="AK333" i="17"/>
  <c r="AC333" i="17"/>
  <c r="AE333" i="17" s="1"/>
  <c r="Y333" i="17"/>
  <c r="U333" i="17"/>
  <c r="AF333" i="17" s="1"/>
  <c r="Q333" i="17"/>
  <c r="M333" i="17"/>
  <c r="AI337" i="17"/>
  <c r="AA337" i="17"/>
  <c r="AG337" i="17" s="1"/>
  <c r="W337" i="17"/>
  <c r="AD337" i="17" s="1"/>
  <c r="S337" i="17"/>
  <c r="O337" i="17"/>
  <c r="K337" i="17"/>
  <c r="AL337" i="17"/>
  <c r="AH337" i="17"/>
  <c r="Z337" i="17"/>
  <c r="V337" i="17"/>
  <c r="AB337" i="17" s="1"/>
  <c r="R337" i="17"/>
  <c r="N337" i="17"/>
  <c r="AK337" i="17"/>
  <c r="AC337" i="17"/>
  <c r="AE337" i="17" s="1"/>
  <c r="Y337" i="17"/>
  <c r="U337" i="17"/>
  <c r="AF337" i="17" s="1"/>
  <c r="Q337" i="17"/>
  <c r="M337" i="17"/>
  <c r="AI341" i="17"/>
  <c r="AA341" i="17"/>
  <c r="AG341" i="17" s="1"/>
  <c r="W341" i="17"/>
  <c r="AD341" i="17" s="1"/>
  <c r="S341" i="17"/>
  <c r="O341" i="17"/>
  <c r="K341" i="17"/>
  <c r="AL341" i="17"/>
  <c r="AH341" i="17"/>
  <c r="Z341" i="17"/>
  <c r="V341" i="17"/>
  <c r="R341" i="17"/>
  <c r="N341" i="17"/>
  <c r="AK341" i="17"/>
  <c r="AC341" i="17"/>
  <c r="AE341" i="17" s="1"/>
  <c r="Y341" i="17"/>
  <c r="U341" i="17"/>
  <c r="AF341" i="17" s="1"/>
  <c r="Q341" i="17"/>
  <c r="M341" i="17"/>
  <c r="AB341" i="17"/>
  <c r="AI345" i="17"/>
  <c r="W345" i="17"/>
  <c r="AD345" i="17" s="1"/>
  <c r="S345" i="17"/>
  <c r="O345" i="17"/>
  <c r="K345" i="17"/>
  <c r="AL345" i="17"/>
  <c r="AH345" i="17"/>
  <c r="Z345" i="17"/>
  <c r="AA345" i="17" s="1"/>
  <c r="AG345" i="17" s="1"/>
  <c r="V345" i="17"/>
  <c r="R345" i="17"/>
  <c r="N345" i="17"/>
  <c r="AK345" i="17"/>
  <c r="AC345" i="17"/>
  <c r="AE345" i="17" s="1"/>
  <c r="Y345" i="17"/>
  <c r="U345" i="17"/>
  <c r="AF345" i="17" s="1"/>
  <c r="Q345" i="17"/>
  <c r="M345" i="17"/>
  <c r="AB345" i="17"/>
  <c r="AI349" i="17"/>
  <c r="W349" i="17"/>
  <c r="AD349" i="17" s="1"/>
  <c r="S349" i="17"/>
  <c r="O349" i="17"/>
  <c r="K349" i="17"/>
  <c r="AL349" i="17"/>
  <c r="AH349" i="17"/>
  <c r="Z349" i="17"/>
  <c r="AA349" i="17" s="1"/>
  <c r="AG349" i="17" s="1"/>
  <c r="V349" i="17"/>
  <c r="AB349" i="17" s="1"/>
  <c r="R349" i="17"/>
  <c r="N349" i="17"/>
  <c r="AK349" i="17"/>
  <c r="AC349" i="17"/>
  <c r="AE349" i="17" s="1"/>
  <c r="Y349" i="17"/>
  <c r="U349" i="17"/>
  <c r="AF349" i="17" s="1"/>
  <c r="Q349" i="17"/>
  <c r="M349" i="17"/>
  <c r="AI354" i="17"/>
  <c r="AA354" i="17"/>
  <c r="AG354" i="17" s="1"/>
  <c r="W354" i="17"/>
  <c r="AD354" i="17" s="1"/>
  <c r="S354" i="17"/>
  <c r="O354" i="17"/>
  <c r="K354" i="17"/>
  <c r="AL354" i="17"/>
  <c r="AH354" i="17"/>
  <c r="Z354" i="17"/>
  <c r="V354" i="17"/>
  <c r="AB354" i="17" s="1"/>
  <c r="R354" i="17"/>
  <c r="N354" i="17"/>
  <c r="AK354" i="17"/>
  <c r="AC354" i="17"/>
  <c r="AE354" i="17" s="1"/>
  <c r="U354" i="17"/>
  <c r="AF354" i="17" s="1"/>
  <c r="Q354" i="17"/>
  <c r="M354" i="17"/>
  <c r="AJ354" i="17"/>
  <c r="T354" i="17"/>
  <c r="AI362" i="17"/>
  <c r="AA362" i="17"/>
  <c r="AG362" i="17" s="1"/>
  <c r="W362" i="17"/>
  <c r="AD362" i="17" s="1"/>
  <c r="S362" i="17"/>
  <c r="O362" i="17"/>
  <c r="K362" i="17"/>
  <c r="AL362" i="17"/>
  <c r="AH362" i="17"/>
  <c r="Z362" i="17"/>
  <c r="V362" i="17"/>
  <c r="AB362" i="17" s="1"/>
  <c r="R362" i="17"/>
  <c r="N362" i="17"/>
  <c r="AK362" i="17"/>
  <c r="AC362" i="17"/>
  <c r="AE362" i="17" s="1"/>
  <c r="U362" i="17"/>
  <c r="AF362" i="17" s="1"/>
  <c r="Q362" i="17"/>
  <c r="M362" i="17"/>
  <c r="AJ362" i="17"/>
  <c r="T362" i="17"/>
  <c r="AI370" i="17"/>
  <c r="AA370" i="17"/>
  <c r="AG370" i="17" s="1"/>
  <c r="W370" i="17"/>
  <c r="AD370" i="17" s="1"/>
  <c r="S370" i="17"/>
  <c r="O370" i="17"/>
  <c r="K370" i="17"/>
  <c r="AL370" i="17"/>
  <c r="AH370" i="17"/>
  <c r="Z370" i="17"/>
  <c r="V370" i="17"/>
  <c r="AB370" i="17" s="1"/>
  <c r="R370" i="17"/>
  <c r="N370" i="17"/>
  <c r="AK370" i="17"/>
  <c r="AC370" i="17"/>
  <c r="AE370" i="17" s="1"/>
  <c r="U370" i="17"/>
  <c r="AF370" i="17" s="1"/>
  <c r="Q370" i="17"/>
  <c r="M370" i="17"/>
  <c r="AJ370" i="17"/>
  <c r="T370" i="17"/>
  <c r="AI352" i="17"/>
  <c r="AA352" i="17"/>
  <c r="AG352" i="17" s="1"/>
  <c r="W352" i="17"/>
  <c r="AD352" i="17" s="1"/>
  <c r="S352" i="17"/>
  <c r="O352" i="17"/>
  <c r="K352" i="17"/>
  <c r="AL352" i="17"/>
  <c r="AH352" i="17"/>
  <c r="Z352" i="17"/>
  <c r="V352" i="17"/>
  <c r="AB352" i="17" s="1"/>
  <c r="R352" i="17"/>
  <c r="N352" i="17"/>
  <c r="AK352" i="17"/>
  <c r="AC352" i="17"/>
  <c r="AE352" i="17" s="1"/>
  <c r="Y352" i="17"/>
  <c r="U352" i="17"/>
  <c r="AF352" i="17" s="1"/>
  <c r="Q352" i="17"/>
  <c r="M352" i="17"/>
  <c r="AI356" i="17"/>
  <c r="AA356" i="17"/>
  <c r="AG356" i="17" s="1"/>
  <c r="W356" i="17"/>
  <c r="AD356" i="17" s="1"/>
  <c r="S356" i="17"/>
  <c r="O356" i="17"/>
  <c r="K356" i="17"/>
  <c r="AL356" i="17"/>
  <c r="AH356" i="17"/>
  <c r="Z356" i="17"/>
  <c r="V356" i="17"/>
  <c r="R356" i="17"/>
  <c r="N356" i="17"/>
  <c r="AK356" i="17"/>
  <c r="AC356" i="17"/>
  <c r="AE356" i="17" s="1"/>
  <c r="Y356" i="17"/>
  <c r="U356" i="17"/>
  <c r="AF356" i="17" s="1"/>
  <c r="Q356" i="17"/>
  <c r="M356" i="17"/>
  <c r="AB356" i="17"/>
  <c r="AI360" i="17"/>
  <c r="W360" i="17"/>
  <c r="AD360" i="17" s="1"/>
  <c r="S360" i="17"/>
  <c r="O360" i="17"/>
  <c r="K360" i="17"/>
  <c r="AL360" i="17"/>
  <c r="AH360" i="17"/>
  <c r="Z360" i="17"/>
  <c r="AA360" i="17" s="1"/>
  <c r="AG360" i="17" s="1"/>
  <c r="V360" i="17"/>
  <c r="R360" i="17"/>
  <c r="N360" i="17"/>
  <c r="AK360" i="17"/>
  <c r="AC360" i="17"/>
  <c r="AE360" i="17" s="1"/>
  <c r="Y360" i="17"/>
  <c r="U360" i="17"/>
  <c r="AF360" i="17" s="1"/>
  <c r="Q360" i="17"/>
  <c r="M360" i="17"/>
  <c r="AB360" i="17"/>
  <c r="AI364" i="17"/>
  <c r="W364" i="17"/>
  <c r="AD364" i="17" s="1"/>
  <c r="S364" i="17"/>
  <c r="O364" i="17"/>
  <c r="K364" i="17"/>
  <c r="AL364" i="17"/>
  <c r="AH364" i="17"/>
  <c r="Z364" i="17"/>
  <c r="AA364" i="17" s="1"/>
  <c r="AG364" i="17" s="1"/>
  <c r="V364" i="17"/>
  <c r="AB364" i="17" s="1"/>
  <c r="R364" i="17"/>
  <c r="N364" i="17"/>
  <c r="AK364" i="17"/>
  <c r="AC364" i="17"/>
  <c r="AE364" i="17" s="1"/>
  <c r="Y364" i="17"/>
  <c r="U364" i="17"/>
  <c r="AF364" i="17" s="1"/>
  <c r="Q364" i="17"/>
  <c r="M364" i="17"/>
  <c r="AI368" i="17"/>
  <c r="AA368" i="17"/>
  <c r="AG368" i="17" s="1"/>
  <c r="W368" i="17"/>
  <c r="AD368" i="17" s="1"/>
  <c r="S368" i="17"/>
  <c r="O368" i="17"/>
  <c r="K368" i="17"/>
  <c r="AL368" i="17"/>
  <c r="AH368" i="17"/>
  <c r="Z368" i="17"/>
  <c r="V368" i="17"/>
  <c r="AB368" i="17" s="1"/>
  <c r="R368" i="17"/>
  <c r="N368" i="17"/>
  <c r="AK368" i="17"/>
  <c r="AC368" i="17"/>
  <c r="AE368" i="17" s="1"/>
  <c r="Y368" i="17"/>
  <c r="U368" i="17"/>
  <c r="AF368" i="17" s="1"/>
  <c r="Q368" i="17"/>
  <c r="M368" i="17"/>
  <c r="AI372" i="17"/>
  <c r="AA372" i="17"/>
  <c r="AG372" i="17" s="1"/>
  <c r="W372" i="17"/>
  <c r="AD372" i="17" s="1"/>
  <c r="S372" i="17"/>
  <c r="O372" i="17"/>
  <c r="K372" i="17"/>
  <c r="AL372" i="17"/>
  <c r="AH372" i="17"/>
  <c r="Z372" i="17"/>
  <c r="V372" i="17"/>
  <c r="R372" i="17"/>
  <c r="N372" i="17"/>
  <c r="AK372" i="17"/>
  <c r="AC372" i="17"/>
  <c r="AE372" i="17" s="1"/>
  <c r="Y372" i="17"/>
  <c r="U372" i="17"/>
  <c r="AF372" i="17" s="1"/>
  <c r="Q372" i="17"/>
  <c r="M372" i="17"/>
  <c r="AB372" i="17"/>
  <c r="T374" i="17"/>
  <c r="AI376" i="17"/>
  <c r="AA376" i="17"/>
  <c r="AG376" i="17" s="1"/>
  <c r="W376" i="17"/>
  <c r="AD376" i="17" s="1"/>
  <c r="S376" i="17"/>
  <c r="O376" i="17"/>
  <c r="K376" i="17"/>
  <c r="AL376" i="17"/>
  <c r="AH376" i="17"/>
  <c r="Z376" i="17"/>
  <c r="V376" i="17"/>
  <c r="R376" i="17"/>
  <c r="N376" i="17"/>
  <c r="AK376" i="17"/>
  <c r="AC376" i="17"/>
  <c r="AE376" i="17" s="1"/>
  <c r="Y376" i="17"/>
  <c r="U376" i="17"/>
  <c r="AF376" i="17" s="1"/>
  <c r="Q376" i="17"/>
  <c r="M376" i="17"/>
  <c r="AB376" i="17"/>
  <c r="T378" i="17"/>
  <c r="AI380" i="17"/>
  <c r="AA380" i="17"/>
  <c r="AG380" i="17" s="1"/>
  <c r="W380" i="17"/>
  <c r="AD380" i="17" s="1"/>
  <c r="S380" i="17"/>
  <c r="O380" i="17"/>
  <c r="K380" i="17"/>
  <c r="AL380" i="17"/>
  <c r="AH380" i="17"/>
  <c r="Z380" i="17"/>
  <c r="V380" i="17"/>
  <c r="R380" i="17"/>
  <c r="N380" i="17"/>
  <c r="AK380" i="17"/>
  <c r="AC380" i="17"/>
  <c r="AE380" i="17" s="1"/>
  <c r="Y380" i="17"/>
  <c r="U380" i="17"/>
  <c r="AF380" i="17" s="1"/>
  <c r="Q380" i="17"/>
  <c r="M380" i="17"/>
  <c r="AB380" i="17"/>
  <c r="T382" i="17"/>
  <c r="AI384" i="17"/>
  <c r="AA384" i="17"/>
  <c r="AG384" i="17" s="1"/>
  <c r="W384" i="17"/>
  <c r="AD384" i="17" s="1"/>
  <c r="S384" i="17"/>
  <c r="O384" i="17"/>
  <c r="K384" i="17"/>
  <c r="AL384" i="17"/>
  <c r="AH384" i="17"/>
  <c r="Z384" i="17"/>
  <c r="V384" i="17"/>
  <c r="R384" i="17"/>
  <c r="N384" i="17"/>
  <c r="AK384" i="17"/>
  <c r="AC384" i="17"/>
  <c r="AE384" i="17" s="1"/>
  <c r="Y384" i="17"/>
  <c r="U384" i="17"/>
  <c r="AF384" i="17" s="1"/>
  <c r="Q384" i="17"/>
  <c r="M384" i="17"/>
  <c r="AB384" i="17"/>
  <c r="T386" i="17"/>
  <c r="AI388" i="17"/>
  <c r="AA388" i="17"/>
  <c r="AG388" i="17" s="1"/>
  <c r="W388" i="17"/>
  <c r="AD388" i="17" s="1"/>
  <c r="S388" i="17"/>
  <c r="O388" i="17"/>
  <c r="K388" i="17"/>
  <c r="AL388" i="17"/>
  <c r="AH388" i="17"/>
  <c r="Z388" i="17"/>
  <c r="V388" i="17"/>
  <c r="R388" i="17"/>
  <c r="N388" i="17"/>
  <c r="AK388" i="17"/>
  <c r="AC388" i="17"/>
  <c r="AE388" i="17" s="1"/>
  <c r="Y388" i="17"/>
  <c r="U388" i="17"/>
  <c r="AF388" i="17" s="1"/>
  <c r="Q388" i="17"/>
  <c r="M388" i="17"/>
  <c r="AB388" i="17"/>
  <c r="T390" i="17"/>
  <c r="AI392" i="17"/>
  <c r="AA392" i="17"/>
  <c r="AG392" i="17" s="1"/>
  <c r="W392" i="17"/>
  <c r="AD392" i="17" s="1"/>
  <c r="S392" i="17"/>
  <c r="O392" i="17"/>
  <c r="K392" i="17"/>
  <c r="AL392" i="17"/>
  <c r="AH392" i="17"/>
  <c r="Z392" i="17"/>
  <c r="V392" i="17"/>
  <c r="R392" i="17"/>
  <c r="N392" i="17"/>
  <c r="AK392" i="17"/>
  <c r="AC392" i="17"/>
  <c r="AE392" i="17" s="1"/>
  <c r="Y392" i="17"/>
  <c r="U392" i="17"/>
  <c r="AF392" i="17" s="1"/>
  <c r="Q392" i="17"/>
  <c r="M392" i="17"/>
  <c r="AB392" i="17"/>
  <c r="T394" i="17"/>
  <c r="AI396" i="17"/>
  <c r="AA396" i="17"/>
  <c r="AG396" i="17" s="1"/>
  <c r="W396" i="17"/>
  <c r="AD396" i="17" s="1"/>
  <c r="S396" i="17"/>
  <c r="O396" i="17"/>
  <c r="K396" i="17"/>
  <c r="AL396" i="17"/>
  <c r="AH396" i="17"/>
  <c r="Z396" i="17"/>
  <c r="V396" i="17"/>
  <c r="R396" i="17"/>
  <c r="N396" i="17"/>
  <c r="AK396" i="17"/>
  <c r="AC396" i="17"/>
  <c r="AE396" i="17" s="1"/>
  <c r="Y396" i="17"/>
  <c r="U396" i="17"/>
  <c r="AF396" i="17" s="1"/>
  <c r="Q396" i="17"/>
  <c r="M396" i="17"/>
  <c r="AB396" i="17"/>
  <c r="T398" i="17"/>
  <c r="AI400" i="17"/>
  <c r="AA400" i="17"/>
  <c r="AG400" i="17" s="1"/>
  <c r="W400" i="17"/>
  <c r="AD400" i="17" s="1"/>
  <c r="S400" i="17"/>
  <c r="O400" i="17"/>
  <c r="K400" i="17"/>
  <c r="AL400" i="17"/>
  <c r="AH400" i="17"/>
  <c r="Z400" i="17"/>
  <c r="V400" i="17"/>
  <c r="R400" i="17"/>
  <c r="N400" i="17"/>
  <c r="AK400" i="17"/>
  <c r="AC400" i="17"/>
  <c r="AE400" i="17" s="1"/>
  <c r="Y400" i="17"/>
  <c r="U400" i="17"/>
  <c r="AF400" i="17" s="1"/>
  <c r="Q400" i="17"/>
  <c r="M400" i="17"/>
  <c r="AB400" i="17"/>
  <c r="AK493" i="17"/>
  <c r="AC493" i="17"/>
  <c r="AE493" i="17" s="1"/>
  <c r="Y493" i="17"/>
  <c r="U493" i="17"/>
  <c r="AF493" i="17" s="1"/>
  <c r="Q493" i="17"/>
  <c r="M493" i="17"/>
  <c r="AI493" i="17"/>
  <c r="AA493" i="17"/>
  <c r="AG493" i="17" s="1"/>
  <c r="W493" i="17"/>
  <c r="AD493" i="17" s="1"/>
  <c r="S493" i="17"/>
  <c r="O493" i="17"/>
  <c r="K493" i="17"/>
  <c r="X493" i="17"/>
  <c r="P493" i="17"/>
  <c r="AL493" i="17"/>
  <c r="V493" i="17"/>
  <c r="AB493" i="17" s="1"/>
  <c r="N493" i="17"/>
  <c r="Z493" i="17"/>
  <c r="AJ493" i="17"/>
  <c r="T493" i="17"/>
  <c r="AH493" i="17"/>
  <c r="R493" i="17"/>
  <c r="AI375" i="17"/>
  <c r="AA375" i="17"/>
  <c r="AG375" i="17" s="1"/>
  <c r="W375" i="17"/>
  <c r="AD375" i="17" s="1"/>
  <c r="S375" i="17"/>
  <c r="O375" i="17"/>
  <c r="K375" i="17"/>
  <c r="AL375" i="17"/>
  <c r="AH375" i="17"/>
  <c r="Z375" i="17"/>
  <c r="V375" i="17"/>
  <c r="AB375" i="17" s="1"/>
  <c r="R375" i="17"/>
  <c r="N375" i="17"/>
  <c r="AK375" i="17"/>
  <c r="AC375" i="17"/>
  <c r="AE375" i="17" s="1"/>
  <c r="Y375" i="17"/>
  <c r="U375" i="17"/>
  <c r="AF375" i="17" s="1"/>
  <c r="Q375" i="17"/>
  <c r="M375" i="17"/>
  <c r="AI379" i="17"/>
  <c r="AA379" i="17"/>
  <c r="AG379" i="17" s="1"/>
  <c r="W379" i="17"/>
  <c r="AD379" i="17" s="1"/>
  <c r="S379" i="17"/>
  <c r="O379" i="17"/>
  <c r="K379" i="17"/>
  <c r="AL379" i="17"/>
  <c r="AH379" i="17"/>
  <c r="Z379" i="17"/>
  <c r="V379" i="17"/>
  <c r="R379" i="17"/>
  <c r="N379" i="17"/>
  <c r="AK379" i="17"/>
  <c r="AC379" i="17"/>
  <c r="AE379" i="17" s="1"/>
  <c r="Y379" i="17"/>
  <c r="U379" i="17"/>
  <c r="AF379" i="17" s="1"/>
  <c r="Q379" i="17"/>
  <c r="M379" i="17"/>
  <c r="AB379" i="17"/>
  <c r="AI383" i="17"/>
  <c r="W383" i="17"/>
  <c r="AD383" i="17" s="1"/>
  <c r="S383" i="17"/>
  <c r="O383" i="17"/>
  <c r="K383" i="17"/>
  <c r="AL383" i="17"/>
  <c r="AH383" i="17"/>
  <c r="Z383" i="17"/>
  <c r="AA383" i="17" s="1"/>
  <c r="AG383" i="17" s="1"/>
  <c r="V383" i="17"/>
  <c r="R383" i="17"/>
  <c r="N383" i="17"/>
  <c r="AK383" i="17"/>
  <c r="AC383" i="17"/>
  <c r="AE383" i="17" s="1"/>
  <c r="Y383" i="17"/>
  <c r="U383" i="17"/>
  <c r="AF383" i="17" s="1"/>
  <c r="Q383" i="17"/>
  <c r="M383" i="17"/>
  <c r="AB383" i="17"/>
  <c r="AI387" i="17"/>
  <c r="W387" i="17"/>
  <c r="AD387" i="17" s="1"/>
  <c r="S387" i="17"/>
  <c r="O387" i="17"/>
  <c r="K387" i="17"/>
  <c r="AL387" i="17"/>
  <c r="AH387" i="17"/>
  <c r="Z387" i="17"/>
  <c r="AA387" i="17" s="1"/>
  <c r="AG387" i="17" s="1"/>
  <c r="V387" i="17"/>
  <c r="AB387" i="17" s="1"/>
  <c r="R387" i="17"/>
  <c r="N387" i="17"/>
  <c r="AK387" i="17"/>
  <c r="AC387" i="17"/>
  <c r="AE387" i="17" s="1"/>
  <c r="Y387" i="17"/>
  <c r="U387" i="17"/>
  <c r="AF387" i="17" s="1"/>
  <c r="Q387" i="17"/>
  <c r="M387" i="17"/>
  <c r="AI391" i="17"/>
  <c r="AA391" i="17"/>
  <c r="AG391" i="17" s="1"/>
  <c r="W391" i="17"/>
  <c r="AD391" i="17" s="1"/>
  <c r="S391" i="17"/>
  <c r="O391" i="17"/>
  <c r="K391" i="17"/>
  <c r="AL391" i="17"/>
  <c r="AH391" i="17"/>
  <c r="Z391" i="17"/>
  <c r="V391" i="17"/>
  <c r="AB391" i="17" s="1"/>
  <c r="R391" i="17"/>
  <c r="N391" i="17"/>
  <c r="AK391" i="17"/>
  <c r="AC391" i="17"/>
  <c r="AE391" i="17" s="1"/>
  <c r="Y391" i="17"/>
  <c r="U391" i="17"/>
  <c r="AF391" i="17" s="1"/>
  <c r="Q391" i="17"/>
  <c r="M391" i="17"/>
  <c r="AI395" i="17"/>
  <c r="AA395" i="17"/>
  <c r="AG395" i="17" s="1"/>
  <c r="W395" i="17"/>
  <c r="AD395" i="17" s="1"/>
  <c r="S395" i="17"/>
  <c r="O395" i="17"/>
  <c r="K395" i="17"/>
  <c r="AL395" i="17"/>
  <c r="AH395" i="17"/>
  <c r="Z395" i="17"/>
  <c r="V395" i="17"/>
  <c r="R395" i="17"/>
  <c r="N395" i="17"/>
  <c r="AK395" i="17"/>
  <c r="AC395" i="17"/>
  <c r="AE395" i="17" s="1"/>
  <c r="Y395" i="17"/>
  <c r="U395" i="17"/>
  <c r="AF395" i="17" s="1"/>
  <c r="Q395" i="17"/>
  <c r="M395" i="17"/>
  <c r="AB395" i="17"/>
  <c r="AI399" i="17"/>
  <c r="W399" i="17"/>
  <c r="AD399" i="17" s="1"/>
  <c r="S399" i="17"/>
  <c r="O399" i="17"/>
  <c r="K399" i="17"/>
  <c r="AL399" i="17"/>
  <c r="AH399" i="17"/>
  <c r="Z399" i="17"/>
  <c r="AA399" i="17" s="1"/>
  <c r="AG399" i="17" s="1"/>
  <c r="V399" i="17"/>
  <c r="R399" i="17"/>
  <c r="N399" i="17"/>
  <c r="AK399" i="17"/>
  <c r="AC399" i="17"/>
  <c r="AE399" i="17" s="1"/>
  <c r="Y399" i="17"/>
  <c r="U399" i="17"/>
  <c r="AF399" i="17" s="1"/>
  <c r="Q399" i="17"/>
  <c r="M399" i="17"/>
  <c r="AB399" i="17"/>
  <c r="AK469" i="17"/>
  <c r="AC469" i="17"/>
  <c r="AE469" i="17" s="1"/>
  <c r="U469" i="17"/>
  <c r="AF469" i="17" s="1"/>
  <c r="Q469" i="17"/>
  <c r="M469" i="17"/>
  <c r="AI469" i="17"/>
  <c r="AA469" i="17"/>
  <c r="AG469" i="17" s="1"/>
  <c r="W469" i="17"/>
  <c r="AD469" i="17" s="1"/>
  <c r="S469" i="17"/>
  <c r="O469" i="17"/>
  <c r="K469" i="17"/>
  <c r="X469" i="17"/>
  <c r="Y469" i="17" s="1"/>
  <c r="P469" i="17"/>
  <c r="AL469" i="17"/>
  <c r="V469" i="17"/>
  <c r="AB469" i="17" s="1"/>
  <c r="N469" i="17"/>
  <c r="Z469" i="17"/>
  <c r="AJ469" i="17"/>
  <c r="T469" i="17"/>
  <c r="AH469" i="17"/>
  <c r="R469" i="17"/>
  <c r="AK501" i="17"/>
  <c r="AC501" i="17"/>
  <c r="AE501" i="17" s="1"/>
  <c r="U501" i="17"/>
  <c r="AF501" i="17" s="1"/>
  <c r="Q501" i="17"/>
  <c r="M501" i="17"/>
  <c r="AI501" i="17"/>
  <c r="W501" i="17"/>
  <c r="AD501" i="17" s="1"/>
  <c r="S501" i="17"/>
  <c r="O501" i="17"/>
  <c r="K501" i="17"/>
  <c r="X501" i="17"/>
  <c r="Y501" i="17" s="1"/>
  <c r="P501" i="17"/>
  <c r="AL501" i="17"/>
  <c r="V501" i="17"/>
  <c r="AB501" i="17" s="1"/>
  <c r="N501" i="17"/>
  <c r="Z501" i="17"/>
  <c r="AA501" i="17" s="1"/>
  <c r="AG501" i="17" s="1"/>
  <c r="AJ501" i="17"/>
  <c r="T501" i="17"/>
  <c r="AH501" i="17"/>
  <c r="R501" i="17"/>
  <c r="AI374" i="17"/>
  <c r="W374" i="17"/>
  <c r="AD374" i="17" s="1"/>
  <c r="S374" i="17"/>
  <c r="O374" i="17"/>
  <c r="K374" i="17"/>
  <c r="AL374" i="17"/>
  <c r="AH374" i="17"/>
  <c r="Z374" i="17"/>
  <c r="AA374" i="17" s="1"/>
  <c r="AG374" i="17" s="1"/>
  <c r="V374" i="17"/>
  <c r="R374" i="17"/>
  <c r="N374" i="17"/>
  <c r="AK374" i="17"/>
  <c r="AC374" i="17"/>
  <c r="AE374" i="17" s="1"/>
  <c r="Y374" i="17"/>
  <c r="U374" i="17"/>
  <c r="AF374" i="17" s="1"/>
  <c r="Q374" i="17"/>
  <c r="M374" i="17"/>
  <c r="AB374" i="17"/>
  <c r="P375" i="17"/>
  <c r="AI378" i="17"/>
  <c r="W378" i="17"/>
  <c r="AD378" i="17" s="1"/>
  <c r="S378" i="17"/>
  <c r="O378" i="17"/>
  <c r="K378" i="17"/>
  <c r="AL378" i="17"/>
  <c r="AH378" i="17"/>
  <c r="Z378" i="17"/>
  <c r="AA378" i="17" s="1"/>
  <c r="AG378" i="17" s="1"/>
  <c r="V378" i="17"/>
  <c r="R378" i="17"/>
  <c r="N378" i="17"/>
  <c r="AK378" i="17"/>
  <c r="AC378" i="17"/>
  <c r="AE378" i="17" s="1"/>
  <c r="Y378" i="17"/>
  <c r="U378" i="17"/>
  <c r="AF378" i="17" s="1"/>
  <c r="Q378" i="17"/>
  <c r="M378" i="17"/>
  <c r="AB378" i="17"/>
  <c r="P379" i="17"/>
  <c r="AI382" i="17"/>
  <c r="W382" i="17"/>
  <c r="AD382" i="17" s="1"/>
  <c r="S382" i="17"/>
  <c r="O382" i="17"/>
  <c r="K382" i="17"/>
  <c r="AL382" i="17"/>
  <c r="AH382" i="17"/>
  <c r="Z382" i="17"/>
  <c r="AA382" i="17" s="1"/>
  <c r="AG382" i="17" s="1"/>
  <c r="V382" i="17"/>
  <c r="R382" i="17"/>
  <c r="N382" i="17"/>
  <c r="AK382" i="17"/>
  <c r="AC382" i="17"/>
  <c r="AE382" i="17" s="1"/>
  <c r="Y382" i="17"/>
  <c r="U382" i="17"/>
  <c r="AF382" i="17" s="1"/>
  <c r="Q382" i="17"/>
  <c r="M382" i="17"/>
  <c r="AB382" i="17"/>
  <c r="P383" i="17"/>
  <c r="AI386" i="17"/>
  <c r="W386" i="17"/>
  <c r="AD386" i="17" s="1"/>
  <c r="S386" i="17"/>
  <c r="O386" i="17"/>
  <c r="K386" i="17"/>
  <c r="AL386" i="17"/>
  <c r="AH386" i="17"/>
  <c r="Z386" i="17"/>
  <c r="AA386" i="17" s="1"/>
  <c r="AG386" i="17" s="1"/>
  <c r="V386" i="17"/>
  <c r="R386" i="17"/>
  <c r="N386" i="17"/>
  <c r="AK386" i="17"/>
  <c r="AC386" i="17"/>
  <c r="AE386" i="17" s="1"/>
  <c r="Y386" i="17"/>
  <c r="U386" i="17"/>
  <c r="AF386" i="17" s="1"/>
  <c r="Q386" i="17"/>
  <c r="M386" i="17"/>
  <c r="AB386" i="17"/>
  <c r="P387" i="17"/>
  <c r="AI390" i="17"/>
  <c r="W390" i="17"/>
  <c r="AD390" i="17" s="1"/>
  <c r="S390" i="17"/>
  <c r="O390" i="17"/>
  <c r="K390" i="17"/>
  <c r="AL390" i="17"/>
  <c r="AH390" i="17"/>
  <c r="Z390" i="17"/>
  <c r="AA390" i="17" s="1"/>
  <c r="AG390" i="17" s="1"/>
  <c r="V390" i="17"/>
  <c r="R390" i="17"/>
  <c r="N390" i="17"/>
  <c r="AK390" i="17"/>
  <c r="AC390" i="17"/>
  <c r="AE390" i="17" s="1"/>
  <c r="Y390" i="17"/>
  <c r="U390" i="17"/>
  <c r="AF390" i="17" s="1"/>
  <c r="Q390" i="17"/>
  <c r="M390" i="17"/>
  <c r="AB390" i="17"/>
  <c r="P391" i="17"/>
  <c r="AI394" i="17"/>
  <c r="W394" i="17"/>
  <c r="AD394" i="17" s="1"/>
  <c r="S394" i="17"/>
  <c r="O394" i="17"/>
  <c r="K394" i="17"/>
  <c r="AL394" i="17"/>
  <c r="AH394" i="17"/>
  <c r="Z394" i="17"/>
  <c r="AA394" i="17" s="1"/>
  <c r="AG394" i="17" s="1"/>
  <c r="V394" i="17"/>
  <c r="R394" i="17"/>
  <c r="N394" i="17"/>
  <c r="AK394" i="17"/>
  <c r="AC394" i="17"/>
  <c r="AE394" i="17" s="1"/>
  <c r="Y394" i="17"/>
  <c r="U394" i="17"/>
  <c r="AF394" i="17" s="1"/>
  <c r="Q394" i="17"/>
  <c r="M394" i="17"/>
  <c r="AB394" i="17"/>
  <c r="P395" i="17"/>
  <c r="AI398" i="17"/>
  <c r="W398" i="17"/>
  <c r="AD398" i="17" s="1"/>
  <c r="S398" i="17"/>
  <c r="O398" i="17"/>
  <c r="K398" i="17"/>
  <c r="AL398" i="17"/>
  <c r="AH398" i="17"/>
  <c r="Z398" i="17"/>
  <c r="AA398" i="17" s="1"/>
  <c r="AG398" i="17" s="1"/>
  <c r="V398" i="17"/>
  <c r="R398" i="17"/>
  <c r="N398" i="17"/>
  <c r="AK398" i="17"/>
  <c r="AC398" i="17"/>
  <c r="AE398" i="17" s="1"/>
  <c r="Y398" i="17"/>
  <c r="U398" i="17"/>
  <c r="AF398" i="17" s="1"/>
  <c r="Q398" i="17"/>
  <c r="M398" i="17"/>
  <c r="AB398" i="17"/>
  <c r="P399" i="17"/>
  <c r="AK477" i="17"/>
  <c r="AC477" i="17"/>
  <c r="AE477" i="17" s="1"/>
  <c r="Y477" i="17"/>
  <c r="U477" i="17"/>
  <c r="AF477" i="17" s="1"/>
  <c r="Q477" i="17"/>
  <c r="M477" i="17"/>
  <c r="AI477" i="17"/>
  <c r="AA477" i="17"/>
  <c r="AG477" i="17" s="1"/>
  <c r="W477" i="17"/>
  <c r="AD477" i="17" s="1"/>
  <c r="S477" i="17"/>
  <c r="O477" i="17"/>
  <c r="K477" i="17"/>
  <c r="X477" i="17"/>
  <c r="P477" i="17"/>
  <c r="AL477" i="17"/>
  <c r="V477" i="17"/>
  <c r="AB477" i="17" s="1"/>
  <c r="N477" i="17"/>
  <c r="Z477" i="17"/>
  <c r="AJ477" i="17"/>
  <c r="T477" i="17"/>
  <c r="AH477" i="17"/>
  <c r="R477" i="17"/>
  <c r="AK485" i="17"/>
  <c r="AC485" i="17"/>
  <c r="AE485" i="17" s="1"/>
  <c r="U485" i="17"/>
  <c r="AF485" i="17" s="1"/>
  <c r="Q485" i="17"/>
  <c r="M485" i="17"/>
  <c r="AI485" i="17"/>
  <c r="AA485" i="17"/>
  <c r="AG485" i="17" s="1"/>
  <c r="W485" i="17"/>
  <c r="AD485" i="17" s="1"/>
  <c r="S485" i="17"/>
  <c r="O485" i="17"/>
  <c r="K485" i="17"/>
  <c r="X485" i="17"/>
  <c r="Y485" i="17" s="1"/>
  <c r="P485" i="17"/>
  <c r="AL485" i="17"/>
  <c r="V485" i="17"/>
  <c r="AB485" i="17" s="1"/>
  <c r="N485" i="17"/>
  <c r="Z485" i="17"/>
  <c r="AJ485" i="17"/>
  <c r="T485" i="17"/>
  <c r="AH485" i="17"/>
  <c r="R485" i="17"/>
  <c r="AK475" i="17"/>
  <c r="AC475" i="17"/>
  <c r="AE475" i="17" s="1"/>
  <c r="U475" i="17"/>
  <c r="AF475" i="17" s="1"/>
  <c r="Q475" i="17"/>
  <c r="M475" i="17"/>
  <c r="AI475" i="17"/>
  <c r="AA475" i="17"/>
  <c r="AG475" i="17" s="1"/>
  <c r="W475" i="17"/>
  <c r="AD475" i="17" s="1"/>
  <c r="S475" i="17"/>
  <c r="O475" i="17"/>
  <c r="K475" i="17"/>
  <c r="X475" i="17"/>
  <c r="Y475" i="17" s="1"/>
  <c r="P475" i="17"/>
  <c r="AL475" i="17"/>
  <c r="V475" i="17"/>
  <c r="N475" i="17"/>
  <c r="AB475" i="17"/>
  <c r="AK483" i="17"/>
  <c r="AC483" i="17"/>
  <c r="AE483" i="17" s="1"/>
  <c r="Y483" i="17"/>
  <c r="U483" i="17"/>
  <c r="AF483" i="17" s="1"/>
  <c r="Q483" i="17"/>
  <c r="M483" i="17"/>
  <c r="AI483" i="17"/>
  <c r="AA483" i="17"/>
  <c r="AG483" i="17" s="1"/>
  <c r="W483" i="17"/>
  <c r="AD483" i="17" s="1"/>
  <c r="S483" i="17"/>
  <c r="O483" i="17"/>
  <c r="K483" i="17"/>
  <c r="X483" i="17"/>
  <c r="P483" i="17"/>
  <c r="AL483" i="17"/>
  <c r="V483" i="17"/>
  <c r="AB483" i="17" s="1"/>
  <c r="N483" i="17"/>
  <c r="AK491" i="17"/>
  <c r="AC491" i="17"/>
  <c r="AE491" i="17" s="1"/>
  <c r="U491" i="17"/>
  <c r="AF491" i="17" s="1"/>
  <c r="Q491" i="17"/>
  <c r="M491" i="17"/>
  <c r="AI491" i="17"/>
  <c r="AA491" i="17"/>
  <c r="AG491" i="17" s="1"/>
  <c r="W491" i="17"/>
  <c r="AD491" i="17" s="1"/>
  <c r="S491" i="17"/>
  <c r="O491" i="17"/>
  <c r="K491" i="17"/>
  <c r="X491" i="17"/>
  <c r="Y491" i="17" s="1"/>
  <c r="P491" i="17"/>
  <c r="AL491" i="17"/>
  <c r="V491" i="17"/>
  <c r="N491" i="17"/>
  <c r="AB491" i="17"/>
  <c r="AK499" i="17"/>
  <c r="AC499" i="17"/>
  <c r="AE499" i="17" s="1"/>
  <c r="Y499" i="17"/>
  <c r="U499" i="17"/>
  <c r="AF499" i="17" s="1"/>
  <c r="Q499" i="17"/>
  <c r="M499" i="17"/>
  <c r="AI499" i="17"/>
  <c r="AA499" i="17"/>
  <c r="AG499" i="17" s="1"/>
  <c r="W499" i="17"/>
  <c r="AD499" i="17" s="1"/>
  <c r="S499" i="17"/>
  <c r="O499" i="17"/>
  <c r="K499" i="17"/>
  <c r="X499" i="17"/>
  <c r="P499" i="17"/>
  <c r="AL499" i="17"/>
  <c r="V499" i="17"/>
  <c r="AB499" i="17" s="1"/>
  <c r="N499" i="17"/>
  <c r="AI2" i="18"/>
  <c r="AA2" i="18"/>
  <c r="AG2" i="18" s="1"/>
  <c r="W2" i="18"/>
  <c r="AD2" i="18" s="1"/>
  <c r="S2" i="18"/>
  <c r="O2" i="18"/>
  <c r="K2" i="18"/>
  <c r="AK2" i="18"/>
  <c r="AC2" i="18"/>
  <c r="AE2" i="18" s="1"/>
  <c r="U2" i="18"/>
  <c r="AF2" i="18" s="1"/>
  <c r="Q2" i="18"/>
  <c r="M2" i="18"/>
  <c r="X2" i="18"/>
  <c r="Y2" i="18" s="1"/>
  <c r="P2" i="18"/>
  <c r="AL2" i="18"/>
  <c r="V2" i="18"/>
  <c r="N2" i="18"/>
  <c r="AB2" i="18"/>
  <c r="AK4" i="18"/>
  <c r="AC4" i="18"/>
  <c r="AE4" i="18" s="1"/>
  <c r="U4" i="18"/>
  <c r="AF4" i="18" s="1"/>
  <c r="Q4" i="18"/>
  <c r="M4" i="18"/>
  <c r="AI4" i="18"/>
  <c r="AA4" i="18"/>
  <c r="AG4" i="18" s="1"/>
  <c r="W4" i="18"/>
  <c r="AD4" i="18" s="1"/>
  <c r="S4" i="18"/>
  <c r="O4" i="18"/>
  <c r="K4" i="18"/>
  <c r="AH4" i="18"/>
  <c r="Z4" i="18"/>
  <c r="R4" i="18"/>
  <c r="X4" i="18"/>
  <c r="Y4" i="18" s="1"/>
  <c r="P4" i="18"/>
  <c r="AB4" i="18"/>
  <c r="V6" i="18"/>
  <c r="AB6" i="18" s="1"/>
  <c r="AK473" i="17"/>
  <c r="AC473" i="17"/>
  <c r="AE473" i="17" s="1"/>
  <c r="U473" i="17"/>
  <c r="AF473" i="17" s="1"/>
  <c r="Q473" i="17"/>
  <c r="M473" i="17"/>
  <c r="AI473" i="17"/>
  <c r="AA473" i="17"/>
  <c r="AG473" i="17" s="1"/>
  <c r="W473" i="17"/>
  <c r="AD473" i="17" s="1"/>
  <c r="S473" i="17"/>
  <c r="O473" i="17"/>
  <c r="K473" i="17"/>
  <c r="X473" i="17"/>
  <c r="Y473" i="17" s="1"/>
  <c r="P473" i="17"/>
  <c r="AL473" i="17"/>
  <c r="V473" i="17"/>
  <c r="AB473" i="17" s="1"/>
  <c r="N473" i="17"/>
  <c r="AK481" i="17"/>
  <c r="AC481" i="17"/>
  <c r="AE481" i="17" s="1"/>
  <c r="Y481" i="17"/>
  <c r="U481" i="17"/>
  <c r="AF481" i="17" s="1"/>
  <c r="Q481" i="17"/>
  <c r="M481" i="17"/>
  <c r="AI481" i="17"/>
  <c r="AA481" i="17"/>
  <c r="AG481" i="17" s="1"/>
  <c r="W481" i="17"/>
  <c r="AD481" i="17" s="1"/>
  <c r="S481" i="17"/>
  <c r="O481" i="17"/>
  <c r="K481" i="17"/>
  <c r="X481" i="17"/>
  <c r="P481" i="17"/>
  <c r="AL481" i="17"/>
  <c r="V481" i="17"/>
  <c r="N481" i="17"/>
  <c r="AB481" i="17"/>
  <c r="AK489" i="17"/>
  <c r="AC489" i="17"/>
  <c r="AE489" i="17" s="1"/>
  <c r="U489" i="17"/>
  <c r="AF489" i="17" s="1"/>
  <c r="Q489" i="17"/>
  <c r="M489" i="17"/>
  <c r="AI489" i="17"/>
  <c r="AA489" i="17"/>
  <c r="AG489" i="17" s="1"/>
  <c r="W489" i="17"/>
  <c r="AD489" i="17" s="1"/>
  <c r="S489" i="17"/>
  <c r="O489" i="17"/>
  <c r="K489" i="17"/>
  <c r="X489" i="17"/>
  <c r="Y489" i="17" s="1"/>
  <c r="P489" i="17"/>
  <c r="AL489" i="17"/>
  <c r="V489" i="17"/>
  <c r="AB489" i="17" s="1"/>
  <c r="N489" i="17"/>
  <c r="AK497" i="17"/>
  <c r="AC497" i="17"/>
  <c r="AE497" i="17" s="1"/>
  <c r="Y497" i="17"/>
  <c r="U497" i="17"/>
  <c r="AF497" i="17" s="1"/>
  <c r="Q497" i="17"/>
  <c r="M497" i="17"/>
  <c r="AI497" i="17"/>
  <c r="AA497" i="17"/>
  <c r="AG497" i="17" s="1"/>
  <c r="W497" i="17"/>
  <c r="AD497" i="17" s="1"/>
  <c r="S497" i="17"/>
  <c r="O497" i="17"/>
  <c r="K497" i="17"/>
  <c r="X497" i="17"/>
  <c r="P497" i="17"/>
  <c r="AL497" i="17"/>
  <c r="V497" i="17"/>
  <c r="N497" i="17"/>
  <c r="AB497" i="17"/>
  <c r="AI6" i="18"/>
  <c r="W6" i="18"/>
  <c r="AD6" i="18" s="1"/>
  <c r="S6" i="18"/>
  <c r="O6" i="18"/>
  <c r="K6" i="18"/>
  <c r="AK6" i="18"/>
  <c r="AC6" i="18"/>
  <c r="AE6" i="18" s="1"/>
  <c r="Y6" i="18"/>
  <c r="U6" i="18"/>
  <c r="AF6" i="18" s="1"/>
  <c r="Q6" i="18"/>
  <c r="M6" i="18"/>
  <c r="AH6" i="18"/>
  <c r="Z6" i="18"/>
  <c r="AA6" i="18" s="1"/>
  <c r="AG6" i="18" s="1"/>
  <c r="R6" i="18"/>
  <c r="X6" i="18"/>
  <c r="P6" i="18"/>
  <c r="AK471" i="17"/>
  <c r="AC471" i="17"/>
  <c r="AE471" i="17" s="1"/>
  <c r="Y471" i="17"/>
  <c r="U471" i="17"/>
  <c r="AF471" i="17" s="1"/>
  <c r="Q471" i="17"/>
  <c r="M471" i="17"/>
  <c r="AI471" i="17"/>
  <c r="AA471" i="17"/>
  <c r="AG471" i="17" s="1"/>
  <c r="W471" i="17"/>
  <c r="AD471" i="17" s="1"/>
  <c r="S471" i="17"/>
  <c r="O471" i="17"/>
  <c r="K471" i="17"/>
  <c r="X471" i="17"/>
  <c r="P471" i="17"/>
  <c r="AL471" i="17"/>
  <c r="V471" i="17"/>
  <c r="N471" i="17"/>
  <c r="AB471" i="17"/>
  <c r="R473" i="17"/>
  <c r="AH473" i="17"/>
  <c r="T475" i="17"/>
  <c r="AJ475" i="17"/>
  <c r="AK479" i="17"/>
  <c r="AC479" i="17"/>
  <c r="AE479" i="17" s="1"/>
  <c r="U479" i="17"/>
  <c r="AF479" i="17" s="1"/>
  <c r="Q479" i="17"/>
  <c r="M479" i="17"/>
  <c r="AI479" i="17"/>
  <c r="AA479" i="17"/>
  <c r="AG479" i="17" s="1"/>
  <c r="W479" i="17"/>
  <c r="AD479" i="17" s="1"/>
  <c r="S479" i="17"/>
  <c r="O479" i="17"/>
  <c r="K479" i="17"/>
  <c r="X479" i="17"/>
  <c r="Y479" i="17" s="1"/>
  <c r="P479" i="17"/>
  <c r="AL479" i="17"/>
  <c r="V479" i="17"/>
  <c r="AB479" i="17" s="1"/>
  <c r="N479" i="17"/>
  <c r="R481" i="17"/>
  <c r="AH481" i="17"/>
  <c r="T483" i="17"/>
  <c r="AJ483" i="17"/>
  <c r="AK487" i="17"/>
  <c r="AC487" i="17"/>
  <c r="AE487" i="17" s="1"/>
  <c r="Y487" i="17"/>
  <c r="U487" i="17"/>
  <c r="AF487" i="17" s="1"/>
  <c r="Q487" i="17"/>
  <c r="M487" i="17"/>
  <c r="AI487" i="17"/>
  <c r="AA487" i="17"/>
  <c r="AG487" i="17" s="1"/>
  <c r="W487" i="17"/>
  <c r="AD487" i="17" s="1"/>
  <c r="S487" i="17"/>
  <c r="O487" i="17"/>
  <c r="K487" i="17"/>
  <c r="X487" i="17"/>
  <c r="P487" i="17"/>
  <c r="AL487" i="17"/>
  <c r="V487" i="17"/>
  <c r="N487" i="17"/>
  <c r="AB487" i="17"/>
  <c r="R489" i="17"/>
  <c r="AH489" i="17"/>
  <c r="T491" i="17"/>
  <c r="AJ491" i="17"/>
  <c r="AK495" i="17"/>
  <c r="AC495" i="17"/>
  <c r="AE495" i="17" s="1"/>
  <c r="U495" i="17"/>
  <c r="AF495" i="17" s="1"/>
  <c r="Q495" i="17"/>
  <c r="M495" i="17"/>
  <c r="AI495" i="17"/>
  <c r="AA495" i="17"/>
  <c r="AG495" i="17" s="1"/>
  <c r="W495" i="17"/>
  <c r="AD495" i="17" s="1"/>
  <c r="S495" i="17"/>
  <c r="O495" i="17"/>
  <c r="K495" i="17"/>
  <c r="X495" i="17"/>
  <c r="Y495" i="17" s="1"/>
  <c r="P495" i="17"/>
  <c r="AL495" i="17"/>
  <c r="V495" i="17"/>
  <c r="AB495" i="17" s="1"/>
  <c r="N495" i="17"/>
  <c r="R497" i="17"/>
  <c r="AH497" i="17"/>
  <c r="T499" i="17"/>
  <c r="AJ499" i="17"/>
  <c r="T2" i="18"/>
  <c r="AJ2" i="18"/>
  <c r="N6" i="18"/>
  <c r="P402" i="17"/>
  <c r="T402" i="17"/>
  <c r="X402" i="17"/>
  <c r="Y402" i="17" s="1"/>
  <c r="AB402" i="17"/>
  <c r="P403" i="17"/>
  <c r="T403" i="17"/>
  <c r="X403" i="17"/>
  <c r="Y403" i="17" s="1"/>
  <c r="AB403" i="17"/>
  <c r="P404" i="17"/>
  <c r="T404" i="17"/>
  <c r="X404" i="17"/>
  <c r="Y404" i="17" s="1"/>
  <c r="AB404" i="17"/>
  <c r="P405" i="17"/>
  <c r="T405" i="17"/>
  <c r="X405" i="17"/>
  <c r="Y405" i="17" s="1"/>
  <c r="AB405" i="17"/>
  <c r="P406" i="17"/>
  <c r="T406" i="17"/>
  <c r="X406" i="17"/>
  <c r="Y406" i="17" s="1"/>
  <c r="AB406" i="17"/>
  <c r="P407" i="17"/>
  <c r="T407" i="17"/>
  <c r="X407" i="17"/>
  <c r="Y407" i="17" s="1"/>
  <c r="AB407" i="17"/>
  <c r="P408" i="17"/>
  <c r="T408" i="17"/>
  <c r="X408" i="17"/>
  <c r="Y408" i="17" s="1"/>
  <c r="AB408" i="17"/>
  <c r="P409" i="17"/>
  <c r="T409" i="17"/>
  <c r="X409" i="17"/>
  <c r="Y409" i="17" s="1"/>
  <c r="AB409" i="17"/>
  <c r="P410" i="17"/>
  <c r="T410" i="17"/>
  <c r="X410" i="17"/>
  <c r="Y410" i="17" s="1"/>
  <c r="AB410" i="17"/>
  <c r="P411" i="17"/>
  <c r="T411" i="17"/>
  <c r="X411" i="17"/>
  <c r="Y411" i="17" s="1"/>
  <c r="AB411" i="17"/>
  <c r="P412" i="17"/>
  <c r="T412" i="17"/>
  <c r="X412" i="17"/>
  <c r="Y412" i="17" s="1"/>
  <c r="AB412" i="17"/>
  <c r="P413" i="17"/>
  <c r="T413" i="17"/>
  <c r="X413" i="17"/>
  <c r="Y413" i="17" s="1"/>
  <c r="AB413" i="17"/>
  <c r="P414" i="17"/>
  <c r="T414" i="17"/>
  <c r="X414" i="17"/>
  <c r="Y414" i="17" s="1"/>
  <c r="AB414" i="17"/>
  <c r="P415" i="17"/>
  <c r="T415" i="17"/>
  <c r="X415" i="17"/>
  <c r="Y415" i="17" s="1"/>
  <c r="AB415" i="17"/>
  <c r="P416" i="17"/>
  <c r="T416" i="17"/>
  <c r="X416" i="17"/>
  <c r="Y416" i="17" s="1"/>
  <c r="AB416" i="17"/>
  <c r="P417" i="17"/>
  <c r="T417" i="17"/>
  <c r="X417" i="17"/>
  <c r="Y417" i="17" s="1"/>
  <c r="AB417" i="17"/>
  <c r="P418" i="17"/>
  <c r="T418" i="17"/>
  <c r="X418" i="17"/>
  <c r="Y418" i="17" s="1"/>
  <c r="AB418" i="17"/>
  <c r="P419" i="17"/>
  <c r="T419" i="17"/>
  <c r="X419" i="17"/>
  <c r="Y419" i="17" s="1"/>
  <c r="AB419" i="17"/>
  <c r="P420" i="17"/>
  <c r="T420" i="17"/>
  <c r="X420" i="17"/>
  <c r="Y420" i="17" s="1"/>
  <c r="AB420" i="17"/>
  <c r="P421" i="17"/>
  <c r="T421" i="17"/>
  <c r="X421" i="17"/>
  <c r="Y421" i="17" s="1"/>
  <c r="AB421" i="17"/>
  <c r="P422" i="17"/>
  <c r="T422" i="17"/>
  <c r="X422" i="17"/>
  <c r="Y422" i="17" s="1"/>
  <c r="AB422" i="17"/>
  <c r="P423" i="17"/>
  <c r="T423" i="17"/>
  <c r="X423" i="17"/>
  <c r="Y423" i="17" s="1"/>
  <c r="AB423" i="17"/>
  <c r="P424" i="17"/>
  <c r="T424" i="17"/>
  <c r="X424" i="17"/>
  <c r="Y424" i="17" s="1"/>
  <c r="AB424" i="17"/>
  <c r="P425" i="17"/>
  <c r="T425" i="17"/>
  <c r="X425" i="17"/>
  <c r="Y425" i="17" s="1"/>
  <c r="AB425" i="17"/>
  <c r="P426" i="17"/>
  <c r="T426" i="17"/>
  <c r="X426" i="17"/>
  <c r="Y426" i="17" s="1"/>
  <c r="AB426" i="17"/>
  <c r="P427" i="17"/>
  <c r="T427" i="17"/>
  <c r="X427" i="17"/>
  <c r="Y427" i="17" s="1"/>
  <c r="AB427" i="17"/>
  <c r="P428" i="17"/>
  <c r="T428" i="17"/>
  <c r="X428" i="17"/>
  <c r="Y428" i="17" s="1"/>
  <c r="AB428" i="17"/>
  <c r="P429" i="17"/>
  <c r="T429" i="17"/>
  <c r="X429" i="17"/>
  <c r="Y429" i="17" s="1"/>
  <c r="AB429" i="17"/>
  <c r="P430" i="17"/>
  <c r="T430" i="17"/>
  <c r="X430" i="17"/>
  <c r="Y430" i="17" s="1"/>
  <c r="AB430" i="17"/>
  <c r="P431" i="17"/>
  <c r="T431" i="17"/>
  <c r="X431" i="17"/>
  <c r="Y431" i="17" s="1"/>
  <c r="AB431" i="17"/>
  <c r="P432" i="17"/>
  <c r="T432" i="17"/>
  <c r="X432" i="17"/>
  <c r="Y432" i="17" s="1"/>
  <c r="AB432" i="17"/>
  <c r="P433" i="17"/>
  <c r="T433" i="17"/>
  <c r="X433" i="17"/>
  <c r="Y433" i="17" s="1"/>
  <c r="AB433" i="17"/>
  <c r="P434" i="17"/>
  <c r="T434" i="17"/>
  <c r="X434" i="17"/>
  <c r="Y434" i="17" s="1"/>
  <c r="AB434" i="17"/>
  <c r="P435" i="17"/>
  <c r="T435" i="17"/>
  <c r="X435" i="17"/>
  <c r="Y435" i="17" s="1"/>
  <c r="AB435" i="17"/>
  <c r="P436" i="17"/>
  <c r="T436" i="17"/>
  <c r="X436" i="17"/>
  <c r="Y436" i="17" s="1"/>
  <c r="AB436" i="17"/>
  <c r="P437" i="17"/>
  <c r="T437" i="17"/>
  <c r="X437" i="17"/>
  <c r="Y437" i="17" s="1"/>
  <c r="AB437" i="17"/>
  <c r="P438" i="17"/>
  <c r="T438" i="17"/>
  <c r="X438" i="17"/>
  <c r="Y438" i="17" s="1"/>
  <c r="AB438" i="17"/>
  <c r="P439" i="17"/>
  <c r="T439" i="17"/>
  <c r="X439" i="17"/>
  <c r="Y439" i="17" s="1"/>
  <c r="AB439" i="17"/>
  <c r="P440" i="17"/>
  <c r="T440" i="17"/>
  <c r="X440" i="17"/>
  <c r="Y440" i="17" s="1"/>
  <c r="AB440" i="17"/>
  <c r="P441" i="17"/>
  <c r="T441" i="17"/>
  <c r="X441" i="17"/>
  <c r="Y441" i="17" s="1"/>
  <c r="AB441" i="17"/>
  <c r="P442" i="17"/>
  <c r="T442" i="17"/>
  <c r="X442" i="17"/>
  <c r="Y442" i="17" s="1"/>
  <c r="AB442" i="17"/>
  <c r="P443" i="17"/>
  <c r="T443" i="17"/>
  <c r="X443" i="17"/>
  <c r="Y443" i="17" s="1"/>
  <c r="AB443" i="17"/>
  <c r="P444" i="17"/>
  <c r="T444" i="17"/>
  <c r="X444" i="17"/>
  <c r="Y444" i="17" s="1"/>
  <c r="AB444" i="17"/>
  <c r="P445" i="17"/>
  <c r="T445" i="17"/>
  <c r="X445" i="17"/>
  <c r="Y445" i="17" s="1"/>
  <c r="AB445" i="17"/>
  <c r="P446" i="17"/>
  <c r="T446" i="17"/>
  <c r="X446" i="17"/>
  <c r="Y446" i="17" s="1"/>
  <c r="AB446" i="17"/>
  <c r="P447" i="17"/>
  <c r="T447" i="17"/>
  <c r="X447" i="17"/>
  <c r="Y447" i="17" s="1"/>
  <c r="AB447" i="17"/>
  <c r="P448" i="17"/>
  <c r="T448" i="17"/>
  <c r="X448" i="17"/>
  <c r="Y448" i="17" s="1"/>
  <c r="AB448" i="17"/>
  <c r="P449" i="17"/>
  <c r="T449" i="17"/>
  <c r="X449" i="17"/>
  <c r="Y449" i="17" s="1"/>
  <c r="AB449" i="17"/>
  <c r="P450" i="17"/>
  <c r="T450" i="17"/>
  <c r="X450" i="17"/>
  <c r="Y450" i="17" s="1"/>
  <c r="AB450" i="17"/>
  <c r="P451" i="17"/>
  <c r="T451" i="17"/>
  <c r="X451" i="17"/>
  <c r="Y451" i="17" s="1"/>
  <c r="AB451" i="17"/>
  <c r="P452" i="17"/>
  <c r="T452" i="17"/>
  <c r="X452" i="17"/>
  <c r="Y452" i="17" s="1"/>
  <c r="AB452" i="17"/>
  <c r="P453" i="17"/>
  <c r="T453" i="17"/>
  <c r="X453" i="17"/>
  <c r="Y453" i="17" s="1"/>
  <c r="AB453" i="17"/>
  <c r="P454" i="17"/>
  <c r="T454" i="17"/>
  <c r="X454" i="17"/>
  <c r="Y454" i="17" s="1"/>
  <c r="AB454" i="17"/>
  <c r="P455" i="17"/>
  <c r="T455" i="17"/>
  <c r="X455" i="17"/>
  <c r="Y455" i="17" s="1"/>
  <c r="AB455" i="17"/>
  <c r="P456" i="17"/>
  <c r="T456" i="17"/>
  <c r="X456" i="17"/>
  <c r="Y456" i="17" s="1"/>
  <c r="AB456" i="17"/>
  <c r="P457" i="17"/>
  <c r="T457" i="17"/>
  <c r="X457" i="17"/>
  <c r="Y457" i="17" s="1"/>
  <c r="AB457" i="17"/>
  <c r="P458" i="17"/>
  <c r="T458" i="17"/>
  <c r="X458" i="17"/>
  <c r="Y458" i="17" s="1"/>
  <c r="AB458" i="17"/>
  <c r="P459" i="17"/>
  <c r="T459" i="17"/>
  <c r="X459" i="17"/>
  <c r="Y459" i="17" s="1"/>
  <c r="AB459" i="17"/>
  <c r="P460" i="17"/>
  <c r="T460" i="17"/>
  <c r="X460" i="17"/>
  <c r="Y460" i="17" s="1"/>
  <c r="AB460" i="17"/>
  <c r="P461" i="17"/>
  <c r="T461" i="17"/>
  <c r="X461" i="17"/>
  <c r="Y461" i="17" s="1"/>
  <c r="AB461" i="17"/>
  <c r="P462" i="17"/>
  <c r="T462" i="17"/>
  <c r="X462" i="17"/>
  <c r="Y462" i="17" s="1"/>
  <c r="AB462" i="17"/>
  <c r="P463" i="17"/>
  <c r="T463" i="17"/>
  <c r="X463" i="17"/>
  <c r="Y463" i="17" s="1"/>
  <c r="AB463" i="17"/>
  <c r="P464" i="17"/>
  <c r="T464" i="17"/>
  <c r="X464" i="17"/>
  <c r="Y464" i="17" s="1"/>
  <c r="AB464" i="17"/>
  <c r="P465" i="17"/>
  <c r="T465" i="17"/>
  <c r="X465" i="17"/>
  <c r="Y465" i="17" s="1"/>
  <c r="AB465" i="17"/>
  <c r="P466" i="17"/>
  <c r="T466" i="17"/>
  <c r="X466" i="17"/>
  <c r="Y466" i="17" s="1"/>
  <c r="AB466" i="17"/>
  <c r="AK467" i="17"/>
  <c r="AI467" i="17"/>
  <c r="P467" i="17"/>
  <c r="T467" i="17"/>
  <c r="X467" i="17"/>
  <c r="Y467" i="17" s="1"/>
  <c r="AB467" i="17"/>
  <c r="AL467" i="17"/>
  <c r="R468" i="17"/>
  <c r="Z468" i="17"/>
  <c r="R470" i="17"/>
  <c r="Z470" i="17"/>
  <c r="AA470" i="17" s="1"/>
  <c r="AG470" i="17" s="1"/>
  <c r="R472" i="17"/>
  <c r="Z472" i="17"/>
  <c r="R474" i="17"/>
  <c r="Z474" i="17"/>
  <c r="R476" i="17"/>
  <c r="Z476" i="17"/>
  <c r="R478" i="17"/>
  <c r="Z478" i="17"/>
  <c r="AA478" i="17" s="1"/>
  <c r="AG478" i="17" s="1"/>
  <c r="R480" i="17"/>
  <c r="Z480" i="17"/>
  <c r="R482" i="17"/>
  <c r="Z482" i="17"/>
  <c r="R484" i="17"/>
  <c r="Z484" i="17"/>
  <c r="R486" i="17"/>
  <c r="Z486" i="17"/>
  <c r="AA486" i="17" s="1"/>
  <c r="AG486" i="17" s="1"/>
  <c r="R488" i="17"/>
  <c r="Z488" i="17"/>
  <c r="R490" i="17"/>
  <c r="Z490" i="17"/>
  <c r="R492" i="17"/>
  <c r="Z492" i="17"/>
  <c r="R494" i="17"/>
  <c r="Z494" i="17"/>
  <c r="AA494" i="17" s="1"/>
  <c r="AG494" i="17" s="1"/>
  <c r="R496" i="17"/>
  <c r="Z496" i="17"/>
  <c r="R498" i="17"/>
  <c r="Z498" i="17"/>
  <c r="R500" i="17"/>
  <c r="Z500" i="17"/>
  <c r="R8" i="18"/>
  <c r="Z8" i="18"/>
  <c r="AA8" i="18" s="1"/>
  <c r="AG8" i="18" s="1"/>
  <c r="AK468" i="17"/>
  <c r="AC468" i="17"/>
  <c r="AE468" i="17" s="1"/>
  <c r="Y468" i="17"/>
  <c r="U468" i="17"/>
  <c r="AF468" i="17" s="1"/>
  <c r="Q468" i="17"/>
  <c r="M468" i="17"/>
  <c r="AI468" i="17"/>
  <c r="AA468" i="17"/>
  <c r="AG468" i="17" s="1"/>
  <c r="W468" i="17"/>
  <c r="AD468" i="17" s="1"/>
  <c r="S468" i="17"/>
  <c r="O468" i="17"/>
  <c r="K468" i="17"/>
  <c r="T468" i="17"/>
  <c r="AB468" i="17"/>
  <c r="AJ468" i="17"/>
  <c r="AK470" i="17"/>
  <c r="AC470" i="17"/>
  <c r="AE470" i="17" s="1"/>
  <c r="Y470" i="17"/>
  <c r="U470" i="17"/>
  <c r="AF470" i="17" s="1"/>
  <c r="Q470" i="17"/>
  <c r="M470" i="17"/>
  <c r="AI470" i="17"/>
  <c r="W470" i="17"/>
  <c r="AD470" i="17" s="1"/>
  <c r="S470" i="17"/>
  <c r="O470" i="17"/>
  <c r="K470" i="17"/>
  <c r="T470" i="17"/>
  <c r="AB470" i="17"/>
  <c r="AJ470" i="17"/>
  <c r="AK472" i="17"/>
  <c r="AC472" i="17"/>
  <c r="AE472" i="17" s="1"/>
  <c r="Y472" i="17"/>
  <c r="U472" i="17"/>
  <c r="AF472" i="17" s="1"/>
  <c r="Q472" i="17"/>
  <c r="M472" i="17"/>
  <c r="AI472" i="17"/>
  <c r="AA472" i="17"/>
  <c r="AG472" i="17" s="1"/>
  <c r="W472" i="17"/>
  <c r="AD472" i="17" s="1"/>
  <c r="S472" i="17"/>
  <c r="O472" i="17"/>
  <c r="K472" i="17"/>
  <c r="T472" i="17"/>
  <c r="AB472" i="17"/>
  <c r="AJ472" i="17"/>
  <c r="AK474" i="17"/>
  <c r="AC474" i="17"/>
  <c r="AE474" i="17" s="1"/>
  <c r="Y474" i="17"/>
  <c r="U474" i="17"/>
  <c r="AF474" i="17" s="1"/>
  <c r="Q474" i="17"/>
  <c r="M474" i="17"/>
  <c r="AI474" i="17"/>
  <c r="AA474" i="17"/>
  <c r="AG474" i="17" s="1"/>
  <c r="W474" i="17"/>
  <c r="AD474" i="17" s="1"/>
  <c r="S474" i="17"/>
  <c r="O474" i="17"/>
  <c r="K474" i="17"/>
  <c r="T474" i="17"/>
  <c r="AB474" i="17"/>
  <c r="AJ474" i="17"/>
  <c r="AK476" i="17"/>
  <c r="AC476" i="17"/>
  <c r="AE476" i="17" s="1"/>
  <c r="Y476" i="17"/>
  <c r="U476" i="17"/>
  <c r="AF476" i="17" s="1"/>
  <c r="Q476" i="17"/>
  <c r="M476" i="17"/>
  <c r="AI476" i="17"/>
  <c r="AA476" i="17"/>
  <c r="AG476" i="17" s="1"/>
  <c r="W476" i="17"/>
  <c r="AD476" i="17" s="1"/>
  <c r="S476" i="17"/>
  <c r="O476" i="17"/>
  <c r="K476" i="17"/>
  <c r="T476" i="17"/>
  <c r="AB476" i="17"/>
  <c r="AJ476" i="17"/>
  <c r="AK478" i="17"/>
  <c r="AC478" i="17"/>
  <c r="AE478" i="17" s="1"/>
  <c r="Y478" i="17"/>
  <c r="U478" i="17"/>
  <c r="AF478" i="17" s="1"/>
  <c r="Q478" i="17"/>
  <c r="M478" i="17"/>
  <c r="AI478" i="17"/>
  <c r="W478" i="17"/>
  <c r="AD478" i="17" s="1"/>
  <c r="S478" i="17"/>
  <c r="O478" i="17"/>
  <c r="K478" i="17"/>
  <c r="T478" i="17"/>
  <c r="AB478" i="17"/>
  <c r="AJ478" i="17"/>
  <c r="AK480" i="17"/>
  <c r="AC480" i="17"/>
  <c r="AE480" i="17" s="1"/>
  <c r="Y480" i="17"/>
  <c r="U480" i="17"/>
  <c r="AF480" i="17" s="1"/>
  <c r="Q480" i="17"/>
  <c r="M480" i="17"/>
  <c r="AI480" i="17"/>
  <c r="AA480" i="17"/>
  <c r="AG480" i="17" s="1"/>
  <c r="W480" i="17"/>
  <c r="AD480" i="17" s="1"/>
  <c r="S480" i="17"/>
  <c r="O480" i="17"/>
  <c r="K480" i="17"/>
  <c r="T480" i="17"/>
  <c r="AB480" i="17"/>
  <c r="AJ480" i="17"/>
  <c r="AK482" i="17"/>
  <c r="AC482" i="17"/>
  <c r="AE482" i="17" s="1"/>
  <c r="Y482" i="17"/>
  <c r="U482" i="17"/>
  <c r="AF482" i="17" s="1"/>
  <c r="Q482" i="17"/>
  <c r="M482" i="17"/>
  <c r="AI482" i="17"/>
  <c r="AA482" i="17"/>
  <c r="AG482" i="17" s="1"/>
  <c r="W482" i="17"/>
  <c r="AD482" i="17" s="1"/>
  <c r="S482" i="17"/>
  <c r="O482" i="17"/>
  <c r="K482" i="17"/>
  <c r="T482" i="17"/>
  <c r="AB482" i="17"/>
  <c r="AJ482" i="17"/>
  <c r="AK484" i="17"/>
  <c r="AC484" i="17"/>
  <c r="AE484" i="17" s="1"/>
  <c r="Y484" i="17"/>
  <c r="U484" i="17"/>
  <c r="AF484" i="17" s="1"/>
  <c r="Q484" i="17"/>
  <c r="M484" i="17"/>
  <c r="AI484" i="17"/>
  <c r="AA484" i="17"/>
  <c r="AG484" i="17" s="1"/>
  <c r="W484" i="17"/>
  <c r="AD484" i="17" s="1"/>
  <c r="S484" i="17"/>
  <c r="O484" i="17"/>
  <c r="K484" i="17"/>
  <c r="T484" i="17"/>
  <c r="AB484" i="17"/>
  <c r="AJ484" i="17"/>
  <c r="AK486" i="17"/>
  <c r="AC486" i="17"/>
  <c r="AE486" i="17" s="1"/>
  <c r="Y486" i="17"/>
  <c r="U486" i="17"/>
  <c r="AF486" i="17" s="1"/>
  <c r="Q486" i="17"/>
  <c r="M486" i="17"/>
  <c r="AI486" i="17"/>
  <c r="W486" i="17"/>
  <c r="AD486" i="17" s="1"/>
  <c r="S486" i="17"/>
  <c r="O486" i="17"/>
  <c r="K486" i="17"/>
  <c r="T486" i="17"/>
  <c r="AB486" i="17"/>
  <c r="AJ486" i="17"/>
  <c r="AK488" i="17"/>
  <c r="AC488" i="17"/>
  <c r="AE488" i="17" s="1"/>
  <c r="Y488" i="17"/>
  <c r="U488" i="17"/>
  <c r="AF488" i="17" s="1"/>
  <c r="Q488" i="17"/>
  <c r="M488" i="17"/>
  <c r="AI488" i="17"/>
  <c r="AA488" i="17"/>
  <c r="AG488" i="17" s="1"/>
  <c r="W488" i="17"/>
  <c r="AD488" i="17" s="1"/>
  <c r="S488" i="17"/>
  <c r="O488" i="17"/>
  <c r="K488" i="17"/>
  <c r="T488" i="17"/>
  <c r="AB488" i="17"/>
  <c r="AJ488" i="17"/>
  <c r="AK490" i="17"/>
  <c r="AC490" i="17"/>
  <c r="AE490" i="17" s="1"/>
  <c r="Y490" i="17"/>
  <c r="U490" i="17"/>
  <c r="AF490" i="17" s="1"/>
  <c r="Q490" i="17"/>
  <c r="M490" i="17"/>
  <c r="AI490" i="17"/>
  <c r="AA490" i="17"/>
  <c r="AG490" i="17" s="1"/>
  <c r="W490" i="17"/>
  <c r="AD490" i="17" s="1"/>
  <c r="S490" i="17"/>
  <c r="O490" i="17"/>
  <c r="K490" i="17"/>
  <c r="T490" i="17"/>
  <c r="AB490" i="17"/>
  <c r="AJ490" i="17"/>
  <c r="AK492" i="17"/>
  <c r="AC492" i="17"/>
  <c r="AE492" i="17" s="1"/>
  <c r="Y492" i="17"/>
  <c r="U492" i="17"/>
  <c r="AF492" i="17" s="1"/>
  <c r="Q492" i="17"/>
  <c r="M492" i="17"/>
  <c r="AI492" i="17"/>
  <c r="AA492" i="17"/>
  <c r="AG492" i="17" s="1"/>
  <c r="W492" i="17"/>
  <c r="AD492" i="17" s="1"/>
  <c r="S492" i="17"/>
  <c r="O492" i="17"/>
  <c r="K492" i="17"/>
  <c r="T492" i="17"/>
  <c r="AB492" i="17"/>
  <c r="AJ492" i="17"/>
  <c r="AK494" i="17"/>
  <c r="AC494" i="17"/>
  <c r="AE494" i="17" s="1"/>
  <c r="Y494" i="17"/>
  <c r="U494" i="17"/>
  <c r="AF494" i="17" s="1"/>
  <c r="Q494" i="17"/>
  <c r="M494" i="17"/>
  <c r="AI494" i="17"/>
  <c r="W494" i="17"/>
  <c r="AD494" i="17" s="1"/>
  <c r="S494" i="17"/>
  <c r="O494" i="17"/>
  <c r="K494" i="17"/>
  <c r="T494" i="17"/>
  <c r="AB494" i="17"/>
  <c r="AJ494" i="17"/>
  <c r="AK496" i="17"/>
  <c r="AC496" i="17"/>
  <c r="AE496" i="17" s="1"/>
  <c r="Y496" i="17"/>
  <c r="U496" i="17"/>
  <c r="AF496" i="17" s="1"/>
  <c r="Q496" i="17"/>
  <c r="M496" i="17"/>
  <c r="AI496" i="17"/>
  <c r="AA496" i="17"/>
  <c r="AG496" i="17" s="1"/>
  <c r="W496" i="17"/>
  <c r="AD496" i="17" s="1"/>
  <c r="S496" i="17"/>
  <c r="O496" i="17"/>
  <c r="K496" i="17"/>
  <c r="T496" i="17"/>
  <c r="AB496" i="17"/>
  <c r="AJ496" i="17"/>
  <c r="AK498" i="17"/>
  <c r="AC498" i="17"/>
  <c r="AE498" i="17" s="1"/>
  <c r="Y498" i="17"/>
  <c r="U498" i="17"/>
  <c r="AF498" i="17" s="1"/>
  <c r="Q498" i="17"/>
  <c r="M498" i="17"/>
  <c r="AI498" i="17"/>
  <c r="AA498" i="17"/>
  <c r="AG498" i="17" s="1"/>
  <c r="W498" i="17"/>
  <c r="AD498" i="17" s="1"/>
  <c r="S498" i="17"/>
  <c r="O498" i="17"/>
  <c r="K498" i="17"/>
  <c r="T498" i="17"/>
  <c r="AB498" i="17"/>
  <c r="AJ498" i="17"/>
  <c r="AK500" i="17"/>
  <c r="AC500" i="17"/>
  <c r="AE500" i="17" s="1"/>
  <c r="Y500" i="17"/>
  <c r="U500" i="17"/>
  <c r="AF500" i="17" s="1"/>
  <c r="Q500" i="17"/>
  <c r="M500" i="17"/>
  <c r="AI500" i="17"/>
  <c r="AA500" i="17"/>
  <c r="AG500" i="17" s="1"/>
  <c r="W500" i="17"/>
  <c r="AD500" i="17" s="1"/>
  <c r="S500" i="17"/>
  <c r="O500" i="17"/>
  <c r="K500" i="17"/>
  <c r="T500" i="17"/>
  <c r="AB500" i="17"/>
  <c r="AJ500" i="17"/>
  <c r="AK8" i="18"/>
  <c r="AC8" i="18"/>
  <c r="AE8" i="18" s="1"/>
  <c r="Y8" i="18"/>
  <c r="U8" i="18"/>
  <c r="AF8" i="18" s="1"/>
  <c r="Q8" i="18"/>
  <c r="M8" i="18"/>
  <c r="AI8" i="18"/>
  <c r="W8" i="18"/>
  <c r="AD8" i="18" s="1"/>
  <c r="S8" i="18"/>
  <c r="O8" i="18"/>
  <c r="K8" i="18"/>
  <c r="T8" i="18"/>
  <c r="AB8" i="18"/>
  <c r="AJ8" i="18"/>
  <c r="AK105" i="18"/>
  <c r="AC105" i="18"/>
  <c r="AE105" i="18" s="1"/>
  <c r="Y105" i="18"/>
  <c r="U105" i="18"/>
  <c r="AF105" i="18" s="1"/>
  <c r="Q105" i="18"/>
  <c r="M105" i="18"/>
  <c r="AI105" i="18"/>
  <c r="W105" i="18"/>
  <c r="AD105" i="18" s="1"/>
  <c r="AL105" i="18"/>
  <c r="V105" i="18"/>
  <c r="P105" i="18"/>
  <c r="K105" i="18"/>
  <c r="AJ105" i="18"/>
  <c r="AB105" i="18"/>
  <c r="T105" i="18"/>
  <c r="O105" i="18"/>
  <c r="AH105" i="18"/>
  <c r="Z105" i="18"/>
  <c r="AA105" i="18" s="1"/>
  <c r="AG105" i="18" s="1"/>
  <c r="S105" i="18"/>
  <c r="N105" i="18"/>
  <c r="AK106" i="18"/>
  <c r="AC106" i="18"/>
  <c r="AE106" i="18" s="1"/>
  <c r="Y106" i="18"/>
  <c r="U106" i="18"/>
  <c r="AF106" i="18" s="1"/>
  <c r="Q106" i="18"/>
  <c r="M106" i="18"/>
  <c r="AI106" i="18"/>
  <c r="W106" i="18"/>
  <c r="AD106" i="18" s="1"/>
  <c r="S106" i="18"/>
  <c r="O106" i="18"/>
  <c r="K106" i="18"/>
  <c r="AH106" i="18"/>
  <c r="Z106" i="18"/>
  <c r="AA106" i="18" s="1"/>
  <c r="AG106" i="18" s="1"/>
  <c r="R106" i="18"/>
  <c r="X106" i="18"/>
  <c r="P106" i="18"/>
  <c r="AL106" i="18"/>
  <c r="V106" i="18"/>
  <c r="AB106" i="18" s="1"/>
  <c r="N106" i="18"/>
  <c r="AK108" i="18"/>
  <c r="AC108" i="18"/>
  <c r="AE108" i="18" s="1"/>
  <c r="Y108" i="18"/>
  <c r="U108" i="18"/>
  <c r="AF108" i="18" s="1"/>
  <c r="Q108" i="18"/>
  <c r="M108" i="18"/>
  <c r="AI108" i="18"/>
  <c r="W108" i="18"/>
  <c r="AD108" i="18" s="1"/>
  <c r="S108" i="18"/>
  <c r="O108" i="18"/>
  <c r="K108" i="18"/>
  <c r="AH108" i="18"/>
  <c r="Z108" i="18"/>
  <c r="AA108" i="18" s="1"/>
  <c r="AG108" i="18" s="1"/>
  <c r="R108" i="18"/>
  <c r="X108" i="18"/>
  <c r="P108" i="18"/>
  <c r="AL108" i="18"/>
  <c r="V108" i="18"/>
  <c r="AB108" i="18" s="1"/>
  <c r="N108" i="18"/>
  <c r="AK110" i="18"/>
  <c r="AC110" i="18"/>
  <c r="AE110" i="18" s="1"/>
  <c r="Y110" i="18"/>
  <c r="U110" i="18"/>
  <c r="AF110" i="18" s="1"/>
  <c r="Q110" i="18"/>
  <c r="M110" i="18"/>
  <c r="AI110" i="18"/>
  <c r="W110" i="18"/>
  <c r="AD110" i="18" s="1"/>
  <c r="S110" i="18"/>
  <c r="O110" i="18"/>
  <c r="K110" i="18"/>
  <c r="AH110" i="18"/>
  <c r="Z110" i="18"/>
  <c r="AA110" i="18" s="1"/>
  <c r="AG110" i="18" s="1"/>
  <c r="R110" i="18"/>
  <c r="X110" i="18"/>
  <c r="P110" i="18"/>
  <c r="AL110" i="18"/>
  <c r="V110" i="18"/>
  <c r="AB110" i="18" s="1"/>
  <c r="N110" i="18"/>
  <c r="AK112" i="18"/>
  <c r="AC112" i="18"/>
  <c r="AE112" i="18" s="1"/>
  <c r="Y112" i="18"/>
  <c r="U112" i="18"/>
  <c r="AF112" i="18" s="1"/>
  <c r="Q112" i="18"/>
  <c r="M112" i="18"/>
  <c r="AI112" i="18"/>
  <c r="W112" i="18"/>
  <c r="AD112" i="18" s="1"/>
  <c r="S112" i="18"/>
  <c r="O112" i="18"/>
  <c r="K112" i="18"/>
  <c r="AH112" i="18"/>
  <c r="Z112" i="18"/>
  <c r="AA112" i="18" s="1"/>
  <c r="AG112" i="18" s="1"/>
  <c r="R112" i="18"/>
  <c r="X112" i="18"/>
  <c r="P112" i="18"/>
  <c r="AL112" i="18"/>
  <c r="V112" i="18"/>
  <c r="AB112" i="18" s="1"/>
  <c r="N112" i="18"/>
  <c r="AK114" i="18"/>
  <c r="AC114" i="18"/>
  <c r="AE114" i="18" s="1"/>
  <c r="Y114" i="18"/>
  <c r="U114" i="18"/>
  <c r="AF114" i="18" s="1"/>
  <c r="Q114" i="18"/>
  <c r="M114" i="18"/>
  <c r="AI114" i="18"/>
  <c r="W114" i="18"/>
  <c r="AD114" i="18" s="1"/>
  <c r="S114" i="18"/>
  <c r="O114" i="18"/>
  <c r="K114" i="18"/>
  <c r="AH114" i="18"/>
  <c r="Z114" i="18"/>
  <c r="AA114" i="18" s="1"/>
  <c r="AG114" i="18" s="1"/>
  <c r="R114" i="18"/>
  <c r="X114" i="18"/>
  <c r="P114" i="18"/>
  <c r="AL114" i="18"/>
  <c r="V114" i="18"/>
  <c r="AB114" i="18" s="1"/>
  <c r="N114" i="18"/>
  <c r="AK116" i="18"/>
  <c r="AC116" i="18"/>
  <c r="AE116" i="18" s="1"/>
  <c r="Y116" i="18"/>
  <c r="U116" i="18"/>
  <c r="AF116" i="18" s="1"/>
  <c r="Q116" i="18"/>
  <c r="M116" i="18"/>
  <c r="AI116" i="18"/>
  <c r="W116" i="18"/>
  <c r="AD116" i="18" s="1"/>
  <c r="S116" i="18"/>
  <c r="O116" i="18"/>
  <c r="K116" i="18"/>
  <c r="AH116" i="18"/>
  <c r="Z116" i="18"/>
  <c r="AA116" i="18" s="1"/>
  <c r="AG116" i="18" s="1"/>
  <c r="R116" i="18"/>
  <c r="X116" i="18"/>
  <c r="P116" i="18"/>
  <c r="AL116" i="18"/>
  <c r="V116" i="18"/>
  <c r="AB116" i="18" s="1"/>
  <c r="N116" i="18"/>
  <c r="AK118" i="18"/>
  <c r="AC118" i="18"/>
  <c r="AE118" i="18" s="1"/>
  <c r="Y118" i="18"/>
  <c r="U118" i="18"/>
  <c r="AF118" i="18" s="1"/>
  <c r="Q118" i="18"/>
  <c r="M118" i="18"/>
  <c r="AI118" i="18"/>
  <c r="W118" i="18"/>
  <c r="AD118" i="18" s="1"/>
  <c r="S118" i="18"/>
  <c r="O118" i="18"/>
  <c r="K118" i="18"/>
  <c r="AH118" i="18"/>
  <c r="Z118" i="18"/>
  <c r="AA118" i="18" s="1"/>
  <c r="AG118" i="18" s="1"/>
  <c r="R118" i="18"/>
  <c r="X118" i="18"/>
  <c r="P118" i="18"/>
  <c r="AL118" i="18"/>
  <c r="V118" i="18"/>
  <c r="AB118" i="18" s="1"/>
  <c r="N118" i="18"/>
  <c r="AK120" i="18"/>
  <c r="AC120" i="18"/>
  <c r="AE120" i="18" s="1"/>
  <c r="Y120" i="18"/>
  <c r="U120" i="18"/>
  <c r="AF120" i="18" s="1"/>
  <c r="Q120" i="18"/>
  <c r="M120" i="18"/>
  <c r="AI120" i="18"/>
  <c r="W120" i="18"/>
  <c r="AD120" i="18" s="1"/>
  <c r="S120" i="18"/>
  <c r="O120" i="18"/>
  <c r="K120" i="18"/>
  <c r="AH120" i="18"/>
  <c r="Z120" i="18"/>
  <c r="AA120" i="18" s="1"/>
  <c r="AG120" i="18" s="1"/>
  <c r="R120" i="18"/>
  <c r="X120" i="18"/>
  <c r="P120" i="18"/>
  <c r="AL120" i="18"/>
  <c r="V120" i="18"/>
  <c r="AB120" i="18" s="1"/>
  <c r="N120" i="18"/>
  <c r="AK122" i="18"/>
  <c r="AC122" i="18"/>
  <c r="AE122" i="18" s="1"/>
  <c r="Y122" i="18"/>
  <c r="U122" i="18"/>
  <c r="AF122" i="18" s="1"/>
  <c r="Q122" i="18"/>
  <c r="M122" i="18"/>
  <c r="AI122" i="18"/>
  <c r="W122" i="18"/>
  <c r="AD122" i="18" s="1"/>
  <c r="S122" i="18"/>
  <c r="O122" i="18"/>
  <c r="K122" i="18"/>
  <c r="AH122" i="18"/>
  <c r="Z122" i="18"/>
  <c r="AA122" i="18" s="1"/>
  <c r="AG122" i="18" s="1"/>
  <c r="R122" i="18"/>
  <c r="X122" i="18"/>
  <c r="P122" i="18"/>
  <c r="AL122" i="18"/>
  <c r="V122" i="18"/>
  <c r="AB122" i="18" s="1"/>
  <c r="N122" i="18"/>
  <c r="AK124" i="18"/>
  <c r="AC124" i="18"/>
  <c r="AE124" i="18" s="1"/>
  <c r="Y124" i="18"/>
  <c r="U124" i="18"/>
  <c r="AF124" i="18" s="1"/>
  <c r="Q124" i="18"/>
  <c r="M124" i="18"/>
  <c r="AI124" i="18"/>
  <c r="W124" i="18"/>
  <c r="AD124" i="18" s="1"/>
  <c r="S124" i="18"/>
  <c r="O124" i="18"/>
  <c r="K124" i="18"/>
  <c r="AH124" i="18"/>
  <c r="Z124" i="18"/>
  <c r="AA124" i="18" s="1"/>
  <c r="AG124" i="18" s="1"/>
  <c r="R124" i="18"/>
  <c r="X124" i="18"/>
  <c r="P124" i="18"/>
  <c r="AL124" i="18"/>
  <c r="V124" i="18"/>
  <c r="AB124" i="18" s="1"/>
  <c r="N124" i="18"/>
  <c r="AK126" i="18"/>
  <c r="AC126" i="18"/>
  <c r="AE126" i="18" s="1"/>
  <c r="Y126" i="18"/>
  <c r="U126" i="18"/>
  <c r="AF126" i="18" s="1"/>
  <c r="Q126" i="18"/>
  <c r="M126" i="18"/>
  <c r="AI126" i="18"/>
  <c r="W126" i="18"/>
  <c r="AD126" i="18" s="1"/>
  <c r="S126" i="18"/>
  <c r="O126" i="18"/>
  <c r="K126" i="18"/>
  <c r="AH126" i="18"/>
  <c r="Z126" i="18"/>
  <c r="AA126" i="18" s="1"/>
  <c r="AG126" i="18" s="1"/>
  <c r="R126" i="18"/>
  <c r="X126" i="18"/>
  <c r="P126" i="18"/>
  <c r="AL126" i="18"/>
  <c r="V126" i="18"/>
  <c r="AB126" i="18" s="1"/>
  <c r="N126" i="18"/>
  <c r="AK128" i="18"/>
  <c r="AC128" i="18"/>
  <c r="AE128" i="18" s="1"/>
  <c r="Y128" i="18"/>
  <c r="U128" i="18"/>
  <c r="AF128" i="18" s="1"/>
  <c r="Q128" i="18"/>
  <c r="M128" i="18"/>
  <c r="AI128" i="18"/>
  <c r="W128" i="18"/>
  <c r="AD128" i="18" s="1"/>
  <c r="S128" i="18"/>
  <c r="O128" i="18"/>
  <c r="K128" i="18"/>
  <c r="AH128" i="18"/>
  <c r="Z128" i="18"/>
  <c r="AA128" i="18" s="1"/>
  <c r="AG128" i="18" s="1"/>
  <c r="R128" i="18"/>
  <c r="X128" i="18"/>
  <c r="P128" i="18"/>
  <c r="AL128" i="18"/>
  <c r="V128" i="18"/>
  <c r="AB128" i="18" s="1"/>
  <c r="N128" i="18"/>
  <c r="AK130" i="18"/>
  <c r="AC130" i="18"/>
  <c r="AE130" i="18" s="1"/>
  <c r="Y130" i="18"/>
  <c r="U130" i="18"/>
  <c r="AF130" i="18" s="1"/>
  <c r="Q130" i="18"/>
  <c r="M130" i="18"/>
  <c r="AI130" i="18"/>
  <c r="W130" i="18"/>
  <c r="AD130" i="18" s="1"/>
  <c r="S130" i="18"/>
  <c r="O130" i="18"/>
  <c r="K130" i="18"/>
  <c r="AH130" i="18"/>
  <c r="Z130" i="18"/>
  <c r="AA130" i="18" s="1"/>
  <c r="AG130" i="18" s="1"/>
  <c r="R130" i="18"/>
  <c r="X130" i="18"/>
  <c r="P130" i="18"/>
  <c r="AL130" i="18"/>
  <c r="V130" i="18"/>
  <c r="AB130" i="18" s="1"/>
  <c r="N130" i="18"/>
  <c r="AK132" i="18"/>
  <c r="AC132" i="18"/>
  <c r="AE132" i="18" s="1"/>
  <c r="Y132" i="18"/>
  <c r="U132" i="18"/>
  <c r="AF132" i="18" s="1"/>
  <c r="Q132" i="18"/>
  <c r="M132" i="18"/>
  <c r="AI132" i="18"/>
  <c r="W132" i="18"/>
  <c r="AD132" i="18" s="1"/>
  <c r="S132" i="18"/>
  <c r="O132" i="18"/>
  <c r="K132" i="18"/>
  <c r="AH132" i="18"/>
  <c r="Z132" i="18"/>
  <c r="AA132" i="18" s="1"/>
  <c r="AG132" i="18" s="1"/>
  <c r="R132" i="18"/>
  <c r="X132" i="18"/>
  <c r="P132" i="18"/>
  <c r="AL132" i="18"/>
  <c r="V132" i="18"/>
  <c r="AB132" i="18" s="1"/>
  <c r="N132" i="18"/>
  <c r="AK134" i="18"/>
  <c r="AC134" i="18"/>
  <c r="AE134" i="18" s="1"/>
  <c r="Y134" i="18"/>
  <c r="U134" i="18"/>
  <c r="AF134" i="18" s="1"/>
  <c r="Q134" i="18"/>
  <c r="M134" i="18"/>
  <c r="AI134" i="18"/>
  <c r="W134" i="18"/>
  <c r="AD134" i="18" s="1"/>
  <c r="S134" i="18"/>
  <c r="O134" i="18"/>
  <c r="K134" i="18"/>
  <c r="AH134" i="18"/>
  <c r="Z134" i="18"/>
  <c r="AA134" i="18" s="1"/>
  <c r="AG134" i="18" s="1"/>
  <c r="R134" i="18"/>
  <c r="X134" i="18"/>
  <c r="P134" i="18"/>
  <c r="AL134" i="18"/>
  <c r="V134" i="18"/>
  <c r="AB134" i="18" s="1"/>
  <c r="N134" i="18"/>
  <c r="AK136" i="18"/>
  <c r="AC136" i="18"/>
  <c r="AE136" i="18" s="1"/>
  <c r="Y136" i="18"/>
  <c r="U136" i="18"/>
  <c r="AF136" i="18" s="1"/>
  <c r="Q136" i="18"/>
  <c r="M136" i="18"/>
  <c r="AI136" i="18"/>
  <c r="W136" i="18"/>
  <c r="AD136" i="18" s="1"/>
  <c r="S136" i="18"/>
  <c r="O136" i="18"/>
  <c r="K136" i="18"/>
  <c r="AH136" i="18"/>
  <c r="Z136" i="18"/>
  <c r="AA136" i="18" s="1"/>
  <c r="AG136" i="18" s="1"/>
  <c r="R136" i="18"/>
  <c r="X136" i="18"/>
  <c r="P136" i="18"/>
  <c r="AL136" i="18"/>
  <c r="V136" i="18"/>
  <c r="AB136" i="18" s="1"/>
  <c r="N136" i="18"/>
  <c r="AK138" i="18"/>
  <c r="AC138" i="18"/>
  <c r="AE138" i="18" s="1"/>
  <c r="Y138" i="18"/>
  <c r="U138" i="18"/>
  <c r="AF138" i="18" s="1"/>
  <c r="Q138" i="18"/>
  <c r="M138" i="18"/>
  <c r="AI138" i="18"/>
  <c r="W138" i="18"/>
  <c r="AD138" i="18" s="1"/>
  <c r="S138" i="18"/>
  <c r="O138" i="18"/>
  <c r="K138" i="18"/>
  <c r="AH138" i="18"/>
  <c r="Z138" i="18"/>
  <c r="AA138" i="18" s="1"/>
  <c r="AG138" i="18" s="1"/>
  <c r="R138" i="18"/>
  <c r="X138" i="18"/>
  <c r="P138" i="18"/>
  <c r="AL138" i="18"/>
  <c r="V138" i="18"/>
  <c r="AB138" i="18" s="1"/>
  <c r="N138" i="18"/>
  <c r="AK140" i="18"/>
  <c r="AC140" i="18"/>
  <c r="AE140" i="18" s="1"/>
  <c r="Y140" i="18"/>
  <c r="U140" i="18"/>
  <c r="AF140" i="18" s="1"/>
  <c r="Q140" i="18"/>
  <c r="M140" i="18"/>
  <c r="AI140" i="18"/>
  <c r="W140" i="18"/>
  <c r="AD140" i="18" s="1"/>
  <c r="S140" i="18"/>
  <c r="O140" i="18"/>
  <c r="K140" i="18"/>
  <c r="AH140" i="18"/>
  <c r="Z140" i="18"/>
  <c r="AA140" i="18" s="1"/>
  <c r="AG140" i="18" s="1"/>
  <c r="R140" i="18"/>
  <c r="X140" i="18"/>
  <c r="P140" i="18"/>
  <c r="AL140" i="18"/>
  <c r="V140" i="18"/>
  <c r="AB140" i="18" s="1"/>
  <c r="N140" i="18"/>
  <c r="AK142" i="18"/>
  <c r="AC142" i="18"/>
  <c r="AE142" i="18" s="1"/>
  <c r="Y142" i="18"/>
  <c r="U142" i="18"/>
  <c r="AF142" i="18" s="1"/>
  <c r="Q142" i="18"/>
  <c r="M142" i="18"/>
  <c r="AI142" i="18"/>
  <c r="W142" i="18"/>
  <c r="AD142" i="18" s="1"/>
  <c r="S142" i="18"/>
  <c r="O142" i="18"/>
  <c r="K142" i="18"/>
  <c r="AH142" i="18"/>
  <c r="Z142" i="18"/>
  <c r="AA142" i="18" s="1"/>
  <c r="AG142" i="18" s="1"/>
  <c r="R142" i="18"/>
  <c r="X142" i="18"/>
  <c r="P142" i="18"/>
  <c r="AL142" i="18"/>
  <c r="V142" i="18"/>
  <c r="AB142" i="18" s="1"/>
  <c r="N142" i="18"/>
  <c r="AK144" i="18"/>
  <c r="AC144" i="18"/>
  <c r="AE144" i="18" s="1"/>
  <c r="Y144" i="18"/>
  <c r="U144" i="18"/>
  <c r="AF144" i="18" s="1"/>
  <c r="Q144" i="18"/>
  <c r="M144" i="18"/>
  <c r="AI144" i="18"/>
  <c r="W144" i="18"/>
  <c r="AD144" i="18" s="1"/>
  <c r="S144" i="18"/>
  <c r="O144" i="18"/>
  <c r="K144" i="18"/>
  <c r="AH144" i="18"/>
  <c r="Z144" i="18"/>
  <c r="AA144" i="18" s="1"/>
  <c r="AG144" i="18" s="1"/>
  <c r="R144" i="18"/>
  <c r="X144" i="18"/>
  <c r="P144" i="18"/>
  <c r="AL144" i="18"/>
  <c r="V144" i="18"/>
  <c r="AB144" i="18" s="1"/>
  <c r="N144" i="18"/>
  <c r="AK146" i="18"/>
  <c r="AC146" i="18"/>
  <c r="AE146" i="18" s="1"/>
  <c r="Y146" i="18"/>
  <c r="U146" i="18"/>
  <c r="AF146" i="18" s="1"/>
  <c r="Q146" i="18"/>
  <c r="M146" i="18"/>
  <c r="AI146" i="18"/>
  <c r="W146" i="18"/>
  <c r="AD146" i="18" s="1"/>
  <c r="S146" i="18"/>
  <c r="O146" i="18"/>
  <c r="K146" i="18"/>
  <c r="AH146" i="18"/>
  <c r="Z146" i="18"/>
  <c r="AA146" i="18" s="1"/>
  <c r="AG146" i="18" s="1"/>
  <c r="R146" i="18"/>
  <c r="X146" i="18"/>
  <c r="P146" i="18"/>
  <c r="AL146" i="18"/>
  <c r="V146" i="18"/>
  <c r="AB146" i="18" s="1"/>
  <c r="N146" i="18"/>
  <c r="AK148" i="18"/>
  <c r="AC148" i="18"/>
  <c r="AE148" i="18" s="1"/>
  <c r="Y148" i="18"/>
  <c r="U148" i="18"/>
  <c r="AF148" i="18" s="1"/>
  <c r="Q148" i="18"/>
  <c r="M148" i="18"/>
  <c r="AI148" i="18"/>
  <c r="W148" i="18"/>
  <c r="AD148" i="18" s="1"/>
  <c r="S148" i="18"/>
  <c r="O148" i="18"/>
  <c r="K148" i="18"/>
  <c r="AH148" i="18"/>
  <c r="Z148" i="18"/>
  <c r="AA148" i="18" s="1"/>
  <c r="AG148" i="18" s="1"/>
  <c r="R148" i="18"/>
  <c r="X148" i="18"/>
  <c r="P148" i="18"/>
  <c r="AL148" i="18"/>
  <c r="V148" i="18"/>
  <c r="AB148" i="18" s="1"/>
  <c r="N148" i="18"/>
  <c r="AK150" i="18"/>
  <c r="AC150" i="18"/>
  <c r="AE150" i="18" s="1"/>
  <c r="Y150" i="18"/>
  <c r="U150" i="18"/>
  <c r="AF150" i="18" s="1"/>
  <c r="Q150" i="18"/>
  <c r="M150" i="18"/>
  <c r="AI150" i="18"/>
  <c r="W150" i="18"/>
  <c r="AD150" i="18" s="1"/>
  <c r="S150" i="18"/>
  <c r="O150" i="18"/>
  <c r="K150" i="18"/>
  <c r="AH150" i="18"/>
  <c r="Z150" i="18"/>
  <c r="AA150" i="18" s="1"/>
  <c r="AG150" i="18" s="1"/>
  <c r="R150" i="18"/>
  <c r="X150" i="18"/>
  <c r="P150" i="18"/>
  <c r="AL150" i="18"/>
  <c r="V150" i="18"/>
  <c r="AB150" i="18" s="1"/>
  <c r="N150" i="18"/>
  <c r="AK152" i="18"/>
  <c r="AC152" i="18"/>
  <c r="AE152" i="18" s="1"/>
  <c r="Y152" i="18"/>
  <c r="U152" i="18"/>
  <c r="AF152" i="18" s="1"/>
  <c r="Q152" i="18"/>
  <c r="M152" i="18"/>
  <c r="AI152" i="18"/>
  <c r="W152" i="18"/>
  <c r="AD152" i="18" s="1"/>
  <c r="S152" i="18"/>
  <c r="O152" i="18"/>
  <c r="K152" i="18"/>
  <c r="AH152" i="18"/>
  <c r="Z152" i="18"/>
  <c r="AA152" i="18" s="1"/>
  <c r="AG152" i="18" s="1"/>
  <c r="R152" i="18"/>
  <c r="X152" i="18"/>
  <c r="P152" i="18"/>
  <c r="AL152" i="18"/>
  <c r="V152" i="18"/>
  <c r="AB152" i="18" s="1"/>
  <c r="N152" i="18"/>
  <c r="AK154" i="18"/>
  <c r="AC154" i="18"/>
  <c r="AE154" i="18" s="1"/>
  <c r="Y154" i="18"/>
  <c r="U154" i="18"/>
  <c r="AF154" i="18" s="1"/>
  <c r="Q154" i="18"/>
  <c r="M154" i="18"/>
  <c r="AI154" i="18"/>
  <c r="W154" i="18"/>
  <c r="AD154" i="18" s="1"/>
  <c r="S154" i="18"/>
  <c r="O154" i="18"/>
  <c r="K154" i="18"/>
  <c r="AH154" i="18"/>
  <c r="Z154" i="18"/>
  <c r="AA154" i="18" s="1"/>
  <c r="AG154" i="18" s="1"/>
  <c r="R154" i="18"/>
  <c r="X154" i="18"/>
  <c r="P154" i="18"/>
  <c r="AL154" i="18"/>
  <c r="V154" i="18"/>
  <c r="AB154" i="18" s="1"/>
  <c r="N154" i="18"/>
  <c r="AK156" i="18"/>
  <c r="AC156" i="18"/>
  <c r="AE156" i="18" s="1"/>
  <c r="Y156" i="18"/>
  <c r="U156" i="18"/>
  <c r="AF156" i="18" s="1"/>
  <c r="Q156" i="18"/>
  <c r="M156" i="18"/>
  <c r="AI156" i="18"/>
  <c r="W156" i="18"/>
  <c r="AD156" i="18" s="1"/>
  <c r="S156" i="18"/>
  <c r="O156" i="18"/>
  <c r="K156" i="18"/>
  <c r="AH156" i="18"/>
  <c r="Z156" i="18"/>
  <c r="AA156" i="18" s="1"/>
  <c r="AG156" i="18" s="1"/>
  <c r="R156" i="18"/>
  <c r="X156" i="18"/>
  <c r="P156" i="18"/>
  <c r="AL156" i="18"/>
  <c r="V156" i="18"/>
  <c r="AB156" i="18" s="1"/>
  <c r="N156" i="18"/>
  <c r="AK158" i="18"/>
  <c r="AC158" i="18"/>
  <c r="AE158" i="18" s="1"/>
  <c r="Y158" i="18"/>
  <c r="U158" i="18"/>
  <c r="AF158" i="18" s="1"/>
  <c r="Q158" i="18"/>
  <c r="M158" i="18"/>
  <c r="AI158" i="18"/>
  <c r="W158" i="18"/>
  <c r="AD158" i="18" s="1"/>
  <c r="S158" i="18"/>
  <c r="O158" i="18"/>
  <c r="K158" i="18"/>
  <c r="AH158" i="18"/>
  <c r="Z158" i="18"/>
  <c r="AA158" i="18" s="1"/>
  <c r="AG158" i="18" s="1"/>
  <c r="R158" i="18"/>
  <c r="X158" i="18"/>
  <c r="P158" i="18"/>
  <c r="AL158" i="18"/>
  <c r="V158" i="18"/>
  <c r="AB158" i="18" s="1"/>
  <c r="N158" i="18"/>
  <c r="AK160" i="18"/>
  <c r="AC160" i="18"/>
  <c r="AE160" i="18" s="1"/>
  <c r="Y160" i="18"/>
  <c r="U160" i="18"/>
  <c r="AF160" i="18" s="1"/>
  <c r="Q160" i="18"/>
  <c r="M160" i="18"/>
  <c r="AI160" i="18"/>
  <c r="W160" i="18"/>
  <c r="AD160" i="18" s="1"/>
  <c r="S160" i="18"/>
  <c r="O160" i="18"/>
  <c r="K160" i="18"/>
  <c r="AH160" i="18"/>
  <c r="Z160" i="18"/>
  <c r="AA160" i="18" s="1"/>
  <c r="AG160" i="18" s="1"/>
  <c r="R160" i="18"/>
  <c r="X160" i="18"/>
  <c r="P160" i="18"/>
  <c r="AL160" i="18"/>
  <c r="V160" i="18"/>
  <c r="AB160" i="18" s="1"/>
  <c r="N160" i="18"/>
  <c r="AK162" i="18"/>
  <c r="AC162" i="18"/>
  <c r="AE162" i="18" s="1"/>
  <c r="Y162" i="18"/>
  <c r="U162" i="18"/>
  <c r="AF162" i="18" s="1"/>
  <c r="Q162" i="18"/>
  <c r="M162" i="18"/>
  <c r="AI162" i="18"/>
  <c r="W162" i="18"/>
  <c r="AD162" i="18" s="1"/>
  <c r="S162" i="18"/>
  <c r="O162" i="18"/>
  <c r="K162" i="18"/>
  <c r="AH162" i="18"/>
  <c r="Z162" i="18"/>
  <c r="AA162" i="18" s="1"/>
  <c r="AG162" i="18" s="1"/>
  <c r="R162" i="18"/>
  <c r="X162" i="18"/>
  <c r="P162" i="18"/>
  <c r="AL162" i="18"/>
  <c r="V162" i="18"/>
  <c r="AB162" i="18" s="1"/>
  <c r="N162" i="18"/>
  <c r="AK164" i="18"/>
  <c r="AC164" i="18"/>
  <c r="AE164" i="18" s="1"/>
  <c r="Y164" i="18"/>
  <c r="U164" i="18"/>
  <c r="AF164" i="18" s="1"/>
  <c r="Q164" i="18"/>
  <c r="M164" i="18"/>
  <c r="AI164" i="18"/>
  <c r="W164" i="18"/>
  <c r="AD164" i="18" s="1"/>
  <c r="S164" i="18"/>
  <c r="O164" i="18"/>
  <c r="K164" i="18"/>
  <c r="AH164" i="18"/>
  <c r="Z164" i="18"/>
  <c r="AA164" i="18" s="1"/>
  <c r="AG164" i="18" s="1"/>
  <c r="R164" i="18"/>
  <c r="X164" i="18"/>
  <c r="P164" i="18"/>
  <c r="AL164" i="18"/>
  <c r="V164" i="18"/>
  <c r="AB164" i="18" s="1"/>
  <c r="N164" i="18"/>
  <c r="AK166" i="18"/>
  <c r="AC166" i="18"/>
  <c r="AE166" i="18" s="1"/>
  <c r="Y166" i="18"/>
  <c r="U166" i="18"/>
  <c r="AF166" i="18" s="1"/>
  <c r="Q166" i="18"/>
  <c r="M166" i="18"/>
  <c r="AI166" i="18"/>
  <c r="W166" i="18"/>
  <c r="AD166" i="18" s="1"/>
  <c r="S166" i="18"/>
  <c r="O166" i="18"/>
  <c r="K166" i="18"/>
  <c r="AH166" i="18"/>
  <c r="Z166" i="18"/>
  <c r="AA166" i="18" s="1"/>
  <c r="AG166" i="18" s="1"/>
  <c r="R166" i="18"/>
  <c r="X166" i="18"/>
  <c r="P166" i="18"/>
  <c r="AL166" i="18"/>
  <c r="V166" i="18"/>
  <c r="AB166" i="18" s="1"/>
  <c r="N166" i="18"/>
  <c r="AK168" i="18"/>
  <c r="AC168" i="18"/>
  <c r="AE168" i="18" s="1"/>
  <c r="Y168" i="18"/>
  <c r="U168" i="18"/>
  <c r="AF168" i="18" s="1"/>
  <c r="Q168" i="18"/>
  <c r="M168" i="18"/>
  <c r="AI168" i="18"/>
  <c r="W168" i="18"/>
  <c r="AD168" i="18" s="1"/>
  <c r="S168" i="18"/>
  <c r="O168" i="18"/>
  <c r="K168" i="18"/>
  <c r="AH168" i="18"/>
  <c r="Z168" i="18"/>
  <c r="AA168" i="18" s="1"/>
  <c r="AG168" i="18" s="1"/>
  <c r="R168" i="18"/>
  <c r="X168" i="18"/>
  <c r="P168" i="18"/>
  <c r="AL168" i="18"/>
  <c r="V168" i="18"/>
  <c r="AB168" i="18" s="1"/>
  <c r="N168" i="18"/>
  <c r="AK170" i="18"/>
  <c r="AC170" i="18"/>
  <c r="AE170" i="18" s="1"/>
  <c r="Y170" i="18"/>
  <c r="U170" i="18"/>
  <c r="AF170" i="18" s="1"/>
  <c r="Q170" i="18"/>
  <c r="M170" i="18"/>
  <c r="AI170" i="18"/>
  <c r="W170" i="18"/>
  <c r="AD170" i="18" s="1"/>
  <c r="S170" i="18"/>
  <c r="O170" i="18"/>
  <c r="K170" i="18"/>
  <c r="AH170" i="18"/>
  <c r="Z170" i="18"/>
  <c r="AA170" i="18" s="1"/>
  <c r="AG170" i="18" s="1"/>
  <c r="R170" i="18"/>
  <c r="X170" i="18"/>
  <c r="P170" i="18"/>
  <c r="AL170" i="18"/>
  <c r="V170" i="18"/>
  <c r="AB170" i="18" s="1"/>
  <c r="N170" i="18"/>
  <c r="AK172" i="18"/>
  <c r="AC172" i="18"/>
  <c r="AE172" i="18" s="1"/>
  <c r="Y172" i="18"/>
  <c r="U172" i="18"/>
  <c r="AF172" i="18" s="1"/>
  <c r="Q172" i="18"/>
  <c r="M172" i="18"/>
  <c r="AI172" i="18"/>
  <c r="W172" i="18"/>
  <c r="AD172" i="18" s="1"/>
  <c r="S172" i="18"/>
  <c r="O172" i="18"/>
  <c r="K172" i="18"/>
  <c r="AH172" i="18"/>
  <c r="Z172" i="18"/>
  <c r="AA172" i="18" s="1"/>
  <c r="AG172" i="18" s="1"/>
  <c r="R172" i="18"/>
  <c r="X172" i="18"/>
  <c r="P172" i="18"/>
  <c r="AL172" i="18"/>
  <c r="V172" i="18"/>
  <c r="AB172" i="18" s="1"/>
  <c r="N172" i="18"/>
  <c r="AK174" i="18"/>
  <c r="AC174" i="18"/>
  <c r="AE174" i="18" s="1"/>
  <c r="Y174" i="18"/>
  <c r="U174" i="18"/>
  <c r="AF174" i="18" s="1"/>
  <c r="Q174" i="18"/>
  <c r="M174" i="18"/>
  <c r="AI174" i="18"/>
  <c r="W174" i="18"/>
  <c r="AD174" i="18" s="1"/>
  <c r="S174" i="18"/>
  <c r="O174" i="18"/>
  <c r="K174" i="18"/>
  <c r="AH174" i="18"/>
  <c r="Z174" i="18"/>
  <c r="AA174" i="18" s="1"/>
  <c r="AG174" i="18" s="1"/>
  <c r="R174" i="18"/>
  <c r="X174" i="18"/>
  <c r="P174" i="18"/>
  <c r="AL174" i="18"/>
  <c r="V174" i="18"/>
  <c r="AB174" i="18" s="1"/>
  <c r="N174" i="18"/>
  <c r="AK176" i="18"/>
  <c r="AC176" i="18"/>
  <c r="AE176" i="18" s="1"/>
  <c r="Y176" i="18"/>
  <c r="U176" i="18"/>
  <c r="AF176" i="18" s="1"/>
  <c r="Q176" i="18"/>
  <c r="M176" i="18"/>
  <c r="AI176" i="18"/>
  <c r="W176" i="18"/>
  <c r="AD176" i="18" s="1"/>
  <c r="S176" i="18"/>
  <c r="O176" i="18"/>
  <c r="K176" i="18"/>
  <c r="AH176" i="18"/>
  <c r="Z176" i="18"/>
  <c r="AA176" i="18" s="1"/>
  <c r="AG176" i="18" s="1"/>
  <c r="R176" i="18"/>
  <c r="X176" i="18"/>
  <c r="P176" i="18"/>
  <c r="AL176" i="18"/>
  <c r="V176" i="18"/>
  <c r="AB176" i="18" s="1"/>
  <c r="N176" i="18"/>
  <c r="AK178" i="18"/>
  <c r="AC178" i="18"/>
  <c r="AE178" i="18" s="1"/>
  <c r="Y178" i="18"/>
  <c r="U178" i="18"/>
  <c r="AF178" i="18" s="1"/>
  <c r="Q178" i="18"/>
  <c r="M178" i="18"/>
  <c r="AI178" i="18"/>
  <c r="W178" i="18"/>
  <c r="AD178" i="18" s="1"/>
  <c r="S178" i="18"/>
  <c r="O178" i="18"/>
  <c r="K178" i="18"/>
  <c r="AH178" i="18"/>
  <c r="Z178" i="18"/>
  <c r="AA178" i="18" s="1"/>
  <c r="AG178" i="18" s="1"/>
  <c r="R178" i="18"/>
  <c r="X178" i="18"/>
  <c r="P178" i="18"/>
  <c r="AL178" i="18"/>
  <c r="V178" i="18"/>
  <c r="AB178" i="18" s="1"/>
  <c r="N178" i="18"/>
  <c r="AK180" i="18"/>
  <c r="AC180" i="18"/>
  <c r="AE180" i="18" s="1"/>
  <c r="Y180" i="18"/>
  <c r="U180" i="18"/>
  <c r="AF180" i="18" s="1"/>
  <c r="Q180" i="18"/>
  <c r="M180" i="18"/>
  <c r="AI180" i="18"/>
  <c r="W180" i="18"/>
  <c r="AD180" i="18" s="1"/>
  <c r="S180" i="18"/>
  <c r="O180" i="18"/>
  <c r="K180" i="18"/>
  <c r="AH180" i="18"/>
  <c r="Z180" i="18"/>
  <c r="AA180" i="18" s="1"/>
  <c r="AG180" i="18" s="1"/>
  <c r="R180" i="18"/>
  <c r="X180" i="18"/>
  <c r="P180" i="18"/>
  <c r="AL180" i="18"/>
  <c r="V180" i="18"/>
  <c r="AB180" i="18" s="1"/>
  <c r="N180" i="18"/>
  <c r="AK182" i="18"/>
  <c r="AC182" i="18"/>
  <c r="AE182" i="18" s="1"/>
  <c r="Y182" i="18"/>
  <c r="U182" i="18"/>
  <c r="AF182" i="18" s="1"/>
  <c r="Q182" i="18"/>
  <c r="M182" i="18"/>
  <c r="AI182" i="18"/>
  <c r="W182" i="18"/>
  <c r="AD182" i="18" s="1"/>
  <c r="S182" i="18"/>
  <c r="O182" i="18"/>
  <c r="K182" i="18"/>
  <c r="AH182" i="18"/>
  <c r="Z182" i="18"/>
  <c r="AA182" i="18" s="1"/>
  <c r="AG182" i="18" s="1"/>
  <c r="R182" i="18"/>
  <c r="X182" i="18"/>
  <c r="P182" i="18"/>
  <c r="AL182" i="18"/>
  <c r="V182" i="18"/>
  <c r="AB182" i="18" s="1"/>
  <c r="N182" i="18"/>
  <c r="P3" i="18"/>
  <c r="T3" i="18"/>
  <c r="X3" i="18"/>
  <c r="Y3" i="18" s="1"/>
  <c r="AJ3" i="18"/>
  <c r="P7" i="18"/>
  <c r="T7" i="18"/>
  <c r="X7" i="18"/>
  <c r="Y7" i="18" s="1"/>
  <c r="AJ7" i="18"/>
  <c r="N11" i="18"/>
  <c r="R11" i="18"/>
  <c r="V11" i="18"/>
  <c r="AB11" i="18" s="1"/>
  <c r="Z11" i="18"/>
  <c r="AA11" i="18" s="1"/>
  <c r="AG11" i="18" s="1"/>
  <c r="AH11" i="18"/>
  <c r="AL11" i="18"/>
  <c r="N12" i="18"/>
  <c r="R12" i="18"/>
  <c r="V12" i="18"/>
  <c r="AB12" i="18" s="1"/>
  <c r="Z12" i="18"/>
  <c r="AA12" i="18" s="1"/>
  <c r="AG12" i="18" s="1"/>
  <c r="AH12" i="18"/>
  <c r="AL12" i="18"/>
  <c r="N13" i="18"/>
  <c r="R13" i="18"/>
  <c r="V13" i="18"/>
  <c r="AB13" i="18" s="1"/>
  <c r="Z13" i="18"/>
  <c r="AA13" i="18" s="1"/>
  <c r="AG13" i="18" s="1"/>
  <c r="AH13" i="18"/>
  <c r="AL13" i="18"/>
  <c r="N14" i="18"/>
  <c r="R14" i="18"/>
  <c r="V14" i="18"/>
  <c r="AB14" i="18" s="1"/>
  <c r="Z14" i="18"/>
  <c r="AA14" i="18" s="1"/>
  <c r="AG14" i="18" s="1"/>
  <c r="AH14" i="18"/>
  <c r="AL14" i="18"/>
  <c r="N15" i="18"/>
  <c r="R15" i="18"/>
  <c r="V15" i="18"/>
  <c r="AB15" i="18" s="1"/>
  <c r="Z15" i="18"/>
  <c r="AA15" i="18" s="1"/>
  <c r="AG15" i="18" s="1"/>
  <c r="AH15" i="18"/>
  <c r="AL15" i="18"/>
  <c r="N16" i="18"/>
  <c r="R16" i="18"/>
  <c r="V16" i="18"/>
  <c r="AB16" i="18" s="1"/>
  <c r="Z16" i="18"/>
  <c r="AA16" i="18" s="1"/>
  <c r="AG16" i="18" s="1"/>
  <c r="AH16" i="18"/>
  <c r="AL16" i="18"/>
  <c r="N17" i="18"/>
  <c r="R17" i="18"/>
  <c r="V17" i="18"/>
  <c r="AB17" i="18" s="1"/>
  <c r="Z17" i="18"/>
  <c r="AA17" i="18" s="1"/>
  <c r="AG17" i="18" s="1"/>
  <c r="AH17" i="18"/>
  <c r="AL17" i="18"/>
  <c r="N18" i="18"/>
  <c r="R18" i="18"/>
  <c r="V18" i="18"/>
  <c r="AB18" i="18" s="1"/>
  <c r="Z18" i="18"/>
  <c r="AA18" i="18" s="1"/>
  <c r="AG18" i="18" s="1"/>
  <c r="AH18" i="18"/>
  <c r="AL18" i="18"/>
  <c r="N19" i="18"/>
  <c r="R19" i="18"/>
  <c r="V19" i="18"/>
  <c r="AB19" i="18" s="1"/>
  <c r="Z19" i="18"/>
  <c r="AA19" i="18" s="1"/>
  <c r="AG19" i="18" s="1"/>
  <c r="AH19" i="18"/>
  <c r="AL19" i="18"/>
  <c r="N20" i="18"/>
  <c r="R20" i="18"/>
  <c r="V20" i="18"/>
  <c r="AB20" i="18" s="1"/>
  <c r="Z20" i="18"/>
  <c r="AA20" i="18" s="1"/>
  <c r="AG20" i="18" s="1"/>
  <c r="AH20" i="18"/>
  <c r="AL20" i="18"/>
  <c r="N21" i="18"/>
  <c r="R21" i="18"/>
  <c r="V21" i="18"/>
  <c r="AB21" i="18" s="1"/>
  <c r="Z21" i="18"/>
  <c r="AA21" i="18" s="1"/>
  <c r="AG21" i="18" s="1"/>
  <c r="AH21" i="18"/>
  <c r="AL21" i="18"/>
  <c r="N22" i="18"/>
  <c r="R22" i="18"/>
  <c r="V22" i="18"/>
  <c r="AB22" i="18" s="1"/>
  <c r="Z22" i="18"/>
  <c r="AA22" i="18" s="1"/>
  <c r="AG22" i="18" s="1"/>
  <c r="AH22" i="18"/>
  <c r="AL22" i="18"/>
  <c r="N23" i="18"/>
  <c r="R23" i="18"/>
  <c r="V23" i="18"/>
  <c r="AB23" i="18" s="1"/>
  <c r="Z23" i="18"/>
  <c r="AA23" i="18" s="1"/>
  <c r="AG23" i="18" s="1"/>
  <c r="AH23" i="18"/>
  <c r="AL23" i="18"/>
  <c r="N24" i="18"/>
  <c r="R24" i="18"/>
  <c r="V24" i="18"/>
  <c r="AB24" i="18" s="1"/>
  <c r="Z24" i="18"/>
  <c r="AA24" i="18" s="1"/>
  <c r="AG24" i="18" s="1"/>
  <c r="AH24" i="18"/>
  <c r="AL24" i="18"/>
  <c r="N25" i="18"/>
  <c r="R25" i="18"/>
  <c r="V25" i="18"/>
  <c r="AB25" i="18" s="1"/>
  <c r="Z25" i="18"/>
  <c r="AA25" i="18" s="1"/>
  <c r="AG25" i="18" s="1"/>
  <c r="AH25" i="18"/>
  <c r="AL25" i="18"/>
  <c r="N26" i="18"/>
  <c r="R26" i="18"/>
  <c r="V26" i="18"/>
  <c r="AB26" i="18" s="1"/>
  <c r="Z26" i="18"/>
  <c r="AA26" i="18" s="1"/>
  <c r="AG26" i="18" s="1"/>
  <c r="AH26" i="18"/>
  <c r="AL26" i="18"/>
  <c r="N27" i="18"/>
  <c r="R27" i="18"/>
  <c r="V27" i="18"/>
  <c r="AB27" i="18" s="1"/>
  <c r="Z27" i="18"/>
  <c r="AA27" i="18" s="1"/>
  <c r="AG27" i="18" s="1"/>
  <c r="AH27" i="18"/>
  <c r="AL27" i="18"/>
  <c r="N28" i="18"/>
  <c r="R28" i="18"/>
  <c r="V28" i="18"/>
  <c r="AB28" i="18" s="1"/>
  <c r="Z28" i="18"/>
  <c r="AA28" i="18" s="1"/>
  <c r="AG28" i="18" s="1"/>
  <c r="AH28" i="18"/>
  <c r="AL28" i="18"/>
  <c r="N29" i="18"/>
  <c r="R29" i="18"/>
  <c r="V29" i="18"/>
  <c r="AB29" i="18" s="1"/>
  <c r="Z29" i="18"/>
  <c r="AA29" i="18" s="1"/>
  <c r="AG29" i="18" s="1"/>
  <c r="AH29" i="18"/>
  <c r="AL29" i="18"/>
  <c r="N30" i="18"/>
  <c r="R30" i="18"/>
  <c r="V30" i="18"/>
  <c r="AB30" i="18" s="1"/>
  <c r="Z30" i="18"/>
  <c r="AA30" i="18" s="1"/>
  <c r="AG30" i="18" s="1"/>
  <c r="AH30" i="18"/>
  <c r="AL30" i="18"/>
  <c r="N31" i="18"/>
  <c r="R31" i="18"/>
  <c r="V31" i="18"/>
  <c r="AB31" i="18" s="1"/>
  <c r="Z31" i="18"/>
  <c r="AA31" i="18" s="1"/>
  <c r="AG31" i="18" s="1"/>
  <c r="AH31" i="18"/>
  <c r="AL31" i="18"/>
  <c r="N32" i="18"/>
  <c r="R32" i="18"/>
  <c r="V32" i="18"/>
  <c r="AB32" i="18" s="1"/>
  <c r="Z32" i="18"/>
  <c r="AA32" i="18" s="1"/>
  <c r="AG32" i="18" s="1"/>
  <c r="AH32" i="18"/>
  <c r="AL32" i="18"/>
  <c r="N33" i="18"/>
  <c r="R33" i="18"/>
  <c r="V33" i="18"/>
  <c r="AB33" i="18" s="1"/>
  <c r="Z33" i="18"/>
  <c r="AA33" i="18" s="1"/>
  <c r="AG33" i="18" s="1"/>
  <c r="AH33" i="18"/>
  <c r="AL33" i="18"/>
  <c r="N34" i="18"/>
  <c r="R34" i="18"/>
  <c r="V34" i="18"/>
  <c r="AB34" i="18" s="1"/>
  <c r="Z34" i="18"/>
  <c r="AA34" i="18" s="1"/>
  <c r="AG34" i="18" s="1"/>
  <c r="AH34" i="18"/>
  <c r="AL34" i="18"/>
  <c r="N35" i="18"/>
  <c r="R35" i="18"/>
  <c r="V35" i="18"/>
  <c r="AB35" i="18" s="1"/>
  <c r="Z35" i="18"/>
  <c r="AA35" i="18" s="1"/>
  <c r="AG35" i="18" s="1"/>
  <c r="AH35" i="18"/>
  <c r="AL35" i="18"/>
  <c r="N36" i="18"/>
  <c r="R36" i="18"/>
  <c r="V36" i="18"/>
  <c r="AB36" i="18" s="1"/>
  <c r="Z36" i="18"/>
  <c r="AA36" i="18" s="1"/>
  <c r="AG36" i="18" s="1"/>
  <c r="AH36" i="18"/>
  <c r="AL36" i="18"/>
  <c r="N37" i="18"/>
  <c r="R37" i="18"/>
  <c r="V37" i="18"/>
  <c r="AB37" i="18" s="1"/>
  <c r="Z37" i="18"/>
  <c r="AA37" i="18" s="1"/>
  <c r="AG37" i="18" s="1"/>
  <c r="AH37" i="18"/>
  <c r="AL37" i="18"/>
  <c r="N38" i="18"/>
  <c r="R38" i="18"/>
  <c r="V38" i="18"/>
  <c r="AB38" i="18" s="1"/>
  <c r="Z38" i="18"/>
  <c r="AA38" i="18" s="1"/>
  <c r="AG38" i="18" s="1"/>
  <c r="AH38" i="18"/>
  <c r="AL38" i="18"/>
  <c r="N39" i="18"/>
  <c r="R39" i="18"/>
  <c r="V39" i="18"/>
  <c r="AB39" i="18" s="1"/>
  <c r="Z39" i="18"/>
  <c r="AA39" i="18" s="1"/>
  <c r="AG39" i="18" s="1"/>
  <c r="AH39" i="18"/>
  <c r="AL39" i="18"/>
  <c r="N40" i="18"/>
  <c r="R40" i="18"/>
  <c r="V40" i="18"/>
  <c r="AB40" i="18" s="1"/>
  <c r="Z40" i="18"/>
  <c r="AA40" i="18" s="1"/>
  <c r="AG40" i="18" s="1"/>
  <c r="AH40" i="18"/>
  <c r="AL40" i="18"/>
  <c r="N41" i="18"/>
  <c r="R41" i="18"/>
  <c r="V41" i="18"/>
  <c r="AB41" i="18" s="1"/>
  <c r="Z41" i="18"/>
  <c r="AA41" i="18" s="1"/>
  <c r="AG41" i="18" s="1"/>
  <c r="AH41" i="18"/>
  <c r="AL41" i="18"/>
  <c r="N42" i="18"/>
  <c r="R42" i="18"/>
  <c r="V42" i="18"/>
  <c r="AB42" i="18" s="1"/>
  <c r="Z42" i="18"/>
  <c r="AA42" i="18" s="1"/>
  <c r="AG42" i="18" s="1"/>
  <c r="AH42" i="18"/>
  <c r="AL42" i="18"/>
  <c r="N43" i="18"/>
  <c r="R43" i="18"/>
  <c r="V43" i="18"/>
  <c r="AB43" i="18" s="1"/>
  <c r="Z43" i="18"/>
  <c r="AA43" i="18" s="1"/>
  <c r="AG43" i="18" s="1"/>
  <c r="AH43" i="18"/>
  <c r="AL43" i="18"/>
  <c r="N44" i="18"/>
  <c r="R44" i="18"/>
  <c r="V44" i="18"/>
  <c r="AB44" i="18" s="1"/>
  <c r="Z44" i="18"/>
  <c r="AA44" i="18" s="1"/>
  <c r="AG44" i="18" s="1"/>
  <c r="AH44" i="18"/>
  <c r="AL44" i="18"/>
  <c r="N45" i="18"/>
  <c r="R45" i="18"/>
  <c r="V45" i="18"/>
  <c r="AB45" i="18" s="1"/>
  <c r="Z45" i="18"/>
  <c r="AA45" i="18" s="1"/>
  <c r="AG45" i="18" s="1"/>
  <c r="AH45" i="18"/>
  <c r="AL45" i="18"/>
  <c r="N46" i="18"/>
  <c r="R46" i="18"/>
  <c r="V46" i="18"/>
  <c r="AB46" i="18" s="1"/>
  <c r="Z46" i="18"/>
  <c r="AA46" i="18" s="1"/>
  <c r="AG46" i="18" s="1"/>
  <c r="AH46" i="18"/>
  <c r="AL46" i="18"/>
  <c r="N47" i="18"/>
  <c r="R47" i="18"/>
  <c r="V47" i="18"/>
  <c r="AB47" i="18" s="1"/>
  <c r="Z47" i="18"/>
  <c r="AA47" i="18" s="1"/>
  <c r="AG47" i="18" s="1"/>
  <c r="AH47" i="18"/>
  <c r="AL47" i="18"/>
  <c r="N48" i="18"/>
  <c r="R48" i="18"/>
  <c r="V48" i="18"/>
  <c r="AB48" i="18" s="1"/>
  <c r="Z48" i="18"/>
  <c r="AA48" i="18" s="1"/>
  <c r="AG48" i="18" s="1"/>
  <c r="AH48" i="18"/>
  <c r="AL48" i="18"/>
  <c r="N49" i="18"/>
  <c r="R49" i="18"/>
  <c r="V49" i="18"/>
  <c r="AB49" i="18" s="1"/>
  <c r="Z49" i="18"/>
  <c r="AA49" i="18" s="1"/>
  <c r="AG49" i="18" s="1"/>
  <c r="AH49" i="18"/>
  <c r="AL49" i="18"/>
  <c r="N50" i="18"/>
  <c r="R50" i="18"/>
  <c r="V50" i="18"/>
  <c r="AB50" i="18" s="1"/>
  <c r="Z50" i="18"/>
  <c r="AA50" i="18" s="1"/>
  <c r="AG50" i="18" s="1"/>
  <c r="AH50" i="18"/>
  <c r="AL50" i="18"/>
  <c r="N51" i="18"/>
  <c r="R51" i="18"/>
  <c r="V51" i="18"/>
  <c r="AB51" i="18" s="1"/>
  <c r="Z51" i="18"/>
  <c r="AA51" i="18" s="1"/>
  <c r="AG51" i="18" s="1"/>
  <c r="AH51" i="18"/>
  <c r="AL51" i="18"/>
  <c r="N52" i="18"/>
  <c r="R52" i="18"/>
  <c r="V52" i="18"/>
  <c r="AB52" i="18" s="1"/>
  <c r="Z52" i="18"/>
  <c r="AA52" i="18" s="1"/>
  <c r="AG52" i="18" s="1"/>
  <c r="AH52" i="18"/>
  <c r="AL52" i="18"/>
  <c r="N53" i="18"/>
  <c r="R53" i="18"/>
  <c r="V53" i="18"/>
  <c r="AB53" i="18" s="1"/>
  <c r="Z53" i="18"/>
  <c r="AA53" i="18" s="1"/>
  <c r="AG53" i="18" s="1"/>
  <c r="AH53" i="18"/>
  <c r="AL53" i="18"/>
  <c r="N54" i="18"/>
  <c r="R54" i="18"/>
  <c r="V54" i="18"/>
  <c r="AB54" i="18" s="1"/>
  <c r="Z54" i="18"/>
  <c r="AA54" i="18" s="1"/>
  <c r="AG54" i="18" s="1"/>
  <c r="AH54" i="18"/>
  <c r="AL54" i="18"/>
  <c r="N55" i="18"/>
  <c r="R55" i="18"/>
  <c r="V55" i="18"/>
  <c r="AB55" i="18" s="1"/>
  <c r="Z55" i="18"/>
  <c r="AA55" i="18" s="1"/>
  <c r="AG55" i="18" s="1"/>
  <c r="AH55" i="18"/>
  <c r="AL55" i="18"/>
  <c r="N56" i="18"/>
  <c r="R56" i="18"/>
  <c r="V56" i="18"/>
  <c r="AB56" i="18" s="1"/>
  <c r="Z56" i="18"/>
  <c r="AA56" i="18" s="1"/>
  <c r="AG56" i="18" s="1"/>
  <c r="AH56" i="18"/>
  <c r="AL56" i="18"/>
  <c r="N57" i="18"/>
  <c r="R57" i="18"/>
  <c r="V57" i="18"/>
  <c r="AB57" i="18" s="1"/>
  <c r="Z57" i="18"/>
  <c r="AA57" i="18" s="1"/>
  <c r="AG57" i="18" s="1"/>
  <c r="AH57" i="18"/>
  <c r="AL57" i="18"/>
  <c r="N58" i="18"/>
  <c r="R58" i="18"/>
  <c r="V58" i="18"/>
  <c r="AB58" i="18" s="1"/>
  <c r="Z58" i="18"/>
  <c r="AA58" i="18" s="1"/>
  <c r="AG58" i="18" s="1"/>
  <c r="AH58" i="18"/>
  <c r="AL58" i="18"/>
  <c r="N59" i="18"/>
  <c r="R59" i="18"/>
  <c r="V59" i="18"/>
  <c r="AB59" i="18" s="1"/>
  <c r="Z59" i="18"/>
  <c r="AA59" i="18" s="1"/>
  <c r="AG59" i="18" s="1"/>
  <c r="AH59" i="18"/>
  <c r="AL59" i="18"/>
  <c r="N60" i="18"/>
  <c r="R60" i="18"/>
  <c r="V60" i="18"/>
  <c r="AB60" i="18" s="1"/>
  <c r="Z60" i="18"/>
  <c r="AA60" i="18" s="1"/>
  <c r="AG60" i="18" s="1"/>
  <c r="AH60" i="18"/>
  <c r="AL60" i="18"/>
  <c r="N61" i="18"/>
  <c r="R61" i="18"/>
  <c r="V61" i="18"/>
  <c r="AB61" i="18" s="1"/>
  <c r="Z61" i="18"/>
  <c r="AA61" i="18" s="1"/>
  <c r="AG61" i="18" s="1"/>
  <c r="AH61" i="18"/>
  <c r="AL61" i="18"/>
  <c r="N62" i="18"/>
  <c r="R62" i="18"/>
  <c r="V62" i="18"/>
  <c r="AB62" i="18" s="1"/>
  <c r="Z62" i="18"/>
  <c r="AA62" i="18" s="1"/>
  <c r="AG62" i="18" s="1"/>
  <c r="AH62" i="18"/>
  <c r="AL62" i="18"/>
  <c r="N63" i="18"/>
  <c r="R63" i="18"/>
  <c r="V63" i="18"/>
  <c r="AB63" i="18" s="1"/>
  <c r="Z63" i="18"/>
  <c r="AA63" i="18" s="1"/>
  <c r="AG63" i="18" s="1"/>
  <c r="AH63" i="18"/>
  <c r="AL63" i="18"/>
  <c r="N64" i="18"/>
  <c r="R64" i="18"/>
  <c r="V64" i="18"/>
  <c r="AB64" i="18" s="1"/>
  <c r="Z64" i="18"/>
  <c r="AA64" i="18" s="1"/>
  <c r="AG64" i="18" s="1"/>
  <c r="AH64" i="18"/>
  <c r="AL64" i="18"/>
  <c r="N65" i="18"/>
  <c r="R65" i="18"/>
  <c r="V65" i="18"/>
  <c r="AB65" i="18" s="1"/>
  <c r="Z65" i="18"/>
  <c r="AA65" i="18" s="1"/>
  <c r="AG65" i="18" s="1"/>
  <c r="AH65" i="18"/>
  <c r="AL65" i="18"/>
  <c r="N66" i="18"/>
  <c r="R66" i="18"/>
  <c r="V66" i="18"/>
  <c r="AB66" i="18" s="1"/>
  <c r="Z66" i="18"/>
  <c r="AA66" i="18" s="1"/>
  <c r="AG66" i="18" s="1"/>
  <c r="AH66" i="18"/>
  <c r="AL66" i="18"/>
  <c r="N67" i="18"/>
  <c r="R67" i="18"/>
  <c r="V67" i="18"/>
  <c r="AB67" i="18" s="1"/>
  <c r="Z67" i="18"/>
  <c r="AA67" i="18" s="1"/>
  <c r="AG67" i="18" s="1"/>
  <c r="AH67" i="18"/>
  <c r="AL67" i="18"/>
  <c r="N68" i="18"/>
  <c r="R68" i="18"/>
  <c r="V68" i="18"/>
  <c r="AB68" i="18" s="1"/>
  <c r="Z68" i="18"/>
  <c r="AA68" i="18" s="1"/>
  <c r="AG68" i="18" s="1"/>
  <c r="AH68" i="18"/>
  <c r="AL68" i="18"/>
  <c r="N69" i="18"/>
  <c r="R69" i="18"/>
  <c r="V69" i="18"/>
  <c r="AB69" i="18" s="1"/>
  <c r="Z69" i="18"/>
  <c r="AA69" i="18" s="1"/>
  <c r="AG69" i="18" s="1"/>
  <c r="AH69" i="18"/>
  <c r="AL69" i="18"/>
  <c r="N70" i="18"/>
  <c r="R70" i="18"/>
  <c r="V70" i="18"/>
  <c r="AB70" i="18" s="1"/>
  <c r="Z70" i="18"/>
  <c r="AA70" i="18" s="1"/>
  <c r="AG70" i="18" s="1"/>
  <c r="AH70" i="18"/>
  <c r="AL70" i="18"/>
  <c r="N71" i="18"/>
  <c r="R71" i="18"/>
  <c r="V71" i="18"/>
  <c r="AB71" i="18" s="1"/>
  <c r="Z71" i="18"/>
  <c r="AA71" i="18" s="1"/>
  <c r="AG71" i="18" s="1"/>
  <c r="AH71" i="18"/>
  <c r="AL71" i="18"/>
  <c r="N72" i="18"/>
  <c r="R72" i="18"/>
  <c r="V72" i="18"/>
  <c r="AB72" i="18" s="1"/>
  <c r="Z72" i="18"/>
  <c r="AA72" i="18" s="1"/>
  <c r="AG72" i="18" s="1"/>
  <c r="AH72" i="18"/>
  <c r="AL72" i="18"/>
  <c r="N73" i="18"/>
  <c r="R73" i="18"/>
  <c r="V73" i="18"/>
  <c r="AB73" i="18" s="1"/>
  <c r="Z73" i="18"/>
  <c r="AA73" i="18" s="1"/>
  <c r="AG73" i="18" s="1"/>
  <c r="AH73" i="18"/>
  <c r="AL73" i="18"/>
  <c r="N74" i="18"/>
  <c r="R74" i="18"/>
  <c r="V74" i="18"/>
  <c r="AB74" i="18" s="1"/>
  <c r="Z74" i="18"/>
  <c r="AA74" i="18" s="1"/>
  <c r="AG74" i="18" s="1"/>
  <c r="AH74" i="18"/>
  <c r="AL74" i="18"/>
  <c r="N75" i="18"/>
  <c r="R75" i="18"/>
  <c r="V75" i="18"/>
  <c r="AB75" i="18" s="1"/>
  <c r="Z75" i="18"/>
  <c r="AA75" i="18" s="1"/>
  <c r="AG75" i="18" s="1"/>
  <c r="AH75" i="18"/>
  <c r="AL75" i="18"/>
  <c r="N76" i="18"/>
  <c r="R76" i="18"/>
  <c r="V76" i="18"/>
  <c r="AB76" i="18" s="1"/>
  <c r="Z76" i="18"/>
  <c r="AA76" i="18" s="1"/>
  <c r="AG76" i="18" s="1"/>
  <c r="AH76" i="18"/>
  <c r="AL76" i="18"/>
  <c r="N77" i="18"/>
  <c r="R77" i="18"/>
  <c r="V77" i="18"/>
  <c r="AB77" i="18" s="1"/>
  <c r="Z77" i="18"/>
  <c r="AA77" i="18" s="1"/>
  <c r="AG77" i="18" s="1"/>
  <c r="AH77" i="18"/>
  <c r="AL77" i="18"/>
  <c r="N78" i="18"/>
  <c r="R78" i="18"/>
  <c r="V78" i="18"/>
  <c r="AB78" i="18" s="1"/>
  <c r="Z78" i="18"/>
  <c r="AA78" i="18" s="1"/>
  <c r="AG78" i="18" s="1"/>
  <c r="AH78" i="18"/>
  <c r="AL78" i="18"/>
  <c r="N79" i="18"/>
  <c r="R79" i="18"/>
  <c r="V79" i="18"/>
  <c r="AB79" i="18" s="1"/>
  <c r="Z79" i="18"/>
  <c r="AA79" i="18" s="1"/>
  <c r="AG79" i="18" s="1"/>
  <c r="AH79" i="18"/>
  <c r="AL79" i="18"/>
  <c r="N80" i="18"/>
  <c r="R80" i="18"/>
  <c r="V80" i="18"/>
  <c r="AB80" i="18" s="1"/>
  <c r="Z80" i="18"/>
  <c r="AA80" i="18" s="1"/>
  <c r="AG80" i="18" s="1"/>
  <c r="AH80" i="18"/>
  <c r="AL80" i="18"/>
  <c r="N81" i="18"/>
  <c r="R81" i="18"/>
  <c r="V81" i="18"/>
  <c r="AB81" i="18" s="1"/>
  <c r="Z81" i="18"/>
  <c r="AA81" i="18" s="1"/>
  <c r="AG81" i="18" s="1"/>
  <c r="AH81" i="18"/>
  <c r="AL81" i="18"/>
  <c r="N82" i="18"/>
  <c r="R82" i="18"/>
  <c r="V82" i="18"/>
  <c r="AB82" i="18" s="1"/>
  <c r="Z82" i="18"/>
  <c r="AA82" i="18" s="1"/>
  <c r="AG82" i="18" s="1"/>
  <c r="AH82" i="18"/>
  <c r="AL82" i="18"/>
  <c r="N83" i="18"/>
  <c r="R83" i="18"/>
  <c r="V83" i="18"/>
  <c r="AB83" i="18" s="1"/>
  <c r="Z83" i="18"/>
  <c r="AA83" i="18" s="1"/>
  <c r="AG83" i="18" s="1"/>
  <c r="AH83" i="18"/>
  <c r="AL83" i="18"/>
  <c r="N84" i="18"/>
  <c r="R84" i="18"/>
  <c r="V84" i="18"/>
  <c r="AB84" i="18" s="1"/>
  <c r="Z84" i="18"/>
  <c r="AA84" i="18" s="1"/>
  <c r="AG84" i="18" s="1"/>
  <c r="AH84" i="18"/>
  <c r="AL84" i="18"/>
  <c r="N85" i="18"/>
  <c r="R85" i="18"/>
  <c r="V85" i="18"/>
  <c r="AB85" i="18" s="1"/>
  <c r="Z85" i="18"/>
  <c r="AA85" i="18" s="1"/>
  <c r="AG85" i="18" s="1"/>
  <c r="AH85" i="18"/>
  <c r="AL85" i="18"/>
  <c r="N86" i="18"/>
  <c r="R86" i="18"/>
  <c r="V86" i="18"/>
  <c r="AB86" i="18" s="1"/>
  <c r="Z86" i="18"/>
  <c r="AA86" i="18" s="1"/>
  <c r="AG86" i="18" s="1"/>
  <c r="AH86" i="18"/>
  <c r="AL86" i="18"/>
  <c r="N87" i="18"/>
  <c r="R87" i="18"/>
  <c r="V87" i="18"/>
  <c r="AB87" i="18" s="1"/>
  <c r="Z87" i="18"/>
  <c r="AA87" i="18" s="1"/>
  <c r="AG87" i="18" s="1"/>
  <c r="AH87" i="18"/>
  <c r="AL87" i="18"/>
  <c r="N88" i="18"/>
  <c r="R88" i="18"/>
  <c r="V88" i="18"/>
  <c r="AB88" i="18" s="1"/>
  <c r="Z88" i="18"/>
  <c r="AA88" i="18" s="1"/>
  <c r="AG88" i="18" s="1"/>
  <c r="AH88" i="18"/>
  <c r="AL88" i="18"/>
  <c r="N89" i="18"/>
  <c r="R89" i="18"/>
  <c r="V89" i="18"/>
  <c r="AB89" i="18" s="1"/>
  <c r="Z89" i="18"/>
  <c r="AA89" i="18" s="1"/>
  <c r="AG89" i="18" s="1"/>
  <c r="AH89" i="18"/>
  <c r="AL89" i="18"/>
  <c r="N90" i="18"/>
  <c r="R90" i="18"/>
  <c r="V90" i="18"/>
  <c r="AB90" i="18" s="1"/>
  <c r="Z90" i="18"/>
  <c r="AA90" i="18" s="1"/>
  <c r="AG90" i="18" s="1"/>
  <c r="AH90" i="18"/>
  <c r="AL90" i="18"/>
  <c r="N91" i="18"/>
  <c r="R91" i="18"/>
  <c r="V91" i="18"/>
  <c r="AB91" i="18" s="1"/>
  <c r="Z91" i="18"/>
  <c r="AA91" i="18" s="1"/>
  <c r="AG91" i="18" s="1"/>
  <c r="AH91" i="18"/>
  <c r="AL91" i="18"/>
  <c r="N92" i="18"/>
  <c r="R92" i="18"/>
  <c r="V92" i="18"/>
  <c r="AB92" i="18" s="1"/>
  <c r="Z92" i="18"/>
  <c r="AA92" i="18" s="1"/>
  <c r="AG92" i="18" s="1"/>
  <c r="AH92" i="18"/>
  <c r="AL92" i="18"/>
  <c r="N93" i="18"/>
  <c r="R93" i="18"/>
  <c r="V93" i="18"/>
  <c r="AB93" i="18" s="1"/>
  <c r="Z93" i="18"/>
  <c r="AA93" i="18" s="1"/>
  <c r="AG93" i="18" s="1"/>
  <c r="AH93" i="18"/>
  <c r="AL93" i="18"/>
  <c r="N94" i="18"/>
  <c r="R94" i="18"/>
  <c r="V94" i="18"/>
  <c r="AB94" i="18" s="1"/>
  <c r="Z94" i="18"/>
  <c r="AA94" i="18" s="1"/>
  <c r="AG94" i="18" s="1"/>
  <c r="AH94" i="18"/>
  <c r="AL94" i="18"/>
  <c r="N95" i="18"/>
  <c r="R95" i="18"/>
  <c r="V95" i="18"/>
  <c r="AB95" i="18" s="1"/>
  <c r="Z95" i="18"/>
  <c r="AA95" i="18" s="1"/>
  <c r="AG95" i="18" s="1"/>
  <c r="AH95" i="18"/>
  <c r="AL95" i="18"/>
  <c r="N96" i="18"/>
  <c r="R96" i="18"/>
  <c r="V96" i="18"/>
  <c r="AB96" i="18" s="1"/>
  <c r="Z96" i="18"/>
  <c r="AA96" i="18" s="1"/>
  <c r="AG96" i="18" s="1"/>
  <c r="AH96" i="18"/>
  <c r="AL96" i="18"/>
  <c r="N97" i="18"/>
  <c r="R97" i="18"/>
  <c r="V97" i="18"/>
  <c r="AB97" i="18" s="1"/>
  <c r="Z97" i="18"/>
  <c r="AA97" i="18" s="1"/>
  <c r="AG97" i="18" s="1"/>
  <c r="AH97" i="18"/>
  <c r="AL97" i="18"/>
  <c r="N98" i="18"/>
  <c r="R98" i="18"/>
  <c r="V98" i="18"/>
  <c r="AB98" i="18" s="1"/>
  <c r="Z98" i="18"/>
  <c r="AA98" i="18" s="1"/>
  <c r="AG98" i="18" s="1"/>
  <c r="AH98" i="18"/>
  <c r="AL98" i="18"/>
  <c r="N99" i="18"/>
  <c r="R99" i="18"/>
  <c r="V99" i="18"/>
  <c r="AB99" i="18" s="1"/>
  <c r="Z99" i="18"/>
  <c r="AA99" i="18" s="1"/>
  <c r="AG99" i="18" s="1"/>
  <c r="AH99" i="18"/>
  <c r="AL99" i="18"/>
  <c r="N100" i="18"/>
  <c r="R100" i="18"/>
  <c r="V100" i="18"/>
  <c r="AB100" i="18" s="1"/>
  <c r="Z100" i="18"/>
  <c r="AA100" i="18" s="1"/>
  <c r="AG100" i="18" s="1"/>
  <c r="AH100" i="18"/>
  <c r="AL100" i="18"/>
  <c r="N101" i="18"/>
  <c r="R101" i="18"/>
  <c r="V101" i="18"/>
  <c r="AB101" i="18" s="1"/>
  <c r="Z101" i="18"/>
  <c r="AA101" i="18" s="1"/>
  <c r="AG101" i="18" s="1"/>
  <c r="AH101" i="18"/>
  <c r="AL101" i="18"/>
  <c r="N102" i="18"/>
  <c r="R102" i="18"/>
  <c r="V102" i="18"/>
  <c r="AB102" i="18" s="1"/>
  <c r="Z102" i="18"/>
  <c r="AA102" i="18" s="1"/>
  <c r="AG102" i="18" s="1"/>
  <c r="AH102" i="18"/>
  <c r="AL102" i="18"/>
  <c r="N103" i="18"/>
  <c r="R103" i="18"/>
  <c r="V103" i="18"/>
  <c r="AB103" i="18" s="1"/>
  <c r="Z103" i="18"/>
  <c r="AA103" i="18" s="1"/>
  <c r="AG103" i="18" s="1"/>
  <c r="AH103" i="18"/>
  <c r="AL103" i="18"/>
  <c r="N104" i="18"/>
  <c r="R104" i="18"/>
  <c r="V104" i="18"/>
  <c r="Z104" i="18"/>
  <c r="AA104" i="18" s="1"/>
  <c r="AG104" i="18" s="1"/>
  <c r="R107" i="18"/>
  <c r="Z107" i="18"/>
  <c r="AA107" i="18" s="1"/>
  <c r="AG107" i="18" s="1"/>
  <c r="R109" i="18"/>
  <c r="Z109" i="18"/>
  <c r="R111" i="18"/>
  <c r="Z111" i="18"/>
  <c r="R113" i="18"/>
  <c r="Z113" i="18"/>
  <c r="R115" i="18"/>
  <c r="Z115" i="18"/>
  <c r="AA115" i="18" s="1"/>
  <c r="AG115" i="18" s="1"/>
  <c r="R117" i="18"/>
  <c r="Z117" i="18"/>
  <c r="R119" i="18"/>
  <c r="Z119" i="18"/>
  <c r="R121" i="18"/>
  <c r="Z121" i="18"/>
  <c r="R123" i="18"/>
  <c r="Z123" i="18"/>
  <c r="AA123" i="18" s="1"/>
  <c r="AG123" i="18" s="1"/>
  <c r="R125" i="18"/>
  <c r="Z125" i="18"/>
  <c r="R127" i="18"/>
  <c r="Z127" i="18"/>
  <c r="R129" i="18"/>
  <c r="Z129" i="18"/>
  <c r="R131" i="18"/>
  <c r="Z131" i="18"/>
  <c r="AA131" i="18" s="1"/>
  <c r="AG131" i="18" s="1"/>
  <c r="R133" i="18"/>
  <c r="Z133" i="18"/>
  <c r="R135" i="18"/>
  <c r="Z135" i="18"/>
  <c r="R137" i="18"/>
  <c r="Z137" i="18"/>
  <c r="R139" i="18"/>
  <c r="Z139" i="18"/>
  <c r="AA139" i="18" s="1"/>
  <c r="AG139" i="18" s="1"/>
  <c r="R141" i="18"/>
  <c r="Z141" i="18"/>
  <c r="R143" i="18"/>
  <c r="Z143" i="18"/>
  <c r="R145" i="18"/>
  <c r="Z145" i="18"/>
  <c r="R147" i="18"/>
  <c r="Z147" i="18"/>
  <c r="AA147" i="18" s="1"/>
  <c r="AG147" i="18" s="1"/>
  <c r="R149" i="18"/>
  <c r="Z149" i="18"/>
  <c r="R151" i="18"/>
  <c r="Z151" i="18"/>
  <c r="R153" i="18"/>
  <c r="Z153" i="18"/>
  <c r="R155" i="18"/>
  <c r="Z155" i="18"/>
  <c r="AA155" i="18" s="1"/>
  <c r="AG155" i="18" s="1"/>
  <c r="R157" i="18"/>
  <c r="Z157" i="18"/>
  <c r="R159" i="18"/>
  <c r="Z159" i="18"/>
  <c r="R161" i="18"/>
  <c r="Z161" i="18"/>
  <c r="R163" i="18"/>
  <c r="Z163" i="18"/>
  <c r="AA163" i="18" s="1"/>
  <c r="AG163" i="18" s="1"/>
  <c r="R165" i="18"/>
  <c r="Z165" i="18"/>
  <c r="R167" i="18"/>
  <c r="Z167" i="18"/>
  <c r="R169" i="18"/>
  <c r="Z169" i="18"/>
  <c r="R171" i="18"/>
  <c r="Z171" i="18"/>
  <c r="AA171" i="18" s="1"/>
  <c r="AG171" i="18" s="1"/>
  <c r="R173" i="18"/>
  <c r="Z173" i="18"/>
  <c r="R175" i="18"/>
  <c r="Z175" i="18"/>
  <c r="R177" i="18"/>
  <c r="Z177" i="18"/>
  <c r="R179" i="18"/>
  <c r="Z179" i="18"/>
  <c r="AA179" i="18" s="1"/>
  <c r="AG179" i="18" s="1"/>
  <c r="R181" i="18"/>
  <c r="Z181" i="18"/>
  <c r="AK107" i="18"/>
  <c r="AC107" i="18"/>
  <c r="AE107" i="18" s="1"/>
  <c r="Y107" i="18"/>
  <c r="U107" i="18"/>
  <c r="AF107" i="18" s="1"/>
  <c r="Q107" i="18"/>
  <c r="M107" i="18"/>
  <c r="AI107" i="18"/>
  <c r="W107" i="18"/>
  <c r="AD107" i="18" s="1"/>
  <c r="S107" i="18"/>
  <c r="O107" i="18"/>
  <c r="K107" i="18"/>
  <c r="T107" i="18"/>
  <c r="AB107" i="18"/>
  <c r="AJ107" i="18"/>
  <c r="AK109" i="18"/>
  <c r="AC109" i="18"/>
  <c r="AE109" i="18" s="1"/>
  <c r="Y109" i="18"/>
  <c r="U109" i="18"/>
  <c r="AF109" i="18" s="1"/>
  <c r="Q109" i="18"/>
  <c r="M109" i="18"/>
  <c r="AI109" i="18"/>
  <c r="AA109" i="18"/>
  <c r="AG109" i="18" s="1"/>
  <c r="W109" i="18"/>
  <c r="AD109" i="18" s="1"/>
  <c r="S109" i="18"/>
  <c r="O109" i="18"/>
  <c r="K109" i="18"/>
  <c r="T109" i="18"/>
  <c r="AB109" i="18"/>
  <c r="AJ109" i="18"/>
  <c r="AK111" i="18"/>
  <c r="AC111" i="18"/>
  <c r="AE111" i="18" s="1"/>
  <c r="Y111" i="18"/>
  <c r="U111" i="18"/>
  <c r="AF111" i="18" s="1"/>
  <c r="Q111" i="18"/>
  <c r="M111" i="18"/>
  <c r="AI111" i="18"/>
  <c r="AA111" i="18"/>
  <c r="AG111" i="18" s="1"/>
  <c r="W111" i="18"/>
  <c r="AD111" i="18" s="1"/>
  <c r="S111" i="18"/>
  <c r="O111" i="18"/>
  <c r="K111" i="18"/>
  <c r="T111" i="18"/>
  <c r="AJ111" i="18"/>
  <c r="AK113" i="18"/>
  <c r="AC113" i="18"/>
  <c r="AE113" i="18" s="1"/>
  <c r="Y113" i="18"/>
  <c r="U113" i="18"/>
  <c r="AF113" i="18" s="1"/>
  <c r="Q113" i="18"/>
  <c r="M113" i="18"/>
  <c r="AI113" i="18"/>
  <c r="AA113" i="18"/>
  <c r="AG113" i="18" s="1"/>
  <c r="W113" i="18"/>
  <c r="AD113" i="18" s="1"/>
  <c r="S113" i="18"/>
  <c r="O113" i="18"/>
  <c r="K113" i="18"/>
  <c r="T113" i="18"/>
  <c r="AJ113" i="18"/>
  <c r="AK115" i="18"/>
  <c r="AC115" i="18"/>
  <c r="AE115" i="18" s="1"/>
  <c r="Y115" i="18"/>
  <c r="U115" i="18"/>
  <c r="AF115" i="18" s="1"/>
  <c r="Q115" i="18"/>
  <c r="M115" i="18"/>
  <c r="AI115" i="18"/>
  <c r="W115" i="18"/>
  <c r="AD115" i="18" s="1"/>
  <c r="S115" i="18"/>
  <c r="O115" i="18"/>
  <c r="K115" i="18"/>
  <c r="T115" i="18"/>
  <c r="AB115" i="18"/>
  <c r="AJ115" i="18"/>
  <c r="AK117" i="18"/>
  <c r="AC117" i="18"/>
  <c r="AE117" i="18" s="1"/>
  <c r="Y117" i="18"/>
  <c r="U117" i="18"/>
  <c r="AF117" i="18" s="1"/>
  <c r="Q117" i="18"/>
  <c r="M117" i="18"/>
  <c r="AI117" i="18"/>
  <c r="AA117" i="18"/>
  <c r="AG117" i="18" s="1"/>
  <c r="W117" i="18"/>
  <c r="AD117" i="18" s="1"/>
  <c r="S117" i="18"/>
  <c r="O117" i="18"/>
  <c r="K117" i="18"/>
  <c r="T117" i="18"/>
  <c r="AB117" i="18"/>
  <c r="AJ117" i="18"/>
  <c r="AK119" i="18"/>
  <c r="AC119" i="18"/>
  <c r="AE119" i="18" s="1"/>
  <c r="Y119" i="18"/>
  <c r="U119" i="18"/>
  <c r="AF119" i="18" s="1"/>
  <c r="Q119" i="18"/>
  <c r="M119" i="18"/>
  <c r="AI119" i="18"/>
  <c r="AA119" i="18"/>
  <c r="AG119" i="18" s="1"/>
  <c r="W119" i="18"/>
  <c r="AD119" i="18" s="1"/>
  <c r="S119" i="18"/>
  <c r="O119" i="18"/>
  <c r="K119" i="18"/>
  <c r="T119" i="18"/>
  <c r="AJ119" i="18"/>
  <c r="AK121" i="18"/>
  <c r="AC121" i="18"/>
  <c r="AE121" i="18" s="1"/>
  <c r="Y121" i="18"/>
  <c r="U121" i="18"/>
  <c r="AF121" i="18" s="1"/>
  <c r="Q121" i="18"/>
  <c r="M121" i="18"/>
  <c r="AI121" i="18"/>
  <c r="AA121" i="18"/>
  <c r="AG121" i="18" s="1"/>
  <c r="W121" i="18"/>
  <c r="AD121" i="18" s="1"/>
  <c r="S121" i="18"/>
  <c r="O121" i="18"/>
  <c r="K121" i="18"/>
  <c r="T121" i="18"/>
  <c r="AJ121" i="18"/>
  <c r="AK123" i="18"/>
  <c r="AC123" i="18"/>
  <c r="AE123" i="18" s="1"/>
  <c r="Y123" i="18"/>
  <c r="U123" i="18"/>
  <c r="AF123" i="18" s="1"/>
  <c r="Q123" i="18"/>
  <c r="M123" i="18"/>
  <c r="AI123" i="18"/>
  <c r="W123" i="18"/>
  <c r="AD123" i="18" s="1"/>
  <c r="S123" i="18"/>
  <c r="O123" i="18"/>
  <c r="K123" i="18"/>
  <c r="T123" i="18"/>
  <c r="AB123" i="18"/>
  <c r="AJ123" i="18"/>
  <c r="AK125" i="18"/>
  <c r="AC125" i="18"/>
  <c r="AE125" i="18" s="1"/>
  <c r="Y125" i="18"/>
  <c r="U125" i="18"/>
  <c r="AF125" i="18" s="1"/>
  <c r="Q125" i="18"/>
  <c r="M125" i="18"/>
  <c r="AI125" i="18"/>
  <c r="AA125" i="18"/>
  <c r="AG125" i="18" s="1"/>
  <c r="W125" i="18"/>
  <c r="AD125" i="18" s="1"/>
  <c r="S125" i="18"/>
  <c r="O125" i="18"/>
  <c r="K125" i="18"/>
  <c r="T125" i="18"/>
  <c r="AB125" i="18"/>
  <c r="AJ125" i="18"/>
  <c r="AK127" i="18"/>
  <c r="AC127" i="18"/>
  <c r="AE127" i="18" s="1"/>
  <c r="Y127" i="18"/>
  <c r="U127" i="18"/>
  <c r="AF127" i="18" s="1"/>
  <c r="Q127" i="18"/>
  <c r="M127" i="18"/>
  <c r="AI127" i="18"/>
  <c r="AA127" i="18"/>
  <c r="AG127" i="18" s="1"/>
  <c r="W127" i="18"/>
  <c r="AD127" i="18" s="1"/>
  <c r="S127" i="18"/>
  <c r="O127" i="18"/>
  <c r="K127" i="18"/>
  <c r="T127" i="18"/>
  <c r="AJ127" i="18"/>
  <c r="AK129" i="18"/>
  <c r="AC129" i="18"/>
  <c r="AE129" i="18" s="1"/>
  <c r="Y129" i="18"/>
  <c r="U129" i="18"/>
  <c r="AF129" i="18" s="1"/>
  <c r="Q129" i="18"/>
  <c r="M129" i="18"/>
  <c r="AI129" i="18"/>
  <c r="AA129" i="18"/>
  <c r="AG129" i="18" s="1"/>
  <c r="W129" i="18"/>
  <c r="AD129" i="18" s="1"/>
  <c r="S129" i="18"/>
  <c r="O129" i="18"/>
  <c r="K129" i="18"/>
  <c r="T129" i="18"/>
  <c r="AJ129" i="18"/>
  <c r="AK131" i="18"/>
  <c r="AC131" i="18"/>
  <c r="AE131" i="18" s="1"/>
  <c r="Y131" i="18"/>
  <c r="U131" i="18"/>
  <c r="AF131" i="18" s="1"/>
  <c r="Q131" i="18"/>
  <c r="M131" i="18"/>
  <c r="AI131" i="18"/>
  <c r="W131" i="18"/>
  <c r="AD131" i="18" s="1"/>
  <c r="S131" i="18"/>
  <c r="O131" i="18"/>
  <c r="K131" i="18"/>
  <c r="T131" i="18"/>
  <c r="AB131" i="18"/>
  <c r="AJ131" i="18"/>
  <c r="AK133" i="18"/>
  <c r="AC133" i="18"/>
  <c r="AE133" i="18" s="1"/>
  <c r="Y133" i="18"/>
  <c r="U133" i="18"/>
  <c r="AF133" i="18" s="1"/>
  <c r="Q133" i="18"/>
  <c r="M133" i="18"/>
  <c r="AI133" i="18"/>
  <c r="AA133" i="18"/>
  <c r="AG133" i="18" s="1"/>
  <c r="W133" i="18"/>
  <c r="AD133" i="18" s="1"/>
  <c r="S133" i="18"/>
  <c r="O133" i="18"/>
  <c r="K133" i="18"/>
  <c r="T133" i="18"/>
  <c r="AB133" i="18"/>
  <c r="AJ133" i="18"/>
  <c r="AK135" i="18"/>
  <c r="AC135" i="18"/>
  <c r="AE135" i="18" s="1"/>
  <c r="Y135" i="18"/>
  <c r="U135" i="18"/>
  <c r="AF135" i="18" s="1"/>
  <c r="Q135" i="18"/>
  <c r="M135" i="18"/>
  <c r="AI135" i="18"/>
  <c r="AA135" i="18"/>
  <c r="AG135" i="18" s="1"/>
  <c r="W135" i="18"/>
  <c r="AD135" i="18" s="1"/>
  <c r="S135" i="18"/>
  <c r="O135" i="18"/>
  <c r="K135" i="18"/>
  <c r="T135" i="18"/>
  <c r="AJ135" i="18"/>
  <c r="AK137" i="18"/>
  <c r="AC137" i="18"/>
  <c r="AE137" i="18" s="1"/>
  <c r="Y137" i="18"/>
  <c r="U137" i="18"/>
  <c r="AF137" i="18" s="1"/>
  <c r="Q137" i="18"/>
  <c r="M137" i="18"/>
  <c r="AI137" i="18"/>
  <c r="AA137" i="18"/>
  <c r="AG137" i="18" s="1"/>
  <c r="W137" i="18"/>
  <c r="AD137" i="18" s="1"/>
  <c r="S137" i="18"/>
  <c r="O137" i="18"/>
  <c r="K137" i="18"/>
  <c r="T137" i="18"/>
  <c r="AJ137" i="18"/>
  <c r="AK139" i="18"/>
  <c r="AC139" i="18"/>
  <c r="AE139" i="18" s="1"/>
  <c r="Y139" i="18"/>
  <c r="U139" i="18"/>
  <c r="AF139" i="18" s="1"/>
  <c r="Q139" i="18"/>
  <c r="M139" i="18"/>
  <c r="AI139" i="18"/>
  <c r="W139" i="18"/>
  <c r="AD139" i="18" s="1"/>
  <c r="S139" i="18"/>
  <c r="O139" i="18"/>
  <c r="K139" i="18"/>
  <c r="T139" i="18"/>
  <c r="AB139" i="18"/>
  <c r="AJ139" i="18"/>
  <c r="AK141" i="18"/>
  <c r="AC141" i="18"/>
  <c r="AE141" i="18" s="1"/>
  <c r="Y141" i="18"/>
  <c r="U141" i="18"/>
  <c r="AF141" i="18" s="1"/>
  <c r="Q141" i="18"/>
  <c r="M141" i="18"/>
  <c r="AI141" i="18"/>
  <c r="AA141" i="18"/>
  <c r="AG141" i="18" s="1"/>
  <c r="W141" i="18"/>
  <c r="AD141" i="18" s="1"/>
  <c r="S141" i="18"/>
  <c r="O141" i="18"/>
  <c r="K141" i="18"/>
  <c r="T141" i="18"/>
  <c r="AB141" i="18"/>
  <c r="AJ141" i="18"/>
  <c r="AK143" i="18"/>
  <c r="AC143" i="18"/>
  <c r="AE143" i="18" s="1"/>
  <c r="Y143" i="18"/>
  <c r="U143" i="18"/>
  <c r="AF143" i="18" s="1"/>
  <c r="Q143" i="18"/>
  <c r="M143" i="18"/>
  <c r="AI143" i="18"/>
  <c r="AA143" i="18"/>
  <c r="AG143" i="18" s="1"/>
  <c r="W143" i="18"/>
  <c r="AD143" i="18" s="1"/>
  <c r="S143" i="18"/>
  <c r="O143" i="18"/>
  <c r="K143" i="18"/>
  <c r="T143" i="18"/>
  <c r="AJ143" i="18"/>
  <c r="AK145" i="18"/>
  <c r="AC145" i="18"/>
  <c r="AE145" i="18" s="1"/>
  <c r="Y145" i="18"/>
  <c r="U145" i="18"/>
  <c r="AF145" i="18" s="1"/>
  <c r="Q145" i="18"/>
  <c r="M145" i="18"/>
  <c r="AI145" i="18"/>
  <c r="AA145" i="18"/>
  <c r="AG145" i="18" s="1"/>
  <c r="W145" i="18"/>
  <c r="AD145" i="18" s="1"/>
  <c r="S145" i="18"/>
  <c r="O145" i="18"/>
  <c r="K145" i="18"/>
  <c r="T145" i="18"/>
  <c r="AJ145" i="18"/>
  <c r="AK147" i="18"/>
  <c r="AC147" i="18"/>
  <c r="AE147" i="18" s="1"/>
  <c r="Y147" i="18"/>
  <c r="U147" i="18"/>
  <c r="AF147" i="18" s="1"/>
  <c r="Q147" i="18"/>
  <c r="M147" i="18"/>
  <c r="AI147" i="18"/>
  <c r="W147" i="18"/>
  <c r="AD147" i="18" s="1"/>
  <c r="S147" i="18"/>
  <c r="O147" i="18"/>
  <c r="K147" i="18"/>
  <c r="T147" i="18"/>
  <c r="AB147" i="18"/>
  <c r="AJ147" i="18"/>
  <c r="AK149" i="18"/>
  <c r="AC149" i="18"/>
  <c r="AE149" i="18" s="1"/>
  <c r="Y149" i="18"/>
  <c r="U149" i="18"/>
  <c r="AF149" i="18" s="1"/>
  <c r="Q149" i="18"/>
  <c r="M149" i="18"/>
  <c r="AI149" i="18"/>
  <c r="AA149" i="18"/>
  <c r="AG149" i="18" s="1"/>
  <c r="W149" i="18"/>
  <c r="AD149" i="18" s="1"/>
  <c r="S149" i="18"/>
  <c r="O149" i="18"/>
  <c r="K149" i="18"/>
  <c r="T149" i="18"/>
  <c r="AB149" i="18"/>
  <c r="AJ149" i="18"/>
  <c r="AK151" i="18"/>
  <c r="AC151" i="18"/>
  <c r="AE151" i="18" s="1"/>
  <c r="Y151" i="18"/>
  <c r="U151" i="18"/>
  <c r="AF151" i="18" s="1"/>
  <c r="Q151" i="18"/>
  <c r="M151" i="18"/>
  <c r="AI151" i="18"/>
  <c r="AA151" i="18"/>
  <c r="AG151" i="18" s="1"/>
  <c r="W151" i="18"/>
  <c r="AD151" i="18" s="1"/>
  <c r="S151" i="18"/>
  <c r="O151" i="18"/>
  <c r="K151" i="18"/>
  <c r="T151" i="18"/>
  <c r="AJ151" i="18"/>
  <c r="AK153" i="18"/>
  <c r="AC153" i="18"/>
  <c r="AE153" i="18" s="1"/>
  <c r="Y153" i="18"/>
  <c r="U153" i="18"/>
  <c r="AF153" i="18" s="1"/>
  <c r="Q153" i="18"/>
  <c r="M153" i="18"/>
  <c r="AI153" i="18"/>
  <c r="AA153" i="18"/>
  <c r="AG153" i="18" s="1"/>
  <c r="W153" i="18"/>
  <c r="AD153" i="18" s="1"/>
  <c r="S153" i="18"/>
  <c r="O153" i="18"/>
  <c r="K153" i="18"/>
  <c r="T153" i="18"/>
  <c r="AJ153" i="18"/>
  <c r="AK155" i="18"/>
  <c r="AC155" i="18"/>
  <c r="AE155" i="18" s="1"/>
  <c r="Y155" i="18"/>
  <c r="U155" i="18"/>
  <c r="AF155" i="18" s="1"/>
  <c r="Q155" i="18"/>
  <c r="M155" i="18"/>
  <c r="AI155" i="18"/>
  <c r="W155" i="18"/>
  <c r="AD155" i="18" s="1"/>
  <c r="S155" i="18"/>
  <c r="O155" i="18"/>
  <c r="K155" i="18"/>
  <c r="T155" i="18"/>
  <c r="AB155" i="18"/>
  <c r="AJ155" i="18"/>
  <c r="AK157" i="18"/>
  <c r="AC157" i="18"/>
  <c r="AE157" i="18" s="1"/>
  <c r="Y157" i="18"/>
  <c r="U157" i="18"/>
  <c r="AF157" i="18" s="1"/>
  <c r="Q157" i="18"/>
  <c r="M157" i="18"/>
  <c r="AI157" i="18"/>
  <c r="AA157" i="18"/>
  <c r="AG157" i="18" s="1"/>
  <c r="W157" i="18"/>
  <c r="AD157" i="18" s="1"/>
  <c r="S157" i="18"/>
  <c r="O157" i="18"/>
  <c r="K157" i="18"/>
  <c r="T157" i="18"/>
  <c r="AB157" i="18"/>
  <c r="AJ157" i="18"/>
  <c r="AK159" i="18"/>
  <c r="AC159" i="18"/>
  <c r="AE159" i="18" s="1"/>
  <c r="Y159" i="18"/>
  <c r="U159" i="18"/>
  <c r="AF159" i="18" s="1"/>
  <c r="Q159" i="18"/>
  <c r="M159" i="18"/>
  <c r="AI159" i="18"/>
  <c r="AA159" i="18"/>
  <c r="AG159" i="18" s="1"/>
  <c r="W159" i="18"/>
  <c r="AD159" i="18" s="1"/>
  <c r="S159" i="18"/>
  <c r="O159" i="18"/>
  <c r="K159" i="18"/>
  <c r="T159" i="18"/>
  <c r="AJ159" i="18"/>
  <c r="AK161" i="18"/>
  <c r="AC161" i="18"/>
  <c r="AE161" i="18" s="1"/>
  <c r="Y161" i="18"/>
  <c r="U161" i="18"/>
  <c r="AF161" i="18" s="1"/>
  <c r="Q161" i="18"/>
  <c r="M161" i="18"/>
  <c r="AI161" i="18"/>
  <c r="AA161" i="18"/>
  <c r="AG161" i="18" s="1"/>
  <c r="W161" i="18"/>
  <c r="AD161" i="18" s="1"/>
  <c r="S161" i="18"/>
  <c r="O161" i="18"/>
  <c r="K161" i="18"/>
  <c r="T161" i="18"/>
  <c r="AJ161" i="18"/>
  <c r="AK163" i="18"/>
  <c r="AC163" i="18"/>
  <c r="AE163" i="18" s="1"/>
  <c r="Y163" i="18"/>
  <c r="U163" i="18"/>
  <c r="AF163" i="18" s="1"/>
  <c r="Q163" i="18"/>
  <c r="M163" i="18"/>
  <c r="AI163" i="18"/>
  <c r="W163" i="18"/>
  <c r="AD163" i="18" s="1"/>
  <c r="S163" i="18"/>
  <c r="O163" i="18"/>
  <c r="K163" i="18"/>
  <c r="T163" i="18"/>
  <c r="AB163" i="18"/>
  <c r="AJ163" i="18"/>
  <c r="AK165" i="18"/>
  <c r="AC165" i="18"/>
  <c r="AE165" i="18" s="1"/>
  <c r="Y165" i="18"/>
  <c r="U165" i="18"/>
  <c r="AF165" i="18" s="1"/>
  <c r="Q165" i="18"/>
  <c r="M165" i="18"/>
  <c r="AI165" i="18"/>
  <c r="AA165" i="18"/>
  <c r="AG165" i="18" s="1"/>
  <c r="W165" i="18"/>
  <c r="AD165" i="18" s="1"/>
  <c r="S165" i="18"/>
  <c r="O165" i="18"/>
  <c r="K165" i="18"/>
  <c r="T165" i="18"/>
  <c r="AB165" i="18"/>
  <c r="AJ165" i="18"/>
  <c r="AK167" i="18"/>
  <c r="AC167" i="18"/>
  <c r="AE167" i="18" s="1"/>
  <c r="Y167" i="18"/>
  <c r="U167" i="18"/>
  <c r="AF167" i="18" s="1"/>
  <c r="Q167" i="18"/>
  <c r="M167" i="18"/>
  <c r="AI167" i="18"/>
  <c r="AA167" i="18"/>
  <c r="AG167" i="18" s="1"/>
  <c r="W167" i="18"/>
  <c r="AD167" i="18" s="1"/>
  <c r="S167" i="18"/>
  <c r="O167" i="18"/>
  <c r="K167" i="18"/>
  <c r="T167" i="18"/>
  <c r="AJ167" i="18"/>
  <c r="AK169" i="18"/>
  <c r="AC169" i="18"/>
  <c r="AE169" i="18" s="1"/>
  <c r="Y169" i="18"/>
  <c r="U169" i="18"/>
  <c r="AF169" i="18" s="1"/>
  <c r="Q169" i="18"/>
  <c r="M169" i="18"/>
  <c r="AI169" i="18"/>
  <c r="AA169" i="18"/>
  <c r="AG169" i="18" s="1"/>
  <c r="W169" i="18"/>
  <c r="AD169" i="18" s="1"/>
  <c r="S169" i="18"/>
  <c r="O169" i="18"/>
  <c r="K169" i="18"/>
  <c r="T169" i="18"/>
  <c r="AJ169" i="18"/>
  <c r="AK171" i="18"/>
  <c r="AC171" i="18"/>
  <c r="AE171" i="18" s="1"/>
  <c r="Y171" i="18"/>
  <c r="U171" i="18"/>
  <c r="AF171" i="18" s="1"/>
  <c r="Q171" i="18"/>
  <c r="M171" i="18"/>
  <c r="AI171" i="18"/>
  <c r="W171" i="18"/>
  <c r="AD171" i="18" s="1"/>
  <c r="S171" i="18"/>
  <c r="O171" i="18"/>
  <c r="K171" i="18"/>
  <c r="T171" i="18"/>
  <c r="AB171" i="18"/>
  <c r="AJ171" i="18"/>
  <c r="AK173" i="18"/>
  <c r="AC173" i="18"/>
  <c r="AE173" i="18" s="1"/>
  <c r="Y173" i="18"/>
  <c r="U173" i="18"/>
  <c r="AF173" i="18" s="1"/>
  <c r="Q173" i="18"/>
  <c r="M173" i="18"/>
  <c r="AI173" i="18"/>
  <c r="AA173" i="18"/>
  <c r="AG173" i="18" s="1"/>
  <c r="W173" i="18"/>
  <c r="AD173" i="18" s="1"/>
  <c r="S173" i="18"/>
  <c r="O173" i="18"/>
  <c r="K173" i="18"/>
  <c r="T173" i="18"/>
  <c r="AB173" i="18"/>
  <c r="AJ173" i="18"/>
  <c r="AK175" i="18"/>
  <c r="AC175" i="18"/>
  <c r="AE175" i="18" s="1"/>
  <c r="Y175" i="18"/>
  <c r="U175" i="18"/>
  <c r="AF175" i="18" s="1"/>
  <c r="Q175" i="18"/>
  <c r="M175" i="18"/>
  <c r="AI175" i="18"/>
  <c r="AA175" i="18"/>
  <c r="AG175" i="18" s="1"/>
  <c r="W175" i="18"/>
  <c r="AD175" i="18" s="1"/>
  <c r="S175" i="18"/>
  <c r="O175" i="18"/>
  <c r="K175" i="18"/>
  <c r="T175" i="18"/>
  <c r="AJ175" i="18"/>
  <c r="AK177" i="18"/>
  <c r="AC177" i="18"/>
  <c r="AE177" i="18" s="1"/>
  <c r="Y177" i="18"/>
  <c r="U177" i="18"/>
  <c r="AF177" i="18" s="1"/>
  <c r="Q177" i="18"/>
  <c r="M177" i="18"/>
  <c r="AI177" i="18"/>
  <c r="AA177" i="18"/>
  <c r="AG177" i="18" s="1"/>
  <c r="W177" i="18"/>
  <c r="AD177" i="18" s="1"/>
  <c r="S177" i="18"/>
  <c r="O177" i="18"/>
  <c r="K177" i="18"/>
  <c r="T177" i="18"/>
  <c r="AJ177" i="18"/>
  <c r="AK179" i="18"/>
  <c r="AC179" i="18"/>
  <c r="AE179" i="18" s="1"/>
  <c r="Y179" i="18"/>
  <c r="U179" i="18"/>
  <c r="AF179" i="18" s="1"/>
  <c r="Q179" i="18"/>
  <c r="M179" i="18"/>
  <c r="AI179" i="18"/>
  <c r="W179" i="18"/>
  <c r="AD179" i="18" s="1"/>
  <c r="S179" i="18"/>
  <c r="O179" i="18"/>
  <c r="K179" i="18"/>
  <c r="T179" i="18"/>
  <c r="AB179" i="18"/>
  <c r="AJ179" i="18"/>
  <c r="AK181" i="18"/>
  <c r="AC181" i="18"/>
  <c r="AE181" i="18" s="1"/>
  <c r="Y181" i="18"/>
  <c r="U181" i="18"/>
  <c r="AF181" i="18" s="1"/>
  <c r="Q181" i="18"/>
  <c r="M181" i="18"/>
  <c r="AI181" i="18"/>
  <c r="AA181" i="18"/>
  <c r="AG181" i="18" s="1"/>
  <c r="W181" i="18"/>
  <c r="AD181" i="18" s="1"/>
  <c r="S181" i="18"/>
  <c r="O181" i="18"/>
  <c r="K181" i="18"/>
  <c r="T181" i="18"/>
  <c r="AB181" i="18"/>
  <c r="AJ181" i="18"/>
  <c r="N3" i="18"/>
  <c r="R3" i="18"/>
  <c r="V3" i="18"/>
  <c r="AB3" i="18" s="1"/>
  <c r="Z3" i="18"/>
  <c r="AA3" i="18" s="1"/>
  <c r="AG3" i="18" s="1"/>
  <c r="AH3" i="18"/>
  <c r="P5" i="18"/>
  <c r="T5" i="18"/>
  <c r="X5" i="18"/>
  <c r="Y5" i="18" s="1"/>
  <c r="AB5" i="18"/>
  <c r="N7" i="18"/>
  <c r="R7" i="18"/>
  <c r="V7" i="18"/>
  <c r="AB7" i="18" s="1"/>
  <c r="Z7" i="18"/>
  <c r="AA7" i="18" s="1"/>
  <c r="AG7" i="18" s="1"/>
  <c r="AH7" i="18"/>
  <c r="P9" i="18"/>
  <c r="T9" i="18"/>
  <c r="X9" i="18"/>
  <c r="Y9" i="18" s="1"/>
  <c r="AB9" i="18"/>
  <c r="P10" i="18"/>
  <c r="T10" i="18"/>
  <c r="X10" i="18"/>
  <c r="Y10" i="18" s="1"/>
  <c r="AB10" i="18"/>
  <c r="P11" i="18"/>
  <c r="T11" i="18"/>
  <c r="X11" i="18"/>
  <c r="Y11" i="18" s="1"/>
  <c r="P12" i="18"/>
  <c r="T12" i="18"/>
  <c r="X12" i="18"/>
  <c r="Y12" i="18" s="1"/>
  <c r="P13" i="18"/>
  <c r="T13" i="18"/>
  <c r="X13" i="18"/>
  <c r="Y13" i="18" s="1"/>
  <c r="P14" i="18"/>
  <c r="T14" i="18"/>
  <c r="X14" i="18"/>
  <c r="Y14" i="18" s="1"/>
  <c r="P15" i="18"/>
  <c r="T15" i="18"/>
  <c r="X15" i="18"/>
  <c r="Y15" i="18" s="1"/>
  <c r="P16" i="18"/>
  <c r="T16" i="18"/>
  <c r="X16" i="18"/>
  <c r="Y16" i="18" s="1"/>
  <c r="P17" i="18"/>
  <c r="T17" i="18"/>
  <c r="X17" i="18"/>
  <c r="Y17" i="18" s="1"/>
  <c r="P18" i="18"/>
  <c r="T18" i="18"/>
  <c r="X18" i="18"/>
  <c r="Y18" i="18" s="1"/>
  <c r="P19" i="18"/>
  <c r="T19" i="18"/>
  <c r="X19" i="18"/>
  <c r="Y19" i="18" s="1"/>
  <c r="P20" i="18"/>
  <c r="T20" i="18"/>
  <c r="X20" i="18"/>
  <c r="Y20" i="18" s="1"/>
  <c r="P21" i="18"/>
  <c r="T21" i="18"/>
  <c r="X21" i="18"/>
  <c r="Y21" i="18" s="1"/>
  <c r="P22" i="18"/>
  <c r="T22" i="18"/>
  <c r="X22" i="18"/>
  <c r="Y22" i="18" s="1"/>
  <c r="P23" i="18"/>
  <c r="T23" i="18"/>
  <c r="X23" i="18"/>
  <c r="Y23" i="18" s="1"/>
  <c r="P24" i="18"/>
  <c r="T24" i="18"/>
  <c r="X24" i="18"/>
  <c r="Y24" i="18" s="1"/>
  <c r="P25" i="18"/>
  <c r="T25" i="18"/>
  <c r="X25" i="18"/>
  <c r="Y25" i="18" s="1"/>
  <c r="P26" i="18"/>
  <c r="T26" i="18"/>
  <c r="X26" i="18"/>
  <c r="Y26" i="18" s="1"/>
  <c r="P27" i="18"/>
  <c r="T27" i="18"/>
  <c r="X27" i="18"/>
  <c r="Y27" i="18" s="1"/>
  <c r="P28" i="18"/>
  <c r="T28" i="18"/>
  <c r="X28" i="18"/>
  <c r="Y28" i="18" s="1"/>
  <c r="P29" i="18"/>
  <c r="T29" i="18"/>
  <c r="X29" i="18"/>
  <c r="Y29" i="18" s="1"/>
  <c r="P30" i="18"/>
  <c r="T30" i="18"/>
  <c r="X30" i="18"/>
  <c r="Y30" i="18" s="1"/>
  <c r="P31" i="18"/>
  <c r="T31" i="18"/>
  <c r="X31" i="18"/>
  <c r="Y31" i="18" s="1"/>
  <c r="P32" i="18"/>
  <c r="T32" i="18"/>
  <c r="X32" i="18"/>
  <c r="Y32" i="18" s="1"/>
  <c r="P33" i="18"/>
  <c r="T33" i="18"/>
  <c r="X33" i="18"/>
  <c r="Y33" i="18" s="1"/>
  <c r="P34" i="18"/>
  <c r="T34" i="18"/>
  <c r="X34" i="18"/>
  <c r="Y34" i="18" s="1"/>
  <c r="P35" i="18"/>
  <c r="T35" i="18"/>
  <c r="X35" i="18"/>
  <c r="Y35" i="18" s="1"/>
  <c r="P36" i="18"/>
  <c r="T36" i="18"/>
  <c r="X36" i="18"/>
  <c r="Y36" i="18" s="1"/>
  <c r="P37" i="18"/>
  <c r="T37" i="18"/>
  <c r="X37" i="18"/>
  <c r="Y37" i="18" s="1"/>
  <c r="P38" i="18"/>
  <c r="T38" i="18"/>
  <c r="X38" i="18"/>
  <c r="Y38" i="18" s="1"/>
  <c r="P39" i="18"/>
  <c r="T39" i="18"/>
  <c r="X39" i="18"/>
  <c r="Y39" i="18" s="1"/>
  <c r="P40" i="18"/>
  <c r="T40" i="18"/>
  <c r="X40" i="18"/>
  <c r="Y40" i="18" s="1"/>
  <c r="P41" i="18"/>
  <c r="T41" i="18"/>
  <c r="X41" i="18"/>
  <c r="Y41" i="18" s="1"/>
  <c r="P42" i="18"/>
  <c r="T42" i="18"/>
  <c r="X42" i="18"/>
  <c r="Y42" i="18" s="1"/>
  <c r="P43" i="18"/>
  <c r="T43" i="18"/>
  <c r="X43" i="18"/>
  <c r="Y43" i="18" s="1"/>
  <c r="P44" i="18"/>
  <c r="T44" i="18"/>
  <c r="X44" i="18"/>
  <c r="Y44" i="18" s="1"/>
  <c r="P45" i="18"/>
  <c r="T45" i="18"/>
  <c r="X45" i="18"/>
  <c r="Y45" i="18" s="1"/>
  <c r="P46" i="18"/>
  <c r="T46" i="18"/>
  <c r="X46" i="18"/>
  <c r="Y46" i="18" s="1"/>
  <c r="P47" i="18"/>
  <c r="T47" i="18"/>
  <c r="X47" i="18"/>
  <c r="Y47" i="18" s="1"/>
  <c r="P48" i="18"/>
  <c r="T48" i="18"/>
  <c r="X48" i="18"/>
  <c r="Y48" i="18" s="1"/>
  <c r="P49" i="18"/>
  <c r="T49" i="18"/>
  <c r="X49" i="18"/>
  <c r="Y49" i="18" s="1"/>
  <c r="P50" i="18"/>
  <c r="T50" i="18"/>
  <c r="X50" i="18"/>
  <c r="Y50" i="18" s="1"/>
  <c r="P51" i="18"/>
  <c r="T51" i="18"/>
  <c r="X51" i="18"/>
  <c r="Y51" i="18" s="1"/>
  <c r="P52" i="18"/>
  <c r="T52" i="18"/>
  <c r="X52" i="18"/>
  <c r="Y52" i="18" s="1"/>
  <c r="P53" i="18"/>
  <c r="T53" i="18"/>
  <c r="X53" i="18"/>
  <c r="Y53" i="18" s="1"/>
  <c r="P54" i="18"/>
  <c r="T54" i="18"/>
  <c r="X54" i="18"/>
  <c r="Y54" i="18" s="1"/>
  <c r="P55" i="18"/>
  <c r="T55" i="18"/>
  <c r="X55" i="18"/>
  <c r="Y55" i="18" s="1"/>
  <c r="P56" i="18"/>
  <c r="T56" i="18"/>
  <c r="X56" i="18"/>
  <c r="Y56" i="18" s="1"/>
  <c r="P57" i="18"/>
  <c r="T57" i="18"/>
  <c r="X57" i="18"/>
  <c r="Y57" i="18" s="1"/>
  <c r="P58" i="18"/>
  <c r="T58" i="18"/>
  <c r="X58" i="18"/>
  <c r="Y58" i="18" s="1"/>
  <c r="P59" i="18"/>
  <c r="T59" i="18"/>
  <c r="X59" i="18"/>
  <c r="Y59" i="18" s="1"/>
  <c r="P60" i="18"/>
  <c r="T60" i="18"/>
  <c r="X60" i="18"/>
  <c r="Y60" i="18" s="1"/>
  <c r="P61" i="18"/>
  <c r="T61" i="18"/>
  <c r="X61" i="18"/>
  <c r="Y61" i="18" s="1"/>
  <c r="P62" i="18"/>
  <c r="T62" i="18"/>
  <c r="X62" i="18"/>
  <c r="Y62" i="18" s="1"/>
  <c r="P63" i="18"/>
  <c r="T63" i="18"/>
  <c r="X63" i="18"/>
  <c r="Y63" i="18" s="1"/>
  <c r="P64" i="18"/>
  <c r="T64" i="18"/>
  <c r="X64" i="18"/>
  <c r="Y64" i="18" s="1"/>
  <c r="P65" i="18"/>
  <c r="T65" i="18"/>
  <c r="X65" i="18"/>
  <c r="Y65" i="18" s="1"/>
  <c r="P66" i="18"/>
  <c r="T66" i="18"/>
  <c r="X66" i="18"/>
  <c r="Y66" i="18" s="1"/>
  <c r="P67" i="18"/>
  <c r="T67" i="18"/>
  <c r="X67" i="18"/>
  <c r="Y67" i="18" s="1"/>
  <c r="P68" i="18"/>
  <c r="T68" i="18"/>
  <c r="X68" i="18"/>
  <c r="Y68" i="18" s="1"/>
  <c r="P69" i="18"/>
  <c r="T69" i="18"/>
  <c r="X69" i="18"/>
  <c r="Y69" i="18" s="1"/>
  <c r="P70" i="18"/>
  <c r="T70" i="18"/>
  <c r="X70" i="18"/>
  <c r="Y70" i="18" s="1"/>
  <c r="P71" i="18"/>
  <c r="T71" i="18"/>
  <c r="X71" i="18"/>
  <c r="Y71" i="18" s="1"/>
  <c r="P72" i="18"/>
  <c r="T72" i="18"/>
  <c r="X72" i="18"/>
  <c r="Y72" i="18" s="1"/>
  <c r="P73" i="18"/>
  <c r="T73" i="18"/>
  <c r="X73" i="18"/>
  <c r="Y73" i="18" s="1"/>
  <c r="P74" i="18"/>
  <c r="T74" i="18"/>
  <c r="X74" i="18"/>
  <c r="Y74" i="18" s="1"/>
  <c r="P75" i="18"/>
  <c r="T75" i="18"/>
  <c r="X75" i="18"/>
  <c r="Y75" i="18" s="1"/>
  <c r="P76" i="18"/>
  <c r="T76" i="18"/>
  <c r="X76" i="18"/>
  <c r="Y76" i="18" s="1"/>
  <c r="P77" i="18"/>
  <c r="T77" i="18"/>
  <c r="X77" i="18"/>
  <c r="Y77" i="18" s="1"/>
  <c r="P78" i="18"/>
  <c r="T78" i="18"/>
  <c r="X78" i="18"/>
  <c r="Y78" i="18" s="1"/>
  <c r="P79" i="18"/>
  <c r="T79" i="18"/>
  <c r="X79" i="18"/>
  <c r="Y79" i="18" s="1"/>
  <c r="P80" i="18"/>
  <c r="T80" i="18"/>
  <c r="X80" i="18"/>
  <c r="Y80" i="18" s="1"/>
  <c r="P81" i="18"/>
  <c r="T81" i="18"/>
  <c r="X81" i="18"/>
  <c r="Y81" i="18" s="1"/>
  <c r="P82" i="18"/>
  <c r="T82" i="18"/>
  <c r="X82" i="18"/>
  <c r="Y82" i="18" s="1"/>
  <c r="P83" i="18"/>
  <c r="T83" i="18"/>
  <c r="X83" i="18"/>
  <c r="Y83" i="18" s="1"/>
  <c r="P84" i="18"/>
  <c r="T84" i="18"/>
  <c r="X84" i="18"/>
  <c r="Y84" i="18" s="1"/>
  <c r="P85" i="18"/>
  <c r="T85" i="18"/>
  <c r="X85" i="18"/>
  <c r="Y85" i="18" s="1"/>
  <c r="P86" i="18"/>
  <c r="T86" i="18"/>
  <c r="X86" i="18"/>
  <c r="Y86" i="18" s="1"/>
  <c r="P87" i="18"/>
  <c r="T87" i="18"/>
  <c r="X87" i="18"/>
  <c r="Y87" i="18" s="1"/>
  <c r="P88" i="18"/>
  <c r="T88" i="18"/>
  <c r="X88" i="18"/>
  <c r="Y88" i="18" s="1"/>
  <c r="P89" i="18"/>
  <c r="T89" i="18"/>
  <c r="X89" i="18"/>
  <c r="Y89" i="18" s="1"/>
  <c r="P90" i="18"/>
  <c r="T90" i="18"/>
  <c r="X90" i="18"/>
  <c r="Y90" i="18" s="1"/>
  <c r="P91" i="18"/>
  <c r="T91" i="18"/>
  <c r="X91" i="18"/>
  <c r="Y91" i="18" s="1"/>
  <c r="P92" i="18"/>
  <c r="T92" i="18"/>
  <c r="X92" i="18"/>
  <c r="Y92" i="18" s="1"/>
  <c r="P93" i="18"/>
  <c r="T93" i="18"/>
  <c r="X93" i="18"/>
  <c r="Y93" i="18" s="1"/>
  <c r="P94" i="18"/>
  <c r="T94" i="18"/>
  <c r="X94" i="18"/>
  <c r="Y94" i="18" s="1"/>
  <c r="P95" i="18"/>
  <c r="T95" i="18"/>
  <c r="X95" i="18"/>
  <c r="Y95" i="18" s="1"/>
  <c r="P96" i="18"/>
  <c r="T96" i="18"/>
  <c r="X96" i="18"/>
  <c r="Y96" i="18" s="1"/>
  <c r="P97" i="18"/>
  <c r="T97" i="18"/>
  <c r="X97" i="18"/>
  <c r="Y97" i="18" s="1"/>
  <c r="P98" i="18"/>
  <c r="T98" i="18"/>
  <c r="X98" i="18"/>
  <c r="Y98" i="18" s="1"/>
  <c r="P99" i="18"/>
  <c r="T99" i="18"/>
  <c r="X99" i="18"/>
  <c r="Y99" i="18" s="1"/>
  <c r="P100" i="18"/>
  <c r="T100" i="18"/>
  <c r="X100" i="18"/>
  <c r="Y100" i="18" s="1"/>
  <c r="P101" i="18"/>
  <c r="T101" i="18"/>
  <c r="X101" i="18"/>
  <c r="Y101" i="18" s="1"/>
  <c r="P102" i="18"/>
  <c r="T102" i="18"/>
  <c r="X102" i="18"/>
  <c r="Y102" i="18" s="1"/>
  <c r="P103" i="18"/>
  <c r="T103" i="18"/>
  <c r="X103" i="18"/>
  <c r="Y103" i="18" s="1"/>
  <c r="AK104" i="18"/>
  <c r="AC104" i="18"/>
  <c r="AE104" i="18" s="1"/>
  <c r="P104" i="18"/>
  <c r="T104" i="18"/>
  <c r="X104" i="18"/>
  <c r="Y104" i="18" s="1"/>
  <c r="AB104" i="18"/>
  <c r="AH104" i="18"/>
  <c r="N107" i="18"/>
  <c r="V107" i="18"/>
  <c r="AL107" i="18"/>
  <c r="N109" i="18"/>
  <c r="V109" i="18"/>
  <c r="AL109" i="18"/>
  <c r="N111" i="18"/>
  <c r="V111" i="18"/>
  <c r="AB111" i="18" s="1"/>
  <c r="AL111" i="18"/>
  <c r="N113" i="18"/>
  <c r="V113" i="18"/>
  <c r="AB113" i="18" s="1"/>
  <c r="AL113" i="18"/>
  <c r="N115" i="18"/>
  <c r="V115" i="18"/>
  <c r="AL115" i="18"/>
  <c r="N117" i="18"/>
  <c r="V117" i="18"/>
  <c r="AL117" i="18"/>
  <c r="N119" i="18"/>
  <c r="V119" i="18"/>
  <c r="AB119" i="18" s="1"/>
  <c r="AL119" i="18"/>
  <c r="N121" i="18"/>
  <c r="V121" i="18"/>
  <c r="AB121" i="18" s="1"/>
  <c r="AL121" i="18"/>
  <c r="N123" i="18"/>
  <c r="V123" i="18"/>
  <c r="AL123" i="18"/>
  <c r="N125" i="18"/>
  <c r="V125" i="18"/>
  <c r="AL125" i="18"/>
  <c r="N127" i="18"/>
  <c r="V127" i="18"/>
  <c r="AB127" i="18" s="1"/>
  <c r="AL127" i="18"/>
  <c r="N129" i="18"/>
  <c r="V129" i="18"/>
  <c r="AB129" i="18" s="1"/>
  <c r="AL129" i="18"/>
  <c r="N131" i="18"/>
  <c r="V131" i="18"/>
  <c r="AL131" i="18"/>
  <c r="N133" i="18"/>
  <c r="V133" i="18"/>
  <c r="AL133" i="18"/>
  <c r="N135" i="18"/>
  <c r="V135" i="18"/>
  <c r="AB135" i="18" s="1"/>
  <c r="AL135" i="18"/>
  <c r="N137" i="18"/>
  <c r="V137" i="18"/>
  <c r="AB137" i="18" s="1"/>
  <c r="AL137" i="18"/>
  <c r="N139" i="18"/>
  <c r="V139" i="18"/>
  <c r="AL139" i="18"/>
  <c r="N141" i="18"/>
  <c r="V141" i="18"/>
  <c r="AL141" i="18"/>
  <c r="N143" i="18"/>
  <c r="V143" i="18"/>
  <c r="AB143" i="18" s="1"/>
  <c r="AL143" i="18"/>
  <c r="N145" i="18"/>
  <c r="V145" i="18"/>
  <c r="AB145" i="18" s="1"/>
  <c r="AL145" i="18"/>
  <c r="N147" i="18"/>
  <c r="V147" i="18"/>
  <c r="AL147" i="18"/>
  <c r="N149" i="18"/>
  <c r="V149" i="18"/>
  <c r="AL149" i="18"/>
  <c r="N151" i="18"/>
  <c r="V151" i="18"/>
  <c r="AB151" i="18" s="1"/>
  <c r="AL151" i="18"/>
  <c r="N153" i="18"/>
  <c r="V153" i="18"/>
  <c r="AB153" i="18" s="1"/>
  <c r="AL153" i="18"/>
  <c r="N155" i="18"/>
  <c r="V155" i="18"/>
  <c r="AL155" i="18"/>
  <c r="N157" i="18"/>
  <c r="V157" i="18"/>
  <c r="AL157" i="18"/>
  <c r="N159" i="18"/>
  <c r="V159" i="18"/>
  <c r="AB159" i="18" s="1"/>
  <c r="AL159" i="18"/>
  <c r="N161" i="18"/>
  <c r="V161" i="18"/>
  <c r="AB161" i="18" s="1"/>
  <c r="AL161" i="18"/>
  <c r="N163" i="18"/>
  <c r="V163" i="18"/>
  <c r="AL163" i="18"/>
  <c r="N165" i="18"/>
  <c r="V165" i="18"/>
  <c r="AL165" i="18"/>
  <c r="N167" i="18"/>
  <c r="V167" i="18"/>
  <c r="AB167" i="18" s="1"/>
  <c r="AL167" i="18"/>
  <c r="N169" i="18"/>
  <c r="V169" i="18"/>
  <c r="AB169" i="18" s="1"/>
  <c r="AL169" i="18"/>
  <c r="N171" i="18"/>
  <c r="V171" i="18"/>
  <c r="AL171" i="18"/>
  <c r="N173" i="18"/>
  <c r="V173" i="18"/>
  <c r="AL173" i="18"/>
  <c r="N175" i="18"/>
  <c r="V175" i="18"/>
  <c r="AB175" i="18" s="1"/>
  <c r="AL175" i="18"/>
  <c r="N177" i="18"/>
  <c r="V177" i="18"/>
  <c r="AB177" i="18" s="1"/>
  <c r="AL177" i="18"/>
  <c r="N179" i="18"/>
  <c r="V179" i="18"/>
  <c r="AL179" i="18"/>
  <c r="N181" i="18"/>
  <c r="V181" i="18"/>
  <c r="AL181" i="18"/>
  <c r="AJ281" i="18"/>
  <c r="AL281" i="18"/>
  <c r="AH281" i="18"/>
  <c r="Z281" i="18"/>
  <c r="AA281" i="18" s="1"/>
  <c r="AG281" i="18" s="1"/>
  <c r="V281" i="18"/>
  <c r="R281" i="18"/>
  <c r="N281" i="18"/>
  <c r="U281" i="18"/>
  <c r="AF281" i="18" s="1"/>
  <c r="P281" i="18"/>
  <c r="K281" i="18"/>
  <c r="AK281" i="18"/>
  <c r="Y281" i="18"/>
  <c r="T281" i="18"/>
  <c r="O281" i="18"/>
  <c r="AI281" i="18"/>
  <c r="AC281" i="18"/>
  <c r="AE281" i="18" s="1"/>
  <c r="X281" i="18"/>
  <c r="S281" i="18"/>
  <c r="M281" i="18"/>
  <c r="K183" i="18"/>
  <c r="O183" i="18"/>
  <c r="S183" i="18"/>
  <c r="W183" i="18"/>
  <c r="AD183" i="18" s="1"/>
  <c r="AA183" i="18"/>
  <c r="AG183" i="18" s="1"/>
  <c r="AI183" i="18"/>
  <c r="K184" i="18"/>
  <c r="O184" i="18"/>
  <c r="S184" i="18"/>
  <c r="W184" i="18"/>
  <c r="AD184" i="18" s="1"/>
  <c r="AA184" i="18"/>
  <c r="AG184" i="18" s="1"/>
  <c r="AI184" i="18"/>
  <c r="K185" i="18"/>
  <c r="O185" i="18"/>
  <c r="S185" i="18"/>
  <c r="W185" i="18"/>
  <c r="AD185" i="18" s="1"/>
  <c r="AA185" i="18"/>
  <c r="AG185" i="18" s="1"/>
  <c r="AI185" i="18"/>
  <c r="K186" i="18"/>
  <c r="O186" i="18"/>
  <c r="S186" i="18"/>
  <c r="W186" i="18"/>
  <c r="AD186" i="18" s="1"/>
  <c r="AA186" i="18"/>
  <c r="AG186" i="18" s="1"/>
  <c r="AI186" i="18"/>
  <c r="K187" i="18"/>
  <c r="O187" i="18"/>
  <c r="S187" i="18"/>
  <c r="W187" i="18"/>
  <c r="AD187" i="18" s="1"/>
  <c r="AA187" i="18"/>
  <c r="AG187" i="18" s="1"/>
  <c r="AI187" i="18"/>
  <c r="K188" i="18"/>
  <c r="O188" i="18"/>
  <c r="S188" i="18"/>
  <c r="W188" i="18"/>
  <c r="AD188" i="18" s="1"/>
  <c r="AA188" i="18"/>
  <c r="AG188" i="18" s="1"/>
  <c r="AI188" i="18"/>
  <c r="K189" i="18"/>
  <c r="O189" i="18"/>
  <c r="S189" i="18"/>
  <c r="W189" i="18"/>
  <c r="AD189" i="18" s="1"/>
  <c r="AA189" i="18"/>
  <c r="AG189" i="18" s="1"/>
  <c r="AI189" i="18"/>
  <c r="K190" i="18"/>
  <c r="O190" i="18"/>
  <c r="S190" i="18"/>
  <c r="W190" i="18"/>
  <c r="AD190" i="18" s="1"/>
  <c r="AA190" i="18"/>
  <c r="AG190" i="18" s="1"/>
  <c r="AI190" i="18"/>
  <c r="K191" i="18"/>
  <c r="O191" i="18"/>
  <c r="S191" i="18"/>
  <c r="W191" i="18"/>
  <c r="AD191" i="18" s="1"/>
  <c r="AA191" i="18"/>
  <c r="AG191" i="18" s="1"/>
  <c r="AI191" i="18"/>
  <c r="K192" i="18"/>
  <c r="O192" i="18"/>
  <c r="S192" i="18"/>
  <c r="W192" i="18"/>
  <c r="AD192" i="18" s="1"/>
  <c r="AA192" i="18"/>
  <c r="AG192" i="18" s="1"/>
  <c r="AI192" i="18"/>
  <c r="K193" i="18"/>
  <c r="O193" i="18"/>
  <c r="S193" i="18"/>
  <c r="W193" i="18"/>
  <c r="AD193" i="18" s="1"/>
  <c r="AA193" i="18"/>
  <c r="AG193" i="18" s="1"/>
  <c r="AI193" i="18"/>
  <c r="K194" i="18"/>
  <c r="O194" i="18"/>
  <c r="S194" i="18"/>
  <c r="W194" i="18"/>
  <c r="AD194" i="18" s="1"/>
  <c r="AA194" i="18"/>
  <c r="AG194" i="18" s="1"/>
  <c r="AI194" i="18"/>
  <c r="K195" i="18"/>
  <c r="O195" i="18"/>
  <c r="S195" i="18"/>
  <c r="W195" i="18"/>
  <c r="AD195" i="18" s="1"/>
  <c r="AA195" i="18"/>
  <c r="AG195" i="18" s="1"/>
  <c r="AI195" i="18"/>
  <c r="K196" i="18"/>
  <c r="O196" i="18"/>
  <c r="S196" i="18"/>
  <c r="W196" i="18"/>
  <c r="AD196" i="18" s="1"/>
  <c r="AA196" i="18"/>
  <c r="AG196" i="18" s="1"/>
  <c r="AI196" i="18"/>
  <c r="K197" i="18"/>
  <c r="O197" i="18"/>
  <c r="S197" i="18"/>
  <c r="W197" i="18"/>
  <c r="AD197" i="18" s="1"/>
  <c r="AA197" i="18"/>
  <c r="AG197" i="18" s="1"/>
  <c r="AI197" i="18"/>
  <c r="K198" i="18"/>
  <c r="O198" i="18"/>
  <c r="S198" i="18"/>
  <c r="W198" i="18"/>
  <c r="AD198" i="18" s="1"/>
  <c r="AA198" i="18"/>
  <c r="AG198" i="18" s="1"/>
  <c r="AI198" i="18"/>
  <c r="K199" i="18"/>
  <c r="O199" i="18"/>
  <c r="S199" i="18"/>
  <c r="W199" i="18"/>
  <c r="AD199" i="18" s="1"/>
  <c r="AC199" i="18"/>
  <c r="AE199" i="18" s="1"/>
  <c r="AL277" i="18"/>
  <c r="AH277" i="18"/>
  <c r="Z277" i="18"/>
  <c r="V277" i="18"/>
  <c r="AB277" i="18" s="1"/>
  <c r="R277" i="18"/>
  <c r="N277" i="18"/>
  <c r="AK277" i="18"/>
  <c r="AA277" i="18"/>
  <c r="AG277" i="18" s="1"/>
  <c r="U277" i="18"/>
  <c r="AF277" i="18" s="1"/>
  <c r="P277" i="18"/>
  <c r="K277" i="18"/>
  <c r="AJ277" i="18"/>
  <c r="Y277" i="18"/>
  <c r="T277" i="18"/>
  <c r="O277" i="18"/>
  <c r="AI277" i="18"/>
  <c r="AC277" i="18"/>
  <c r="AE277" i="18" s="1"/>
  <c r="X277" i="18"/>
  <c r="S277" i="18"/>
  <c r="M277" i="18"/>
  <c r="Q281" i="18"/>
  <c r="P183" i="18"/>
  <c r="T183" i="18"/>
  <c r="X183" i="18"/>
  <c r="Y183" i="18" s="1"/>
  <c r="AB183" i="18"/>
  <c r="AJ183" i="18"/>
  <c r="P184" i="18"/>
  <c r="T184" i="18"/>
  <c r="X184" i="18"/>
  <c r="Y184" i="18" s="1"/>
  <c r="AB184" i="18"/>
  <c r="AJ184" i="18"/>
  <c r="P185" i="18"/>
  <c r="T185" i="18"/>
  <c r="X185" i="18"/>
  <c r="AB185" i="18"/>
  <c r="AJ185" i="18"/>
  <c r="P186" i="18"/>
  <c r="T186" i="18"/>
  <c r="X186" i="18"/>
  <c r="AB186" i="18"/>
  <c r="AJ186" i="18"/>
  <c r="P187" i="18"/>
  <c r="T187" i="18"/>
  <c r="X187" i="18"/>
  <c r="Y187" i="18" s="1"/>
  <c r="AB187" i="18"/>
  <c r="AJ187" i="18"/>
  <c r="P188" i="18"/>
  <c r="T188" i="18"/>
  <c r="X188" i="18"/>
  <c r="Y188" i="18" s="1"/>
  <c r="AB188" i="18"/>
  <c r="AJ188" i="18"/>
  <c r="P189" i="18"/>
  <c r="T189" i="18"/>
  <c r="X189" i="18"/>
  <c r="AB189" i="18"/>
  <c r="AJ189" i="18"/>
  <c r="P190" i="18"/>
  <c r="T190" i="18"/>
  <c r="X190" i="18"/>
  <c r="AB190" i="18"/>
  <c r="AJ190" i="18"/>
  <c r="P191" i="18"/>
  <c r="T191" i="18"/>
  <c r="X191" i="18"/>
  <c r="Y191" i="18" s="1"/>
  <c r="AB191" i="18"/>
  <c r="AJ191" i="18"/>
  <c r="P192" i="18"/>
  <c r="T192" i="18"/>
  <c r="X192" i="18"/>
  <c r="Y192" i="18" s="1"/>
  <c r="AB192" i="18"/>
  <c r="AJ192" i="18"/>
  <c r="P193" i="18"/>
  <c r="T193" i="18"/>
  <c r="X193" i="18"/>
  <c r="AB193" i="18"/>
  <c r="AJ193" i="18"/>
  <c r="P194" i="18"/>
  <c r="T194" i="18"/>
  <c r="X194" i="18"/>
  <c r="AB194" i="18"/>
  <c r="AJ194" i="18"/>
  <c r="P195" i="18"/>
  <c r="T195" i="18"/>
  <c r="X195" i="18"/>
  <c r="Y195" i="18" s="1"/>
  <c r="AB195" i="18"/>
  <c r="AJ195" i="18"/>
  <c r="P196" i="18"/>
  <c r="T196" i="18"/>
  <c r="X196" i="18"/>
  <c r="Y196" i="18" s="1"/>
  <c r="AB196" i="18"/>
  <c r="AJ196" i="18"/>
  <c r="P197" i="18"/>
  <c r="T197" i="18"/>
  <c r="X197" i="18"/>
  <c r="AB197" i="18"/>
  <c r="AJ197" i="18"/>
  <c r="P198" i="18"/>
  <c r="T198" i="18"/>
  <c r="X198" i="18"/>
  <c r="AB198" i="18"/>
  <c r="AJ198" i="18"/>
  <c r="AJ199" i="18"/>
  <c r="AB199" i="18"/>
  <c r="X199" i="18"/>
  <c r="Y199" i="18" s="1"/>
  <c r="P199" i="18"/>
  <c r="T199" i="18"/>
  <c r="AI199" i="18"/>
  <c r="AL273" i="18"/>
  <c r="AH273" i="18"/>
  <c r="Z273" i="18"/>
  <c r="V273" i="18"/>
  <c r="AB273" i="18" s="1"/>
  <c r="R273" i="18"/>
  <c r="N273" i="18"/>
  <c r="AK273" i="18"/>
  <c r="AA273" i="18"/>
  <c r="AG273" i="18" s="1"/>
  <c r="U273" i="18"/>
  <c r="AF273" i="18" s="1"/>
  <c r="P273" i="18"/>
  <c r="K273" i="18"/>
  <c r="AJ273" i="18"/>
  <c r="Y273" i="18"/>
  <c r="T273" i="18"/>
  <c r="O273" i="18"/>
  <c r="AI273" i="18"/>
  <c r="AC273" i="18"/>
  <c r="AE273" i="18" s="1"/>
  <c r="X273" i="18"/>
  <c r="S273" i="18"/>
  <c r="M273" i="18"/>
  <c r="W281" i="18"/>
  <c r="AD281" i="18" s="1"/>
  <c r="M183" i="18"/>
  <c r="Q183" i="18"/>
  <c r="U183" i="18"/>
  <c r="AF183" i="18" s="1"/>
  <c r="AC183" i="18"/>
  <c r="AE183" i="18" s="1"/>
  <c r="M184" i="18"/>
  <c r="Q184" i="18"/>
  <c r="U184" i="18"/>
  <c r="AF184" i="18" s="1"/>
  <c r="AC184" i="18"/>
  <c r="AE184" i="18" s="1"/>
  <c r="M185" i="18"/>
  <c r="Q185" i="18"/>
  <c r="U185" i="18"/>
  <c r="AF185" i="18" s="1"/>
  <c r="Y185" i="18"/>
  <c r="AC185" i="18"/>
  <c r="AE185" i="18" s="1"/>
  <c r="M186" i="18"/>
  <c r="Q186" i="18"/>
  <c r="U186" i="18"/>
  <c r="AF186" i="18" s="1"/>
  <c r="Y186" i="18"/>
  <c r="AC186" i="18"/>
  <c r="AE186" i="18" s="1"/>
  <c r="M187" i="18"/>
  <c r="Q187" i="18"/>
  <c r="U187" i="18"/>
  <c r="AF187" i="18" s="1"/>
  <c r="AC187" i="18"/>
  <c r="AE187" i="18" s="1"/>
  <c r="M188" i="18"/>
  <c r="Q188" i="18"/>
  <c r="U188" i="18"/>
  <c r="AF188" i="18" s="1"/>
  <c r="AC188" i="18"/>
  <c r="AE188" i="18" s="1"/>
  <c r="M189" i="18"/>
  <c r="Q189" i="18"/>
  <c r="U189" i="18"/>
  <c r="AF189" i="18" s="1"/>
  <c r="Y189" i="18"/>
  <c r="AC189" i="18"/>
  <c r="AE189" i="18" s="1"/>
  <c r="M190" i="18"/>
  <c r="Q190" i="18"/>
  <c r="U190" i="18"/>
  <c r="AF190" i="18" s="1"/>
  <c r="Y190" i="18"/>
  <c r="AC190" i="18"/>
  <c r="AE190" i="18" s="1"/>
  <c r="M191" i="18"/>
  <c r="Q191" i="18"/>
  <c r="U191" i="18"/>
  <c r="AF191" i="18" s="1"/>
  <c r="AC191" i="18"/>
  <c r="AE191" i="18" s="1"/>
  <c r="M192" i="18"/>
  <c r="Q192" i="18"/>
  <c r="U192" i="18"/>
  <c r="AF192" i="18" s="1"/>
  <c r="AC192" i="18"/>
  <c r="AE192" i="18" s="1"/>
  <c r="M193" i="18"/>
  <c r="Q193" i="18"/>
  <c r="U193" i="18"/>
  <c r="AF193" i="18" s="1"/>
  <c r="Y193" i="18"/>
  <c r="AC193" i="18"/>
  <c r="AE193" i="18" s="1"/>
  <c r="M194" i="18"/>
  <c r="Q194" i="18"/>
  <c r="U194" i="18"/>
  <c r="AF194" i="18" s="1"/>
  <c r="Y194" i="18"/>
  <c r="AC194" i="18"/>
  <c r="AE194" i="18" s="1"/>
  <c r="M195" i="18"/>
  <c r="Q195" i="18"/>
  <c r="U195" i="18"/>
  <c r="AF195" i="18" s="1"/>
  <c r="AC195" i="18"/>
  <c r="AE195" i="18" s="1"/>
  <c r="M196" i="18"/>
  <c r="Q196" i="18"/>
  <c r="U196" i="18"/>
  <c r="AF196" i="18" s="1"/>
  <c r="AC196" i="18"/>
  <c r="AE196" i="18" s="1"/>
  <c r="M197" i="18"/>
  <c r="Q197" i="18"/>
  <c r="U197" i="18"/>
  <c r="AF197" i="18" s="1"/>
  <c r="Y197" i="18"/>
  <c r="AC197" i="18"/>
  <c r="AE197" i="18" s="1"/>
  <c r="M198" i="18"/>
  <c r="Q198" i="18"/>
  <c r="U198" i="18"/>
  <c r="AF198" i="18" s="1"/>
  <c r="Y198" i="18"/>
  <c r="AC198" i="18"/>
  <c r="AE198" i="18" s="1"/>
  <c r="M199" i="18"/>
  <c r="Q199" i="18"/>
  <c r="U199" i="18"/>
  <c r="AF199" i="18" s="1"/>
  <c r="Z199" i="18"/>
  <c r="AA199" i="18" s="1"/>
  <c r="AG199" i="18" s="1"/>
  <c r="AK199" i="18"/>
  <c r="Q273" i="18"/>
  <c r="AB281" i="18"/>
  <c r="AL270" i="18"/>
  <c r="AH270" i="18"/>
  <c r="Z270" i="18"/>
  <c r="AA270" i="18" s="1"/>
  <c r="AG270" i="18" s="1"/>
  <c r="V270" i="18"/>
  <c r="AB270" i="18" s="1"/>
  <c r="R270" i="18"/>
  <c r="N270" i="18"/>
  <c r="Q270" i="18"/>
  <c r="W270" i="18"/>
  <c r="AD270" i="18" s="1"/>
  <c r="AL274" i="18"/>
  <c r="AH274" i="18"/>
  <c r="Z274" i="18"/>
  <c r="AA274" i="18" s="1"/>
  <c r="AG274" i="18" s="1"/>
  <c r="V274" i="18"/>
  <c r="AB274" i="18" s="1"/>
  <c r="R274" i="18"/>
  <c r="N274" i="18"/>
  <c r="Q274" i="18"/>
  <c r="W274" i="18"/>
  <c r="AD274" i="18" s="1"/>
  <c r="AL278" i="18"/>
  <c r="AH278" i="18"/>
  <c r="Z278" i="18"/>
  <c r="AA278" i="18" s="1"/>
  <c r="AG278" i="18" s="1"/>
  <c r="V278" i="18"/>
  <c r="R278" i="18"/>
  <c r="N278" i="18"/>
  <c r="Q278" i="18"/>
  <c r="W278" i="18"/>
  <c r="AD278" i="18" s="1"/>
  <c r="AB278" i="18"/>
  <c r="AI379" i="18"/>
  <c r="W379" i="18"/>
  <c r="AD379" i="18" s="1"/>
  <c r="S379" i="18"/>
  <c r="O379" i="18"/>
  <c r="K379" i="18"/>
  <c r="AK379" i="18"/>
  <c r="AC379" i="18"/>
  <c r="AE379" i="18" s="1"/>
  <c r="Y379" i="18"/>
  <c r="U379" i="18"/>
  <c r="AF379" i="18" s="1"/>
  <c r="Q379" i="18"/>
  <c r="M379" i="18"/>
  <c r="AL379" i="18"/>
  <c r="V379" i="18"/>
  <c r="AB379" i="18" s="1"/>
  <c r="N379" i="18"/>
  <c r="AJ379" i="18"/>
  <c r="AH379" i="18"/>
  <c r="Z379" i="18"/>
  <c r="AA379" i="18" s="1"/>
  <c r="AG379" i="18" s="1"/>
  <c r="R379" i="18"/>
  <c r="X379" i="18"/>
  <c r="T379" i="18"/>
  <c r="P379" i="18"/>
  <c r="M270" i="18"/>
  <c r="S270" i="18"/>
  <c r="X270" i="18"/>
  <c r="AC270" i="18"/>
  <c r="AE270" i="18" s="1"/>
  <c r="AI270" i="18"/>
  <c r="AL271" i="18"/>
  <c r="AH271" i="18"/>
  <c r="Z271" i="18"/>
  <c r="AA271" i="18" s="1"/>
  <c r="AG271" i="18" s="1"/>
  <c r="V271" i="18"/>
  <c r="R271" i="18"/>
  <c r="N271" i="18"/>
  <c r="Q271" i="18"/>
  <c r="W271" i="18"/>
  <c r="AD271" i="18" s="1"/>
  <c r="AB271" i="18"/>
  <c r="M274" i="18"/>
  <c r="S274" i="18"/>
  <c r="X274" i="18"/>
  <c r="AC274" i="18"/>
  <c r="AE274" i="18" s="1"/>
  <c r="AI274" i="18"/>
  <c r="AL275" i="18"/>
  <c r="AH275" i="18"/>
  <c r="Z275" i="18"/>
  <c r="AA275" i="18" s="1"/>
  <c r="AG275" i="18" s="1"/>
  <c r="V275" i="18"/>
  <c r="AB275" i="18" s="1"/>
  <c r="R275" i="18"/>
  <c r="N275" i="18"/>
  <c r="Q275" i="18"/>
  <c r="W275" i="18"/>
  <c r="AD275" i="18" s="1"/>
  <c r="M278" i="18"/>
  <c r="S278" i="18"/>
  <c r="X278" i="18"/>
  <c r="AC278" i="18"/>
  <c r="AE278" i="18" s="1"/>
  <c r="AI278" i="18"/>
  <c r="AL279" i="18"/>
  <c r="AH279" i="18"/>
  <c r="Z279" i="18"/>
  <c r="AA279" i="18" s="1"/>
  <c r="AG279" i="18" s="1"/>
  <c r="V279" i="18"/>
  <c r="R279" i="18"/>
  <c r="N279" i="18"/>
  <c r="Q279" i="18"/>
  <c r="W279" i="18"/>
  <c r="AD279" i="18" s="1"/>
  <c r="AB279" i="18"/>
  <c r="AI419" i="18"/>
  <c r="W419" i="18"/>
  <c r="AD419" i="18" s="1"/>
  <c r="S419" i="18"/>
  <c r="O419" i="18"/>
  <c r="K419" i="18"/>
  <c r="AL419" i="18"/>
  <c r="AH419" i="18"/>
  <c r="Z419" i="18"/>
  <c r="AA419" i="18" s="1"/>
  <c r="AG419" i="18" s="1"/>
  <c r="V419" i="18"/>
  <c r="AB419" i="18" s="1"/>
  <c r="R419" i="18"/>
  <c r="N419" i="18"/>
  <c r="AK419" i="18"/>
  <c r="AC419" i="18"/>
  <c r="AE419" i="18" s="1"/>
  <c r="U419" i="18"/>
  <c r="AF419" i="18" s="1"/>
  <c r="Q419" i="18"/>
  <c r="M419" i="18"/>
  <c r="X419" i="18"/>
  <c r="Y419" i="18" s="1"/>
  <c r="AJ419" i="18"/>
  <c r="T419" i="18"/>
  <c r="P419" i="18"/>
  <c r="P200" i="18"/>
  <c r="T200" i="18"/>
  <c r="X200" i="18"/>
  <c r="Y200" i="18" s="1"/>
  <c r="AB200" i="18"/>
  <c r="P201" i="18"/>
  <c r="T201" i="18"/>
  <c r="X201" i="18"/>
  <c r="Y201" i="18" s="1"/>
  <c r="AB201" i="18"/>
  <c r="P202" i="18"/>
  <c r="T202" i="18"/>
  <c r="X202" i="18"/>
  <c r="Y202" i="18" s="1"/>
  <c r="AB202" i="18"/>
  <c r="P203" i="18"/>
  <c r="T203" i="18"/>
  <c r="X203" i="18"/>
  <c r="Y203" i="18" s="1"/>
  <c r="AB203" i="18"/>
  <c r="P204" i="18"/>
  <c r="T204" i="18"/>
  <c r="X204" i="18"/>
  <c r="Y204" i="18" s="1"/>
  <c r="AB204" i="18"/>
  <c r="P205" i="18"/>
  <c r="T205" i="18"/>
  <c r="X205" i="18"/>
  <c r="Y205" i="18" s="1"/>
  <c r="AB205" i="18"/>
  <c r="P206" i="18"/>
  <c r="T206" i="18"/>
  <c r="X206" i="18"/>
  <c r="Y206" i="18" s="1"/>
  <c r="AB206" i="18"/>
  <c r="P207" i="18"/>
  <c r="T207" i="18"/>
  <c r="X207" i="18"/>
  <c r="Y207" i="18" s="1"/>
  <c r="AB207" i="18"/>
  <c r="P208" i="18"/>
  <c r="T208" i="18"/>
  <c r="X208" i="18"/>
  <c r="Y208" i="18" s="1"/>
  <c r="AB208" i="18"/>
  <c r="P209" i="18"/>
  <c r="T209" i="18"/>
  <c r="X209" i="18"/>
  <c r="Y209" i="18" s="1"/>
  <c r="AB209" i="18"/>
  <c r="P210" i="18"/>
  <c r="T210" i="18"/>
  <c r="X210" i="18"/>
  <c r="Y210" i="18" s="1"/>
  <c r="AB210" i="18"/>
  <c r="P211" i="18"/>
  <c r="T211" i="18"/>
  <c r="X211" i="18"/>
  <c r="Y211" i="18" s="1"/>
  <c r="AB211" i="18"/>
  <c r="P212" i="18"/>
  <c r="T212" i="18"/>
  <c r="X212" i="18"/>
  <c r="Y212" i="18" s="1"/>
  <c r="AB212" i="18"/>
  <c r="P213" i="18"/>
  <c r="T213" i="18"/>
  <c r="X213" i="18"/>
  <c r="Y213" i="18" s="1"/>
  <c r="AB213" i="18"/>
  <c r="P214" i="18"/>
  <c r="T214" i="18"/>
  <c r="X214" i="18"/>
  <c r="Y214" i="18" s="1"/>
  <c r="AB214" i="18"/>
  <c r="P215" i="18"/>
  <c r="T215" i="18"/>
  <c r="X215" i="18"/>
  <c r="Y215" i="18" s="1"/>
  <c r="AB215" i="18"/>
  <c r="P216" i="18"/>
  <c r="T216" i="18"/>
  <c r="X216" i="18"/>
  <c r="Y216" i="18" s="1"/>
  <c r="AB216" i="18"/>
  <c r="P217" i="18"/>
  <c r="T217" i="18"/>
  <c r="X217" i="18"/>
  <c r="Y217" i="18" s="1"/>
  <c r="AB217" i="18"/>
  <c r="P218" i="18"/>
  <c r="T218" i="18"/>
  <c r="X218" i="18"/>
  <c r="Y218" i="18" s="1"/>
  <c r="AB218" i="18"/>
  <c r="P219" i="18"/>
  <c r="T219" i="18"/>
  <c r="X219" i="18"/>
  <c r="Y219" i="18" s="1"/>
  <c r="AB219" i="18"/>
  <c r="P220" i="18"/>
  <c r="T220" i="18"/>
  <c r="X220" i="18"/>
  <c r="Y220" i="18" s="1"/>
  <c r="AB220" i="18"/>
  <c r="P221" i="18"/>
  <c r="T221" i="18"/>
  <c r="X221" i="18"/>
  <c r="Y221" i="18" s="1"/>
  <c r="AB221" i="18"/>
  <c r="P222" i="18"/>
  <c r="T222" i="18"/>
  <c r="X222" i="18"/>
  <c r="Y222" i="18" s="1"/>
  <c r="AB222" i="18"/>
  <c r="P223" i="18"/>
  <c r="T223" i="18"/>
  <c r="X223" i="18"/>
  <c r="Y223" i="18" s="1"/>
  <c r="AB223" i="18"/>
  <c r="P224" i="18"/>
  <c r="T224" i="18"/>
  <c r="X224" i="18"/>
  <c r="Y224" i="18" s="1"/>
  <c r="AB224" i="18"/>
  <c r="P225" i="18"/>
  <c r="T225" i="18"/>
  <c r="X225" i="18"/>
  <c r="Y225" i="18" s="1"/>
  <c r="AB225" i="18"/>
  <c r="P226" i="18"/>
  <c r="T226" i="18"/>
  <c r="X226" i="18"/>
  <c r="Y226" i="18" s="1"/>
  <c r="AB226" i="18"/>
  <c r="P227" i="18"/>
  <c r="T227" i="18"/>
  <c r="X227" i="18"/>
  <c r="Y227" i="18" s="1"/>
  <c r="AB227" i="18"/>
  <c r="P228" i="18"/>
  <c r="T228" i="18"/>
  <c r="X228" i="18"/>
  <c r="Y228" i="18" s="1"/>
  <c r="AB228" i="18"/>
  <c r="P229" i="18"/>
  <c r="T229" i="18"/>
  <c r="X229" i="18"/>
  <c r="Y229" i="18" s="1"/>
  <c r="AB229" i="18"/>
  <c r="P230" i="18"/>
  <c r="T230" i="18"/>
  <c r="X230" i="18"/>
  <c r="Y230" i="18" s="1"/>
  <c r="AB230" i="18"/>
  <c r="P231" i="18"/>
  <c r="T231" i="18"/>
  <c r="X231" i="18"/>
  <c r="Y231" i="18" s="1"/>
  <c r="AB231" i="18"/>
  <c r="P232" i="18"/>
  <c r="T232" i="18"/>
  <c r="X232" i="18"/>
  <c r="Y232" i="18" s="1"/>
  <c r="AB232" i="18"/>
  <c r="P233" i="18"/>
  <c r="T233" i="18"/>
  <c r="X233" i="18"/>
  <c r="Y233" i="18" s="1"/>
  <c r="AB233" i="18"/>
  <c r="P234" i="18"/>
  <c r="T234" i="18"/>
  <c r="X234" i="18"/>
  <c r="Y234" i="18" s="1"/>
  <c r="AB234" i="18"/>
  <c r="P235" i="18"/>
  <c r="T235" i="18"/>
  <c r="X235" i="18"/>
  <c r="Y235" i="18" s="1"/>
  <c r="AB235" i="18"/>
  <c r="P236" i="18"/>
  <c r="T236" i="18"/>
  <c r="X236" i="18"/>
  <c r="Y236" i="18" s="1"/>
  <c r="AB236" i="18"/>
  <c r="P237" i="18"/>
  <c r="T237" i="18"/>
  <c r="X237" i="18"/>
  <c r="Y237" i="18" s="1"/>
  <c r="AB237" i="18"/>
  <c r="P238" i="18"/>
  <c r="T238" i="18"/>
  <c r="X238" i="18"/>
  <c r="Y238" i="18" s="1"/>
  <c r="AB238" i="18"/>
  <c r="P239" i="18"/>
  <c r="T239" i="18"/>
  <c r="X239" i="18"/>
  <c r="Y239" i="18" s="1"/>
  <c r="AB239" i="18"/>
  <c r="P240" i="18"/>
  <c r="T240" i="18"/>
  <c r="X240" i="18"/>
  <c r="Y240" i="18" s="1"/>
  <c r="AB240" i="18"/>
  <c r="P241" i="18"/>
  <c r="T241" i="18"/>
  <c r="X241" i="18"/>
  <c r="Y241" i="18" s="1"/>
  <c r="AB241" i="18"/>
  <c r="P242" i="18"/>
  <c r="T242" i="18"/>
  <c r="X242" i="18"/>
  <c r="Y242" i="18" s="1"/>
  <c r="AB242" i="18"/>
  <c r="P243" i="18"/>
  <c r="T243" i="18"/>
  <c r="X243" i="18"/>
  <c r="Y243" i="18" s="1"/>
  <c r="AB243" i="18"/>
  <c r="P244" i="18"/>
  <c r="T244" i="18"/>
  <c r="X244" i="18"/>
  <c r="Y244" i="18" s="1"/>
  <c r="AB244" i="18"/>
  <c r="P245" i="18"/>
  <c r="T245" i="18"/>
  <c r="X245" i="18"/>
  <c r="Y245" i="18" s="1"/>
  <c r="AB245" i="18"/>
  <c r="P246" i="18"/>
  <c r="T246" i="18"/>
  <c r="X246" i="18"/>
  <c r="Y246" i="18" s="1"/>
  <c r="AB246" i="18"/>
  <c r="P247" i="18"/>
  <c r="T247" i="18"/>
  <c r="X247" i="18"/>
  <c r="Y247" i="18" s="1"/>
  <c r="AB247" i="18"/>
  <c r="P248" i="18"/>
  <c r="T248" i="18"/>
  <c r="X248" i="18"/>
  <c r="Y248" i="18" s="1"/>
  <c r="AB248" i="18"/>
  <c r="P249" i="18"/>
  <c r="T249" i="18"/>
  <c r="X249" i="18"/>
  <c r="Y249" i="18" s="1"/>
  <c r="AB249" i="18"/>
  <c r="P250" i="18"/>
  <c r="T250" i="18"/>
  <c r="X250" i="18"/>
  <c r="Y250" i="18" s="1"/>
  <c r="AB250" i="18"/>
  <c r="P251" i="18"/>
  <c r="T251" i="18"/>
  <c r="X251" i="18"/>
  <c r="Y251" i="18" s="1"/>
  <c r="AB251" i="18"/>
  <c r="P252" i="18"/>
  <c r="T252" i="18"/>
  <c r="X252" i="18"/>
  <c r="Y252" i="18" s="1"/>
  <c r="AB252" i="18"/>
  <c r="P253" i="18"/>
  <c r="T253" i="18"/>
  <c r="X253" i="18"/>
  <c r="Y253" i="18" s="1"/>
  <c r="AB253" i="18"/>
  <c r="P254" i="18"/>
  <c r="T254" i="18"/>
  <c r="X254" i="18"/>
  <c r="Y254" i="18" s="1"/>
  <c r="AB254" i="18"/>
  <c r="P255" i="18"/>
  <c r="T255" i="18"/>
  <c r="X255" i="18"/>
  <c r="Y255" i="18" s="1"/>
  <c r="AB255" i="18"/>
  <c r="P256" i="18"/>
  <c r="T256" i="18"/>
  <c r="X256" i="18"/>
  <c r="Y256" i="18" s="1"/>
  <c r="AB256" i="18"/>
  <c r="P257" i="18"/>
  <c r="T257" i="18"/>
  <c r="X257" i="18"/>
  <c r="Y257" i="18" s="1"/>
  <c r="AB257" i="18"/>
  <c r="P258" i="18"/>
  <c r="T258" i="18"/>
  <c r="X258" i="18"/>
  <c r="Y258" i="18" s="1"/>
  <c r="AB258" i="18"/>
  <c r="P259" i="18"/>
  <c r="T259" i="18"/>
  <c r="X259" i="18"/>
  <c r="Y259" i="18" s="1"/>
  <c r="AB259" i="18"/>
  <c r="P260" i="18"/>
  <c r="T260" i="18"/>
  <c r="X260" i="18"/>
  <c r="Y260" i="18" s="1"/>
  <c r="AB260" i="18"/>
  <c r="P261" i="18"/>
  <c r="T261" i="18"/>
  <c r="X261" i="18"/>
  <c r="Y261" i="18" s="1"/>
  <c r="AB261" i="18"/>
  <c r="P262" i="18"/>
  <c r="T262" i="18"/>
  <c r="X262" i="18"/>
  <c r="Y262" i="18" s="1"/>
  <c r="AB262" i="18"/>
  <c r="P263" i="18"/>
  <c r="T263" i="18"/>
  <c r="X263" i="18"/>
  <c r="Y263" i="18" s="1"/>
  <c r="AB263" i="18"/>
  <c r="P264" i="18"/>
  <c r="T264" i="18"/>
  <c r="X264" i="18"/>
  <c r="Y264" i="18" s="1"/>
  <c r="AB264" i="18"/>
  <c r="P265" i="18"/>
  <c r="T265" i="18"/>
  <c r="X265" i="18"/>
  <c r="Y265" i="18" s="1"/>
  <c r="AB265" i="18"/>
  <c r="P266" i="18"/>
  <c r="T266" i="18"/>
  <c r="X266" i="18"/>
  <c r="Y266" i="18" s="1"/>
  <c r="AB266" i="18"/>
  <c r="P267" i="18"/>
  <c r="T267" i="18"/>
  <c r="X267" i="18"/>
  <c r="Y267" i="18" s="1"/>
  <c r="AB267" i="18"/>
  <c r="P268" i="18"/>
  <c r="T268" i="18"/>
  <c r="X268" i="18"/>
  <c r="Y268" i="18" s="1"/>
  <c r="AB268" i="18"/>
  <c r="AL269" i="18"/>
  <c r="AH269" i="18"/>
  <c r="P269" i="18"/>
  <c r="T269" i="18"/>
  <c r="X269" i="18"/>
  <c r="Y269" i="18" s="1"/>
  <c r="AB269" i="18"/>
  <c r="AK269" i="18"/>
  <c r="O270" i="18"/>
  <c r="T270" i="18"/>
  <c r="Y270" i="18"/>
  <c r="AJ270" i="18"/>
  <c r="M271" i="18"/>
  <c r="S271" i="18"/>
  <c r="X271" i="18"/>
  <c r="Y271" i="18" s="1"/>
  <c r="AC271" i="18"/>
  <c r="AE271" i="18" s="1"/>
  <c r="AI271" i="18"/>
  <c r="AL272" i="18"/>
  <c r="AH272" i="18"/>
  <c r="Z272" i="18"/>
  <c r="AA272" i="18" s="1"/>
  <c r="AG272" i="18" s="1"/>
  <c r="V272" i="18"/>
  <c r="R272" i="18"/>
  <c r="N272" i="18"/>
  <c r="Q272" i="18"/>
  <c r="W272" i="18"/>
  <c r="AD272" i="18" s="1"/>
  <c r="AB272" i="18"/>
  <c r="O274" i="18"/>
  <c r="T274" i="18"/>
  <c r="Y274" i="18"/>
  <c r="AJ274" i="18"/>
  <c r="M275" i="18"/>
  <c r="S275" i="18"/>
  <c r="X275" i="18"/>
  <c r="Y275" i="18" s="1"/>
  <c r="AC275" i="18"/>
  <c r="AE275" i="18" s="1"/>
  <c r="AI275" i="18"/>
  <c r="AL276" i="18"/>
  <c r="AH276" i="18"/>
  <c r="Z276" i="18"/>
  <c r="AA276" i="18" s="1"/>
  <c r="AG276" i="18" s="1"/>
  <c r="V276" i="18"/>
  <c r="AB276" i="18" s="1"/>
  <c r="R276" i="18"/>
  <c r="N276" i="18"/>
  <c r="Q276" i="18"/>
  <c r="W276" i="18"/>
  <c r="AD276" i="18" s="1"/>
  <c r="O278" i="18"/>
  <c r="T278" i="18"/>
  <c r="Y278" i="18"/>
  <c r="AJ278" i="18"/>
  <c r="M279" i="18"/>
  <c r="S279" i="18"/>
  <c r="X279" i="18"/>
  <c r="Y279" i="18" s="1"/>
  <c r="AC279" i="18"/>
  <c r="AE279" i="18" s="1"/>
  <c r="AI279" i="18"/>
  <c r="AL280" i="18"/>
  <c r="AH280" i="18"/>
  <c r="Z280" i="18"/>
  <c r="AA280" i="18" s="1"/>
  <c r="AG280" i="18" s="1"/>
  <c r="V280" i="18"/>
  <c r="R280" i="18"/>
  <c r="N280" i="18"/>
  <c r="Q280" i="18"/>
  <c r="W280" i="18"/>
  <c r="AD280" i="18" s="1"/>
  <c r="AB280" i="18"/>
  <c r="N282" i="18"/>
  <c r="R282" i="18"/>
  <c r="V282" i="18"/>
  <c r="Z282" i="18"/>
  <c r="AA282" i="18" s="1"/>
  <c r="AG282" i="18" s="1"/>
  <c r="AH282" i="18"/>
  <c r="AL282" i="18"/>
  <c r="N283" i="18"/>
  <c r="R283" i="18"/>
  <c r="V283" i="18"/>
  <c r="AB283" i="18" s="1"/>
  <c r="Z283" i="18"/>
  <c r="AA283" i="18" s="1"/>
  <c r="AG283" i="18" s="1"/>
  <c r="AH283" i="18"/>
  <c r="AL283" i="18"/>
  <c r="N284" i="18"/>
  <c r="R284" i="18"/>
  <c r="V284" i="18"/>
  <c r="Z284" i="18"/>
  <c r="AA284" i="18" s="1"/>
  <c r="AG284" i="18" s="1"/>
  <c r="AH284" i="18"/>
  <c r="AL284" i="18"/>
  <c r="N285" i="18"/>
  <c r="R285" i="18"/>
  <c r="V285" i="18"/>
  <c r="AB285" i="18" s="1"/>
  <c r="Z285" i="18"/>
  <c r="AA285" i="18" s="1"/>
  <c r="AG285" i="18" s="1"/>
  <c r="AH285" i="18"/>
  <c r="AL285" i="18"/>
  <c r="N286" i="18"/>
  <c r="R286" i="18"/>
  <c r="V286" i="18"/>
  <c r="Z286" i="18"/>
  <c r="AA286" i="18" s="1"/>
  <c r="AG286" i="18" s="1"/>
  <c r="AH286" i="18"/>
  <c r="AL286" i="18"/>
  <c r="N287" i="18"/>
  <c r="R287" i="18"/>
  <c r="V287" i="18"/>
  <c r="AB287" i="18" s="1"/>
  <c r="Z287" i="18"/>
  <c r="AA287" i="18" s="1"/>
  <c r="AG287" i="18" s="1"/>
  <c r="AH287" i="18"/>
  <c r="AL287" i="18"/>
  <c r="N288" i="18"/>
  <c r="R288" i="18"/>
  <c r="V288" i="18"/>
  <c r="Z288" i="18"/>
  <c r="AA288" i="18" s="1"/>
  <c r="AG288" i="18" s="1"/>
  <c r="AH288" i="18"/>
  <c r="AL288" i="18"/>
  <c r="N289" i="18"/>
  <c r="R289" i="18"/>
  <c r="V289" i="18"/>
  <c r="AB289" i="18" s="1"/>
  <c r="Z289" i="18"/>
  <c r="AA289" i="18" s="1"/>
  <c r="AG289" i="18" s="1"/>
  <c r="AH289" i="18"/>
  <c r="AL289" i="18"/>
  <c r="N290" i="18"/>
  <c r="R290" i="18"/>
  <c r="V290" i="18"/>
  <c r="Z290" i="18"/>
  <c r="AA290" i="18" s="1"/>
  <c r="AG290" i="18" s="1"/>
  <c r="AH290" i="18"/>
  <c r="AL290" i="18"/>
  <c r="N291" i="18"/>
  <c r="R291" i="18"/>
  <c r="V291" i="18"/>
  <c r="AB291" i="18" s="1"/>
  <c r="Z291" i="18"/>
  <c r="AA291" i="18" s="1"/>
  <c r="AG291" i="18" s="1"/>
  <c r="AH291" i="18"/>
  <c r="AL291" i="18"/>
  <c r="N292" i="18"/>
  <c r="R292" i="18"/>
  <c r="V292" i="18"/>
  <c r="Z292" i="18"/>
  <c r="AA292" i="18" s="1"/>
  <c r="AG292" i="18" s="1"/>
  <c r="AH292" i="18"/>
  <c r="AL292" i="18"/>
  <c r="N293" i="18"/>
  <c r="R293" i="18"/>
  <c r="V293" i="18"/>
  <c r="AB293" i="18" s="1"/>
  <c r="Z293" i="18"/>
  <c r="AA293" i="18" s="1"/>
  <c r="AG293" i="18" s="1"/>
  <c r="AH293" i="18"/>
  <c r="AL293" i="18"/>
  <c r="N294" i="18"/>
  <c r="R294" i="18"/>
  <c r="V294" i="18"/>
  <c r="Z294" i="18"/>
  <c r="AA294" i="18" s="1"/>
  <c r="AG294" i="18" s="1"/>
  <c r="AH294" i="18"/>
  <c r="AL294" i="18"/>
  <c r="N295" i="18"/>
  <c r="R295" i="18"/>
  <c r="V295" i="18"/>
  <c r="AB295" i="18" s="1"/>
  <c r="Z295" i="18"/>
  <c r="AA295" i="18" s="1"/>
  <c r="AG295" i="18" s="1"/>
  <c r="AH295" i="18"/>
  <c r="AL295" i="18"/>
  <c r="N296" i="18"/>
  <c r="R296" i="18"/>
  <c r="V296" i="18"/>
  <c r="Z296" i="18"/>
  <c r="AA296" i="18" s="1"/>
  <c r="AG296" i="18" s="1"/>
  <c r="AH296" i="18"/>
  <c r="AL296" i="18"/>
  <c r="N297" i="18"/>
  <c r="R297" i="18"/>
  <c r="V297" i="18"/>
  <c r="AB297" i="18" s="1"/>
  <c r="Z297" i="18"/>
  <c r="AA297" i="18" s="1"/>
  <c r="AG297" i="18" s="1"/>
  <c r="AH297" i="18"/>
  <c r="AL297" i="18"/>
  <c r="N298" i="18"/>
  <c r="R298" i="18"/>
  <c r="V298" i="18"/>
  <c r="Z298" i="18"/>
  <c r="AA298" i="18" s="1"/>
  <c r="AG298" i="18" s="1"/>
  <c r="AH298" i="18"/>
  <c r="AL298" i="18"/>
  <c r="N299" i="18"/>
  <c r="R299" i="18"/>
  <c r="V299" i="18"/>
  <c r="AB299" i="18" s="1"/>
  <c r="Z299" i="18"/>
  <c r="AA299" i="18" s="1"/>
  <c r="AG299" i="18" s="1"/>
  <c r="AH299" i="18"/>
  <c r="AL299" i="18"/>
  <c r="N300" i="18"/>
  <c r="R300" i="18"/>
  <c r="V300" i="18"/>
  <c r="Z300" i="18"/>
  <c r="AA300" i="18" s="1"/>
  <c r="AG300" i="18" s="1"/>
  <c r="AH300" i="18"/>
  <c r="AL300" i="18"/>
  <c r="N301" i="18"/>
  <c r="R301" i="18"/>
  <c r="V301" i="18"/>
  <c r="AB301" i="18" s="1"/>
  <c r="Z301" i="18"/>
  <c r="AA301" i="18" s="1"/>
  <c r="AG301" i="18" s="1"/>
  <c r="AH301" i="18"/>
  <c r="AL301" i="18"/>
  <c r="N302" i="18"/>
  <c r="R302" i="18"/>
  <c r="V302" i="18"/>
  <c r="Z302" i="18"/>
  <c r="AA302" i="18" s="1"/>
  <c r="AG302" i="18" s="1"/>
  <c r="AH302" i="18"/>
  <c r="AL302" i="18"/>
  <c r="N303" i="18"/>
  <c r="R303" i="18"/>
  <c r="V303" i="18"/>
  <c r="AB303" i="18" s="1"/>
  <c r="Z303" i="18"/>
  <c r="AA303" i="18" s="1"/>
  <c r="AG303" i="18" s="1"/>
  <c r="AH303" i="18"/>
  <c r="AL303" i="18"/>
  <c r="N304" i="18"/>
  <c r="R304" i="18"/>
  <c r="V304" i="18"/>
  <c r="Z304" i="18"/>
  <c r="AA304" i="18" s="1"/>
  <c r="AG304" i="18" s="1"/>
  <c r="AH304" i="18"/>
  <c r="AL304" i="18"/>
  <c r="N305" i="18"/>
  <c r="R305" i="18"/>
  <c r="V305" i="18"/>
  <c r="AB305" i="18" s="1"/>
  <c r="Z305" i="18"/>
  <c r="AA305" i="18" s="1"/>
  <c r="AG305" i="18" s="1"/>
  <c r="AH305" i="18"/>
  <c r="AL305" i="18"/>
  <c r="N306" i="18"/>
  <c r="R306" i="18"/>
  <c r="V306" i="18"/>
  <c r="Z306" i="18"/>
  <c r="AA306" i="18" s="1"/>
  <c r="AG306" i="18" s="1"/>
  <c r="AH306" i="18"/>
  <c r="AL306" i="18"/>
  <c r="N307" i="18"/>
  <c r="R307" i="18"/>
  <c r="V307" i="18"/>
  <c r="AB307" i="18" s="1"/>
  <c r="Z307" i="18"/>
  <c r="AA307" i="18" s="1"/>
  <c r="AG307" i="18" s="1"/>
  <c r="AH307" i="18"/>
  <c r="AL307" i="18"/>
  <c r="N308" i="18"/>
  <c r="R308" i="18"/>
  <c r="V308" i="18"/>
  <c r="Z308" i="18"/>
  <c r="AA308" i="18" s="1"/>
  <c r="AG308" i="18" s="1"/>
  <c r="AH308" i="18"/>
  <c r="AL308" i="18"/>
  <c r="N309" i="18"/>
  <c r="R309" i="18"/>
  <c r="V309" i="18"/>
  <c r="AB309" i="18" s="1"/>
  <c r="Z309" i="18"/>
  <c r="AA309" i="18" s="1"/>
  <c r="AG309" i="18" s="1"/>
  <c r="AH309" i="18"/>
  <c r="AL309" i="18"/>
  <c r="N310" i="18"/>
  <c r="R310" i="18"/>
  <c r="V310" i="18"/>
  <c r="Z310" i="18"/>
  <c r="AA310" i="18" s="1"/>
  <c r="AG310" i="18" s="1"/>
  <c r="AH310" i="18"/>
  <c r="AL310" i="18"/>
  <c r="N311" i="18"/>
  <c r="R311" i="18"/>
  <c r="V311" i="18"/>
  <c r="AB311" i="18" s="1"/>
  <c r="Z311" i="18"/>
  <c r="AA311" i="18" s="1"/>
  <c r="AG311" i="18" s="1"/>
  <c r="AH311" i="18"/>
  <c r="AL311" i="18"/>
  <c r="N312" i="18"/>
  <c r="R312" i="18"/>
  <c r="V312" i="18"/>
  <c r="Z312" i="18"/>
  <c r="AA312" i="18" s="1"/>
  <c r="AG312" i="18" s="1"/>
  <c r="AH312" i="18"/>
  <c r="AL312" i="18"/>
  <c r="N313" i="18"/>
  <c r="R313" i="18"/>
  <c r="V313" i="18"/>
  <c r="AB313" i="18" s="1"/>
  <c r="Z313" i="18"/>
  <c r="AA313" i="18" s="1"/>
  <c r="AG313" i="18" s="1"/>
  <c r="AH313" i="18"/>
  <c r="AL313" i="18"/>
  <c r="N314" i="18"/>
  <c r="R314" i="18"/>
  <c r="V314" i="18"/>
  <c r="Z314" i="18"/>
  <c r="AA314" i="18" s="1"/>
  <c r="AG314" i="18" s="1"/>
  <c r="AH314" i="18"/>
  <c r="AL314" i="18"/>
  <c r="N315" i="18"/>
  <c r="R315" i="18"/>
  <c r="V315" i="18"/>
  <c r="AB315" i="18" s="1"/>
  <c r="Z315" i="18"/>
  <c r="AA315" i="18" s="1"/>
  <c r="AG315" i="18" s="1"/>
  <c r="AH315" i="18"/>
  <c r="AL315" i="18"/>
  <c r="N316" i="18"/>
  <c r="R316" i="18"/>
  <c r="V316" i="18"/>
  <c r="Z316" i="18"/>
  <c r="AA316" i="18" s="1"/>
  <c r="AG316" i="18" s="1"/>
  <c r="AH316" i="18"/>
  <c r="AL316" i="18"/>
  <c r="N317" i="18"/>
  <c r="R317" i="18"/>
  <c r="V317" i="18"/>
  <c r="AB317" i="18" s="1"/>
  <c r="Z317" i="18"/>
  <c r="AA317" i="18" s="1"/>
  <c r="AG317" i="18" s="1"/>
  <c r="AH317" i="18"/>
  <c r="AL317" i="18"/>
  <c r="N318" i="18"/>
  <c r="R318" i="18"/>
  <c r="V318" i="18"/>
  <c r="Z318" i="18"/>
  <c r="AA318" i="18" s="1"/>
  <c r="AG318" i="18" s="1"/>
  <c r="AH318" i="18"/>
  <c r="AL318" i="18"/>
  <c r="N319" i="18"/>
  <c r="R319" i="18"/>
  <c r="V319" i="18"/>
  <c r="AB319" i="18" s="1"/>
  <c r="Z319" i="18"/>
  <c r="AA319" i="18" s="1"/>
  <c r="AG319" i="18" s="1"/>
  <c r="AH319" i="18"/>
  <c r="AL319" i="18"/>
  <c r="N320" i="18"/>
  <c r="R320" i="18"/>
  <c r="V320" i="18"/>
  <c r="Z320" i="18"/>
  <c r="AA320" i="18" s="1"/>
  <c r="AG320" i="18" s="1"/>
  <c r="AH320" i="18"/>
  <c r="AL320" i="18"/>
  <c r="N321" i="18"/>
  <c r="R321" i="18"/>
  <c r="V321" i="18"/>
  <c r="AB321" i="18" s="1"/>
  <c r="Z321" i="18"/>
  <c r="AA321" i="18" s="1"/>
  <c r="AG321" i="18" s="1"/>
  <c r="AH321" i="18"/>
  <c r="AL321" i="18"/>
  <c r="N322" i="18"/>
  <c r="R322" i="18"/>
  <c r="V322" i="18"/>
  <c r="Z322" i="18"/>
  <c r="AA322" i="18" s="1"/>
  <c r="AG322" i="18" s="1"/>
  <c r="AH322" i="18"/>
  <c r="AL322" i="18"/>
  <c r="N323" i="18"/>
  <c r="R323" i="18"/>
  <c r="V323" i="18"/>
  <c r="AB323" i="18" s="1"/>
  <c r="Z323" i="18"/>
  <c r="AA323" i="18" s="1"/>
  <c r="AG323" i="18" s="1"/>
  <c r="AH323" i="18"/>
  <c r="AL323" i="18"/>
  <c r="N324" i="18"/>
  <c r="R324" i="18"/>
  <c r="V324" i="18"/>
  <c r="Z324" i="18"/>
  <c r="AA324" i="18" s="1"/>
  <c r="AG324" i="18" s="1"/>
  <c r="AH324" i="18"/>
  <c r="AL324" i="18"/>
  <c r="N325" i="18"/>
  <c r="R325" i="18"/>
  <c r="V325" i="18"/>
  <c r="AB325" i="18" s="1"/>
  <c r="Z325" i="18"/>
  <c r="AA325" i="18" s="1"/>
  <c r="AG325" i="18" s="1"/>
  <c r="AH325" i="18"/>
  <c r="AL325" i="18"/>
  <c r="N326" i="18"/>
  <c r="R326" i="18"/>
  <c r="V326" i="18"/>
  <c r="Z326" i="18"/>
  <c r="AA326" i="18" s="1"/>
  <c r="AG326" i="18" s="1"/>
  <c r="AH326" i="18"/>
  <c r="AL326" i="18"/>
  <c r="N327" i="18"/>
  <c r="R327" i="18"/>
  <c r="V327" i="18"/>
  <c r="AB327" i="18" s="1"/>
  <c r="Z327" i="18"/>
  <c r="AA327" i="18" s="1"/>
  <c r="AG327" i="18" s="1"/>
  <c r="AH327" i="18"/>
  <c r="AL327" i="18"/>
  <c r="N328" i="18"/>
  <c r="R328" i="18"/>
  <c r="V328" i="18"/>
  <c r="Z328" i="18"/>
  <c r="AA328" i="18" s="1"/>
  <c r="AG328" i="18" s="1"/>
  <c r="AH328" i="18"/>
  <c r="AL328" i="18"/>
  <c r="N329" i="18"/>
  <c r="R329" i="18"/>
  <c r="V329" i="18"/>
  <c r="AB329" i="18" s="1"/>
  <c r="Z329" i="18"/>
  <c r="AA329" i="18" s="1"/>
  <c r="AG329" i="18" s="1"/>
  <c r="AH329" i="18"/>
  <c r="AL329" i="18"/>
  <c r="N330" i="18"/>
  <c r="R330" i="18"/>
  <c r="V330" i="18"/>
  <c r="Z330" i="18"/>
  <c r="AA330" i="18" s="1"/>
  <c r="AG330" i="18" s="1"/>
  <c r="AH330" i="18"/>
  <c r="AL330" i="18"/>
  <c r="N331" i="18"/>
  <c r="R331" i="18"/>
  <c r="V331" i="18"/>
  <c r="AB331" i="18" s="1"/>
  <c r="Z331" i="18"/>
  <c r="AA331" i="18" s="1"/>
  <c r="AG331" i="18" s="1"/>
  <c r="AH331" i="18"/>
  <c r="AL331" i="18"/>
  <c r="N332" i="18"/>
  <c r="R332" i="18"/>
  <c r="V332" i="18"/>
  <c r="Z332" i="18"/>
  <c r="AA332" i="18" s="1"/>
  <c r="AG332" i="18" s="1"/>
  <c r="AH332" i="18"/>
  <c r="AL332" i="18"/>
  <c r="N333" i="18"/>
  <c r="R333" i="18"/>
  <c r="V333" i="18"/>
  <c r="AB333" i="18" s="1"/>
  <c r="Z333" i="18"/>
  <c r="AA333" i="18" s="1"/>
  <c r="AG333" i="18" s="1"/>
  <c r="AH333" i="18"/>
  <c r="AL333" i="18"/>
  <c r="N334" i="18"/>
  <c r="R334" i="18"/>
  <c r="V334" i="18"/>
  <c r="Z334" i="18"/>
  <c r="AA334" i="18" s="1"/>
  <c r="AG334" i="18" s="1"/>
  <c r="AH334" i="18"/>
  <c r="AL334" i="18"/>
  <c r="N335" i="18"/>
  <c r="R335" i="18"/>
  <c r="V335" i="18"/>
  <c r="AB335" i="18" s="1"/>
  <c r="Z335" i="18"/>
  <c r="AA335" i="18" s="1"/>
  <c r="AG335" i="18" s="1"/>
  <c r="AH335" i="18"/>
  <c r="AL335" i="18"/>
  <c r="N336" i="18"/>
  <c r="R336" i="18"/>
  <c r="V336" i="18"/>
  <c r="Z336" i="18"/>
  <c r="AA336" i="18" s="1"/>
  <c r="AG336" i="18" s="1"/>
  <c r="AH336" i="18"/>
  <c r="AL336" i="18"/>
  <c r="N337" i="18"/>
  <c r="R337" i="18"/>
  <c r="V337" i="18"/>
  <c r="AB337" i="18" s="1"/>
  <c r="Z337" i="18"/>
  <c r="AA337" i="18" s="1"/>
  <c r="AG337" i="18" s="1"/>
  <c r="AH337" i="18"/>
  <c r="AL337" i="18"/>
  <c r="N338" i="18"/>
  <c r="R338" i="18"/>
  <c r="V338" i="18"/>
  <c r="Z338" i="18"/>
  <c r="AA338" i="18" s="1"/>
  <c r="AG338" i="18" s="1"/>
  <c r="AH338" i="18"/>
  <c r="AL338" i="18"/>
  <c r="N339" i="18"/>
  <c r="R339" i="18"/>
  <c r="V339" i="18"/>
  <c r="AB339" i="18" s="1"/>
  <c r="Z339" i="18"/>
  <c r="AA339" i="18" s="1"/>
  <c r="AG339" i="18" s="1"/>
  <c r="AH339" i="18"/>
  <c r="AL339" i="18"/>
  <c r="N340" i="18"/>
  <c r="R340" i="18"/>
  <c r="V340" i="18"/>
  <c r="Z340" i="18"/>
  <c r="AA340" i="18" s="1"/>
  <c r="AG340" i="18" s="1"/>
  <c r="AH340" i="18"/>
  <c r="AL340" i="18"/>
  <c r="N341" i="18"/>
  <c r="R341" i="18"/>
  <c r="V341" i="18"/>
  <c r="AB341" i="18" s="1"/>
  <c r="Z341" i="18"/>
  <c r="AA341" i="18" s="1"/>
  <c r="AG341" i="18" s="1"/>
  <c r="AH341" i="18"/>
  <c r="AL341" i="18"/>
  <c r="N342" i="18"/>
  <c r="R342" i="18"/>
  <c r="V342" i="18"/>
  <c r="Z342" i="18"/>
  <c r="AA342" i="18" s="1"/>
  <c r="AG342" i="18" s="1"/>
  <c r="AH342" i="18"/>
  <c r="AL342" i="18"/>
  <c r="N343" i="18"/>
  <c r="R343" i="18"/>
  <c r="V343" i="18"/>
  <c r="AB343" i="18" s="1"/>
  <c r="Z343" i="18"/>
  <c r="AA343" i="18" s="1"/>
  <c r="AG343" i="18" s="1"/>
  <c r="AH343" i="18"/>
  <c r="AL343" i="18"/>
  <c r="N344" i="18"/>
  <c r="R344" i="18"/>
  <c r="V344" i="18"/>
  <c r="Z344" i="18"/>
  <c r="AA344" i="18" s="1"/>
  <c r="AG344" i="18" s="1"/>
  <c r="AH344" i="18"/>
  <c r="AL344" i="18"/>
  <c r="N345" i="18"/>
  <c r="R345" i="18"/>
  <c r="V345" i="18"/>
  <c r="AB345" i="18" s="1"/>
  <c r="Z345" i="18"/>
  <c r="AA345" i="18" s="1"/>
  <c r="AG345" i="18" s="1"/>
  <c r="AH345" i="18"/>
  <c r="AL345" i="18"/>
  <c r="N346" i="18"/>
  <c r="R346" i="18"/>
  <c r="V346" i="18"/>
  <c r="Z346" i="18"/>
  <c r="AA346" i="18" s="1"/>
  <c r="AG346" i="18" s="1"/>
  <c r="AH346" i="18"/>
  <c r="AL346" i="18"/>
  <c r="N347" i="18"/>
  <c r="R347" i="18"/>
  <c r="V347" i="18"/>
  <c r="AB347" i="18" s="1"/>
  <c r="Z347" i="18"/>
  <c r="AA347" i="18" s="1"/>
  <c r="AG347" i="18" s="1"/>
  <c r="AH347" i="18"/>
  <c r="AL347" i="18"/>
  <c r="N348" i="18"/>
  <c r="R348" i="18"/>
  <c r="V348" i="18"/>
  <c r="AB348" i="18" s="1"/>
  <c r="AI349" i="18"/>
  <c r="AA349" i="18"/>
  <c r="AG349" i="18" s="1"/>
  <c r="W349" i="18"/>
  <c r="AD349" i="18" s="1"/>
  <c r="S349" i="18"/>
  <c r="O349" i="18"/>
  <c r="K349" i="18"/>
  <c r="AK349" i="18"/>
  <c r="AC349" i="18"/>
  <c r="AE349" i="18" s="1"/>
  <c r="Y349" i="18"/>
  <c r="U349" i="18"/>
  <c r="AF349" i="18" s="1"/>
  <c r="Q349" i="18"/>
  <c r="M349" i="18"/>
  <c r="T349" i="18"/>
  <c r="AB349" i="18"/>
  <c r="AJ349" i="18"/>
  <c r="P350" i="18"/>
  <c r="AI351" i="18"/>
  <c r="AA351" i="18"/>
  <c r="AG351" i="18" s="1"/>
  <c r="W351" i="18"/>
  <c r="AD351" i="18" s="1"/>
  <c r="S351" i="18"/>
  <c r="O351" i="18"/>
  <c r="K351" i="18"/>
  <c r="AK351" i="18"/>
  <c r="AC351" i="18"/>
  <c r="AE351" i="18" s="1"/>
  <c r="Y351" i="18"/>
  <c r="U351" i="18"/>
  <c r="AF351" i="18" s="1"/>
  <c r="Q351" i="18"/>
  <c r="M351" i="18"/>
  <c r="T351" i="18"/>
  <c r="AB351" i="18"/>
  <c r="AJ351" i="18"/>
  <c r="P352" i="18"/>
  <c r="AI353" i="18"/>
  <c r="AA353" i="18"/>
  <c r="AG353" i="18" s="1"/>
  <c r="W353" i="18"/>
  <c r="AD353" i="18" s="1"/>
  <c r="S353" i="18"/>
  <c r="O353" i="18"/>
  <c r="K353" i="18"/>
  <c r="AK353" i="18"/>
  <c r="AC353" i="18"/>
  <c r="AE353" i="18" s="1"/>
  <c r="Y353" i="18"/>
  <c r="U353" i="18"/>
  <c r="AF353" i="18" s="1"/>
  <c r="Q353" i="18"/>
  <c r="M353" i="18"/>
  <c r="T353" i="18"/>
  <c r="AB353" i="18"/>
  <c r="AJ353" i="18"/>
  <c r="P354" i="18"/>
  <c r="AI355" i="18"/>
  <c r="AA355" i="18"/>
  <c r="AG355" i="18" s="1"/>
  <c r="W355" i="18"/>
  <c r="AD355" i="18" s="1"/>
  <c r="S355" i="18"/>
  <c r="O355" i="18"/>
  <c r="K355" i="18"/>
  <c r="AK355" i="18"/>
  <c r="AC355" i="18"/>
  <c r="AE355" i="18" s="1"/>
  <c r="Y355" i="18"/>
  <c r="U355" i="18"/>
  <c r="AF355" i="18" s="1"/>
  <c r="Q355" i="18"/>
  <c r="M355" i="18"/>
  <c r="T355" i="18"/>
  <c r="AB355" i="18"/>
  <c r="AJ355" i="18"/>
  <c r="P356" i="18"/>
  <c r="AI357" i="18"/>
  <c r="AA357" i="18"/>
  <c r="AG357" i="18" s="1"/>
  <c r="W357" i="18"/>
  <c r="AD357" i="18" s="1"/>
  <c r="S357" i="18"/>
  <c r="O357" i="18"/>
  <c r="K357" i="18"/>
  <c r="AK357" i="18"/>
  <c r="AC357" i="18"/>
  <c r="AE357" i="18" s="1"/>
  <c r="Y357" i="18"/>
  <c r="U357" i="18"/>
  <c r="AF357" i="18" s="1"/>
  <c r="Q357" i="18"/>
  <c r="M357" i="18"/>
  <c r="T357" i="18"/>
  <c r="AB357" i="18"/>
  <c r="AJ357" i="18"/>
  <c r="P358" i="18"/>
  <c r="AI359" i="18"/>
  <c r="AA359" i="18"/>
  <c r="AG359" i="18" s="1"/>
  <c r="W359" i="18"/>
  <c r="AD359" i="18" s="1"/>
  <c r="S359" i="18"/>
  <c r="O359" i="18"/>
  <c r="K359" i="18"/>
  <c r="AK359" i="18"/>
  <c r="AC359" i="18"/>
  <c r="AE359" i="18" s="1"/>
  <c r="Y359" i="18"/>
  <c r="U359" i="18"/>
  <c r="AF359" i="18" s="1"/>
  <c r="Q359" i="18"/>
  <c r="M359" i="18"/>
  <c r="T359" i="18"/>
  <c r="AB359" i="18"/>
  <c r="AJ359" i="18"/>
  <c r="P360" i="18"/>
  <c r="AI361" i="18"/>
  <c r="AA361" i="18"/>
  <c r="AG361" i="18" s="1"/>
  <c r="W361" i="18"/>
  <c r="AD361" i="18" s="1"/>
  <c r="S361" i="18"/>
  <c r="O361" i="18"/>
  <c r="K361" i="18"/>
  <c r="AK361" i="18"/>
  <c r="AC361" i="18"/>
  <c r="AE361" i="18" s="1"/>
  <c r="Y361" i="18"/>
  <c r="U361" i="18"/>
  <c r="AF361" i="18" s="1"/>
  <c r="Q361" i="18"/>
  <c r="M361" i="18"/>
  <c r="T361" i="18"/>
  <c r="AB361" i="18"/>
  <c r="AJ361" i="18"/>
  <c r="P362" i="18"/>
  <c r="AI363" i="18"/>
  <c r="AA363" i="18"/>
  <c r="AG363" i="18" s="1"/>
  <c r="W363" i="18"/>
  <c r="AD363" i="18" s="1"/>
  <c r="S363" i="18"/>
  <c r="O363" i="18"/>
  <c r="K363" i="18"/>
  <c r="AK363" i="18"/>
  <c r="AC363" i="18"/>
  <c r="AE363" i="18" s="1"/>
  <c r="Y363" i="18"/>
  <c r="U363" i="18"/>
  <c r="AF363" i="18" s="1"/>
  <c r="Q363" i="18"/>
  <c r="M363" i="18"/>
  <c r="T363" i="18"/>
  <c r="AB363" i="18"/>
  <c r="AJ363" i="18"/>
  <c r="P364" i="18"/>
  <c r="AI365" i="18"/>
  <c r="AA365" i="18"/>
  <c r="AG365" i="18" s="1"/>
  <c r="W365" i="18"/>
  <c r="AD365" i="18" s="1"/>
  <c r="S365" i="18"/>
  <c r="O365" i="18"/>
  <c r="K365" i="18"/>
  <c r="AK365" i="18"/>
  <c r="AC365" i="18"/>
  <c r="AE365" i="18" s="1"/>
  <c r="Y365" i="18"/>
  <c r="U365" i="18"/>
  <c r="AF365" i="18" s="1"/>
  <c r="Q365" i="18"/>
  <c r="M365" i="18"/>
  <c r="T365" i="18"/>
  <c r="AB365" i="18"/>
  <c r="AJ365" i="18"/>
  <c r="P366" i="18"/>
  <c r="AI367" i="18"/>
  <c r="AA367" i="18"/>
  <c r="AG367" i="18" s="1"/>
  <c r="W367" i="18"/>
  <c r="AD367" i="18" s="1"/>
  <c r="S367" i="18"/>
  <c r="O367" i="18"/>
  <c r="K367" i="18"/>
  <c r="AK367" i="18"/>
  <c r="AC367" i="18"/>
  <c r="AE367" i="18" s="1"/>
  <c r="Y367" i="18"/>
  <c r="U367" i="18"/>
  <c r="AF367" i="18" s="1"/>
  <c r="Q367" i="18"/>
  <c r="M367" i="18"/>
  <c r="T367" i="18"/>
  <c r="AB367" i="18"/>
  <c r="AJ367" i="18"/>
  <c r="P368" i="18"/>
  <c r="AI369" i="18"/>
  <c r="AA369" i="18"/>
  <c r="AG369" i="18" s="1"/>
  <c r="W369" i="18"/>
  <c r="AD369" i="18" s="1"/>
  <c r="S369" i="18"/>
  <c r="O369" i="18"/>
  <c r="K369" i="18"/>
  <c r="AK369" i="18"/>
  <c r="AC369" i="18"/>
  <c r="AE369" i="18" s="1"/>
  <c r="Y369" i="18"/>
  <c r="U369" i="18"/>
  <c r="AF369" i="18" s="1"/>
  <c r="Q369" i="18"/>
  <c r="M369" i="18"/>
  <c r="T369" i="18"/>
  <c r="AB369" i="18"/>
  <c r="AJ369" i="18"/>
  <c r="P370" i="18"/>
  <c r="AI371" i="18"/>
  <c r="AA371" i="18"/>
  <c r="AG371" i="18" s="1"/>
  <c r="W371" i="18"/>
  <c r="AD371" i="18" s="1"/>
  <c r="S371" i="18"/>
  <c r="O371" i="18"/>
  <c r="K371" i="18"/>
  <c r="AK371" i="18"/>
  <c r="AC371" i="18"/>
  <c r="AE371" i="18" s="1"/>
  <c r="Y371" i="18"/>
  <c r="U371" i="18"/>
  <c r="AF371" i="18" s="1"/>
  <c r="Q371" i="18"/>
  <c r="M371" i="18"/>
  <c r="T371" i="18"/>
  <c r="AB371" i="18"/>
  <c r="AJ371" i="18"/>
  <c r="P372" i="18"/>
  <c r="AI373" i="18"/>
  <c r="AA373" i="18"/>
  <c r="AG373" i="18" s="1"/>
  <c r="W373" i="18"/>
  <c r="AD373" i="18" s="1"/>
  <c r="S373" i="18"/>
  <c r="O373" i="18"/>
  <c r="K373" i="18"/>
  <c r="AK373" i="18"/>
  <c r="AC373" i="18"/>
  <c r="AE373" i="18" s="1"/>
  <c r="Y373" i="18"/>
  <c r="U373" i="18"/>
  <c r="AF373" i="18" s="1"/>
  <c r="Q373" i="18"/>
  <c r="M373" i="18"/>
  <c r="T373" i="18"/>
  <c r="AB373" i="18"/>
  <c r="AJ373" i="18"/>
  <c r="P374" i="18"/>
  <c r="AI375" i="18"/>
  <c r="AA375" i="18"/>
  <c r="AG375" i="18" s="1"/>
  <c r="W375" i="18"/>
  <c r="AD375" i="18" s="1"/>
  <c r="S375" i="18"/>
  <c r="O375" i="18"/>
  <c r="K375" i="18"/>
  <c r="AK375" i="18"/>
  <c r="AC375" i="18"/>
  <c r="AE375" i="18" s="1"/>
  <c r="Y375" i="18"/>
  <c r="U375" i="18"/>
  <c r="AF375" i="18" s="1"/>
  <c r="Q375" i="18"/>
  <c r="M375" i="18"/>
  <c r="T375" i="18"/>
  <c r="AB375" i="18"/>
  <c r="AJ375" i="18"/>
  <c r="P376" i="18"/>
  <c r="AI377" i="18"/>
  <c r="AK377" i="18"/>
  <c r="AL377" i="18"/>
  <c r="AA377" i="18"/>
  <c r="AG377" i="18" s="1"/>
  <c r="W377" i="18"/>
  <c r="AD377" i="18" s="1"/>
  <c r="S377" i="18"/>
  <c r="O377" i="18"/>
  <c r="K377" i="18"/>
  <c r="AH377" i="18"/>
  <c r="AC377" i="18"/>
  <c r="AE377" i="18" s="1"/>
  <c r="Y377" i="18"/>
  <c r="U377" i="18"/>
  <c r="AF377" i="18" s="1"/>
  <c r="Q377" i="18"/>
  <c r="M377" i="18"/>
  <c r="T377" i="18"/>
  <c r="AB377" i="18"/>
  <c r="AI378" i="18"/>
  <c r="W378" i="18"/>
  <c r="AD378" i="18" s="1"/>
  <c r="S378" i="18"/>
  <c r="O378" i="18"/>
  <c r="K378" i="18"/>
  <c r="AK378" i="18"/>
  <c r="AC378" i="18"/>
  <c r="AE378" i="18" s="1"/>
  <c r="Y378" i="18"/>
  <c r="U378" i="18"/>
  <c r="AF378" i="18" s="1"/>
  <c r="Q378" i="18"/>
  <c r="M378" i="18"/>
  <c r="AH378" i="18"/>
  <c r="Z378" i="18"/>
  <c r="AA378" i="18" s="1"/>
  <c r="AG378" i="18" s="1"/>
  <c r="R378" i="18"/>
  <c r="AL378" i="18"/>
  <c r="V378" i="18"/>
  <c r="AB378" i="18" s="1"/>
  <c r="N378" i="18"/>
  <c r="AI380" i="18"/>
  <c r="W380" i="18"/>
  <c r="AD380" i="18" s="1"/>
  <c r="S380" i="18"/>
  <c r="O380" i="18"/>
  <c r="K380" i="18"/>
  <c r="AK380" i="18"/>
  <c r="AC380" i="18"/>
  <c r="AE380" i="18" s="1"/>
  <c r="U380" i="18"/>
  <c r="AF380" i="18" s="1"/>
  <c r="Q380" i="18"/>
  <c r="M380" i="18"/>
  <c r="AH380" i="18"/>
  <c r="Z380" i="18"/>
  <c r="AA380" i="18" s="1"/>
  <c r="AG380" i="18" s="1"/>
  <c r="R380" i="18"/>
  <c r="X380" i="18"/>
  <c r="Y380" i="18" s="1"/>
  <c r="P380" i="18"/>
  <c r="AL380" i="18"/>
  <c r="V380" i="18"/>
  <c r="AB380" i="18" s="1"/>
  <c r="N380" i="18"/>
  <c r="AI382" i="18"/>
  <c r="W382" i="18"/>
  <c r="AD382" i="18" s="1"/>
  <c r="S382" i="18"/>
  <c r="O382" i="18"/>
  <c r="K382" i="18"/>
  <c r="AK382" i="18"/>
  <c r="AC382" i="18"/>
  <c r="AE382" i="18" s="1"/>
  <c r="U382" i="18"/>
  <c r="AF382" i="18" s="1"/>
  <c r="Q382" i="18"/>
  <c r="M382" i="18"/>
  <c r="AH382" i="18"/>
  <c r="Z382" i="18"/>
  <c r="AA382" i="18" s="1"/>
  <c r="AG382" i="18" s="1"/>
  <c r="R382" i="18"/>
  <c r="X382" i="18"/>
  <c r="Y382" i="18" s="1"/>
  <c r="P382" i="18"/>
  <c r="AL382" i="18"/>
  <c r="V382" i="18"/>
  <c r="AB382" i="18" s="1"/>
  <c r="N382" i="18"/>
  <c r="AI384" i="18"/>
  <c r="W384" i="18"/>
  <c r="AD384" i="18" s="1"/>
  <c r="S384" i="18"/>
  <c r="O384" i="18"/>
  <c r="K384" i="18"/>
  <c r="AK384" i="18"/>
  <c r="AC384" i="18"/>
  <c r="AE384" i="18" s="1"/>
  <c r="U384" i="18"/>
  <c r="AF384" i="18" s="1"/>
  <c r="Q384" i="18"/>
  <c r="M384" i="18"/>
  <c r="AH384" i="18"/>
  <c r="Z384" i="18"/>
  <c r="AA384" i="18" s="1"/>
  <c r="AG384" i="18" s="1"/>
  <c r="R384" i="18"/>
  <c r="X384" i="18"/>
  <c r="Y384" i="18" s="1"/>
  <c r="P384" i="18"/>
  <c r="AL384" i="18"/>
  <c r="V384" i="18"/>
  <c r="AB384" i="18" s="1"/>
  <c r="N384" i="18"/>
  <c r="AI386" i="18"/>
  <c r="W386" i="18"/>
  <c r="AD386" i="18" s="1"/>
  <c r="S386" i="18"/>
  <c r="O386" i="18"/>
  <c r="K386" i="18"/>
  <c r="AK386" i="18"/>
  <c r="AC386" i="18"/>
  <c r="AE386" i="18" s="1"/>
  <c r="U386" i="18"/>
  <c r="AF386" i="18" s="1"/>
  <c r="Q386" i="18"/>
  <c r="M386" i="18"/>
  <c r="AH386" i="18"/>
  <c r="Z386" i="18"/>
  <c r="AA386" i="18" s="1"/>
  <c r="AG386" i="18" s="1"/>
  <c r="R386" i="18"/>
  <c r="X386" i="18"/>
  <c r="Y386" i="18" s="1"/>
  <c r="P386" i="18"/>
  <c r="AL386" i="18"/>
  <c r="V386" i="18"/>
  <c r="AB386" i="18" s="1"/>
  <c r="N386" i="18"/>
  <c r="AI388" i="18"/>
  <c r="W388" i="18"/>
  <c r="AD388" i="18" s="1"/>
  <c r="S388" i="18"/>
  <c r="O388" i="18"/>
  <c r="K388" i="18"/>
  <c r="AK388" i="18"/>
  <c r="AC388" i="18"/>
  <c r="AE388" i="18" s="1"/>
  <c r="U388" i="18"/>
  <c r="AF388" i="18" s="1"/>
  <c r="Q388" i="18"/>
  <c r="M388" i="18"/>
  <c r="AH388" i="18"/>
  <c r="Z388" i="18"/>
  <c r="AA388" i="18" s="1"/>
  <c r="AG388" i="18" s="1"/>
  <c r="R388" i="18"/>
  <c r="X388" i="18"/>
  <c r="Y388" i="18" s="1"/>
  <c r="P388" i="18"/>
  <c r="AL388" i="18"/>
  <c r="V388" i="18"/>
  <c r="AB388" i="18" s="1"/>
  <c r="N388" i="18"/>
  <c r="AI390" i="18"/>
  <c r="W390" i="18"/>
  <c r="AD390" i="18" s="1"/>
  <c r="S390" i="18"/>
  <c r="O390" i="18"/>
  <c r="K390" i="18"/>
  <c r="AK390" i="18"/>
  <c r="AC390" i="18"/>
  <c r="AE390" i="18" s="1"/>
  <c r="U390" i="18"/>
  <c r="AF390" i="18" s="1"/>
  <c r="Q390" i="18"/>
  <c r="M390" i="18"/>
  <c r="AH390" i="18"/>
  <c r="Z390" i="18"/>
  <c r="AA390" i="18" s="1"/>
  <c r="AG390" i="18" s="1"/>
  <c r="R390" i="18"/>
  <c r="X390" i="18"/>
  <c r="Y390" i="18" s="1"/>
  <c r="P390" i="18"/>
  <c r="AL390" i="18"/>
  <c r="V390" i="18"/>
  <c r="AB390" i="18" s="1"/>
  <c r="N390" i="18"/>
  <c r="AI392" i="18"/>
  <c r="W392" i="18"/>
  <c r="AD392" i="18" s="1"/>
  <c r="S392" i="18"/>
  <c r="O392" i="18"/>
  <c r="K392" i="18"/>
  <c r="AK392" i="18"/>
  <c r="AC392" i="18"/>
  <c r="AE392" i="18" s="1"/>
  <c r="U392" i="18"/>
  <c r="AF392" i="18" s="1"/>
  <c r="Q392" i="18"/>
  <c r="M392" i="18"/>
  <c r="AH392" i="18"/>
  <c r="Z392" i="18"/>
  <c r="AA392" i="18" s="1"/>
  <c r="AG392" i="18" s="1"/>
  <c r="R392" i="18"/>
  <c r="X392" i="18"/>
  <c r="Y392" i="18" s="1"/>
  <c r="P392" i="18"/>
  <c r="AL392" i="18"/>
  <c r="V392" i="18"/>
  <c r="AB392" i="18" s="1"/>
  <c r="N392" i="18"/>
  <c r="AI394" i="18"/>
  <c r="W394" i="18"/>
  <c r="AD394" i="18" s="1"/>
  <c r="S394" i="18"/>
  <c r="O394" i="18"/>
  <c r="K394" i="18"/>
  <c r="AK394" i="18"/>
  <c r="AC394" i="18"/>
  <c r="AE394" i="18" s="1"/>
  <c r="U394" i="18"/>
  <c r="AF394" i="18" s="1"/>
  <c r="Q394" i="18"/>
  <c r="M394" i="18"/>
  <c r="AH394" i="18"/>
  <c r="Z394" i="18"/>
  <c r="AA394" i="18" s="1"/>
  <c r="AG394" i="18" s="1"/>
  <c r="R394" i="18"/>
  <c r="X394" i="18"/>
  <c r="Y394" i="18" s="1"/>
  <c r="P394" i="18"/>
  <c r="AL394" i="18"/>
  <c r="V394" i="18"/>
  <c r="AB394" i="18" s="1"/>
  <c r="N394" i="18"/>
  <c r="AI396" i="18"/>
  <c r="W396" i="18"/>
  <c r="AD396" i="18" s="1"/>
  <c r="S396" i="18"/>
  <c r="O396" i="18"/>
  <c r="K396" i="18"/>
  <c r="AK396" i="18"/>
  <c r="AC396" i="18"/>
  <c r="AE396" i="18" s="1"/>
  <c r="U396" i="18"/>
  <c r="AF396" i="18" s="1"/>
  <c r="Q396" i="18"/>
  <c r="M396" i="18"/>
  <c r="AH396" i="18"/>
  <c r="Z396" i="18"/>
  <c r="AA396" i="18" s="1"/>
  <c r="AG396" i="18" s="1"/>
  <c r="R396" i="18"/>
  <c r="X396" i="18"/>
  <c r="Y396" i="18" s="1"/>
  <c r="P396" i="18"/>
  <c r="AL396" i="18"/>
  <c r="V396" i="18"/>
  <c r="AB396" i="18" s="1"/>
  <c r="N396" i="18"/>
  <c r="AI398" i="18"/>
  <c r="W398" i="18"/>
  <c r="AD398" i="18" s="1"/>
  <c r="S398" i="18"/>
  <c r="O398" i="18"/>
  <c r="K398" i="18"/>
  <c r="AK398" i="18"/>
  <c r="AC398" i="18"/>
  <c r="AE398" i="18" s="1"/>
  <c r="U398" i="18"/>
  <c r="AF398" i="18" s="1"/>
  <c r="Q398" i="18"/>
  <c r="M398" i="18"/>
  <c r="AH398" i="18"/>
  <c r="Z398" i="18"/>
  <c r="AA398" i="18" s="1"/>
  <c r="AG398" i="18" s="1"/>
  <c r="R398" i="18"/>
  <c r="X398" i="18"/>
  <c r="Y398" i="18" s="1"/>
  <c r="P398" i="18"/>
  <c r="AL398" i="18"/>
  <c r="V398" i="18"/>
  <c r="AB398" i="18" s="1"/>
  <c r="N398" i="18"/>
  <c r="AI400" i="18"/>
  <c r="W400" i="18"/>
  <c r="AD400" i="18" s="1"/>
  <c r="S400" i="18"/>
  <c r="O400" i="18"/>
  <c r="K400" i="18"/>
  <c r="AK400" i="18"/>
  <c r="AC400" i="18"/>
  <c r="AE400" i="18" s="1"/>
  <c r="U400" i="18"/>
  <c r="AF400" i="18" s="1"/>
  <c r="Q400" i="18"/>
  <c r="M400" i="18"/>
  <c r="AH400" i="18"/>
  <c r="Z400" i="18"/>
  <c r="AA400" i="18" s="1"/>
  <c r="AG400" i="18" s="1"/>
  <c r="R400" i="18"/>
  <c r="X400" i="18"/>
  <c r="Y400" i="18" s="1"/>
  <c r="P400" i="18"/>
  <c r="AL400" i="18"/>
  <c r="V400" i="18"/>
  <c r="AB400" i="18" s="1"/>
  <c r="N400" i="18"/>
  <c r="AI402" i="18"/>
  <c r="W402" i="18"/>
  <c r="AD402" i="18" s="1"/>
  <c r="S402" i="18"/>
  <c r="O402" i="18"/>
  <c r="K402" i="18"/>
  <c r="AK402" i="18"/>
  <c r="AC402" i="18"/>
  <c r="AE402" i="18" s="1"/>
  <c r="U402" i="18"/>
  <c r="AF402" i="18" s="1"/>
  <c r="Q402" i="18"/>
  <c r="M402" i="18"/>
  <c r="AH402" i="18"/>
  <c r="Z402" i="18"/>
  <c r="AA402" i="18" s="1"/>
  <c r="AG402" i="18" s="1"/>
  <c r="R402" i="18"/>
  <c r="X402" i="18"/>
  <c r="Y402" i="18" s="1"/>
  <c r="P402" i="18"/>
  <c r="AL402" i="18"/>
  <c r="V402" i="18"/>
  <c r="AB402" i="18" s="1"/>
  <c r="N402" i="18"/>
  <c r="AI404" i="18"/>
  <c r="W404" i="18"/>
  <c r="AD404" i="18" s="1"/>
  <c r="S404" i="18"/>
  <c r="O404" i="18"/>
  <c r="K404" i="18"/>
  <c r="AK404" i="18"/>
  <c r="AC404" i="18"/>
  <c r="AE404" i="18" s="1"/>
  <c r="U404" i="18"/>
  <c r="AF404" i="18" s="1"/>
  <c r="Q404" i="18"/>
  <c r="M404" i="18"/>
  <c r="AH404" i="18"/>
  <c r="Z404" i="18"/>
  <c r="AA404" i="18" s="1"/>
  <c r="AG404" i="18" s="1"/>
  <c r="R404" i="18"/>
  <c r="X404" i="18"/>
  <c r="Y404" i="18" s="1"/>
  <c r="P404" i="18"/>
  <c r="AL404" i="18"/>
  <c r="V404" i="18"/>
  <c r="AB404" i="18" s="1"/>
  <c r="N404" i="18"/>
  <c r="AI406" i="18"/>
  <c r="W406" i="18"/>
  <c r="AD406" i="18" s="1"/>
  <c r="S406" i="18"/>
  <c r="O406" i="18"/>
  <c r="K406" i="18"/>
  <c r="AK406" i="18"/>
  <c r="AC406" i="18"/>
  <c r="AE406" i="18" s="1"/>
  <c r="U406" i="18"/>
  <c r="AF406" i="18" s="1"/>
  <c r="Q406" i="18"/>
  <c r="M406" i="18"/>
  <c r="AH406" i="18"/>
  <c r="Z406" i="18"/>
  <c r="AA406" i="18" s="1"/>
  <c r="AG406" i="18" s="1"/>
  <c r="R406" i="18"/>
  <c r="X406" i="18"/>
  <c r="Y406" i="18" s="1"/>
  <c r="P406" i="18"/>
  <c r="AL406" i="18"/>
  <c r="V406" i="18"/>
  <c r="AB406" i="18" s="1"/>
  <c r="N406" i="18"/>
  <c r="AI408" i="18"/>
  <c r="W408" i="18"/>
  <c r="AD408" i="18" s="1"/>
  <c r="S408" i="18"/>
  <c r="O408" i="18"/>
  <c r="K408" i="18"/>
  <c r="AK408" i="18"/>
  <c r="AC408" i="18"/>
  <c r="AE408" i="18" s="1"/>
  <c r="U408" i="18"/>
  <c r="AF408" i="18" s="1"/>
  <c r="Q408" i="18"/>
  <c r="M408" i="18"/>
  <c r="AH408" i="18"/>
  <c r="Z408" i="18"/>
  <c r="AA408" i="18" s="1"/>
  <c r="AG408" i="18" s="1"/>
  <c r="R408" i="18"/>
  <c r="X408" i="18"/>
  <c r="Y408" i="18" s="1"/>
  <c r="P408" i="18"/>
  <c r="AL408" i="18"/>
  <c r="V408" i="18"/>
  <c r="AB408" i="18" s="1"/>
  <c r="N408" i="18"/>
  <c r="AI410" i="18"/>
  <c r="W410" i="18"/>
  <c r="AD410" i="18" s="1"/>
  <c r="S410" i="18"/>
  <c r="O410" i="18"/>
  <c r="K410" i="18"/>
  <c r="AK410" i="18"/>
  <c r="AC410" i="18"/>
  <c r="AE410" i="18" s="1"/>
  <c r="U410" i="18"/>
  <c r="AF410" i="18" s="1"/>
  <c r="Q410" i="18"/>
  <c r="M410" i="18"/>
  <c r="AH410" i="18"/>
  <c r="Z410" i="18"/>
  <c r="AA410" i="18" s="1"/>
  <c r="AG410" i="18" s="1"/>
  <c r="R410" i="18"/>
  <c r="X410" i="18"/>
  <c r="Y410" i="18" s="1"/>
  <c r="P410" i="18"/>
  <c r="AL410" i="18"/>
  <c r="V410" i="18"/>
  <c r="AB410" i="18" s="1"/>
  <c r="N410" i="18"/>
  <c r="AI415" i="18"/>
  <c r="AA415" i="18"/>
  <c r="AG415" i="18" s="1"/>
  <c r="W415" i="18"/>
  <c r="AD415" i="18" s="1"/>
  <c r="S415" i="18"/>
  <c r="O415" i="18"/>
  <c r="K415" i="18"/>
  <c r="AL415" i="18"/>
  <c r="AH415" i="18"/>
  <c r="Z415" i="18"/>
  <c r="V415" i="18"/>
  <c r="AB415" i="18" s="1"/>
  <c r="R415" i="18"/>
  <c r="N415" i="18"/>
  <c r="AK415" i="18"/>
  <c r="AC415" i="18"/>
  <c r="AE415" i="18" s="1"/>
  <c r="U415" i="18"/>
  <c r="AF415" i="18" s="1"/>
  <c r="Q415" i="18"/>
  <c r="M415" i="18"/>
  <c r="X415" i="18"/>
  <c r="Y415" i="18" s="1"/>
  <c r="AJ415" i="18"/>
  <c r="T415" i="18"/>
  <c r="P415" i="18"/>
  <c r="P282" i="18"/>
  <c r="T282" i="18"/>
  <c r="X282" i="18"/>
  <c r="Y282" i="18" s="1"/>
  <c r="AB282" i="18"/>
  <c r="P283" i="18"/>
  <c r="T283" i="18"/>
  <c r="X283" i="18"/>
  <c r="Y283" i="18" s="1"/>
  <c r="P284" i="18"/>
  <c r="T284" i="18"/>
  <c r="X284" i="18"/>
  <c r="Y284" i="18" s="1"/>
  <c r="AB284" i="18"/>
  <c r="P285" i="18"/>
  <c r="T285" i="18"/>
  <c r="X285" i="18"/>
  <c r="Y285" i="18" s="1"/>
  <c r="P286" i="18"/>
  <c r="T286" i="18"/>
  <c r="X286" i="18"/>
  <c r="Y286" i="18" s="1"/>
  <c r="AB286" i="18"/>
  <c r="P287" i="18"/>
  <c r="T287" i="18"/>
  <c r="X287" i="18"/>
  <c r="Y287" i="18" s="1"/>
  <c r="P288" i="18"/>
  <c r="T288" i="18"/>
  <c r="X288" i="18"/>
  <c r="Y288" i="18" s="1"/>
  <c r="AB288" i="18"/>
  <c r="P289" i="18"/>
  <c r="T289" i="18"/>
  <c r="X289" i="18"/>
  <c r="Y289" i="18" s="1"/>
  <c r="P290" i="18"/>
  <c r="T290" i="18"/>
  <c r="X290" i="18"/>
  <c r="Y290" i="18" s="1"/>
  <c r="AB290" i="18"/>
  <c r="P291" i="18"/>
  <c r="T291" i="18"/>
  <c r="X291" i="18"/>
  <c r="Y291" i="18" s="1"/>
  <c r="P292" i="18"/>
  <c r="T292" i="18"/>
  <c r="X292" i="18"/>
  <c r="Y292" i="18" s="1"/>
  <c r="AB292" i="18"/>
  <c r="P293" i="18"/>
  <c r="T293" i="18"/>
  <c r="X293" i="18"/>
  <c r="Y293" i="18" s="1"/>
  <c r="P294" i="18"/>
  <c r="T294" i="18"/>
  <c r="X294" i="18"/>
  <c r="Y294" i="18" s="1"/>
  <c r="AB294" i="18"/>
  <c r="P295" i="18"/>
  <c r="T295" i="18"/>
  <c r="X295" i="18"/>
  <c r="Y295" i="18" s="1"/>
  <c r="P296" i="18"/>
  <c r="T296" i="18"/>
  <c r="X296" i="18"/>
  <c r="Y296" i="18" s="1"/>
  <c r="AB296" i="18"/>
  <c r="P297" i="18"/>
  <c r="T297" i="18"/>
  <c r="X297" i="18"/>
  <c r="Y297" i="18" s="1"/>
  <c r="P298" i="18"/>
  <c r="T298" i="18"/>
  <c r="X298" i="18"/>
  <c r="Y298" i="18" s="1"/>
  <c r="AB298" i="18"/>
  <c r="P299" i="18"/>
  <c r="T299" i="18"/>
  <c r="X299" i="18"/>
  <c r="Y299" i="18" s="1"/>
  <c r="P300" i="18"/>
  <c r="T300" i="18"/>
  <c r="X300" i="18"/>
  <c r="Y300" i="18" s="1"/>
  <c r="AB300" i="18"/>
  <c r="P301" i="18"/>
  <c r="T301" i="18"/>
  <c r="X301" i="18"/>
  <c r="Y301" i="18" s="1"/>
  <c r="P302" i="18"/>
  <c r="T302" i="18"/>
  <c r="X302" i="18"/>
  <c r="Y302" i="18" s="1"/>
  <c r="AB302" i="18"/>
  <c r="P303" i="18"/>
  <c r="T303" i="18"/>
  <c r="X303" i="18"/>
  <c r="Y303" i="18" s="1"/>
  <c r="P304" i="18"/>
  <c r="T304" i="18"/>
  <c r="X304" i="18"/>
  <c r="Y304" i="18" s="1"/>
  <c r="AB304" i="18"/>
  <c r="P305" i="18"/>
  <c r="T305" i="18"/>
  <c r="X305" i="18"/>
  <c r="Y305" i="18" s="1"/>
  <c r="P306" i="18"/>
  <c r="T306" i="18"/>
  <c r="X306" i="18"/>
  <c r="Y306" i="18" s="1"/>
  <c r="AB306" i="18"/>
  <c r="P307" i="18"/>
  <c r="T307" i="18"/>
  <c r="X307" i="18"/>
  <c r="Y307" i="18" s="1"/>
  <c r="P308" i="18"/>
  <c r="T308" i="18"/>
  <c r="X308" i="18"/>
  <c r="Y308" i="18" s="1"/>
  <c r="AB308" i="18"/>
  <c r="P309" i="18"/>
  <c r="T309" i="18"/>
  <c r="X309" i="18"/>
  <c r="Y309" i="18" s="1"/>
  <c r="P310" i="18"/>
  <c r="T310" i="18"/>
  <c r="X310" i="18"/>
  <c r="Y310" i="18" s="1"/>
  <c r="AB310" i="18"/>
  <c r="P311" i="18"/>
  <c r="T311" i="18"/>
  <c r="X311" i="18"/>
  <c r="Y311" i="18" s="1"/>
  <c r="P312" i="18"/>
  <c r="T312" i="18"/>
  <c r="X312" i="18"/>
  <c r="Y312" i="18" s="1"/>
  <c r="AB312" i="18"/>
  <c r="P313" i="18"/>
  <c r="T313" i="18"/>
  <c r="X313" i="18"/>
  <c r="Y313" i="18" s="1"/>
  <c r="P314" i="18"/>
  <c r="T314" i="18"/>
  <c r="X314" i="18"/>
  <c r="Y314" i="18" s="1"/>
  <c r="AB314" i="18"/>
  <c r="P315" i="18"/>
  <c r="T315" i="18"/>
  <c r="X315" i="18"/>
  <c r="Y315" i="18" s="1"/>
  <c r="P316" i="18"/>
  <c r="T316" i="18"/>
  <c r="X316" i="18"/>
  <c r="Y316" i="18" s="1"/>
  <c r="AB316" i="18"/>
  <c r="P317" i="18"/>
  <c r="T317" i="18"/>
  <c r="X317" i="18"/>
  <c r="Y317" i="18" s="1"/>
  <c r="P318" i="18"/>
  <c r="T318" i="18"/>
  <c r="X318" i="18"/>
  <c r="Y318" i="18" s="1"/>
  <c r="AB318" i="18"/>
  <c r="P319" i="18"/>
  <c r="T319" i="18"/>
  <c r="X319" i="18"/>
  <c r="Y319" i="18" s="1"/>
  <c r="P320" i="18"/>
  <c r="T320" i="18"/>
  <c r="X320" i="18"/>
  <c r="Y320" i="18" s="1"/>
  <c r="AB320" i="18"/>
  <c r="P321" i="18"/>
  <c r="T321" i="18"/>
  <c r="X321" i="18"/>
  <c r="Y321" i="18" s="1"/>
  <c r="P322" i="18"/>
  <c r="T322" i="18"/>
  <c r="X322" i="18"/>
  <c r="Y322" i="18" s="1"/>
  <c r="AB322" i="18"/>
  <c r="P323" i="18"/>
  <c r="T323" i="18"/>
  <c r="X323" i="18"/>
  <c r="Y323" i="18" s="1"/>
  <c r="P324" i="18"/>
  <c r="T324" i="18"/>
  <c r="X324" i="18"/>
  <c r="Y324" i="18" s="1"/>
  <c r="AB324" i="18"/>
  <c r="P325" i="18"/>
  <c r="T325" i="18"/>
  <c r="X325" i="18"/>
  <c r="Y325" i="18" s="1"/>
  <c r="P326" i="18"/>
  <c r="T326" i="18"/>
  <c r="X326" i="18"/>
  <c r="Y326" i="18" s="1"/>
  <c r="AB326" i="18"/>
  <c r="P327" i="18"/>
  <c r="T327" i="18"/>
  <c r="X327" i="18"/>
  <c r="Y327" i="18" s="1"/>
  <c r="P328" i="18"/>
  <c r="T328" i="18"/>
  <c r="X328" i="18"/>
  <c r="Y328" i="18" s="1"/>
  <c r="AB328" i="18"/>
  <c r="P329" i="18"/>
  <c r="T329" i="18"/>
  <c r="X329" i="18"/>
  <c r="Y329" i="18" s="1"/>
  <c r="P330" i="18"/>
  <c r="T330" i="18"/>
  <c r="X330" i="18"/>
  <c r="Y330" i="18" s="1"/>
  <c r="AB330" i="18"/>
  <c r="P331" i="18"/>
  <c r="T331" i="18"/>
  <c r="X331" i="18"/>
  <c r="Y331" i="18" s="1"/>
  <c r="P332" i="18"/>
  <c r="T332" i="18"/>
  <c r="X332" i="18"/>
  <c r="Y332" i="18" s="1"/>
  <c r="AB332" i="18"/>
  <c r="P333" i="18"/>
  <c r="T333" i="18"/>
  <c r="X333" i="18"/>
  <c r="Y333" i="18" s="1"/>
  <c r="P334" i="18"/>
  <c r="T334" i="18"/>
  <c r="X334" i="18"/>
  <c r="Y334" i="18" s="1"/>
  <c r="AB334" i="18"/>
  <c r="P335" i="18"/>
  <c r="T335" i="18"/>
  <c r="X335" i="18"/>
  <c r="Y335" i="18" s="1"/>
  <c r="P336" i="18"/>
  <c r="T336" i="18"/>
  <c r="X336" i="18"/>
  <c r="Y336" i="18" s="1"/>
  <c r="AB336" i="18"/>
  <c r="P337" i="18"/>
  <c r="T337" i="18"/>
  <c r="X337" i="18"/>
  <c r="Y337" i="18" s="1"/>
  <c r="P338" i="18"/>
  <c r="T338" i="18"/>
  <c r="X338" i="18"/>
  <c r="Y338" i="18" s="1"/>
  <c r="AB338" i="18"/>
  <c r="P339" i="18"/>
  <c r="T339" i="18"/>
  <c r="X339" i="18"/>
  <c r="Y339" i="18" s="1"/>
  <c r="P340" i="18"/>
  <c r="T340" i="18"/>
  <c r="X340" i="18"/>
  <c r="Y340" i="18" s="1"/>
  <c r="AB340" i="18"/>
  <c r="P341" i="18"/>
  <c r="T341" i="18"/>
  <c r="X341" i="18"/>
  <c r="Y341" i="18" s="1"/>
  <c r="P342" i="18"/>
  <c r="T342" i="18"/>
  <c r="X342" i="18"/>
  <c r="Y342" i="18" s="1"/>
  <c r="AB342" i="18"/>
  <c r="P343" i="18"/>
  <c r="T343" i="18"/>
  <c r="X343" i="18"/>
  <c r="Y343" i="18" s="1"/>
  <c r="P344" i="18"/>
  <c r="T344" i="18"/>
  <c r="X344" i="18"/>
  <c r="Y344" i="18" s="1"/>
  <c r="AB344" i="18"/>
  <c r="P345" i="18"/>
  <c r="T345" i="18"/>
  <c r="X345" i="18"/>
  <c r="Y345" i="18" s="1"/>
  <c r="P346" i="18"/>
  <c r="T346" i="18"/>
  <c r="X346" i="18"/>
  <c r="Y346" i="18" s="1"/>
  <c r="AB346" i="18"/>
  <c r="P347" i="18"/>
  <c r="T347" i="18"/>
  <c r="X347" i="18"/>
  <c r="Y347" i="18" s="1"/>
  <c r="AI348" i="18"/>
  <c r="AA348" i="18"/>
  <c r="AG348" i="18" s="1"/>
  <c r="AK348" i="18"/>
  <c r="P348" i="18"/>
  <c r="T348" i="18"/>
  <c r="X348" i="18"/>
  <c r="Y348" i="18" s="1"/>
  <c r="AC348" i="18"/>
  <c r="AE348" i="18" s="1"/>
  <c r="AJ348" i="18"/>
  <c r="AI350" i="18"/>
  <c r="AA350" i="18"/>
  <c r="AG350" i="18" s="1"/>
  <c r="W350" i="18"/>
  <c r="AD350" i="18" s="1"/>
  <c r="S350" i="18"/>
  <c r="O350" i="18"/>
  <c r="K350" i="18"/>
  <c r="AK350" i="18"/>
  <c r="AC350" i="18"/>
  <c r="AE350" i="18" s="1"/>
  <c r="Y350" i="18"/>
  <c r="U350" i="18"/>
  <c r="AF350" i="18" s="1"/>
  <c r="Q350" i="18"/>
  <c r="M350" i="18"/>
  <c r="T350" i="18"/>
  <c r="AB350" i="18"/>
  <c r="AJ350" i="18"/>
  <c r="AI352" i="18"/>
  <c r="AA352" i="18"/>
  <c r="AG352" i="18" s="1"/>
  <c r="W352" i="18"/>
  <c r="AD352" i="18" s="1"/>
  <c r="S352" i="18"/>
  <c r="O352" i="18"/>
  <c r="K352" i="18"/>
  <c r="AK352" i="18"/>
  <c r="AC352" i="18"/>
  <c r="AE352" i="18" s="1"/>
  <c r="Y352" i="18"/>
  <c r="U352" i="18"/>
  <c r="AF352" i="18" s="1"/>
  <c r="Q352" i="18"/>
  <c r="M352" i="18"/>
  <c r="T352" i="18"/>
  <c r="AB352" i="18"/>
  <c r="AJ352" i="18"/>
  <c r="AI354" i="18"/>
  <c r="AA354" i="18"/>
  <c r="AG354" i="18" s="1"/>
  <c r="W354" i="18"/>
  <c r="AD354" i="18" s="1"/>
  <c r="S354" i="18"/>
  <c r="O354" i="18"/>
  <c r="K354" i="18"/>
  <c r="AK354" i="18"/>
  <c r="AC354" i="18"/>
  <c r="AE354" i="18" s="1"/>
  <c r="Y354" i="18"/>
  <c r="U354" i="18"/>
  <c r="AF354" i="18" s="1"/>
  <c r="Q354" i="18"/>
  <c r="M354" i="18"/>
  <c r="T354" i="18"/>
  <c r="AB354" i="18"/>
  <c r="AJ354" i="18"/>
  <c r="AI356" i="18"/>
  <c r="AA356" i="18"/>
  <c r="AG356" i="18" s="1"/>
  <c r="W356" i="18"/>
  <c r="AD356" i="18" s="1"/>
  <c r="S356" i="18"/>
  <c r="O356" i="18"/>
  <c r="K356" i="18"/>
  <c r="AK356" i="18"/>
  <c r="AC356" i="18"/>
  <c r="AE356" i="18" s="1"/>
  <c r="Y356" i="18"/>
  <c r="U356" i="18"/>
  <c r="AF356" i="18" s="1"/>
  <c r="Q356" i="18"/>
  <c r="M356" i="18"/>
  <c r="T356" i="18"/>
  <c r="AB356" i="18"/>
  <c r="AJ356" i="18"/>
  <c r="AI358" i="18"/>
  <c r="AA358" i="18"/>
  <c r="AG358" i="18" s="1"/>
  <c r="W358" i="18"/>
  <c r="AD358" i="18" s="1"/>
  <c r="S358" i="18"/>
  <c r="O358" i="18"/>
  <c r="K358" i="18"/>
  <c r="AK358" i="18"/>
  <c r="AC358" i="18"/>
  <c r="AE358" i="18" s="1"/>
  <c r="Y358" i="18"/>
  <c r="U358" i="18"/>
  <c r="AF358" i="18" s="1"/>
  <c r="Q358" i="18"/>
  <c r="M358" i="18"/>
  <c r="T358" i="18"/>
  <c r="AB358" i="18"/>
  <c r="AJ358" i="18"/>
  <c r="AI360" i="18"/>
  <c r="AA360" i="18"/>
  <c r="AG360" i="18" s="1"/>
  <c r="W360" i="18"/>
  <c r="AD360" i="18" s="1"/>
  <c r="S360" i="18"/>
  <c r="O360" i="18"/>
  <c r="K360" i="18"/>
  <c r="AK360" i="18"/>
  <c r="AC360" i="18"/>
  <c r="AE360" i="18" s="1"/>
  <c r="Y360" i="18"/>
  <c r="U360" i="18"/>
  <c r="AF360" i="18" s="1"/>
  <c r="Q360" i="18"/>
  <c r="M360" i="18"/>
  <c r="T360" i="18"/>
  <c r="AB360" i="18"/>
  <c r="AJ360" i="18"/>
  <c r="AI362" i="18"/>
  <c r="AA362" i="18"/>
  <c r="AG362" i="18" s="1"/>
  <c r="W362" i="18"/>
  <c r="AD362" i="18" s="1"/>
  <c r="S362" i="18"/>
  <c r="O362" i="18"/>
  <c r="K362" i="18"/>
  <c r="AK362" i="18"/>
  <c r="AC362" i="18"/>
  <c r="AE362" i="18" s="1"/>
  <c r="Y362" i="18"/>
  <c r="U362" i="18"/>
  <c r="AF362" i="18" s="1"/>
  <c r="Q362" i="18"/>
  <c r="M362" i="18"/>
  <c r="T362" i="18"/>
  <c r="AB362" i="18"/>
  <c r="AJ362" i="18"/>
  <c r="AI364" i="18"/>
  <c r="AA364" i="18"/>
  <c r="AG364" i="18" s="1"/>
  <c r="W364" i="18"/>
  <c r="AD364" i="18" s="1"/>
  <c r="S364" i="18"/>
  <c r="O364" i="18"/>
  <c r="K364" i="18"/>
  <c r="AK364" i="18"/>
  <c r="AC364" i="18"/>
  <c r="AE364" i="18" s="1"/>
  <c r="Y364" i="18"/>
  <c r="U364" i="18"/>
  <c r="AF364" i="18" s="1"/>
  <c r="Q364" i="18"/>
  <c r="M364" i="18"/>
  <c r="T364" i="18"/>
  <c r="AB364" i="18"/>
  <c r="AJ364" i="18"/>
  <c r="AI366" i="18"/>
  <c r="AA366" i="18"/>
  <c r="AG366" i="18" s="1"/>
  <c r="W366" i="18"/>
  <c r="AD366" i="18" s="1"/>
  <c r="S366" i="18"/>
  <c r="O366" i="18"/>
  <c r="K366" i="18"/>
  <c r="AK366" i="18"/>
  <c r="AC366" i="18"/>
  <c r="AE366" i="18" s="1"/>
  <c r="Y366" i="18"/>
  <c r="U366" i="18"/>
  <c r="AF366" i="18" s="1"/>
  <c r="Q366" i="18"/>
  <c r="M366" i="18"/>
  <c r="T366" i="18"/>
  <c r="AB366" i="18"/>
  <c r="AJ366" i="18"/>
  <c r="AI368" i="18"/>
  <c r="AA368" i="18"/>
  <c r="AG368" i="18" s="1"/>
  <c r="W368" i="18"/>
  <c r="AD368" i="18" s="1"/>
  <c r="S368" i="18"/>
  <c r="O368" i="18"/>
  <c r="K368" i="18"/>
  <c r="AK368" i="18"/>
  <c r="AC368" i="18"/>
  <c r="AE368" i="18" s="1"/>
  <c r="Y368" i="18"/>
  <c r="U368" i="18"/>
  <c r="AF368" i="18" s="1"/>
  <c r="Q368" i="18"/>
  <c r="M368" i="18"/>
  <c r="T368" i="18"/>
  <c r="AB368" i="18"/>
  <c r="AJ368" i="18"/>
  <c r="AI370" i="18"/>
  <c r="AA370" i="18"/>
  <c r="AG370" i="18" s="1"/>
  <c r="W370" i="18"/>
  <c r="AD370" i="18" s="1"/>
  <c r="S370" i="18"/>
  <c r="O370" i="18"/>
  <c r="K370" i="18"/>
  <c r="AK370" i="18"/>
  <c r="AC370" i="18"/>
  <c r="AE370" i="18" s="1"/>
  <c r="Y370" i="18"/>
  <c r="U370" i="18"/>
  <c r="AF370" i="18" s="1"/>
  <c r="Q370" i="18"/>
  <c r="M370" i="18"/>
  <c r="T370" i="18"/>
  <c r="AB370" i="18"/>
  <c r="AJ370" i="18"/>
  <c r="AI372" i="18"/>
  <c r="AA372" i="18"/>
  <c r="AG372" i="18" s="1"/>
  <c r="W372" i="18"/>
  <c r="AD372" i="18" s="1"/>
  <c r="S372" i="18"/>
  <c r="O372" i="18"/>
  <c r="K372" i="18"/>
  <c r="AK372" i="18"/>
  <c r="AC372" i="18"/>
  <c r="AE372" i="18" s="1"/>
  <c r="Y372" i="18"/>
  <c r="U372" i="18"/>
  <c r="AF372" i="18" s="1"/>
  <c r="Q372" i="18"/>
  <c r="M372" i="18"/>
  <c r="T372" i="18"/>
  <c r="AB372" i="18"/>
  <c r="AJ372" i="18"/>
  <c r="AI374" i="18"/>
  <c r="AA374" i="18"/>
  <c r="AG374" i="18" s="1"/>
  <c r="W374" i="18"/>
  <c r="AD374" i="18" s="1"/>
  <c r="S374" i="18"/>
  <c r="O374" i="18"/>
  <c r="K374" i="18"/>
  <c r="AK374" i="18"/>
  <c r="AC374" i="18"/>
  <c r="AE374" i="18" s="1"/>
  <c r="Y374" i="18"/>
  <c r="U374" i="18"/>
  <c r="AF374" i="18" s="1"/>
  <c r="Q374" i="18"/>
  <c r="M374" i="18"/>
  <c r="T374" i="18"/>
  <c r="AB374" i="18"/>
  <c r="AJ374" i="18"/>
  <c r="AI376" i="18"/>
  <c r="AA376" i="18"/>
  <c r="AG376" i="18" s="1"/>
  <c r="W376" i="18"/>
  <c r="AD376" i="18" s="1"/>
  <c r="S376" i="18"/>
  <c r="O376" i="18"/>
  <c r="K376" i="18"/>
  <c r="AK376" i="18"/>
  <c r="AC376" i="18"/>
  <c r="AE376" i="18" s="1"/>
  <c r="Y376" i="18"/>
  <c r="U376" i="18"/>
  <c r="AF376" i="18" s="1"/>
  <c r="Q376" i="18"/>
  <c r="M376" i="18"/>
  <c r="T376" i="18"/>
  <c r="AB376" i="18"/>
  <c r="AJ376" i="18"/>
  <c r="T380" i="18"/>
  <c r="T382" i="18"/>
  <c r="T384" i="18"/>
  <c r="T386" i="18"/>
  <c r="T388" i="18"/>
  <c r="T390" i="18"/>
  <c r="T392" i="18"/>
  <c r="T394" i="18"/>
  <c r="T396" i="18"/>
  <c r="T398" i="18"/>
  <c r="T400" i="18"/>
  <c r="T402" i="18"/>
  <c r="T404" i="18"/>
  <c r="T406" i="18"/>
  <c r="T408" i="18"/>
  <c r="T410" i="18"/>
  <c r="R381" i="18"/>
  <c r="Z381" i="18"/>
  <c r="R383" i="18"/>
  <c r="Z383" i="18"/>
  <c r="R385" i="18"/>
  <c r="Z385" i="18"/>
  <c r="AA385" i="18" s="1"/>
  <c r="AG385" i="18" s="1"/>
  <c r="R387" i="18"/>
  <c r="Z387" i="18"/>
  <c r="R389" i="18"/>
  <c r="Z389" i="18"/>
  <c r="R391" i="18"/>
  <c r="Z391" i="18"/>
  <c r="R393" i="18"/>
  <c r="Z393" i="18"/>
  <c r="AA393" i="18" s="1"/>
  <c r="AG393" i="18" s="1"/>
  <c r="R395" i="18"/>
  <c r="Z395" i="18"/>
  <c r="R397" i="18"/>
  <c r="Z397" i="18"/>
  <c r="R399" i="18"/>
  <c r="Z399" i="18"/>
  <c r="R401" i="18"/>
  <c r="Z401" i="18"/>
  <c r="AA401" i="18" s="1"/>
  <c r="AG401" i="18" s="1"/>
  <c r="R403" i="18"/>
  <c r="Z403" i="18"/>
  <c r="R405" i="18"/>
  <c r="Z405" i="18"/>
  <c r="R407" i="18"/>
  <c r="Z407" i="18"/>
  <c r="R409" i="18"/>
  <c r="Z409" i="18"/>
  <c r="AA409" i="18" s="1"/>
  <c r="AG409" i="18" s="1"/>
  <c r="R411" i="18"/>
  <c r="Z411" i="18"/>
  <c r="T412" i="18"/>
  <c r="AI414" i="18"/>
  <c r="AA414" i="18"/>
  <c r="AG414" i="18" s="1"/>
  <c r="W414" i="18"/>
  <c r="AD414" i="18" s="1"/>
  <c r="S414" i="18"/>
  <c r="O414" i="18"/>
  <c r="K414" i="18"/>
  <c r="AL414" i="18"/>
  <c r="AH414" i="18"/>
  <c r="Z414" i="18"/>
  <c r="V414" i="18"/>
  <c r="AB414" i="18" s="1"/>
  <c r="R414" i="18"/>
  <c r="N414" i="18"/>
  <c r="AK414" i="18"/>
  <c r="AC414" i="18"/>
  <c r="AE414" i="18" s="1"/>
  <c r="Y414" i="18"/>
  <c r="U414" i="18"/>
  <c r="AF414" i="18" s="1"/>
  <c r="Q414" i="18"/>
  <c r="M414" i="18"/>
  <c r="T416" i="18"/>
  <c r="AI418" i="18"/>
  <c r="AA418" i="18"/>
  <c r="AG418" i="18" s="1"/>
  <c r="W418" i="18"/>
  <c r="AD418" i="18" s="1"/>
  <c r="S418" i="18"/>
  <c r="O418" i="18"/>
  <c r="K418" i="18"/>
  <c r="AL418" i="18"/>
  <c r="AH418" i="18"/>
  <c r="Z418" i="18"/>
  <c r="V418" i="18"/>
  <c r="AB418" i="18" s="1"/>
  <c r="R418" i="18"/>
  <c r="N418" i="18"/>
  <c r="AK418" i="18"/>
  <c r="AC418" i="18"/>
  <c r="AE418" i="18" s="1"/>
  <c r="Y418" i="18"/>
  <c r="U418" i="18"/>
  <c r="AF418" i="18" s="1"/>
  <c r="Q418" i="18"/>
  <c r="M418" i="18"/>
  <c r="T420" i="18"/>
  <c r="AI381" i="18"/>
  <c r="AA381" i="18"/>
  <c r="AG381" i="18" s="1"/>
  <c r="W381" i="18"/>
  <c r="AD381" i="18" s="1"/>
  <c r="S381" i="18"/>
  <c r="O381" i="18"/>
  <c r="K381" i="18"/>
  <c r="AK381" i="18"/>
  <c r="AC381" i="18"/>
  <c r="AE381" i="18" s="1"/>
  <c r="Y381" i="18"/>
  <c r="U381" i="18"/>
  <c r="AF381" i="18" s="1"/>
  <c r="Q381" i="18"/>
  <c r="M381" i="18"/>
  <c r="T381" i="18"/>
  <c r="AB381" i="18"/>
  <c r="AJ381" i="18"/>
  <c r="AI383" i="18"/>
  <c r="AA383" i="18"/>
  <c r="AG383" i="18" s="1"/>
  <c r="W383" i="18"/>
  <c r="AD383" i="18" s="1"/>
  <c r="S383" i="18"/>
  <c r="O383" i="18"/>
  <c r="K383" i="18"/>
  <c r="AK383" i="18"/>
  <c r="AC383" i="18"/>
  <c r="AE383" i="18" s="1"/>
  <c r="Y383" i="18"/>
  <c r="U383" i="18"/>
  <c r="AF383" i="18" s="1"/>
  <c r="Q383" i="18"/>
  <c r="M383" i="18"/>
  <c r="T383" i="18"/>
  <c r="AB383" i="18"/>
  <c r="AJ383" i="18"/>
  <c r="AI385" i="18"/>
  <c r="W385" i="18"/>
  <c r="AD385" i="18" s="1"/>
  <c r="S385" i="18"/>
  <c r="O385" i="18"/>
  <c r="K385" i="18"/>
  <c r="AK385" i="18"/>
  <c r="AC385" i="18"/>
  <c r="AE385" i="18" s="1"/>
  <c r="Y385" i="18"/>
  <c r="U385" i="18"/>
  <c r="AF385" i="18" s="1"/>
  <c r="Q385" i="18"/>
  <c r="M385" i="18"/>
  <c r="T385" i="18"/>
  <c r="AJ385" i="18"/>
  <c r="AI387" i="18"/>
  <c r="AA387" i="18"/>
  <c r="AG387" i="18" s="1"/>
  <c r="W387" i="18"/>
  <c r="AD387" i="18" s="1"/>
  <c r="S387" i="18"/>
  <c r="O387" i="18"/>
  <c r="K387" i="18"/>
  <c r="AK387" i="18"/>
  <c r="AC387" i="18"/>
  <c r="AE387" i="18" s="1"/>
  <c r="Y387" i="18"/>
  <c r="U387" i="18"/>
  <c r="AF387" i="18" s="1"/>
  <c r="Q387" i="18"/>
  <c r="M387" i="18"/>
  <c r="T387" i="18"/>
  <c r="AJ387" i="18"/>
  <c r="AI389" i="18"/>
  <c r="AA389" i="18"/>
  <c r="AG389" i="18" s="1"/>
  <c r="W389" i="18"/>
  <c r="AD389" i="18" s="1"/>
  <c r="S389" i="18"/>
  <c r="O389" i="18"/>
  <c r="K389" i="18"/>
  <c r="AK389" i="18"/>
  <c r="AC389" i="18"/>
  <c r="AE389" i="18" s="1"/>
  <c r="Y389" i="18"/>
  <c r="U389" i="18"/>
  <c r="AF389" i="18" s="1"/>
  <c r="Q389" i="18"/>
  <c r="M389" i="18"/>
  <c r="T389" i="18"/>
  <c r="AB389" i="18"/>
  <c r="AJ389" i="18"/>
  <c r="AI391" i="18"/>
  <c r="AA391" i="18"/>
  <c r="AG391" i="18" s="1"/>
  <c r="W391" i="18"/>
  <c r="AD391" i="18" s="1"/>
  <c r="S391" i="18"/>
  <c r="O391" i="18"/>
  <c r="K391" i="18"/>
  <c r="AK391" i="18"/>
  <c r="AC391" i="18"/>
  <c r="AE391" i="18" s="1"/>
  <c r="Y391" i="18"/>
  <c r="U391" i="18"/>
  <c r="AF391" i="18" s="1"/>
  <c r="Q391" i="18"/>
  <c r="M391" i="18"/>
  <c r="T391" i="18"/>
  <c r="AB391" i="18"/>
  <c r="AJ391" i="18"/>
  <c r="AI393" i="18"/>
  <c r="W393" i="18"/>
  <c r="AD393" i="18" s="1"/>
  <c r="S393" i="18"/>
  <c r="O393" i="18"/>
  <c r="K393" i="18"/>
  <c r="AK393" i="18"/>
  <c r="AC393" i="18"/>
  <c r="AE393" i="18" s="1"/>
  <c r="Y393" i="18"/>
  <c r="U393" i="18"/>
  <c r="AF393" i="18" s="1"/>
  <c r="Q393" i="18"/>
  <c r="M393" i="18"/>
  <c r="T393" i="18"/>
  <c r="AJ393" i="18"/>
  <c r="AI395" i="18"/>
  <c r="AA395" i="18"/>
  <c r="AG395" i="18" s="1"/>
  <c r="W395" i="18"/>
  <c r="AD395" i="18" s="1"/>
  <c r="S395" i="18"/>
  <c r="O395" i="18"/>
  <c r="K395" i="18"/>
  <c r="AK395" i="18"/>
  <c r="AC395" i="18"/>
  <c r="AE395" i="18" s="1"/>
  <c r="Y395" i="18"/>
  <c r="U395" i="18"/>
  <c r="AF395" i="18" s="1"/>
  <c r="Q395" i="18"/>
  <c r="M395" i="18"/>
  <c r="T395" i="18"/>
  <c r="AJ395" i="18"/>
  <c r="AI397" i="18"/>
  <c r="AA397" i="18"/>
  <c r="AG397" i="18" s="1"/>
  <c r="W397" i="18"/>
  <c r="AD397" i="18" s="1"/>
  <c r="S397" i="18"/>
  <c r="O397" i="18"/>
  <c r="K397" i="18"/>
  <c r="AK397" i="18"/>
  <c r="AC397" i="18"/>
  <c r="AE397" i="18" s="1"/>
  <c r="Y397" i="18"/>
  <c r="U397" i="18"/>
  <c r="AF397" i="18" s="1"/>
  <c r="Q397" i="18"/>
  <c r="M397" i="18"/>
  <c r="T397" i="18"/>
  <c r="AB397" i="18"/>
  <c r="AJ397" i="18"/>
  <c r="AI399" i="18"/>
  <c r="AA399" i="18"/>
  <c r="AG399" i="18" s="1"/>
  <c r="W399" i="18"/>
  <c r="AD399" i="18" s="1"/>
  <c r="S399" i="18"/>
  <c r="O399" i="18"/>
  <c r="K399" i="18"/>
  <c r="AK399" i="18"/>
  <c r="AC399" i="18"/>
  <c r="AE399" i="18" s="1"/>
  <c r="Y399" i="18"/>
  <c r="U399" i="18"/>
  <c r="AF399" i="18" s="1"/>
  <c r="Q399" i="18"/>
  <c r="M399" i="18"/>
  <c r="T399" i="18"/>
  <c r="AB399" i="18"/>
  <c r="AJ399" i="18"/>
  <c r="AI401" i="18"/>
  <c r="W401" i="18"/>
  <c r="AD401" i="18" s="1"/>
  <c r="S401" i="18"/>
  <c r="O401" i="18"/>
  <c r="K401" i="18"/>
  <c r="AK401" i="18"/>
  <c r="AC401" i="18"/>
  <c r="AE401" i="18" s="1"/>
  <c r="Y401" i="18"/>
  <c r="U401" i="18"/>
  <c r="AF401" i="18" s="1"/>
  <c r="Q401" i="18"/>
  <c r="M401" i="18"/>
  <c r="T401" i="18"/>
  <c r="AJ401" i="18"/>
  <c r="AI403" i="18"/>
  <c r="AA403" i="18"/>
  <c r="AG403" i="18" s="1"/>
  <c r="W403" i="18"/>
  <c r="AD403" i="18" s="1"/>
  <c r="S403" i="18"/>
  <c r="O403" i="18"/>
  <c r="K403" i="18"/>
  <c r="AK403" i="18"/>
  <c r="AC403" i="18"/>
  <c r="AE403" i="18" s="1"/>
  <c r="Y403" i="18"/>
  <c r="U403" i="18"/>
  <c r="AF403" i="18" s="1"/>
  <c r="Q403" i="18"/>
  <c r="M403" i="18"/>
  <c r="T403" i="18"/>
  <c r="AJ403" i="18"/>
  <c r="AI405" i="18"/>
  <c r="AA405" i="18"/>
  <c r="AG405" i="18" s="1"/>
  <c r="W405" i="18"/>
  <c r="AD405" i="18" s="1"/>
  <c r="S405" i="18"/>
  <c r="O405" i="18"/>
  <c r="K405" i="18"/>
  <c r="AK405" i="18"/>
  <c r="AC405" i="18"/>
  <c r="AE405" i="18" s="1"/>
  <c r="Y405" i="18"/>
  <c r="U405" i="18"/>
  <c r="AF405" i="18" s="1"/>
  <c r="Q405" i="18"/>
  <c r="M405" i="18"/>
  <c r="T405" i="18"/>
  <c r="AB405" i="18"/>
  <c r="AJ405" i="18"/>
  <c r="AI407" i="18"/>
  <c r="AA407" i="18"/>
  <c r="AG407" i="18" s="1"/>
  <c r="W407" i="18"/>
  <c r="AD407" i="18" s="1"/>
  <c r="S407" i="18"/>
  <c r="O407" i="18"/>
  <c r="K407" i="18"/>
  <c r="AK407" i="18"/>
  <c r="AC407" i="18"/>
  <c r="AE407" i="18" s="1"/>
  <c r="Y407" i="18"/>
  <c r="U407" i="18"/>
  <c r="AF407" i="18" s="1"/>
  <c r="Q407" i="18"/>
  <c r="M407" i="18"/>
  <c r="T407" i="18"/>
  <c r="AB407" i="18"/>
  <c r="AJ407" i="18"/>
  <c r="AI409" i="18"/>
  <c r="W409" i="18"/>
  <c r="AD409" i="18" s="1"/>
  <c r="S409" i="18"/>
  <c r="O409" i="18"/>
  <c r="K409" i="18"/>
  <c r="AK409" i="18"/>
  <c r="AC409" i="18"/>
  <c r="AE409" i="18" s="1"/>
  <c r="Y409" i="18"/>
  <c r="U409" i="18"/>
  <c r="AF409" i="18" s="1"/>
  <c r="Q409" i="18"/>
  <c r="M409" i="18"/>
  <c r="T409" i="18"/>
  <c r="AJ409" i="18"/>
  <c r="AI411" i="18"/>
  <c r="AA411" i="18"/>
  <c r="AG411" i="18" s="1"/>
  <c r="W411" i="18"/>
  <c r="AD411" i="18" s="1"/>
  <c r="S411" i="18"/>
  <c r="O411" i="18"/>
  <c r="K411" i="18"/>
  <c r="AL411" i="18"/>
  <c r="AK411" i="18"/>
  <c r="AC411" i="18"/>
  <c r="AE411" i="18" s="1"/>
  <c r="Y411" i="18"/>
  <c r="U411" i="18"/>
  <c r="AF411" i="18" s="1"/>
  <c r="Q411" i="18"/>
  <c r="M411" i="18"/>
  <c r="T411" i="18"/>
  <c r="AJ411" i="18"/>
  <c r="AI413" i="18"/>
  <c r="W413" i="18"/>
  <c r="AD413" i="18" s="1"/>
  <c r="S413" i="18"/>
  <c r="O413" i="18"/>
  <c r="K413" i="18"/>
  <c r="AL413" i="18"/>
  <c r="AH413" i="18"/>
  <c r="Z413" i="18"/>
  <c r="AA413" i="18" s="1"/>
  <c r="AG413" i="18" s="1"/>
  <c r="V413" i="18"/>
  <c r="AB413" i="18" s="1"/>
  <c r="R413" i="18"/>
  <c r="N413" i="18"/>
  <c r="AK413" i="18"/>
  <c r="AC413" i="18"/>
  <c r="AE413" i="18" s="1"/>
  <c r="Y413" i="18"/>
  <c r="U413" i="18"/>
  <c r="AF413" i="18" s="1"/>
  <c r="Q413" i="18"/>
  <c r="M413" i="18"/>
  <c r="AI417" i="18"/>
  <c r="AA417" i="18"/>
  <c r="AG417" i="18" s="1"/>
  <c r="W417" i="18"/>
  <c r="AD417" i="18" s="1"/>
  <c r="S417" i="18"/>
  <c r="O417" i="18"/>
  <c r="K417" i="18"/>
  <c r="AL417" i="18"/>
  <c r="AH417" i="18"/>
  <c r="Z417" i="18"/>
  <c r="V417" i="18"/>
  <c r="AB417" i="18" s="1"/>
  <c r="R417" i="18"/>
  <c r="N417" i="18"/>
  <c r="AK417" i="18"/>
  <c r="AC417" i="18"/>
  <c r="AE417" i="18" s="1"/>
  <c r="Y417" i="18"/>
  <c r="U417" i="18"/>
  <c r="AF417" i="18" s="1"/>
  <c r="Q417" i="18"/>
  <c r="M417" i="18"/>
  <c r="N381" i="18"/>
  <c r="V381" i="18"/>
  <c r="AL381" i="18"/>
  <c r="N383" i="18"/>
  <c r="V383" i="18"/>
  <c r="AL383" i="18"/>
  <c r="N385" i="18"/>
  <c r="V385" i="18"/>
  <c r="AB385" i="18" s="1"/>
  <c r="AL385" i="18"/>
  <c r="N387" i="18"/>
  <c r="V387" i="18"/>
  <c r="AB387" i="18" s="1"/>
  <c r="AL387" i="18"/>
  <c r="N389" i="18"/>
  <c r="V389" i="18"/>
  <c r="AL389" i="18"/>
  <c r="N391" i="18"/>
  <c r="V391" i="18"/>
  <c r="AL391" i="18"/>
  <c r="N393" i="18"/>
  <c r="V393" i="18"/>
  <c r="AB393" i="18" s="1"/>
  <c r="AL393" i="18"/>
  <c r="N395" i="18"/>
  <c r="V395" i="18"/>
  <c r="AB395" i="18" s="1"/>
  <c r="AL395" i="18"/>
  <c r="N397" i="18"/>
  <c r="V397" i="18"/>
  <c r="AL397" i="18"/>
  <c r="N399" i="18"/>
  <c r="V399" i="18"/>
  <c r="AL399" i="18"/>
  <c r="N401" i="18"/>
  <c r="V401" i="18"/>
  <c r="AB401" i="18" s="1"/>
  <c r="AL401" i="18"/>
  <c r="N403" i="18"/>
  <c r="V403" i="18"/>
  <c r="AB403" i="18" s="1"/>
  <c r="AL403" i="18"/>
  <c r="N405" i="18"/>
  <c r="V405" i="18"/>
  <c r="AL405" i="18"/>
  <c r="N407" i="18"/>
  <c r="V407" i="18"/>
  <c r="AL407" i="18"/>
  <c r="N409" i="18"/>
  <c r="V409" i="18"/>
  <c r="AB409" i="18" s="1"/>
  <c r="AL409" i="18"/>
  <c r="N411" i="18"/>
  <c r="V411" i="18"/>
  <c r="AB411" i="18" s="1"/>
  <c r="AI412" i="18"/>
  <c r="W412" i="18"/>
  <c r="AD412" i="18" s="1"/>
  <c r="S412" i="18"/>
  <c r="O412" i="18"/>
  <c r="K412" i="18"/>
  <c r="AL412" i="18"/>
  <c r="AH412" i="18"/>
  <c r="Z412" i="18"/>
  <c r="AA412" i="18" s="1"/>
  <c r="AG412" i="18" s="1"/>
  <c r="V412" i="18"/>
  <c r="R412" i="18"/>
  <c r="N412" i="18"/>
  <c r="AK412" i="18"/>
  <c r="AC412" i="18"/>
  <c r="AE412" i="18" s="1"/>
  <c r="Y412" i="18"/>
  <c r="U412" i="18"/>
  <c r="AF412" i="18" s="1"/>
  <c r="Q412" i="18"/>
  <c r="M412" i="18"/>
  <c r="AB412" i="18"/>
  <c r="P413" i="18"/>
  <c r="AI416" i="18"/>
  <c r="W416" i="18"/>
  <c r="AD416" i="18" s="1"/>
  <c r="S416" i="18"/>
  <c r="O416" i="18"/>
  <c r="K416" i="18"/>
  <c r="AL416" i="18"/>
  <c r="AH416" i="18"/>
  <c r="Z416" i="18"/>
  <c r="AA416" i="18" s="1"/>
  <c r="AG416" i="18" s="1"/>
  <c r="V416" i="18"/>
  <c r="R416" i="18"/>
  <c r="N416" i="18"/>
  <c r="AK416" i="18"/>
  <c r="AC416" i="18"/>
  <c r="AE416" i="18" s="1"/>
  <c r="Y416" i="18"/>
  <c r="U416" i="18"/>
  <c r="AF416" i="18" s="1"/>
  <c r="Q416" i="18"/>
  <c r="M416" i="18"/>
  <c r="AB416" i="18"/>
  <c r="P417" i="18"/>
  <c r="AJ420" i="18"/>
  <c r="AI420" i="18"/>
  <c r="AA420" i="18"/>
  <c r="AG420" i="18" s="1"/>
  <c r="W420" i="18"/>
  <c r="AD420" i="18" s="1"/>
  <c r="S420" i="18"/>
  <c r="O420" i="18"/>
  <c r="K420" i="18"/>
  <c r="AH420" i="18"/>
  <c r="Z420" i="18"/>
  <c r="V420" i="18"/>
  <c r="R420" i="18"/>
  <c r="N420" i="18"/>
  <c r="AL420" i="18"/>
  <c r="AC420" i="18"/>
  <c r="AE420" i="18" s="1"/>
  <c r="Y420" i="18"/>
  <c r="U420" i="18"/>
  <c r="AF420" i="18" s="1"/>
  <c r="Q420" i="18"/>
  <c r="M420" i="18"/>
  <c r="AB420" i="18"/>
  <c r="P421" i="18"/>
  <c r="T421" i="18"/>
  <c r="X421" i="18"/>
  <c r="Y421" i="18" s="1"/>
  <c r="AB421" i="18"/>
  <c r="P422" i="18"/>
  <c r="T422" i="18"/>
  <c r="X422" i="18"/>
  <c r="Y422" i="18" s="1"/>
  <c r="AB422" i="18"/>
  <c r="P423" i="18"/>
  <c r="T423" i="18"/>
  <c r="X423" i="18"/>
  <c r="Y423" i="18" s="1"/>
  <c r="AB423" i="18"/>
  <c r="P424" i="18"/>
  <c r="T424" i="18"/>
  <c r="X424" i="18"/>
  <c r="Y424" i="18" s="1"/>
  <c r="AB424" i="18"/>
  <c r="P425" i="18"/>
  <c r="T425" i="18"/>
  <c r="X425" i="18"/>
  <c r="Y425" i="18" s="1"/>
  <c r="AB425" i="18"/>
  <c r="P426" i="18"/>
  <c r="T426" i="18"/>
  <c r="X426" i="18"/>
  <c r="Y426" i="18" s="1"/>
  <c r="AB426" i="18"/>
  <c r="P427" i="18"/>
  <c r="T427" i="18"/>
  <c r="X427" i="18"/>
  <c r="Y427" i="18" s="1"/>
  <c r="AB427" i="18"/>
  <c r="P428" i="18"/>
  <c r="T428" i="18"/>
  <c r="X428" i="18"/>
  <c r="Y428" i="18" s="1"/>
  <c r="AB428" i="18"/>
  <c r="P429" i="18"/>
  <c r="T429" i="18"/>
  <c r="X429" i="18"/>
  <c r="Y429" i="18" s="1"/>
  <c r="AB429" i="18"/>
  <c r="P430" i="18"/>
  <c r="T430" i="18"/>
  <c r="X430" i="18"/>
  <c r="Y430" i="18" s="1"/>
  <c r="AB430" i="18"/>
  <c r="P431" i="18"/>
  <c r="T431" i="18"/>
  <c r="X431" i="18"/>
  <c r="Y431" i="18" s="1"/>
  <c r="AB431" i="18"/>
  <c r="P432" i="18"/>
  <c r="T432" i="18"/>
  <c r="X432" i="18"/>
  <c r="Y432" i="18" s="1"/>
  <c r="AB432" i="18"/>
  <c r="P433" i="18"/>
  <c r="T433" i="18"/>
  <c r="X433" i="18"/>
  <c r="Y433" i="18" s="1"/>
  <c r="AB433" i="18"/>
  <c r="P434" i="18"/>
  <c r="T434" i="18"/>
  <c r="X434" i="18"/>
  <c r="Y434" i="18" s="1"/>
  <c r="AB434" i="18"/>
  <c r="P435" i="18"/>
  <c r="T435" i="18"/>
  <c r="X435" i="18"/>
  <c r="Y435" i="18" s="1"/>
  <c r="AB435" i="18"/>
  <c r="P436" i="18"/>
  <c r="T436" i="18"/>
  <c r="X436" i="18"/>
  <c r="Y436" i="18" s="1"/>
  <c r="AB436" i="18"/>
  <c r="P437" i="18"/>
  <c r="T437" i="18"/>
  <c r="X437" i="18"/>
  <c r="Y437" i="18" s="1"/>
  <c r="AB437" i="18"/>
  <c r="P438" i="18"/>
  <c r="T438" i="18"/>
  <c r="X438" i="18"/>
  <c r="Y438" i="18" s="1"/>
  <c r="AB438" i="18"/>
  <c r="P439" i="18"/>
  <c r="T439" i="18"/>
  <c r="X439" i="18"/>
  <c r="Y439" i="18" s="1"/>
  <c r="AB439" i="18"/>
  <c r="P440" i="18"/>
  <c r="T440" i="18"/>
  <c r="X440" i="18"/>
  <c r="Y440" i="18" s="1"/>
  <c r="AB440" i="18"/>
  <c r="P441" i="18"/>
  <c r="T441" i="18"/>
  <c r="X441" i="18"/>
  <c r="Y441" i="18" s="1"/>
  <c r="AB441" i="18"/>
  <c r="P442" i="18"/>
  <c r="T442" i="18"/>
  <c r="X442" i="18"/>
  <c r="Y442" i="18" s="1"/>
  <c r="AB442" i="18"/>
  <c r="P443" i="18"/>
  <c r="T443" i="18"/>
  <c r="X443" i="18"/>
  <c r="Y443" i="18" s="1"/>
  <c r="AB443" i="18"/>
  <c r="AJ444" i="18"/>
  <c r="AB444" i="18"/>
  <c r="X444" i="18"/>
  <c r="P444" i="18"/>
  <c r="T444" i="18"/>
  <c r="Y444" i="18"/>
  <c r="AI444" i="18"/>
  <c r="AL444" i="18"/>
  <c r="R449" i="18"/>
  <c r="V449" i="18"/>
  <c r="Z449" i="18"/>
  <c r="AA449" i="18" s="1"/>
  <c r="AG449" i="18" s="1"/>
  <c r="AH449" i="18"/>
  <c r="AL449" i="18"/>
  <c r="N450" i="18"/>
  <c r="R450" i="18"/>
  <c r="V450" i="18"/>
  <c r="AB450" i="18" s="1"/>
  <c r="Z450" i="18"/>
  <c r="AA450" i="18" s="1"/>
  <c r="AG450" i="18" s="1"/>
  <c r="AH450" i="18"/>
  <c r="AL450" i="18"/>
  <c r="N451" i="18"/>
  <c r="R451" i="18"/>
  <c r="V451" i="18"/>
  <c r="Z451" i="18"/>
  <c r="AA451" i="18" s="1"/>
  <c r="AG451" i="18" s="1"/>
  <c r="AH451" i="18"/>
  <c r="AL451" i="18"/>
  <c r="N452" i="18"/>
  <c r="R452" i="18"/>
  <c r="V452" i="18"/>
  <c r="AB452" i="18" s="1"/>
  <c r="Z452" i="18"/>
  <c r="AA452" i="18" s="1"/>
  <c r="AG452" i="18" s="1"/>
  <c r="AH452" i="18"/>
  <c r="AL452" i="18"/>
  <c r="N453" i="18"/>
  <c r="R453" i="18"/>
  <c r="V453" i="18"/>
  <c r="Z453" i="18"/>
  <c r="AA453" i="18" s="1"/>
  <c r="AG453" i="18" s="1"/>
  <c r="AH453" i="18"/>
  <c r="AL453" i="18"/>
  <c r="N454" i="18"/>
  <c r="R454" i="18"/>
  <c r="V454" i="18"/>
  <c r="AB454" i="18" s="1"/>
  <c r="Z454" i="18"/>
  <c r="AA454" i="18" s="1"/>
  <c r="AG454" i="18" s="1"/>
  <c r="AH454" i="18"/>
  <c r="AL454" i="18"/>
  <c r="N455" i="18"/>
  <c r="R455" i="18"/>
  <c r="V455" i="18"/>
  <c r="Z455" i="18"/>
  <c r="AA455" i="18" s="1"/>
  <c r="AG455" i="18" s="1"/>
  <c r="AH455" i="18"/>
  <c r="AL455" i="18"/>
  <c r="N456" i="18"/>
  <c r="R456" i="18"/>
  <c r="V456" i="18"/>
  <c r="AB456" i="18" s="1"/>
  <c r="Z456" i="18"/>
  <c r="AA456" i="18" s="1"/>
  <c r="AG456" i="18" s="1"/>
  <c r="AH456" i="18"/>
  <c r="AL456" i="18"/>
  <c r="N457" i="18"/>
  <c r="R457" i="18"/>
  <c r="V457" i="18"/>
  <c r="Z457" i="18"/>
  <c r="AA457" i="18" s="1"/>
  <c r="AG457" i="18" s="1"/>
  <c r="AH457" i="18"/>
  <c r="AL457" i="18"/>
  <c r="N458" i="18"/>
  <c r="R458" i="18"/>
  <c r="V458" i="18"/>
  <c r="AB458" i="18" s="1"/>
  <c r="Z458" i="18"/>
  <c r="AA458" i="18" s="1"/>
  <c r="AG458" i="18" s="1"/>
  <c r="AH458" i="18"/>
  <c r="AL458" i="18"/>
  <c r="N459" i="18"/>
  <c r="R459" i="18"/>
  <c r="V459" i="18"/>
  <c r="Z459" i="18"/>
  <c r="AA459" i="18" s="1"/>
  <c r="AG459" i="18" s="1"/>
  <c r="AH459" i="18"/>
  <c r="AL459" i="18"/>
  <c r="N460" i="18"/>
  <c r="R460" i="18"/>
  <c r="V460" i="18"/>
  <c r="AB460" i="18" s="1"/>
  <c r="Z460" i="18"/>
  <c r="AA460" i="18" s="1"/>
  <c r="AG460" i="18" s="1"/>
  <c r="AH460" i="18"/>
  <c r="AL460" i="18"/>
  <c r="N461" i="18"/>
  <c r="R461" i="18"/>
  <c r="V461" i="18"/>
  <c r="Z461" i="18"/>
  <c r="AA461" i="18" s="1"/>
  <c r="AG461" i="18" s="1"/>
  <c r="AH461" i="18"/>
  <c r="AL461" i="18"/>
  <c r="N462" i="18"/>
  <c r="R462" i="18"/>
  <c r="V462" i="18"/>
  <c r="AB462" i="18" s="1"/>
  <c r="Z462" i="18"/>
  <c r="AA462" i="18" s="1"/>
  <c r="AG462" i="18" s="1"/>
  <c r="AH462" i="18"/>
  <c r="AL462" i="18"/>
  <c r="N463" i="18"/>
  <c r="R463" i="18"/>
  <c r="V463" i="18"/>
  <c r="Z463" i="18"/>
  <c r="AA463" i="18" s="1"/>
  <c r="AG463" i="18" s="1"/>
  <c r="AH463" i="18"/>
  <c r="AL463" i="18"/>
  <c r="N464" i="18"/>
  <c r="R464" i="18"/>
  <c r="V464" i="18"/>
  <c r="AB464" i="18" s="1"/>
  <c r="Z464" i="18"/>
  <c r="AA464" i="18" s="1"/>
  <c r="AG464" i="18" s="1"/>
  <c r="AH464" i="18"/>
  <c r="AL464" i="18"/>
  <c r="N465" i="18"/>
  <c r="R465" i="18"/>
  <c r="V465" i="18"/>
  <c r="Z465" i="18"/>
  <c r="AA465" i="18" s="1"/>
  <c r="AG465" i="18" s="1"/>
  <c r="AH465" i="18"/>
  <c r="AL465" i="18"/>
  <c r="N466" i="18"/>
  <c r="R466" i="18"/>
  <c r="V466" i="18"/>
  <c r="AB466" i="18" s="1"/>
  <c r="Z466" i="18"/>
  <c r="AA466" i="18" s="1"/>
  <c r="AG466" i="18" s="1"/>
  <c r="AH466" i="18"/>
  <c r="AL466" i="18"/>
  <c r="N467" i="18"/>
  <c r="R467" i="18"/>
  <c r="V467" i="18"/>
  <c r="Z467" i="18"/>
  <c r="AA467" i="18" s="1"/>
  <c r="AG467" i="18" s="1"/>
  <c r="AH467" i="18"/>
  <c r="AL467" i="18"/>
  <c r="N468" i="18"/>
  <c r="R468" i="18"/>
  <c r="V468" i="18"/>
  <c r="AB468" i="18" s="1"/>
  <c r="Z468" i="18"/>
  <c r="AA468" i="18" s="1"/>
  <c r="AG468" i="18" s="1"/>
  <c r="AH468" i="18"/>
  <c r="AL468" i="18"/>
  <c r="N469" i="18"/>
  <c r="R469" i="18"/>
  <c r="V469" i="18"/>
  <c r="Z469" i="18"/>
  <c r="AA469" i="18" s="1"/>
  <c r="AG469" i="18" s="1"/>
  <c r="AH469" i="18"/>
  <c r="AL469" i="18"/>
  <c r="N470" i="18"/>
  <c r="R470" i="18"/>
  <c r="V470" i="18"/>
  <c r="AB470" i="18" s="1"/>
  <c r="Z470" i="18"/>
  <c r="AA470" i="18" s="1"/>
  <c r="AG470" i="18" s="1"/>
  <c r="AH470" i="18"/>
  <c r="AL470" i="18"/>
  <c r="N471" i="18"/>
  <c r="R471" i="18"/>
  <c r="V471" i="18"/>
  <c r="Z471" i="18"/>
  <c r="AA471" i="18" s="1"/>
  <c r="AG471" i="18" s="1"/>
  <c r="AH471" i="18"/>
  <c r="AI488" i="18"/>
  <c r="W488" i="18"/>
  <c r="AD488" i="18" s="1"/>
  <c r="S488" i="18"/>
  <c r="O488" i="18"/>
  <c r="K488" i="18"/>
  <c r="AL488" i="18"/>
  <c r="AH488" i="18"/>
  <c r="Z488" i="18"/>
  <c r="AA488" i="18" s="1"/>
  <c r="AG488" i="18" s="1"/>
  <c r="V488" i="18"/>
  <c r="R488" i="18"/>
  <c r="N488" i="18"/>
  <c r="AK488" i="18"/>
  <c r="AC488" i="18"/>
  <c r="AE488" i="18" s="1"/>
  <c r="U488" i="18"/>
  <c r="AF488" i="18" s="1"/>
  <c r="Q488" i="18"/>
  <c r="M488" i="18"/>
  <c r="X488" i="18"/>
  <c r="Y488" i="18" s="1"/>
  <c r="AJ488" i="18"/>
  <c r="T488" i="18"/>
  <c r="P488" i="18"/>
  <c r="P445" i="18"/>
  <c r="T445" i="18"/>
  <c r="X445" i="18"/>
  <c r="Y445" i="18" s="1"/>
  <c r="AB445" i="18"/>
  <c r="P446" i="18"/>
  <c r="T446" i="18"/>
  <c r="X446" i="18"/>
  <c r="Y446" i="18" s="1"/>
  <c r="AB446" i="18"/>
  <c r="P447" i="18"/>
  <c r="T447" i="18"/>
  <c r="X447" i="18"/>
  <c r="Y447" i="18" s="1"/>
  <c r="AB447" i="18"/>
  <c r="P448" i="18"/>
  <c r="T448" i="18"/>
  <c r="X448" i="18"/>
  <c r="Y448" i="18" s="1"/>
  <c r="AB448" i="18"/>
  <c r="P449" i="18"/>
  <c r="T449" i="18"/>
  <c r="X449" i="18"/>
  <c r="Y449" i="18" s="1"/>
  <c r="AB449" i="18"/>
  <c r="P450" i="18"/>
  <c r="T450" i="18"/>
  <c r="X450" i="18"/>
  <c r="Y450" i="18" s="1"/>
  <c r="P451" i="18"/>
  <c r="T451" i="18"/>
  <c r="X451" i="18"/>
  <c r="Y451" i="18" s="1"/>
  <c r="AB451" i="18"/>
  <c r="P452" i="18"/>
  <c r="T452" i="18"/>
  <c r="X452" i="18"/>
  <c r="Y452" i="18" s="1"/>
  <c r="P453" i="18"/>
  <c r="T453" i="18"/>
  <c r="X453" i="18"/>
  <c r="Y453" i="18" s="1"/>
  <c r="AB453" i="18"/>
  <c r="P454" i="18"/>
  <c r="T454" i="18"/>
  <c r="X454" i="18"/>
  <c r="Y454" i="18" s="1"/>
  <c r="P455" i="18"/>
  <c r="T455" i="18"/>
  <c r="X455" i="18"/>
  <c r="Y455" i="18" s="1"/>
  <c r="AB455" i="18"/>
  <c r="P456" i="18"/>
  <c r="T456" i="18"/>
  <c r="X456" i="18"/>
  <c r="Y456" i="18" s="1"/>
  <c r="P457" i="18"/>
  <c r="T457" i="18"/>
  <c r="X457" i="18"/>
  <c r="Y457" i="18" s="1"/>
  <c r="AB457" i="18"/>
  <c r="P458" i="18"/>
  <c r="T458" i="18"/>
  <c r="X458" i="18"/>
  <c r="Y458" i="18" s="1"/>
  <c r="P459" i="18"/>
  <c r="T459" i="18"/>
  <c r="X459" i="18"/>
  <c r="Y459" i="18" s="1"/>
  <c r="AB459" i="18"/>
  <c r="P460" i="18"/>
  <c r="T460" i="18"/>
  <c r="X460" i="18"/>
  <c r="Y460" i="18" s="1"/>
  <c r="P461" i="18"/>
  <c r="T461" i="18"/>
  <c r="X461" i="18"/>
  <c r="Y461" i="18" s="1"/>
  <c r="AB461" i="18"/>
  <c r="P462" i="18"/>
  <c r="T462" i="18"/>
  <c r="X462" i="18"/>
  <c r="Y462" i="18" s="1"/>
  <c r="P463" i="18"/>
  <c r="T463" i="18"/>
  <c r="X463" i="18"/>
  <c r="Y463" i="18" s="1"/>
  <c r="AB463" i="18"/>
  <c r="P464" i="18"/>
  <c r="T464" i="18"/>
  <c r="X464" i="18"/>
  <c r="Y464" i="18" s="1"/>
  <c r="P465" i="18"/>
  <c r="T465" i="18"/>
  <c r="X465" i="18"/>
  <c r="Y465" i="18" s="1"/>
  <c r="AB465" i="18"/>
  <c r="P466" i="18"/>
  <c r="T466" i="18"/>
  <c r="X466" i="18"/>
  <c r="Y466" i="18" s="1"/>
  <c r="P467" i="18"/>
  <c r="T467" i="18"/>
  <c r="X467" i="18"/>
  <c r="Y467" i="18" s="1"/>
  <c r="AB467" i="18"/>
  <c r="P468" i="18"/>
  <c r="T468" i="18"/>
  <c r="X468" i="18"/>
  <c r="Y468" i="18" s="1"/>
  <c r="P469" i="18"/>
  <c r="T469" i="18"/>
  <c r="X469" i="18"/>
  <c r="Y469" i="18" s="1"/>
  <c r="AB469" i="18"/>
  <c r="P470" i="18"/>
  <c r="T470" i="18"/>
  <c r="X470" i="18"/>
  <c r="Y470" i="18" s="1"/>
  <c r="P471" i="18"/>
  <c r="T471" i="18"/>
  <c r="X471" i="18"/>
  <c r="Y471" i="18" s="1"/>
  <c r="AB471" i="18"/>
  <c r="AK471" i="18"/>
  <c r="AI482" i="18"/>
  <c r="W482" i="18"/>
  <c r="AD482" i="18" s="1"/>
  <c r="S482" i="18"/>
  <c r="O482" i="18"/>
  <c r="K482" i="18"/>
  <c r="AK482" i="18"/>
  <c r="AC482" i="18"/>
  <c r="AE482" i="18" s="1"/>
  <c r="Y482" i="18"/>
  <c r="U482" i="18"/>
  <c r="AF482" i="18" s="1"/>
  <c r="Q482" i="18"/>
  <c r="M482" i="18"/>
  <c r="AH482" i="18"/>
  <c r="Z482" i="18"/>
  <c r="AA482" i="18" s="1"/>
  <c r="AG482" i="18" s="1"/>
  <c r="R482" i="18"/>
  <c r="X482" i="18"/>
  <c r="P482" i="18"/>
  <c r="AL482" i="18"/>
  <c r="V482" i="18"/>
  <c r="AB482" i="18" s="1"/>
  <c r="N482" i="18"/>
  <c r="AI484" i="18"/>
  <c r="W484" i="18"/>
  <c r="AD484" i="18" s="1"/>
  <c r="S484" i="18"/>
  <c r="O484" i="18"/>
  <c r="K484" i="18"/>
  <c r="AK484" i="18"/>
  <c r="AC484" i="18"/>
  <c r="AE484" i="18" s="1"/>
  <c r="Y484" i="18"/>
  <c r="U484" i="18"/>
  <c r="AF484" i="18" s="1"/>
  <c r="Q484" i="18"/>
  <c r="M484" i="18"/>
  <c r="AH484" i="18"/>
  <c r="Z484" i="18"/>
  <c r="AA484" i="18" s="1"/>
  <c r="AG484" i="18" s="1"/>
  <c r="R484" i="18"/>
  <c r="X484" i="18"/>
  <c r="P484" i="18"/>
  <c r="AL484" i="18"/>
  <c r="V484" i="18"/>
  <c r="AB484" i="18" s="1"/>
  <c r="N484" i="18"/>
  <c r="AI486" i="18"/>
  <c r="W486" i="18"/>
  <c r="AD486" i="18" s="1"/>
  <c r="S486" i="18"/>
  <c r="O486" i="18"/>
  <c r="K486" i="18"/>
  <c r="AK486" i="18"/>
  <c r="AC486" i="18"/>
  <c r="AE486" i="18" s="1"/>
  <c r="Y486" i="18"/>
  <c r="U486" i="18"/>
  <c r="AF486" i="18" s="1"/>
  <c r="Q486" i="18"/>
  <c r="M486" i="18"/>
  <c r="AH486" i="18"/>
  <c r="Z486" i="18"/>
  <c r="AA486" i="18" s="1"/>
  <c r="AG486" i="18" s="1"/>
  <c r="R486" i="18"/>
  <c r="X486" i="18"/>
  <c r="P486" i="18"/>
  <c r="AL486" i="18"/>
  <c r="V486" i="18"/>
  <c r="AB486" i="18" s="1"/>
  <c r="N486" i="18"/>
  <c r="AB488" i="18"/>
  <c r="R483" i="18"/>
  <c r="Z483" i="18"/>
  <c r="R485" i="18"/>
  <c r="Z485" i="18"/>
  <c r="AA485" i="18" s="1"/>
  <c r="AG485" i="18" s="1"/>
  <c r="R487" i="18"/>
  <c r="AI483" i="18"/>
  <c r="AA483" i="18"/>
  <c r="AG483" i="18" s="1"/>
  <c r="W483" i="18"/>
  <c r="AD483" i="18" s="1"/>
  <c r="S483" i="18"/>
  <c r="O483" i="18"/>
  <c r="K483" i="18"/>
  <c r="AK483" i="18"/>
  <c r="AC483" i="18"/>
  <c r="AE483" i="18" s="1"/>
  <c r="Y483" i="18"/>
  <c r="U483" i="18"/>
  <c r="AF483" i="18" s="1"/>
  <c r="Q483" i="18"/>
  <c r="M483" i="18"/>
  <c r="T483" i="18"/>
  <c r="AB483" i="18"/>
  <c r="AJ483" i="18"/>
  <c r="AI485" i="18"/>
  <c r="W485" i="18"/>
  <c r="AD485" i="18" s="1"/>
  <c r="S485" i="18"/>
  <c r="O485" i="18"/>
  <c r="K485" i="18"/>
  <c r="AK485" i="18"/>
  <c r="AC485" i="18"/>
  <c r="AE485" i="18" s="1"/>
  <c r="Y485" i="18"/>
  <c r="U485" i="18"/>
  <c r="AF485" i="18" s="1"/>
  <c r="Q485" i="18"/>
  <c r="M485" i="18"/>
  <c r="T485" i="18"/>
  <c r="AJ485" i="18"/>
  <c r="AI487" i="18"/>
  <c r="W487" i="18"/>
  <c r="AD487" i="18" s="1"/>
  <c r="S487" i="18"/>
  <c r="O487" i="18"/>
  <c r="K487" i="18"/>
  <c r="AL487" i="18"/>
  <c r="AH487" i="18"/>
  <c r="Z487" i="18"/>
  <c r="AA487" i="18" s="1"/>
  <c r="AG487" i="18" s="1"/>
  <c r="AK487" i="18"/>
  <c r="AC487" i="18"/>
  <c r="AE487" i="18" s="1"/>
  <c r="Y487" i="18"/>
  <c r="U487" i="18"/>
  <c r="AF487" i="18" s="1"/>
  <c r="Q487" i="18"/>
  <c r="M487" i="18"/>
  <c r="T487" i="18"/>
  <c r="AL491" i="18"/>
  <c r="AH491" i="18"/>
  <c r="Z491" i="18"/>
  <c r="V491" i="18"/>
  <c r="AB491" i="18" s="1"/>
  <c r="R491" i="18"/>
  <c r="N491" i="18"/>
  <c r="AK491" i="18"/>
  <c r="AC491" i="18"/>
  <c r="AE491" i="18" s="1"/>
  <c r="U491" i="18"/>
  <c r="AF491" i="18" s="1"/>
  <c r="Q491" i="18"/>
  <c r="M491" i="18"/>
  <c r="AI491" i="18"/>
  <c r="AA491" i="18"/>
  <c r="AG491" i="18" s="1"/>
  <c r="S491" i="18"/>
  <c r="K491" i="18"/>
  <c r="X491" i="18"/>
  <c r="Y491" i="18" s="1"/>
  <c r="P491" i="18"/>
  <c r="W491" i="18"/>
  <c r="AD491" i="18" s="1"/>
  <c r="O491" i="18"/>
  <c r="AL493" i="18"/>
  <c r="AH493" i="18"/>
  <c r="Z493" i="18"/>
  <c r="V493" i="18"/>
  <c r="AB493" i="18" s="1"/>
  <c r="R493" i="18"/>
  <c r="N493" i="18"/>
  <c r="AK493" i="18"/>
  <c r="AC493" i="18"/>
  <c r="AE493" i="18" s="1"/>
  <c r="U493" i="18"/>
  <c r="AF493" i="18" s="1"/>
  <c r="Q493" i="18"/>
  <c r="M493" i="18"/>
  <c r="AI493" i="18"/>
  <c r="AA493" i="18"/>
  <c r="AG493" i="18" s="1"/>
  <c r="S493" i="18"/>
  <c r="K493" i="18"/>
  <c r="X493" i="18"/>
  <c r="Y493" i="18" s="1"/>
  <c r="P493" i="18"/>
  <c r="W493" i="18"/>
  <c r="AD493" i="18" s="1"/>
  <c r="O493" i="18"/>
  <c r="AL495" i="18"/>
  <c r="AH495" i="18"/>
  <c r="Z495" i="18"/>
  <c r="V495" i="18"/>
  <c r="AB495" i="18" s="1"/>
  <c r="R495" i="18"/>
  <c r="N495" i="18"/>
  <c r="AK495" i="18"/>
  <c r="AC495" i="18"/>
  <c r="AE495" i="18" s="1"/>
  <c r="Y495" i="18"/>
  <c r="U495" i="18"/>
  <c r="AF495" i="18" s="1"/>
  <c r="Q495" i="18"/>
  <c r="M495" i="18"/>
  <c r="AJ495" i="18"/>
  <c r="X495" i="18"/>
  <c r="T495" i="18"/>
  <c r="AI495" i="18"/>
  <c r="S495" i="18"/>
  <c r="K495" i="18"/>
  <c r="P495" i="18"/>
  <c r="AA495" i="18"/>
  <c r="AG495" i="18" s="1"/>
  <c r="O495" i="18"/>
  <c r="P472" i="18"/>
  <c r="T472" i="18"/>
  <c r="X472" i="18"/>
  <c r="Y472" i="18" s="1"/>
  <c r="AB472" i="18"/>
  <c r="P473" i="18"/>
  <c r="T473" i="18"/>
  <c r="X473" i="18"/>
  <c r="Y473" i="18" s="1"/>
  <c r="AB473" i="18"/>
  <c r="P474" i="18"/>
  <c r="T474" i="18"/>
  <c r="X474" i="18"/>
  <c r="Y474" i="18" s="1"/>
  <c r="AB474" i="18"/>
  <c r="P475" i="18"/>
  <c r="T475" i="18"/>
  <c r="X475" i="18"/>
  <c r="Y475" i="18" s="1"/>
  <c r="AB475" i="18"/>
  <c r="P476" i="18"/>
  <c r="T476" i="18"/>
  <c r="X476" i="18"/>
  <c r="Y476" i="18" s="1"/>
  <c r="AB476" i="18"/>
  <c r="P477" i="18"/>
  <c r="T477" i="18"/>
  <c r="X477" i="18"/>
  <c r="Y477" i="18" s="1"/>
  <c r="AB477" i="18"/>
  <c r="P478" i="18"/>
  <c r="T478" i="18"/>
  <c r="X478" i="18"/>
  <c r="Y478" i="18" s="1"/>
  <c r="AB478" i="18"/>
  <c r="P479" i="18"/>
  <c r="T479" i="18"/>
  <c r="X479" i="18"/>
  <c r="Y479" i="18" s="1"/>
  <c r="AB479" i="18"/>
  <c r="P480" i="18"/>
  <c r="T480" i="18"/>
  <c r="X480" i="18"/>
  <c r="Y480" i="18" s="1"/>
  <c r="AB480" i="18"/>
  <c r="AI481" i="18"/>
  <c r="AA481" i="18"/>
  <c r="AG481" i="18" s="1"/>
  <c r="W481" i="18"/>
  <c r="AD481" i="18" s="1"/>
  <c r="S481" i="18"/>
  <c r="O481" i="18"/>
  <c r="AK481" i="18"/>
  <c r="AC481" i="18"/>
  <c r="AE481" i="18" s="1"/>
  <c r="Y481" i="18"/>
  <c r="Q481" i="18"/>
  <c r="V481" i="18"/>
  <c r="AB481" i="18" s="1"/>
  <c r="AL481" i="18"/>
  <c r="N483" i="18"/>
  <c r="V483" i="18"/>
  <c r="AL483" i="18"/>
  <c r="N485" i="18"/>
  <c r="V485" i="18"/>
  <c r="AB485" i="18" s="1"/>
  <c r="AL485" i="18"/>
  <c r="N487" i="18"/>
  <c r="V487" i="18"/>
  <c r="AB487" i="18" s="1"/>
  <c r="AJ487" i="18"/>
  <c r="AL489" i="18"/>
  <c r="AK489" i="18"/>
  <c r="AI489" i="18"/>
  <c r="W489" i="18"/>
  <c r="AD489" i="18" s="1"/>
  <c r="S489" i="18"/>
  <c r="O489" i="18"/>
  <c r="K489" i="18"/>
  <c r="AH489" i="18"/>
  <c r="Z489" i="18"/>
  <c r="AA489" i="18" s="1"/>
  <c r="AG489" i="18" s="1"/>
  <c r="V489" i="18"/>
  <c r="AB489" i="18" s="1"/>
  <c r="R489" i="18"/>
  <c r="N489" i="18"/>
  <c r="AC489" i="18"/>
  <c r="AE489" i="18" s="1"/>
  <c r="Y489" i="18"/>
  <c r="U489" i="18"/>
  <c r="AF489" i="18" s="1"/>
  <c r="Q489" i="18"/>
  <c r="M489" i="18"/>
  <c r="T491" i="18"/>
  <c r="T493" i="18"/>
  <c r="W495" i="18"/>
  <c r="AD495" i="18" s="1"/>
  <c r="K490" i="18"/>
  <c r="S490" i="18"/>
  <c r="K492" i="18"/>
  <c r="S492" i="18"/>
  <c r="AA492" i="18"/>
  <c r="AG492" i="18" s="1"/>
  <c r="K494" i="18"/>
  <c r="S494" i="18"/>
  <c r="AA494" i="18"/>
  <c r="AG494" i="18" s="1"/>
  <c r="AL490" i="18"/>
  <c r="AH490" i="18"/>
  <c r="Z490" i="18"/>
  <c r="AA490" i="18" s="1"/>
  <c r="AG490" i="18" s="1"/>
  <c r="V490" i="18"/>
  <c r="AB490" i="18" s="1"/>
  <c r="R490" i="18"/>
  <c r="N490" i="18"/>
  <c r="AK490" i="18"/>
  <c r="AC490" i="18"/>
  <c r="AE490" i="18" s="1"/>
  <c r="Y490" i="18"/>
  <c r="U490" i="18"/>
  <c r="AF490" i="18" s="1"/>
  <c r="Q490" i="18"/>
  <c r="M490" i="18"/>
  <c r="T490" i="18"/>
  <c r="AJ490" i="18"/>
  <c r="AL492" i="18"/>
  <c r="AH492" i="18"/>
  <c r="Z492" i="18"/>
  <c r="V492" i="18"/>
  <c r="AB492" i="18" s="1"/>
  <c r="R492" i="18"/>
  <c r="N492" i="18"/>
  <c r="AK492" i="18"/>
  <c r="AC492" i="18"/>
  <c r="AE492" i="18" s="1"/>
  <c r="Y492" i="18"/>
  <c r="U492" i="18"/>
  <c r="AF492" i="18" s="1"/>
  <c r="Q492" i="18"/>
  <c r="M492" i="18"/>
  <c r="T492" i="18"/>
  <c r="AJ492" i="18"/>
  <c r="AL494" i="18"/>
  <c r="AH494" i="18"/>
  <c r="Z494" i="18"/>
  <c r="V494" i="18"/>
  <c r="R494" i="18"/>
  <c r="N494" i="18"/>
  <c r="AK494" i="18"/>
  <c r="AC494" i="18"/>
  <c r="AE494" i="18" s="1"/>
  <c r="Y494" i="18"/>
  <c r="U494" i="18"/>
  <c r="AF494" i="18" s="1"/>
  <c r="Q494" i="18"/>
  <c r="M494" i="18"/>
  <c r="T494" i="18"/>
  <c r="AB494" i="18"/>
  <c r="AJ494" i="18"/>
  <c r="O490" i="18"/>
  <c r="W490" i="18"/>
  <c r="AD490" i="18" s="1"/>
  <c r="O492" i="18"/>
  <c r="W492" i="18"/>
  <c r="AD492" i="18" s="1"/>
  <c r="O494" i="18"/>
  <c r="W494" i="18"/>
  <c r="AD494" i="18" s="1"/>
  <c r="P496" i="18"/>
  <c r="T496" i="18"/>
  <c r="X496" i="18"/>
  <c r="AJ496" i="18"/>
  <c r="P497" i="18"/>
  <c r="T497" i="18"/>
  <c r="X497" i="18"/>
  <c r="AB497" i="18"/>
  <c r="AJ497" i="18"/>
  <c r="P498" i="18"/>
  <c r="T498" i="18"/>
  <c r="X498" i="18"/>
  <c r="Y498" i="18" s="1"/>
  <c r="AB498" i="18"/>
  <c r="AJ498" i="18"/>
  <c r="P499" i="18"/>
  <c r="T499" i="18"/>
  <c r="X499" i="18"/>
  <c r="AJ499" i="18"/>
  <c r="P500" i="18"/>
  <c r="T500" i="18"/>
  <c r="X500" i="18"/>
  <c r="AJ500" i="18"/>
  <c r="P501" i="18"/>
  <c r="T501" i="18"/>
  <c r="X501" i="18"/>
  <c r="AB501" i="18"/>
  <c r="AJ501" i="18"/>
  <c r="M496" i="18"/>
  <c r="Q496" i="18"/>
  <c r="U496" i="18"/>
  <c r="AF496" i="18" s="1"/>
  <c r="Y496" i="18"/>
  <c r="AC496" i="18"/>
  <c r="AE496" i="18" s="1"/>
  <c r="AK496" i="18"/>
  <c r="M497" i="18"/>
  <c r="Q497" i="18"/>
  <c r="U497" i="18"/>
  <c r="AF497" i="18" s="1"/>
  <c r="Y497" i="18"/>
  <c r="AC497" i="18"/>
  <c r="AE497" i="18" s="1"/>
  <c r="AK497" i="18"/>
  <c r="M498" i="18"/>
  <c r="Q498" i="18"/>
  <c r="U498" i="18"/>
  <c r="AF498" i="18" s="1"/>
  <c r="AC498" i="18"/>
  <c r="AE498" i="18" s="1"/>
  <c r="AK498" i="18"/>
  <c r="M499" i="18"/>
  <c r="Q499" i="18"/>
  <c r="U499" i="18"/>
  <c r="AF499" i="18" s="1"/>
  <c r="Y499" i="18"/>
  <c r="AC499" i="18"/>
  <c r="AE499" i="18" s="1"/>
  <c r="AK499" i="18"/>
  <c r="M500" i="18"/>
  <c r="Q500" i="18"/>
  <c r="U500" i="18"/>
  <c r="AF500" i="18" s="1"/>
  <c r="Y500" i="18"/>
  <c r="AC500" i="18"/>
  <c r="AE500" i="18" s="1"/>
  <c r="AK500" i="18"/>
  <c r="M501" i="18"/>
  <c r="Q501" i="18"/>
  <c r="U501" i="18"/>
  <c r="AF501" i="18" s="1"/>
  <c r="Y501" i="18"/>
  <c r="AC501" i="18"/>
  <c r="AE501" i="18" s="1"/>
  <c r="AK501" i="18"/>
  <c r="N496" i="18"/>
  <c r="R496" i="18"/>
  <c r="V496" i="18"/>
  <c r="AB496" i="18" s="1"/>
  <c r="Z496" i="18"/>
  <c r="AA496" i="18" s="1"/>
  <c r="AG496" i="18" s="1"/>
  <c r="AH496" i="18"/>
  <c r="N497" i="18"/>
  <c r="R497" i="18"/>
  <c r="V497" i="18"/>
  <c r="Z497" i="18"/>
  <c r="AA497" i="18" s="1"/>
  <c r="AG497" i="18" s="1"/>
  <c r="AH497" i="18"/>
  <c r="N498" i="18"/>
  <c r="R498" i="18"/>
  <c r="V498" i="18"/>
  <c r="Z498" i="18"/>
  <c r="AA498" i="18" s="1"/>
  <c r="AG498" i="18" s="1"/>
  <c r="AH498" i="18"/>
  <c r="N499" i="18"/>
  <c r="R499" i="18"/>
  <c r="V499" i="18"/>
  <c r="AB499" i="18" s="1"/>
  <c r="Z499" i="18"/>
  <c r="AA499" i="18" s="1"/>
  <c r="AG499" i="18" s="1"/>
  <c r="AH499" i="18"/>
  <c r="N500" i="18"/>
  <c r="R500" i="18"/>
  <c r="V500" i="18"/>
  <c r="AB500" i="18" s="1"/>
  <c r="Z500" i="18"/>
  <c r="AA500" i="18" s="1"/>
  <c r="AG500" i="18" s="1"/>
  <c r="AH500" i="18"/>
  <c r="N501" i="18"/>
  <c r="R501" i="18"/>
  <c r="V501" i="18"/>
  <c r="Z501" i="18"/>
  <c r="AA501" i="18" s="1"/>
  <c r="AG501" i="18" s="1"/>
  <c r="AH501" i="18"/>
  <c r="AI80" i="15" l="1"/>
  <c r="Y209" i="15"/>
  <c r="N190" i="15"/>
  <c r="O190" i="15"/>
  <c r="N174" i="15"/>
  <c r="O174" i="15"/>
  <c r="N142" i="15"/>
  <c r="O142" i="15"/>
  <c r="N130" i="15"/>
  <c r="O130" i="15"/>
  <c r="AJ2" i="15"/>
  <c r="AH2" i="15"/>
  <c r="R130" i="15"/>
  <c r="Q251" i="15"/>
  <c r="AK251" i="15" s="1"/>
  <c r="Q250" i="15"/>
  <c r="AK250" i="15" s="1"/>
  <c r="AJ246" i="15"/>
  <c r="O238" i="15"/>
  <c r="R238" i="15" s="1"/>
  <c r="Q238" i="15"/>
  <c r="AK238" i="15" s="1"/>
  <c r="N194" i="15"/>
  <c r="O194" i="15"/>
  <c r="N150" i="15"/>
  <c r="O150" i="15"/>
  <c r="N122" i="15"/>
  <c r="O122" i="15"/>
  <c r="R190" i="15"/>
  <c r="Y166" i="15"/>
  <c r="Y149" i="15"/>
  <c r="Y141" i="15"/>
  <c r="Y138" i="15"/>
  <c r="AH125" i="15"/>
  <c r="Q259" i="15"/>
  <c r="AK259" i="15" s="1"/>
  <c r="O255" i="15"/>
  <c r="U255" i="15" s="1"/>
  <c r="N215" i="15"/>
  <c r="O215" i="15"/>
  <c r="U215" i="15" s="1"/>
  <c r="Q244" i="15"/>
  <c r="AK244" i="15" s="1"/>
  <c r="Y267" i="15"/>
  <c r="AI262" i="15"/>
  <c r="X261" i="15"/>
  <c r="Y261" i="15" s="1"/>
  <c r="Q258" i="15"/>
  <c r="AK258" i="15" s="1"/>
  <c r="Q252" i="15"/>
  <c r="AK252" i="15" s="1"/>
  <c r="O246" i="15"/>
  <c r="R246" i="15" s="1"/>
  <c r="Q246" i="15"/>
  <c r="AK246" i="15" s="1"/>
  <c r="Y235" i="15"/>
  <c r="AI230" i="15"/>
  <c r="Y229" i="15"/>
  <c r="Q226" i="15"/>
  <c r="AK226" i="15" s="1"/>
  <c r="AI222" i="15"/>
  <c r="Y221" i="15"/>
  <c r="AI219" i="15"/>
  <c r="Q219" i="15"/>
  <c r="AK219" i="15" s="1"/>
  <c r="Q218" i="15"/>
  <c r="AK218" i="15" s="1"/>
  <c r="Q215" i="15"/>
  <c r="AK215" i="15" s="1"/>
  <c r="AI214" i="15"/>
  <c r="Y213" i="15"/>
  <c r="AI211" i="15"/>
  <c r="Q211" i="15"/>
  <c r="AK211" i="15" s="1"/>
  <c r="Q210" i="15"/>
  <c r="AK210" i="15" s="1"/>
  <c r="N198" i="15"/>
  <c r="O198" i="15"/>
  <c r="N186" i="15"/>
  <c r="O186" i="15"/>
  <c r="N158" i="15"/>
  <c r="O158" i="15"/>
  <c r="R158" i="15" s="1"/>
  <c r="N118" i="15"/>
  <c r="O118" i="15"/>
  <c r="W4" i="15"/>
  <c r="AD4" i="15" s="1"/>
  <c r="AB4" i="15"/>
  <c r="AJ205" i="15"/>
  <c r="R186" i="15"/>
  <c r="Q267" i="15"/>
  <c r="AK267" i="15" s="1"/>
  <c r="Q235" i="15"/>
  <c r="AK235" i="15" s="1"/>
  <c r="Q227" i="15"/>
  <c r="AK227" i="15" s="1"/>
  <c r="Y146" i="15"/>
  <c r="Y269" i="15"/>
  <c r="Y243" i="15"/>
  <c r="AI238" i="15"/>
  <c r="Y237" i="15"/>
  <c r="AI206" i="15"/>
  <c r="N202" i="15"/>
  <c r="O202" i="15"/>
  <c r="R202" i="15" s="1"/>
  <c r="N182" i="15"/>
  <c r="O182" i="15"/>
  <c r="R182" i="15" s="1"/>
  <c r="N166" i="15"/>
  <c r="O166" i="15"/>
  <c r="R166" i="15" s="1"/>
  <c r="N134" i="15"/>
  <c r="O134" i="15"/>
  <c r="R134" i="15" s="1"/>
  <c r="Y2" i="15"/>
  <c r="R198" i="15"/>
  <c r="R194" i="15"/>
  <c r="Y182" i="15"/>
  <c r="R174" i="15"/>
  <c r="Y165" i="15"/>
  <c r="Y158" i="15"/>
  <c r="R150" i="15"/>
  <c r="AH127" i="15"/>
  <c r="AH123" i="15"/>
  <c r="Q243" i="15"/>
  <c r="AK243" i="15" s="1"/>
  <c r="AD6" i="15"/>
  <c r="S90" i="15"/>
  <c r="S74" i="15"/>
  <c r="S58" i="15"/>
  <c r="S42" i="15"/>
  <c r="AJ40" i="15"/>
  <c r="AJ24" i="15"/>
  <c r="U111" i="15"/>
  <c r="U40" i="15"/>
  <c r="U24" i="15"/>
  <c r="Q108" i="15"/>
  <c r="AK108" i="15" s="1"/>
  <c r="Q104" i="15"/>
  <c r="AK104" i="15" s="1"/>
  <c r="S22" i="15"/>
  <c r="AI22" i="15"/>
  <c r="X47" i="15"/>
  <c r="W197" i="15"/>
  <c r="AD197" i="15" s="1"/>
  <c r="O178" i="15"/>
  <c r="R178" i="15" s="1"/>
  <c r="O162" i="15"/>
  <c r="R162" i="15" s="1"/>
  <c r="O146" i="15"/>
  <c r="R146" i="15" s="1"/>
  <c r="Q114" i="15"/>
  <c r="AK114" i="15" s="1"/>
  <c r="X109" i="15"/>
  <c r="Y109" i="15" s="1"/>
  <c r="N106" i="15"/>
  <c r="Q106" i="15" s="1"/>
  <c r="AK106" i="15" s="1"/>
  <c r="AJ100" i="15"/>
  <c r="Q98" i="15"/>
  <c r="AK98" i="15" s="1"/>
  <c r="X93" i="15"/>
  <c r="Y93" i="15" s="1"/>
  <c r="Q90" i="15"/>
  <c r="AK90" i="15" s="1"/>
  <c r="Q74" i="15"/>
  <c r="AK74" i="15" s="1"/>
  <c r="Q58" i="15"/>
  <c r="AK58" i="15" s="1"/>
  <c r="AJ55" i="15"/>
  <c r="X49" i="15"/>
  <c r="Y49" i="15" s="1"/>
  <c r="Q42" i="15"/>
  <c r="AK42" i="15" s="1"/>
  <c r="N35" i="15"/>
  <c r="AJ28" i="15"/>
  <c r="N19" i="15"/>
  <c r="Q19" i="15" s="1"/>
  <c r="AK19" i="15" s="1"/>
  <c r="S11" i="15"/>
  <c r="Y103" i="15"/>
  <c r="U95" i="15"/>
  <c r="W63" i="15"/>
  <c r="AD63" i="15" s="1"/>
  <c r="U55" i="15"/>
  <c r="W47" i="15"/>
  <c r="AD47" i="15" s="1"/>
  <c r="Y36" i="15"/>
  <c r="AI89" i="15"/>
  <c r="W88" i="15"/>
  <c r="AD88" i="15" s="1"/>
  <c r="S85" i="15"/>
  <c r="Z84" i="15"/>
  <c r="W72" i="15"/>
  <c r="AD72" i="15" s="1"/>
  <c r="Q65" i="15"/>
  <c r="AK65" i="15" s="1"/>
  <c r="W56" i="15"/>
  <c r="AD56" i="15" s="1"/>
  <c r="S53" i="15"/>
  <c r="N41" i="15"/>
  <c r="S33" i="15"/>
  <c r="N25" i="15"/>
  <c r="S17" i="15"/>
  <c r="N9" i="15"/>
  <c r="X63" i="15"/>
  <c r="Y63" i="15" s="1"/>
  <c r="N113" i="15"/>
  <c r="U113" i="15" s="1"/>
  <c r="W109" i="15"/>
  <c r="AD109" i="15" s="1"/>
  <c r="W93" i="15"/>
  <c r="AD93" i="15" s="1"/>
  <c r="AI85" i="15"/>
  <c r="N61" i="15"/>
  <c r="U61" i="15" s="1"/>
  <c r="AI38" i="15"/>
  <c r="S34" i="15"/>
  <c r="N14" i="15"/>
  <c r="U14" i="15" s="1"/>
  <c r="AB6" i="15"/>
  <c r="X205" i="15"/>
  <c r="Y205" i="15" s="1"/>
  <c r="X202" i="15"/>
  <c r="Y202" i="15" s="1"/>
  <c r="AH201" i="15"/>
  <c r="AH199" i="15"/>
  <c r="AH193" i="15"/>
  <c r="AH185" i="15"/>
  <c r="AH183" i="15"/>
  <c r="AH177" i="15"/>
  <c r="Y170" i="15"/>
  <c r="AH169" i="15"/>
  <c r="X162" i="15"/>
  <c r="Y162" i="15" s="1"/>
  <c r="AH161" i="15"/>
  <c r="X154" i="15"/>
  <c r="Y154" i="15" s="1"/>
  <c r="AH153" i="15"/>
  <c r="AH145" i="15"/>
  <c r="R142" i="15"/>
  <c r="AH139" i="15"/>
  <c r="Y133" i="15"/>
  <c r="Y130" i="15"/>
  <c r="AH129" i="15"/>
  <c r="X127" i="15"/>
  <c r="AH122" i="15"/>
  <c r="AH118" i="15"/>
  <c r="O207" i="15"/>
  <c r="U207" i="15" s="1"/>
  <c r="W135" i="15"/>
  <c r="AD135" i="15" s="1"/>
  <c r="O126" i="15"/>
  <c r="AB7" i="15"/>
  <c r="AJ111" i="15"/>
  <c r="AJ103" i="15"/>
  <c r="N86" i="15"/>
  <c r="N82" i="15"/>
  <c r="AJ75" i="15"/>
  <c r="N70" i="15"/>
  <c r="N66" i="15"/>
  <c r="N54" i="15"/>
  <c r="N50" i="15"/>
  <c r="Y38" i="15"/>
  <c r="AB31" i="15"/>
  <c r="AB27" i="15"/>
  <c r="Y22" i="15"/>
  <c r="N15" i="15"/>
  <c r="AJ15" i="15" s="1"/>
  <c r="Q11" i="15"/>
  <c r="AK11" i="15" s="1"/>
  <c r="N115" i="15"/>
  <c r="U115" i="15" s="1"/>
  <c r="AJ113" i="15"/>
  <c r="N107" i="15"/>
  <c r="Y87" i="15"/>
  <c r="U83" i="15"/>
  <c r="U79" i="15"/>
  <c r="Y67" i="15"/>
  <c r="AB55" i="15"/>
  <c r="U36" i="15"/>
  <c r="N32" i="15"/>
  <c r="U32" i="15" s="1"/>
  <c r="U20" i="15"/>
  <c r="N16" i="15"/>
  <c r="U16" i="15" s="1"/>
  <c r="W108" i="15"/>
  <c r="AD108" i="15" s="1"/>
  <c r="W104" i="15"/>
  <c r="AD104" i="15" s="1"/>
  <c r="AB96" i="15"/>
  <c r="AB84" i="15"/>
  <c r="AB80" i="15"/>
  <c r="AB72" i="15"/>
  <c r="S69" i="15"/>
  <c r="AB64" i="15"/>
  <c r="AB52" i="15"/>
  <c r="S48" i="15"/>
  <c r="AJ45" i="15"/>
  <c r="N37" i="15"/>
  <c r="Q37" i="15" s="1"/>
  <c r="AK37" i="15" s="1"/>
  <c r="Q33" i="15"/>
  <c r="AK33" i="15" s="1"/>
  <c r="N29" i="15"/>
  <c r="N21" i="15"/>
  <c r="Q21" i="15" s="1"/>
  <c r="AK21" i="15" s="1"/>
  <c r="Q17" i="15"/>
  <c r="AK17" i="15" s="1"/>
  <c r="N13" i="15"/>
  <c r="N5" i="15"/>
  <c r="AB117" i="15"/>
  <c r="R109" i="15"/>
  <c r="AB101" i="15"/>
  <c r="AI101" i="15"/>
  <c r="N97" i="15"/>
  <c r="Q97" i="15" s="1"/>
  <c r="AK97" i="15" s="1"/>
  <c r="N77" i="15"/>
  <c r="U77" i="15" s="1"/>
  <c r="N57" i="15"/>
  <c r="AB49" i="15"/>
  <c r="W45" i="15"/>
  <c r="AD45" i="15" s="1"/>
  <c r="N30" i="15"/>
  <c r="AJ30" i="15" s="1"/>
  <c r="N10" i="15"/>
  <c r="AJ33" i="15"/>
  <c r="AB114" i="15"/>
  <c r="AI114" i="15"/>
  <c r="AB110" i="15"/>
  <c r="AJ107" i="15"/>
  <c r="N102" i="15"/>
  <c r="AB98" i="15"/>
  <c r="AI98" i="15"/>
  <c r="AB94" i="15"/>
  <c r="AB90" i="15"/>
  <c r="AI90" i="15"/>
  <c r="AB78" i="15"/>
  <c r="AB74" i="15"/>
  <c r="AI74" i="15"/>
  <c r="AB62" i="15"/>
  <c r="AB58" i="15"/>
  <c r="AI58" i="15"/>
  <c r="AB46" i="15"/>
  <c r="AB42" i="15"/>
  <c r="AI42" i="15"/>
  <c r="AJ36" i="15"/>
  <c r="W35" i="15"/>
  <c r="AD35" i="15" s="1"/>
  <c r="N31" i="15"/>
  <c r="Q31" i="15" s="1"/>
  <c r="AK31" i="15" s="1"/>
  <c r="S27" i="15"/>
  <c r="AJ20" i="15"/>
  <c r="W19" i="15"/>
  <c r="AD19" i="15" s="1"/>
  <c r="AJ12" i="15"/>
  <c r="AB111" i="15"/>
  <c r="AB103" i="15"/>
  <c r="W103" i="15"/>
  <c r="AD103" i="15" s="1"/>
  <c r="N99" i="15"/>
  <c r="AJ99" i="15" s="1"/>
  <c r="N91" i="15"/>
  <c r="U91" i="15" s="1"/>
  <c r="Y71" i="15"/>
  <c r="U67" i="15"/>
  <c r="N63" i="15"/>
  <c r="U63" i="15" s="1"/>
  <c r="U51" i="15"/>
  <c r="N47" i="15"/>
  <c r="U47" i="15" s="1"/>
  <c r="Y40" i="15"/>
  <c r="AJ38" i="15"/>
  <c r="AB28" i="15"/>
  <c r="Y24" i="15"/>
  <c r="AJ22" i="15"/>
  <c r="AB12" i="15"/>
  <c r="N116" i="15"/>
  <c r="AB100" i="15"/>
  <c r="S96" i="15"/>
  <c r="Q92" i="15"/>
  <c r="AK92" i="15" s="1"/>
  <c r="N88" i="15"/>
  <c r="N84" i="15"/>
  <c r="Q84" i="15" s="1"/>
  <c r="AK84" i="15" s="1"/>
  <c r="S80" i="15"/>
  <c r="AJ77" i="15"/>
  <c r="Q76" i="15"/>
  <c r="AK76" i="15" s="1"/>
  <c r="AB68" i="15"/>
  <c r="S64" i="15"/>
  <c r="AJ61" i="15"/>
  <c r="Q60" i="15"/>
  <c r="AK60" i="15" s="1"/>
  <c r="Q56" i="15"/>
  <c r="AK56" i="15" s="1"/>
  <c r="N52" i="15"/>
  <c r="Q52" i="15" s="1"/>
  <c r="AK52" i="15" s="1"/>
  <c r="N44" i="15"/>
  <c r="W41" i="15"/>
  <c r="AD41" i="15" s="1"/>
  <c r="AI26" i="15"/>
  <c r="Q18" i="15"/>
  <c r="AK18" i="15" s="1"/>
  <c r="AI10" i="15"/>
  <c r="X95" i="15"/>
  <c r="Y95" i="15" s="1"/>
  <c r="Q89" i="15"/>
  <c r="AK89" i="15" s="1"/>
  <c r="N73" i="15"/>
  <c r="AI73" i="15" s="1"/>
  <c r="AB65" i="15"/>
  <c r="AB53" i="15"/>
  <c r="AI53" i="15"/>
  <c r="N49" i="15"/>
  <c r="S49" i="15" s="1"/>
  <c r="N26" i="15"/>
  <c r="AJ26" i="15" s="1"/>
  <c r="AB18" i="15"/>
  <c r="AJ80" i="15"/>
  <c r="AJ17" i="15"/>
  <c r="AB15" i="15"/>
  <c r="AF189" i="13"/>
  <c r="K189" i="13"/>
  <c r="AF157" i="13"/>
  <c r="K157" i="13"/>
  <c r="AF173" i="13"/>
  <c r="K173" i="13"/>
  <c r="Z235" i="14"/>
  <c r="Z211" i="14"/>
  <c r="Z169" i="14"/>
  <c r="Z165" i="14"/>
  <c r="Z75" i="14"/>
  <c r="AB176" i="13"/>
  <c r="AB132" i="13"/>
  <c r="Y127" i="13"/>
  <c r="Y123" i="13"/>
  <c r="Y119" i="13"/>
  <c r="Y115" i="13"/>
  <c r="Y111" i="13"/>
  <c r="Y107" i="13"/>
  <c r="Y103" i="13"/>
  <c r="Y99" i="13"/>
  <c r="Y95" i="13"/>
  <c r="Y91" i="13"/>
  <c r="Y87" i="13"/>
  <c r="Y83" i="13"/>
  <c r="Y79" i="13"/>
  <c r="Y75" i="13"/>
  <c r="Y71" i="13"/>
  <c r="Y67" i="13"/>
  <c r="Y63" i="13"/>
  <c r="Y59" i="13"/>
  <c r="Y55" i="13"/>
  <c r="Y51" i="13"/>
  <c r="Y47" i="13"/>
  <c r="Y43" i="13"/>
  <c r="Y39" i="13"/>
  <c r="Y35" i="13"/>
  <c r="Y31" i="13"/>
  <c r="Y27" i="13"/>
  <c r="Y20" i="13"/>
  <c r="Y16" i="13"/>
  <c r="S197" i="13"/>
  <c r="S181" i="13"/>
  <c r="S165" i="13"/>
  <c r="AH154" i="13"/>
  <c r="Q154" i="13"/>
  <c r="AK154" i="13" s="1"/>
  <c r="S149" i="13"/>
  <c r="R137" i="13"/>
  <c r="Q131" i="13"/>
  <c r="AI131" i="13"/>
  <c r="N238" i="13"/>
  <c r="X157" i="14"/>
  <c r="X149" i="14"/>
  <c r="X141" i="14"/>
  <c r="X133" i="14"/>
  <c r="X125" i="14"/>
  <c r="X109" i="14"/>
  <c r="X101" i="14"/>
  <c r="X93" i="14"/>
  <c r="X85" i="14"/>
  <c r="X37" i="14"/>
  <c r="X21" i="14"/>
  <c r="O218" i="13"/>
  <c r="N218" i="13"/>
  <c r="AI218" i="13" s="1"/>
  <c r="N135" i="13"/>
  <c r="O135" i="13"/>
  <c r="U135" i="13" s="1"/>
  <c r="AI130" i="13"/>
  <c r="Y219" i="13"/>
  <c r="X71" i="14"/>
  <c r="Y71" i="14" s="1"/>
  <c r="X50" i="14"/>
  <c r="Y50" i="14" s="1"/>
  <c r="X38" i="14"/>
  <c r="Y38" i="14" s="1"/>
  <c r="X26" i="14"/>
  <c r="Y26" i="14" s="1"/>
  <c r="S196" i="13"/>
  <c r="S180" i="13"/>
  <c r="S164" i="13"/>
  <c r="S201" i="13"/>
  <c r="R201" i="13"/>
  <c r="AI201" i="13"/>
  <c r="N195" i="13"/>
  <c r="AI195" i="13" s="1"/>
  <c r="O195" i="13"/>
  <c r="R195" i="13" s="1"/>
  <c r="S185" i="13"/>
  <c r="R185" i="13"/>
  <c r="AI185" i="13"/>
  <c r="N179" i="13"/>
  <c r="AI179" i="13" s="1"/>
  <c r="O179" i="13"/>
  <c r="R179" i="13" s="1"/>
  <c r="S169" i="13"/>
  <c r="R169" i="13"/>
  <c r="AI169" i="13"/>
  <c r="AJ166" i="13"/>
  <c r="S166" i="13"/>
  <c r="N163" i="13"/>
  <c r="O163" i="13"/>
  <c r="R163" i="13" s="1"/>
  <c r="S153" i="13"/>
  <c r="R153" i="13"/>
  <c r="AI153" i="13"/>
  <c r="AH150" i="13"/>
  <c r="S150" i="13"/>
  <c r="N147" i="13"/>
  <c r="O147" i="13"/>
  <c r="R147" i="13" s="1"/>
  <c r="AF141" i="13"/>
  <c r="K141" i="13"/>
  <c r="Y227" i="13"/>
  <c r="O203" i="13"/>
  <c r="U203" i="13" s="1"/>
  <c r="Z215" i="14"/>
  <c r="X62" i="14"/>
  <c r="Y62" i="14" s="1"/>
  <c r="X46" i="14"/>
  <c r="Y46" i="14" s="1"/>
  <c r="X34" i="14"/>
  <c r="Y34" i="14" s="1"/>
  <c r="X161" i="14"/>
  <c r="X153" i="14"/>
  <c r="X145" i="14"/>
  <c r="X137" i="14"/>
  <c r="X129" i="14"/>
  <c r="X121" i="14"/>
  <c r="X113" i="14"/>
  <c r="X105" i="14"/>
  <c r="X97" i="14"/>
  <c r="X89" i="14"/>
  <c r="X81" i="14"/>
  <c r="X73" i="14"/>
  <c r="X65" i="14"/>
  <c r="X57" i="14"/>
  <c r="X49" i="14"/>
  <c r="X41" i="14"/>
  <c r="X33" i="14"/>
  <c r="X25" i="14"/>
  <c r="X17" i="14"/>
  <c r="X9" i="14"/>
  <c r="S188" i="13"/>
  <c r="U199" i="13"/>
  <c r="S199" i="13"/>
  <c r="U183" i="13"/>
  <c r="S183" i="13"/>
  <c r="S167" i="13"/>
  <c r="T154" i="13"/>
  <c r="AL154" i="13" s="1"/>
  <c r="S151" i="13"/>
  <c r="S137" i="13"/>
  <c r="S133" i="13"/>
  <c r="AI133" i="13"/>
  <c r="Y24" i="13"/>
  <c r="AI240" i="13"/>
  <c r="U236" i="13"/>
  <c r="U212" i="13"/>
  <c r="K212" i="13" s="1"/>
  <c r="AI6" i="13"/>
  <c r="Y29" i="13"/>
  <c r="Y25" i="13"/>
  <c r="Y22" i="13"/>
  <c r="Y18" i="13"/>
  <c r="Y14" i="13"/>
  <c r="R189" i="13"/>
  <c r="R173" i="13"/>
  <c r="R157" i="13"/>
  <c r="Y211" i="13"/>
  <c r="N206" i="13"/>
  <c r="N240" i="13"/>
  <c r="S240" i="13" s="1"/>
  <c r="N236" i="13"/>
  <c r="S204" i="13"/>
  <c r="N216" i="13"/>
  <c r="Q216" i="13" s="1"/>
  <c r="N212" i="13"/>
  <c r="N220" i="13"/>
  <c r="U200" i="13"/>
  <c r="X6" i="13"/>
  <c r="Y6" i="13" s="1"/>
  <c r="AB8" i="14"/>
  <c r="O9" i="13"/>
  <c r="U9" i="13" s="1"/>
  <c r="U224" i="13"/>
  <c r="O237" i="13"/>
  <c r="N8" i="13"/>
  <c r="S6" i="13"/>
  <c r="U10" i="13"/>
  <c r="S236" i="13"/>
  <c r="U208" i="13"/>
  <c r="U204" i="13"/>
  <c r="Q224" i="13"/>
  <c r="AK224" i="13" s="1"/>
  <c r="Y237" i="13"/>
  <c r="Q209" i="13"/>
  <c r="AK209" i="13" s="1"/>
  <c r="U12" i="13"/>
  <c r="U184" i="13"/>
  <c r="AB192" i="13"/>
  <c r="AB160" i="13"/>
  <c r="W7" i="13"/>
  <c r="AD7" i="13" s="1"/>
  <c r="W8" i="12"/>
  <c r="AD8" i="12" s="1"/>
  <c r="R61" i="12"/>
  <c r="R29" i="12"/>
  <c r="W228" i="12"/>
  <c r="AD228" i="12" s="1"/>
  <c r="U198" i="12"/>
  <c r="Q160" i="12"/>
  <c r="AK160" i="12" s="1"/>
  <c r="W86" i="12"/>
  <c r="AD86" i="12" s="1"/>
  <c r="Q41" i="12"/>
  <c r="AK41" i="12" s="1"/>
  <c r="R41" i="12"/>
  <c r="W38" i="12"/>
  <c r="AD38" i="12" s="1"/>
  <c r="AJ16" i="12"/>
  <c r="AI179" i="12"/>
  <c r="W172" i="12"/>
  <c r="AD172" i="12" s="1"/>
  <c r="AB172" i="12"/>
  <c r="Z160" i="12"/>
  <c r="AA160" i="12" s="1"/>
  <c r="AG160" i="12" s="1"/>
  <c r="W160" i="12"/>
  <c r="AD160" i="12" s="1"/>
  <c r="AI155" i="12"/>
  <c r="X126" i="12"/>
  <c r="Y126" i="12" s="1"/>
  <c r="AB126" i="12"/>
  <c r="Z81" i="12"/>
  <c r="AA81" i="12" s="1"/>
  <c r="AG81" i="12" s="1"/>
  <c r="AB81" i="12"/>
  <c r="AB74" i="12"/>
  <c r="X54" i="12"/>
  <c r="Y54" i="12" s="1"/>
  <c r="Z54" i="12"/>
  <c r="AA54" i="12" s="1"/>
  <c r="AG54" i="12" s="1"/>
  <c r="AI48" i="12"/>
  <c r="AB200" i="13"/>
  <c r="AB168" i="13"/>
  <c r="AB219" i="13"/>
  <c r="X222" i="13"/>
  <c r="Y222" i="13" s="1"/>
  <c r="W219" i="13"/>
  <c r="AD219" i="13" s="1"/>
  <c r="Q50" i="12"/>
  <c r="AK50" i="12" s="1"/>
  <c r="R50" i="12"/>
  <c r="AH198" i="12"/>
  <c r="AJ198" i="12"/>
  <c r="AH194" i="12"/>
  <c r="AI194" i="12"/>
  <c r="AH183" i="12"/>
  <c r="AJ183" i="12"/>
  <c r="Z133" i="12"/>
  <c r="AA133" i="12" s="1"/>
  <c r="AG133" i="12" s="1"/>
  <c r="AB133" i="12"/>
  <c r="W133" i="12"/>
  <c r="AD133" i="12" s="1"/>
  <c r="Z113" i="12"/>
  <c r="AA113" i="12" s="1"/>
  <c r="AG113" i="12" s="1"/>
  <c r="W113" i="12"/>
  <c r="AD113" i="12" s="1"/>
  <c r="Z89" i="12"/>
  <c r="AA89" i="12" s="1"/>
  <c r="AG89" i="12" s="1"/>
  <c r="AB89" i="12"/>
  <c r="X42" i="12"/>
  <c r="Y42" i="12" s="1"/>
  <c r="W42" i="12"/>
  <c r="AD42" i="12" s="1"/>
  <c r="Z17" i="12"/>
  <c r="AA17" i="12" s="1"/>
  <c r="AG17" i="12" s="1"/>
  <c r="AB17" i="12"/>
  <c r="N5" i="12"/>
  <c r="O5" i="12"/>
  <c r="Z212" i="12"/>
  <c r="AA212" i="12" s="1"/>
  <c r="AG212" i="12" s="1"/>
  <c r="R183" i="12"/>
  <c r="R101" i="12"/>
  <c r="R74" i="12"/>
  <c r="Z42" i="12"/>
  <c r="AA42" i="12" s="1"/>
  <c r="AG42" i="12" s="1"/>
  <c r="W74" i="12"/>
  <c r="AD74" i="12" s="1"/>
  <c r="Q58" i="12"/>
  <c r="AK58" i="12" s="1"/>
  <c r="R58" i="12"/>
  <c r="W17" i="12"/>
  <c r="AD17" i="12" s="1"/>
  <c r="AB228" i="12"/>
  <c r="AB219" i="12"/>
  <c r="Z211" i="12"/>
  <c r="AA211" i="12" s="1"/>
  <c r="AG211" i="12" s="1"/>
  <c r="W211" i="12"/>
  <c r="AD211" i="12" s="1"/>
  <c r="X181" i="12"/>
  <c r="Y181" i="12" s="1"/>
  <c r="AB181" i="12"/>
  <c r="AH175" i="12"/>
  <c r="AI175" i="12"/>
  <c r="AJ175" i="12"/>
  <c r="Q163" i="12"/>
  <c r="AK163" i="12" s="1"/>
  <c r="AJ163" i="12"/>
  <c r="AB145" i="12"/>
  <c r="X102" i="12"/>
  <c r="Y102" i="12" s="1"/>
  <c r="W102" i="12"/>
  <c r="AD102" i="12" s="1"/>
  <c r="AB86" i="12"/>
  <c r="X62" i="12"/>
  <c r="Y62" i="12" s="1"/>
  <c r="Z62" i="12"/>
  <c r="AA62" i="12" s="1"/>
  <c r="AG62" i="12" s="1"/>
  <c r="Z25" i="12"/>
  <c r="AA25" i="12" s="1"/>
  <c r="AG25" i="12" s="1"/>
  <c r="AB25" i="12"/>
  <c r="AB18" i="12"/>
  <c r="X10" i="12"/>
  <c r="Y10" i="12" s="1"/>
  <c r="Z10" i="12"/>
  <c r="AA10" i="12" s="1"/>
  <c r="AG10" i="12" s="1"/>
  <c r="O7" i="12"/>
  <c r="R7" i="12" s="1"/>
  <c r="N7" i="12"/>
  <c r="AB235" i="13"/>
  <c r="AB214" i="13"/>
  <c r="AB8" i="12"/>
  <c r="Z8" i="12"/>
  <c r="AA8" i="12" s="1"/>
  <c r="AG8" i="12" s="1"/>
  <c r="S3" i="12"/>
  <c r="T3" i="12" s="1"/>
  <c r="AL3" i="12" s="1"/>
  <c r="W212" i="12"/>
  <c r="AD212" i="12" s="1"/>
  <c r="U190" i="12"/>
  <c r="U186" i="12"/>
  <c r="Q168" i="12"/>
  <c r="AK168" i="12" s="1"/>
  <c r="AJ132" i="12"/>
  <c r="Q37" i="12"/>
  <c r="AK37" i="12" s="1"/>
  <c r="R37" i="12"/>
  <c r="AI198" i="12"/>
  <c r="Z195" i="12"/>
  <c r="AA195" i="12" s="1"/>
  <c r="AG195" i="12" s="1"/>
  <c r="W195" i="12"/>
  <c r="AD195" i="12" s="1"/>
  <c r="Z191" i="12"/>
  <c r="AA191" i="12" s="1"/>
  <c r="AG191" i="12" s="1"/>
  <c r="AB191" i="12"/>
  <c r="AI183" i="12"/>
  <c r="X153" i="12"/>
  <c r="Y153" i="12" s="1"/>
  <c r="AB153" i="12"/>
  <c r="Q151" i="12"/>
  <c r="AK151" i="12" s="1"/>
  <c r="AI151" i="12"/>
  <c r="X138" i="12"/>
  <c r="Y138" i="12" s="1"/>
  <c r="W138" i="12"/>
  <c r="AD138" i="12" s="1"/>
  <c r="AI88" i="12"/>
  <c r="Z222" i="12"/>
  <c r="AA222" i="12" s="1"/>
  <c r="AG222" i="12" s="1"/>
  <c r="O211" i="12"/>
  <c r="R211" i="12" s="1"/>
  <c r="N208" i="12"/>
  <c r="Q202" i="12"/>
  <c r="O195" i="12"/>
  <c r="R195" i="12" s="1"/>
  <c r="O187" i="12"/>
  <c r="R187" i="12" s="1"/>
  <c r="O184" i="12"/>
  <c r="R184" i="12" s="1"/>
  <c r="O176" i="12"/>
  <c r="R176" i="12" s="1"/>
  <c r="N153" i="12"/>
  <c r="Q153" i="12" s="1"/>
  <c r="N145" i="12"/>
  <c r="Q145" i="12" s="1"/>
  <c r="Q124" i="12"/>
  <c r="AK124" i="12" s="1"/>
  <c r="U62" i="12"/>
  <c r="U42" i="12"/>
  <c r="U22" i="12"/>
  <c r="X162" i="12"/>
  <c r="Y162" i="12" s="1"/>
  <c r="Z162" i="12"/>
  <c r="AA162" i="12" s="1"/>
  <c r="AG162" i="12" s="1"/>
  <c r="Q136" i="12"/>
  <c r="AK136" i="12" s="1"/>
  <c r="Q120" i="12"/>
  <c r="U114" i="12"/>
  <c r="U102" i="12"/>
  <c r="U98" i="12"/>
  <c r="U54" i="12"/>
  <c r="U34" i="12"/>
  <c r="U18" i="12"/>
  <c r="Z131" i="12"/>
  <c r="AA131" i="12" s="1"/>
  <c r="AG131" i="12" s="1"/>
  <c r="Z55" i="12"/>
  <c r="AA55" i="12" s="1"/>
  <c r="AG55" i="12" s="1"/>
  <c r="Z225" i="12"/>
  <c r="AA225" i="12" s="1"/>
  <c r="AG225" i="12" s="1"/>
  <c r="Z178" i="12"/>
  <c r="AA178" i="12" s="1"/>
  <c r="AG178" i="12" s="1"/>
  <c r="X39" i="12"/>
  <c r="Y39" i="12" s="1"/>
  <c r="Z39" i="12"/>
  <c r="AA39" i="12" s="1"/>
  <c r="AG39" i="12" s="1"/>
  <c r="Q208" i="12"/>
  <c r="U194" i="12"/>
  <c r="U179" i="12"/>
  <c r="Q152" i="12"/>
  <c r="AK152" i="12" s="1"/>
  <c r="Q141" i="12"/>
  <c r="AK141" i="12" s="1"/>
  <c r="Q125" i="12"/>
  <c r="AK125" i="12" s="1"/>
  <c r="Q105" i="12"/>
  <c r="AK105" i="12" s="1"/>
  <c r="Q81" i="12"/>
  <c r="AK81" i="12" s="1"/>
  <c r="Q70" i="12"/>
  <c r="Q45" i="12"/>
  <c r="AK45" i="12" s="1"/>
  <c r="Z55" i="13"/>
  <c r="U164" i="12"/>
  <c r="U137" i="12"/>
  <c r="U129" i="12"/>
  <c r="U49" i="12"/>
  <c r="U33" i="12"/>
  <c r="O227" i="12"/>
  <c r="R227" i="12" s="1"/>
  <c r="N224" i="12"/>
  <c r="Q224" i="12" s="1"/>
  <c r="Z206" i="12"/>
  <c r="AA206" i="12" s="1"/>
  <c r="AG206" i="12" s="1"/>
  <c r="O199" i="12"/>
  <c r="O191" i="12"/>
  <c r="R191" i="12" s="1"/>
  <c r="O180" i="12"/>
  <c r="R180" i="12" s="1"/>
  <c r="O172" i="12"/>
  <c r="N149" i="12"/>
  <c r="Q149" i="12" s="1"/>
  <c r="Q132" i="12"/>
  <c r="AK132" i="12" s="1"/>
  <c r="U94" i="12"/>
  <c r="U82" i="12"/>
  <c r="U74" i="12"/>
  <c r="U50" i="12"/>
  <c r="Z237" i="12"/>
  <c r="AA237" i="12" s="1"/>
  <c r="AG237" i="12" s="1"/>
  <c r="Z115" i="12"/>
  <c r="AA115" i="12" s="1"/>
  <c r="AG115" i="12" s="1"/>
  <c r="Z210" i="12"/>
  <c r="AA210" i="12" s="1"/>
  <c r="AG210" i="12" s="1"/>
  <c r="Z183" i="12"/>
  <c r="AA183" i="12" s="1"/>
  <c r="AG183" i="12" s="1"/>
  <c r="Z167" i="12"/>
  <c r="AA167" i="12" s="1"/>
  <c r="AG167" i="12" s="1"/>
  <c r="Q128" i="12"/>
  <c r="AK128" i="12" s="1"/>
  <c r="U10" i="12"/>
  <c r="Z103" i="12"/>
  <c r="AA103" i="12" s="1"/>
  <c r="AG103" i="12" s="1"/>
  <c r="Z11" i="12"/>
  <c r="AA11" i="12" s="1"/>
  <c r="AG11" i="12" s="1"/>
  <c r="Q97" i="12"/>
  <c r="AI97" i="12"/>
  <c r="Q86" i="12"/>
  <c r="AJ86" i="12"/>
  <c r="Q65" i="12"/>
  <c r="AK65" i="12" s="1"/>
  <c r="AI65" i="12"/>
  <c r="Q54" i="12"/>
  <c r="AK54" i="12" s="1"/>
  <c r="AJ54" i="12"/>
  <c r="Q33" i="12"/>
  <c r="AK33" i="12" s="1"/>
  <c r="AI33" i="12"/>
  <c r="Q22" i="12"/>
  <c r="AK22" i="12" s="1"/>
  <c r="AJ22" i="12"/>
  <c r="X220" i="12"/>
  <c r="Y220" i="12" s="1"/>
  <c r="AB220" i="12"/>
  <c r="AH186" i="12"/>
  <c r="AI186" i="12"/>
  <c r="Q186" i="12"/>
  <c r="AK186" i="12" s="1"/>
  <c r="X173" i="12"/>
  <c r="Y173" i="12" s="1"/>
  <c r="AB173" i="12"/>
  <c r="U171" i="12"/>
  <c r="AI171" i="12"/>
  <c r="Q171" i="12"/>
  <c r="AK171" i="12" s="1"/>
  <c r="U116" i="12"/>
  <c r="AI116" i="12"/>
  <c r="AI113" i="12"/>
  <c r="U104" i="12"/>
  <c r="AI104" i="12"/>
  <c r="Z97" i="12"/>
  <c r="AA97" i="12" s="1"/>
  <c r="AG97" i="12" s="1"/>
  <c r="AB97" i="12"/>
  <c r="X66" i="12"/>
  <c r="Y66" i="12" s="1"/>
  <c r="AB66" i="12"/>
  <c r="U52" i="12"/>
  <c r="AI52" i="12"/>
  <c r="AI49" i="12"/>
  <c r="U40" i="12"/>
  <c r="AI40" i="12"/>
  <c r="Z33" i="12"/>
  <c r="AA33" i="12" s="1"/>
  <c r="AG33" i="12" s="1"/>
  <c r="AB33" i="12"/>
  <c r="W156" i="13"/>
  <c r="AD156" i="13" s="1"/>
  <c r="AB148" i="13"/>
  <c r="AB140" i="13"/>
  <c r="AB206" i="13"/>
  <c r="X225" i="13"/>
  <c r="Y225" i="13" s="1"/>
  <c r="R199" i="12"/>
  <c r="R186" i="12"/>
  <c r="R172" i="12"/>
  <c r="R164" i="12"/>
  <c r="Z122" i="12"/>
  <c r="AA122" i="12" s="1"/>
  <c r="AG122" i="12" s="1"/>
  <c r="R110" i="12"/>
  <c r="R86" i="12"/>
  <c r="R78" i="12"/>
  <c r="R54" i="12"/>
  <c r="R46" i="12"/>
  <c r="R22" i="12"/>
  <c r="R14" i="12"/>
  <c r="Z18" i="13"/>
  <c r="Z8" i="13"/>
  <c r="AJ171" i="12"/>
  <c r="W122" i="12"/>
  <c r="AD122" i="12" s="1"/>
  <c r="Q77" i="12"/>
  <c r="AK77" i="12" s="1"/>
  <c r="Q13" i="12"/>
  <c r="AK13" i="12" s="1"/>
  <c r="AB223" i="12"/>
  <c r="X208" i="12"/>
  <c r="Y208" i="12" s="1"/>
  <c r="AB208" i="12"/>
  <c r="AB204" i="12"/>
  <c r="AB196" i="12"/>
  <c r="AB187" i="12"/>
  <c r="AB157" i="12"/>
  <c r="U147" i="12"/>
  <c r="AI147" i="12"/>
  <c r="Q147" i="12"/>
  <c r="AK147" i="12" s="1"/>
  <c r="U144" i="12"/>
  <c r="AI144" i="12"/>
  <c r="AB137" i="12"/>
  <c r="U136" i="12"/>
  <c r="AI136" i="12"/>
  <c r="X130" i="12"/>
  <c r="Y130" i="12" s="1"/>
  <c r="AB130" i="12"/>
  <c r="Z117" i="12"/>
  <c r="AA117" i="12" s="1"/>
  <c r="AG117" i="12" s="1"/>
  <c r="AB117" i="12"/>
  <c r="Z105" i="12"/>
  <c r="AA105" i="12" s="1"/>
  <c r="AG105" i="12" s="1"/>
  <c r="AB105" i="12"/>
  <c r="AJ102" i="12"/>
  <c r="X78" i="12"/>
  <c r="Y78" i="12" s="1"/>
  <c r="AB78" i="12"/>
  <c r="U64" i="12"/>
  <c r="AI64" i="12"/>
  <c r="AB61" i="12"/>
  <c r="U60" i="12"/>
  <c r="AI60" i="12"/>
  <c r="Z53" i="12"/>
  <c r="AA53" i="12" s="1"/>
  <c r="AG53" i="12" s="1"/>
  <c r="AB53" i="12"/>
  <c r="Z41" i="12"/>
  <c r="AA41" i="12" s="1"/>
  <c r="AG41" i="12" s="1"/>
  <c r="AB41" i="12"/>
  <c r="AJ38" i="12"/>
  <c r="X14" i="12"/>
  <c r="Y14" i="12" s="1"/>
  <c r="AB14" i="12"/>
  <c r="N4" i="12"/>
  <c r="AH4" i="12" s="1"/>
  <c r="W8" i="13"/>
  <c r="AD8" i="13" s="1"/>
  <c r="U110" i="12"/>
  <c r="U78" i="12"/>
  <c r="W203" i="13"/>
  <c r="AD203" i="13" s="1"/>
  <c r="W196" i="13"/>
  <c r="AD196" i="13" s="1"/>
  <c r="W188" i="13"/>
  <c r="AD188" i="13" s="1"/>
  <c r="W180" i="13"/>
  <c r="AD180" i="13" s="1"/>
  <c r="W172" i="13"/>
  <c r="AD172" i="13" s="1"/>
  <c r="W164" i="13"/>
  <c r="AD164" i="13" s="1"/>
  <c r="AB203" i="13"/>
  <c r="R113" i="12"/>
  <c r="R81" i="12"/>
  <c r="Z66" i="12"/>
  <c r="AA66" i="12" s="1"/>
  <c r="AG66" i="12" s="1"/>
  <c r="R49" i="12"/>
  <c r="R17" i="12"/>
  <c r="W200" i="12"/>
  <c r="AD200" i="12" s="1"/>
  <c r="AJ186" i="12"/>
  <c r="Q114" i="12"/>
  <c r="AK114" i="12" s="1"/>
  <c r="Q85" i="12"/>
  <c r="AK85" i="12" s="1"/>
  <c r="Q21" i="12"/>
  <c r="AK21" i="12" s="1"/>
  <c r="Z227" i="12"/>
  <c r="AA227" i="12" s="1"/>
  <c r="AG227" i="12" s="1"/>
  <c r="AB227" i="12"/>
  <c r="AB211" i="12"/>
  <c r="Z180" i="12"/>
  <c r="AA180" i="12" s="1"/>
  <c r="AG180" i="12" s="1"/>
  <c r="AB180" i="12"/>
  <c r="AB177" i="12"/>
  <c r="AB168" i="12"/>
  <c r="U167" i="12"/>
  <c r="AI167" i="12"/>
  <c r="Q167" i="12"/>
  <c r="AK167" i="12" s="1"/>
  <c r="X161" i="12"/>
  <c r="Y161" i="12" s="1"/>
  <c r="AB161" i="12"/>
  <c r="Z148" i="12"/>
  <c r="AA148" i="12" s="1"/>
  <c r="AG148" i="12" s="1"/>
  <c r="AB148" i="12"/>
  <c r="X134" i="12"/>
  <c r="Y134" i="12" s="1"/>
  <c r="AB134" i="12"/>
  <c r="AI129" i="12"/>
  <c r="AB106" i="12"/>
  <c r="X98" i="12"/>
  <c r="Y98" i="12" s="1"/>
  <c r="AB98" i="12"/>
  <c r="U84" i="12"/>
  <c r="AI84" i="12"/>
  <c r="AI81" i="12"/>
  <c r="U72" i="12"/>
  <c r="AI72" i="12"/>
  <c r="Z65" i="12"/>
  <c r="AA65" i="12" s="1"/>
  <c r="AG65" i="12" s="1"/>
  <c r="AB65" i="12"/>
  <c r="AB54" i="12"/>
  <c r="AB42" i="12"/>
  <c r="X34" i="12"/>
  <c r="Y34" i="12" s="1"/>
  <c r="AB34" i="12"/>
  <c r="U20" i="12"/>
  <c r="AI20" i="12"/>
  <c r="AI17" i="12"/>
  <c r="Z4" i="12"/>
  <c r="AA4" i="12" s="1"/>
  <c r="AG4" i="12" s="1"/>
  <c r="X4" i="12"/>
  <c r="Y4" i="12" s="1"/>
  <c r="Q144" i="12"/>
  <c r="AK144" i="12" s="1"/>
  <c r="U90" i="12"/>
  <c r="U26" i="12"/>
  <c r="AB152" i="13"/>
  <c r="AB144" i="13"/>
  <c r="AB136" i="13"/>
  <c r="W235" i="13"/>
  <c r="AD235" i="13" s="1"/>
  <c r="W227" i="13"/>
  <c r="AD227" i="13" s="1"/>
  <c r="AB8" i="13"/>
  <c r="Z220" i="12"/>
  <c r="AA220" i="12" s="1"/>
  <c r="AG220" i="12" s="1"/>
  <c r="R148" i="12"/>
  <c r="R129" i="12"/>
  <c r="R102" i="12"/>
  <c r="R94" i="12"/>
  <c r="R70" i="12"/>
  <c r="R62" i="12"/>
  <c r="R38" i="12"/>
  <c r="R30" i="12"/>
  <c r="W25" i="13"/>
  <c r="AD25" i="13" s="1"/>
  <c r="Q156" i="12"/>
  <c r="AK156" i="12" s="1"/>
  <c r="AJ116" i="12"/>
  <c r="W97" i="12"/>
  <c r="AD97" i="12" s="1"/>
  <c r="Q73" i="12"/>
  <c r="AJ52" i="12"/>
  <c r="W33" i="12"/>
  <c r="AD33" i="12" s="1"/>
  <c r="Q9" i="12"/>
  <c r="AK9" i="12" s="1"/>
  <c r="AB217" i="13"/>
  <c r="X232" i="12"/>
  <c r="Y232" i="12" s="1"/>
  <c r="AB232" i="12"/>
  <c r="AB200" i="12"/>
  <c r="X192" i="12"/>
  <c r="Y192" i="12" s="1"/>
  <c r="AB192" i="12"/>
  <c r="AH190" i="12"/>
  <c r="AI190" i="12"/>
  <c r="Q190" i="12"/>
  <c r="Z184" i="12"/>
  <c r="AA184" i="12" s="1"/>
  <c r="AG184" i="12" s="1"/>
  <c r="AB184" i="12"/>
  <c r="X165" i="12"/>
  <c r="Y165" i="12" s="1"/>
  <c r="AB165" i="12"/>
  <c r="AI160" i="12"/>
  <c r="AJ149" i="12"/>
  <c r="U148" i="12"/>
  <c r="AB141" i="12"/>
  <c r="U140" i="12"/>
  <c r="AI140" i="12"/>
  <c r="AB122" i="12"/>
  <c r="X110" i="12"/>
  <c r="Y110" i="12" s="1"/>
  <c r="AB110" i="12"/>
  <c r="U96" i="12"/>
  <c r="AI96" i="12"/>
  <c r="AB93" i="12"/>
  <c r="U92" i="12"/>
  <c r="AI92" i="12"/>
  <c r="Z85" i="12"/>
  <c r="AA85" i="12" s="1"/>
  <c r="AG85" i="12" s="1"/>
  <c r="AB85" i="12"/>
  <c r="Z73" i="12"/>
  <c r="AA73" i="12" s="1"/>
  <c r="AG73" i="12" s="1"/>
  <c r="AB73" i="12"/>
  <c r="AJ70" i="12"/>
  <c r="X46" i="12"/>
  <c r="Y46" i="12" s="1"/>
  <c r="AB46" i="12"/>
  <c r="U32" i="12"/>
  <c r="AI32" i="12"/>
  <c r="AB29" i="12"/>
  <c r="U28" i="12"/>
  <c r="AI28" i="12"/>
  <c r="Z21" i="12"/>
  <c r="AA21" i="12" s="1"/>
  <c r="AG21" i="12" s="1"/>
  <c r="AB21" i="12"/>
  <c r="Z9" i="12"/>
  <c r="AA9" i="12" s="1"/>
  <c r="AG9" i="12" s="1"/>
  <c r="AB9" i="12"/>
  <c r="X5" i="12"/>
  <c r="Y5" i="12" s="1"/>
  <c r="Z5" i="12"/>
  <c r="AA5" i="12" s="1"/>
  <c r="AG5" i="12" s="1"/>
  <c r="Q140" i="12"/>
  <c r="AK140" i="12" s="1"/>
  <c r="U58" i="12"/>
  <c r="U38" i="12"/>
  <c r="Z63" i="13"/>
  <c r="R232" i="12"/>
  <c r="R216" i="12"/>
  <c r="U202" i="12"/>
  <c r="AF202" i="12" s="1"/>
  <c r="Q198" i="12"/>
  <c r="Q194" i="12"/>
  <c r="Q183" i="12"/>
  <c r="AK183" i="12" s="1"/>
  <c r="Q179" i="12"/>
  <c r="AK179" i="12" s="1"/>
  <c r="Q175" i="12"/>
  <c r="AK175" i="12" s="1"/>
  <c r="R142" i="12"/>
  <c r="R138" i="12"/>
  <c r="R134" i="12"/>
  <c r="R130" i="12"/>
  <c r="R126" i="12"/>
  <c r="R122" i="12"/>
  <c r="R118" i="12"/>
  <c r="U106" i="12"/>
  <c r="S28" i="12"/>
  <c r="S12" i="12"/>
  <c r="Z127" i="12"/>
  <c r="AA127" i="12" s="1"/>
  <c r="AG127" i="12" s="1"/>
  <c r="Z47" i="12"/>
  <c r="AA47" i="12" s="1"/>
  <c r="AG47" i="12" s="1"/>
  <c r="Z201" i="12"/>
  <c r="AA201" i="12" s="1"/>
  <c r="AG201" i="12" s="1"/>
  <c r="Z31" i="12"/>
  <c r="AA31" i="12" s="1"/>
  <c r="AG31" i="12" s="1"/>
  <c r="Z111" i="12"/>
  <c r="AA111" i="12" s="1"/>
  <c r="AG111" i="12" s="1"/>
  <c r="Z217" i="12"/>
  <c r="AA217" i="12" s="1"/>
  <c r="AG217" i="12" s="1"/>
  <c r="Z154" i="12"/>
  <c r="AA154" i="12" s="1"/>
  <c r="AG154" i="12" s="1"/>
  <c r="Z50" i="13"/>
  <c r="R236" i="12"/>
  <c r="Z230" i="12"/>
  <c r="AA230" i="12" s="1"/>
  <c r="AG230" i="12" s="1"/>
  <c r="R220" i="12"/>
  <c r="Z214" i="12"/>
  <c r="AA214" i="12" s="1"/>
  <c r="AG214" i="12" s="1"/>
  <c r="R204" i="12"/>
  <c r="U46" i="12"/>
  <c r="U30" i="12"/>
  <c r="S16" i="12"/>
  <c r="U14" i="12"/>
  <c r="Z123" i="12"/>
  <c r="AA123" i="12" s="1"/>
  <c r="AG123" i="12" s="1"/>
  <c r="Z43" i="12"/>
  <c r="AA43" i="12" s="1"/>
  <c r="AG43" i="12" s="1"/>
  <c r="Z197" i="12"/>
  <c r="AA197" i="12" s="1"/>
  <c r="AG197" i="12" s="1"/>
  <c r="Z27" i="12"/>
  <c r="AA27" i="12" s="1"/>
  <c r="AG27" i="12" s="1"/>
  <c r="Z107" i="12"/>
  <c r="AA107" i="12" s="1"/>
  <c r="AG107" i="12" s="1"/>
  <c r="Z213" i="12"/>
  <c r="AA213" i="12" s="1"/>
  <c r="AG213" i="12" s="1"/>
  <c r="Z150" i="12"/>
  <c r="AA150" i="12" s="1"/>
  <c r="AG150" i="12" s="1"/>
  <c r="AB236" i="12"/>
  <c r="AB224" i="12"/>
  <c r="AB215" i="12"/>
  <c r="AB212" i="12"/>
  <c r="AB203" i="12"/>
  <c r="AB199" i="12"/>
  <c r="AB195" i="12"/>
  <c r="AB188" i="12"/>
  <c r="AB176" i="12"/>
  <c r="AB169" i="12"/>
  <c r="U163" i="12"/>
  <c r="AB160" i="12"/>
  <c r="AB156" i="12"/>
  <c r="AB152" i="12"/>
  <c r="AB142" i="12"/>
  <c r="AB138" i="12"/>
  <c r="U132" i="12"/>
  <c r="AB129" i="12"/>
  <c r="AB125" i="12"/>
  <c r="AB121" i="12"/>
  <c r="U112" i="12"/>
  <c r="K112" i="12" s="1"/>
  <c r="AB109" i="12"/>
  <c r="AB102" i="12"/>
  <c r="U100" i="12"/>
  <c r="U93" i="12"/>
  <c r="K93" i="12" s="1"/>
  <c r="AB90" i="12"/>
  <c r="U88" i="12"/>
  <c r="U80" i="12"/>
  <c r="AB77" i="12"/>
  <c r="AB70" i="12"/>
  <c r="U68" i="12"/>
  <c r="U61" i="12"/>
  <c r="AB58" i="12"/>
  <c r="U56" i="12"/>
  <c r="U48" i="12"/>
  <c r="AF48" i="12" s="1"/>
  <c r="AB45" i="12"/>
  <c r="AB38" i="12"/>
  <c r="U36" i="12"/>
  <c r="U29" i="12"/>
  <c r="AF29" i="12" s="1"/>
  <c r="AB26" i="12"/>
  <c r="U24" i="12"/>
  <c r="U16" i="12"/>
  <c r="AB13" i="12"/>
  <c r="Z79" i="13"/>
  <c r="W63" i="13"/>
  <c r="AD63" i="13" s="1"/>
  <c r="Z234" i="12"/>
  <c r="AA234" i="12" s="1"/>
  <c r="AG234" i="12" s="1"/>
  <c r="O231" i="12"/>
  <c r="R231" i="12" s="1"/>
  <c r="N228" i="12"/>
  <c r="U228" i="12" s="1"/>
  <c r="U227" i="12"/>
  <c r="R224" i="12"/>
  <c r="Z218" i="12"/>
  <c r="AA218" i="12" s="1"/>
  <c r="AG218" i="12" s="1"/>
  <c r="O215" i="12"/>
  <c r="R215" i="12" s="1"/>
  <c r="N212" i="12"/>
  <c r="U211" i="12"/>
  <c r="R208" i="12"/>
  <c r="Z202" i="12"/>
  <c r="AA202" i="12" s="1"/>
  <c r="AG202" i="12" s="1"/>
  <c r="N200" i="12"/>
  <c r="U200" i="12" s="1"/>
  <c r="AF200" i="12" s="1"/>
  <c r="U199" i="12"/>
  <c r="N196" i="12"/>
  <c r="U196" i="12" s="1"/>
  <c r="AF196" i="12" s="1"/>
  <c r="U195" i="12"/>
  <c r="N192" i="12"/>
  <c r="U192" i="12" s="1"/>
  <c r="AF192" i="12" s="1"/>
  <c r="N188" i="12"/>
  <c r="U188" i="12" s="1"/>
  <c r="U187" i="12"/>
  <c r="K187" i="12" s="1"/>
  <c r="U184" i="12"/>
  <c r="K184" i="12" s="1"/>
  <c r="N181" i="12"/>
  <c r="U181" i="12" s="1"/>
  <c r="U180" i="12"/>
  <c r="N177" i="12"/>
  <c r="U177" i="12" s="1"/>
  <c r="N173" i="12"/>
  <c r="U173" i="12" s="1"/>
  <c r="K173" i="12" s="1"/>
  <c r="U172" i="12"/>
  <c r="N169" i="12"/>
  <c r="Q169" i="12" s="1"/>
  <c r="N165" i="12"/>
  <c r="Q165" i="12" s="1"/>
  <c r="N161" i="12"/>
  <c r="Q161" i="12" s="1"/>
  <c r="N157" i="12"/>
  <c r="Q157" i="12" s="1"/>
  <c r="U66" i="12"/>
  <c r="S20" i="12"/>
  <c r="Z95" i="12"/>
  <c r="AA95" i="12" s="1"/>
  <c r="AG95" i="12" s="1"/>
  <c r="Z233" i="12"/>
  <c r="AA233" i="12" s="1"/>
  <c r="AG233" i="12" s="1"/>
  <c r="Z170" i="12"/>
  <c r="AA170" i="12" s="1"/>
  <c r="AG170" i="12" s="1"/>
  <c r="Z143" i="12"/>
  <c r="AA143" i="12" s="1"/>
  <c r="AG143" i="12" s="1"/>
  <c r="Z79" i="12"/>
  <c r="AA79" i="12" s="1"/>
  <c r="AG79" i="12" s="1"/>
  <c r="Z185" i="12"/>
  <c r="AA185" i="12" s="1"/>
  <c r="AG185" i="12" s="1"/>
  <c r="Z63" i="12"/>
  <c r="AA63" i="12" s="1"/>
  <c r="AG63" i="12" s="1"/>
  <c r="U159" i="12"/>
  <c r="U155" i="12"/>
  <c r="K155" i="12" s="1"/>
  <c r="U151" i="12"/>
  <c r="U128" i="12"/>
  <c r="U124" i="12"/>
  <c r="K124" i="12" s="1"/>
  <c r="U120" i="12"/>
  <c r="AF120" i="12" s="1"/>
  <c r="U113" i="12"/>
  <c r="U108" i="12"/>
  <c r="U101" i="12"/>
  <c r="U81" i="12"/>
  <c r="K81" i="12" s="1"/>
  <c r="U76" i="12"/>
  <c r="U57" i="12"/>
  <c r="U44" i="12"/>
  <c r="K44" i="12" s="1"/>
  <c r="U37" i="12"/>
  <c r="K37" i="12" s="1"/>
  <c r="U25" i="12"/>
  <c r="U12" i="12"/>
  <c r="Z13" i="13"/>
  <c r="Z37" i="13"/>
  <c r="O235" i="12"/>
  <c r="R235" i="12" s="1"/>
  <c r="N232" i="12"/>
  <c r="U232" i="12" s="1"/>
  <c r="U231" i="12"/>
  <c r="K231" i="12" s="1"/>
  <c r="R228" i="12"/>
  <c r="O219" i="12"/>
  <c r="R219" i="12" s="1"/>
  <c r="N216" i="12"/>
  <c r="U216" i="12" s="1"/>
  <c r="U215" i="12"/>
  <c r="K215" i="12" s="1"/>
  <c r="R212" i="12"/>
  <c r="O203" i="12"/>
  <c r="R203" i="12" s="1"/>
  <c r="S202" i="12"/>
  <c r="T202" i="12" s="1"/>
  <c r="AL202" i="12" s="1"/>
  <c r="R200" i="12"/>
  <c r="R196" i="12"/>
  <c r="R192" i="12"/>
  <c r="R188" i="12"/>
  <c r="R181" i="12"/>
  <c r="R177" i="12"/>
  <c r="R173" i="12"/>
  <c r="R169" i="12"/>
  <c r="R165" i="12"/>
  <c r="R161" i="12"/>
  <c r="R157" i="12"/>
  <c r="R153" i="12"/>
  <c r="R149" i="12"/>
  <c r="R145" i="12"/>
  <c r="N142" i="12"/>
  <c r="Q142" i="12" s="1"/>
  <c r="N138" i="12"/>
  <c r="Q138" i="12" s="1"/>
  <c r="N134" i="12"/>
  <c r="AJ134" i="12" s="1"/>
  <c r="N130" i="12"/>
  <c r="Q130" i="12" s="1"/>
  <c r="N126" i="12"/>
  <c r="N122" i="12"/>
  <c r="Q122" i="12" s="1"/>
  <c r="N118" i="12"/>
  <c r="AJ118" i="12" s="1"/>
  <c r="U86" i="12"/>
  <c r="U70" i="12"/>
  <c r="S24" i="12"/>
  <c r="Z91" i="12"/>
  <c r="AA91" i="12" s="1"/>
  <c r="AG91" i="12" s="1"/>
  <c r="Z229" i="12"/>
  <c r="AA229" i="12" s="1"/>
  <c r="AG229" i="12" s="1"/>
  <c r="Z166" i="12"/>
  <c r="AA166" i="12" s="1"/>
  <c r="AG166" i="12" s="1"/>
  <c r="Z139" i="12"/>
  <c r="AA139" i="12" s="1"/>
  <c r="AG139" i="12" s="1"/>
  <c r="Z75" i="12"/>
  <c r="AA75" i="12" s="1"/>
  <c r="AG75" i="12" s="1"/>
  <c r="Z182" i="12"/>
  <c r="AA182" i="12" s="1"/>
  <c r="AG182" i="12" s="1"/>
  <c r="Z59" i="12"/>
  <c r="AA59" i="12" s="1"/>
  <c r="AG59" i="12" s="1"/>
  <c r="AH143" i="15"/>
  <c r="AH133" i="15"/>
  <c r="AH119" i="15"/>
  <c r="AF255" i="15"/>
  <c r="K255" i="15"/>
  <c r="AF210" i="14"/>
  <c r="K210" i="14"/>
  <c r="AJ203" i="15"/>
  <c r="Q203" i="15"/>
  <c r="AK203" i="15" s="1"/>
  <c r="Q193" i="15"/>
  <c r="AK193" i="15" s="1"/>
  <c r="AJ193" i="15"/>
  <c r="AJ190" i="15"/>
  <c r="AI190" i="15"/>
  <c r="Q190" i="15"/>
  <c r="AK190" i="15" s="1"/>
  <c r="AH190" i="15"/>
  <c r="S190" i="15"/>
  <c r="U190" i="15"/>
  <c r="AJ187" i="15"/>
  <c r="Q187" i="15"/>
  <c r="AK187" i="15" s="1"/>
  <c r="Q177" i="15"/>
  <c r="AK177" i="15" s="1"/>
  <c r="AJ177" i="15"/>
  <c r="Q169" i="15"/>
  <c r="AK169" i="15" s="1"/>
  <c r="AJ169" i="15"/>
  <c r="Q161" i="15"/>
  <c r="AK161" i="15" s="1"/>
  <c r="AJ161" i="15"/>
  <c r="Q153" i="15"/>
  <c r="AK153" i="15" s="1"/>
  <c r="AJ153" i="15"/>
  <c r="Q145" i="15"/>
  <c r="AK145" i="15" s="1"/>
  <c r="AJ145" i="15"/>
  <c r="Q137" i="15"/>
  <c r="AK137" i="15" s="1"/>
  <c r="AJ137" i="15"/>
  <c r="AJ130" i="15"/>
  <c r="AI130" i="15"/>
  <c r="Q130" i="15"/>
  <c r="AK130" i="15" s="1"/>
  <c r="AH130" i="15"/>
  <c r="S130" i="15"/>
  <c r="U130" i="15"/>
  <c r="AJ123" i="15"/>
  <c r="Q121" i="15"/>
  <c r="AK121" i="15" s="1"/>
  <c r="AJ121" i="15"/>
  <c r="AF3" i="15"/>
  <c r="K3" i="15"/>
  <c r="AH141" i="15"/>
  <c r="AH135" i="15"/>
  <c r="AH121" i="15"/>
  <c r="AF215" i="15"/>
  <c r="K215" i="15"/>
  <c r="AF114" i="15"/>
  <c r="K114" i="15"/>
  <c r="AF98" i="15"/>
  <c r="K98" i="15"/>
  <c r="AF90" i="15"/>
  <c r="K90" i="15"/>
  <c r="AF74" i="15"/>
  <c r="K74" i="15"/>
  <c r="AF58" i="15"/>
  <c r="K58" i="15"/>
  <c r="AF42" i="15"/>
  <c r="K42" i="15"/>
  <c r="AF27" i="15"/>
  <c r="K27" i="15"/>
  <c r="U19" i="15"/>
  <c r="AF11" i="15"/>
  <c r="K11" i="15"/>
  <c r="AF258" i="14"/>
  <c r="K258" i="14"/>
  <c r="AF257" i="14"/>
  <c r="K257" i="14"/>
  <c r="AF219" i="14"/>
  <c r="K219" i="14"/>
  <c r="AF218" i="14"/>
  <c r="K218" i="14"/>
  <c r="AF217" i="14"/>
  <c r="K217" i="14"/>
  <c r="AF162" i="14"/>
  <c r="K162" i="14"/>
  <c r="AF161" i="14"/>
  <c r="K161" i="14"/>
  <c r="AF159" i="14"/>
  <c r="K159" i="14"/>
  <c r="AF151" i="14"/>
  <c r="K151" i="14"/>
  <c r="AF142" i="14"/>
  <c r="K142" i="14"/>
  <c r="AF141" i="14"/>
  <c r="K141" i="14"/>
  <c r="AF134" i="14"/>
  <c r="K134" i="14"/>
  <c r="AF133" i="14"/>
  <c r="K133" i="14"/>
  <c r="AF126" i="14"/>
  <c r="K126" i="14"/>
  <c r="AF125" i="14"/>
  <c r="K125" i="14"/>
  <c r="AF118" i="14"/>
  <c r="K118" i="14"/>
  <c r="AF114" i="14"/>
  <c r="K114" i="14"/>
  <c r="AF113" i="14"/>
  <c r="K113" i="14"/>
  <c r="AF106" i="14"/>
  <c r="K106" i="14"/>
  <c r="AF105" i="14"/>
  <c r="K105" i="14"/>
  <c r="AF98" i="14"/>
  <c r="K98" i="14"/>
  <c r="AF97" i="14"/>
  <c r="K97" i="14"/>
  <c r="AF90" i="14"/>
  <c r="K90" i="14"/>
  <c r="AF89" i="14"/>
  <c r="K89" i="14"/>
  <c r="AF72" i="14"/>
  <c r="K72" i="14"/>
  <c r="AF56" i="14"/>
  <c r="K56" i="14"/>
  <c r="AF40" i="14"/>
  <c r="K40" i="14"/>
  <c r="AF35" i="14"/>
  <c r="K35" i="14"/>
  <c r="AF14" i="14"/>
  <c r="K14" i="14"/>
  <c r="U107" i="15"/>
  <c r="AF103" i="15"/>
  <c r="K103" i="15"/>
  <c r="AF83" i="15"/>
  <c r="K83" i="15"/>
  <c r="AF79" i="15"/>
  <c r="K79" i="15"/>
  <c r="U116" i="15"/>
  <c r="R116" i="15"/>
  <c r="AF96" i="15"/>
  <c r="K96" i="15"/>
  <c r="AA84" i="15"/>
  <c r="AG84" i="15" s="1"/>
  <c r="K80" i="15"/>
  <c r="AF64" i="15"/>
  <c r="K64" i="15"/>
  <c r="U44" i="15"/>
  <c r="R44" i="15"/>
  <c r="U29" i="15"/>
  <c r="R29" i="15"/>
  <c r="U13" i="15"/>
  <c r="R13" i="15"/>
  <c r="AF117" i="15"/>
  <c r="K117" i="15"/>
  <c r="AF113" i="15"/>
  <c r="K113" i="15"/>
  <c r="S105" i="15"/>
  <c r="AF101" i="15"/>
  <c r="K101" i="15"/>
  <c r="S81" i="15"/>
  <c r="U73" i="15"/>
  <c r="R73" i="15"/>
  <c r="AF61" i="15"/>
  <c r="K61" i="15"/>
  <c r="AF38" i="15"/>
  <c r="K38" i="15"/>
  <c r="S18" i="15"/>
  <c r="U10" i="15"/>
  <c r="R10" i="15"/>
  <c r="AD2" i="14"/>
  <c r="AF186" i="13"/>
  <c r="K186" i="13"/>
  <c r="AF167" i="13"/>
  <c r="K167" i="13"/>
  <c r="AF235" i="13"/>
  <c r="K235" i="13"/>
  <c r="U230" i="13"/>
  <c r="R230" i="13"/>
  <c r="Q225" i="13"/>
  <c r="AI225" i="13"/>
  <c r="AH225" i="13"/>
  <c r="AJ225" i="13"/>
  <c r="Q221" i="13"/>
  <c r="AJ221" i="13"/>
  <c r="AI221" i="13"/>
  <c r="AH221" i="13"/>
  <c r="AF212" i="13"/>
  <c r="AF116" i="13"/>
  <c r="K116" i="13"/>
  <c r="AF100" i="13"/>
  <c r="K100" i="13"/>
  <c r="Q233" i="13"/>
  <c r="AK233" i="13" s="1"/>
  <c r="AI233" i="13"/>
  <c r="AH233" i="13"/>
  <c r="AJ233" i="13"/>
  <c r="U220" i="13"/>
  <c r="Q217" i="13"/>
  <c r="U209" i="13"/>
  <c r="R209" i="13"/>
  <c r="AF184" i="13"/>
  <c r="K184" i="13"/>
  <c r="AK235" i="12"/>
  <c r="Z236" i="13"/>
  <c r="AK211" i="12"/>
  <c r="Z189" i="13"/>
  <c r="AK204" i="12"/>
  <c r="Z182" i="13"/>
  <c r="AF194" i="12"/>
  <c r="K194" i="12"/>
  <c r="AK187" i="12"/>
  <c r="Z141" i="13"/>
  <c r="AF183" i="12"/>
  <c r="K183" i="12"/>
  <c r="AK89" i="12"/>
  <c r="Z173" i="13"/>
  <c r="AK73" i="12"/>
  <c r="Z138" i="13"/>
  <c r="AF171" i="12"/>
  <c r="K171" i="12"/>
  <c r="AF167" i="12"/>
  <c r="K167" i="12"/>
  <c r="AF148" i="12"/>
  <c r="K148" i="12"/>
  <c r="AF144" i="12"/>
  <c r="K144" i="12"/>
  <c r="AF140" i="12"/>
  <c r="K140" i="12"/>
  <c r="AF136" i="12"/>
  <c r="K136" i="12"/>
  <c r="AF117" i="12"/>
  <c r="K117" i="12"/>
  <c r="AF105" i="12"/>
  <c r="K105" i="12"/>
  <c r="AF97" i="12"/>
  <c r="K97" i="12"/>
  <c r="AF92" i="12"/>
  <c r="K92" i="12"/>
  <c r="AF85" i="12"/>
  <c r="K85" i="12"/>
  <c r="AF73" i="12"/>
  <c r="K73" i="12"/>
  <c r="AF65" i="12"/>
  <c r="K65" i="12"/>
  <c r="AF60" i="12"/>
  <c r="K60" i="12"/>
  <c r="AF53" i="12"/>
  <c r="K53" i="12"/>
  <c r="AF41" i="12"/>
  <c r="K41" i="12"/>
  <c r="AF33" i="12"/>
  <c r="K33" i="12"/>
  <c r="AF28" i="12"/>
  <c r="K28" i="12"/>
  <c r="AF21" i="12"/>
  <c r="K21" i="12"/>
  <c r="AF9" i="12"/>
  <c r="K9" i="12"/>
  <c r="R4" i="12"/>
  <c r="U4" i="12"/>
  <c r="S4" i="12"/>
  <c r="Q234" i="12"/>
  <c r="AJ234" i="12"/>
  <c r="AH234" i="12"/>
  <c r="AI234" i="12"/>
  <c r="AJ226" i="12"/>
  <c r="U224" i="12"/>
  <c r="AJ223" i="12"/>
  <c r="S223" i="12"/>
  <c r="T223" i="12" s="1"/>
  <c r="AL223" i="12" s="1"/>
  <c r="U223" i="12"/>
  <c r="AI223" i="12"/>
  <c r="U218" i="12"/>
  <c r="S218" i="12"/>
  <c r="Q218" i="12"/>
  <c r="AJ218" i="12"/>
  <c r="AH218" i="12"/>
  <c r="AI218" i="12"/>
  <c r="U208" i="12"/>
  <c r="AJ207" i="12"/>
  <c r="S207" i="12"/>
  <c r="T207" i="12" s="1"/>
  <c r="AL207" i="12" s="1"/>
  <c r="U207" i="12"/>
  <c r="AI207" i="12"/>
  <c r="AF114" i="12"/>
  <c r="K114" i="12"/>
  <c r="AF98" i="12"/>
  <c r="K98" i="12"/>
  <c r="AF82" i="12"/>
  <c r="K82" i="12"/>
  <c r="AF66" i="12"/>
  <c r="K66" i="12"/>
  <c r="AF50" i="12"/>
  <c r="K50" i="12"/>
  <c r="AF34" i="12"/>
  <c r="K34" i="12"/>
  <c r="AF18" i="12"/>
  <c r="K18" i="12"/>
  <c r="Q197" i="15"/>
  <c r="AK197" i="15" s="1"/>
  <c r="AJ197" i="15"/>
  <c r="AJ194" i="15"/>
  <c r="AI194" i="15"/>
  <c r="Q194" i="15"/>
  <c r="AK194" i="15" s="1"/>
  <c r="AH194" i="15"/>
  <c r="S194" i="15"/>
  <c r="U194" i="15"/>
  <c r="AJ191" i="15"/>
  <c r="Q191" i="15"/>
  <c r="AK191" i="15" s="1"/>
  <c r="Q181" i="15"/>
  <c r="AK181" i="15" s="1"/>
  <c r="AJ181" i="15"/>
  <c r="AJ178" i="15"/>
  <c r="AI178" i="15"/>
  <c r="Q178" i="15"/>
  <c r="AK178" i="15" s="1"/>
  <c r="AH178" i="15"/>
  <c r="S178" i="15"/>
  <c r="U178" i="15"/>
  <c r="AJ175" i="15"/>
  <c r="Q175" i="15"/>
  <c r="AK175" i="15" s="1"/>
  <c r="AJ170" i="15"/>
  <c r="AI170" i="15"/>
  <c r="Q170" i="15"/>
  <c r="AK170" i="15" s="1"/>
  <c r="AH170" i="15"/>
  <c r="S170" i="15"/>
  <c r="U170" i="15"/>
  <c r="AJ167" i="15"/>
  <c r="Q167" i="15"/>
  <c r="AK167" i="15" s="1"/>
  <c r="AJ162" i="15"/>
  <c r="AI162" i="15"/>
  <c r="Q162" i="15"/>
  <c r="AK162" i="15" s="1"/>
  <c r="AH162" i="15"/>
  <c r="S162" i="15"/>
  <c r="U162" i="15"/>
  <c r="AJ159" i="15"/>
  <c r="Q159" i="15"/>
  <c r="AK159" i="15" s="1"/>
  <c r="AJ154" i="15"/>
  <c r="AI154" i="15"/>
  <c r="Q154" i="15"/>
  <c r="AK154" i="15" s="1"/>
  <c r="AH154" i="15"/>
  <c r="S154" i="15"/>
  <c r="U154" i="15"/>
  <c r="AJ151" i="15"/>
  <c r="Q151" i="15"/>
  <c r="AK151" i="15" s="1"/>
  <c r="AJ146" i="15"/>
  <c r="AI146" i="15"/>
  <c r="Q146" i="15"/>
  <c r="AK146" i="15" s="1"/>
  <c r="AH146" i="15"/>
  <c r="S146" i="15"/>
  <c r="U146" i="15"/>
  <c r="Q143" i="15"/>
  <c r="AK143" i="15" s="1"/>
  <c r="AJ138" i="15"/>
  <c r="AI138" i="15"/>
  <c r="Q138" i="15"/>
  <c r="AK138" i="15" s="1"/>
  <c r="AH138" i="15"/>
  <c r="S138" i="15"/>
  <c r="U138" i="15"/>
  <c r="AJ135" i="15"/>
  <c r="Q133" i="15"/>
  <c r="AK133" i="15" s="1"/>
  <c r="AJ133" i="15"/>
  <c r="AJ126" i="15"/>
  <c r="AI126" i="15"/>
  <c r="Q126" i="15"/>
  <c r="AK126" i="15" s="1"/>
  <c r="S126" i="15"/>
  <c r="U126" i="15"/>
  <c r="AJ119" i="15"/>
  <c r="AH191" i="15"/>
  <c r="AH175" i="15"/>
  <c r="AH167" i="15"/>
  <c r="AH159" i="15"/>
  <c r="AH151" i="15"/>
  <c r="AH126" i="15"/>
  <c r="AF207" i="15"/>
  <c r="K207" i="15"/>
  <c r="AA162" i="15"/>
  <c r="AG162" i="15" s="1"/>
  <c r="AF251" i="14"/>
  <c r="K251" i="14"/>
  <c r="AF250" i="14"/>
  <c r="K250" i="14"/>
  <c r="AF249" i="14"/>
  <c r="K249" i="14"/>
  <c r="AF247" i="14"/>
  <c r="K247" i="14"/>
  <c r="AF246" i="14"/>
  <c r="K246" i="14"/>
  <c r="AF245" i="14"/>
  <c r="K245" i="14"/>
  <c r="AF243" i="14"/>
  <c r="K243" i="14"/>
  <c r="AF242" i="14"/>
  <c r="K242" i="14"/>
  <c r="AF241" i="14"/>
  <c r="K241" i="14"/>
  <c r="AF239" i="14"/>
  <c r="K239" i="14"/>
  <c r="AF238" i="14"/>
  <c r="K238" i="14"/>
  <c r="AF237" i="14"/>
  <c r="K237" i="14"/>
  <c r="AF215" i="14"/>
  <c r="K215" i="14"/>
  <c r="AF214" i="14"/>
  <c r="K214" i="14"/>
  <c r="AF213" i="14"/>
  <c r="K213" i="14"/>
  <c r="AF170" i="14"/>
  <c r="K170" i="14"/>
  <c r="AF166" i="14"/>
  <c r="K166" i="14"/>
  <c r="AF163" i="14"/>
  <c r="K163" i="14"/>
  <c r="AF154" i="14"/>
  <c r="K154" i="14"/>
  <c r="AF153" i="14"/>
  <c r="K153" i="14"/>
  <c r="AF143" i="14"/>
  <c r="K143" i="14"/>
  <c r="AF135" i="14"/>
  <c r="K135" i="14"/>
  <c r="AF127" i="14"/>
  <c r="K127" i="14"/>
  <c r="AF119" i="14"/>
  <c r="K119" i="14"/>
  <c r="AF117" i="14"/>
  <c r="K117" i="14"/>
  <c r="AF115" i="14"/>
  <c r="K115" i="14"/>
  <c r="AF107" i="14"/>
  <c r="K107" i="14"/>
  <c r="AF53" i="14"/>
  <c r="K53" i="14"/>
  <c r="AF91" i="15"/>
  <c r="K91" i="15"/>
  <c r="AF87" i="15"/>
  <c r="K87" i="15"/>
  <c r="AF67" i="15"/>
  <c r="K67" i="15"/>
  <c r="AF63" i="15"/>
  <c r="K63" i="15"/>
  <c r="AF51" i="15"/>
  <c r="K51" i="15"/>
  <c r="AF47" i="15"/>
  <c r="K47" i="15"/>
  <c r="AF36" i="15"/>
  <c r="K36" i="15"/>
  <c r="AF32" i="15"/>
  <c r="K32" i="15"/>
  <c r="AF20" i="15"/>
  <c r="K20" i="15"/>
  <c r="AF16" i="15"/>
  <c r="K16" i="15"/>
  <c r="U92" i="15"/>
  <c r="R92" i="15"/>
  <c r="U76" i="15"/>
  <c r="R76" i="15"/>
  <c r="U60" i="15"/>
  <c r="R60" i="15"/>
  <c r="U89" i="15"/>
  <c r="R89" i="15"/>
  <c r="AF77" i="15"/>
  <c r="K77" i="15"/>
  <c r="AF53" i="15"/>
  <c r="K53" i="15"/>
  <c r="U26" i="15"/>
  <c r="R26" i="15"/>
  <c r="AF14" i="15"/>
  <c r="K14" i="15"/>
  <c r="AF168" i="13"/>
  <c r="K168" i="13"/>
  <c r="Z2" i="15"/>
  <c r="AK2" i="14"/>
  <c r="Q226" i="13"/>
  <c r="AK226" i="13" s="1"/>
  <c r="AJ226" i="13"/>
  <c r="AI226" i="13"/>
  <c r="AH226" i="13"/>
  <c r="AF199" i="13"/>
  <c r="K199" i="13"/>
  <c r="AF183" i="13"/>
  <c r="K183" i="13"/>
  <c r="AK167" i="13"/>
  <c r="Z183" i="14"/>
  <c r="AK131" i="13"/>
  <c r="Z143" i="14"/>
  <c r="AF203" i="13"/>
  <c r="K203" i="13"/>
  <c r="AF122" i="13"/>
  <c r="K122" i="13"/>
  <c r="AF33" i="13"/>
  <c r="K33" i="13"/>
  <c r="AF112" i="13"/>
  <c r="K112" i="13"/>
  <c r="AF96" i="13"/>
  <c r="K96" i="13"/>
  <c r="AF224" i="13"/>
  <c r="K224" i="13"/>
  <c r="S237" i="13"/>
  <c r="AJ237" i="13"/>
  <c r="AI237" i="13"/>
  <c r="AH237" i="13"/>
  <c r="U237" i="13"/>
  <c r="AK207" i="12"/>
  <c r="Z185" i="13"/>
  <c r="AF198" i="12"/>
  <c r="K198" i="12"/>
  <c r="AK195" i="12"/>
  <c r="Z151" i="13"/>
  <c r="AA151" i="13" s="1"/>
  <c r="AG151" i="13" s="1"/>
  <c r="AF175" i="12"/>
  <c r="K175" i="12"/>
  <c r="AK102" i="12"/>
  <c r="Z201" i="13"/>
  <c r="AK97" i="12"/>
  <c r="Z181" i="13"/>
  <c r="Z178" i="13"/>
  <c r="AK94" i="12"/>
  <c r="AK86" i="12"/>
  <c r="Z169" i="13"/>
  <c r="Z161" i="13"/>
  <c r="AK78" i="12"/>
  <c r="AK70" i="12"/>
  <c r="Z135" i="13"/>
  <c r="AF168" i="12"/>
  <c r="K168" i="12"/>
  <c r="AF163" i="12"/>
  <c r="K163" i="12"/>
  <c r="AF141" i="12"/>
  <c r="K141" i="12"/>
  <c r="AF137" i="12"/>
  <c r="K137" i="12"/>
  <c r="AF132" i="12"/>
  <c r="K132" i="12"/>
  <c r="AF112" i="12"/>
  <c r="AF100" i="12"/>
  <c r="K100" i="12"/>
  <c r="AF93" i="12"/>
  <c r="AF88" i="12"/>
  <c r="K88" i="12"/>
  <c r="AF80" i="12"/>
  <c r="K80" i="12"/>
  <c r="AF68" i="12"/>
  <c r="K68" i="12"/>
  <c r="AF61" i="12"/>
  <c r="K61" i="12"/>
  <c r="AF56" i="12"/>
  <c r="K56" i="12"/>
  <c r="K48" i="12"/>
  <c r="AF36" i="12"/>
  <c r="K36" i="12"/>
  <c r="K29" i="12"/>
  <c r="AF24" i="12"/>
  <c r="K24" i="12"/>
  <c r="AF16" i="12"/>
  <c r="K16" i="12"/>
  <c r="U5" i="12"/>
  <c r="S5" i="12"/>
  <c r="AJ5" i="12"/>
  <c r="Q5" i="12"/>
  <c r="AK5" i="12" s="1"/>
  <c r="AH5" i="12"/>
  <c r="AI5" i="12"/>
  <c r="AF228" i="12"/>
  <c r="K228" i="12"/>
  <c r="AF227" i="12"/>
  <c r="K227" i="12"/>
  <c r="U222" i="12"/>
  <c r="S222" i="12"/>
  <c r="Q222" i="12"/>
  <c r="AK222" i="12" s="1"/>
  <c r="AH222" i="12"/>
  <c r="AI222" i="12"/>
  <c r="AJ222" i="12"/>
  <c r="AF211" i="12"/>
  <c r="K211" i="12"/>
  <c r="U206" i="12"/>
  <c r="S206" i="12"/>
  <c r="Q206" i="12"/>
  <c r="AK206" i="12" s="1"/>
  <c r="AH206" i="12"/>
  <c r="AI206" i="12"/>
  <c r="AJ206" i="12"/>
  <c r="AF199" i="12"/>
  <c r="K199" i="12"/>
  <c r="K196" i="12"/>
  <c r="AF195" i="12"/>
  <c r="K195" i="12"/>
  <c r="AJ191" i="12"/>
  <c r="S191" i="12"/>
  <c r="U191" i="12"/>
  <c r="AI191" i="12"/>
  <c r="AF188" i="12"/>
  <c r="K188" i="12"/>
  <c r="AF187" i="12"/>
  <c r="AF184" i="12"/>
  <c r="AF181" i="12"/>
  <c r="K181" i="12"/>
  <c r="AF180" i="12"/>
  <c r="K180" i="12"/>
  <c r="AF177" i="12"/>
  <c r="K177" i="12"/>
  <c r="AJ176" i="12"/>
  <c r="S176" i="12"/>
  <c r="T176" i="12" s="1"/>
  <c r="AL176" i="12" s="1"/>
  <c r="U176" i="12"/>
  <c r="AI176" i="12"/>
  <c r="AF173" i="12"/>
  <c r="AF172" i="12"/>
  <c r="K172" i="12"/>
  <c r="U169" i="12"/>
  <c r="U157" i="12"/>
  <c r="U153" i="12"/>
  <c r="U149" i="12"/>
  <c r="U145" i="12"/>
  <c r="U142" i="12"/>
  <c r="U138" i="12"/>
  <c r="U130" i="12"/>
  <c r="U126" i="12"/>
  <c r="U122" i="12"/>
  <c r="AF102" i="12"/>
  <c r="K102" i="12"/>
  <c r="AF86" i="12"/>
  <c r="K86" i="12"/>
  <c r="AF70" i="12"/>
  <c r="K70" i="12"/>
  <c r="AF54" i="12"/>
  <c r="K54" i="12"/>
  <c r="AF38" i="12"/>
  <c r="K38" i="12"/>
  <c r="AF22" i="12"/>
  <c r="K22" i="12"/>
  <c r="Q201" i="15"/>
  <c r="AK201" i="15" s="1"/>
  <c r="AJ201" i="15"/>
  <c r="AJ182" i="15"/>
  <c r="AI182" i="15"/>
  <c r="Q182" i="15"/>
  <c r="AK182" i="15" s="1"/>
  <c r="AH182" i="15"/>
  <c r="S182" i="15"/>
  <c r="U182" i="15"/>
  <c r="Q173" i="15"/>
  <c r="AK173" i="15" s="1"/>
  <c r="AJ173" i="15"/>
  <c r="Q157" i="15"/>
  <c r="AK157" i="15" s="1"/>
  <c r="AJ157" i="15"/>
  <c r="AJ131" i="15"/>
  <c r="AJ122" i="15"/>
  <c r="AI122" i="15"/>
  <c r="Q122" i="15"/>
  <c r="AK122" i="15" s="1"/>
  <c r="S122" i="15"/>
  <c r="U122" i="15"/>
  <c r="AF239" i="15"/>
  <c r="K239" i="15"/>
  <c r="U86" i="15"/>
  <c r="R86" i="15"/>
  <c r="U70" i="15"/>
  <c r="R70" i="15"/>
  <c r="U54" i="15"/>
  <c r="R54" i="15"/>
  <c r="U39" i="15"/>
  <c r="R39" i="15"/>
  <c r="U23" i="15"/>
  <c r="R23" i="15"/>
  <c r="AF262" i="14"/>
  <c r="K262" i="14"/>
  <c r="AF261" i="14"/>
  <c r="K261" i="14"/>
  <c r="AF235" i="14"/>
  <c r="K235" i="14"/>
  <c r="AF234" i="14"/>
  <c r="K234" i="14"/>
  <c r="AF209" i="14"/>
  <c r="K209" i="14"/>
  <c r="AF207" i="14"/>
  <c r="K207" i="14"/>
  <c r="AF206" i="14"/>
  <c r="K206" i="14"/>
  <c r="AF205" i="14"/>
  <c r="K205" i="14"/>
  <c r="AF203" i="14"/>
  <c r="K203" i="14"/>
  <c r="AF202" i="14"/>
  <c r="K202" i="14"/>
  <c r="AF201" i="14"/>
  <c r="K201" i="14"/>
  <c r="AF199" i="14"/>
  <c r="K199" i="14"/>
  <c r="AF198" i="14"/>
  <c r="K198" i="14"/>
  <c r="AF197" i="14"/>
  <c r="K197" i="14"/>
  <c r="AF182" i="14"/>
  <c r="K182" i="14"/>
  <c r="AF181" i="14"/>
  <c r="K181" i="14"/>
  <c r="AF178" i="14"/>
  <c r="K178" i="14"/>
  <c r="AF177" i="14"/>
  <c r="K177" i="14"/>
  <c r="AF174" i="14"/>
  <c r="K174" i="14"/>
  <c r="AF173" i="14"/>
  <c r="K173" i="14"/>
  <c r="AF171" i="14"/>
  <c r="K171" i="14"/>
  <c r="AF169" i="14"/>
  <c r="K169" i="14"/>
  <c r="AF167" i="14"/>
  <c r="K167" i="14"/>
  <c r="AF165" i="14"/>
  <c r="K165" i="14"/>
  <c r="AF155" i="14"/>
  <c r="K155" i="14"/>
  <c r="AF146" i="14"/>
  <c r="K146" i="14"/>
  <c r="AF145" i="14"/>
  <c r="K145" i="14"/>
  <c r="AF138" i="14"/>
  <c r="K138" i="14"/>
  <c r="AF137" i="14"/>
  <c r="K137" i="14"/>
  <c r="AF130" i="14"/>
  <c r="K130" i="14"/>
  <c r="AF129" i="14"/>
  <c r="K129" i="14"/>
  <c r="AF122" i="14"/>
  <c r="K122" i="14"/>
  <c r="AF121" i="14"/>
  <c r="K121" i="14"/>
  <c r="AF110" i="14"/>
  <c r="K110" i="14"/>
  <c r="AF109" i="14"/>
  <c r="K109" i="14"/>
  <c r="AF102" i="14"/>
  <c r="K102" i="14"/>
  <c r="AF101" i="14"/>
  <c r="K101" i="14"/>
  <c r="AF94" i="14"/>
  <c r="K94" i="14"/>
  <c r="AF93" i="14"/>
  <c r="K93" i="14"/>
  <c r="AF86" i="14"/>
  <c r="K86" i="14"/>
  <c r="AF50" i="14"/>
  <c r="K50" i="14"/>
  <c r="AF31" i="14"/>
  <c r="K31" i="14"/>
  <c r="AF25" i="14"/>
  <c r="K25" i="14"/>
  <c r="AF17" i="14"/>
  <c r="K17" i="14"/>
  <c r="AF111" i="15"/>
  <c r="K111" i="15"/>
  <c r="AF75" i="15"/>
  <c r="K75" i="15"/>
  <c r="AF71" i="15"/>
  <c r="K71" i="15"/>
  <c r="U112" i="15"/>
  <c r="R112" i="15"/>
  <c r="U72" i="15"/>
  <c r="U5" i="15"/>
  <c r="U109" i="15"/>
  <c r="U105" i="15"/>
  <c r="R105" i="15"/>
  <c r="U93" i="15"/>
  <c r="AF69" i="15"/>
  <c r="K69" i="15"/>
  <c r="U30" i="15"/>
  <c r="AF196" i="13"/>
  <c r="K196" i="13"/>
  <c r="AF180" i="13"/>
  <c r="K180" i="13"/>
  <c r="AF2" i="14"/>
  <c r="K2" i="14"/>
  <c r="Q210" i="13"/>
  <c r="AJ210" i="13"/>
  <c r="AI210" i="13"/>
  <c r="AH210" i="13"/>
  <c r="AF151" i="13"/>
  <c r="K151" i="13"/>
  <c r="AF135" i="13"/>
  <c r="K135" i="13"/>
  <c r="AJ214" i="13"/>
  <c r="Q214" i="13"/>
  <c r="AK214" i="13" s="1"/>
  <c r="AI214" i="13"/>
  <c r="AH214" i="13"/>
  <c r="AI217" i="13"/>
  <c r="AH217" i="13"/>
  <c r="AJ217" i="13"/>
  <c r="Q213" i="13"/>
  <c r="AK213" i="13" s="1"/>
  <c r="AJ213" i="13"/>
  <c r="AI213" i="13"/>
  <c r="AH213" i="13"/>
  <c r="AF208" i="13"/>
  <c r="K208" i="13"/>
  <c r="AF204" i="13"/>
  <c r="K204" i="13"/>
  <c r="AF29" i="13"/>
  <c r="K29" i="13"/>
  <c r="AF108" i="13"/>
  <c r="K108" i="13"/>
  <c r="AF92" i="13"/>
  <c r="K92" i="13"/>
  <c r="AK7" i="13"/>
  <c r="Z8" i="14"/>
  <c r="Q232" i="13"/>
  <c r="AK232" i="13" s="1"/>
  <c r="AJ232" i="13"/>
  <c r="AH232" i="13"/>
  <c r="AI232" i="13"/>
  <c r="AF200" i="13"/>
  <c r="K200" i="13"/>
  <c r="AK223" i="12"/>
  <c r="Z215" i="13"/>
  <c r="AA215" i="13" s="1"/>
  <c r="AG215" i="13" s="1"/>
  <c r="AK219" i="12"/>
  <c r="Z205" i="13"/>
  <c r="AF190" i="12"/>
  <c r="K190" i="12"/>
  <c r="AK184" i="12"/>
  <c r="Z134" i="13"/>
  <c r="AK93" i="12"/>
  <c r="Z177" i="13"/>
  <c r="AF164" i="12"/>
  <c r="K164" i="12"/>
  <c r="AF159" i="12"/>
  <c r="K159" i="12"/>
  <c r="AF155" i="12"/>
  <c r="AF151" i="12"/>
  <c r="K151" i="12"/>
  <c r="AF133" i="12"/>
  <c r="K133" i="12"/>
  <c r="AF128" i="12"/>
  <c r="K128" i="12"/>
  <c r="AF124" i="12"/>
  <c r="K120" i="12"/>
  <c r="AF113" i="12"/>
  <c r="K113" i="12"/>
  <c r="AF108" i="12"/>
  <c r="K108" i="12"/>
  <c r="AF101" i="12"/>
  <c r="K101" i="12"/>
  <c r="AF89" i="12"/>
  <c r="K89" i="12"/>
  <c r="AF81" i="12"/>
  <c r="AF76" i="12"/>
  <c r="K76" i="12"/>
  <c r="AF69" i="12"/>
  <c r="K69" i="12"/>
  <c r="AF57" i="12"/>
  <c r="K57" i="12"/>
  <c r="AF49" i="12"/>
  <c r="K49" i="12"/>
  <c r="AF44" i="12"/>
  <c r="AF37" i="12"/>
  <c r="AF25" i="12"/>
  <c r="K25" i="12"/>
  <c r="AF17" i="12"/>
  <c r="K17" i="12"/>
  <c r="AF12" i="12"/>
  <c r="K12" i="12"/>
  <c r="AF232" i="12"/>
  <c r="K232" i="12"/>
  <c r="AF231" i="12"/>
  <c r="U226" i="12"/>
  <c r="S226" i="12"/>
  <c r="Q226" i="12"/>
  <c r="AH226" i="12"/>
  <c r="AI226" i="12"/>
  <c r="AF216" i="12"/>
  <c r="K216" i="12"/>
  <c r="AJ210" i="12"/>
  <c r="U210" i="12"/>
  <c r="S210" i="12"/>
  <c r="Q210" i="12"/>
  <c r="AK210" i="12" s="1"/>
  <c r="AH210" i="12"/>
  <c r="AI210" i="12"/>
  <c r="AF106" i="12"/>
  <c r="K106" i="12"/>
  <c r="AF90" i="12"/>
  <c r="K90" i="12"/>
  <c r="AF74" i="12"/>
  <c r="K74" i="12"/>
  <c r="AF58" i="12"/>
  <c r="K58" i="12"/>
  <c r="AF42" i="12"/>
  <c r="K42" i="12"/>
  <c r="AF26" i="12"/>
  <c r="K26" i="12"/>
  <c r="AF10" i="12"/>
  <c r="K10" i="12"/>
  <c r="AJ198" i="15"/>
  <c r="AI198" i="15"/>
  <c r="Q198" i="15"/>
  <c r="AK198" i="15" s="1"/>
  <c r="AH198" i="15"/>
  <c r="S198" i="15"/>
  <c r="U198" i="15"/>
  <c r="AJ195" i="15"/>
  <c r="Q195" i="15"/>
  <c r="AK195" i="15" s="1"/>
  <c r="Q185" i="15"/>
  <c r="AK185" i="15" s="1"/>
  <c r="AJ185" i="15"/>
  <c r="AJ179" i="15"/>
  <c r="Q179" i="15"/>
  <c r="AK179" i="15" s="1"/>
  <c r="Q165" i="15"/>
  <c r="AK165" i="15" s="1"/>
  <c r="AJ165" i="15"/>
  <c r="Q149" i="15"/>
  <c r="AK149" i="15" s="1"/>
  <c r="AJ149" i="15"/>
  <c r="Q141" i="15"/>
  <c r="AK141" i="15" s="1"/>
  <c r="AJ141" i="15"/>
  <c r="Q129" i="15"/>
  <c r="AK129" i="15" s="1"/>
  <c r="AJ129" i="15"/>
  <c r="AF263" i="15"/>
  <c r="K263" i="15"/>
  <c r="AF247" i="15"/>
  <c r="K247" i="15"/>
  <c r="AF231" i="15"/>
  <c r="K231" i="15"/>
  <c r="AF211" i="14"/>
  <c r="K211" i="14"/>
  <c r="Q205" i="15"/>
  <c r="AK205" i="15" s="1"/>
  <c r="AI205" i="15"/>
  <c r="AJ202" i="15"/>
  <c r="AI202" i="15"/>
  <c r="Q202" i="15"/>
  <c r="AK202" i="15" s="1"/>
  <c r="AH202" i="15"/>
  <c r="S202" i="15"/>
  <c r="U202" i="15"/>
  <c r="AJ199" i="15"/>
  <c r="Q199" i="15"/>
  <c r="AK199" i="15" s="1"/>
  <c r="Q189" i="15"/>
  <c r="AK189" i="15" s="1"/>
  <c r="AJ189" i="15"/>
  <c r="AJ186" i="15"/>
  <c r="AI186" i="15"/>
  <c r="Q186" i="15"/>
  <c r="AK186" i="15" s="1"/>
  <c r="AH186" i="15"/>
  <c r="S186" i="15"/>
  <c r="U186" i="15"/>
  <c r="AJ183" i="15"/>
  <c r="Q183" i="15"/>
  <c r="AK183" i="15" s="1"/>
  <c r="AJ174" i="15"/>
  <c r="AI174" i="15"/>
  <c r="Q174" i="15"/>
  <c r="AK174" i="15" s="1"/>
  <c r="AH174" i="15"/>
  <c r="S174" i="15"/>
  <c r="U174" i="15"/>
  <c r="AJ171" i="15"/>
  <c r="Q171" i="15"/>
  <c r="AK171" i="15" s="1"/>
  <c r="AJ166" i="15"/>
  <c r="AI166" i="15"/>
  <c r="Q166" i="15"/>
  <c r="AK166" i="15" s="1"/>
  <c r="AH166" i="15"/>
  <c r="S166" i="15"/>
  <c r="U166" i="15"/>
  <c r="AJ163" i="15"/>
  <c r="Q163" i="15"/>
  <c r="AK163" i="15" s="1"/>
  <c r="AJ158" i="15"/>
  <c r="AI158" i="15"/>
  <c r="Q158" i="15"/>
  <c r="AK158" i="15" s="1"/>
  <c r="AH158" i="15"/>
  <c r="S158" i="15"/>
  <c r="U158" i="15"/>
  <c r="AJ155" i="15"/>
  <c r="Q155" i="15"/>
  <c r="AK155" i="15" s="1"/>
  <c r="AJ150" i="15"/>
  <c r="AI150" i="15"/>
  <c r="Q150" i="15"/>
  <c r="AK150" i="15" s="1"/>
  <c r="AH150" i="15"/>
  <c r="S150" i="15"/>
  <c r="U150" i="15"/>
  <c r="Q147" i="15"/>
  <c r="AK147" i="15" s="1"/>
  <c r="AJ142" i="15"/>
  <c r="AI142" i="15"/>
  <c r="Q142" i="15"/>
  <c r="AK142" i="15" s="1"/>
  <c r="AH142" i="15"/>
  <c r="S142" i="15"/>
  <c r="U142" i="15"/>
  <c r="AJ139" i="15"/>
  <c r="Q139" i="15"/>
  <c r="AK139" i="15" s="1"/>
  <c r="AJ134" i="15"/>
  <c r="AI134" i="15"/>
  <c r="Q134" i="15"/>
  <c r="AK134" i="15" s="1"/>
  <c r="AH134" i="15"/>
  <c r="S134" i="15"/>
  <c r="U134" i="15"/>
  <c r="AJ127" i="15"/>
  <c r="Q125" i="15"/>
  <c r="AK125" i="15" s="1"/>
  <c r="AJ125" i="15"/>
  <c r="AJ118" i="15"/>
  <c r="AI118" i="15"/>
  <c r="Q118" i="15"/>
  <c r="AK118" i="15" s="1"/>
  <c r="S118" i="15"/>
  <c r="U118" i="15"/>
  <c r="AH203" i="15"/>
  <c r="AH197" i="15"/>
  <c r="AH195" i="15"/>
  <c r="AH189" i="15"/>
  <c r="AH187" i="15"/>
  <c r="AH181" i="15"/>
  <c r="AH179" i="15"/>
  <c r="AH173" i="15"/>
  <c r="AH171" i="15"/>
  <c r="AH165" i="15"/>
  <c r="AH163" i="15"/>
  <c r="AH157" i="15"/>
  <c r="AH155" i="15"/>
  <c r="AH149" i="15"/>
  <c r="AH147" i="15"/>
  <c r="AH137" i="15"/>
  <c r="AH131" i="15"/>
  <c r="AF223" i="15"/>
  <c r="K223" i="15"/>
  <c r="U106" i="15"/>
  <c r="U102" i="15"/>
  <c r="R102" i="15"/>
  <c r="Z252" i="14"/>
  <c r="AF233" i="14"/>
  <c r="K233" i="14"/>
  <c r="AF231" i="14"/>
  <c r="K231" i="14"/>
  <c r="AF230" i="14"/>
  <c r="K230" i="14"/>
  <c r="AF229" i="14"/>
  <c r="K229" i="14"/>
  <c r="AF227" i="14"/>
  <c r="K227" i="14"/>
  <c r="AF226" i="14"/>
  <c r="K226" i="14"/>
  <c r="AF225" i="14"/>
  <c r="K225" i="14"/>
  <c r="AF223" i="14"/>
  <c r="K223" i="14"/>
  <c r="AF222" i="14"/>
  <c r="K222" i="14"/>
  <c r="AF221" i="14"/>
  <c r="K221" i="14"/>
  <c r="AF195" i="14"/>
  <c r="K195" i="14"/>
  <c r="AF194" i="14"/>
  <c r="K194" i="14"/>
  <c r="AF193" i="14"/>
  <c r="K193" i="14"/>
  <c r="AF191" i="14"/>
  <c r="K191" i="14"/>
  <c r="AF190" i="14"/>
  <c r="K190" i="14"/>
  <c r="AF189" i="14"/>
  <c r="K189" i="14"/>
  <c r="AF187" i="14"/>
  <c r="K187" i="14"/>
  <c r="AF186" i="14"/>
  <c r="K186" i="14"/>
  <c r="AF185" i="14"/>
  <c r="K185" i="14"/>
  <c r="AF183" i="14"/>
  <c r="K183" i="14"/>
  <c r="AF179" i="14"/>
  <c r="K179" i="14"/>
  <c r="AF175" i="14"/>
  <c r="K175" i="14"/>
  <c r="AF158" i="14"/>
  <c r="K158" i="14"/>
  <c r="AF157" i="14"/>
  <c r="K157" i="14"/>
  <c r="AF150" i="14"/>
  <c r="K150" i="14"/>
  <c r="AF149" i="14"/>
  <c r="K149" i="14"/>
  <c r="AF147" i="14"/>
  <c r="K147" i="14"/>
  <c r="AF139" i="14"/>
  <c r="K139" i="14"/>
  <c r="AF131" i="14"/>
  <c r="K131" i="14"/>
  <c r="AF123" i="14"/>
  <c r="K123" i="14"/>
  <c r="AF111" i="14"/>
  <c r="K111" i="14"/>
  <c r="AF46" i="14"/>
  <c r="K46" i="14"/>
  <c r="AF39" i="14"/>
  <c r="K39" i="14"/>
  <c r="AF95" i="15"/>
  <c r="K95" i="15"/>
  <c r="U59" i="15"/>
  <c r="AF55" i="15"/>
  <c r="K55" i="15"/>
  <c r="U43" i="15"/>
  <c r="AF40" i="15"/>
  <c r="K40" i="15"/>
  <c r="U28" i="15"/>
  <c r="AF24" i="15"/>
  <c r="K24" i="15"/>
  <c r="U12" i="15"/>
  <c r="U108" i="15"/>
  <c r="U104" i="15"/>
  <c r="AF48" i="15"/>
  <c r="K48" i="15"/>
  <c r="AF33" i="15"/>
  <c r="K33" i="15"/>
  <c r="AF17" i="15"/>
  <c r="K17" i="15"/>
  <c r="S89" i="15"/>
  <c r="T89" i="15" s="1"/>
  <c r="AL89" i="15" s="1"/>
  <c r="AF85" i="15"/>
  <c r="K85" i="15"/>
  <c r="S65" i="15"/>
  <c r="U57" i="15"/>
  <c r="R57" i="15"/>
  <c r="U45" i="15"/>
  <c r="S26" i="15"/>
  <c r="AF22" i="15"/>
  <c r="K22" i="15"/>
  <c r="R218" i="13"/>
  <c r="U218" i="13"/>
  <c r="AF202" i="13"/>
  <c r="K202" i="13"/>
  <c r="AK159" i="13"/>
  <c r="Z173" i="14"/>
  <c r="U222" i="13"/>
  <c r="AF236" i="13"/>
  <c r="K236" i="13"/>
  <c r="AF54" i="13"/>
  <c r="K54" i="13"/>
  <c r="AF86" i="13"/>
  <c r="K86" i="13"/>
  <c r="Q237" i="13"/>
  <c r="AK237" i="13" s="1"/>
  <c r="Q229" i="13"/>
  <c r="AJ229" i="13"/>
  <c r="AI229" i="13"/>
  <c r="AH229" i="13"/>
  <c r="S220" i="13"/>
  <c r="AH228" i="13"/>
  <c r="U205" i="13"/>
  <c r="AK208" i="12"/>
  <c r="Z186" i="13"/>
  <c r="AK191" i="12"/>
  <c r="Z147" i="13"/>
  <c r="AF186" i="12"/>
  <c r="K186" i="12"/>
  <c r="AF179" i="12"/>
  <c r="K179" i="12"/>
  <c r="AK117" i="12"/>
  <c r="Z229" i="13"/>
  <c r="AA229" i="13" s="1"/>
  <c r="AG229" i="13" s="1"/>
  <c r="AK106" i="12"/>
  <c r="Z208" i="13"/>
  <c r="AK101" i="12"/>
  <c r="Z198" i="13"/>
  <c r="Z191" i="13"/>
  <c r="AK98" i="12"/>
  <c r="AK90" i="12"/>
  <c r="Z174" i="13"/>
  <c r="AK82" i="12"/>
  <c r="Z165" i="13"/>
  <c r="Z143" i="13"/>
  <c r="AK74" i="12"/>
  <c r="AK69" i="12"/>
  <c r="Z133" i="13"/>
  <c r="AK66" i="12"/>
  <c r="Z129" i="13"/>
  <c r="AF160" i="12"/>
  <c r="K160" i="12"/>
  <c r="AF156" i="12"/>
  <c r="K156" i="12"/>
  <c r="AF152" i="12"/>
  <c r="K152" i="12"/>
  <c r="AF147" i="12"/>
  <c r="K147" i="12"/>
  <c r="AF129" i="12"/>
  <c r="K129" i="12"/>
  <c r="AF125" i="12"/>
  <c r="K125" i="12"/>
  <c r="AF121" i="12"/>
  <c r="K121" i="12"/>
  <c r="AF116" i="12"/>
  <c r="K116" i="12"/>
  <c r="AF109" i="12"/>
  <c r="K109" i="12"/>
  <c r="AF104" i="12"/>
  <c r="K104" i="12"/>
  <c r="AF96" i="12"/>
  <c r="K96" i="12"/>
  <c r="AF84" i="12"/>
  <c r="K84" i="12"/>
  <c r="AF77" i="12"/>
  <c r="K77" i="12"/>
  <c r="AF72" i="12"/>
  <c r="K72" i="12"/>
  <c r="AF64" i="12"/>
  <c r="K64" i="12"/>
  <c r="AF52" i="12"/>
  <c r="K52" i="12"/>
  <c r="AF45" i="12"/>
  <c r="K45" i="12"/>
  <c r="AF40" i="12"/>
  <c r="K40" i="12"/>
  <c r="AF32" i="12"/>
  <c r="K32" i="12"/>
  <c r="AF20" i="12"/>
  <c r="K20" i="12"/>
  <c r="AF13" i="12"/>
  <c r="K13" i="12"/>
  <c r="AF236" i="12"/>
  <c r="K236" i="12"/>
  <c r="U230" i="12"/>
  <c r="S230" i="12"/>
  <c r="AJ230" i="12"/>
  <c r="Q230" i="12"/>
  <c r="AH230" i="12"/>
  <c r="AI230" i="12"/>
  <c r="AF220" i="12"/>
  <c r="K220" i="12"/>
  <c r="U214" i="12"/>
  <c r="S214" i="12"/>
  <c r="AJ214" i="12"/>
  <c r="Q214" i="12"/>
  <c r="AH214" i="12"/>
  <c r="AI214" i="12"/>
  <c r="AF204" i="12"/>
  <c r="K204" i="12"/>
  <c r="AF110" i="12"/>
  <c r="K110" i="12"/>
  <c r="AF94" i="12"/>
  <c r="K94" i="12"/>
  <c r="AF78" i="12"/>
  <c r="K78" i="12"/>
  <c r="AF62" i="12"/>
  <c r="K62" i="12"/>
  <c r="AF46" i="12"/>
  <c r="K46" i="12"/>
  <c r="AF30" i="12"/>
  <c r="K30" i="12"/>
  <c r="AF14" i="12"/>
  <c r="K14" i="12"/>
  <c r="AJ266" i="15"/>
  <c r="O266" i="15"/>
  <c r="AI266" i="15"/>
  <c r="AH265" i="15"/>
  <c r="AJ258" i="15"/>
  <c r="O258" i="15"/>
  <c r="AI258" i="15"/>
  <c r="AH257" i="15"/>
  <c r="AJ250" i="15"/>
  <c r="O250" i="15"/>
  <c r="AI250" i="15"/>
  <c r="AH249" i="15"/>
  <c r="AJ242" i="15"/>
  <c r="O242" i="15"/>
  <c r="AI242" i="15"/>
  <c r="AH241" i="15"/>
  <c r="AJ234" i="15"/>
  <c r="O234" i="15"/>
  <c r="AI234" i="15"/>
  <c r="AH233" i="15"/>
  <c r="AJ226" i="15"/>
  <c r="O226" i="15"/>
  <c r="AI226" i="15"/>
  <c r="AH225" i="15"/>
  <c r="AJ218" i="15"/>
  <c r="O218" i="15"/>
  <c r="AI218" i="15"/>
  <c r="AH217" i="15"/>
  <c r="AJ210" i="15"/>
  <c r="O210" i="15"/>
  <c r="AI210" i="15"/>
  <c r="AH209" i="15"/>
  <c r="AF8" i="15"/>
  <c r="K8" i="15"/>
  <c r="O7" i="15"/>
  <c r="X203" i="15"/>
  <c r="Y203" i="15" s="1"/>
  <c r="X199" i="15"/>
  <c r="Y199" i="15" s="1"/>
  <c r="X195" i="15"/>
  <c r="Y195" i="15" s="1"/>
  <c r="X191" i="15"/>
  <c r="Y191" i="15" s="1"/>
  <c r="X187" i="15"/>
  <c r="Y187" i="15" s="1"/>
  <c r="X183" i="15"/>
  <c r="Y183" i="15" s="1"/>
  <c r="X179" i="15"/>
  <c r="Y179" i="15" s="1"/>
  <c r="X175" i="15"/>
  <c r="Y175" i="15" s="1"/>
  <c r="X171" i="15"/>
  <c r="Y171" i="15" s="1"/>
  <c r="X167" i="15"/>
  <c r="Y167" i="15" s="1"/>
  <c r="X163" i="15"/>
  <c r="Y163" i="15" s="1"/>
  <c r="X159" i="15"/>
  <c r="Y159" i="15" s="1"/>
  <c r="X155" i="15"/>
  <c r="Y155" i="15" s="1"/>
  <c r="X151" i="15"/>
  <c r="Y151" i="15" s="1"/>
  <c r="X147" i="15"/>
  <c r="Y147" i="15" s="1"/>
  <c r="AJ267" i="15"/>
  <c r="O267" i="15"/>
  <c r="S267" i="15" s="1"/>
  <c r="AB265" i="15"/>
  <c r="AJ259" i="15"/>
  <c r="O259" i="15"/>
  <c r="S259" i="15" s="1"/>
  <c r="AB257" i="15"/>
  <c r="AJ251" i="15"/>
  <c r="O251" i="15"/>
  <c r="S251" i="15" s="1"/>
  <c r="AB249" i="15"/>
  <c r="AJ243" i="15"/>
  <c r="O243" i="15"/>
  <c r="S243" i="15" s="1"/>
  <c r="AB241" i="15"/>
  <c r="AJ235" i="15"/>
  <c r="O235" i="15"/>
  <c r="S235" i="15" s="1"/>
  <c r="AB233" i="15"/>
  <c r="AJ227" i="15"/>
  <c r="O227" i="15"/>
  <c r="S227" i="15" s="1"/>
  <c r="AB225" i="15"/>
  <c r="AJ219" i="15"/>
  <c r="O219" i="15"/>
  <c r="S219" i="15" s="1"/>
  <c r="AB217" i="15"/>
  <c r="AJ211" i="15"/>
  <c r="O211" i="15"/>
  <c r="S211" i="15" s="1"/>
  <c r="O205" i="15"/>
  <c r="R205" i="15" s="1"/>
  <c r="AI203" i="15"/>
  <c r="O203" i="15"/>
  <c r="U203" i="15" s="1"/>
  <c r="AI201" i="15"/>
  <c r="O201" i="15"/>
  <c r="R201" i="15" s="1"/>
  <c r="AI199" i="15"/>
  <c r="O199" i="15"/>
  <c r="U199" i="15" s="1"/>
  <c r="AI197" i="15"/>
  <c r="O197" i="15"/>
  <c r="R197" i="15" s="1"/>
  <c r="AI195" i="15"/>
  <c r="O195" i="15"/>
  <c r="U195" i="15" s="1"/>
  <c r="AI193" i="15"/>
  <c r="O193" i="15"/>
  <c r="R193" i="15" s="1"/>
  <c r="AI191" i="15"/>
  <c r="O191" i="15"/>
  <c r="U191" i="15" s="1"/>
  <c r="AI189" i="15"/>
  <c r="O189" i="15"/>
  <c r="R189" i="15" s="1"/>
  <c r="AI187" i="15"/>
  <c r="O187" i="15"/>
  <c r="U187" i="15" s="1"/>
  <c r="AI185" i="15"/>
  <c r="O185" i="15"/>
  <c r="R185" i="15" s="1"/>
  <c r="AI183" i="15"/>
  <c r="O183" i="15"/>
  <c r="U183" i="15" s="1"/>
  <c r="AI181" i="15"/>
  <c r="O181" i="15"/>
  <c r="R181" i="15" s="1"/>
  <c r="AI179" i="15"/>
  <c r="O179" i="15"/>
  <c r="U179" i="15" s="1"/>
  <c r="AI177" i="15"/>
  <c r="O177" i="15"/>
  <c r="R177" i="15" s="1"/>
  <c r="AI175" i="15"/>
  <c r="O175" i="15"/>
  <c r="U175" i="15" s="1"/>
  <c r="AI173" i="15"/>
  <c r="O173" i="15"/>
  <c r="R173" i="15" s="1"/>
  <c r="AI171" i="15"/>
  <c r="O171" i="15"/>
  <c r="U171" i="15" s="1"/>
  <c r="AI169" i="15"/>
  <c r="O169" i="15"/>
  <c r="R169" i="15" s="1"/>
  <c r="AI167" i="15"/>
  <c r="O167" i="15"/>
  <c r="U167" i="15" s="1"/>
  <c r="AI165" i="15"/>
  <c r="O165" i="15"/>
  <c r="R165" i="15" s="1"/>
  <c r="AI163" i="15"/>
  <c r="O163" i="15"/>
  <c r="U163" i="15" s="1"/>
  <c r="AI161" i="15"/>
  <c r="O161" i="15"/>
  <c r="R161" i="15" s="1"/>
  <c r="AI159" i="15"/>
  <c r="O159" i="15"/>
  <c r="U159" i="15" s="1"/>
  <c r="AI157" i="15"/>
  <c r="O157" i="15"/>
  <c r="R157" i="15" s="1"/>
  <c r="AI155" i="15"/>
  <c r="O155" i="15"/>
  <c r="U155" i="15" s="1"/>
  <c r="AI153" i="15"/>
  <c r="O153" i="15"/>
  <c r="R153" i="15" s="1"/>
  <c r="AI151" i="15"/>
  <c r="O151" i="15"/>
  <c r="U151" i="15" s="1"/>
  <c r="AI149" i="15"/>
  <c r="O149" i="15"/>
  <c r="R149" i="15" s="1"/>
  <c r="AI147" i="15"/>
  <c r="O147" i="15"/>
  <c r="U147" i="15" s="1"/>
  <c r="AI145" i="15"/>
  <c r="O145" i="15"/>
  <c r="R145" i="15" s="1"/>
  <c r="AI143" i="15"/>
  <c r="O143" i="15"/>
  <c r="U143" i="15" s="1"/>
  <c r="AI141" i="15"/>
  <c r="O141" i="15"/>
  <c r="R141" i="15" s="1"/>
  <c r="AI139" i="15"/>
  <c r="O139" i="15"/>
  <c r="U139" i="15" s="1"/>
  <c r="AI137" i="15"/>
  <c r="O137" i="15"/>
  <c r="R137" i="15" s="1"/>
  <c r="AI135" i="15"/>
  <c r="O135" i="15"/>
  <c r="U135" i="15" s="1"/>
  <c r="AI133" i="15"/>
  <c r="O133" i="15"/>
  <c r="R133" i="15" s="1"/>
  <c r="AI131" i="15"/>
  <c r="O131" i="15"/>
  <c r="U131" i="15" s="1"/>
  <c r="AI129" i="15"/>
  <c r="O129" i="15"/>
  <c r="R129" i="15" s="1"/>
  <c r="AI127" i="15"/>
  <c r="O127" i="15"/>
  <c r="U127" i="15" s="1"/>
  <c r="AI125" i="15"/>
  <c r="O125" i="15"/>
  <c r="R125" i="15" s="1"/>
  <c r="AI123" i="15"/>
  <c r="O123" i="15"/>
  <c r="U123" i="15" s="1"/>
  <c r="AI121" i="15"/>
  <c r="O121" i="15"/>
  <c r="R121" i="15" s="1"/>
  <c r="AI119" i="15"/>
  <c r="O119" i="15"/>
  <c r="U119" i="15" s="1"/>
  <c r="AJ8" i="15"/>
  <c r="AI8" i="15"/>
  <c r="S8" i="15"/>
  <c r="Q8" i="15"/>
  <c r="AK8" i="15" s="1"/>
  <c r="U7" i="15"/>
  <c r="X266" i="15"/>
  <c r="Y266" i="15" s="1"/>
  <c r="X258" i="15"/>
  <c r="Y258" i="15" s="1"/>
  <c r="Z250" i="15"/>
  <c r="AA250" i="15" s="1"/>
  <c r="AG250" i="15" s="1"/>
  <c r="X250" i="15"/>
  <c r="Y250" i="15" s="1"/>
  <c r="X242" i="15"/>
  <c r="Y242" i="15" s="1"/>
  <c r="Z234" i="15"/>
  <c r="AA234" i="15" s="1"/>
  <c r="AG234" i="15" s="1"/>
  <c r="X234" i="15"/>
  <c r="Y234" i="15" s="1"/>
  <c r="X226" i="15"/>
  <c r="Y226" i="15" s="1"/>
  <c r="Z218" i="15"/>
  <c r="AA218" i="15" s="1"/>
  <c r="AG218" i="15" s="1"/>
  <c r="X218" i="15"/>
  <c r="Y218" i="15" s="1"/>
  <c r="X210" i="15"/>
  <c r="Y210" i="15" s="1"/>
  <c r="R204" i="15"/>
  <c r="R200" i="15"/>
  <c r="R196" i="15"/>
  <c r="R192" i="15"/>
  <c r="R188" i="15"/>
  <c r="R184" i="15"/>
  <c r="R180" i="15"/>
  <c r="R176" i="15"/>
  <c r="R172" i="15"/>
  <c r="Z171" i="15"/>
  <c r="AA171" i="15" s="1"/>
  <c r="AG171" i="15" s="1"/>
  <c r="R168" i="15"/>
  <c r="R164" i="15"/>
  <c r="R160" i="15"/>
  <c r="R156" i="15"/>
  <c r="R152" i="15"/>
  <c r="R148" i="15"/>
  <c r="R144" i="15"/>
  <c r="R140" i="15"/>
  <c r="R136" i="15"/>
  <c r="R132" i="15"/>
  <c r="Z131" i="15"/>
  <c r="R128" i="15"/>
  <c r="R126" i="15"/>
  <c r="R124" i="15"/>
  <c r="R122" i="15"/>
  <c r="R120" i="15"/>
  <c r="R118" i="15"/>
  <c r="R114" i="15"/>
  <c r="W114" i="15"/>
  <c r="AD114" i="15" s="1"/>
  <c r="U110" i="15"/>
  <c r="AI106" i="15"/>
  <c r="AH102" i="15"/>
  <c r="S102" i="15"/>
  <c r="R98" i="15"/>
  <c r="W98" i="15"/>
  <c r="AD98" i="15" s="1"/>
  <c r="U94" i="15"/>
  <c r="R90" i="15"/>
  <c r="T90" i="15" s="1"/>
  <c r="AL90" i="15" s="1"/>
  <c r="W90" i="15"/>
  <c r="AD90" i="15" s="1"/>
  <c r="AH86" i="15"/>
  <c r="S86" i="15"/>
  <c r="AI82" i="15"/>
  <c r="U78" i="15"/>
  <c r="R74" i="15"/>
  <c r="T74" i="15" s="1"/>
  <c r="AL74" i="15" s="1"/>
  <c r="W74" i="15"/>
  <c r="AD74" i="15" s="1"/>
  <c r="AH70" i="15"/>
  <c r="S70" i="15"/>
  <c r="AI66" i="15"/>
  <c r="U62" i="15"/>
  <c r="R58" i="15"/>
  <c r="T58" i="15" s="1"/>
  <c r="AL58" i="15" s="1"/>
  <c r="W58" i="15"/>
  <c r="AD58" i="15" s="1"/>
  <c r="AH54" i="15"/>
  <c r="S54" i="15"/>
  <c r="AI50" i="15"/>
  <c r="U46" i="15"/>
  <c r="R42" i="15"/>
  <c r="T42" i="15" s="1"/>
  <c r="AL42" i="15" s="1"/>
  <c r="W42" i="15"/>
  <c r="AD42" i="15" s="1"/>
  <c r="AH39" i="15"/>
  <c r="S39" i="15"/>
  <c r="T39" i="15" s="1"/>
  <c r="AL39" i="15" s="1"/>
  <c r="AI35" i="15"/>
  <c r="U31" i="15"/>
  <c r="R27" i="15"/>
  <c r="T27" i="15" s="1"/>
  <c r="AL27" i="15" s="1"/>
  <c r="W27" i="15"/>
  <c r="AD27" i="15" s="1"/>
  <c r="AH23" i="15"/>
  <c r="S23" i="15"/>
  <c r="T23" i="15" s="1"/>
  <c r="AL23" i="15" s="1"/>
  <c r="AI19" i="15"/>
  <c r="U15" i="15"/>
  <c r="R11" i="15"/>
  <c r="T11" i="15" s="1"/>
  <c r="AL11" i="15" s="1"/>
  <c r="W11" i="15"/>
  <c r="AD11" i="15" s="1"/>
  <c r="Z255" i="14"/>
  <c r="AA235" i="14"/>
  <c r="AG235" i="14" s="1"/>
  <c r="AA211" i="14"/>
  <c r="AG211" i="14" s="1"/>
  <c r="AA195" i="14"/>
  <c r="AG195" i="14" s="1"/>
  <c r="AF70" i="14"/>
  <c r="K70" i="14"/>
  <c r="AF66" i="14"/>
  <c r="K66" i="14"/>
  <c r="Y3" i="14"/>
  <c r="AH115" i="15"/>
  <c r="S115" i="15"/>
  <c r="AI111" i="15"/>
  <c r="R103" i="15"/>
  <c r="Q103" i="15"/>
  <c r="AK103" i="15" s="1"/>
  <c r="AH99" i="15"/>
  <c r="S99" i="15"/>
  <c r="AI95" i="15"/>
  <c r="R87" i="15"/>
  <c r="Q87" i="15"/>
  <c r="AK87" i="15" s="1"/>
  <c r="AH83" i="15"/>
  <c r="S83" i="15"/>
  <c r="AI79" i="15"/>
  <c r="Y79" i="15"/>
  <c r="R71" i="15"/>
  <c r="Q71" i="15"/>
  <c r="AK71" i="15" s="1"/>
  <c r="AH67" i="15"/>
  <c r="S67" i="15"/>
  <c r="AI63" i="15"/>
  <c r="R55" i="15"/>
  <c r="W55" i="15"/>
  <c r="AD55" i="15" s="1"/>
  <c r="Q55" i="15"/>
  <c r="AK55" i="15" s="1"/>
  <c r="AH51" i="15"/>
  <c r="S51" i="15"/>
  <c r="AI47" i="15"/>
  <c r="Y47" i="15"/>
  <c r="R40" i="15"/>
  <c r="W40" i="15"/>
  <c r="AD40" i="15" s="1"/>
  <c r="Q40" i="15"/>
  <c r="AK40" i="15" s="1"/>
  <c r="AH36" i="15"/>
  <c r="S36" i="15"/>
  <c r="AI32" i="15"/>
  <c r="R24" i="15"/>
  <c r="W24" i="15"/>
  <c r="AD24" i="15" s="1"/>
  <c r="Q24" i="15"/>
  <c r="AK24" i="15" s="1"/>
  <c r="AH20" i="15"/>
  <c r="S20" i="15"/>
  <c r="AI16" i="15"/>
  <c r="Y16" i="15"/>
  <c r="AH116" i="15"/>
  <c r="S116" i="15"/>
  <c r="AH112" i="15"/>
  <c r="S112" i="15"/>
  <c r="T112" i="15" s="1"/>
  <c r="AL112" i="15" s="1"/>
  <c r="AI108" i="15"/>
  <c r="AI104" i="15"/>
  <c r="U100" i="15"/>
  <c r="R96" i="15"/>
  <c r="T96" i="15" s="1"/>
  <c r="AL96" i="15" s="1"/>
  <c r="W96" i="15"/>
  <c r="AD96" i="15" s="1"/>
  <c r="AH92" i="15"/>
  <c r="S92" i="15"/>
  <c r="T92" i="15" s="1"/>
  <c r="AL92" i="15" s="1"/>
  <c r="AI88" i="15"/>
  <c r="U84" i="15"/>
  <c r="R80" i="15"/>
  <c r="T80" i="15" s="1"/>
  <c r="AL80" i="15" s="1"/>
  <c r="W80" i="15"/>
  <c r="AD80" i="15" s="1"/>
  <c r="AH76" i="15"/>
  <c r="S76" i="15"/>
  <c r="T76" i="15" s="1"/>
  <c r="AL76" i="15" s="1"/>
  <c r="AI72" i="15"/>
  <c r="U68" i="15"/>
  <c r="R64" i="15"/>
  <c r="T64" i="15" s="1"/>
  <c r="AL64" i="15" s="1"/>
  <c r="W64" i="15"/>
  <c r="AD64" i="15" s="1"/>
  <c r="AH60" i="15"/>
  <c r="S60" i="15"/>
  <c r="T60" i="15" s="1"/>
  <c r="AL60" i="15" s="1"/>
  <c r="AI56" i="15"/>
  <c r="U52" i="15"/>
  <c r="R48" i="15"/>
  <c r="T48" i="15" s="1"/>
  <c r="AL48" i="15" s="1"/>
  <c r="W48" i="15"/>
  <c r="AD48" i="15" s="1"/>
  <c r="AH44" i="15"/>
  <c r="S44" i="15"/>
  <c r="AI41" i="15"/>
  <c r="U37" i="15"/>
  <c r="R33" i="15"/>
  <c r="T33" i="15" s="1"/>
  <c r="AL33" i="15" s="1"/>
  <c r="W33" i="15"/>
  <c r="AD33" i="15" s="1"/>
  <c r="AH29" i="15"/>
  <c r="S29" i="15"/>
  <c r="AI25" i="15"/>
  <c r="U21" i="15"/>
  <c r="R17" i="15"/>
  <c r="T17" i="15" s="1"/>
  <c r="AL17" i="15" s="1"/>
  <c r="W17" i="15"/>
  <c r="AD17" i="15" s="1"/>
  <c r="AH13" i="15"/>
  <c r="S13" i="15"/>
  <c r="AI9" i="15"/>
  <c r="AI5" i="15"/>
  <c r="X261" i="14"/>
  <c r="Y261" i="14" s="1"/>
  <c r="AB260" i="14"/>
  <c r="AJ259" i="14"/>
  <c r="Q259" i="14"/>
  <c r="AK259" i="14" s="1"/>
  <c r="AI259" i="14"/>
  <c r="X257" i="14"/>
  <c r="Y257" i="14" s="1"/>
  <c r="AB256" i="14"/>
  <c r="AJ255" i="14"/>
  <c r="Q255" i="14"/>
  <c r="AK255" i="14" s="1"/>
  <c r="AI255" i="14"/>
  <c r="X253" i="14"/>
  <c r="Y253" i="14" s="1"/>
  <c r="AB252" i="14"/>
  <c r="AJ251" i="14"/>
  <c r="Q251" i="14"/>
  <c r="AK251" i="14" s="1"/>
  <c r="AI251" i="14"/>
  <c r="S251" i="14"/>
  <c r="X249" i="14"/>
  <c r="Y249" i="14" s="1"/>
  <c r="AB248" i="14"/>
  <c r="AJ247" i="14"/>
  <c r="AI247" i="14"/>
  <c r="S247" i="14"/>
  <c r="Q247" i="14"/>
  <c r="AK247" i="14" s="1"/>
  <c r="X245" i="14"/>
  <c r="Y245" i="14" s="1"/>
  <c r="AB244" i="14"/>
  <c r="AJ243" i="14"/>
  <c r="AI243" i="14"/>
  <c r="S243" i="14"/>
  <c r="T243" i="14" s="1"/>
  <c r="AL243" i="14" s="1"/>
  <c r="Q243" i="14"/>
  <c r="AK243" i="14" s="1"/>
  <c r="X241" i="14"/>
  <c r="Y241" i="14" s="1"/>
  <c r="AB240" i="14"/>
  <c r="AJ239" i="14"/>
  <c r="AI239" i="14"/>
  <c r="S239" i="14"/>
  <c r="Q239" i="14"/>
  <c r="AK239" i="14" s="1"/>
  <c r="X237" i="14"/>
  <c r="Y237" i="14" s="1"/>
  <c r="AB236" i="14"/>
  <c r="AJ235" i="14"/>
  <c r="AI235" i="14"/>
  <c r="S235" i="14"/>
  <c r="T235" i="14" s="1"/>
  <c r="AL235" i="14" s="1"/>
  <c r="Q235" i="14"/>
  <c r="AK235" i="14" s="1"/>
  <c r="X233" i="14"/>
  <c r="Y233" i="14" s="1"/>
  <c r="AB232" i="14"/>
  <c r="AJ231" i="14"/>
  <c r="AI231" i="14"/>
  <c r="S231" i="14"/>
  <c r="Q231" i="14"/>
  <c r="AK231" i="14" s="1"/>
  <c r="X229" i="14"/>
  <c r="Y229" i="14" s="1"/>
  <c r="AB228" i="14"/>
  <c r="AJ227" i="14"/>
  <c r="AI227" i="14"/>
  <c r="S227" i="14"/>
  <c r="T227" i="14" s="1"/>
  <c r="AL227" i="14" s="1"/>
  <c r="Q227" i="14"/>
  <c r="AK227" i="14" s="1"/>
  <c r="X225" i="14"/>
  <c r="Y225" i="14" s="1"/>
  <c r="AB224" i="14"/>
  <c r="AJ223" i="14"/>
  <c r="AI223" i="14"/>
  <c r="S223" i="14"/>
  <c r="Q223" i="14"/>
  <c r="AK223" i="14" s="1"/>
  <c r="X221" i="14"/>
  <c r="Y221" i="14" s="1"/>
  <c r="AB220" i="14"/>
  <c r="AJ219" i="14"/>
  <c r="AI219" i="14"/>
  <c r="S219" i="14"/>
  <c r="T219" i="14" s="1"/>
  <c r="AL219" i="14" s="1"/>
  <c r="Q219" i="14"/>
  <c r="AK219" i="14" s="1"/>
  <c r="X217" i="14"/>
  <c r="Y217" i="14" s="1"/>
  <c r="AB216" i="14"/>
  <c r="AJ215" i="14"/>
  <c r="AI215" i="14"/>
  <c r="S215" i="14"/>
  <c r="Q215" i="14"/>
  <c r="AK215" i="14" s="1"/>
  <c r="X213" i="14"/>
  <c r="Y213" i="14" s="1"/>
  <c r="AB212" i="14"/>
  <c r="AJ211" i="14"/>
  <c r="AI211" i="14"/>
  <c r="S211" i="14"/>
  <c r="T211" i="14" s="1"/>
  <c r="AL211" i="14" s="1"/>
  <c r="Q211" i="14"/>
  <c r="AK211" i="14" s="1"/>
  <c r="X209" i="14"/>
  <c r="Y209" i="14" s="1"/>
  <c r="AB208" i="14"/>
  <c r="AJ207" i="14"/>
  <c r="AI207" i="14"/>
  <c r="S207" i="14"/>
  <c r="Q207" i="14"/>
  <c r="AK207" i="14" s="1"/>
  <c r="X205" i="14"/>
  <c r="Y205" i="14" s="1"/>
  <c r="AB204" i="14"/>
  <c r="AJ203" i="14"/>
  <c r="AI203" i="14"/>
  <c r="S203" i="14"/>
  <c r="T203" i="14" s="1"/>
  <c r="AL203" i="14" s="1"/>
  <c r="Q203" i="14"/>
  <c r="AK203" i="14" s="1"/>
  <c r="X201" i="14"/>
  <c r="Y201" i="14" s="1"/>
  <c r="AB200" i="14"/>
  <c r="AJ199" i="14"/>
  <c r="AI199" i="14"/>
  <c r="S199" i="14"/>
  <c r="Q199" i="14"/>
  <c r="AK199" i="14" s="1"/>
  <c r="X197" i="14"/>
  <c r="Y197" i="14" s="1"/>
  <c r="AB196" i="14"/>
  <c r="AJ195" i="14"/>
  <c r="AI195" i="14"/>
  <c r="S195" i="14"/>
  <c r="T195" i="14" s="1"/>
  <c r="AL195" i="14" s="1"/>
  <c r="Q195" i="14"/>
  <c r="X193" i="14"/>
  <c r="Y193" i="14" s="1"/>
  <c r="AB192" i="14"/>
  <c r="AJ191" i="14"/>
  <c r="AI191" i="14"/>
  <c r="S191" i="14"/>
  <c r="Q191" i="14"/>
  <c r="X189" i="14"/>
  <c r="Y189" i="14" s="1"/>
  <c r="AB188" i="14"/>
  <c r="AJ187" i="14"/>
  <c r="AI187" i="14"/>
  <c r="S187" i="14"/>
  <c r="T187" i="14" s="1"/>
  <c r="AL187" i="14" s="1"/>
  <c r="Q187" i="14"/>
  <c r="X185" i="14"/>
  <c r="Y185" i="14" s="1"/>
  <c r="AB184" i="14"/>
  <c r="AJ183" i="14"/>
  <c r="AI183" i="14"/>
  <c r="S183" i="14"/>
  <c r="Q183" i="14"/>
  <c r="X181" i="14"/>
  <c r="Y181" i="14" s="1"/>
  <c r="AB180" i="14"/>
  <c r="AJ179" i="14"/>
  <c r="AI179" i="14"/>
  <c r="S179" i="14"/>
  <c r="T179" i="14" s="1"/>
  <c r="AL179" i="14" s="1"/>
  <c r="Q179" i="14"/>
  <c r="X177" i="14"/>
  <c r="Y177" i="14" s="1"/>
  <c r="AB176" i="14"/>
  <c r="AJ175" i="14"/>
  <c r="AI175" i="14"/>
  <c r="S175" i="14"/>
  <c r="Q175" i="14"/>
  <c r="X173" i="14"/>
  <c r="Y173" i="14" s="1"/>
  <c r="AB172" i="14"/>
  <c r="AJ171" i="14"/>
  <c r="AI171" i="14"/>
  <c r="S171" i="14"/>
  <c r="T171" i="14" s="1"/>
  <c r="AL171" i="14" s="1"/>
  <c r="Q171" i="14"/>
  <c r="X169" i="14"/>
  <c r="Y169" i="14" s="1"/>
  <c r="AB168" i="14"/>
  <c r="AJ167" i="14"/>
  <c r="AI167" i="14"/>
  <c r="S167" i="14"/>
  <c r="Q167" i="14"/>
  <c r="X165" i="14"/>
  <c r="Y165" i="14" s="1"/>
  <c r="AB164" i="14"/>
  <c r="AI163" i="14"/>
  <c r="S163" i="14"/>
  <c r="T163" i="14" s="1"/>
  <c r="AL163" i="14" s="1"/>
  <c r="Q163" i="14"/>
  <c r="AK163" i="14" s="1"/>
  <c r="Y161" i="14"/>
  <c r="AB160" i="14"/>
  <c r="AI159" i="14"/>
  <c r="S159" i="14"/>
  <c r="T159" i="14" s="1"/>
  <c r="AL159" i="14" s="1"/>
  <c r="Q159" i="14"/>
  <c r="AK159" i="14" s="1"/>
  <c r="Y157" i="14"/>
  <c r="AB156" i="14"/>
  <c r="AI155" i="14"/>
  <c r="S155" i="14"/>
  <c r="T155" i="14" s="1"/>
  <c r="AL155" i="14" s="1"/>
  <c r="Q155" i="14"/>
  <c r="Y153" i="14"/>
  <c r="AB152" i="14"/>
  <c r="AI151" i="14"/>
  <c r="S151" i="14"/>
  <c r="Q151" i="14"/>
  <c r="Y149" i="14"/>
  <c r="AB148" i="14"/>
  <c r="AI147" i="14"/>
  <c r="S147" i="14"/>
  <c r="T147" i="14" s="1"/>
  <c r="AL147" i="14" s="1"/>
  <c r="Q147" i="14"/>
  <c r="Y145" i="14"/>
  <c r="AB144" i="14"/>
  <c r="AI143" i="14"/>
  <c r="S143" i="14"/>
  <c r="T143" i="14" s="1"/>
  <c r="AL143" i="14" s="1"/>
  <c r="Q143" i="14"/>
  <c r="Y141" i="14"/>
  <c r="AB140" i="14"/>
  <c r="AI139" i="14"/>
  <c r="S139" i="14"/>
  <c r="T139" i="14" s="1"/>
  <c r="AL139" i="14" s="1"/>
  <c r="Q139" i="14"/>
  <c r="Y137" i="14"/>
  <c r="AB136" i="14"/>
  <c r="AI135" i="14"/>
  <c r="S135" i="14"/>
  <c r="Q135" i="14"/>
  <c r="Y133" i="14"/>
  <c r="AB132" i="14"/>
  <c r="AI131" i="14"/>
  <c r="S131" i="14"/>
  <c r="T131" i="14" s="1"/>
  <c r="AL131" i="14" s="1"/>
  <c r="Q131" i="14"/>
  <c r="AK131" i="14" s="1"/>
  <c r="Y129" i="14"/>
  <c r="AB128" i="14"/>
  <c r="AI127" i="14"/>
  <c r="S127" i="14"/>
  <c r="T127" i="14" s="1"/>
  <c r="AL127" i="14" s="1"/>
  <c r="Q127" i="14"/>
  <c r="AK127" i="14" s="1"/>
  <c r="Y125" i="14"/>
  <c r="AB124" i="14"/>
  <c r="AI123" i="14"/>
  <c r="S123" i="14"/>
  <c r="T123" i="14" s="1"/>
  <c r="AL123" i="14" s="1"/>
  <c r="Q123" i="14"/>
  <c r="AK123" i="14" s="1"/>
  <c r="Y121" i="14"/>
  <c r="AB120" i="14"/>
  <c r="AI119" i="14"/>
  <c r="S119" i="14"/>
  <c r="Q119" i="14"/>
  <c r="Y117" i="14"/>
  <c r="AB116" i="14"/>
  <c r="AI115" i="14"/>
  <c r="S115" i="14"/>
  <c r="T115" i="14" s="1"/>
  <c r="AL115" i="14" s="1"/>
  <c r="Q115" i="14"/>
  <c r="Y113" i="14"/>
  <c r="AB112" i="14"/>
  <c r="AI111" i="14"/>
  <c r="S111" i="14"/>
  <c r="T111" i="14" s="1"/>
  <c r="AL111" i="14" s="1"/>
  <c r="Q111" i="14"/>
  <c r="Y109" i="14"/>
  <c r="AB108" i="14"/>
  <c r="AI107" i="14"/>
  <c r="S107" i="14"/>
  <c r="T107" i="14" s="1"/>
  <c r="AL107" i="14" s="1"/>
  <c r="Q107" i="14"/>
  <c r="Y105" i="14"/>
  <c r="AB104" i="14"/>
  <c r="AI103" i="14"/>
  <c r="S103" i="14"/>
  <c r="Q103" i="14"/>
  <c r="Y101" i="14"/>
  <c r="AB100" i="14"/>
  <c r="AI99" i="14"/>
  <c r="S99" i="14"/>
  <c r="T99" i="14" s="1"/>
  <c r="AL99" i="14" s="1"/>
  <c r="Q99" i="14"/>
  <c r="Y97" i="14"/>
  <c r="AB96" i="14"/>
  <c r="AI95" i="14"/>
  <c r="S95" i="14"/>
  <c r="T95" i="14" s="1"/>
  <c r="AL95" i="14" s="1"/>
  <c r="Q95" i="14"/>
  <c r="Y93" i="14"/>
  <c r="AB92" i="14"/>
  <c r="AI91" i="14"/>
  <c r="S91" i="14"/>
  <c r="T91" i="14" s="1"/>
  <c r="AL91" i="14" s="1"/>
  <c r="Q91" i="14"/>
  <c r="AK91" i="14" s="1"/>
  <c r="Y89" i="14"/>
  <c r="AB88" i="14"/>
  <c r="AI87" i="14"/>
  <c r="S87" i="14"/>
  <c r="Q87" i="14"/>
  <c r="Y85" i="14"/>
  <c r="AB84" i="14"/>
  <c r="AI83" i="14"/>
  <c r="Q83" i="14"/>
  <c r="AK83" i="14" s="1"/>
  <c r="Y81" i="14"/>
  <c r="AB80" i="14"/>
  <c r="AI79" i="14"/>
  <c r="Q79" i="14"/>
  <c r="Y77" i="14"/>
  <c r="AB76" i="14"/>
  <c r="AI75" i="14"/>
  <c r="Q75" i="14"/>
  <c r="AK75" i="14" s="1"/>
  <c r="Y73" i="14"/>
  <c r="AB72" i="14"/>
  <c r="AI71" i="14"/>
  <c r="Q71" i="14"/>
  <c r="Y69" i="14"/>
  <c r="AB68" i="14"/>
  <c r="AI67" i="14"/>
  <c r="Q67" i="14"/>
  <c r="AK67" i="14" s="1"/>
  <c r="Y65" i="14"/>
  <c r="AB64" i="14"/>
  <c r="AI63" i="14"/>
  <c r="Q63" i="14"/>
  <c r="Y61" i="14"/>
  <c r="AB60" i="14"/>
  <c r="AI59" i="14"/>
  <c r="Q59" i="14"/>
  <c r="AK59" i="14" s="1"/>
  <c r="Y57" i="14"/>
  <c r="AB56" i="14"/>
  <c r="AI55" i="14"/>
  <c r="Q55" i="14"/>
  <c r="Y53" i="14"/>
  <c r="AB52" i="14"/>
  <c r="AI51" i="14"/>
  <c r="S51" i="14"/>
  <c r="T51" i="14" s="1"/>
  <c r="AL51" i="14" s="1"/>
  <c r="Q51" i="14"/>
  <c r="Y49" i="14"/>
  <c r="AB48" i="14"/>
  <c r="AI47" i="14"/>
  <c r="S47" i="14"/>
  <c r="T47" i="14" s="1"/>
  <c r="AL47" i="14" s="1"/>
  <c r="Q47" i="14"/>
  <c r="Y45" i="14"/>
  <c r="AB44" i="14"/>
  <c r="AI43" i="14"/>
  <c r="Q43" i="14"/>
  <c r="AK43" i="14" s="1"/>
  <c r="Y41" i="14"/>
  <c r="AB40" i="14"/>
  <c r="AI39" i="14"/>
  <c r="S39" i="14"/>
  <c r="Q39" i="14"/>
  <c r="Y37" i="14"/>
  <c r="AB36" i="14"/>
  <c r="AI35" i="14"/>
  <c r="S35" i="14"/>
  <c r="T35" i="14" s="1"/>
  <c r="AL35" i="14" s="1"/>
  <c r="Q35" i="14"/>
  <c r="AK35" i="14" s="1"/>
  <c r="Y33" i="14"/>
  <c r="AB32" i="14"/>
  <c r="AI31" i="14"/>
  <c r="S31" i="14"/>
  <c r="T31" i="14" s="1"/>
  <c r="AL31" i="14" s="1"/>
  <c r="Q31" i="14"/>
  <c r="Y29" i="14"/>
  <c r="AB28" i="14"/>
  <c r="AI27" i="14"/>
  <c r="Q27" i="14"/>
  <c r="Y25" i="14"/>
  <c r="AB24" i="14"/>
  <c r="AI23" i="14"/>
  <c r="Q23" i="14"/>
  <c r="Y21" i="14"/>
  <c r="AB20" i="14"/>
  <c r="AI19" i="14"/>
  <c r="Q19" i="14"/>
  <c r="AK19" i="14" s="1"/>
  <c r="Y17" i="14"/>
  <c r="AB16" i="14"/>
  <c r="AI15" i="14"/>
  <c r="S15" i="14"/>
  <c r="T15" i="14" s="1"/>
  <c r="AL15" i="14" s="1"/>
  <c r="Q15" i="14"/>
  <c r="Y13" i="14"/>
  <c r="AB12" i="14"/>
  <c r="AI11" i="14"/>
  <c r="Q11" i="14"/>
  <c r="Y9" i="14"/>
  <c r="AB5" i="14"/>
  <c r="R117" i="15"/>
  <c r="T117" i="15" s="1"/>
  <c r="AL117" i="15" s="1"/>
  <c r="Q117" i="15"/>
  <c r="AK117" i="15" s="1"/>
  <c r="AI109" i="15"/>
  <c r="AH105" i="15"/>
  <c r="R101" i="15"/>
  <c r="T101" i="15" s="1"/>
  <c r="AL101" i="15" s="1"/>
  <c r="Q101" i="15"/>
  <c r="AK101" i="15" s="1"/>
  <c r="U97" i="15"/>
  <c r="AI93" i="15"/>
  <c r="AH89" i="15"/>
  <c r="R85" i="15"/>
  <c r="Q85" i="15"/>
  <c r="AK85" i="15" s="1"/>
  <c r="U81" i="15"/>
  <c r="AI77" i="15"/>
  <c r="AH73" i="15"/>
  <c r="R69" i="15"/>
  <c r="Q69" i="15"/>
  <c r="AK69" i="15" s="1"/>
  <c r="U65" i="15"/>
  <c r="AI61" i="15"/>
  <c r="AH57" i="15"/>
  <c r="R53" i="15"/>
  <c r="T53" i="15" s="1"/>
  <c r="AL53" i="15" s="1"/>
  <c r="Q53" i="15"/>
  <c r="AK53" i="15" s="1"/>
  <c r="U49" i="15"/>
  <c r="AI45" i="15"/>
  <c r="R38" i="15"/>
  <c r="T38" i="15" s="1"/>
  <c r="AL38" i="15" s="1"/>
  <c r="Q38" i="15"/>
  <c r="AK38" i="15" s="1"/>
  <c r="U34" i="15"/>
  <c r="AI30" i="15"/>
  <c r="AH26" i="15"/>
  <c r="R22" i="15"/>
  <c r="T22" i="15" s="1"/>
  <c r="AL22" i="15" s="1"/>
  <c r="Q22" i="15"/>
  <c r="AK22" i="15" s="1"/>
  <c r="U18" i="15"/>
  <c r="AI14" i="15"/>
  <c r="AH10" i="15"/>
  <c r="X115" i="15"/>
  <c r="Y115" i="15" s="1"/>
  <c r="X99" i="15"/>
  <c r="Y99" i="15" s="1"/>
  <c r="AJ86" i="15"/>
  <c r="X75" i="15"/>
  <c r="Y75" i="15" s="1"/>
  <c r="AJ54" i="15"/>
  <c r="X43" i="15"/>
  <c r="Y43" i="15" s="1"/>
  <c r="AJ23" i="15"/>
  <c r="X12" i="15"/>
  <c r="Y12" i="15" s="1"/>
  <c r="AJ106" i="15"/>
  <c r="N7" i="14"/>
  <c r="U7" i="14" s="1"/>
  <c r="O7" i="14"/>
  <c r="AJ129" i="13"/>
  <c r="Q129" i="13"/>
  <c r="AH129" i="13"/>
  <c r="AI129" i="13"/>
  <c r="AH128" i="13"/>
  <c r="S128" i="13"/>
  <c r="R128" i="13"/>
  <c r="Q128" i="13"/>
  <c r="AK128" i="13" s="1"/>
  <c r="AI128" i="13"/>
  <c r="AH127" i="13"/>
  <c r="AI127" i="13"/>
  <c r="Q127" i="13"/>
  <c r="AH122" i="13"/>
  <c r="S122" i="13"/>
  <c r="R122" i="13"/>
  <c r="Q122" i="13"/>
  <c r="AI122" i="13"/>
  <c r="AI120" i="13"/>
  <c r="AH120" i="13"/>
  <c r="S120" i="13"/>
  <c r="R120" i="13"/>
  <c r="Q120" i="13"/>
  <c r="AK120" i="13" s="1"/>
  <c r="AH119" i="13"/>
  <c r="AI119" i="13"/>
  <c r="Q119" i="13"/>
  <c r="R118" i="13"/>
  <c r="Q118" i="13"/>
  <c r="AK118" i="13" s="1"/>
  <c r="AI118" i="13"/>
  <c r="S118" i="13"/>
  <c r="AH118" i="13"/>
  <c r="AH117" i="13"/>
  <c r="Q117" i="13"/>
  <c r="AI117" i="13"/>
  <c r="AI116" i="13"/>
  <c r="AH116" i="13"/>
  <c r="S116" i="13"/>
  <c r="R116" i="13"/>
  <c r="Q116" i="13"/>
  <c r="AK116" i="13" s="1"/>
  <c r="AH115" i="13"/>
  <c r="AI115" i="13"/>
  <c r="Q115" i="13"/>
  <c r="R114" i="13"/>
  <c r="Q114" i="13"/>
  <c r="AK114" i="13" s="1"/>
  <c r="AI114" i="13"/>
  <c r="S114" i="13"/>
  <c r="AH114" i="13"/>
  <c r="AH113" i="13"/>
  <c r="Q113" i="13"/>
  <c r="AI113" i="13"/>
  <c r="AI112" i="13"/>
  <c r="AH112" i="13"/>
  <c r="S112" i="13"/>
  <c r="R112" i="13"/>
  <c r="Q112" i="13"/>
  <c r="AK112" i="13" s="1"/>
  <c r="AH111" i="13"/>
  <c r="AI111" i="13"/>
  <c r="Q111" i="13"/>
  <c r="R110" i="13"/>
  <c r="Q110" i="13"/>
  <c r="AK110" i="13" s="1"/>
  <c r="AI110" i="13"/>
  <c r="AH110" i="13"/>
  <c r="S110" i="13"/>
  <c r="AH109" i="13"/>
  <c r="Q109" i="13"/>
  <c r="AI109" i="13"/>
  <c r="AI108" i="13"/>
  <c r="AH108" i="13"/>
  <c r="S108" i="13"/>
  <c r="R108" i="13"/>
  <c r="Q108" i="13"/>
  <c r="AK108" i="13" s="1"/>
  <c r="AH107" i="13"/>
  <c r="AI107" i="13"/>
  <c r="Q107" i="13"/>
  <c r="AK107" i="13" s="1"/>
  <c r="R106" i="13"/>
  <c r="Q106" i="13"/>
  <c r="AI106" i="13"/>
  <c r="S106" i="13"/>
  <c r="AH106" i="13"/>
  <c r="AH105" i="13"/>
  <c r="Q105" i="13"/>
  <c r="AK105" i="13" s="1"/>
  <c r="AI105" i="13"/>
  <c r="AI104" i="13"/>
  <c r="AH104" i="13"/>
  <c r="S104" i="13"/>
  <c r="R104" i="13"/>
  <c r="Q104" i="13"/>
  <c r="AH103" i="13"/>
  <c r="AI103" i="13"/>
  <c r="Q103" i="13"/>
  <c r="AK103" i="13" s="1"/>
  <c r="R102" i="13"/>
  <c r="Q102" i="13"/>
  <c r="AI102" i="13"/>
  <c r="S102" i="13"/>
  <c r="AH102" i="13"/>
  <c r="AH101" i="13"/>
  <c r="Q101" i="13"/>
  <c r="AK101" i="13" s="1"/>
  <c r="AI101" i="13"/>
  <c r="AI100" i="13"/>
  <c r="AH100" i="13"/>
  <c r="S100" i="13"/>
  <c r="R100" i="13"/>
  <c r="Q100" i="13"/>
  <c r="AH99" i="13"/>
  <c r="AI99" i="13"/>
  <c r="Q99" i="13"/>
  <c r="AK99" i="13" s="1"/>
  <c r="R98" i="13"/>
  <c r="Q98" i="13"/>
  <c r="AI98" i="13"/>
  <c r="S98" i="13"/>
  <c r="AH98" i="13"/>
  <c r="AH97" i="13"/>
  <c r="Q97" i="13"/>
  <c r="AK97" i="13" s="1"/>
  <c r="AI97" i="13"/>
  <c r="AI96" i="13"/>
  <c r="AH96" i="13"/>
  <c r="S96" i="13"/>
  <c r="R96" i="13"/>
  <c r="Q96" i="13"/>
  <c r="AH95" i="13"/>
  <c r="AI95" i="13"/>
  <c r="Q95" i="13"/>
  <c r="AK95" i="13" s="1"/>
  <c r="R94" i="13"/>
  <c r="Q94" i="13"/>
  <c r="AI94" i="13"/>
  <c r="AH94" i="13"/>
  <c r="S94" i="13"/>
  <c r="AH93" i="13"/>
  <c r="Q93" i="13"/>
  <c r="AK93" i="13" s="1"/>
  <c r="AI93" i="13"/>
  <c r="AI92" i="13"/>
  <c r="AH92" i="13"/>
  <c r="S92" i="13"/>
  <c r="R92" i="13"/>
  <c r="Q92" i="13"/>
  <c r="AH91" i="13"/>
  <c r="AI91" i="13"/>
  <c r="Q91" i="13"/>
  <c r="AK91" i="13" s="1"/>
  <c r="AH88" i="13"/>
  <c r="S88" i="13"/>
  <c r="R88" i="13"/>
  <c r="Q88" i="13"/>
  <c r="AI88" i="13"/>
  <c r="AH87" i="13"/>
  <c r="AI87" i="13"/>
  <c r="Q87" i="13"/>
  <c r="Q86" i="13"/>
  <c r="AK86" i="13" s="1"/>
  <c r="AI86" i="13"/>
  <c r="AH86" i="13"/>
  <c r="S86" i="13"/>
  <c r="R86" i="13"/>
  <c r="AH85" i="13"/>
  <c r="Q85" i="13"/>
  <c r="AI85" i="13"/>
  <c r="R78" i="13"/>
  <c r="Q78" i="13"/>
  <c r="AK78" i="13" s="1"/>
  <c r="AH78" i="13"/>
  <c r="S78" i="13"/>
  <c r="AI78" i="13"/>
  <c r="AH75" i="13"/>
  <c r="AI75" i="13"/>
  <c r="Q75" i="13"/>
  <c r="AH73" i="13"/>
  <c r="Q73" i="13"/>
  <c r="AI73" i="13"/>
  <c r="AH71" i="13"/>
  <c r="AI71" i="13"/>
  <c r="Q71" i="13"/>
  <c r="Q62" i="13"/>
  <c r="AK62" i="13" s="1"/>
  <c r="AI62" i="13"/>
  <c r="AH62" i="13"/>
  <c r="S62" i="13"/>
  <c r="R62" i="13"/>
  <c r="AH61" i="13"/>
  <c r="Q61" i="13"/>
  <c r="AK61" i="13" s="1"/>
  <c r="AI61" i="13"/>
  <c r="AH59" i="13"/>
  <c r="AI59" i="13"/>
  <c r="Q59" i="13"/>
  <c r="AK59" i="13" s="1"/>
  <c r="Q58" i="13"/>
  <c r="AI58" i="13"/>
  <c r="AH58" i="13"/>
  <c r="S58" i="13"/>
  <c r="R58" i="13"/>
  <c r="AH54" i="13"/>
  <c r="S54" i="13"/>
  <c r="R54" i="13"/>
  <c r="AI54" i="13"/>
  <c r="Q54" i="13"/>
  <c r="AH49" i="13"/>
  <c r="Q49" i="13"/>
  <c r="AK49" i="13" s="1"/>
  <c r="AI49" i="13"/>
  <c r="AH48" i="13"/>
  <c r="S48" i="13"/>
  <c r="R48" i="13"/>
  <c r="AI48" i="13"/>
  <c r="Q48" i="13"/>
  <c r="AH47" i="13"/>
  <c r="AI47" i="13"/>
  <c r="Q47" i="13"/>
  <c r="AK47" i="13" s="1"/>
  <c r="Q46" i="13"/>
  <c r="AI46" i="13"/>
  <c r="AH46" i="13"/>
  <c r="S46" i="13"/>
  <c r="R46" i="13"/>
  <c r="AH45" i="13"/>
  <c r="Q45" i="13"/>
  <c r="AK45" i="13" s="1"/>
  <c r="AI45" i="13"/>
  <c r="AH43" i="13"/>
  <c r="AI43" i="13"/>
  <c r="Q43" i="13"/>
  <c r="AK43" i="13" s="1"/>
  <c r="Q35" i="13"/>
  <c r="AK35" i="13" s="1"/>
  <c r="AI35" i="13"/>
  <c r="AH35" i="13"/>
  <c r="S35" i="13"/>
  <c r="R35" i="13"/>
  <c r="AH34" i="13"/>
  <c r="Q34" i="13"/>
  <c r="AI34" i="13"/>
  <c r="AH33" i="13"/>
  <c r="S33" i="13"/>
  <c r="R33" i="13"/>
  <c r="Q33" i="13"/>
  <c r="AK33" i="13" s="1"/>
  <c r="AI33" i="13"/>
  <c r="AH32" i="13"/>
  <c r="AI32" i="13"/>
  <c r="Q32" i="13"/>
  <c r="Q31" i="13"/>
  <c r="AK31" i="13" s="1"/>
  <c r="AI31" i="13"/>
  <c r="AH31" i="13"/>
  <c r="S31" i="13"/>
  <c r="R31" i="13"/>
  <c r="AH30" i="13"/>
  <c r="Q30" i="13"/>
  <c r="AK30" i="13" s="1"/>
  <c r="AI30" i="13"/>
  <c r="AH29" i="13"/>
  <c r="S29" i="13"/>
  <c r="R29" i="13"/>
  <c r="Q29" i="13"/>
  <c r="AI29" i="13"/>
  <c r="AH28" i="13"/>
  <c r="AI28" i="13"/>
  <c r="Q28" i="13"/>
  <c r="AK28" i="13" s="1"/>
  <c r="AH24" i="13"/>
  <c r="Q24" i="13"/>
  <c r="AK24" i="13" s="1"/>
  <c r="AI24" i="13"/>
  <c r="AH22" i="13"/>
  <c r="AI22" i="13"/>
  <c r="Q22" i="13"/>
  <c r="AH19" i="13"/>
  <c r="S19" i="13"/>
  <c r="R19" i="13"/>
  <c r="Q19" i="13"/>
  <c r="AK19" i="13" s="1"/>
  <c r="AI19" i="13"/>
  <c r="AH16" i="13"/>
  <c r="AI16" i="13"/>
  <c r="Q16" i="13"/>
  <c r="AJ84" i="15"/>
  <c r="AJ74" i="15"/>
  <c r="AJ52" i="15"/>
  <c r="AJ42" i="15"/>
  <c r="X32" i="15"/>
  <c r="Y32" i="15" s="1"/>
  <c r="AJ21" i="15"/>
  <c r="AJ11" i="15"/>
  <c r="U85" i="14"/>
  <c r="U57" i="14"/>
  <c r="AF51" i="14"/>
  <c r="K51" i="14"/>
  <c r="AF47" i="14"/>
  <c r="K47" i="14"/>
  <c r="U21" i="14"/>
  <c r="U74" i="14"/>
  <c r="U12" i="14"/>
  <c r="U28" i="14"/>
  <c r="U44" i="14"/>
  <c r="U60" i="14"/>
  <c r="AF87" i="14"/>
  <c r="K87" i="14"/>
  <c r="AF91" i="14"/>
  <c r="K91" i="14"/>
  <c r="AF95" i="14"/>
  <c r="K95" i="14"/>
  <c r="AF99" i="14"/>
  <c r="K99" i="14"/>
  <c r="AF103" i="14"/>
  <c r="K103" i="14"/>
  <c r="X2" i="14"/>
  <c r="Y2" i="14" s="1"/>
  <c r="X234" i="13"/>
  <c r="Y234" i="13" s="1"/>
  <c r="AB231" i="13"/>
  <c r="X231" i="13"/>
  <c r="Y231" i="13" s="1"/>
  <c r="AB226" i="13"/>
  <c r="X218" i="13"/>
  <c r="Y218" i="13" s="1"/>
  <c r="S218" i="13"/>
  <c r="AB215" i="13"/>
  <c r="X215" i="13"/>
  <c r="Y215" i="13" s="1"/>
  <c r="AJ211" i="13"/>
  <c r="AB210" i="13"/>
  <c r="AI202" i="13"/>
  <c r="AH198" i="13"/>
  <c r="Q198" i="13"/>
  <c r="AJ197" i="13"/>
  <c r="Q197" i="13"/>
  <c r="AK197" i="13" s="1"/>
  <c r="AH197" i="13"/>
  <c r="K197" i="13"/>
  <c r="AJ195" i="13"/>
  <c r="Q195" i="13"/>
  <c r="AK195" i="13" s="1"/>
  <c r="AH195" i="13"/>
  <c r="S190" i="13"/>
  <c r="S189" i="13"/>
  <c r="O187" i="13"/>
  <c r="R187" i="13" s="1"/>
  <c r="AI187" i="13"/>
  <c r="AH182" i="13"/>
  <c r="Q182" i="13"/>
  <c r="AK182" i="13" s="1"/>
  <c r="AJ181" i="13"/>
  <c r="Q181" i="13"/>
  <c r="AH181" i="13"/>
  <c r="K181" i="13"/>
  <c r="AJ179" i="13"/>
  <c r="Q179" i="13"/>
  <c r="AH179" i="13"/>
  <c r="S174" i="13"/>
  <c r="S173" i="13"/>
  <c r="O171" i="13"/>
  <c r="R171" i="13" s="1"/>
  <c r="AI171" i="13"/>
  <c r="R167" i="13"/>
  <c r="T167" i="13" s="1"/>
  <c r="AL167" i="13" s="1"/>
  <c r="AJ165" i="13"/>
  <c r="Q165" i="13"/>
  <c r="AH165" i="13"/>
  <c r="K165" i="13"/>
  <c r="AH163" i="13"/>
  <c r="AJ162" i="13"/>
  <c r="S158" i="13"/>
  <c r="T158" i="13" s="1"/>
  <c r="AL158" i="13" s="1"/>
  <c r="S157" i="13"/>
  <c r="O155" i="13"/>
  <c r="R155" i="13" s="1"/>
  <c r="AI155" i="13"/>
  <c r="R151" i="13"/>
  <c r="T151" i="13" s="1"/>
  <c r="AL151" i="13" s="1"/>
  <c r="AJ149" i="13"/>
  <c r="Q149" i="13"/>
  <c r="AH149" i="13"/>
  <c r="K149" i="13"/>
  <c r="AH147" i="13"/>
  <c r="AJ146" i="13"/>
  <c r="S142" i="13"/>
  <c r="S141" i="13"/>
  <c r="O139" i="13"/>
  <c r="R139" i="13" s="1"/>
  <c r="AI139" i="13"/>
  <c r="R135" i="13"/>
  <c r="U134" i="13"/>
  <c r="Q134" i="13"/>
  <c r="AK134" i="13" s="1"/>
  <c r="AJ133" i="13"/>
  <c r="Q133" i="13"/>
  <c r="AH133" i="13"/>
  <c r="K133" i="13"/>
  <c r="AH131" i="13"/>
  <c r="U41" i="14"/>
  <c r="U38" i="14"/>
  <c r="U34" i="14"/>
  <c r="U30" i="14"/>
  <c r="Q238" i="13"/>
  <c r="AK238" i="13" s="1"/>
  <c r="R235" i="13"/>
  <c r="Q235" i="13"/>
  <c r="X230" i="13"/>
  <c r="Y230" i="13" s="1"/>
  <c r="S230" i="13"/>
  <c r="AH222" i="13"/>
  <c r="AI222" i="13"/>
  <c r="AH219" i="13"/>
  <c r="O219" i="13"/>
  <c r="U219" i="13" s="1"/>
  <c r="AI219" i="13"/>
  <c r="Z214" i="13"/>
  <c r="AA214" i="13" s="1"/>
  <c r="AG214" i="13" s="1"/>
  <c r="Z211" i="13"/>
  <c r="Q206" i="13"/>
  <c r="R203" i="13"/>
  <c r="Q203" i="13"/>
  <c r="AK203" i="13" s="1"/>
  <c r="Q240" i="13"/>
  <c r="AK240" i="13" s="1"/>
  <c r="W240" i="13"/>
  <c r="AD240" i="13" s="1"/>
  <c r="Q236" i="13"/>
  <c r="W236" i="13"/>
  <c r="AD236" i="13" s="1"/>
  <c r="O213" i="13"/>
  <c r="R213" i="13" s="1"/>
  <c r="Q208" i="13"/>
  <c r="W208" i="13"/>
  <c r="AD208" i="13" s="1"/>
  <c r="Q204" i="13"/>
  <c r="W204" i="13"/>
  <c r="AD204" i="13" s="1"/>
  <c r="AJ114" i="13"/>
  <c r="AJ98" i="13"/>
  <c r="AJ73" i="13"/>
  <c r="AJ34" i="13"/>
  <c r="N8" i="14"/>
  <c r="R8" i="14"/>
  <c r="O221" i="13"/>
  <c r="R221" i="13" s="1"/>
  <c r="W216" i="13"/>
  <c r="AD216" i="13" s="1"/>
  <c r="R212" i="13"/>
  <c r="Q212" i="13"/>
  <c r="W212" i="13"/>
  <c r="AD212" i="13" s="1"/>
  <c r="R168" i="13"/>
  <c r="U163" i="13"/>
  <c r="R152" i="13"/>
  <c r="T152" i="13" s="1"/>
  <c r="AL152" i="13" s="1"/>
  <c r="U147" i="13"/>
  <c r="R136" i="13"/>
  <c r="T136" i="13" s="1"/>
  <c r="AL136" i="13" s="1"/>
  <c r="U131" i="13"/>
  <c r="AJ109" i="13"/>
  <c r="AJ93" i="13"/>
  <c r="AJ24" i="13"/>
  <c r="U172" i="13"/>
  <c r="U188" i="13"/>
  <c r="AF31" i="13"/>
  <c r="K31" i="13"/>
  <c r="AF46" i="13"/>
  <c r="K46" i="13"/>
  <c r="AF62" i="13"/>
  <c r="K62" i="13"/>
  <c r="AF78" i="13"/>
  <c r="K78" i="13"/>
  <c r="AF94" i="13"/>
  <c r="K94" i="13"/>
  <c r="AF102" i="13"/>
  <c r="K102" i="13"/>
  <c r="AF110" i="13"/>
  <c r="K110" i="13"/>
  <c r="AF118" i="13"/>
  <c r="K118" i="13"/>
  <c r="X2" i="13"/>
  <c r="Y2" i="13" s="1"/>
  <c r="T2" i="13"/>
  <c r="AL2" i="13" s="1"/>
  <c r="O233" i="12"/>
  <c r="R233" i="12" s="1"/>
  <c r="N233" i="12"/>
  <c r="O225" i="12"/>
  <c r="R225" i="12" s="1"/>
  <c r="N225" i="12"/>
  <c r="O217" i="12"/>
  <c r="R217" i="12" s="1"/>
  <c r="N217" i="12"/>
  <c r="O209" i="12"/>
  <c r="R209" i="12" s="1"/>
  <c r="N209" i="12"/>
  <c r="O201" i="12"/>
  <c r="R201" i="12" s="1"/>
  <c r="N201" i="12"/>
  <c r="O193" i="12"/>
  <c r="R193" i="12" s="1"/>
  <c r="N193" i="12"/>
  <c r="O185" i="12"/>
  <c r="R185" i="12" s="1"/>
  <c r="N185" i="12"/>
  <c r="O178" i="12"/>
  <c r="R178" i="12" s="1"/>
  <c r="N178" i="12"/>
  <c r="O170" i="12"/>
  <c r="R170" i="12" s="1"/>
  <c r="N170" i="12"/>
  <c r="O162" i="12"/>
  <c r="R162" i="12" s="1"/>
  <c r="N162" i="12"/>
  <c r="O154" i="12"/>
  <c r="R154" i="12" s="1"/>
  <c r="N154" i="12"/>
  <c r="O146" i="12"/>
  <c r="R146" i="12" s="1"/>
  <c r="N146" i="12"/>
  <c r="O139" i="12"/>
  <c r="R139" i="12" s="1"/>
  <c r="N139" i="12"/>
  <c r="O131" i="12"/>
  <c r="R131" i="12" s="1"/>
  <c r="N131" i="12"/>
  <c r="O123" i="12"/>
  <c r="R123" i="12" s="1"/>
  <c r="N123" i="12"/>
  <c r="O115" i="12"/>
  <c r="R115" i="12" s="1"/>
  <c r="N115" i="12"/>
  <c r="O107" i="12"/>
  <c r="R107" i="12" s="1"/>
  <c r="N107" i="12"/>
  <c r="O99" i="12"/>
  <c r="R99" i="12" s="1"/>
  <c r="N99" i="12"/>
  <c r="O91" i="12"/>
  <c r="R91" i="12" s="1"/>
  <c r="N91" i="12"/>
  <c r="O83" i="12"/>
  <c r="R83" i="12" s="1"/>
  <c r="N83" i="12"/>
  <c r="O75" i="12"/>
  <c r="R75" i="12" s="1"/>
  <c r="N75" i="12"/>
  <c r="O67" i="12"/>
  <c r="R67" i="12" s="1"/>
  <c r="N67" i="12"/>
  <c r="O59" i="12"/>
  <c r="R59" i="12" s="1"/>
  <c r="N59" i="12"/>
  <c r="O51" i="12"/>
  <c r="R51" i="12" s="1"/>
  <c r="N51" i="12"/>
  <c r="O43" i="12"/>
  <c r="R43" i="12" s="1"/>
  <c r="N43" i="12"/>
  <c r="O35" i="12"/>
  <c r="R35" i="12" s="1"/>
  <c r="N35" i="12"/>
  <c r="O27" i="12"/>
  <c r="R27" i="12" s="1"/>
  <c r="N27" i="12"/>
  <c r="O19" i="12"/>
  <c r="R19" i="12" s="1"/>
  <c r="N19" i="12"/>
  <c r="O11" i="12"/>
  <c r="R11" i="12" s="1"/>
  <c r="N11" i="12"/>
  <c r="Q8" i="12"/>
  <c r="AK8" i="12" s="1"/>
  <c r="Q4" i="14"/>
  <c r="AK4" i="14" s="1"/>
  <c r="W4" i="14"/>
  <c r="AD4" i="14" s="1"/>
  <c r="O233" i="13"/>
  <c r="R233" i="13" s="1"/>
  <c r="X229" i="13"/>
  <c r="Y229" i="13" s="1"/>
  <c r="O229" i="13"/>
  <c r="R229" i="13" s="1"/>
  <c r="AH224" i="13"/>
  <c r="AJ224" i="13"/>
  <c r="S224" i="13"/>
  <c r="AH220" i="13"/>
  <c r="X208" i="13"/>
  <c r="Y208" i="13" s="1"/>
  <c r="AH200" i="13"/>
  <c r="U166" i="13"/>
  <c r="U150" i="13"/>
  <c r="AJ116" i="13"/>
  <c r="AJ100" i="13"/>
  <c r="AB6" i="14"/>
  <c r="X6" i="14"/>
  <c r="Y6" i="14" s="1"/>
  <c r="W10" i="14"/>
  <c r="AD10" i="14" s="1"/>
  <c r="W43" i="14"/>
  <c r="AD43" i="14" s="1"/>
  <c r="W66" i="14"/>
  <c r="AD66" i="14" s="1"/>
  <c r="W36" i="14"/>
  <c r="AD36" i="14" s="1"/>
  <c r="W71" i="14"/>
  <c r="AD71" i="14" s="1"/>
  <c r="W19" i="14"/>
  <c r="AD19" i="14" s="1"/>
  <c r="W24" i="14"/>
  <c r="W44" i="14"/>
  <c r="AD44" i="14" s="1"/>
  <c r="W50" i="14"/>
  <c r="AD50" i="14" s="1"/>
  <c r="W62" i="14"/>
  <c r="AD62" i="14" s="1"/>
  <c r="W83" i="14"/>
  <c r="AD83" i="14" s="1"/>
  <c r="W17" i="14"/>
  <c r="AD17" i="14" s="1"/>
  <c r="W33" i="14"/>
  <c r="W49" i="14"/>
  <c r="AD49" i="14" s="1"/>
  <c r="W65" i="14"/>
  <c r="W81" i="14"/>
  <c r="AD81" i="14" s="1"/>
  <c r="W60" i="14"/>
  <c r="AD60" i="14" s="1"/>
  <c r="W76" i="14"/>
  <c r="W87" i="14"/>
  <c r="AD87" i="14" s="1"/>
  <c r="W91" i="14"/>
  <c r="AD91" i="14" s="1"/>
  <c r="W95" i="14"/>
  <c r="AD95" i="14" s="1"/>
  <c r="W99" i="14"/>
  <c r="AD99" i="14" s="1"/>
  <c r="W103" i="14"/>
  <c r="AD103" i="14" s="1"/>
  <c r="W107" i="14"/>
  <c r="AD107" i="14" s="1"/>
  <c r="W111" i="14"/>
  <c r="AD111" i="14" s="1"/>
  <c r="W115" i="14"/>
  <c r="W119" i="14"/>
  <c r="AD119" i="14" s="1"/>
  <c r="W123" i="14"/>
  <c r="AD123" i="14" s="1"/>
  <c r="W127" i="14"/>
  <c r="AD127" i="14" s="1"/>
  <c r="W131" i="14"/>
  <c r="AD131" i="14" s="1"/>
  <c r="W135" i="14"/>
  <c r="AD135" i="14" s="1"/>
  <c r="W139" i="14"/>
  <c r="AD139" i="14" s="1"/>
  <c r="W143" i="14"/>
  <c r="AD143" i="14" s="1"/>
  <c r="W147" i="14"/>
  <c r="AD147" i="14" s="1"/>
  <c r="W151" i="14"/>
  <c r="AD151" i="14" s="1"/>
  <c r="W155" i="14"/>
  <c r="AD155" i="14" s="1"/>
  <c r="W159" i="14"/>
  <c r="AD159" i="14" s="1"/>
  <c r="W163" i="14"/>
  <c r="AD163" i="14" s="1"/>
  <c r="W167" i="14"/>
  <c r="AD167" i="14" s="1"/>
  <c r="W171" i="14"/>
  <c r="AD171" i="14" s="1"/>
  <c r="W175" i="14"/>
  <c r="AD175" i="14" s="1"/>
  <c r="W179" i="14"/>
  <c r="W183" i="14"/>
  <c r="AD183" i="14" s="1"/>
  <c r="W187" i="14"/>
  <c r="AD187" i="14" s="1"/>
  <c r="W191" i="14"/>
  <c r="AD191" i="14" s="1"/>
  <c r="W195" i="14"/>
  <c r="W199" i="14"/>
  <c r="AD199" i="14" s="1"/>
  <c r="W203" i="14"/>
  <c r="AD203" i="14" s="1"/>
  <c r="W207" i="14"/>
  <c r="AD207" i="14" s="1"/>
  <c r="W211" i="14"/>
  <c r="W215" i="14"/>
  <c r="AD215" i="14" s="1"/>
  <c r="W219" i="14"/>
  <c r="AD219" i="14" s="1"/>
  <c r="W223" i="14"/>
  <c r="AD223" i="14" s="1"/>
  <c r="W227" i="14"/>
  <c r="AD227" i="14" s="1"/>
  <c r="W231" i="14"/>
  <c r="AD231" i="14" s="1"/>
  <c r="W235" i="14"/>
  <c r="AD235" i="14" s="1"/>
  <c r="W239" i="14"/>
  <c r="AD239" i="14" s="1"/>
  <c r="W243" i="14"/>
  <c r="AD243" i="14" s="1"/>
  <c r="W247" i="14"/>
  <c r="AD247" i="14" s="1"/>
  <c r="W251" i="14"/>
  <c r="AD251" i="14" s="1"/>
  <c r="W255" i="14"/>
  <c r="AD255" i="14" s="1"/>
  <c r="W259" i="14"/>
  <c r="AD259" i="14" s="1"/>
  <c r="Z3" i="14"/>
  <c r="O232" i="13"/>
  <c r="R232" i="13" s="1"/>
  <c r="AJ228" i="13"/>
  <c r="O228" i="13"/>
  <c r="R228" i="13" s="1"/>
  <c r="AI228" i="13"/>
  <c r="X212" i="13"/>
  <c r="Y212" i="13" s="1"/>
  <c r="S209" i="13"/>
  <c r="T209" i="13" s="1"/>
  <c r="AL209" i="13" s="1"/>
  <c r="R208" i="13"/>
  <c r="T208" i="13" s="1"/>
  <c r="AL208" i="13" s="1"/>
  <c r="AJ205" i="13"/>
  <c r="S205" i="13"/>
  <c r="R204" i="13"/>
  <c r="T204" i="13" s="1"/>
  <c r="AL204" i="13" s="1"/>
  <c r="AJ167" i="13"/>
  <c r="Q162" i="13"/>
  <c r="U156" i="13"/>
  <c r="U148" i="13"/>
  <c r="AJ135" i="13"/>
  <c r="AB204" i="13"/>
  <c r="Q139" i="13"/>
  <c r="AJ115" i="13"/>
  <c r="AJ99" i="13"/>
  <c r="Z88" i="13"/>
  <c r="AA88" i="13" s="1"/>
  <c r="AG88" i="13" s="1"/>
  <c r="W72" i="13"/>
  <c r="AD72" i="13" s="1"/>
  <c r="AJ58" i="13"/>
  <c r="O15" i="13"/>
  <c r="R15" i="13" s="1"/>
  <c r="N15" i="13"/>
  <c r="S15" i="13" s="1"/>
  <c r="X235" i="12"/>
  <c r="Y235" i="12" s="1"/>
  <c r="X231" i="12"/>
  <c r="Y231" i="12" s="1"/>
  <c r="X227" i="12"/>
  <c r="Y227" i="12" s="1"/>
  <c r="X223" i="12"/>
  <c r="Y223" i="12" s="1"/>
  <c r="X219" i="12"/>
  <c r="Y219" i="12" s="1"/>
  <c r="X215" i="12"/>
  <c r="Y215" i="12" s="1"/>
  <c r="X211" i="12"/>
  <c r="Y211" i="12" s="1"/>
  <c r="X207" i="12"/>
  <c r="Y207" i="12" s="1"/>
  <c r="X203" i="12"/>
  <c r="Y203" i="12" s="1"/>
  <c r="X199" i="12"/>
  <c r="Y199" i="12" s="1"/>
  <c r="X195" i="12"/>
  <c r="Y195" i="12" s="1"/>
  <c r="R194" i="12"/>
  <c r="X191" i="12"/>
  <c r="Y191" i="12" s="1"/>
  <c r="R190" i="12"/>
  <c r="X187" i="12"/>
  <c r="Y187" i="12" s="1"/>
  <c r="X184" i="12"/>
  <c r="Y184" i="12" s="1"/>
  <c r="X180" i="12"/>
  <c r="Y180" i="12" s="1"/>
  <c r="R179" i="12"/>
  <c r="X176" i="12"/>
  <c r="Y176" i="12" s="1"/>
  <c r="R175" i="12"/>
  <c r="X172" i="12"/>
  <c r="Y172" i="12" s="1"/>
  <c r="X168" i="12"/>
  <c r="Y168" i="12" s="1"/>
  <c r="X164" i="12"/>
  <c r="Y164" i="12" s="1"/>
  <c r="X160" i="12"/>
  <c r="Y160" i="12" s="1"/>
  <c r="X156" i="12"/>
  <c r="Y156" i="12" s="1"/>
  <c r="X152" i="12"/>
  <c r="Y152" i="12" s="1"/>
  <c r="X148" i="12"/>
  <c r="Y148" i="12" s="1"/>
  <c r="X141" i="12"/>
  <c r="Y141" i="12" s="1"/>
  <c r="X137" i="12"/>
  <c r="Y137" i="12" s="1"/>
  <c r="X133" i="12"/>
  <c r="Y133" i="12" s="1"/>
  <c r="X129" i="12"/>
  <c r="Y129" i="12" s="1"/>
  <c r="X125" i="12"/>
  <c r="Y125" i="12" s="1"/>
  <c r="X121" i="12"/>
  <c r="Y121" i="12" s="1"/>
  <c r="X117" i="12"/>
  <c r="Y117" i="12" s="1"/>
  <c r="X113" i="12"/>
  <c r="Y113" i="12" s="1"/>
  <c r="X109" i="12"/>
  <c r="Y109" i="12" s="1"/>
  <c r="X105" i="12"/>
  <c r="Y105" i="12" s="1"/>
  <c r="X101" i="12"/>
  <c r="Y101" i="12" s="1"/>
  <c r="X97" i="12"/>
  <c r="Y97" i="12" s="1"/>
  <c r="X93" i="12"/>
  <c r="Y93" i="12" s="1"/>
  <c r="X89" i="12"/>
  <c r="Y89" i="12" s="1"/>
  <c r="X85" i="12"/>
  <c r="Y85" i="12" s="1"/>
  <c r="X81" i="12"/>
  <c r="Y81" i="12" s="1"/>
  <c r="X77" i="12"/>
  <c r="Y77" i="12" s="1"/>
  <c r="X73" i="12"/>
  <c r="Y73" i="12" s="1"/>
  <c r="X69" i="12"/>
  <c r="Y69" i="12" s="1"/>
  <c r="X65" i="12"/>
  <c r="Y65" i="12" s="1"/>
  <c r="X61" i="12"/>
  <c r="Y61" i="12" s="1"/>
  <c r="X57" i="12"/>
  <c r="Y57" i="12" s="1"/>
  <c r="X53" i="12"/>
  <c r="Y53" i="12" s="1"/>
  <c r="X49" i="12"/>
  <c r="Y49" i="12" s="1"/>
  <c r="X45" i="12"/>
  <c r="Y45" i="12" s="1"/>
  <c r="X41" i="12"/>
  <c r="Y41" i="12" s="1"/>
  <c r="X37" i="12"/>
  <c r="Y37" i="12" s="1"/>
  <c r="X33" i="12"/>
  <c r="Y33" i="12" s="1"/>
  <c r="X29" i="12"/>
  <c r="Y29" i="12" s="1"/>
  <c r="X25" i="12"/>
  <c r="Y25" i="12" s="1"/>
  <c r="X21" i="12"/>
  <c r="Y21" i="12" s="1"/>
  <c r="X17" i="12"/>
  <c r="Y17" i="12" s="1"/>
  <c r="X13" i="12"/>
  <c r="Y13" i="12" s="1"/>
  <c r="X9" i="12"/>
  <c r="Y9" i="12" s="1"/>
  <c r="X7" i="12"/>
  <c r="Y7" i="12" s="1"/>
  <c r="AJ151" i="13"/>
  <c r="O124" i="13"/>
  <c r="R124" i="13" s="1"/>
  <c r="N124" i="13"/>
  <c r="AJ62" i="13"/>
  <c r="AJ6" i="13"/>
  <c r="K6" i="13"/>
  <c r="AH144" i="13"/>
  <c r="U144" i="13"/>
  <c r="O37" i="13"/>
  <c r="R37" i="13" s="1"/>
  <c r="N37" i="13"/>
  <c r="S37" i="13" s="1"/>
  <c r="O38" i="13"/>
  <c r="R38" i="13" s="1"/>
  <c r="N38" i="13"/>
  <c r="U38" i="13" s="1"/>
  <c r="O72" i="13"/>
  <c r="R72" i="13" s="1"/>
  <c r="N72" i="13"/>
  <c r="AH72" i="13" s="1"/>
  <c r="N18" i="13"/>
  <c r="AH18" i="13" s="1"/>
  <c r="O18" i="13"/>
  <c r="R18" i="13" s="1"/>
  <c r="N53" i="13"/>
  <c r="AH53" i="13" s="1"/>
  <c r="O53" i="13"/>
  <c r="R53" i="13" s="1"/>
  <c r="N65" i="13"/>
  <c r="O65" i="13"/>
  <c r="R65" i="13" s="1"/>
  <c r="O79" i="13"/>
  <c r="R79" i="13" s="1"/>
  <c r="N79" i="13"/>
  <c r="U79" i="13" s="1"/>
  <c r="N121" i="13"/>
  <c r="O121" i="13"/>
  <c r="R121" i="13" s="1"/>
  <c r="W236" i="12"/>
  <c r="AD236" i="12" s="1"/>
  <c r="W231" i="12"/>
  <c r="AD231" i="12" s="1"/>
  <c r="W220" i="12"/>
  <c r="AD220" i="12" s="1"/>
  <c r="W215" i="12"/>
  <c r="AD215" i="12" s="1"/>
  <c r="W204" i="12"/>
  <c r="AD204" i="12" s="1"/>
  <c r="W199" i="12"/>
  <c r="AD199" i="12" s="1"/>
  <c r="W188" i="12"/>
  <c r="AD188" i="12" s="1"/>
  <c r="W184" i="12"/>
  <c r="AD184" i="12" s="1"/>
  <c r="W173" i="12"/>
  <c r="AD173" i="12" s="1"/>
  <c r="W168" i="12"/>
  <c r="AD168" i="12" s="1"/>
  <c r="W157" i="12"/>
  <c r="AD157" i="12" s="1"/>
  <c r="W152" i="12"/>
  <c r="AD152" i="12" s="1"/>
  <c r="W142" i="12"/>
  <c r="AD142" i="12" s="1"/>
  <c r="W137" i="12"/>
  <c r="AD137" i="12" s="1"/>
  <c r="W126" i="12"/>
  <c r="AD126" i="12" s="1"/>
  <c r="W121" i="12"/>
  <c r="AD121" i="12" s="1"/>
  <c r="W110" i="12"/>
  <c r="AD110" i="12" s="1"/>
  <c r="W105" i="12"/>
  <c r="AD105" i="12" s="1"/>
  <c r="W94" i="12"/>
  <c r="AD94" i="12" s="1"/>
  <c r="W89" i="12"/>
  <c r="AD89" i="12" s="1"/>
  <c r="W78" i="12"/>
  <c r="AD78" i="12" s="1"/>
  <c r="W73" i="12"/>
  <c r="AD73" i="12" s="1"/>
  <c r="W62" i="12"/>
  <c r="AD62" i="12" s="1"/>
  <c r="W57" i="12"/>
  <c r="AD57" i="12" s="1"/>
  <c r="W46" i="12"/>
  <c r="AD46" i="12" s="1"/>
  <c r="W41" i="12"/>
  <c r="AD41" i="12" s="1"/>
  <c r="W30" i="12"/>
  <c r="AD30" i="12" s="1"/>
  <c r="W25" i="12"/>
  <c r="AD25" i="12" s="1"/>
  <c r="W14" i="12"/>
  <c r="AD14" i="12" s="1"/>
  <c r="W9" i="12"/>
  <c r="AD9" i="12" s="1"/>
  <c r="AJ4" i="12"/>
  <c r="AB225" i="13"/>
  <c r="AH146" i="13"/>
  <c r="Z71" i="13"/>
  <c r="AA71" i="13" s="1"/>
  <c r="AG71" i="13" s="1"/>
  <c r="AJ32" i="13"/>
  <c r="Q6" i="13"/>
  <c r="AK6" i="13" s="1"/>
  <c r="AJ236" i="12"/>
  <c r="AI235" i="12"/>
  <c r="AJ232" i="12"/>
  <c r="AI231" i="12"/>
  <c r="AI227" i="12"/>
  <c r="AJ224" i="12"/>
  <c r="AJ220" i="12"/>
  <c r="AI219" i="12"/>
  <c r="AJ216" i="12"/>
  <c r="AI215" i="12"/>
  <c r="AI211" i="12"/>
  <c r="AJ208" i="12"/>
  <c r="AJ204" i="12"/>
  <c r="AI203" i="12"/>
  <c r="AJ200" i="12"/>
  <c r="AI199" i="12"/>
  <c r="AI195" i="12"/>
  <c r="AJ192" i="12"/>
  <c r="AJ188" i="12"/>
  <c r="AI187" i="12"/>
  <c r="AI184" i="12"/>
  <c r="AI180" i="12"/>
  <c r="AJ177" i="12"/>
  <c r="AJ173" i="12"/>
  <c r="AI172" i="12"/>
  <c r="AJ169" i="12"/>
  <c r="AI168" i="12"/>
  <c r="AI164" i="12"/>
  <c r="AJ161" i="12"/>
  <c r="AJ157" i="12"/>
  <c r="AI156" i="12"/>
  <c r="AJ153" i="12"/>
  <c r="AI152" i="12"/>
  <c r="AI148" i="12"/>
  <c r="AJ145" i="12"/>
  <c r="AJ142" i="12"/>
  <c r="AI141" i="12"/>
  <c r="AJ138" i="12"/>
  <c r="AI137" i="12"/>
  <c r="AI133" i="12"/>
  <c r="AJ130" i="12"/>
  <c r="AJ126" i="12"/>
  <c r="AI125" i="12"/>
  <c r="AJ122" i="12"/>
  <c r="AI121" i="12"/>
  <c r="AI117" i="12"/>
  <c r="AJ114" i="12"/>
  <c r="AJ110" i="12"/>
  <c r="AI109" i="12"/>
  <c r="AJ106" i="12"/>
  <c r="AI105" i="12"/>
  <c r="AI101" i="12"/>
  <c r="AJ98" i="12"/>
  <c r="AJ94" i="12"/>
  <c r="AI93" i="12"/>
  <c r="AJ90" i="12"/>
  <c r="AI89" i="12"/>
  <c r="AI85" i="12"/>
  <c r="AJ82" i="12"/>
  <c r="AJ78" i="12"/>
  <c r="AI77" i="12"/>
  <c r="AJ74" i="12"/>
  <c r="AI73" i="12"/>
  <c r="AI69" i="12"/>
  <c r="AJ66" i="12"/>
  <c r="AJ62" i="12"/>
  <c r="AI61" i="12"/>
  <c r="AJ58" i="12"/>
  <c r="AI57" i="12"/>
  <c r="AI53" i="12"/>
  <c r="AJ50" i="12"/>
  <c r="AJ46" i="12"/>
  <c r="AI45" i="12"/>
  <c r="AJ42" i="12"/>
  <c r="AI41" i="12"/>
  <c r="AI37" i="12"/>
  <c r="AJ34" i="12"/>
  <c r="AJ30" i="12"/>
  <c r="AI29" i="12"/>
  <c r="AJ26" i="12"/>
  <c r="AI25" i="12"/>
  <c r="AI21" i="12"/>
  <c r="AJ18" i="12"/>
  <c r="AJ14" i="12"/>
  <c r="AI13" i="12"/>
  <c r="AJ10" i="12"/>
  <c r="AI9" i="12"/>
  <c r="AH7" i="12"/>
  <c r="R5" i="12"/>
  <c r="AI4" i="12"/>
  <c r="AH162" i="13"/>
  <c r="U136" i="13"/>
  <c r="AJ111" i="13"/>
  <c r="AJ95" i="13"/>
  <c r="Z78" i="13"/>
  <c r="O27" i="13"/>
  <c r="R27" i="13" s="1"/>
  <c r="N27" i="13"/>
  <c r="Q27" i="13" s="1"/>
  <c r="Z98" i="13"/>
  <c r="AA98" i="13" s="1"/>
  <c r="AG98" i="13" s="1"/>
  <c r="Z106" i="13"/>
  <c r="AA106" i="13" s="1"/>
  <c r="AG106" i="13" s="1"/>
  <c r="Z123" i="13"/>
  <c r="AB133" i="13"/>
  <c r="X133" i="13"/>
  <c r="Y133" i="13" s="1"/>
  <c r="AB149" i="13"/>
  <c r="X149" i="13"/>
  <c r="Y149" i="13" s="1"/>
  <c r="AB165" i="13"/>
  <c r="X165" i="13"/>
  <c r="Y165" i="13" s="1"/>
  <c r="Z31" i="13"/>
  <c r="AA31" i="13" s="1"/>
  <c r="AG31" i="13" s="1"/>
  <c r="Z41" i="13"/>
  <c r="Z58" i="13"/>
  <c r="AA58" i="13" s="1"/>
  <c r="AG58" i="13" s="1"/>
  <c r="W78" i="13"/>
  <c r="AD78" i="13" s="1"/>
  <c r="X130" i="13"/>
  <c r="Y130" i="13" s="1"/>
  <c r="AB130" i="13"/>
  <c r="X146" i="13"/>
  <c r="Y146" i="13" s="1"/>
  <c r="AB146" i="13"/>
  <c r="X162" i="13"/>
  <c r="Y162" i="13" s="1"/>
  <c r="AB162" i="13"/>
  <c r="Z16" i="13"/>
  <c r="AA16" i="13" s="1"/>
  <c r="AG16" i="13" s="1"/>
  <c r="Z51" i="13"/>
  <c r="Z91" i="13"/>
  <c r="AA91" i="13" s="1"/>
  <c r="AG91" i="13" s="1"/>
  <c r="Z99" i="13"/>
  <c r="AA99" i="13" s="1"/>
  <c r="AG99" i="13" s="1"/>
  <c r="Z107" i="13"/>
  <c r="AA107" i="13" s="1"/>
  <c r="AG107" i="13" s="1"/>
  <c r="Z115" i="13"/>
  <c r="AA115" i="13" s="1"/>
  <c r="AG115" i="13" s="1"/>
  <c r="AB181" i="13"/>
  <c r="X181" i="13"/>
  <c r="Y181" i="13" s="1"/>
  <c r="AB186" i="13"/>
  <c r="X186" i="13"/>
  <c r="Y186" i="13" s="1"/>
  <c r="AB197" i="13"/>
  <c r="X197" i="13"/>
  <c r="Y197" i="13" s="1"/>
  <c r="AB202" i="13"/>
  <c r="X202" i="13"/>
  <c r="Y202" i="13" s="1"/>
  <c r="W51" i="13"/>
  <c r="AD51" i="13" s="1"/>
  <c r="W91" i="13"/>
  <c r="AD91" i="13" s="1"/>
  <c r="W99" i="13"/>
  <c r="AD99" i="13" s="1"/>
  <c r="W107" i="13"/>
  <c r="AD107" i="13" s="1"/>
  <c r="W115" i="13"/>
  <c r="AD115" i="13" s="1"/>
  <c r="W123" i="13"/>
  <c r="AD123" i="13" s="1"/>
  <c r="AI236" i="12"/>
  <c r="Z235" i="12"/>
  <c r="AA235" i="12" s="1"/>
  <c r="AG235" i="12" s="1"/>
  <c r="AI232" i="12"/>
  <c r="AI228" i="12"/>
  <c r="AI224" i="12"/>
  <c r="AI220" i="12"/>
  <c r="Z219" i="12"/>
  <c r="AA219" i="12" s="1"/>
  <c r="AG219" i="12" s="1"/>
  <c r="AI216" i="12"/>
  <c r="AI208" i="12"/>
  <c r="AI204" i="12"/>
  <c r="Z203" i="12"/>
  <c r="AA203" i="12" s="1"/>
  <c r="AG203" i="12" s="1"/>
  <c r="AI200" i="12"/>
  <c r="AI192" i="12"/>
  <c r="AI188" i="12"/>
  <c r="Z187" i="12"/>
  <c r="AA187" i="12" s="1"/>
  <c r="AG187" i="12" s="1"/>
  <c r="AI181" i="12"/>
  <c r="AI177" i="12"/>
  <c r="AI173" i="12"/>
  <c r="Z172" i="12"/>
  <c r="AA172" i="12" s="1"/>
  <c r="AG172" i="12" s="1"/>
  <c r="AH171" i="12"/>
  <c r="AI169" i="12"/>
  <c r="AH167" i="12"/>
  <c r="AI165" i="12"/>
  <c r="AH163" i="12"/>
  <c r="AI161" i="12"/>
  <c r="AH159" i="12"/>
  <c r="AI157" i="12"/>
  <c r="Z156" i="12"/>
  <c r="AA156" i="12" s="1"/>
  <c r="AG156" i="12" s="1"/>
  <c r="AH155" i="12"/>
  <c r="AI153" i="12"/>
  <c r="AH151" i="12"/>
  <c r="AI149" i="12"/>
  <c r="AH147" i="12"/>
  <c r="AI145" i="12"/>
  <c r="AH144" i="12"/>
  <c r="AI142" i="12"/>
  <c r="Z141" i="12"/>
  <c r="AA141" i="12" s="1"/>
  <c r="AG141" i="12" s="1"/>
  <c r="AH140" i="12"/>
  <c r="AI138" i="12"/>
  <c r="AH136" i="12"/>
  <c r="AH132" i="12"/>
  <c r="AI130" i="12"/>
  <c r="AH128" i="12"/>
  <c r="AI126" i="12"/>
  <c r="Z125" i="12"/>
  <c r="AA125" i="12" s="1"/>
  <c r="AG125" i="12" s="1"/>
  <c r="AH124" i="12"/>
  <c r="AI122" i="12"/>
  <c r="AH120" i="12"/>
  <c r="AI118" i="12"/>
  <c r="AH116" i="12"/>
  <c r="AI114" i="12"/>
  <c r="AH112" i="12"/>
  <c r="AI110" i="12"/>
  <c r="Z109" i="12"/>
  <c r="AA109" i="12" s="1"/>
  <c r="AG109" i="12" s="1"/>
  <c r="AH108" i="12"/>
  <c r="AI106" i="12"/>
  <c r="AH104" i="12"/>
  <c r="AI102" i="12"/>
  <c r="AH100" i="12"/>
  <c r="AI98" i="12"/>
  <c r="AH96" i="12"/>
  <c r="AI94" i="12"/>
  <c r="Z93" i="12"/>
  <c r="AA93" i="12" s="1"/>
  <c r="AG93" i="12" s="1"/>
  <c r="AH92" i="12"/>
  <c r="AI90" i="12"/>
  <c r="AH88" i="12"/>
  <c r="AI86" i="12"/>
  <c r="AH84" i="12"/>
  <c r="AI82" i="12"/>
  <c r="AH80" i="12"/>
  <c r="AI78" i="12"/>
  <c r="Z77" i="12"/>
  <c r="AA77" i="12" s="1"/>
  <c r="AG77" i="12" s="1"/>
  <c r="AH76" i="12"/>
  <c r="AI74" i="12"/>
  <c r="AH72" i="12"/>
  <c r="AI70" i="12"/>
  <c r="AH68" i="12"/>
  <c r="AI66" i="12"/>
  <c r="AH64" i="12"/>
  <c r="AI62" i="12"/>
  <c r="Z61" i="12"/>
  <c r="AA61" i="12" s="1"/>
  <c r="AG61" i="12" s="1"/>
  <c r="AH60" i="12"/>
  <c r="AI58" i="12"/>
  <c r="AH56" i="12"/>
  <c r="AI54" i="12"/>
  <c r="AH52" i="12"/>
  <c r="AI50" i="12"/>
  <c r="AH48" i="12"/>
  <c r="AI46" i="12"/>
  <c r="Z45" i="12"/>
  <c r="AA45" i="12" s="1"/>
  <c r="AG45" i="12" s="1"/>
  <c r="AH44" i="12"/>
  <c r="AI42" i="12"/>
  <c r="AH40" i="12"/>
  <c r="AI38" i="12"/>
  <c r="AH36" i="12"/>
  <c r="AI34" i="12"/>
  <c r="AH32" i="12"/>
  <c r="AI30" i="12"/>
  <c r="Z29" i="12"/>
  <c r="AA29" i="12" s="1"/>
  <c r="AG29" i="12" s="1"/>
  <c r="AH28" i="12"/>
  <c r="AI26" i="12"/>
  <c r="AH24" i="12"/>
  <c r="AI22" i="12"/>
  <c r="AH20" i="12"/>
  <c r="AI18" i="12"/>
  <c r="AH16" i="12"/>
  <c r="AI14" i="12"/>
  <c r="Z13" i="12"/>
  <c r="AA13" i="12" s="1"/>
  <c r="AG13" i="12" s="1"/>
  <c r="AH12" i="12"/>
  <c r="AI10" i="12"/>
  <c r="U7" i="12"/>
  <c r="AI7" i="12"/>
  <c r="AI8" i="12"/>
  <c r="H8" i="3"/>
  <c r="E22" i="1"/>
  <c r="E21" i="1"/>
  <c r="G8" i="3"/>
  <c r="D6" i="1"/>
  <c r="AJ264" i="15"/>
  <c r="O264" i="15"/>
  <c r="R264" i="15" s="1"/>
  <c r="AI264" i="15"/>
  <c r="AH263" i="15"/>
  <c r="R263" i="15"/>
  <c r="U262" i="15"/>
  <c r="AJ256" i="15"/>
  <c r="O256" i="15"/>
  <c r="AI256" i="15"/>
  <c r="AH255" i="15"/>
  <c r="R255" i="15"/>
  <c r="U254" i="15"/>
  <c r="AJ248" i="15"/>
  <c r="O248" i="15"/>
  <c r="AI248" i="15"/>
  <c r="AH247" i="15"/>
  <c r="R247" i="15"/>
  <c r="U246" i="15"/>
  <c r="AJ240" i="15"/>
  <c r="O240" i="15"/>
  <c r="AI240" i="15"/>
  <c r="AH239" i="15"/>
  <c r="R239" i="15"/>
  <c r="U238" i="15"/>
  <c r="AJ232" i="15"/>
  <c r="O232" i="15"/>
  <c r="AI232" i="15"/>
  <c r="AH231" i="15"/>
  <c r="R231" i="15"/>
  <c r="U230" i="15"/>
  <c r="AJ224" i="15"/>
  <c r="O224" i="15"/>
  <c r="AI224" i="15"/>
  <c r="AH223" i="15"/>
  <c r="R223" i="15"/>
  <c r="U222" i="15"/>
  <c r="AJ216" i="15"/>
  <c r="O216" i="15"/>
  <c r="AI216" i="15"/>
  <c r="AH215" i="15"/>
  <c r="R215" i="15"/>
  <c r="U214" i="15"/>
  <c r="AJ208" i="15"/>
  <c r="O208" i="15"/>
  <c r="AI208" i="15"/>
  <c r="AH207" i="15"/>
  <c r="R207" i="15"/>
  <c r="U206" i="15"/>
  <c r="Q135" i="15"/>
  <c r="AK135" i="15" s="1"/>
  <c r="Q131" i="15"/>
  <c r="AK131" i="15" s="1"/>
  <c r="Q127" i="15"/>
  <c r="AK127" i="15" s="1"/>
  <c r="Q123" i="15"/>
  <c r="AK123" i="15" s="1"/>
  <c r="Q119" i="15"/>
  <c r="AK119" i="15" s="1"/>
  <c r="Z8" i="15"/>
  <c r="Q6" i="15"/>
  <c r="AK6" i="15" s="1"/>
  <c r="AI6" i="15"/>
  <c r="S3" i="15"/>
  <c r="AJ269" i="15"/>
  <c r="O269" i="15"/>
  <c r="U269" i="15" s="1"/>
  <c r="AB267" i="15"/>
  <c r="Q265" i="15"/>
  <c r="AK265" i="15" s="1"/>
  <c r="AJ261" i="15"/>
  <c r="O261" i="15"/>
  <c r="U261" i="15" s="1"/>
  <c r="AB259" i="15"/>
  <c r="Q257" i="15"/>
  <c r="AK257" i="15" s="1"/>
  <c r="AJ253" i="15"/>
  <c r="O253" i="15"/>
  <c r="U253" i="15" s="1"/>
  <c r="AB251" i="15"/>
  <c r="Q249" i="15"/>
  <c r="AK249" i="15" s="1"/>
  <c r="AJ245" i="15"/>
  <c r="O245" i="15"/>
  <c r="U245" i="15" s="1"/>
  <c r="AB243" i="15"/>
  <c r="Q241" i="15"/>
  <c r="AK241" i="15" s="1"/>
  <c r="AJ237" i="15"/>
  <c r="O237" i="15"/>
  <c r="U237" i="15" s="1"/>
  <c r="AB235" i="15"/>
  <c r="Q233" i="15"/>
  <c r="AK233" i="15" s="1"/>
  <c r="AJ229" i="15"/>
  <c r="O229" i="15"/>
  <c r="U229" i="15" s="1"/>
  <c r="AB227" i="15"/>
  <c r="Q225" i="15"/>
  <c r="AK225" i="15" s="1"/>
  <c r="AJ221" i="15"/>
  <c r="O221" i="15"/>
  <c r="U221" i="15" s="1"/>
  <c r="AB219" i="15"/>
  <c r="Q217" i="15"/>
  <c r="AK217" i="15" s="1"/>
  <c r="AJ213" i="15"/>
  <c r="O213" i="15"/>
  <c r="U213" i="15" s="1"/>
  <c r="Q209" i="15"/>
  <c r="AK209" i="15" s="1"/>
  <c r="S176" i="15"/>
  <c r="S144" i="15"/>
  <c r="AB8" i="15"/>
  <c r="Q7" i="15"/>
  <c r="AK7" i="15" s="1"/>
  <c r="Z6" i="15"/>
  <c r="AJ4" i="15"/>
  <c r="AI4" i="15"/>
  <c r="S4" i="15"/>
  <c r="T4" i="15" s="1"/>
  <c r="AL4" i="15" s="1"/>
  <c r="Q4" i="15"/>
  <c r="AK4" i="15" s="1"/>
  <c r="X264" i="15"/>
  <c r="Y264" i="15" s="1"/>
  <c r="X256" i="15"/>
  <c r="Y256" i="15" s="1"/>
  <c r="X248" i="15"/>
  <c r="Y248" i="15" s="1"/>
  <c r="X240" i="15"/>
  <c r="Y240" i="15" s="1"/>
  <c r="X232" i="15"/>
  <c r="Y232" i="15" s="1"/>
  <c r="X224" i="15"/>
  <c r="Y224" i="15" s="1"/>
  <c r="X216" i="15"/>
  <c r="Y216" i="15" s="1"/>
  <c r="X208" i="15"/>
  <c r="Y208" i="15" s="1"/>
  <c r="N204" i="15"/>
  <c r="S204" i="15" s="1"/>
  <c r="N200" i="15"/>
  <c r="N196" i="15"/>
  <c r="N192" i="15"/>
  <c r="AH192" i="15" s="1"/>
  <c r="N188" i="15"/>
  <c r="AH188" i="15" s="1"/>
  <c r="N184" i="15"/>
  <c r="N180" i="15"/>
  <c r="N176" i="15"/>
  <c r="AH176" i="15" s="1"/>
  <c r="N172" i="15"/>
  <c r="S172" i="15" s="1"/>
  <c r="N168" i="15"/>
  <c r="N164" i="15"/>
  <c r="N160" i="15"/>
  <c r="AH160" i="15" s="1"/>
  <c r="N156" i="15"/>
  <c r="AH156" i="15" s="1"/>
  <c r="N152" i="15"/>
  <c r="N148" i="15"/>
  <c r="N144" i="15"/>
  <c r="AH144" i="15" s="1"/>
  <c r="N140" i="15"/>
  <c r="S140" i="15" s="1"/>
  <c r="N136" i="15"/>
  <c r="N132" i="15"/>
  <c r="N128" i="15"/>
  <c r="Q128" i="15" s="1"/>
  <c r="AK128" i="15" s="1"/>
  <c r="N124" i="15"/>
  <c r="AH124" i="15" s="1"/>
  <c r="N120" i="15"/>
  <c r="AI110" i="15"/>
  <c r="AH106" i="15"/>
  <c r="S106" i="15"/>
  <c r="T106" i="15" s="1"/>
  <c r="AL106" i="15" s="1"/>
  <c r="W102" i="15"/>
  <c r="AD102" i="15" s="1"/>
  <c r="AI94" i="15"/>
  <c r="W86" i="15"/>
  <c r="AD86" i="15" s="1"/>
  <c r="AH82" i="15"/>
  <c r="S82" i="15"/>
  <c r="AI78" i="15"/>
  <c r="W70" i="15"/>
  <c r="AD70" i="15" s="1"/>
  <c r="AH66" i="15"/>
  <c r="S66" i="15"/>
  <c r="AI62" i="15"/>
  <c r="W54" i="15"/>
  <c r="AD54" i="15" s="1"/>
  <c r="AH50" i="15"/>
  <c r="S50" i="15"/>
  <c r="AI46" i="15"/>
  <c r="W39" i="15"/>
  <c r="AD39" i="15" s="1"/>
  <c r="AH35" i="15"/>
  <c r="S35" i="15"/>
  <c r="AI31" i="15"/>
  <c r="W23" i="15"/>
  <c r="AD23" i="15" s="1"/>
  <c r="AH19" i="15"/>
  <c r="S19" i="15"/>
  <c r="T19" i="15" s="1"/>
  <c r="AL19" i="15" s="1"/>
  <c r="AI15" i="15"/>
  <c r="Z262" i="14"/>
  <c r="AA262" i="14" s="1"/>
  <c r="AG262" i="14" s="1"/>
  <c r="Z254" i="14"/>
  <c r="AA254" i="14" s="1"/>
  <c r="AG254" i="14" s="1"/>
  <c r="Z246" i="14"/>
  <c r="Z234" i="14"/>
  <c r="AA234" i="14" s="1"/>
  <c r="AG234" i="14" s="1"/>
  <c r="Z222" i="14"/>
  <c r="AA222" i="14" s="1"/>
  <c r="AG222" i="14" s="1"/>
  <c r="Z214" i="14"/>
  <c r="Z210" i="14"/>
  <c r="Z206" i="14"/>
  <c r="AA206" i="14" s="1"/>
  <c r="AG206" i="14" s="1"/>
  <c r="Z202" i="14"/>
  <c r="AA202" i="14" s="1"/>
  <c r="AG202" i="14" s="1"/>
  <c r="Z198" i="14"/>
  <c r="Z194" i="14"/>
  <c r="Z174" i="14"/>
  <c r="AA174" i="14" s="1"/>
  <c r="AG174" i="14" s="1"/>
  <c r="Z170" i="14"/>
  <c r="AA170" i="14" s="1"/>
  <c r="AG170" i="14" s="1"/>
  <c r="Z166" i="14"/>
  <c r="Z162" i="14"/>
  <c r="Z146" i="14"/>
  <c r="Z138" i="14"/>
  <c r="AA138" i="14" s="1"/>
  <c r="AG138" i="14" s="1"/>
  <c r="Z130" i="14"/>
  <c r="Z126" i="14"/>
  <c r="Z122" i="14"/>
  <c r="AA122" i="14" s="1"/>
  <c r="AG122" i="14" s="1"/>
  <c r="Z118" i="14"/>
  <c r="Z114" i="14"/>
  <c r="Z110" i="14"/>
  <c r="Z106" i="14"/>
  <c r="AA106" i="14" s="1"/>
  <c r="AG106" i="14" s="1"/>
  <c r="Z102" i="14"/>
  <c r="Z98" i="14"/>
  <c r="Z94" i="14"/>
  <c r="AF77" i="14"/>
  <c r="K77" i="14"/>
  <c r="AF73" i="14"/>
  <c r="K73" i="14"/>
  <c r="AF69" i="14"/>
  <c r="K69" i="14"/>
  <c r="Z66" i="14"/>
  <c r="AA66" i="14" s="1"/>
  <c r="AG66" i="14" s="1"/>
  <c r="AF65" i="14"/>
  <c r="K65" i="14"/>
  <c r="Z62" i="14"/>
  <c r="AA62" i="14" s="1"/>
  <c r="AG62" i="14" s="1"/>
  <c r="Z50" i="14"/>
  <c r="AF49" i="14"/>
  <c r="K49" i="14"/>
  <c r="Z46" i="14"/>
  <c r="AF45" i="14"/>
  <c r="K45" i="14"/>
  <c r="Z38" i="14"/>
  <c r="AF37" i="14"/>
  <c r="K37" i="14"/>
  <c r="Z34" i="14"/>
  <c r="AF33" i="14"/>
  <c r="K33" i="14"/>
  <c r="Z30" i="14"/>
  <c r="AA30" i="14" s="1"/>
  <c r="AG30" i="14" s="1"/>
  <c r="AF29" i="14"/>
  <c r="K29" i="14"/>
  <c r="Z26" i="14"/>
  <c r="AF13" i="14"/>
  <c r="K13" i="14"/>
  <c r="AF9" i="14"/>
  <c r="K9" i="14"/>
  <c r="AH7" i="14"/>
  <c r="R7" i="14"/>
  <c r="S7" i="14"/>
  <c r="Q7" i="14"/>
  <c r="AK7" i="14" s="1"/>
  <c r="AI7" i="14"/>
  <c r="AJ117" i="15"/>
  <c r="R115" i="15"/>
  <c r="W115" i="15"/>
  <c r="AD115" i="15" s="1"/>
  <c r="Q115" i="15"/>
  <c r="AK115" i="15" s="1"/>
  <c r="AH111" i="15"/>
  <c r="S111" i="15"/>
  <c r="AB107" i="15"/>
  <c r="Z107" i="15"/>
  <c r="AI107" i="15"/>
  <c r="R99" i="15"/>
  <c r="W99" i="15"/>
  <c r="AD99" i="15" s="1"/>
  <c r="Q99" i="15"/>
  <c r="AK99" i="15" s="1"/>
  <c r="AH95" i="15"/>
  <c r="S95" i="15"/>
  <c r="AB91" i="15"/>
  <c r="Z91" i="15"/>
  <c r="AI91" i="15"/>
  <c r="R83" i="15"/>
  <c r="W83" i="15"/>
  <c r="AD83" i="15" s="1"/>
  <c r="Q83" i="15"/>
  <c r="AK83" i="15" s="1"/>
  <c r="AH79" i="15"/>
  <c r="S79" i="15"/>
  <c r="AB75" i="15"/>
  <c r="Z75" i="15"/>
  <c r="AI75" i="15"/>
  <c r="R67" i="15"/>
  <c r="W67" i="15"/>
  <c r="AD67" i="15" s="1"/>
  <c r="Q67" i="15"/>
  <c r="AK67" i="15" s="1"/>
  <c r="AH63" i="15"/>
  <c r="S63" i="15"/>
  <c r="AI59" i="15"/>
  <c r="R51" i="15"/>
  <c r="W51" i="15"/>
  <c r="AD51" i="15" s="1"/>
  <c r="Q51" i="15"/>
  <c r="AK51" i="15" s="1"/>
  <c r="AH47" i="15"/>
  <c r="S47" i="15"/>
  <c r="AI43" i="15"/>
  <c r="R36" i="15"/>
  <c r="W36" i="15"/>
  <c r="AD36" i="15" s="1"/>
  <c r="Q36" i="15"/>
  <c r="AK36" i="15" s="1"/>
  <c r="AH32" i="15"/>
  <c r="S32" i="15"/>
  <c r="AI28" i="15"/>
  <c r="R20" i="15"/>
  <c r="W20" i="15"/>
  <c r="AD20" i="15" s="1"/>
  <c r="Q20" i="15"/>
  <c r="AK20" i="15" s="1"/>
  <c r="AH16" i="15"/>
  <c r="S16" i="15"/>
  <c r="AI12" i="15"/>
  <c r="W116" i="15"/>
  <c r="AD116" i="15" s="1"/>
  <c r="W112" i="15"/>
  <c r="AH108" i="15"/>
  <c r="S108" i="15"/>
  <c r="T108" i="15" s="1"/>
  <c r="AL108" i="15" s="1"/>
  <c r="AH104" i="15"/>
  <c r="S104" i="15"/>
  <c r="T104" i="15" s="1"/>
  <c r="AL104" i="15" s="1"/>
  <c r="AI100" i="15"/>
  <c r="W92" i="15"/>
  <c r="AD92" i="15" s="1"/>
  <c r="AH88" i="15"/>
  <c r="S88" i="15"/>
  <c r="AI84" i="15"/>
  <c r="W76" i="15"/>
  <c r="AD76" i="15" s="1"/>
  <c r="AH72" i="15"/>
  <c r="S72" i="15"/>
  <c r="T72" i="15" s="1"/>
  <c r="AL72" i="15" s="1"/>
  <c r="AI68" i="15"/>
  <c r="W60" i="15"/>
  <c r="AD60" i="15" s="1"/>
  <c r="AH56" i="15"/>
  <c r="S56" i="15"/>
  <c r="T56" i="15" s="1"/>
  <c r="AL56" i="15" s="1"/>
  <c r="AI52" i="15"/>
  <c r="W44" i="15"/>
  <c r="AD44" i="15" s="1"/>
  <c r="AH41" i="15"/>
  <c r="S41" i="15"/>
  <c r="AI37" i="15"/>
  <c r="W29" i="15"/>
  <c r="AD29" i="15" s="1"/>
  <c r="AH25" i="15"/>
  <c r="S25" i="15"/>
  <c r="AI21" i="15"/>
  <c r="W13" i="15"/>
  <c r="AD13" i="15" s="1"/>
  <c r="AH9" i="15"/>
  <c r="S9" i="15"/>
  <c r="AH5" i="15"/>
  <c r="S5" i="15"/>
  <c r="AJ262" i="14"/>
  <c r="Q262" i="14"/>
  <c r="AK262" i="14" s="1"/>
  <c r="AI262" i="14"/>
  <c r="S262" i="14"/>
  <c r="T262" i="14" s="1"/>
  <c r="AL262" i="14" s="1"/>
  <c r="X260" i="14"/>
  <c r="Y260" i="14" s="1"/>
  <c r="AB259" i="14"/>
  <c r="AJ258" i="14"/>
  <c r="Q258" i="14"/>
  <c r="AK258" i="14" s="1"/>
  <c r="AI258" i="14"/>
  <c r="S258" i="14"/>
  <c r="X256" i="14"/>
  <c r="Y256" i="14" s="1"/>
  <c r="AB255" i="14"/>
  <c r="AJ254" i="14"/>
  <c r="Q254" i="14"/>
  <c r="AK254" i="14" s="1"/>
  <c r="AI254" i="14"/>
  <c r="X252" i="14"/>
  <c r="Y252" i="14" s="1"/>
  <c r="AB251" i="14"/>
  <c r="AJ250" i="14"/>
  <c r="Q250" i="14"/>
  <c r="AK250" i="14" s="1"/>
  <c r="AI250" i="14"/>
  <c r="S250" i="14"/>
  <c r="X248" i="14"/>
  <c r="Y248" i="14" s="1"/>
  <c r="AB247" i="14"/>
  <c r="AJ246" i="14"/>
  <c r="AI246" i="14"/>
  <c r="S246" i="14"/>
  <c r="T246" i="14" s="1"/>
  <c r="AL246" i="14" s="1"/>
  <c r="Q246" i="14"/>
  <c r="AK246" i="14" s="1"/>
  <c r="X244" i="14"/>
  <c r="Y244" i="14" s="1"/>
  <c r="AB243" i="14"/>
  <c r="AJ242" i="14"/>
  <c r="AI242" i="14"/>
  <c r="S242" i="14"/>
  <c r="T242" i="14" s="1"/>
  <c r="AL242" i="14" s="1"/>
  <c r="Q242" i="14"/>
  <c r="AK242" i="14" s="1"/>
  <c r="X240" i="14"/>
  <c r="Y240" i="14" s="1"/>
  <c r="AB239" i="14"/>
  <c r="AJ238" i="14"/>
  <c r="AI238" i="14"/>
  <c r="S238" i="14"/>
  <c r="T238" i="14" s="1"/>
  <c r="AL238" i="14" s="1"/>
  <c r="Q238" i="14"/>
  <c r="AK238" i="14" s="1"/>
  <c r="X236" i="14"/>
  <c r="Y236" i="14" s="1"/>
  <c r="AB235" i="14"/>
  <c r="AJ234" i="14"/>
  <c r="AI234" i="14"/>
  <c r="S234" i="14"/>
  <c r="T234" i="14" s="1"/>
  <c r="AL234" i="14" s="1"/>
  <c r="Q234" i="14"/>
  <c r="AK234" i="14" s="1"/>
  <c r="X232" i="14"/>
  <c r="Y232" i="14" s="1"/>
  <c r="AB231" i="14"/>
  <c r="AJ230" i="14"/>
  <c r="AI230" i="14"/>
  <c r="S230" i="14"/>
  <c r="T230" i="14" s="1"/>
  <c r="AL230" i="14" s="1"/>
  <c r="Q230" i="14"/>
  <c r="AK230" i="14" s="1"/>
  <c r="X228" i="14"/>
  <c r="Y228" i="14" s="1"/>
  <c r="AB227" i="14"/>
  <c r="AJ226" i="14"/>
  <c r="AI226" i="14"/>
  <c r="S226" i="14"/>
  <c r="T226" i="14" s="1"/>
  <c r="AL226" i="14" s="1"/>
  <c r="Q226" i="14"/>
  <c r="AK226" i="14" s="1"/>
  <c r="X224" i="14"/>
  <c r="Y224" i="14" s="1"/>
  <c r="AB223" i="14"/>
  <c r="AJ222" i="14"/>
  <c r="AI222" i="14"/>
  <c r="S222" i="14"/>
  <c r="T222" i="14" s="1"/>
  <c r="AL222" i="14" s="1"/>
  <c r="Q222" i="14"/>
  <c r="AK222" i="14" s="1"/>
  <c r="X220" i="14"/>
  <c r="Y220" i="14" s="1"/>
  <c r="AB219" i="14"/>
  <c r="AJ218" i="14"/>
  <c r="AI218" i="14"/>
  <c r="S218" i="14"/>
  <c r="T218" i="14" s="1"/>
  <c r="AL218" i="14" s="1"/>
  <c r="Q218" i="14"/>
  <c r="AK218" i="14" s="1"/>
  <c r="X216" i="14"/>
  <c r="Y216" i="14" s="1"/>
  <c r="AB215" i="14"/>
  <c r="AJ214" i="14"/>
  <c r="AI214" i="14"/>
  <c r="S214" i="14"/>
  <c r="T214" i="14" s="1"/>
  <c r="AL214" i="14" s="1"/>
  <c r="Q214" i="14"/>
  <c r="AK214" i="14" s="1"/>
  <c r="X212" i="14"/>
  <c r="Y212" i="14" s="1"/>
  <c r="AB211" i="14"/>
  <c r="AJ210" i="14"/>
  <c r="AI210" i="14"/>
  <c r="S210" i="14"/>
  <c r="T210" i="14" s="1"/>
  <c r="AL210" i="14" s="1"/>
  <c r="Q210" i="14"/>
  <c r="AK210" i="14" s="1"/>
  <c r="X208" i="14"/>
  <c r="Y208" i="14" s="1"/>
  <c r="AB207" i="14"/>
  <c r="AJ206" i="14"/>
  <c r="AI206" i="14"/>
  <c r="S206" i="14"/>
  <c r="T206" i="14" s="1"/>
  <c r="AL206" i="14" s="1"/>
  <c r="Q206" i="14"/>
  <c r="AK206" i="14" s="1"/>
  <c r="X204" i="14"/>
  <c r="Y204" i="14" s="1"/>
  <c r="AB203" i="14"/>
  <c r="AJ202" i="14"/>
  <c r="AI202" i="14"/>
  <c r="S202" i="14"/>
  <c r="T202" i="14" s="1"/>
  <c r="AL202" i="14" s="1"/>
  <c r="Q202" i="14"/>
  <c r="AK202" i="14" s="1"/>
  <c r="X200" i="14"/>
  <c r="Y200" i="14" s="1"/>
  <c r="AB199" i="14"/>
  <c r="AJ198" i="14"/>
  <c r="AI198" i="14"/>
  <c r="S198" i="14"/>
  <c r="T198" i="14" s="1"/>
  <c r="AL198" i="14" s="1"/>
  <c r="Q198" i="14"/>
  <c r="X196" i="14"/>
  <c r="Y196" i="14" s="1"/>
  <c r="AB195" i="14"/>
  <c r="AJ194" i="14"/>
  <c r="AI194" i="14"/>
  <c r="S194" i="14"/>
  <c r="T194" i="14" s="1"/>
  <c r="AL194" i="14" s="1"/>
  <c r="Q194" i="14"/>
  <c r="AK194" i="14" s="1"/>
  <c r="X192" i="14"/>
  <c r="Y192" i="14" s="1"/>
  <c r="AB191" i="14"/>
  <c r="AJ190" i="14"/>
  <c r="AI190" i="14"/>
  <c r="S190" i="14"/>
  <c r="T190" i="14" s="1"/>
  <c r="AL190" i="14" s="1"/>
  <c r="Q190" i="14"/>
  <c r="AK190" i="14" s="1"/>
  <c r="X188" i="14"/>
  <c r="Y188" i="14" s="1"/>
  <c r="AB187" i="14"/>
  <c r="AJ186" i="14"/>
  <c r="AI186" i="14"/>
  <c r="S186" i="14"/>
  <c r="T186" i="14" s="1"/>
  <c r="AL186" i="14" s="1"/>
  <c r="Q186" i="14"/>
  <c r="AK186" i="14" s="1"/>
  <c r="X184" i="14"/>
  <c r="Y184" i="14" s="1"/>
  <c r="AB183" i="14"/>
  <c r="AJ182" i="14"/>
  <c r="AI182" i="14"/>
  <c r="S182" i="14"/>
  <c r="Q182" i="14"/>
  <c r="AK182" i="14" s="1"/>
  <c r="X180" i="14"/>
  <c r="Y180" i="14" s="1"/>
  <c r="AB179" i="14"/>
  <c r="AJ178" i="14"/>
  <c r="AI178" i="14"/>
  <c r="S178" i="14"/>
  <c r="Q178" i="14"/>
  <c r="AK178" i="14" s="1"/>
  <c r="X176" i="14"/>
  <c r="Y176" i="14" s="1"/>
  <c r="AB175" i="14"/>
  <c r="AJ174" i="14"/>
  <c r="AI174" i="14"/>
  <c r="S174" i="14"/>
  <c r="Q174" i="14"/>
  <c r="AK174" i="14" s="1"/>
  <c r="X172" i="14"/>
  <c r="Y172" i="14" s="1"/>
  <c r="AB171" i="14"/>
  <c r="AJ170" i="14"/>
  <c r="AI170" i="14"/>
  <c r="S170" i="14"/>
  <c r="Q170" i="14"/>
  <c r="AK170" i="14" s="1"/>
  <c r="X168" i="14"/>
  <c r="Y168" i="14" s="1"/>
  <c r="AB167" i="14"/>
  <c r="AJ166" i="14"/>
  <c r="AI166" i="14"/>
  <c r="S166" i="14"/>
  <c r="Q166" i="14"/>
  <c r="AK166" i="14" s="1"/>
  <c r="X164" i="14"/>
  <c r="Y164" i="14" s="1"/>
  <c r="AB163" i="14"/>
  <c r="AJ162" i="14"/>
  <c r="AI162" i="14"/>
  <c r="S162" i="14"/>
  <c r="Q162" i="14"/>
  <c r="X160" i="14"/>
  <c r="Y160" i="14" s="1"/>
  <c r="AB159" i="14"/>
  <c r="AJ158" i="14"/>
  <c r="AI158" i="14"/>
  <c r="S158" i="14"/>
  <c r="Q158" i="14"/>
  <c r="X156" i="14"/>
  <c r="Y156" i="14" s="1"/>
  <c r="AB155" i="14"/>
  <c r="AJ154" i="14"/>
  <c r="AI154" i="14"/>
  <c r="S154" i="14"/>
  <c r="Q154" i="14"/>
  <c r="AK154" i="14" s="1"/>
  <c r="X152" i="14"/>
  <c r="Y152" i="14" s="1"/>
  <c r="AB151" i="14"/>
  <c r="AJ150" i="14"/>
  <c r="AI150" i="14"/>
  <c r="S150" i="14"/>
  <c r="Q150" i="14"/>
  <c r="AK150" i="14" s="1"/>
  <c r="X148" i="14"/>
  <c r="Y148" i="14" s="1"/>
  <c r="AB147" i="14"/>
  <c r="AJ146" i="14"/>
  <c r="AI146" i="14"/>
  <c r="S146" i="14"/>
  <c r="Q146" i="14"/>
  <c r="AK146" i="14" s="1"/>
  <c r="X144" i="14"/>
  <c r="Y144" i="14" s="1"/>
  <c r="AB143" i="14"/>
  <c r="AJ142" i="14"/>
  <c r="AI142" i="14"/>
  <c r="S142" i="14"/>
  <c r="Q142" i="14"/>
  <c r="AK142" i="14" s="1"/>
  <c r="X140" i="14"/>
  <c r="Y140" i="14" s="1"/>
  <c r="AB139" i="14"/>
  <c r="AJ138" i="14"/>
  <c r="AI138" i="14"/>
  <c r="S138" i="14"/>
  <c r="Q138" i="14"/>
  <c r="AK138" i="14" s="1"/>
  <c r="X136" i="14"/>
  <c r="Y136" i="14" s="1"/>
  <c r="AB135" i="14"/>
  <c r="AJ134" i="14"/>
  <c r="AI134" i="14"/>
  <c r="S134" i="14"/>
  <c r="Q134" i="14"/>
  <c r="AK134" i="14" s="1"/>
  <c r="X132" i="14"/>
  <c r="Y132" i="14" s="1"/>
  <c r="AB131" i="14"/>
  <c r="AJ130" i="14"/>
  <c r="AI130" i="14"/>
  <c r="S130" i="14"/>
  <c r="Q130" i="14"/>
  <c r="X128" i="14"/>
  <c r="Y128" i="14" s="1"/>
  <c r="AB127" i="14"/>
  <c r="AJ126" i="14"/>
  <c r="AI126" i="14"/>
  <c r="S126" i="14"/>
  <c r="Q126" i="14"/>
  <c r="X124" i="14"/>
  <c r="Y124" i="14" s="1"/>
  <c r="AB123" i="14"/>
  <c r="AJ122" i="14"/>
  <c r="AI122" i="14"/>
  <c r="S122" i="14"/>
  <c r="Q122" i="14"/>
  <c r="X120" i="14"/>
  <c r="Y120" i="14" s="1"/>
  <c r="AB119" i="14"/>
  <c r="AJ118" i="14"/>
  <c r="AI118" i="14"/>
  <c r="S118" i="14"/>
  <c r="Q118" i="14"/>
  <c r="AK118" i="14" s="1"/>
  <c r="X116" i="14"/>
  <c r="Y116" i="14" s="1"/>
  <c r="AB115" i="14"/>
  <c r="AJ114" i="14"/>
  <c r="AI114" i="14"/>
  <c r="S114" i="14"/>
  <c r="Q114" i="14"/>
  <c r="X112" i="14"/>
  <c r="Y112" i="14" s="1"/>
  <c r="AB111" i="14"/>
  <c r="AJ110" i="14"/>
  <c r="AI110" i="14"/>
  <c r="S110" i="14"/>
  <c r="Q110" i="14"/>
  <c r="X108" i="14"/>
  <c r="Y108" i="14" s="1"/>
  <c r="AB107" i="14"/>
  <c r="AJ106" i="14"/>
  <c r="AI106" i="14"/>
  <c r="S106" i="14"/>
  <c r="Q106" i="14"/>
  <c r="AK106" i="14" s="1"/>
  <c r="X104" i="14"/>
  <c r="Y104" i="14" s="1"/>
  <c r="AB103" i="14"/>
  <c r="AJ102" i="14"/>
  <c r="AI102" i="14"/>
  <c r="S102" i="14"/>
  <c r="Q102" i="14"/>
  <c r="X100" i="14"/>
  <c r="Y100" i="14" s="1"/>
  <c r="AB99" i="14"/>
  <c r="AJ98" i="14"/>
  <c r="AI98" i="14"/>
  <c r="S98" i="14"/>
  <c r="Q98" i="14"/>
  <c r="AK98" i="14" s="1"/>
  <c r="X96" i="14"/>
  <c r="Y96" i="14" s="1"/>
  <c r="AB95" i="14"/>
  <c r="AJ94" i="14"/>
  <c r="AI94" i="14"/>
  <c r="S94" i="14"/>
  <c r="Q94" i="14"/>
  <c r="X92" i="14"/>
  <c r="Y92" i="14" s="1"/>
  <c r="AB91" i="14"/>
  <c r="AJ90" i="14"/>
  <c r="AI90" i="14"/>
  <c r="S90" i="14"/>
  <c r="Q90" i="14"/>
  <c r="AK90" i="14" s="1"/>
  <c r="X88" i="14"/>
  <c r="Y88" i="14" s="1"/>
  <c r="AB87" i="14"/>
  <c r="AJ86" i="14"/>
  <c r="AI86" i="14"/>
  <c r="S86" i="14"/>
  <c r="Q86" i="14"/>
  <c r="X84" i="14"/>
  <c r="Y84" i="14" s="1"/>
  <c r="AB83" i="14"/>
  <c r="AJ82" i="14"/>
  <c r="AI82" i="14"/>
  <c r="Q82" i="14"/>
  <c r="X80" i="14"/>
  <c r="Y80" i="14" s="1"/>
  <c r="AB79" i="14"/>
  <c r="AJ78" i="14"/>
  <c r="AI78" i="14"/>
  <c r="Q78" i="14"/>
  <c r="X76" i="14"/>
  <c r="Y76" i="14" s="1"/>
  <c r="AB75" i="14"/>
  <c r="AI74" i="14"/>
  <c r="S74" i="14"/>
  <c r="Q74" i="14"/>
  <c r="X72" i="14"/>
  <c r="Y72" i="14" s="1"/>
  <c r="AB71" i="14"/>
  <c r="AJ70" i="14"/>
  <c r="AI70" i="14"/>
  <c r="S70" i="14"/>
  <c r="Q70" i="14"/>
  <c r="AK70" i="14" s="1"/>
  <c r="X68" i="14"/>
  <c r="Y68" i="14" s="1"/>
  <c r="AB67" i="14"/>
  <c r="AJ66" i="14"/>
  <c r="AI66" i="14"/>
  <c r="S66" i="14"/>
  <c r="Q66" i="14"/>
  <c r="X64" i="14"/>
  <c r="Y64" i="14" s="1"/>
  <c r="AB63" i="14"/>
  <c r="AI62" i="14"/>
  <c r="Q62" i="14"/>
  <c r="X60" i="14"/>
  <c r="Y60" i="14" s="1"/>
  <c r="AB59" i="14"/>
  <c r="AJ58" i="14"/>
  <c r="AI58" i="14"/>
  <c r="Q58" i="14"/>
  <c r="X56" i="14"/>
  <c r="Y56" i="14" s="1"/>
  <c r="AB55" i="14"/>
  <c r="AJ54" i="14"/>
  <c r="AI54" i="14"/>
  <c r="Q54" i="14"/>
  <c r="X52" i="14"/>
  <c r="Y52" i="14" s="1"/>
  <c r="AB51" i="14"/>
  <c r="AJ50" i="14"/>
  <c r="Q50" i="14"/>
  <c r="AK50" i="14" s="1"/>
  <c r="AI50" i="14"/>
  <c r="S50" i="14"/>
  <c r="X48" i="14"/>
  <c r="Y48" i="14" s="1"/>
  <c r="AB47" i="14"/>
  <c r="AJ46" i="14"/>
  <c r="Q46" i="14"/>
  <c r="AI46" i="14"/>
  <c r="S46" i="14"/>
  <c r="X44" i="14"/>
  <c r="Y44" i="14" s="1"/>
  <c r="AB43" i="14"/>
  <c r="AJ42" i="14"/>
  <c r="Q42" i="14"/>
  <c r="AI42" i="14"/>
  <c r="X40" i="14"/>
  <c r="Y40" i="14" s="1"/>
  <c r="AB39" i="14"/>
  <c r="Q38" i="14"/>
  <c r="AK38" i="14" s="1"/>
  <c r="AI38" i="14"/>
  <c r="S38" i="14"/>
  <c r="X36" i="14"/>
  <c r="Y36" i="14" s="1"/>
  <c r="AB35" i="14"/>
  <c r="Q34" i="14"/>
  <c r="AI34" i="14"/>
  <c r="S34" i="14"/>
  <c r="X32" i="14"/>
  <c r="Y32" i="14" s="1"/>
  <c r="AB31" i="14"/>
  <c r="Q30" i="14"/>
  <c r="S30" i="14"/>
  <c r="AI30" i="14"/>
  <c r="X28" i="14"/>
  <c r="Y28" i="14" s="1"/>
  <c r="AB27" i="14"/>
  <c r="AJ26" i="14"/>
  <c r="Q26" i="14"/>
  <c r="AI26" i="14"/>
  <c r="X24" i="14"/>
  <c r="Y24" i="14" s="1"/>
  <c r="AB23" i="14"/>
  <c r="AJ22" i="14"/>
  <c r="Q22" i="14"/>
  <c r="AK22" i="14" s="1"/>
  <c r="AI22" i="14"/>
  <c r="X20" i="14"/>
  <c r="Y20" i="14" s="1"/>
  <c r="AB19" i="14"/>
  <c r="AJ18" i="14"/>
  <c r="Q18" i="14"/>
  <c r="AI18" i="14"/>
  <c r="X16" i="14"/>
  <c r="Y16" i="14" s="1"/>
  <c r="AB15" i="14"/>
  <c r="AJ14" i="14"/>
  <c r="Q14" i="14"/>
  <c r="S14" i="14"/>
  <c r="AI14" i="14"/>
  <c r="X12" i="14"/>
  <c r="Y12" i="14" s="1"/>
  <c r="AB11" i="14"/>
  <c r="AJ10" i="14"/>
  <c r="Q10" i="14"/>
  <c r="AI10" i="14"/>
  <c r="X5" i="14"/>
  <c r="Y5" i="14" s="1"/>
  <c r="AI113" i="15"/>
  <c r="AH109" i="15"/>
  <c r="S109" i="15"/>
  <c r="T109" i="15" s="1"/>
  <c r="AL109" i="15" s="1"/>
  <c r="W105" i="15"/>
  <c r="AD105" i="15" s="1"/>
  <c r="AI97" i="15"/>
  <c r="AH93" i="15"/>
  <c r="S93" i="15"/>
  <c r="W89" i="15"/>
  <c r="AD89" i="15" s="1"/>
  <c r="AI81" i="15"/>
  <c r="AH77" i="15"/>
  <c r="S77" i="15"/>
  <c r="W73" i="15"/>
  <c r="AD73" i="15" s="1"/>
  <c r="AI65" i="15"/>
  <c r="AH61" i="15"/>
  <c r="S61" i="15"/>
  <c r="W57" i="15"/>
  <c r="AD57" i="15" s="1"/>
  <c r="AI49" i="15"/>
  <c r="AH45" i="15"/>
  <c r="S45" i="15"/>
  <c r="AI34" i="15"/>
  <c r="AH30" i="15"/>
  <c r="S30" i="15"/>
  <c r="W26" i="15"/>
  <c r="AD26" i="15" s="1"/>
  <c r="AI18" i="15"/>
  <c r="AH14" i="15"/>
  <c r="S14" i="15"/>
  <c r="W10" i="15"/>
  <c r="AD10" i="15" s="1"/>
  <c r="AJ110" i="15"/>
  <c r="AJ94" i="15"/>
  <c r="X83" i="15"/>
  <c r="Y83" i="15" s="1"/>
  <c r="AJ72" i="15"/>
  <c r="AJ62" i="15"/>
  <c r="X51" i="15"/>
  <c r="Y51" i="15" s="1"/>
  <c r="AJ41" i="15"/>
  <c r="AJ31" i="15"/>
  <c r="X20" i="15"/>
  <c r="Y20" i="15" s="1"/>
  <c r="AJ9" i="15"/>
  <c r="Z196" i="13"/>
  <c r="AA196" i="13" s="1"/>
  <c r="AG196" i="13" s="1"/>
  <c r="X196" i="13"/>
  <c r="Y196" i="13" s="1"/>
  <c r="X188" i="13"/>
  <c r="Y188" i="13" s="1"/>
  <c r="T188" i="13"/>
  <c r="AL188" i="13" s="1"/>
  <c r="X180" i="13"/>
  <c r="Y180" i="13" s="1"/>
  <c r="Z172" i="13"/>
  <c r="AA172" i="13" s="1"/>
  <c r="AG172" i="13" s="1"/>
  <c r="X172" i="13"/>
  <c r="Y172" i="13" s="1"/>
  <c r="T172" i="13"/>
  <c r="AL172" i="13" s="1"/>
  <c r="Z164" i="13"/>
  <c r="AA164" i="13" s="1"/>
  <c r="AG164" i="13" s="1"/>
  <c r="X164" i="13"/>
  <c r="Y164" i="13" s="1"/>
  <c r="T164" i="13"/>
  <c r="AL164" i="13" s="1"/>
  <c r="Z156" i="13"/>
  <c r="AA156" i="13" s="1"/>
  <c r="AG156" i="13" s="1"/>
  <c r="X156" i="13"/>
  <c r="Y156" i="13" s="1"/>
  <c r="S156" i="13"/>
  <c r="T156" i="13" s="1"/>
  <c r="AL156" i="13" s="1"/>
  <c r="X148" i="13"/>
  <c r="Y148" i="13" s="1"/>
  <c r="S148" i="13"/>
  <c r="T148" i="13" s="1"/>
  <c r="AL148" i="13" s="1"/>
  <c r="Z140" i="13"/>
  <c r="AA140" i="13" s="1"/>
  <c r="AG140" i="13" s="1"/>
  <c r="X140" i="13"/>
  <c r="Y140" i="13" s="1"/>
  <c r="S140" i="13"/>
  <c r="T140" i="13" s="1"/>
  <c r="AL140" i="13" s="1"/>
  <c r="X132" i="13"/>
  <c r="Y132" i="13" s="1"/>
  <c r="S132" i="13"/>
  <c r="T132" i="13" s="1"/>
  <c r="AL132" i="13" s="1"/>
  <c r="X111" i="15"/>
  <c r="Y111" i="15" s="1"/>
  <c r="AJ92" i="15"/>
  <c r="AJ82" i="15"/>
  <c r="AJ60" i="15"/>
  <c r="AJ50" i="15"/>
  <c r="AJ29" i="15"/>
  <c r="AJ19" i="15"/>
  <c r="U61" i="14"/>
  <c r="AF15" i="14"/>
  <c r="K15" i="14"/>
  <c r="U16" i="14"/>
  <c r="U80" i="14"/>
  <c r="U88" i="14"/>
  <c r="U92" i="14"/>
  <c r="U96" i="14"/>
  <c r="U100" i="14"/>
  <c r="U104" i="14"/>
  <c r="U108" i="14"/>
  <c r="U112" i="14"/>
  <c r="U116" i="14"/>
  <c r="U120" i="14"/>
  <c r="U124" i="14"/>
  <c r="U128" i="14"/>
  <c r="U132" i="14"/>
  <c r="U136" i="14"/>
  <c r="U140" i="14"/>
  <c r="U144" i="14"/>
  <c r="U148" i="14"/>
  <c r="U152" i="14"/>
  <c r="U156" i="14"/>
  <c r="U160" i="14"/>
  <c r="U164" i="14"/>
  <c r="U168" i="14"/>
  <c r="U172" i="14"/>
  <c r="U176" i="14"/>
  <c r="U180" i="14"/>
  <c r="U184" i="14"/>
  <c r="U188" i="14"/>
  <c r="U192" i="14"/>
  <c r="U196" i="14"/>
  <c r="U200" i="14"/>
  <c r="U204" i="14"/>
  <c r="U208" i="14"/>
  <c r="U212" i="14"/>
  <c r="U216" i="14"/>
  <c r="U220" i="14"/>
  <c r="U224" i="14"/>
  <c r="U228" i="14"/>
  <c r="U232" i="14"/>
  <c r="U236" i="14"/>
  <c r="U240" i="14"/>
  <c r="U244" i="14"/>
  <c r="U248" i="14"/>
  <c r="U252" i="14"/>
  <c r="AH2" i="14"/>
  <c r="AH239" i="13"/>
  <c r="O239" i="13"/>
  <c r="R239" i="13" s="1"/>
  <c r="AI239" i="13"/>
  <c r="N234" i="13"/>
  <c r="Q231" i="13"/>
  <c r="AK231" i="13" s="1"/>
  <c r="W231" i="13"/>
  <c r="AD231" i="13" s="1"/>
  <c r="O226" i="13"/>
  <c r="R226" i="13" s="1"/>
  <c r="AH223" i="13"/>
  <c r="O223" i="13"/>
  <c r="R223" i="13" s="1"/>
  <c r="AI223" i="13"/>
  <c r="Q218" i="13"/>
  <c r="AK218" i="13" s="1"/>
  <c r="O210" i="13"/>
  <c r="R210" i="13" s="1"/>
  <c r="AH207" i="13"/>
  <c r="O207" i="13"/>
  <c r="R207" i="13" s="1"/>
  <c r="AI207" i="13"/>
  <c r="S202" i="13"/>
  <c r="Q194" i="13"/>
  <c r="AH194" i="13"/>
  <c r="AJ193" i="13"/>
  <c r="AH193" i="13"/>
  <c r="Q193" i="13"/>
  <c r="AK193" i="13" s="1"/>
  <c r="K193" i="13"/>
  <c r="Q191" i="13"/>
  <c r="AJ191" i="13"/>
  <c r="AH191" i="13"/>
  <c r="Q178" i="13"/>
  <c r="AK178" i="13" s="1"/>
  <c r="AH178" i="13"/>
  <c r="AJ177" i="13"/>
  <c r="AH177" i="13"/>
  <c r="Q177" i="13"/>
  <c r="K177" i="13"/>
  <c r="Q175" i="13"/>
  <c r="AJ175" i="13"/>
  <c r="AH175" i="13"/>
  <c r="S171" i="13"/>
  <c r="AJ161" i="13"/>
  <c r="Q161" i="13"/>
  <c r="AK161" i="13" s="1"/>
  <c r="AH161" i="13"/>
  <c r="K161" i="13"/>
  <c r="AH159" i="13"/>
  <c r="AJ158" i="13"/>
  <c r="S155" i="13"/>
  <c r="T155" i="13" s="1"/>
  <c r="AL155" i="13" s="1"/>
  <c r="AJ145" i="13"/>
  <c r="Q145" i="13"/>
  <c r="AH145" i="13"/>
  <c r="K145" i="13"/>
  <c r="AH143" i="13"/>
  <c r="AJ142" i="13"/>
  <c r="S139" i="13"/>
  <c r="T139" i="13" s="1"/>
  <c r="AL139" i="13" s="1"/>
  <c r="U130" i="13"/>
  <c r="Q130" i="13"/>
  <c r="Z142" i="14" s="1"/>
  <c r="AA142" i="14" s="1"/>
  <c r="AG142" i="14" s="1"/>
  <c r="AI12" i="13"/>
  <c r="S12" i="13"/>
  <c r="Q12" i="13"/>
  <c r="AH12" i="13"/>
  <c r="R12" i="13"/>
  <c r="AI10" i="13"/>
  <c r="S10" i="13"/>
  <c r="Q10" i="13"/>
  <c r="AH10" i="13"/>
  <c r="R10" i="13"/>
  <c r="Q9" i="13"/>
  <c r="AK9" i="13" s="1"/>
  <c r="R9" i="13"/>
  <c r="AI9" i="13"/>
  <c r="AH9" i="13"/>
  <c r="S9" i="13"/>
  <c r="T9" i="13" s="1"/>
  <c r="AL9" i="13" s="1"/>
  <c r="AH6" i="12"/>
  <c r="Q6" i="12"/>
  <c r="AK6" i="12" s="1"/>
  <c r="AI6" i="12"/>
  <c r="AI2" i="12"/>
  <c r="AH2" i="12"/>
  <c r="Q2" i="12"/>
  <c r="AK2" i="12" s="1"/>
  <c r="AF3" i="14"/>
  <c r="K3" i="14"/>
  <c r="Z238" i="13"/>
  <c r="AA238" i="13" s="1"/>
  <c r="AG238" i="13" s="1"/>
  <c r="U238" i="13"/>
  <c r="Q230" i="13"/>
  <c r="AK230" i="13" s="1"/>
  <c r="Q227" i="13"/>
  <c r="S222" i="13"/>
  <c r="S219" i="13"/>
  <c r="O214" i="13"/>
  <c r="R214" i="13" s="1"/>
  <c r="AH211" i="13"/>
  <c r="O211" i="13"/>
  <c r="U211" i="13" s="1"/>
  <c r="AI211" i="13"/>
  <c r="Z206" i="13"/>
  <c r="AA206" i="13" s="1"/>
  <c r="AG206" i="13" s="1"/>
  <c r="U206" i="13"/>
  <c r="U81" i="14"/>
  <c r="O217" i="13"/>
  <c r="S217" i="13" s="1"/>
  <c r="AJ110" i="13"/>
  <c r="AJ94" i="13"/>
  <c r="AJ85" i="13"/>
  <c r="AJ45" i="13"/>
  <c r="W31" i="14"/>
  <c r="AD31" i="14" s="1"/>
  <c r="W14" i="14"/>
  <c r="AD14" i="14" s="1"/>
  <c r="O225" i="13"/>
  <c r="R225" i="13" s="1"/>
  <c r="AJ218" i="13"/>
  <c r="R216" i="13"/>
  <c r="R196" i="13"/>
  <c r="T196" i="13" s="1"/>
  <c r="AL196" i="13" s="1"/>
  <c r="R180" i="13"/>
  <c r="T180" i="13" s="1"/>
  <c r="AL180" i="13" s="1"/>
  <c r="AJ128" i="13"/>
  <c r="AJ113" i="13"/>
  <c r="AJ97" i="13"/>
  <c r="AJ72" i="13"/>
  <c r="AJ48" i="13"/>
  <c r="U176" i="13"/>
  <c r="U192" i="13"/>
  <c r="AF48" i="13"/>
  <c r="K48" i="13"/>
  <c r="AF88" i="13"/>
  <c r="K88" i="13"/>
  <c r="AF104" i="13"/>
  <c r="K104" i="13"/>
  <c r="AF120" i="13"/>
  <c r="K120" i="13"/>
  <c r="AF128" i="13"/>
  <c r="K128" i="13"/>
  <c r="AH8" i="12"/>
  <c r="X3" i="12"/>
  <c r="Y3" i="12" s="1"/>
  <c r="Z3" i="12"/>
  <c r="AA3" i="12" s="1"/>
  <c r="AG3" i="12" s="1"/>
  <c r="W32" i="14"/>
  <c r="AD32" i="14" s="1"/>
  <c r="X4" i="14"/>
  <c r="Y4" i="14" s="1"/>
  <c r="K4" i="14"/>
  <c r="X236" i="13"/>
  <c r="Y236" i="13" s="1"/>
  <c r="R220" i="13"/>
  <c r="Q220" i="13"/>
  <c r="AK220" i="13" s="1"/>
  <c r="U162" i="13"/>
  <c r="U146" i="13"/>
  <c r="AJ112" i="13"/>
  <c r="AJ96" i="13"/>
  <c r="W11" i="14"/>
  <c r="AD11" i="14" s="1"/>
  <c r="W55" i="14"/>
  <c r="AD55" i="14" s="1"/>
  <c r="W70" i="14"/>
  <c r="AD70" i="14" s="1"/>
  <c r="W38" i="14"/>
  <c r="AD38" i="14" s="1"/>
  <c r="W78" i="14"/>
  <c r="AD78" i="14" s="1"/>
  <c r="W20" i="14"/>
  <c r="AD20" i="14" s="1"/>
  <c r="W26" i="14"/>
  <c r="AD26" i="14" s="1"/>
  <c r="W46" i="14"/>
  <c r="AD46" i="14" s="1"/>
  <c r="W51" i="14"/>
  <c r="AD51" i="14" s="1"/>
  <c r="W74" i="14"/>
  <c r="AD74" i="14" s="1"/>
  <c r="W21" i="14"/>
  <c r="AD21" i="14" s="1"/>
  <c r="W37" i="14"/>
  <c r="AD37" i="14" s="1"/>
  <c r="W53" i="14"/>
  <c r="AD53" i="14" s="1"/>
  <c r="W69" i="14"/>
  <c r="AD69" i="14" s="1"/>
  <c r="W85" i="14"/>
  <c r="AD85" i="14" s="1"/>
  <c r="W64" i="14"/>
  <c r="AD64" i="14" s="1"/>
  <c r="W80" i="14"/>
  <c r="AD80" i="14" s="1"/>
  <c r="W88" i="14"/>
  <c r="AD88" i="14" s="1"/>
  <c r="W92" i="14"/>
  <c r="AD92" i="14" s="1"/>
  <c r="W96" i="14"/>
  <c r="AD96" i="14" s="1"/>
  <c r="W100" i="14"/>
  <c r="AD100" i="14" s="1"/>
  <c r="W104" i="14"/>
  <c r="AD104" i="14" s="1"/>
  <c r="W108" i="14"/>
  <c r="AD108" i="14" s="1"/>
  <c r="W112" i="14"/>
  <c r="AD112" i="14" s="1"/>
  <c r="W116" i="14"/>
  <c r="W120" i="14"/>
  <c r="AD120" i="14" s="1"/>
  <c r="W124" i="14"/>
  <c r="AD124" i="14" s="1"/>
  <c r="W128" i="14"/>
  <c r="AD128" i="14" s="1"/>
  <c r="W132" i="14"/>
  <c r="W136" i="14"/>
  <c r="AD136" i="14" s="1"/>
  <c r="W140" i="14"/>
  <c r="AD140" i="14" s="1"/>
  <c r="W144" i="14"/>
  <c r="AD144" i="14" s="1"/>
  <c r="W148" i="14"/>
  <c r="AD148" i="14" s="1"/>
  <c r="W152" i="14"/>
  <c r="AD152" i="14" s="1"/>
  <c r="W156" i="14"/>
  <c r="AD156" i="14" s="1"/>
  <c r="W160" i="14"/>
  <c r="AD160" i="14" s="1"/>
  <c r="W164" i="14"/>
  <c r="AD164" i="14" s="1"/>
  <c r="W168" i="14"/>
  <c r="AD168" i="14" s="1"/>
  <c r="W172" i="14"/>
  <c r="AD172" i="14" s="1"/>
  <c r="W176" i="14"/>
  <c r="AD176" i="14" s="1"/>
  <c r="W180" i="14"/>
  <c r="AD180" i="14" s="1"/>
  <c r="W184" i="14"/>
  <c r="AD184" i="14" s="1"/>
  <c r="W188" i="14"/>
  <c r="AD188" i="14" s="1"/>
  <c r="W192" i="14"/>
  <c r="AD192" i="14" s="1"/>
  <c r="W196" i="14"/>
  <c r="AD196" i="14" s="1"/>
  <c r="W200" i="14"/>
  <c r="AD200" i="14" s="1"/>
  <c r="W204" i="14"/>
  <c r="AD204" i="14" s="1"/>
  <c r="W208" i="14"/>
  <c r="AD208" i="14" s="1"/>
  <c r="W212" i="14"/>
  <c r="AD212" i="14" s="1"/>
  <c r="W216" i="14"/>
  <c r="AD216" i="14" s="1"/>
  <c r="W220" i="14"/>
  <c r="AD220" i="14" s="1"/>
  <c r="W224" i="14"/>
  <c r="AD224" i="14" s="1"/>
  <c r="W228" i="14"/>
  <c r="AD228" i="14" s="1"/>
  <c r="W232" i="14"/>
  <c r="AD232" i="14" s="1"/>
  <c r="W236" i="14"/>
  <c r="AD236" i="14" s="1"/>
  <c r="W240" i="14"/>
  <c r="AD240" i="14" s="1"/>
  <c r="W244" i="14"/>
  <c r="AD244" i="14" s="1"/>
  <c r="W248" i="14"/>
  <c r="AD248" i="14" s="1"/>
  <c r="W252" i="14"/>
  <c r="AD252" i="14" s="1"/>
  <c r="W256" i="14"/>
  <c r="AD256" i="14" s="1"/>
  <c r="W260" i="14"/>
  <c r="AD260" i="14" s="1"/>
  <c r="Z7" i="14"/>
  <c r="AA7" i="14" s="1"/>
  <c r="AG7" i="14" s="1"/>
  <c r="S228" i="13"/>
  <c r="T228" i="13" s="1"/>
  <c r="AL228" i="13" s="1"/>
  <c r="X216" i="13"/>
  <c r="Y216" i="13" s="1"/>
  <c r="R205" i="13"/>
  <c r="Q205" i="13"/>
  <c r="AK205" i="13" s="1"/>
  <c r="U194" i="13"/>
  <c r="U178" i="13"/>
  <c r="AJ171" i="13"/>
  <c r="Q166" i="13"/>
  <c r="AK166" i="13" s="1"/>
  <c r="U160" i="13"/>
  <c r="Q146" i="13"/>
  <c r="AK146" i="13" s="1"/>
  <c r="AJ131" i="13"/>
  <c r="Q163" i="13"/>
  <c r="AK163" i="13" s="1"/>
  <c r="AH134" i="13"/>
  <c r="O70" i="13"/>
  <c r="R70" i="13" s="1"/>
  <c r="N70" i="13"/>
  <c r="AI70" i="13" s="1"/>
  <c r="O50" i="13"/>
  <c r="R50" i="13" s="1"/>
  <c r="N50" i="13"/>
  <c r="Q50" i="13" s="1"/>
  <c r="O40" i="13"/>
  <c r="R40" i="13" s="1"/>
  <c r="N40" i="13"/>
  <c r="AJ31" i="13"/>
  <c r="O25" i="13"/>
  <c r="R25" i="13" s="1"/>
  <c r="N25" i="13"/>
  <c r="U25" i="13" s="1"/>
  <c r="O4" i="13"/>
  <c r="R4" i="13" s="1"/>
  <c r="N4" i="13"/>
  <c r="AJ238" i="13"/>
  <c r="AJ206" i="13"/>
  <c r="AJ119" i="13"/>
  <c r="AJ103" i="13"/>
  <c r="AJ86" i="13"/>
  <c r="O74" i="13"/>
  <c r="R74" i="13" s="1"/>
  <c r="N74" i="13"/>
  <c r="AJ46" i="13"/>
  <c r="Z20" i="13"/>
  <c r="AF12" i="13"/>
  <c r="K12" i="13"/>
  <c r="O5" i="13"/>
  <c r="R5" i="13" s="1"/>
  <c r="N5" i="13"/>
  <c r="AH5" i="13" s="1"/>
  <c r="O52" i="13"/>
  <c r="R52" i="13" s="1"/>
  <c r="N52" i="13"/>
  <c r="U52" i="13" s="1"/>
  <c r="O44" i="13"/>
  <c r="R44" i="13" s="1"/>
  <c r="N44" i="13"/>
  <c r="AI44" i="13" s="1"/>
  <c r="O76" i="13"/>
  <c r="R76" i="13" s="1"/>
  <c r="N76" i="13"/>
  <c r="U76" i="13" s="1"/>
  <c r="N20" i="13"/>
  <c r="O20" i="13"/>
  <c r="R20" i="13" s="1"/>
  <c r="O39" i="13"/>
  <c r="R39" i="13" s="1"/>
  <c r="N39" i="13"/>
  <c r="U39" i="13" s="1"/>
  <c r="O55" i="13"/>
  <c r="R55" i="13" s="1"/>
  <c r="N55" i="13"/>
  <c r="S55" i="13" s="1"/>
  <c r="O67" i="13"/>
  <c r="R67" i="13" s="1"/>
  <c r="N67" i="13"/>
  <c r="U67" i="13" s="1"/>
  <c r="O81" i="13"/>
  <c r="R81" i="13" s="1"/>
  <c r="N81" i="13"/>
  <c r="S81" i="13" s="1"/>
  <c r="O123" i="13"/>
  <c r="R123" i="13" s="1"/>
  <c r="N123" i="13"/>
  <c r="U123" i="13" s="1"/>
  <c r="AJ222" i="13"/>
  <c r="Q171" i="13"/>
  <c r="Q143" i="13"/>
  <c r="Z84" i="13"/>
  <c r="Z68" i="13"/>
  <c r="AJ37" i="13"/>
  <c r="AJ12" i="13"/>
  <c r="U170" i="13"/>
  <c r="AB7" i="12"/>
  <c r="AJ155" i="13"/>
  <c r="AJ47" i="13"/>
  <c r="AJ22" i="13"/>
  <c r="AJ10" i="13"/>
  <c r="W84" i="13"/>
  <c r="AD84" i="13" s="1"/>
  <c r="AA109" i="13"/>
  <c r="AG109" i="13" s="1"/>
  <c r="AB137" i="13"/>
  <c r="X137" i="13"/>
  <c r="Y137" i="13" s="1"/>
  <c r="AB153" i="13"/>
  <c r="X153" i="13"/>
  <c r="Y153" i="13" s="1"/>
  <c r="AB169" i="13"/>
  <c r="X169" i="13"/>
  <c r="Y169" i="13" s="1"/>
  <c r="Z26" i="13"/>
  <c r="Z34" i="13"/>
  <c r="AA34" i="13" s="1"/>
  <c r="AG34" i="13" s="1"/>
  <c r="Z61" i="13"/>
  <c r="AA61" i="13" s="1"/>
  <c r="AG61" i="13" s="1"/>
  <c r="W124" i="13"/>
  <c r="AD124" i="13" s="1"/>
  <c r="X134" i="13"/>
  <c r="Y134" i="13" s="1"/>
  <c r="AB134" i="13"/>
  <c r="X150" i="13"/>
  <c r="Y150" i="13" s="1"/>
  <c r="AB150" i="13"/>
  <c r="X166" i="13"/>
  <c r="Y166" i="13" s="1"/>
  <c r="AB166" i="13"/>
  <c r="W42" i="13"/>
  <c r="AD42" i="13" s="1"/>
  <c r="Z64" i="13"/>
  <c r="Z116" i="13"/>
  <c r="AA116" i="13" s="1"/>
  <c r="AG116" i="13" s="1"/>
  <c r="X177" i="13"/>
  <c r="Y177" i="13" s="1"/>
  <c r="AB177" i="13"/>
  <c r="X182" i="13"/>
  <c r="Y182" i="13" s="1"/>
  <c r="AB182" i="13"/>
  <c r="X193" i="13"/>
  <c r="Y193" i="13" s="1"/>
  <c r="AB193" i="13"/>
  <c r="X198" i="13"/>
  <c r="Y198" i="13" s="1"/>
  <c r="AB198" i="13"/>
  <c r="W53" i="13"/>
  <c r="AD53" i="13" s="1"/>
  <c r="W61" i="13"/>
  <c r="AD61" i="13" s="1"/>
  <c r="W69" i="13"/>
  <c r="AD69" i="13" s="1"/>
  <c r="W93" i="13"/>
  <c r="AD93" i="13" s="1"/>
  <c r="W101" i="13"/>
  <c r="AD101" i="13" s="1"/>
  <c r="W109" i="13"/>
  <c r="W117" i="13"/>
  <c r="AD117" i="13" s="1"/>
  <c r="S235" i="12"/>
  <c r="T235" i="12" s="1"/>
  <c r="AL235" i="12" s="1"/>
  <c r="AJ235" i="12"/>
  <c r="S231" i="12"/>
  <c r="T231" i="12" s="1"/>
  <c r="AL231" i="12" s="1"/>
  <c r="AJ231" i="12"/>
  <c r="S227" i="12"/>
  <c r="T227" i="12" s="1"/>
  <c r="AL227" i="12" s="1"/>
  <c r="AJ227" i="12"/>
  <c r="S219" i="12"/>
  <c r="T219" i="12" s="1"/>
  <c r="AL219" i="12" s="1"/>
  <c r="AJ219" i="12"/>
  <c r="S215" i="12"/>
  <c r="AJ215" i="12"/>
  <c r="S211" i="12"/>
  <c r="AJ211" i="12"/>
  <c r="S203" i="12"/>
  <c r="T203" i="12" s="1"/>
  <c r="AL203" i="12" s="1"/>
  <c r="AJ203" i="12"/>
  <c r="S199" i="12"/>
  <c r="T199" i="12" s="1"/>
  <c r="AL199" i="12" s="1"/>
  <c r="AJ199" i="12"/>
  <c r="S195" i="12"/>
  <c r="T195" i="12" s="1"/>
  <c r="AL195" i="12" s="1"/>
  <c r="AJ195" i="12"/>
  <c r="S187" i="12"/>
  <c r="T187" i="12" s="1"/>
  <c r="AL187" i="12" s="1"/>
  <c r="AJ187" i="12"/>
  <c r="S184" i="12"/>
  <c r="T184" i="12" s="1"/>
  <c r="AL184" i="12" s="1"/>
  <c r="AJ184" i="12"/>
  <c r="S180" i="12"/>
  <c r="T180" i="12" s="1"/>
  <c r="AL180" i="12" s="1"/>
  <c r="AJ180" i="12"/>
  <c r="S172" i="12"/>
  <c r="T172" i="12" s="1"/>
  <c r="AL172" i="12" s="1"/>
  <c r="AJ172" i="12"/>
  <c r="S168" i="12"/>
  <c r="T168" i="12" s="1"/>
  <c r="AL168" i="12" s="1"/>
  <c r="AJ168" i="12"/>
  <c r="S164" i="12"/>
  <c r="T164" i="12" s="1"/>
  <c r="AL164" i="12" s="1"/>
  <c r="AJ164" i="12"/>
  <c r="S160" i="12"/>
  <c r="T160" i="12" s="1"/>
  <c r="AL160" i="12" s="1"/>
  <c r="AJ160" i="12"/>
  <c r="S156" i="12"/>
  <c r="T156" i="12" s="1"/>
  <c r="AL156" i="12" s="1"/>
  <c r="AJ156" i="12"/>
  <c r="S152" i="12"/>
  <c r="T152" i="12" s="1"/>
  <c r="AL152" i="12" s="1"/>
  <c r="AJ152" i="12"/>
  <c r="S148" i="12"/>
  <c r="T148" i="12" s="1"/>
  <c r="AL148" i="12" s="1"/>
  <c r="AJ148" i="12"/>
  <c r="S141" i="12"/>
  <c r="T141" i="12" s="1"/>
  <c r="AL141" i="12" s="1"/>
  <c r="AJ141" i="12"/>
  <c r="S137" i="12"/>
  <c r="T137" i="12" s="1"/>
  <c r="AL137" i="12" s="1"/>
  <c r="AJ137" i="12"/>
  <c r="S133" i="12"/>
  <c r="T133" i="12" s="1"/>
  <c r="AL133" i="12" s="1"/>
  <c r="AJ133" i="12"/>
  <c r="S129" i="12"/>
  <c r="T129" i="12" s="1"/>
  <c r="AL129" i="12" s="1"/>
  <c r="AJ129" i="12"/>
  <c r="S125" i="12"/>
  <c r="T125" i="12" s="1"/>
  <c r="AL125" i="12" s="1"/>
  <c r="AJ125" i="12"/>
  <c r="S121" i="12"/>
  <c r="T121" i="12" s="1"/>
  <c r="AL121" i="12" s="1"/>
  <c r="AJ121" i="12"/>
  <c r="S117" i="12"/>
  <c r="T117" i="12" s="1"/>
  <c r="AL117" i="12" s="1"/>
  <c r="AJ117" i="12"/>
  <c r="Q116" i="12"/>
  <c r="AK116" i="12" s="1"/>
  <c r="S113" i="12"/>
  <c r="T113" i="12" s="1"/>
  <c r="AL113" i="12" s="1"/>
  <c r="AJ113" i="12"/>
  <c r="Q112" i="12"/>
  <c r="AK112" i="12" s="1"/>
  <c r="S109" i="12"/>
  <c r="T109" i="12" s="1"/>
  <c r="AL109" i="12" s="1"/>
  <c r="AJ109" i="12"/>
  <c r="Q108" i="12"/>
  <c r="AK108" i="12" s="1"/>
  <c r="S105" i="12"/>
  <c r="T105" i="12" s="1"/>
  <c r="AL105" i="12" s="1"/>
  <c r="AJ105" i="12"/>
  <c r="Q104" i="12"/>
  <c r="S101" i="12"/>
  <c r="T101" i="12" s="1"/>
  <c r="AL101" i="12" s="1"/>
  <c r="AJ101" i="12"/>
  <c r="Q100" i="12"/>
  <c r="S97" i="12"/>
  <c r="T97" i="12" s="1"/>
  <c r="AL97" i="12" s="1"/>
  <c r="AJ97" i="12"/>
  <c r="Q96" i="12"/>
  <c r="AK96" i="12" s="1"/>
  <c r="S93" i="12"/>
  <c r="T93" i="12" s="1"/>
  <c r="AL93" i="12" s="1"/>
  <c r="AJ93" i="12"/>
  <c r="Q92" i="12"/>
  <c r="AK92" i="12" s="1"/>
  <c r="S89" i="12"/>
  <c r="T89" i="12" s="1"/>
  <c r="AL89" i="12" s="1"/>
  <c r="AJ89" i="12"/>
  <c r="Q88" i="12"/>
  <c r="S85" i="12"/>
  <c r="T85" i="12" s="1"/>
  <c r="AL85" i="12" s="1"/>
  <c r="AJ85" i="12"/>
  <c r="Q84" i="12"/>
  <c r="S81" i="12"/>
  <c r="T81" i="12" s="1"/>
  <c r="AL81" i="12" s="1"/>
  <c r="AJ81" i="12"/>
  <c r="Q80" i="12"/>
  <c r="S77" i="12"/>
  <c r="T77" i="12" s="1"/>
  <c r="AL77" i="12" s="1"/>
  <c r="AJ77" i="12"/>
  <c r="Q76" i="12"/>
  <c r="S73" i="12"/>
  <c r="T73" i="12" s="1"/>
  <c r="AL73" i="12" s="1"/>
  <c r="AJ73" i="12"/>
  <c r="Q72" i="12"/>
  <c r="S69" i="12"/>
  <c r="T69" i="12" s="1"/>
  <c r="AL69" i="12" s="1"/>
  <c r="AJ69" i="12"/>
  <c r="Q68" i="12"/>
  <c r="AK68" i="12" s="1"/>
  <c r="S65" i="12"/>
  <c r="T65" i="12" s="1"/>
  <c r="AL65" i="12" s="1"/>
  <c r="AJ65" i="12"/>
  <c r="Q64" i="12"/>
  <c r="AK64" i="12" s="1"/>
  <c r="S61" i="12"/>
  <c r="T61" i="12" s="1"/>
  <c r="AL61" i="12" s="1"/>
  <c r="AJ61" i="12"/>
  <c r="Q60" i="12"/>
  <c r="AK60" i="12" s="1"/>
  <c r="S57" i="12"/>
  <c r="T57" i="12" s="1"/>
  <c r="AL57" i="12" s="1"/>
  <c r="AJ57" i="12"/>
  <c r="Q56" i="12"/>
  <c r="AK56" i="12" s="1"/>
  <c r="S53" i="12"/>
  <c r="T53" i="12" s="1"/>
  <c r="AL53" i="12" s="1"/>
  <c r="AJ53" i="12"/>
  <c r="Q52" i="12"/>
  <c r="AK52" i="12" s="1"/>
  <c r="S49" i="12"/>
  <c r="T49" i="12" s="1"/>
  <c r="AL49" i="12" s="1"/>
  <c r="AJ49" i="12"/>
  <c r="Q48" i="12"/>
  <c r="AK48" i="12" s="1"/>
  <c r="S45" i="12"/>
  <c r="T45" i="12" s="1"/>
  <c r="AL45" i="12" s="1"/>
  <c r="AJ45" i="12"/>
  <c r="Q44" i="12"/>
  <c r="AK44" i="12" s="1"/>
  <c r="S41" i="12"/>
  <c r="T41" i="12" s="1"/>
  <c r="AL41" i="12" s="1"/>
  <c r="AJ41" i="12"/>
  <c r="Q40" i="12"/>
  <c r="AK40" i="12" s="1"/>
  <c r="S37" i="12"/>
  <c r="T37" i="12" s="1"/>
  <c r="AL37" i="12" s="1"/>
  <c r="AJ37" i="12"/>
  <c r="Q36" i="12"/>
  <c r="AK36" i="12" s="1"/>
  <c r="S33" i="12"/>
  <c r="T33" i="12" s="1"/>
  <c r="AL33" i="12" s="1"/>
  <c r="AJ33" i="12"/>
  <c r="Q32" i="12"/>
  <c r="AK32" i="12" s="1"/>
  <c r="S29" i="12"/>
  <c r="T29" i="12" s="1"/>
  <c r="AL29" i="12" s="1"/>
  <c r="AJ29" i="12"/>
  <c r="Q28" i="12"/>
  <c r="AK28" i="12" s="1"/>
  <c r="S25" i="12"/>
  <c r="T25" i="12" s="1"/>
  <c r="AL25" i="12" s="1"/>
  <c r="AJ25" i="12"/>
  <c r="Q24" i="12"/>
  <c r="AK24" i="12" s="1"/>
  <c r="S21" i="12"/>
  <c r="T21" i="12" s="1"/>
  <c r="AL21" i="12" s="1"/>
  <c r="AJ21" i="12"/>
  <c r="Q20" i="12"/>
  <c r="AK20" i="12" s="1"/>
  <c r="S17" i="12"/>
  <c r="T17" i="12" s="1"/>
  <c r="AL17" i="12" s="1"/>
  <c r="AJ17" i="12"/>
  <c r="Q16" i="12"/>
  <c r="AK16" i="12" s="1"/>
  <c r="S13" i="12"/>
  <c r="T13" i="12" s="1"/>
  <c r="AL13" i="12" s="1"/>
  <c r="AJ13" i="12"/>
  <c r="Q12" i="12"/>
  <c r="AK12" i="12" s="1"/>
  <c r="S9" i="12"/>
  <c r="T9" i="12" s="1"/>
  <c r="AL9" i="12" s="1"/>
  <c r="AJ9" i="12"/>
  <c r="Z7" i="12"/>
  <c r="AA7" i="12" s="1"/>
  <c r="AG7" i="12" s="1"/>
  <c r="S7" i="12"/>
  <c r="AF10" i="13"/>
  <c r="K10" i="13"/>
  <c r="E8" i="3"/>
  <c r="E19" i="1"/>
  <c r="J31" i="3"/>
  <c r="E23" i="1"/>
  <c r="I8" i="3"/>
  <c r="E18" i="1"/>
  <c r="D8" i="3"/>
  <c r="H31" i="3"/>
  <c r="C8" i="3"/>
  <c r="E17" i="1"/>
  <c r="E24" i="1"/>
  <c r="J8" i="3"/>
  <c r="O119" i="13"/>
  <c r="U119" i="13" s="1"/>
  <c r="O115" i="13"/>
  <c r="U115" i="13" s="1"/>
  <c r="O111" i="13"/>
  <c r="U111" i="13" s="1"/>
  <c r="O107" i="13"/>
  <c r="U107" i="13" s="1"/>
  <c r="O103" i="13"/>
  <c r="U103" i="13" s="1"/>
  <c r="O99" i="13"/>
  <c r="U99" i="13" s="1"/>
  <c r="O95" i="13"/>
  <c r="U95" i="13" s="1"/>
  <c r="O91" i="13"/>
  <c r="U91" i="13" s="1"/>
  <c r="O22" i="13"/>
  <c r="U22" i="13" s="1"/>
  <c r="O16" i="13"/>
  <c r="U16" i="13" s="1"/>
  <c r="O129" i="13"/>
  <c r="U129" i="13" s="1"/>
  <c r="O85" i="13"/>
  <c r="U85" i="13" s="1"/>
  <c r="O73" i="13"/>
  <c r="U73" i="13" s="1"/>
  <c r="O61" i="13"/>
  <c r="U61" i="13" s="1"/>
  <c r="O49" i="13"/>
  <c r="U49" i="13" s="1"/>
  <c r="O45" i="13"/>
  <c r="U45" i="13" s="1"/>
  <c r="O34" i="13"/>
  <c r="U34" i="13" s="1"/>
  <c r="O30" i="13"/>
  <c r="U30" i="13" s="1"/>
  <c r="O117" i="13"/>
  <c r="U117" i="13" s="1"/>
  <c r="O113" i="13"/>
  <c r="U113" i="13" s="1"/>
  <c r="O109" i="13"/>
  <c r="U109" i="13" s="1"/>
  <c r="O105" i="13"/>
  <c r="U105" i="13" s="1"/>
  <c r="O101" i="13"/>
  <c r="U101" i="13" s="1"/>
  <c r="O97" i="13"/>
  <c r="U97" i="13" s="1"/>
  <c r="O93" i="13"/>
  <c r="U93" i="13" s="1"/>
  <c r="O71" i="13"/>
  <c r="U71" i="13" s="1"/>
  <c r="O47" i="13"/>
  <c r="U47" i="13" s="1"/>
  <c r="O24" i="13"/>
  <c r="U24" i="13" s="1"/>
  <c r="O75" i="13"/>
  <c r="U75" i="13" s="1"/>
  <c r="O127" i="13"/>
  <c r="U127" i="13" s="1"/>
  <c r="O87" i="13"/>
  <c r="U87" i="13" s="1"/>
  <c r="O59" i="13"/>
  <c r="U59" i="13" s="1"/>
  <c r="O43" i="13"/>
  <c r="U43" i="13" s="1"/>
  <c r="O32" i="13"/>
  <c r="U32" i="13" s="1"/>
  <c r="O28" i="13"/>
  <c r="U28" i="13" s="1"/>
  <c r="AH261" i="15"/>
  <c r="AH253" i="15"/>
  <c r="R253" i="15"/>
  <c r="AH245" i="15"/>
  <c r="AH229" i="15"/>
  <c r="R229" i="15"/>
  <c r="AH221" i="15"/>
  <c r="AH213" i="15"/>
  <c r="R213" i="15"/>
  <c r="Z257" i="15"/>
  <c r="AA257" i="15" s="1"/>
  <c r="AG257" i="15" s="1"/>
  <c r="Z241" i="15"/>
  <c r="AA241" i="15" s="1"/>
  <c r="AG241" i="15" s="1"/>
  <c r="Z225" i="15"/>
  <c r="AA225" i="15" s="1"/>
  <c r="AG225" i="15" s="1"/>
  <c r="AJ147" i="15"/>
  <c r="AJ263" i="15"/>
  <c r="AI263" i="15"/>
  <c r="Y263" i="15"/>
  <c r="S261" i="15"/>
  <c r="AJ247" i="15"/>
  <c r="AI247" i="15"/>
  <c r="Y247" i="15"/>
  <c r="S245" i="15"/>
  <c r="AJ231" i="15"/>
  <c r="AI231" i="15"/>
  <c r="Y231" i="15"/>
  <c r="S229" i="15"/>
  <c r="Z262" i="15"/>
  <c r="AA262" i="15" s="1"/>
  <c r="AG262" i="15" s="1"/>
  <c r="X262" i="15"/>
  <c r="Y262" i="15" s="1"/>
  <c r="Z254" i="15"/>
  <c r="AA254" i="15" s="1"/>
  <c r="AG254" i="15" s="1"/>
  <c r="X254" i="15"/>
  <c r="Y254" i="15" s="1"/>
  <c r="Z246" i="15"/>
  <c r="AA246" i="15" s="1"/>
  <c r="AG246" i="15" s="1"/>
  <c r="X246" i="15"/>
  <c r="Y246" i="15" s="1"/>
  <c r="Z238" i="15"/>
  <c r="AA238" i="15" s="1"/>
  <c r="AG238" i="15" s="1"/>
  <c r="X238" i="15"/>
  <c r="Y238" i="15" s="1"/>
  <c r="Z230" i="15"/>
  <c r="AA230" i="15" s="1"/>
  <c r="AG230" i="15" s="1"/>
  <c r="X230" i="15"/>
  <c r="Y230" i="15" s="1"/>
  <c r="Z222" i="15"/>
  <c r="AA222" i="15" s="1"/>
  <c r="AG222" i="15" s="1"/>
  <c r="X222" i="15"/>
  <c r="Y222" i="15" s="1"/>
  <c r="Z214" i="15"/>
  <c r="AA214" i="15" s="1"/>
  <c r="AG214" i="15" s="1"/>
  <c r="X214" i="15"/>
  <c r="Y214" i="15" s="1"/>
  <c r="Z206" i="15"/>
  <c r="AA206" i="15" s="1"/>
  <c r="AG206" i="15" s="1"/>
  <c r="X206" i="15"/>
  <c r="Y206" i="15" s="1"/>
  <c r="R203" i="15"/>
  <c r="R199" i="15"/>
  <c r="R195" i="15"/>
  <c r="R191" i="15"/>
  <c r="R187" i="15"/>
  <c r="R183" i="15"/>
  <c r="R179" i="15"/>
  <c r="R175" i="15"/>
  <c r="R171" i="15"/>
  <c r="R167" i="15"/>
  <c r="R163" i="15"/>
  <c r="R159" i="15"/>
  <c r="R155" i="15"/>
  <c r="R151" i="15"/>
  <c r="R147" i="15"/>
  <c r="R143" i="15"/>
  <c r="R139" i="15"/>
  <c r="R135" i="15"/>
  <c r="R127" i="15"/>
  <c r="R123" i="15"/>
  <c r="AH7" i="15"/>
  <c r="R7" i="15"/>
  <c r="AH110" i="15"/>
  <c r="S110" i="15"/>
  <c r="T110" i="15" s="1"/>
  <c r="AL110" i="15" s="1"/>
  <c r="AH94" i="15"/>
  <c r="S94" i="15"/>
  <c r="T94" i="15" s="1"/>
  <c r="AL94" i="15" s="1"/>
  <c r="AH78" i="15"/>
  <c r="S78" i="15"/>
  <c r="AH62" i="15"/>
  <c r="S62" i="15"/>
  <c r="T62" i="15" s="1"/>
  <c r="AL62" i="15" s="1"/>
  <c r="AH46" i="15"/>
  <c r="S46" i="15"/>
  <c r="AH31" i="15"/>
  <c r="S31" i="15"/>
  <c r="T31" i="15" s="1"/>
  <c r="AL31" i="15" s="1"/>
  <c r="AH15" i="15"/>
  <c r="S15" i="15"/>
  <c r="AI7" i="15"/>
  <c r="AA169" i="14"/>
  <c r="AG169" i="14" s="1"/>
  <c r="AA165" i="14"/>
  <c r="AG165" i="14" s="1"/>
  <c r="AA33" i="14"/>
  <c r="AG33" i="14" s="1"/>
  <c r="AH3" i="14"/>
  <c r="R3" i="14"/>
  <c r="S3" i="14"/>
  <c r="AI3" i="14"/>
  <c r="Q3" i="14"/>
  <c r="AK3" i="14" s="1"/>
  <c r="R111" i="15"/>
  <c r="Q111" i="15"/>
  <c r="AK111" i="15" s="1"/>
  <c r="AH107" i="15"/>
  <c r="S107" i="15"/>
  <c r="AI103" i="15"/>
  <c r="R95" i="15"/>
  <c r="Q95" i="15"/>
  <c r="AK95" i="15" s="1"/>
  <c r="AH91" i="15"/>
  <c r="S91" i="15"/>
  <c r="AI87" i="15"/>
  <c r="R79" i="15"/>
  <c r="Q79" i="15"/>
  <c r="AK79" i="15" s="1"/>
  <c r="AH75" i="15"/>
  <c r="S75" i="15"/>
  <c r="AI71" i="15"/>
  <c r="R63" i="15"/>
  <c r="Q63" i="15"/>
  <c r="AK63" i="15" s="1"/>
  <c r="AH59" i="15"/>
  <c r="S59" i="15"/>
  <c r="AI55" i="15"/>
  <c r="R47" i="15"/>
  <c r="Q47" i="15"/>
  <c r="AK47" i="15" s="1"/>
  <c r="AH43" i="15"/>
  <c r="S43" i="15"/>
  <c r="AI40" i="15"/>
  <c r="R32" i="15"/>
  <c r="Q32" i="15"/>
  <c r="AK32" i="15" s="1"/>
  <c r="AH28" i="15"/>
  <c r="S28" i="15"/>
  <c r="AI24" i="15"/>
  <c r="R16" i="15"/>
  <c r="Q16" i="15"/>
  <c r="AK16" i="15" s="1"/>
  <c r="AH12" i="15"/>
  <c r="S12" i="15"/>
  <c r="AJ6" i="15"/>
  <c r="AH100" i="15"/>
  <c r="S100" i="15"/>
  <c r="T100" i="15" s="1"/>
  <c r="AL100" i="15" s="1"/>
  <c r="AH84" i="15"/>
  <c r="S84" i="15"/>
  <c r="T84" i="15" s="1"/>
  <c r="AL84" i="15" s="1"/>
  <c r="AH68" i="15"/>
  <c r="S68" i="15"/>
  <c r="T68" i="15" s="1"/>
  <c r="AL68" i="15" s="1"/>
  <c r="AH52" i="15"/>
  <c r="S52" i="15"/>
  <c r="T52" i="15" s="1"/>
  <c r="AL52" i="15" s="1"/>
  <c r="AH37" i="15"/>
  <c r="S37" i="15"/>
  <c r="T37" i="15" s="1"/>
  <c r="AL37" i="15" s="1"/>
  <c r="AH21" i="15"/>
  <c r="S21" i="15"/>
  <c r="T21" i="15" s="1"/>
  <c r="AL21" i="15" s="1"/>
  <c r="AB262" i="14"/>
  <c r="AJ261" i="14"/>
  <c r="Q261" i="14"/>
  <c r="AK261" i="14" s="1"/>
  <c r="AI261" i="14"/>
  <c r="S261" i="14"/>
  <c r="AB258" i="14"/>
  <c r="AJ257" i="14"/>
  <c r="Q257" i="14"/>
  <c r="AK257" i="14" s="1"/>
  <c r="AI257" i="14"/>
  <c r="S257" i="14"/>
  <c r="T257" i="14" s="1"/>
  <c r="AL257" i="14" s="1"/>
  <c r="AB254" i="14"/>
  <c r="AJ253" i="14"/>
  <c r="Q253" i="14"/>
  <c r="AK253" i="14" s="1"/>
  <c r="AI253" i="14"/>
  <c r="S253" i="14"/>
  <c r="T253" i="14" s="1"/>
  <c r="AL253" i="14" s="1"/>
  <c r="AB250" i="14"/>
  <c r="AJ249" i="14"/>
  <c r="AI249" i="14"/>
  <c r="S249" i="14"/>
  <c r="T249" i="14" s="1"/>
  <c r="AL249" i="14" s="1"/>
  <c r="Q249" i="14"/>
  <c r="AK249" i="14" s="1"/>
  <c r="AB246" i="14"/>
  <c r="AJ245" i="14"/>
  <c r="AI245" i="14"/>
  <c r="S245" i="14"/>
  <c r="Q245" i="14"/>
  <c r="AK245" i="14" s="1"/>
  <c r="AB242" i="14"/>
  <c r="AJ241" i="14"/>
  <c r="AI241" i="14"/>
  <c r="S241" i="14"/>
  <c r="Q241" i="14"/>
  <c r="AK241" i="14" s="1"/>
  <c r="AB238" i="14"/>
  <c r="AJ237" i="14"/>
  <c r="AI237" i="14"/>
  <c r="S237" i="14"/>
  <c r="T237" i="14" s="1"/>
  <c r="AL237" i="14" s="1"/>
  <c r="Q237" i="14"/>
  <c r="AK237" i="14" s="1"/>
  <c r="AB234" i="14"/>
  <c r="AJ233" i="14"/>
  <c r="AI233" i="14"/>
  <c r="S233" i="14"/>
  <c r="T233" i="14" s="1"/>
  <c r="AL233" i="14" s="1"/>
  <c r="Q233" i="14"/>
  <c r="AK233" i="14" s="1"/>
  <c r="AB230" i="14"/>
  <c r="AJ229" i="14"/>
  <c r="AI229" i="14"/>
  <c r="S229" i="14"/>
  <c r="Q229" i="14"/>
  <c r="AK229" i="14" s="1"/>
  <c r="AB226" i="14"/>
  <c r="AJ225" i="14"/>
  <c r="AI225" i="14"/>
  <c r="S225" i="14"/>
  <c r="Q225" i="14"/>
  <c r="AK225" i="14" s="1"/>
  <c r="AB222" i="14"/>
  <c r="AJ221" i="14"/>
  <c r="AI221" i="14"/>
  <c r="S221" i="14"/>
  <c r="T221" i="14" s="1"/>
  <c r="AL221" i="14" s="1"/>
  <c r="Q221" i="14"/>
  <c r="AK221" i="14" s="1"/>
  <c r="AB218" i="14"/>
  <c r="AJ217" i="14"/>
  <c r="AI217" i="14"/>
  <c r="S217" i="14"/>
  <c r="T217" i="14" s="1"/>
  <c r="AL217" i="14" s="1"/>
  <c r="Q217" i="14"/>
  <c r="AK217" i="14" s="1"/>
  <c r="AB214" i="14"/>
  <c r="AJ213" i="14"/>
  <c r="AI213" i="14"/>
  <c r="S213" i="14"/>
  <c r="Q213" i="14"/>
  <c r="AK213" i="14" s="1"/>
  <c r="AB210" i="14"/>
  <c r="AJ209" i="14"/>
  <c r="AI209" i="14"/>
  <c r="S209" i="14"/>
  <c r="Q209" i="14"/>
  <c r="AK209" i="14" s="1"/>
  <c r="AB206" i="14"/>
  <c r="AJ205" i="14"/>
  <c r="AI205" i="14"/>
  <c r="S205" i="14"/>
  <c r="T205" i="14" s="1"/>
  <c r="AL205" i="14" s="1"/>
  <c r="Q205" i="14"/>
  <c r="AK205" i="14" s="1"/>
  <c r="AB202" i="14"/>
  <c r="AJ201" i="14"/>
  <c r="AI201" i="14"/>
  <c r="S201" i="14"/>
  <c r="T201" i="14" s="1"/>
  <c r="AL201" i="14" s="1"/>
  <c r="Q201" i="14"/>
  <c r="AK201" i="14" s="1"/>
  <c r="AB198" i="14"/>
  <c r="AJ197" i="14"/>
  <c r="AI197" i="14"/>
  <c r="S197" i="14"/>
  <c r="Q197" i="14"/>
  <c r="AB194" i="14"/>
  <c r="AJ193" i="14"/>
  <c r="AI193" i="14"/>
  <c r="S193" i="14"/>
  <c r="Q193" i="14"/>
  <c r="AB190" i="14"/>
  <c r="AJ189" i="14"/>
  <c r="AI189" i="14"/>
  <c r="S189" i="14"/>
  <c r="T189" i="14" s="1"/>
  <c r="AL189" i="14" s="1"/>
  <c r="Q189" i="14"/>
  <c r="AB186" i="14"/>
  <c r="AJ185" i="14"/>
  <c r="AI185" i="14"/>
  <c r="S185" i="14"/>
  <c r="T185" i="14" s="1"/>
  <c r="AL185" i="14" s="1"/>
  <c r="Q185" i="14"/>
  <c r="AB182" i="14"/>
  <c r="AJ181" i="14"/>
  <c r="AI181" i="14"/>
  <c r="S181" i="14"/>
  <c r="Q181" i="14"/>
  <c r="AB178" i="14"/>
  <c r="AJ177" i="14"/>
  <c r="AI177" i="14"/>
  <c r="S177" i="14"/>
  <c r="Q177" i="14"/>
  <c r="AB174" i="14"/>
  <c r="AJ173" i="14"/>
  <c r="AI173" i="14"/>
  <c r="S173" i="14"/>
  <c r="T173" i="14" s="1"/>
  <c r="AL173" i="14" s="1"/>
  <c r="Q173" i="14"/>
  <c r="AB170" i="14"/>
  <c r="AJ169" i="14"/>
  <c r="AI169" i="14"/>
  <c r="S169" i="14"/>
  <c r="T169" i="14" s="1"/>
  <c r="AL169" i="14" s="1"/>
  <c r="Q169" i="14"/>
  <c r="AB166" i="14"/>
  <c r="AJ165" i="14"/>
  <c r="AI165" i="14"/>
  <c r="S165" i="14"/>
  <c r="Q165" i="14"/>
  <c r="AB162" i="14"/>
  <c r="AJ161" i="14"/>
  <c r="AI161" i="14"/>
  <c r="S161" i="14"/>
  <c r="Q161" i="14"/>
  <c r="AK161" i="14" s="1"/>
  <c r="AB158" i="14"/>
  <c r="AJ157" i="14"/>
  <c r="AI157" i="14"/>
  <c r="S157" i="14"/>
  <c r="T157" i="14" s="1"/>
  <c r="AL157" i="14" s="1"/>
  <c r="Q157" i="14"/>
  <c r="AK157" i="14" s="1"/>
  <c r="AB154" i="14"/>
  <c r="AJ153" i="14"/>
  <c r="AI153" i="14"/>
  <c r="S153" i="14"/>
  <c r="T153" i="14" s="1"/>
  <c r="AL153" i="14" s="1"/>
  <c r="Q153" i="14"/>
  <c r="AB150" i="14"/>
  <c r="AJ149" i="14"/>
  <c r="AI149" i="14"/>
  <c r="S149" i="14"/>
  <c r="Q149" i="14"/>
  <c r="AB146" i="14"/>
  <c r="AJ145" i="14"/>
  <c r="AI145" i="14"/>
  <c r="S145" i="14"/>
  <c r="Q145" i="14"/>
  <c r="AB142" i="14"/>
  <c r="AJ141" i="14"/>
  <c r="AI141" i="14"/>
  <c r="S141" i="14"/>
  <c r="T141" i="14" s="1"/>
  <c r="AL141" i="14" s="1"/>
  <c r="Q141" i="14"/>
  <c r="AB138" i="14"/>
  <c r="AJ137" i="14"/>
  <c r="AI137" i="14"/>
  <c r="S137" i="14"/>
  <c r="T137" i="14" s="1"/>
  <c r="AL137" i="14" s="1"/>
  <c r="Q137" i="14"/>
  <c r="AB134" i="14"/>
  <c r="AJ133" i="14"/>
  <c r="AI133" i="14"/>
  <c r="S133" i="14"/>
  <c r="Q133" i="14"/>
  <c r="AB130" i="14"/>
  <c r="AJ129" i="14"/>
  <c r="AI129" i="14"/>
  <c r="S129" i="14"/>
  <c r="Q129" i="14"/>
  <c r="AK129" i="14" s="1"/>
  <c r="AB126" i="14"/>
  <c r="AJ125" i="14"/>
  <c r="AI125" i="14"/>
  <c r="S125" i="14"/>
  <c r="T125" i="14" s="1"/>
  <c r="AL125" i="14" s="1"/>
  <c r="Q125" i="14"/>
  <c r="AK125" i="14" s="1"/>
  <c r="AB122" i="14"/>
  <c r="AJ121" i="14"/>
  <c r="AI121" i="14"/>
  <c r="S121" i="14"/>
  <c r="T121" i="14" s="1"/>
  <c r="AL121" i="14" s="1"/>
  <c r="Q121" i="14"/>
  <c r="AB118" i="14"/>
  <c r="AJ117" i="14"/>
  <c r="AI117" i="14"/>
  <c r="S117" i="14"/>
  <c r="Q117" i="14"/>
  <c r="AB114" i="14"/>
  <c r="AJ113" i="14"/>
  <c r="AI113" i="14"/>
  <c r="S113" i="14"/>
  <c r="Q113" i="14"/>
  <c r="AK113" i="14" s="1"/>
  <c r="AB110" i="14"/>
  <c r="AJ109" i="14"/>
  <c r="AI109" i="14"/>
  <c r="S109" i="14"/>
  <c r="T109" i="14" s="1"/>
  <c r="AL109" i="14" s="1"/>
  <c r="Q109" i="14"/>
  <c r="AB106" i="14"/>
  <c r="AJ105" i="14"/>
  <c r="AI105" i="14"/>
  <c r="S105" i="14"/>
  <c r="T105" i="14" s="1"/>
  <c r="AL105" i="14" s="1"/>
  <c r="Q105" i="14"/>
  <c r="AB102" i="14"/>
  <c r="AJ101" i="14"/>
  <c r="AI101" i="14"/>
  <c r="S101" i="14"/>
  <c r="Q101" i="14"/>
  <c r="AK101" i="14" s="1"/>
  <c r="AB98" i="14"/>
  <c r="AJ97" i="14"/>
  <c r="AI97" i="14"/>
  <c r="S97" i="14"/>
  <c r="Q97" i="14"/>
  <c r="AB94" i="14"/>
  <c r="AJ93" i="14"/>
  <c r="AI93" i="14"/>
  <c r="S93" i="14"/>
  <c r="T93" i="14" s="1"/>
  <c r="AL93" i="14" s="1"/>
  <c r="Q93" i="14"/>
  <c r="AB90" i="14"/>
  <c r="AJ89" i="14"/>
  <c r="AI89" i="14"/>
  <c r="S89" i="14"/>
  <c r="T89" i="14" s="1"/>
  <c r="AL89" i="14" s="1"/>
  <c r="Q89" i="14"/>
  <c r="AB86" i="14"/>
  <c r="AI85" i="14"/>
  <c r="Q85" i="14"/>
  <c r="AK85" i="14" s="1"/>
  <c r="S85" i="14"/>
  <c r="AB82" i="14"/>
  <c r="Q81" i="14"/>
  <c r="AI81" i="14"/>
  <c r="S81" i="14"/>
  <c r="X79" i="14"/>
  <c r="Y79" i="14" s="1"/>
  <c r="AB78" i="14"/>
  <c r="AJ77" i="14"/>
  <c r="Q77" i="14"/>
  <c r="AI77" i="14"/>
  <c r="S77" i="14"/>
  <c r="T77" i="14" s="1"/>
  <c r="AL77" i="14" s="1"/>
  <c r="X75" i="14"/>
  <c r="Y75" i="14" s="1"/>
  <c r="AB74" i="14"/>
  <c r="AJ73" i="14"/>
  <c r="Q73" i="14"/>
  <c r="AK73" i="14" s="1"/>
  <c r="AI73" i="14"/>
  <c r="S73" i="14"/>
  <c r="AB70" i="14"/>
  <c r="AJ69" i="14"/>
  <c r="Q69" i="14"/>
  <c r="AI69" i="14"/>
  <c r="S69" i="14"/>
  <c r="X67" i="14"/>
  <c r="Y67" i="14" s="1"/>
  <c r="AB66" i="14"/>
  <c r="AJ65" i="14"/>
  <c r="Q65" i="14"/>
  <c r="AK65" i="14" s="1"/>
  <c r="AI65" i="14"/>
  <c r="S65" i="14"/>
  <c r="T65" i="14" s="1"/>
  <c r="AL65" i="14" s="1"/>
  <c r="X63" i="14"/>
  <c r="Y63" i="14" s="1"/>
  <c r="AB62" i="14"/>
  <c r="Q61" i="14"/>
  <c r="AI61" i="14"/>
  <c r="S61" i="14"/>
  <c r="X59" i="14"/>
  <c r="Y59" i="14" s="1"/>
  <c r="AB58" i="14"/>
  <c r="Q57" i="14"/>
  <c r="AI57" i="14"/>
  <c r="S57" i="14"/>
  <c r="AB54" i="14"/>
  <c r="AJ53" i="14"/>
  <c r="Q53" i="14"/>
  <c r="AK53" i="14" s="1"/>
  <c r="AI53" i="14"/>
  <c r="S53" i="14"/>
  <c r="T53" i="14" s="1"/>
  <c r="AL53" i="14" s="1"/>
  <c r="AB50" i="14"/>
  <c r="AJ49" i="14"/>
  <c r="S49" i="14"/>
  <c r="Q49" i="14"/>
  <c r="AI49" i="14"/>
  <c r="X47" i="14"/>
  <c r="Y47" i="14" s="1"/>
  <c r="AB46" i="14"/>
  <c r="AJ45" i="14"/>
  <c r="S45" i="14"/>
  <c r="T45" i="14" s="1"/>
  <c r="AL45" i="14" s="1"/>
  <c r="Q45" i="14"/>
  <c r="AI45" i="14"/>
  <c r="AB42" i="14"/>
  <c r="Q41" i="14"/>
  <c r="AI41" i="14"/>
  <c r="S41" i="14"/>
  <c r="X39" i="14"/>
  <c r="Y39" i="14" s="1"/>
  <c r="AB38" i="14"/>
  <c r="AJ37" i="14"/>
  <c r="AI37" i="14"/>
  <c r="S37" i="14"/>
  <c r="T37" i="14" s="1"/>
  <c r="AL37" i="14" s="1"/>
  <c r="Q37" i="14"/>
  <c r="X35" i="14"/>
  <c r="Y35" i="14" s="1"/>
  <c r="AB34" i="14"/>
  <c r="AJ33" i="14"/>
  <c r="AI33" i="14"/>
  <c r="S33" i="14"/>
  <c r="Q33" i="14"/>
  <c r="AB30" i="14"/>
  <c r="AJ29" i="14"/>
  <c r="AI29" i="14"/>
  <c r="S29" i="14"/>
  <c r="Q29" i="14"/>
  <c r="X27" i="14"/>
  <c r="Y27" i="14" s="1"/>
  <c r="AB26" i="14"/>
  <c r="AJ25" i="14"/>
  <c r="Q25" i="14"/>
  <c r="AK25" i="14" s="1"/>
  <c r="S25" i="14"/>
  <c r="AI25" i="14"/>
  <c r="X23" i="14"/>
  <c r="Y23" i="14" s="1"/>
  <c r="AB22" i="14"/>
  <c r="Q21" i="14"/>
  <c r="S21" i="14"/>
  <c r="AI21" i="14"/>
  <c r="AB18" i="14"/>
  <c r="AJ17" i="14"/>
  <c r="Q17" i="14"/>
  <c r="S17" i="14"/>
  <c r="T17" i="14" s="1"/>
  <c r="AL17" i="14" s="1"/>
  <c r="AI17" i="14"/>
  <c r="X15" i="14"/>
  <c r="Y15" i="14" s="1"/>
  <c r="AB14" i="14"/>
  <c r="AJ13" i="14"/>
  <c r="S13" i="14"/>
  <c r="T13" i="14" s="1"/>
  <c r="AL13" i="14" s="1"/>
  <c r="AI13" i="14"/>
  <c r="Q13" i="14"/>
  <c r="AB10" i="14"/>
  <c r="AJ9" i="14"/>
  <c r="Q9" i="14"/>
  <c r="AK9" i="14" s="1"/>
  <c r="AI9" i="14"/>
  <c r="S9" i="14"/>
  <c r="AI117" i="15"/>
  <c r="AH113" i="15"/>
  <c r="S113" i="15"/>
  <c r="AH97" i="15"/>
  <c r="R93" i="15"/>
  <c r="Q93" i="15"/>
  <c r="AK93" i="15" s="1"/>
  <c r="AH81" i="15"/>
  <c r="R77" i="15"/>
  <c r="Q77" i="15"/>
  <c r="AK77" i="15" s="1"/>
  <c r="AH65" i="15"/>
  <c r="R61" i="15"/>
  <c r="Q61" i="15"/>
  <c r="AK61" i="15" s="1"/>
  <c r="AH49" i="15"/>
  <c r="R45" i="15"/>
  <c r="Q45" i="15"/>
  <c r="AK45" i="15" s="1"/>
  <c r="AH34" i="15"/>
  <c r="R30" i="15"/>
  <c r="Q30" i="15"/>
  <c r="AK30" i="15" s="1"/>
  <c r="AH18" i="15"/>
  <c r="R14" i="15"/>
  <c r="Q14" i="15"/>
  <c r="AK14" i="15" s="1"/>
  <c r="X107" i="15"/>
  <c r="Y107" i="15" s="1"/>
  <c r="X91" i="15"/>
  <c r="Y91" i="15" s="1"/>
  <c r="AJ70" i="15"/>
  <c r="X59" i="15"/>
  <c r="Y59" i="15" s="1"/>
  <c r="AJ39" i="15"/>
  <c r="X28" i="15"/>
  <c r="Y28" i="15" s="1"/>
  <c r="AJ90" i="15"/>
  <c r="AJ68" i="15"/>
  <c r="AJ58" i="15"/>
  <c r="AJ37" i="15"/>
  <c r="AJ27" i="15"/>
  <c r="U20" i="14"/>
  <c r="U68" i="14"/>
  <c r="U84" i="14"/>
  <c r="AB2" i="14"/>
  <c r="Z2" i="14"/>
  <c r="AA2" i="14" s="1"/>
  <c r="AG2" i="14" s="1"/>
  <c r="Z3" i="15"/>
  <c r="AA3" i="15" s="1"/>
  <c r="AG3" i="15" s="1"/>
  <c r="AB239" i="13"/>
  <c r="X239" i="13"/>
  <c r="Y239" i="13" s="1"/>
  <c r="AB234" i="13"/>
  <c r="AB223" i="13"/>
  <c r="X223" i="13"/>
  <c r="Y223" i="13" s="1"/>
  <c r="S223" i="13"/>
  <c r="AB218" i="13"/>
  <c r="AB207" i="13"/>
  <c r="X207" i="13"/>
  <c r="Y207" i="13" s="1"/>
  <c r="S207" i="13"/>
  <c r="Q202" i="13"/>
  <c r="AJ202" i="13"/>
  <c r="AH190" i="13"/>
  <c r="Q190" i="13"/>
  <c r="AK190" i="13" s="1"/>
  <c r="AJ189" i="13"/>
  <c r="Q189" i="13"/>
  <c r="AH189" i="13"/>
  <c r="AJ187" i="13"/>
  <c r="Q187" i="13"/>
  <c r="AH187" i="13"/>
  <c r="AH174" i="13"/>
  <c r="Q174" i="13"/>
  <c r="AK174" i="13" s="1"/>
  <c r="AJ173" i="13"/>
  <c r="Q173" i="13"/>
  <c r="AH173" i="13"/>
  <c r="AH171" i="13"/>
  <c r="AJ157" i="13"/>
  <c r="Q157" i="13"/>
  <c r="AH157" i="13"/>
  <c r="AH155" i="13"/>
  <c r="T149" i="13"/>
  <c r="AL149" i="13" s="1"/>
  <c r="U142" i="13"/>
  <c r="Q142" i="13"/>
  <c r="AK142" i="13" s="1"/>
  <c r="AJ141" i="13"/>
  <c r="Q141" i="13"/>
  <c r="AH141" i="13"/>
  <c r="AH139" i="13"/>
  <c r="AE65" i="14"/>
  <c r="AH235" i="13"/>
  <c r="Y235" i="13"/>
  <c r="AI235" i="13"/>
  <c r="Z230" i="13"/>
  <c r="AA230" i="13" s="1"/>
  <c r="AG230" i="13" s="1"/>
  <c r="Q222" i="13"/>
  <c r="AK222" i="13" s="1"/>
  <c r="R219" i="13"/>
  <c r="Q219" i="13"/>
  <c r="S211" i="13"/>
  <c r="AH203" i="13"/>
  <c r="Y203" i="13"/>
  <c r="AI203" i="13"/>
  <c r="AJ106" i="13"/>
  <c r="AJ78" i="13"/>
  <c r="AJ40" i="13"/>
  <c r="AJ30" i="13"/>
  <c r="AJ20" i="13"/>
  <c r="W12" i="14"/>
  <c r="AD12" i="14" s="1"/>
  <c r="AJ7" i="14"/>
  <c r="U195" i="13"/>
  <c r="U187" i="13"/>
  <c r="U179" i="13"/>
  <c r="R160" i="13"/>
  <c r="T160" i="13" s="1"/>
  <c r="AL160" i="13" s="1"/>
  <c r="U155" i="13"/>
  <c r="R144" i="13"/>
  <c r="T144" i="13" s="1"/>
  <c r="AL144" i="13" s="1"/>
  <c r="U139" i="13"/>
  <c r="AJ122" i="13"/>
  <c r="AJ117" i="13"/>
  <c r="AJ101" i="13"/>
  <c r="AJ54" i="13"/>
  <c r="AJ44" i="13"/>
  <c r="AJ33" i="13"/>
  <c r="AJ19" i="13"/>
  <c r="AJ7" i="13"/>
  <c r="U7" i="13"/>
  <c r="AI7" i="13"/>
  <c r="S7" i="13"/>
  <c r="T7" i="13" s="1"/>
  <c r="AL7" i="13" s="1"/>
  <c r="AH7" i="13"/>
  <c r="AF19" i="13"/>
  <c r="K19" i="13"/>
  <c r="AF35" i="13"/>
  <c r="K35" i="13"/>
  <c r="AF58" i="13"/>
  <c r="K58" i="13"/>
  <c r="AF98" i="13"/>
  <c r="K98" i="13"/>
  <c r="AF106" i="13"/>
  <c r="K106" i="13"/>
  <c r="AF114" i="13"/>
  <c r="K114" i="13"/>
  <c r="O237" i="12"/>
  <c r="R237" i="12" s="1"/>
  <c r="N237" i="12"/>
  <c r="O229" i="12"/>
  <c r="R229" i="12" s="1"/>
  <c r="N229" i="12"/>
  <c r="O221" i="12"/>
  <c r="R221" i="12" s="1"/>
  <c r="N221" i="12"/>
  <c r="O213" i="12"/>
  <c r="R213" i="12" s="1"/>
  <c r="N213" i="12"/>
  <c r="O205" i="12"/>
  <c r="R205" i="12" s="1"/>
  <c r="N205" i="12"/>
  <c r="O197" i="12"/>
  <c r="R197" i="12" s="1"/>
  <c r="N197" i="12"/>
  <c r="O189" i="12"/>
  <c r="R189" i="12" s="1"/>
  <c r="N189" i="12"/>
  <c r="O182" i="12"/>
  <c r="R182" i="12" s="1"/>
  <c r="N182" i="12"/>
  <c r="O174" i="12"/>
  <c r="R174" i="12" s="1"/>
  <c r="N174" i="12"/>
  <c r="O166" i="12"/>
  <c r="R166" i="12" s="1"/>
  <c r="N166" i="12"/>
  <c r="O158" i="12"/>
  <c r="R158" i="12" s="1"/>
  <c r="N158" i="12"/>
  <c r="O150" i="12"/>
  <c r="R150" i="12" s="1"/>
  <c r="N150" i="12"/>
  <c r="O143" i="12"/>
  <c r="R143" i="12" s="1"/>
  <c r="N143" i="12"/>
  <c r="O135" i="12"/>
  <c r="R135" i="12" s="1"/>
  <c r="N135" i="12"/>
  <c r="O127" i="12"/>
  <c r="R127" i="12" s="1"/>
  <c r="N127" i="12"/>
  <c r="O119" i="12"/>
  <c r="R119" i="12" s="1"/>
  <c r="N119" i="12"/>
  <c r="O111" i="12"/>
  <c r="R111" i="12" s="1"/>
  <c r="N111" i="12"/>
  <c r="O103" i="12"/>
  <c r="R103" i="12" s="1"/>
  <c r="N103" i="12"/>
  <c r="O95" i="12"/>
  <c r="R95" i="12" s="1"/>
  <c r="N95" i="12"/>
  <c r="O87" i="12"/>
  <c r="R87" i="12" s="1"/>
  <c r="N87" i="12"/>
  <c r="O79" i="12"/>
  <c r="R79" i="12" s="1"/>
  <c r="N79" i="12"/>
  <c r="O71" i="12"/>
  <c r="R71" i="12" s="1"/>
  <c r="N71" i="12"/>
  <c r="O63" i="12"/>
  <c r="R63" i="12" s="1"/>
  <c r="N63" i="12"/>
  <c r="O55" i="12"/>
  <c r="R55" i="12" s="1"/>
  <c r="N55" i="12"/>
  <c r="O47" i="12"/>
  <c r="R47" i="12" s="1"/>
  <c r="N47" i="12"/>
  <c r="O39" i="12"/>
  <c r="R39" i="12" s="1"/>
  <c r="N39" i="12"/>
  <c r="O31" i="12"/>
  <c r="R31" i="12" s="1"/>
  <c r="N31" i="12"/>
  <c r="O23" i="12"/>
  <c r="R23" i="12" s="1"/>
  <c r="N23" i="12"/>
  <c r="O15" i="12"/>
  <c r="R15" i="12" s="1"/>
  <c r="N15" i="12"/>
  <c r="W3" i="12"/>
  <c r="AD3" i="12" s="1"/>
  <c r="X240" i="13"/>
  <c r="Y240" i="13" s="1"/>
  <c r="R224" i="13"/>
  <c r="X224" i="13"/>
  <c r="Y224" i="13" s="1"/>
  <c r="AB224" i="13"/>
  <c r="X220" i="13"/>
  <c r="Y220" i="13" s="1"/>
  <c r="AB220" i="13"/>
  <c r="U158" i="13"/>
  <c r="AJ127" i="13"/>
  <c r="AJ108" i="13"/>
  <c r="AJ92" i="13"/>
  <c r="AJ81" i="13"/>
  <c r="AJ3" i="14"/>
  <c r="W40" i="14"/>
  <c r="AD40" i="14" s="1"/>
  <c r="W34" i="14"/>
  <c r="AD34" i="14" s="1"/>
  <c r="W16" i="14"/>
  <c r="AD16" i="14" s="1"/>
  <c r="W22" i="14"/>
  <c r="AD22" i="14" s="1"/>
  <c r="W54" i="14"/>
  <c r="AD54" i="14" s="1"/>
  <c r="W9" i="14"/>
  <c r="AD9" i="14" s="1"/>
  <c r="W25" i="14"/>
  <c r="AD25" i="14" s="1"/>
  <c r="W41" i="14"/>
  <c r="AD41" i="14" s="1"/>
  <c r="W57" i="14"/>
  <c r="AD57" i="14" s="1"/>
  <c r="W73" i="14"/>
  <c r="AD73" i="14" s="1"/>
  <c r="W52" i="14"/>
  <c r="AD52" i="14" s="1"/>
  <c r="W68" i="14"/>
  <c r="AD68" i="14" s="1"/>
  <c r="W84" i="14"/>
  <c r="AD84" i="14" s="1"/>
  <c r="W89" i="14"/>
  <c r="AD89" i="14" s="1"/>
  <c r="W93" i="14"/>
  <c r="AD93" i="14" s="1"/>
  <c r="W97" i="14"/>
  <c r="AD97" i="14" s="1"/>
  <c r="W101" i="14"/>
  <c r="AD101" i="14" s="1"/>
  <c r="W105" i="14"/>
  <c r="AD105" i="14" s="1"/>
  <c r="W109" i="14"/>
  <c r="AD109" i="14" s="1"/>
  <c r="W113" i="14"/>
  <c r="AD113" i="14" s="1"/>
  <c r="W117" i="14"/>
  <c r="W121" i="14"/>
  <c r="AD121" i="14" s="1"/>
  <c r="W125" i="14"/>
  <c r="AD125" i="14" s="1"/>
  <c r="W129" i="14"/>
  <c r="AD129" i="14" s="1"/>
  <c r="W133" i="14"/>
  <c r="AD133" i="14" s="1"/>
  <c r="W137" i="14"/>
  <c r="AD137" i="14" s="1"/>
  <c r="W141" i="14"/>
  <c r="AD141" i="14" s="1"/>
  <c r="W145" i="14"/>
  <c r="AD145" i="14" s="1"/>
  <c r="W149" i="14"/>
  <c r="AD149" i="14" s="1"/>
  <c r="W153" i="14"/>
  <c r="AD153" i="14" s="1"/>
  <c r="W157" i="14"/>
  <c r="AD157" i="14" s="1"/>
  <c r="W161" i="14"/>
  <c r="AD161" i="14" s="1"/>
  <c r="W165" i="14"/>
  <c r="W169" i="14"/>
  <c r="AD169" i="14" s="1"/>
  <c r="W173" i="14"/>
  <c r="AD173" i="14" s="1"/>
  <c r="W177" i="14"/>
  <c r="AD177" i="14" s="1"/>
  <c r="W181" i="14"/>
  <c r="AD181" i="14" s="1"/>
  <c r="W185" i="14"/>
  <c r="AD185" i="14" s="1"/>
  <c r="W189" i="14"/>
  <c r="AD189" i="14" s="1"/>
  <c r="W193" i="14"/>
  <c r="AD193" i="14" s="1"/>
  <c r="W197" i="14"/>
  <c r="AD197" i="14" s="1"/>
  <c r="W201" i="14"/>
  <c r="AD201" i="14" s="1"/>
  <c r="W205" i="14"/>
  <c r="AD205" i="14" s="1"/>
  <c r="W209" i="14"/>
  <c r="AD209" i="14" s="1"/>
  <c r="W213" i="14"/>
  <c r="AD213" i="14" s="1"/>
  <c r="W217" i="14"/>
  <c r="AD217" i="14" s="1"/>
  <c r="W221" i="14"/>
  <c r="AD221" i="14" s="1"/>
  <c r="W225" i="14"/>
  <c r="AD225" i="14" s="1"/>
  <c r="W229" i="14"/>
  <c r="AD229" i="14" s="1"/>
  <c r="W233" i="14"/>
  <c r="W237" i="14"/>
  <c r="AD237" i="14" s="1"/>
  <c r="W241" i="14"/>
  <c r="AD241" i="14" s="1"/>
  <c r="W245" i="14"/>
  <c r="AD245" i="14" s="1"/>
  <c r="W249" i="14"/>
  <c r="AD249" i="14" s="1"/>
  <c r="W253" i="14"/>
  <c r="W257" i="14"/>
  <c r="AD257" i="14" s="1"/>
  <c r="W261" i="14"/>
  <c r="AD261" i="14" s="1"/>
  <c r="R240" i="13"/>
  <c r="R236" i="13"/>
  <c r="T236" i="13" s="1"/>
  <c r="AL236" i="13" s="1"/>
  <c r="Q170" i="13"/>
  <c r="AK170" i="13" s="1"/>
  <c r="U164" i="13"/>
  <c r="AJ159" i="13"/>
  <c r="U152" i="13"/>
  <c r="AJ143" i="13"/>
  <c r="AH158" i="13"/>
  <c r="AH130" i="13"/>
  <c r="O56" i="13"/>
  <c r="R56" i="13" s="1"/>
  <c r="N56" i="13"/>
  <c r="X4" i="13"/>
  <c r="Y4" i="13" s="1"/>
  <c r="AB4" i="13"/>
  <c r="Q4" i="13"/>
  <c r="AK4" i="13" s="1"/>
  <c r="N3" i="13"/>
  <c r="AJ230" i="13"/>
  <c r="O68" i="13"/>
  <c r="R68" i="13" s="1"/>
  <c r="N68" i="13"/>
  <c r="AI68" i="13" s="1"/>
  <c r="Z56" i="13"/>
  <c r="Z5" i="13"/>
  <c r="O80" i="13"/>
  <c r="R80" i="13" s="1"/>
  <c r="N80" i="13"/>
  <c r="O17" i="13"/>
  <c r="R17" i="13" s="1"/>
  <c r="N17" i="13"/>
  <c r="U17" i="13" s="1"/>
  <c r="O64" i="13"/>
  <c r="R64" i="13" s="1"/>
  <c r="N64" i="13"/>
  <c r="O11" i="13"/>
  <c r="R11" i="13" s="1"/>
  <c r="N11" i="13"/>
  <c r="U11" i="13" s="1"/>
  <c r="O60" i="13"/>
  <c r="R60" i="13" s="1"/>
  <c r="N60" i="13"/>
  <c r="O84" i="13"/>
  <c r="R84" i="13" s="1"/>
  <c r="N84" i="13"/>
  <c r="U84" i="13" s="1"/>
  <c r="O26" i="13"/>
  <c r="R26" i="13" s="1"/>
  <c r="N26" i="13"/>
  <c r="O41" i="13"/>
  <c r="R41" i="13" s="1"/>
  <c r="N41" i="13"/>
  <c r="U41" i="13" s="1"/>
  <c r="O57" i="13"/>
  <c r="R57" i="13" s="1"/>
  <c r="N57" i="13"/>
  <c r="O69" i="13"/>
  <c r="R69" i="13" s="1"/>
  <c r="N69" i="13"/>
  <c r="U69" i="13" s="1"/>
  <c r="N83" i="13"/>
  <c r="U83" i="13" s="1"/>
  <c r="O83" i="13"/>
  <c r="R83" i="13" s="1"/>
  <c r="O125" i="13"/>
  <c r="R125" i="13" s="1"/>
  <c r="N125" i="13"/>
  <c r="U125" i="13" s="1"/>
  <c r="AH166" i="13"/>
  <c r="Z47" i="13"/>
  <c r="AA47" i="13" s="1"/>
  <c r="AG47" i="13" s="1"/>
  <c r="AJ28" i="13"/>
  <c r="AJ17" i="13"/>
  <c r="W4" i="13"/>
  <c r="AD4" i="13" s="1"/>
  <c r="AJ147" i="13"/>
  <c r="U132" i="13"/>
  <c r="O90" i="13"/>
  <c r="R90" i="13" s="1"/>
  <c r="N90" i="13"/>
  <c r="AH90" i="13" s="1"/>
  <c r="AJ71" i="13"/>
  <c r="W60" i="13"/>
  <c r="AD60" i="13" s="1"/>
  <c r="AJ52" i="13"/>
  <c r="W44" i="13"/>
  <c r="AD44" i="13" s="1"/>
  <c r="O21" i="13"/>
  <c r="R21" i="13" s="1"/>
  <c r="N21" i="13"/>
  <c r="U21" i="13" s="1"/>
  <c r="Z94" i="13"/>
  <c r="AA94" i="13" s="1"/>
  <c r="AG94" i="13" s="1"/>
  <c r="Z102" i="13"/>
  <c r="AA102" i="13" s="1"/>
  <c r="AG102" i="13" s="1"/>
  <c r="Z118" i="13"/>
  <c r="AA118" i="13" s="1"/>
  <c r="AG118" i="13" s="1"/>
  <c r="AB141" i="13"/>
  <c r="X141" i="13"/>
  <c r="Y141" i="13" s="1"/>
  <c r="AB157" i="13"/>
  <c r="X157" i="13"/>
  <c r="Y157" i="13" s="1"/>
  <c r="W5" i="13"/>
  <c r="AD5" i="13" s="1"/>
  <c r="Z35" i="13"/>
  <c r="AA35" i="13" s="1"/>
  <c r="AG35" i="13" s="1"/>
  <c r="W56" i="13"/>
  <c r="AD56" i="13" s="1"/>
  <c r="Z62" i="13"/>
  <c r="AA62" i="13" s="1"/>
  <c r="AG62" i="13" s="1"/>
  <c r="Z80" i="13"/>
  <c r="W94" i="13"/>
  <c r="AD94" i="13" s="1"/>
  <c r="W110" i="13"/>
  <c r="AD110" i="13" s="1"/>
  <c r="X138" i="13"/>
  <c r="Y138" i="13" s="1"/>
  <c r="AB138" i="13"/>
  <c r="X154" i="13"/>
  <c r="Y154" i="13" s="1"/>
  <c r="AB154" i="13"/>
  <c r="X170" i="13"/>
  <c r="Y170" i="13" s="1"/>
  <c r="AB170" i="13"/>
  <c r="Z22" i="13"/>
  <c r="AA22" i="13" s="1"/>
  <c r="AG22" i="13" s="1"/>
  <c r="W35" i="13"/>
  <c r="AD35" i="13" s="1"/>
  <c r="W70" i="13"/>
  <c r="AD70" i="13" s="1"/>
  <c r="Z95" i="13"/>
  <c r="AA95" i="13" s="1"/>
  <c r="AG95" i="13" s="1"/>
  <c r="Z103" i="13"/>
  <c r="AA103" i="13" s="1"/>
  <c r="AG103" i="13" s="1"/>
  <c r="Z111" i="13"/>
  <c r="AA111" i="13" s="1"/>
  <c r="AG111" i="13" s="1"/>
  <c r="Z119" i="13"/>
  <c r="AA119" i="13" s="1"/>
  <c r="AG119" i="13" s="1"/>
  <c r="AB173" i="13"/>
  <c r="X173" i="13"/>
  <c r="Y173" i="13" s="1"/>
  <c r="AB178" i="13"/>
  <c r="X178" i="13"/>
  <c r="Y178" i="13" s="1"/>
  <c r="AB189" i="13"/>
  <c r="X189" i="13"/>
  <c r="Y189" i="13" s="1"/>
  <c r="AB194" i="13"/>
  <c r="X194" i="13"/>
  <c r="Y194" i="13" s="1"/>
  <c r="W32" i="13"/>
  <c r="AD32" i="13" s="1"/>
  <c r="W39" i="13"/>
  <c r="AD39" i="13" s="1"/>
  <c r="W47" i="13"/>
  <c r="AD47" i="13" s="1"/>
  <c r="W55" i="13"/>
  <c r="AD55" i="13" s="1"/>
  <c r="W71" i="13"/>
  <c r="AD71" i="13" s="1"/>
  <c r="W79" i="13"/>
  <c r="AD79" i="13" s="1"/>
  <c r="W87" i="13"/>
  <c r="AD87" i="13" s="1"/>
  <c r="W95" i="13"/>
  <c r="AD95" i="13" s="1"/>
  <c r="W103" i="13"/>
  <c r="AD103" i="13" s="1"/>
  <c r="W111" i="13"/>
  <c r="AD111" i="13" s="1"/>
  <c r="W119" i="13"/>
  <c r="AD119" i="13" s="1"/>
  <c r="W127" i="13"/>
  <c r="AD127" i="13" s="1"/>
  <c r="AH236" i="12"/>
  <c r="S236" i="12"/>
  <c r="T236" i="12" s="1"/>
  <c r="AL236" i="12" s="1"/>
  <c r="AH232" i="12"/>
  <c r="S232" i="12"/>
  <c r="AH228" i="12"/>
  <c r="S228" i="12"/>
  <c r="Q228" i="12"/>
  <c r="AK228" i="12" s="1"/>
  <c r="AH224" i="12"/>
  <c r="S224" i="12"/>
  <c r="AH220" i="12"/>
  <c r="S220" i="12"/>
  <c r="T220" i="12" s="1"/>
  <c r="AL220" i="12" s="1"/>
  <c r="AH216" i="12"/>
  <c r="S216" i="12"/>
  <c r="AH212" i="12"/>
  <c r="S212" i="12"/>
  <c r="T212" i="12" s="1"/>
  <c r="AL212" i="12" s="1"/>
  <c r="Q212" i="12"/>
  <c r="AH208" i="12"/>
  <c r="S208" i="12"/>
  <c r="T208" i="12" s="1"/>
  <c r="AL208" i="12" s="1"/>
  <c r="AH204" i="12"/>
  <c r="S204" i="12"/>
  <c r="T204" i="12" s="1"/>
  <c r="AL204" i="12" s="1"/>
  <c r="AH200" i="12"/>
  <c r="S200" i="12"/>
  <c r="S198" i="12"/>
  <c r="T198" i="12" s="1"/>
  <c r="AL198" i="12" s="1"/>
  <c r="AH196" i="12"/>
  <c r="S196" i="12"/>
  <c r="Q196" i="12"/>
  <c r="AK196" i="12" s="1"/>
  <c r="S194" i="12"/>
  <c r="T194" i="12" s="1"/>
  <c r="AL194" i="12" s="1"/>
  <c r="AH192" i="12"/>
  <c r="S192" i="12"/>
  <c r="S190" i="12"/>
  <c r="T190" i="12" s="1"/>
  <c r="AL190" i="12" s="1"/>
  <c r="AH188" i="12"/>
  <c r="S188" i="12"/>
  <c r="S186" i="12"/>
  <c r="T186" i="12" s="1"/>
  <c r="AL186" i="12" s="1"/>
  <c r="S183" i="12"/>
  <c r="T183" i="12" s="1"/>
  <c r="AL183" i="12" s="1"/>
  <c r="AH181" i="12"/>
  <c r="S181" i="12"/>
  <c r="S179" i="12"/>
  <c r="T179" i="12" s="1"/>
  <c r="AL179" i="12" s="1"/>
  <c r="AH177" i="12"/>
  <c r="S177" i="12"/>
  <c r="S175" i="12"/>
  <c r="AH173" i="12"/>
  <c r="S173" i="12"/>
  <c r="S171" i="12"/>
  <c r="T171" i="12" s="1"/>
  <c r="AL171" i="12" s="1"/>
  <c r="AH169" i="12"/>
  <c r="S169" i="12"/>
  <c r="S167" i="12"/>
  <c r="T167" i="12" s="1"/>
  <c r="AL167" i="12" s="1"/>
  <c r="AH165" i="12"/>
  <c r="S165" i="12"/>
  <c r="S163" i="12"/>
  <c r="T163" i="12" s="1"/>
  <c r="AL163" i="12" s="1"/>
  <c r="AH161" i="12"/>
  <c r="S161" i="12"/>
  <c r="S159" i="12"/>
  <c r="T159" i="12" s="1"/>
  <c r="AL159" i="12" s="1"/>
  <c r="AH157" i="12"/>
  <c r="S157" i="12"/>
  <c r="S155" i="12"/>
  <c r="T155" i="12" s="1"/>
  <c r="AL155" i="12" s="1"/>
  <c r="AH153" i="12"/>
  <c r="S153" i="12"/>
  <c r="S151" i="12"/>
  <c r="T151" i="12" s="1"/>
  <c r="AL151" i="12" s="1"/>
  <c r="AH149" i="12"/>
  <c r="S149" i="12"/>
  <c r="S147" i="12"/>
  <c r="T147" i="12" s="1"/>
  <c r="AL147" i="12" s="1"/>
  <c r="AH145" i="12"/>
  <c r="S145" i="12"/>
  <c r="S144" i="12"/>
  <c r="T144" i="12" s="1"/>
  <c r="AL144" i="12" s="1"/>
  <c r="AH142" i="12"/>
  <c r="S142" i="12"/>
  <c r="S140" i="12"/>
  <c r="T140" i="12" s="1"/>
  <c r="AL140" i="12" s="1"/>
  <c r="AH138" i="12"/>
  <c r="S138" i="12"/>
  <c r="S136" i="12"/>
  <c r="T136" i="12" s="1"/>
  <c r="AL136" i="12" s="1"/>
  <c r="AH134" i="12"/>
  <c r="S134" i="12"/>
  <c r="S132" i="12"/>
  <c r="T132" i="12" s="1"/>
  <c r="AL132" i="12" s="1"/>
  <c r="AH130" i="12"/>
  <c r="S130" i="12"/>
  <c r="S128" i="12"/>
  <c r="T128" i="12" s="1"/>
  <c r="AL128" i="12" s="1"/>
  <c r="AH126" i="12"/>
  <c r="S126" i="12"/>
  <c r="T126" i="12" s="1"/>
  <c r="AL126" i="12" s="1"/>
  <c r="Q126" i="12"/>
  <c r="S124" i="12"/>
  <c r="T124" i="12" s="1"/>
  <c r="AL124" i="12" s="1"/>
  <c r="AH122" i="12"/>
  <c r="S122" i="12"/>
  <c r="S120" i="12"/>
  <c r="T120" i="12" s="1"/>
  <c r="AL120" i="12" s="1"/>
  <c r="AH118" i="12"/>
  <c r="S118" i="12"/>
  <c r="S116" i="12"/>
  <c r="T116" i="12" s="1"/>
  <c r="AL116" i="12" s="1"/>
  <c r="AH114" i="12"/>
  <c r="S114" i="12"/>
  <c r="T114" i="12" s="1"/>
  <c r="AL114" i="12" s="1"/>
  <c r="S112" i="12"/>
  <c r="T112" i="12" s="1"/>
  <c r="AL112" i="12" s="1"/>
  <c r="AH110" i="12"/>
  <c r="S110" i="12"/>
  <c r="T110" i="12" s="1"/>
  <c r="AL110" i="12" s="1"/>
  <c r="S108" i="12"/>
  <c r="T108" i="12" s="1"/>
  <c r="AL108" i="12" s="1"/>
  <c r="AH106" i="12"/>
  <c r="S106" i="12"/>
  <c r="T106" i="12" s="1"/>
  <c r="AL106" i="12" s="1"/>
  <c r="S104" i="12"/>
  <c r="T104" i="12" s="1"/>
  <c r="AL104" i="12" s="1"/>
  <c r="AH102" i="12"/>
  <c r="S102" i="12"/>
  <c r="T102" i="12" s="1"/>
  <c r="AL102" i="12" s="1"/>
  <c r="S100" i="12"/>
  <c r="T100" i="12" s="1"/>
  <c r="AL100" i="12" s="1"/>
  <c r="AH98" i="12"/>
  <c r="S98" i="12"/>
  <c r="T98" i="12" s="1"/>
  <c r="AL98" i="12" s="1"/>
  <c r="S96" i="12"/>
  <c r="T96" i="12" s="1"/>
  <c r="AL96" i="12" s="1"/>
  <c r="AH94" i="12"/>
  <c r="S94" i="12"/>
  <c r="T94" i="12" s="1"/>
  <c r="AL94" i="12" s="1"/>
  <c r="S92" i="12"/>
  <c r="T92" i="12" s="1"/>
  <c r="AL92" i="12" s="1"/>
  <c r="AH90" i="12"/>
  <c r="S90" i="12"/>
  <c r="T90" i="12" s="1"/>
  <c r="AL90" i="12" s="1"/>
  <c r="S88" i="12"/>
  <c r="T88" i="12" s="1"/>
  <c r="AL88" i="12" s="1"/>
  <c r="AH86" i="12"/>
  <c r="S86" i="12"/>
  <c r="T86" i="12" s="1"/>
  <c r="AL86" i="12" s="1"/>
  <c r="S84" i="12"/>
  <c r="T84" i="12" s="1"/>
  <c r="AL84" i="12" s="1"/>
  <c r="AH82" i="12"/>
  <c r="S82" i="12"/>
  <c r="T82" i="12" s="1"/>
  <c r="AL82" i="12" s="1"/>
  <c r="S80" i="12"/>
  <c r="T80" i="12" s="1"/>
  <c r="AL80" i="12" s="1"/>
  <c r="AH78" i="12"/>
  <c r="S78" i="12"/>
  <c r="T78" i="12" s="1"/>
  <c r="AL78" i="12" s="1"/>
  <c r="S76" i="12"/>
  <c r="T76" i="12" s="1"/>
  <c r="AL76" i="12" s="1"/>
  <c r="AH74" i="12"/>
  <c r="S74" i="12"/>
  <c r="T74" i="12" s="1"/>
  <c r="AL74" i="12" s="1"/>
  <c r="S72" i="12"/>
  <c r="T72" i="12" s="1"/>
  <c r="AL72" i="12" s="1"/>
  <c r="AH70" i="12"/>
  <c r="S70" i="12"/>
  <c r="T70" i="12" s="1"/>
  <c r="AL70" i="12" s="1"/>
  <c r="S68" i="12"/>
  <c r="T68" i="12" s="1"/>
  <c r="AL68" i="12" s="1"/>
  <c r="AH66" i="12"/>
  <c r="S66" i="12"/>
  <c r="T66" i="12" s="1"/>
  <c r="AL66" i="12" s="1"/>
  <c r="S64" i="12"/>
  <c r="T64" i="12" s="1"/>
  <c r="AL64" i="12" s="1"/>
  <c r="AH62" i="12"/>
  <c r="S62" i="12"/>
  <c r="T62" i="12" s="1"/>
  <c r="AL62" i="12" s="1"/>
  <c r="S60" i="12"/>
  <c r="T60" i="12" s="1"/>
  <c r="AL60" i="12" s="1"/>
  <c r="AH58" i="12"/>
  <c r="S58" i="12"/>
  <c r="T58" i="12" s="1"/>
  <c r="AL58" i="12" s="1"/>
  <c r="S56" i="12"/>
  <c r="T56" i="12" s="1"/>
  <c r="AL56" i="12" s="1"/>
  <c r="AH54" i="12"/>
  <c r="S54" i="12"/>
  <c r="T54" i="12" s="1"/>
  <c r="AL54" i="12" s="1"/>
  <c r="S52" i="12"/>
  <c r="T52" i="12" s="1"/>
  <c r="AL52" i="12" s="1"/>
  <c r="AH50" i="12"/>
  <c r="S50" i="12"/>
  <c r="T50" i="12" s="1"/>
  <c r="AL50" i="12" s="1"/>
  <c r="S48" i="12"/>
  <c r="T48" i="12" s="1"/>
  <c r="AL48" i="12" s="1"/>
  <c r="AH46" i="12"/>
  <c r="S46" i="12"/>
  <c r="T46" i="12" s="1"/>
  <c r="AL46" i="12" s="1"/>
  <c r="S44" i="12"/>
  <c r="T44" i="12" s="1"/>
  <c r="AL44" i="12" s="1"/>
  <c r="AH42" i="12"/>
  <c r="S42" i="12"/>
  <c r="T42" i="12" s="1"/>
  <c r="AL42" i="12" s="1"/>
  <c r="S40" i="12"/>
  <c r="T40" i="12" s="1"/>
  <c r="AL40" i="12" s="1"/>
  <c r="AH38" i="12"/>
  <c r="S38" i="12"/>
  <c r="T38" i="12" s="1"/>
  <c r="AL38" i="12" s="1"/>
  <c r="S36" i="12"/>
  <c r="T36" i="12" s="1"/>
  <c r="AL36" i="12" s="1"/>
  <c r="AH34" i="12"/>
  <c r="S34" i="12"/>
  <c r="T34" i="12" s="1"/>
  <c r="AL34" i="12" s="1"/>
  <c r="S32" i="12"/>
  <c r="T32" i="12" s="1"/>
  <c r="AL32" i="12" s="1"/>
  <c r="AH30" i="12"/>
  <c r="S30" i="12"/>
  <c r="T30" i="12" s="1"/>
  <c r="AL30" i="12" s="1"/>
  <c r="AH26" i="12"/>
  <c r="S26" i="12"/>
  <c r="T26" i="12" s="1"/>
  <c r="AL26" i="12" s="1"/>
  <c r="AH22" i="12"/>
  <c r="S22" i="12"/>
  <c r="T22" i="12" s="1"/>
  <c r="AL22" i="12" s="1"/>
  <c r="AH18" i="12"/>
  <c r="S18" i="12"/>
  <c r="T18" i="12" s="1"/>
  <c r="AL18" i="12" s="1"/>
  <c r="AH14" i="12"/>
  <c r="S14" i="12"/>
  <c r="T14" i="12" s="1"/>
  <c r="AL14" i="12" s="1"/>
  <c r="AH10" i="12"/>
  <c r="S10" i="12"/>
  <c r="T10" i="12" s="1"/>
  <c r="AL10" i="12" s="1"/>
  <c r="I31" i="3"/>
  <c r="E20" i="1"/>
  <c r="F8" i="3"/>
  <c r="K8" i="3"/>
  <c r="E25" i="1"/>
  <c r="O6" i="12"/>
  <c r="U6" i="12" s="1"/>
  <c r="O8" i="12"/>
  <c r="R8" i="12" s="1"/>
  <c r="O2" i="12"/>
  <c r="U2" i="12" s="1"/>
  <c r="O260" i="14"/>
  <c r="R260" i="14" s="1"/>
  <c r="O259" i="14"/>
  <c r="R259" i="14" s="1"/>
  <c r="O256" i="14"/>
  <c r="R256" i="14" s="1"/>
  <c r="O255" i="14"/>
  <c r="R255" i="14" s="1"/>
  <c r="O254" i="14"/>
  <c r="R254" i="14" s="1"/>
  <c r="O253" i="14"/>
  <c r="R253" i="14" s="1"/>
  <c r="O84" i="14"/>
  <c r="R84" i="14" s="1"/>
  <c r="O76" i="14"/>
  <c r="R76" i="14" s="1"/>
  <c r="O64" i="14"/>
  <c r="R64" i="14" s="1"/>
  <c r="O52" i="14"/>
  <c r="R52" i="14" s="1"/>
  <c r="O83" i="14"/>
  <c r="S83" i="14" s="1"/>
  <c r="O79" i="14"/>
  <c r="S79" i="14" s="1"/>
  <c r="O75" i="14"/>
  <c r="O71" i="14"/>
  <c r="R71" i="14" s="1"/>
  <c r="O67" i="14"/>
  <c r="S67" i="14" s="1"/>
  <c r="O63" i="14"/>
  <c r="S63" i="14" s="1"/>
  <c r="O59" i="14"/>
  <c r="O55" i="14"/>
  <c r="R55" i="14" s="1"/>
  <c r="O36" i="14"/>
  <c r="R36" i="14" s="1"/>
  <c r="O32" i="14"/>
  <c r="R32" i="14" s="1"/>
  <c r="O82" i="14"/>
  <c r="S82" i="14" s="1"/>
  <c r="T82" i="14" s="1"/>
  <c r="AL82" i="14" s="1"/>
  <c r="O62" i="14"/>
  <c r="S62" i="14" s="1"/>
  <c r="T62" i="14" s="1"/>
  <c r="AL62" i="14" s="1"/>
  <c r="O58" i="14"/>
  <c r="R58" i="14" s="1"/>
  <c r="O54" i="14"/>
  <c r="S54" i="14" s="1"/>
  <c r="O43" i="14"/>
  <c r="R43" i="14" s="1"/>
  <c r="O42" i="14"/>
  <c r="U42" i="14" s="1"/>
  <c r="O78" i="14"/>
  <c r="U78" i="14" s="1"/>
  <c r="O48" i="14"/>
  <c r="R48" i="14" s="1"/>
  <c r="O27" i="14"/>
  <c r="R27" i="14" s="1"/>
  <c r="O26" i="14"/>
  <c r="S26" i="14" s="1"/>
  <c r="T26" i="14" s="1"/>
  <c r="AL26" i="14" s="1"/>
  <c r="O11" i="14"/>
  <c r="R11" i="14" s="1"/>
  <c r="O10" i="14"/>
  <c r="R10" i="14" s="1"/>
  <c r="O20" i="14"/>
  <c r="R20" i="14" s="1"/>
  <c r="O19" i="14"/>
  <c r="R19" i="14" s="1"/>
  <c r="O18" i="14"/>
  <c r="S18" i="14" s="1"/>
  <c r="T18" i="14" s="1"/>
  <c r="AL18" i="14" s="1"/>
  <c r="O5" i="14"/>
  <c r="R5" i="14" s="1"/>
  <c r="O24" i="14"/>
  <c r="R24" i="14" s="1"/>
  <c r="O23" i="14"/>
  <c r="R23" i="14" s="1"/>
  <c r="O22" i="14"/>
  <c r="U22" i="14" s="1"/>
  <c r="AH269" i="15"/>
  <c r="R269" i="15"/>
  <c r="S264" i="15"/>
  <c r="AH237" i="15"/>
  <c r="AF4" i="15"/>
  <c r="K4" i="15"/>
  <c r="Z265" i="15"/>
  <c r="AA265" i="15" s="1"/>
  <c r="AG265" i="15" s="1"/>
  <c r="Z249" i="15"/>
  <c r="AA249" i="15" s="1"/>
  <c r="AG249" i="15" s="1"/>
  <c r="Z233" i="15"/>
  <c r="AA233" i="15" s="1"/>
  <c r="AG233" i="15" s="1"/>
  <c r="Z217" i="15"/>
  <c r="AA217" i="15" s="1"/>
  <c r="AG217" i="15" s="1"/>
  <c r="AJ143" i="15"/>
  <c r="AJ255" i="15"/>
  <c r="AI255" i="15"/>
  <c r="Y255" i="15"/>
  <c r="AJ239" i="15"/>
  <c r="AI239" i="15"/>
  <c r="Y239" i="15"/>
  <c r="AJ223" i="15"/>
  <c r="AI223" i="15"/>
  <c r="Y223" i="15"/>
  <c r="AJ215" i="15"/>
  <c r="AI215" i="15"/>
  <c r="Y215" i="15"/>
  <c r="AJ207" i="15"/>
  <c r="AI207" i="15"/>
  <c r="Y207" i="15"/>
  <c r="X8" i="15"/>
  <c r="Y8" i="15" s="1"/>
  <c r="AJ268" i="15"/>
  <c r="O268" i="15"/>
  <c r="AI268" i="15"/>
  <c r="AH267" i="15"/>
  <c r="R267" i="15"/>
  <c r="U266" i="15"/>
  <c r="X265" i="15"/>
  <c r="Y265" i="15" s="1"/>
  <c r="W264" i="15"/>
  <c r="AD264" i="15" s="1"/>
  <c r="Q264" i="15"/>
  <c r="AK264" i="15" s="1"/>
  <c r="AB262" i="15"/>
  <c r="S262" i="15"/>
  <c r="T262" i="15" s="1"/>
  <c r="AL262" i="15" s="1"/>
  <c r="AJ260" i="15"/>
  <c r="O260" i="15"/>
  <c r="AI260" i="15"/>
  <c r="AH259" i="15"/>
  <c r="R259" i="15"/>
  <c r="U258" i="15"/>
  <c r="X257" i="15"/>
  <c r="Y257" i="15" s="1"/>
  <c r="W256" i="15"/>
  <c r="AD256" i="15" s="1"/>
  <c r="Q256" i="15"/>
  <c r="AK256" i="15" s="1"/>
  <c r="AB254" i="15"/>
  <c r="S254" i="15"/>
  <c r="T254" i="15" s="1"/>
  <c r="AL254" i="15" s="1"/>
  <c r="AJ252" i="15"/>
  <c r="O252" i="15"/>
  <c r="AI252" i="15"/>
  <c r="AH251" i="15"/>
  <c r="R251" i="15"/>
  <c r="U250" i="15"/>
  <c r="X249" i="15"/>
  <c r="Y249" i="15" s="1"/>
  <c r="W248" i="15"/>
  <c r="AD248" i="15" s="1"/>
  <c r="Q248" i="15"/>
  <c r="AK248" i="15" s="1"/>
  <c r="AB246" i="15"/>
  <c r="S246" i="15"/>
  <c r="T246" i="15" s="1"/>
  <c r="AL246" i="15" s="1"/>
  <c r="AJ244" i="15"/>
  <c r="O244" i="15"/>
  <c r="AI244" i="15"/>
  <c r="AH243" i="15"/>
  <c r="R243" i="15"/>
  <c r="U242" i="15"/>
  <c r="X241" i="15"/>
  <c r="Y241" i="15" s="1"/>
  <c r="W240" i="15"/>
  <c r="AD240" i="15" s="1"/>
  <c r="Q240" i="15"/>
  <c r="AK240" i="15" s="1"/>
  <c r="AB238" i="15"/>
  <c r="S238" i="15"/>
  <c r="T238" i="15" s="1"/>
  <c r="AL238" i="15" s="1"/>
  <c r="AJ236" i="15"/>
  <c r="O236" i="15"/>
  <c r="AI236" i="15"/>
  <c r="AH235" i="15"/>
  <c r="R235" i="15"/>
  <c r="U234" i="15"/>
  <c r="X233" i="15"/>
  <c r="Y233" i="15" s="1"/>
  <c r="W232" i="15"/>
  <c r="AD232" i="15" s="1"/>
  <c r="Q232" i="15"/>
  <c r="AK232" i="15" s="1"/>
  <c r="AB230" i="15"/>
  <c r="S230" i="15"/>
  <c r="T230" i="15" s="1"/>
  <c r="AL230" i="15" s="1"/>
  <c r="AJ228" i="15"/>
  <c r="O228" i="15"/>
  <c r="AI228" i="15"/>
  <c r="AH227" i="15"/>
  <c r="R227" i="15"/>
  <c r="U226" i="15"/>
  <c r="X225" i="15"/>
  <c r="Y225" i="15" s="1"/>
  <c r="Q224" i="15"/>
  <c r="AK224" i="15" s="1"/>
  <c r="AB222" i="15"/>
  <c r="S222" i="15"/>
  <c r="T222" i="15" s="1"/>
  <c r="AL222" i="15" s="1"/>
  <c r="AJ220" i="15"/>
  <c r="O220" i="15"/>
  <c r="AI220" i="15"/>
  <c r="AH219" i="15"/>
  <c r="R219" i="15"/>
  <c r="U218" i="15"/>
  <c r="X217" i="15"/>
  <c r="Y217" i="15" s="1"/>
  <c r="Q216" i="15"/>
  <c r="AK216" i="15" s="1"/>
  <c r="AB214" i="15"/>
  <c r="S214" i="15"/>
  <c r="T214" i="15" s="1"/>
  <c r="AL214" i="15" s="1"/>
  <c r="AJ212" i="15"/>
  <c r="O212" i="15"/>
  <c r="AI212" i="15"/>
  <c r="AH211" i="15"/>
  <c r="R211" i="15"/>
  <c r="U210" i="15"/>
  <c r="Q208" i="15"/>
  <c r="AK208" i="15" s="1"/>
  <c r="AB206" i="15"/>
  <c r="S206" i="15"/>
  <c r="T206" i="15" s="1"/>
  <c r="AL206" i="15" s="1"/>
  <c r="Y143" i="15"/>
  <c r="Y139" i="15"/>
  <c r="Y135" i="15"/>
  <c r="Y131" i="15"/>
  <c r="Y127" i="15"/>
  <c r="Y123" i="15"/>
  <c r="Y119" i="15"/>
  <c r="S7" i="15"/>
  <c r="X6" i="15"/>
  <c r="Y6" i="15" s="1"/>
  <c r="Z4" i="15"/>
  <c r="AA4" i="15" s="1"/>
  <c r="AG4" i="15" s="1"/>
  <c r="Q2" i="15"/>
  <c r="AK2" i="15" s="1"/>
  <c r="AI2" i="15"/>
  <c r="Z263" i="15"/>
  <c r="AA263" i="15" s="1"/>
  <c r="AG263" i="15" s="1"/>
  <c r="Z239" i="15"/>
  <c r="AA239" i="15" s="1"/>
  <c r="AG239" i="15" s="1"/>
  <c r="Q269" i="15"/>
  <c r="AK269" i="15" s="1"/>
  <c r="AJ265" i="15"/>
  <c r="O265" i="15"/>
  <c r="U265" i="15" s="1"/>
  <c r="AI265" i="15"/>
  <c r="AB263" i="15"/>
  <c r="S263" i="15"/>
  <c r="T263" i="15" s="1"/>
  <c r="AL263" i="15" s="1"/>
  <c r="W261" i="15"/>
  <c r="AD261" i="15" s="1"/>
  <c r="Q261" i="15"/>
  <c r="AK261" i="15" s="1"/>
  <c r="AJ257" i="15"/>
  <c r="O257" i="15"/>
  <c r="U257" i="15" s="1"/>
  <c r="AI257" i="15"/>
  <c r="AB255" i="15"/>
  <c r="S255" i="15"/>
  <c r="W253" i="15"/>
  <c r="AD253" i="15" s="1"/>
  <c r="Q253" i="15"/>
  <c r="AK253" i="15" s="1"/>
  <c r="AJ249" i="15"/>
  <c r="O249" i="15"/>
  <c r="U249" i="15" s="1"/>
  <c r="AI249" i="15"/>
  <c r="AB247" i="15"/>
  <c r="S247" i="15"/>
  <c r="T247" i="15" s="1"/>
  <c r="AL247" i="15" s="1"/>
  <c r="W245" i="15"/>
  <c r="AD245" i="15" s="1"/>
  <c r="Q245" i="15"/>
  <c r="AK245" i="15" s="1"/>
  <c r="AJ241" i="15"/>
  <c r="O241" i="15"/>
  <c r="U241" i="15" s="1"/>
  <c r="AI241" i="15"/>
  <c r="AB239" i="15"/>
  <c r="S239" i="15"/>
  <c r="T239" i="15" s="1"/>
  <c r="AL239" i="15" s="1"/>
  <c r="W237" i="15"/>
  <c r="AD237" i="15" s="1"/>
  <c r="Q237" i="15"/>
  <c r="AK237" i="15" s="1"/>
  <c r="AJ233" i="15"/>
  <c r="O233" i="15"/>
  <c r="U233" i="15" s="1"/>
  <c r="AI233" i="15"/>
  <c r="AB231" i="15"/>
  <c r="S231" i="15"/>
  <c r="T231" i="15" s="1"/>
  <c r="AL231" i="15" s="1"/>
  <c r="W229" i="15"/>
  <c r="AD229" i="15" s="1"/>
  <c r="Q229" i="15"/>
  <c r="AK229" i="15" s="1"/>
  <c r="AJ225" i="15"/>
  <c r="O225" i="15"/>
  <c r="U225" i="15" s="1"/>
  <c r="AI225" i="15"/>
  <c r="AB223" i="15"/>
  <c r="S223" i="15"/>
  <c r="W221" i="15"/>
  <c r="AD221" i="15" s="1"/>
  <c r="Q221" i="15"/>
  <c r="AK221" i="15" s="1"/>
  <c r="AJ217" i="15"/>
  <c r="O217" i="15"/>
  <c r="U217" i="15" s="1"/>
  <c r="AI217" i="15"/>
  <c r="AB215" i="15"/>
  <c r="S215" i="15"/>
  <c r="T215" i="15" s="1"/>
  <c r="AL215" i="15" s="1"/>
  <c r="W213" i="15"/>
  <c r="AD213" i="15" s="1"/>
  <c r="Q213" i="15"/>
  <c r="AK213" i="15" s="1"/>
  <c r="AJ209" i="15"/>
  <c r="O209" i="15"/>
  <c r="U209" i="15" s="1"/>
  <c r="AI209" i="15"/>
  <c r="S207" i="15"/>
  <c r="T207" i="15" s="1"/>
  <c r="AL207" i="15" s="1"/>
  <c r="S205" i="15"/>
  <c r="T205" i="15" s="1"/>
  <c r="AL205" i="15" s="1"/>
  <c r="S203" i="15"/>
  <c r="S201" i="15"/>
  <c r="T201" i="15" s="1"/>
  <c r="AL201" i="15" s="1"/>
  <c r="S199" i="15"/>
  <c r="T199" i="15" s="1"/>
  <c r="AL199" i="15" s="1"/>
  <c r="S197" i="15"/>
  <c r="T197" i="15" s="1"/>
  <c r="AL197" i="15" s="1"/>
  <c r="S195" i="15"/>
  <c r="T195" i="15" s="1"/>
  <c r="AL195" i="15" s="1"/>
  <c r="S193" i="15"/>
  <c r="T193" i="15" s="1"/>
  <c r="AL193" i="15" s="1"/>
  <c r="S191" i="15"/>
  <c r="T191" i="15" s="1"/>
  <c r="AL191" i="15" s="1"/>
  <c r="S189" i="15"/>
  <c r="T189" i="15" s="1"/>
  <c r="AL189" i="15" s="1"/>
  <c r="S187" i="15"/>
  <c r="S185" i="15"/>
  <c r="T185" i="15" s="1"/>
  <c r="AL185" i="15" s="1"/>
  <c r="S183" i="15"/>
  <c r="T183" i="15" s="1"/>
  <c r="AL183" i="15" s="1"/>
  <c r="S181" i="15"/>
  <c r="T181" i="15" s="1"/>
  <c r="AL181" i="15" s="1"/>
  <c r="S179" i="15"/>
  <c r="T179" i="15" s="1"/>
  <c r="AL179" i="15" s="1"/>
  <c r="S177" i="15"/>
  <c r="T177" i="15" s="1"/>
  <c r="AL177" i="15" s="1"/>
  <c r="S175" i="15"/>
  <c r="T175" i="15" s="1"/>
  <c r="AL175" i="15" s="1"/>
  <c r="S173" i="15"/>
  <c r="T173" i="15" s="1"/>
  <c r="AL173" i="15" s="1"/>
  <c r="S171" i="15"/>
  <c r="S169" i="15"/>
  <c r="T169" i="15" s="1"/>
  <c r="AL169" i="15" s="1"/>
  <c r="S167" i="15"/>
  <c r="T167" i="15" s="1"/>
  <c r="AL167" i="15" s="1"/>
  <c r="S165" i="15"/>
  <c r="T165" i="15" s="1"/>
  <c r="AL165" i="15" s="1"/>
  <c r="S163" i="15"/>
  <c r="T163" i="15" s="1"/>
  <c r="AL163" i="15" s="1"/>
  <c r="S161" i="15"/>
  <c r="T161" i="15" s="1"/>
  <c r="AL161" i="15" s="1"/>
  <c r="S159" i="15"/>
  <c r="T159" i="15" s="1"/>
  <c r="AL159" i="15" s="1"/>
  <c r="S157" i="15"/>
  <c r="T157" i="15" s="1"/>
  <c r="AL157" i="15" s="1"/>
  <c r="S155" i="15"/>
  <c r="S153" i="15"/>
  <c r="T153" i="15" s="1"/>
  <c r="AL153" i="15" s="1"/>
  <c r="S151" i="15"/>
  <c r="T151" i="15" s="1"/>
  <c r="AL151" i="15" s="1"/>
  <c r="S149" i="15"/>
  <c r="T149" i="15" s="1"/>
  <c r="AL149" i="15" s="1"/>
  <c r="S147" i="15"/>
  <c r="T147" i="15" s="1"/>
  <c r="AL147" i="15" s="1"/>
  <c r="S145" i="15"/>
  <c r="T145" i="15" s="1"/>
  <c r="AL145" i="15" s="1"/>
  <c r="S143" i="15"/>
  <c r="T143" i="15" s="1"/>
  <c r="AL143" i="15" s="1"/>
  <c r="S141" i="15"/>
  <c r="T141" i="15" s="1"/>
  <c r="AL141" i="15" s="1"/>
  <c r="S139" i="15"/>
  <c r="S137" i="15"/>
  <c r="T137" i="15" s="1"/>
  <c r="AL137" i="15" s="1"/>
  <c r="S135" i="15"/>
  <c r="T135" i="15" s="1"/>
  <c r="AL135" i="15" s="1"/>
  <c r="S133" i="15"/>
  <c r="T133" i="15" s="1"/>
  <c r="AL133" i="15" s="1"/>
  <c r="S131" i="15"/>
  <c r="S129" i="15"/>
  <c r="T129" i="15" s="1"/>
  <c r="AL129" i="15" s="1"/>
  <c r="S127" i="15"/>
  <c r="T127" i="15" s="1"/>
  <c r="AL127" i="15" s="1"/>
  <c r="S125" i="15"/>
  <c r="T125" i="15" s="1"/>
  <c r="AL125" i="15" s="1"/>
  <c r="S123" i="15"/>
  <c r="S121" i="15"/>
  <c r="T121" i="15" s="1"/>
  <c r="AL121" i="15" s="1"/>
  <c r="S119" i="15"/>
  <c r="Y7" i="15"/>
  <c r="X4" i="15"/>
  <c r="Y4" i="15" s="1"/>
  <c r="Z268" i="15"/>
  <c r="AA268" i="15" s="1"/>
  <c r="AG268" i="15" s="1"/>
  <c r="X268" i="15"/>
  <c r="Y268" i="15" s="1"/>
  <c r="Z260" i="15"/>
  <c r="AA260" i="15" s="1"/>
  <c r="AG260" i="15" s="1"/>
  <c r="X260" i="15"/>
  <c r="Y260" i="15" s="1"/>
  <c r="Z252" i="15"/>
  <c r="AA252" i="15" s="1"/>
  <c r="AG252" i="15" s="1"/>
  <c r="X252" i="15"/>
  <c r="Y252" i="15" s="1"/>
  <c r="Z244" i="15"/>
  <c r="AA244" i="15" s="1"/>
  <c r="AG244" i="15" s="1"/>
  <c r="X244" i="15"/>
  <c r="Y244" i="15" s="1"/>
  <c r="Z236" i="15"/>
  <c r="AA236" i="15" s="1"/>
  <c r="AG236" i="15" s="1"/>
  <c r="X236" i="15"/>
  <c r="Y236" i="15" s="1"/>
  <c r="Z228" i="15"/>
  <c r="AA228" i="15" s="1"/>
  <c r="AG228" i="15" s="1"/>
  <c r="X228" i="15"/>
  <c r="Y228" i="15" s="1"/>
  <c r="Z220" i="15"/>
  <c r="AA220" i="15" s="1"/>
  <c r="AG220" i="15" s="1"/>
  <c r="X220" i="15"/>
  <c r="Y220" i="15" s="1"/>
  <c r="Z212" i="15"/>
  <c r="AA212" i="15" s="1"/>
  <c r="AG212" i="15" s="1"/>
  <c r="X212" i="15"/>
  <c r="Y212" i="15" s="1"/>
  <c r="AH205" i="15"/>
  <c r="AH3" i="15"/>
  <c r="R3" i="15"/>
  <c r="AH114" i="15"/>
  <c r="S114" i="15"/>
  <c r="T114" i="15" s="1"/>
  <c r="AL114" i="15" s="1"/>
  <c r="W110" i="15"/>
  <c r="AD110" i="15" s="1"/>
  <c r="AB102" i="15"/>
  <c r="Z102" i="15"/>
  <c r="AI102" i="15"/>
  <c r="AH98" i="15"/>
  <c r="S98" i="15"/>
  <c r="T98" i="15" s="1"/>
  <c r="AL98" i="15" s="1"/>
  <c r="W94" i="15"/>
  <c r="AD94" i="15" s="1"/>
  <c r="AH90" i="15"/>
  <c r="AB86" i="15"/>
  <c r="Z86" i="15"/>
  <c r="W78" i="15"/>
  <c r="AD78" i="15" s="1"/>
  <c r="Q78" i="15"/>
  <c r="AK78" i="15" s="1"/>
  <c r="AH74" i="15"/>
  <c r="AB70" i="15"/>
  <c r="Z70" i="15"/>
  <c r="U66" i="15"/>
  <c r="W62" i="15"/>
  <c r="AD62" i="15" s="1"/>
  <c r="AH58" i="15"/>
  <c r="AB54" i="15"/>
  <c r="Z54" i="15"/>
  <c r="W46" i="15"/>
  <c r="AD46" i="15" s="1"/>
  <c r="Q46" i="15"/>
  <c r="AK46" i="15" s="1"/>
  <c r="AH42" i="15"/>
  <c r="AB39" i="15"/>
  <c r="Z39" i="15"/>
  <c r="AA39" i="15" s="1"/>
  <c r="AG39" i="15" s="1"/>
  <c r="U35" i="15"/>
  <c r="W31" i="15"/>
  <c r="AD31" i="15" s="1"/>
  <c r="AH27" i="15"/>
  <c r="AB23" i="15"/>
  <c r="Z23" i="15"/>
  <c r="AA23" i="15" s="1"/>
  <c r="AG23" i="15" s="1"/>
  <c r="W15" i="15"/>
  <c r="AD15" i="15" s="1"/>
  <c r="Q15" i="15"/>
  <c r="AK15" i="15" s="1"/>
  <c r="AH11" i="15"/>
  <c r="R182" i="14"/>
  <c r="R178" i="14"/>
  <c r="R174" i="14"/>
  <c r="R170" i="14"/>
  <c r="R166" i="14"/>
  <c r="AH163" i="14"/>
  <c r="R162" i="14"/>
  <c r="AH159" i="14"/>
  <c r="R158" i="14"/>
  <c r="AH155" i="14"/>
  <c r="R154" i="14"/>
  <c r="AH151" i="14"/>
  <c r="R150" i="14"/>
  <c r="AH147" i="14"/>
  <c r="R146" i="14"/>
  <c r="AH143" i="14"/>
  <c r="R142" i="14"/>
  <c r="AH139" i="14"/>
  <c r="R138" i="14"/>
  <c r="AH135" i="14"/>
  <c r="R134" i="14"/>
  <c r="AH131" i="14"/>
  <c r="R130" i="14"/>
  <c r="AH127" i="14"/>
  <c r="R126" i="14"/>
  <c r="AH123" i="14"/>
  <c r="R122" i="14"/>
  <c r="AH119" i="14"/>
  <c r="R118" i="14"/>
  <c r="AH115" i="14"/>
  <c r="R114" i="14"/>
  <c r="AH111" i="14"/>
  <c r="R110" i="14"/>
  <c r="AH107" i="14"/>
  <c r="R106" i="14"/>
  <c r="AH103" i="14"/>
  <c r="R102" i="14"/>
  <c r="AH99" i="14"/>
  <c r="R98" i="14"/>
  <c r="AH95" i="14"/>
  <c r="R94" i="14"/>
  <c r="AH91" i="14"/>
  <c r="R90" i="14"/>
  <c r="AH87" i="14"/>
  <c r="R86" i="14"/>
  <c r="AH83" i="14"/>
  <c r="R82" i="14"/>
  <c r="AH79" i="14"/>
  <c r="R78" i="14"/>
  <c r="AH75" i="14"/>
  <c r="R74" i="14"/>
  <c r="AH71" i="14"/>
  <c r="R70" i="14"/>
  <c r="AH67" i="14"/>
  <c r="R66" i="14"/>
  <c r="AH63" i="14"/>
  <c r="R62" i="14"/>
  <c r="AH59" i="14"/>
  <c r="AH55" i="14"/>
  <c r="AH51" i="14"/>
  <c r="R50" i="14"/>
  <c r="Z48" i="14"/>
  <c r="AA48" i="14" s="1"/>
  <c r="AG48" i="14" s="1"/>
  <c r="AH47" i="14"/>
  <c r="R46" i="14"/>
  <c r="AH43" i="14"/>
  <c r="U43" i="14"/>
  <c r="R42" i="14"/>
  <c r="AH39" i="14"/>
  <c r="R38" i="14"/>
  <c r="AH35" i="14"/>
  <c r="R34" i="14"/>
  <c r="AH31" i="14"/>
  <c r="R30" i="14"/>
  <c r="AH27" i="14"/>
  <c r="R26" i="14"/>
  <c r="AH23" i="14"/>
  <c r="U23" i="14"/>
  <c r="AH19" i="14"/>
  <c r="U19" i="14"/>
  <c r="R18" i="14"/>
  <c r="AH15" i="14"/>
  <c r="R14" i="14"/>
  <c r="AH11" i="14"/>
  <c r="U11" i="14"/>
  <c r="Y7" i="14"/>
  <c r="AB115" i="15"/>
  <c r="AI115" i="15"/>
  <c r="AJ109" i="15"/>
  <c r="R107" i="15"/>
  <c r="Q107" i="15"/>
  <c r="AK107" i="15" s="1"/>
  <c r="AH103" i="15"/>
  <c r="S103" i="15"/>
  <c r="T103" i="15" s="1"/>
  <c r="AL103" i="15" s="1"/>
  <c r="AB99" i="15"/>
  <c r="AI99" i="15"/>
  <c r="R91" i="15"/>
  <c r="Q91" i="15"/>
  <c r="AK91" i="15" s="1"/>
  <c r="AH87" i="15"/>
  <c r="S87" i="15"/>
  <c r="T87" i="15" s="1"/>
  <c r="AL87" i="15" s="1"/>
  <c r="AB83" i="15"/>
  <c r="AI83" i="15"/>
  <c r="R75" i="15"/>
  <c r="Q75" i="15"/>
  <c r="AK75" i="15" s="1"/>
  <c r="AH71" i="15"/>
  <c r="S71" i="15"/>
  <c r="T71" i="15" s="1"/>
  <c r="AL71" i="15" s="1"/>
  <c r="AB67" i="15"/>
  <c r="Z67" i="15"/>
  <c r="AI67" i="15"/>
  <c r="R59" i="15"/>
  <c r="Q59" i="15"/>
  <c r="AK59" i="15" s="1"/>
  <c r="AH55" i="15"/>
  <c r="S55" i="15"/>
  <c r="T55" i="15" s="1"/>
  <c r="AL55" i="15" s="1"/>
  <c r="AB51" i="15"/>
  <c r="AI51" i="15"/>
  <c r="R43" i="15"/>
  <c r="Q43" i="15"/>
  <c r="AK43" i="15" s="1"/>
  <c r="AH40" i="15"/>
  <c r="S40" i="15"/>
  <c r="T40" i="15" s="1"/>
  <c r="AL40" i="15" s="1"/>
  <c r="AB36" i="15"/>
  <c r="Z36" i="15"/>
  <c r="AI36" i="15"/>
  <c r="R28" i="15"/>
  <c r="Q28" i="15"/>
  <c r="AK28" i="15" s="1"/>
  <c r="AH24" i="15"/>
  <c r="S24" i="15"/>
  <c r="T24" i="15" s="1"/>
  <c r="AL24" i="15" s="1"/>
  <c r="AB20" i="15"/>
  <c r="AI20" i="15"/>
  <c r="R12" i="15"/>
  <c r="Q12" i="15"/>
  <c r="AK12" i="15" s="1"/>
  <c r="AB116" i="15"/>
  <c r="Z116" i="15"/>
  <c r="AB112" i="15"/>
  <c r="Z112" i="15"/>
  <c r="AA112" i="15" s="1"/>
  <c r="AG112" i="15" s="1"/>
  <c r="X108" i="15"/>
  <c r="Y108" i="15" s="1"/>
  <c r="X104" i="15"/>
  <c r="Y104" i="15" s="1"/>
  <c r="W100" i="15"/>
  <c r="AD100" i="15" s="1"/>
  <c r="AH96" i="15"/>
  <c r="AB92" i="15"/>
  <c r="Z92" i="15"/>
  <c r="AA92" i="15" s="1"/>
  <c r="AG92" i="15" s="1"/>
  <c r="X88" i="15"/>
  <c r="Y88" i="15" s="1"/>
  <c r="U88" i="15"/>
  <c r="W84" i="15"/>
  <c r="AH80" i="15"/>
  <c r="AB76" i="15"/>
  <c r="AI76" i="15"/>
  <c r="W68" i="15"/>
  <c r="AD68" i="15" s="1"/>
  <c r="AH64" i="15"/>
  <c r="AB60" i="15"/>
  <c r="Z60" i="15"/>
  <c r="AA60" i="15" s="1"/>
  <c r="AG60" i="15" s="1"/>
  <c r="X56" i="15"/>
  <c r="Y56" i="15" s="1"/>
  <c r="U56" i="15"/>
  <c r="W52" i="15"/>
  <c r="AD52" i="15" s="1"/>
  <c r="AH48" i="15"/>
  <c r="AB44" i="15"/>
  <c r="Z44" i="15"/>
  <c r="AI44" i="15"/>
  <c r="W37" i="15"/>
  <c r="AD37" i="15" s="1"/>
  <c r="AH33" i="15"/>
  <c r="AB29" i="15"/>
  <c r="Z29" i="15"/>
  <c r="U25" i="15"/>
  <c r="W21" i="15"/>
  <c r="AD21" i="15" s="1"/>
  <c r="AH17" i="15"/>
  <c r="AB13" i="15"/>
  <c r="Z13" i="15"/>
  <c r="AI13" i="15"/>
  <c r="X262" i="14"/>
  <c r="Y262" i="14" s="1"/>
  <c r="Q260" i="14"/>
  <c r="AK260" i="14" s="1"/>
  <c r="AI260" i="14"/>
  <c r="S260" i="14"/>
  <c r="T260" i="14" s="1"/>
  <c r="AL260" i="14" s="1"/>
  <c r="X258" i="14"/>
  <c r="Y258" i="14" s="1"/>
  <c r="Q256" i="14"/>
  <c r="AK256" i="14" s="1"/>
  <c r="AI256" i="14"/>
  <c r="S256" i="14"/>
  <c r="T256" i="14" s="1"/>
  <c r="AL256" i="14" s="1"/>
  <c r="X254" i="14"/>
  <c r="Y254" i="14" s="1"/>
  <c r="Q252" i="14"/>
  <c r="AK252" i="14" s="1"/>
  <c r="AI252" i="14"/>
  <c r="S252" i="14"/>
  <c r="T252" i="14" s="1"/>
  <c r="AL252" i="14" s="1"/>
  <c r="X250" i="14"/>
  <c r="Y250" i="14" s="1"/>
  <c r="AI248" i="14"/>
  <c r="S248" i="14"/>
  <c r="T248" i="14" s="1"/>
  <c r="AL248" i="14" s="1"/>
  <c r="Q248" i="14"/>
  <c r="AK248" i="14" s="1"/>
  <c r="X246" i="14"/>
  <c r="Y246" i="14" s="1"/>
  <c r="AI244" i="14"/>
  <c r="S244" i="14"/>
  <c r="T244" i="14" s="1"/>
  <c r="AL244" i="14" s="1"/>
  <c r="Q244" i="14"/>
  <c r="AK244" i="14" s="1"/>
  <c r="X242" i="14"/>
  <c r="Y242" i="14" s="1"/>
  <c r="AI240" i="14"/>
  <c r="S240" i="14"/>
  <c r="T240" i="14" s="1"/>
  <c r="AL240" i="14" s="1"/>
  <c r="Q240" i="14"/>
  <c r="AK240" i="14" s="1"/>
  <c r="X238" i="14"/>
  <c r="Y238" i="14" s="1"/>
  <c r="AI236" i="14"/>
  <c r="S236" i="14"/>
  <c r="T236" i="14" s="1"/>
  <c r="AL236" i="14" s="1"/>
  <c r="Q236" i="14"/>
  <c r="AK236" i="14" s="1"/>
  <c r="X234" i="14"/>
  <c r="Y234" i="14" s="1"/>
  <c r="AI232" i="14"/>
  <c r="S232" i="14"/>
  <c r="T232" i="14" s="1"/>
  <c r="AL232" i="14" s="1"/>
  <c r="Q232" i="14"/>
  <c r="AK232" i="14" s="1"/>
  <c r="X230" i="14"/>
  <c r="Y230" i="14" s="1"/>
  <c r="AI228" i="14"/>
  <c r="S228" i="14"/>
  <c r="T228" i="14" s="1"/>
  <c r="AL228" i="14" s="1"/>
  <c r="Q228" i="14"/>
  <c r="AK228" i="14" s="1"/>
  <c r="X226" i="14"/>
  <c r="Y226" i="14" s="1"/>
  <c r="AI224" i="14"/>
  <c r="S224" i="14"/>
  <c r="T224" i="14" s="1"/>
  <c r="AL224" i="14" s="1"/>
  <c r="Q224" i="14"/>
  <c r="AK224" i="14" s="1"/>
  <c r="X222" i="14"/>
  <c r="Y222" i="14" s="1"/>
  <c r="AI220" i="14"/>
  <c r="S220" i="14"/>
  <c r="T220" i="14" s="1"/>
  <c r="AL220" i="14" s="1"/>
  <c r="Q220" i="14"/>
  <c r="AK220" i="14" s="1"/>
  <c r="X218" i="14"/>
  <c r="Y218" i="14" s="1"/>
  <c r="AI216" i="14"/>
  <c r="S216" i="14"/>
  <c r="T216" i="14" s="1"/>
  <c r="AL216" i="14" s="1"/>
  <c r="Q216" i="14"/>
  <c r="AK216" i="14" s="1"/>
  <c r="X214" i="14"/>
  <c r="Y214" i="14" s="1"/>
  <c r="AI212" i="14"/>
  <c r="S212" i="14"/>
  <c r="T212" i="14" s="1"/>
  <c r="AL212" i="14" s="1"/>
  <c r="Q212" i="14"/>
  <c r="AK212" i="14" s="1"/>
  <c r="X210" i="14"/>
  <c r="Y210" i="14" s="1"/>
  <c r="AI208" i="14"/>
  <c r="S208" i="14"/>
  <c r="T208" i="14" s="1"/>
  <c r="AL208" i="14" s="1"/>
  <c r="Q208" i="14"/>
  <c r="AK208" i="14" s="1"/>
  <c r="X206" i="14"/>
  <c r="Y206" i="14" s="1"/>
  <c r="AI204" i="14"/>
  <c r="S204" i="14"/>
  <c r="T204" i="14" s="1"/>
  <c r="AL204" i="14" s="1"/>
  <c r="Q204" i="14"/>
  <c r="AK204" i="14" s="1"/>
  <c r="X202" i="14"/>
  <c r="Y202" i="14" s="1"/>
  <c r="AI200" i="14"/>
  <c r="S200" i="14"/>
  <c r="T200" i="14" s="1"/>
  <c r="AL200" i="14" s="1"/>
  <c r="Q200" i="14"/>
  <c r="AK200" i="14" s="1"/>
  <c r="X198" i="14"/>
  <c r="Y198" i="14" s="1"/>
  <c r="AI196" i="14"/>
  <c r="S196" i="14"/>
  <c r="T196" i="14" s="1"/>
  <c r="AL196" i="14" s="1"/>
  <c r="Q196" i="14"/>
  <c r="AK196" i="14" s="1"/>
  <c r="X194" i="14"/>
  <c r="Y194" i="14" s="1"/>
  <c r="AI192" i="14"/>
  <c r="S192" i="14"/>
  <c r="T192" i="14" s="1"/>
  <c r="AL192" i="14" s="1"/>
  <c r="Q192" i="14"/>
  <c r="AK192" i="14" s="1"/>
  <c r="X190" i="14"/>
  <c r="Y190" i="14" s="1"/>
  <c r="AI188" i="14"/>
  <c r="S188" i="14"/>
  <c r="T188" i="14" s="1"/>
  <c r="AL188" i="14" s="1"/>
  <c r="Q188" i="14"/>
  <c r="AK188" i="14" s="1"/>
  <c r="X186" i="14"/>
  <c r="Y186" i="14" s="1"/>
  <c r="AI184" i="14"/>
  <c r="S184" i="14"/>
  <c r="T184" i="14" s="1"/>
  <c r="AL184" i="14" s="1"/>
  <c r="Q184" i="14"/>
  <c r="AK184" i="14" s="1"/>
  <c r="X182" i="14"/>
  <c r="Y182" i="14" s="1"/>
  <c r="AI180" i="14"/>
  <c r="S180" i="14"/>
  <c r="T180" i="14" s="1"/>
  <c r="AL180" i="14" s="1"/>
  <c r="Q180" i="14"/>
  <c r="AK180" i="14" s="1"/>
  <c r="X178" i="14"/>
  <c r="Y178" i="14" s="1"/>
  <c r="AI176" i="14"/>
  <c r="S176" i="14"/>
  <c r="T176" i="14" s="1"/>
  <c r="AL176" i="14" s="1"/>
  <c r="Q176" i="14"/>
  <c r="AK176" i="14" s="1"/>
  <c r="X174" i="14"/>
  <c r="Y174" i="14" s="1"/>
  <c r="AI172" i="14"/>
  <c r="S172" i="14"/>
  <c r="T172" i="14" s="1"/>
  <c r="AL172" i="14" s="1"/>
  <c r="Q172" i="14"/>
  <c r="AK172" i="14" s="1"/>
  <c r="X170" i="14"/>
  <c r="Y170" i="14" s="1"/>
  <c r="AI168" i="14"/>
  <c r="S168" i="14"/>
  <c r="T168" i="14" s="1"/>
  <c r="AL168" i="14" s="1"/>
  <c r="Q168" i="14"/>
  <c r="AK168" i="14" s="1"/>
  <c r="X166" i="14"/>
  <c r="Y166" i="14" s="1"/>
  <c r="AI164" i="14"/>
  <c r="S164" i="14"/>
  <c r="T164" i="14" s="1"/>
  <c r="AL164" i="14" s="1"/>
  <c r="Q164" i="14"/>
  <c r="X162" i="14"/>
  <c r="Y162" i="14" s="1"/>
  <c r="AI160" i="14"/>
  <c r="S160" i="14"/>
  <c r="T160" i="14" s="1"/>
  <c r="AL160" i="14" s="1"/>
  <c r="Q160" i="14"/>
  <c r="X158" i="14"/>
  <c r="Y158" i="14" s="1"/>
  <c r="AI156" i="14"/>
  <c r="S156" i="14"/>
  <c r="T156" i="14" s="1"/>
  <c r="AL156" i="14" s="1"/>
  <c r="Q156" i="14"/>
  <c r="AK156" i="14" s="1"/>
  <c r="X154" i="14"/>
  <c r="Y154" i="14" s="1"/>
  <c r="AI152" i="14"/>
  <c r="S152" i="14"/>
  <c r="T152" i="14" s="1"/>
  <c r="AL152" i="14" s="1"/>
  <c r="Q152" i="14"/>
  <c r="AK152" i="14" s="1"/>
  <c r="X150" i="14"/>
  <c r="Y150" i="14" s="1"/>
  <c r="AI148" i="14"/>
  <c r="S148" i="14"/>
  <c r="T148" i="14" s="1"/>
  <c r="AL148" i="14" s="1"/>
  <c r="Q148" i="14"/>
  <c r="AK148" i="14" s="1"/>
  <c r="X146" i="14"/>
  <c r="Y146" i="14" s="1"/>
  <c r="AI144" i="14"/>
  <c r="S144" i="14"/>
  <c r="T144" i="14" s="1"/>
  <c r="AL144" i="14" s="1"/>
  <c r="Q144" i="14"/>
  <c r="AK144" i="14" s="1"/>
  <c r="X142" i="14"/>
  <c r="Y142" i="14" s="1"/>
  <c r="AI140" i="14"/>
  <c r="S140" i="14"/>
  <c r="T140" i="14" s="1"/>
  <c r="AL140" i="14" s="1"/>
  <c r="Q140" i="14"/>
  <c r="AK140" i="14" s="1"/>
  <c r="X138" i="14"/>
  <c r="Y138" i="14" s="1"/>
  <c r="AI136" i="14"/>
  <c r="S136" i="14"/>
  <c r="T136" i="14" s="1"/>
  <c r="AL136" i="14" s="1"/>
  <c r="Q136" i="14"/>
  <c r="AK136" i="14" s="1"/>
  <c r="X134" i="14"/>
  <c r="Y134" i="14" s="1"/>
  <c r="AI132" i="14"/>
  <c r="S132" i="14"/>
  <c r="T132" i="14" s="1"/>
  <c r="AL132" i="14" s="1"/>
  <c r="Q132" i="14"/>
  <c r="AK132" i="14" s="1"/>
  <c r="X130" i="14"/>
  <c r="Y130" i="14" s="1"/>
  <c r="AI128" i="14"/>
  <c r="S128" i="14"/>
  <c r="T128" i="14" s="1"/>
  <c r="AL128" i="14" s="1"/>
  <c r="Q128" i="14"/>
  <c r="X126" i="14"/>
  <c r="Y126" i="14" s="1"/>
  <c r="AI124" i="14"/>
  <c r="S124" i="14"/>
  <c r="T124" i="14" s="1"/>
  <c r="AL124" i="14" s="1"/>
  <c r="Q124" i="14"/>
  <c r="X122" i="14"/>
  <c r="Y122" i="14" s="1"/>
  <c r="AI120" i="14"/>
  <c r="S120" i="14"/>
  <c r="T120" i="14" s="1"/>
  <c r="AL120" i="14" s="1"/>
  <c r="Q120" i="14"/>
  <c r="AK120" i="14" s="1"/>
  <c r="X118" i="14"/>
  <c r="Y118" i="14" s="1"/>
  <c r="AI116" i="14"/>
  <c r="S116" i="14"/>
  <c r="T116" i="14" s="1"/>
  <c r="AL116" i="14" s="1"/>
  <c r="Q116" i="14"/>
  <c r="AK116" i="14" s="1"/>
  <c r="X114" i="14"/>
  <c r="Y114" i="14" s="1"/>
  <c r="AI112" i="14"/>
  <c r="S112" i="14"/>
  <c r="T112" i="14" s="1"/>
  <c r="AL112" i="14" s="1"/>
  <c r="Q112" i="14"/>
  <c r="AK112" i="14" s="1"/>
  <c r="X110" i="14"/>
  <c r="Y110" i="14" s="1"/>
  <c r="AI108" i="14"/>
  <c r="S108" i="14"/>
  <c r="T108" i="14" s="1"/>
  <c r="AL108" i="14" s="1"/>
  <c r="Q108" i="14"/>
  <c r="X106" i="14"/>
  <c r="Y106" i="14" s="1"/>
  <c r="AI104" i="14"/>
  <c r="S104" i="14"/>
  <c r="T104" i="14" s="1"/>
  <c r="AL104" i="14" s="1"/>
  <c r="Q104" i="14"/>
  <c r="AK104" i="14" s="1"/>
  <c r="X102" i="14"/>
  <c r="Y102" i="14" s="1"/>
  <c r="AI100" i="14"/>
  <c r="S100" i="14"/>
  <c r="T100" i="14" s="1"/>
  <c r="AL100" i="14" s="1"/>
  <c r="Q100" i="14"/>
  <c r="X98" i="14"/>
  <c r="Y98" i="14" s="1"/>
  <c r="AI96" i="14"/>
  <c r="S96" i="14"/>
  <c r="T96" i="14" s="1"/>
  <c r="AL96" i="14" s="1"/>
  <c r="Q96" i="14"/>
  <c r="X94" i="14"/>
  <c r="Y94" i="14" s="1"/>
  <c r="AI92" i="14"/>
  <c r="S92" i="14"/>
  <c r="T92" i="14" s="1"/>
  <c r="AL92" i="14" s="1"/>
  <c r="Q92" i="14"/>
  <c r="X90" i="14"/>
  <c r="Y90" i="14" s="1"/>
  <c r="AI88" i="14"/>
  <c r="S88" i="14"/>
  <c r="T88" i="14" s="1"/>
  <c r="AL88" i="14" s="1"/>
  <c r="Q88" i="14"/>
  <c r="AK88" i="14" s="1"/>
  <c r="X86" i="14"/>
  <c r="Y86" i="14" s="1"/>
  <c r="Q84" i="14"/>
  <c r="AI84" i="14"/>
  <c r="S84" i="14"/>
  <c r="T84" i="14" s="1"/>
  <c r="AL84" i="14" s="1"/>
  <c r="X82" i="14"/>
  <c r="Y82" i="14" s="1"/>
  <c r="Q80" i="14"/>
  <c r="AI80" i="14"/>
  <c r="S80" i="14"/>
  <c r="T80" i="14" s="1"/>
  <c r="AL80" i="14" s="1"/>
  <c r="AB77" i="14"/>
  <c r="Q76" i="14"/>
  <c r="AK76" i="14" s="1"/>
  <c r="AI76" i="14"/>
  <c r="AJ72" i="14"/>
  <c r="AI72" i="14"/>
  <c r="S72" i="14"/>
  <c r="T72" i="14" s="1"/>
  <c r="AL72" i="14" s="1"/>
  <c r="Q72" i="14"/>
  <c r="AI68" i="14"/>
  <c r="S68" i="14"/>
  <c r="Q68" i="14"/>
  <c r="AI64" i="14"/>
  <c r="Q64" i="14"/>
  <c r="AB61" i="14"/>
  <c r="Q60" i="14"/>
  <c r="AI60" i="14"/>
  <c r="S60" i="14"/>
  <c r="X58" i="14"/>
  <c r="Y58" i="14" s="1"/>
  <c r="AJ56" i="14"/>
  <c r="Q56" i="14"/>
  <c r="AK56" i="14" s="1"/>
  <c r="AI56" i="14"/>
  <c r="S56" i="14"/>
  <c r="T56" i="14" s="1"/>
  <c r="AL56" i="14" s="1"/>
  <c r="Q52" i="14"/>
  <c r="AI52" i="14"/>
  <c r="S52" i="14"/>
  <c r="S48" i="14"/>
  <c r="T48" i="14" s="1"/>
  <c r="AL48" i="14" s="1"/>
  <c r="AI48" i="14"/>
  <c r="Q48" i="14"/>
  <c r="AB45" i="14"/>
  <c r="S44" i="14"/>
  <c r="T44" i="14" s="1"/>
  <c r="AL44" i="14" s="1"/>
  <c r="AI44" i="14"/>
  <c r="Q44" i="14"/>
  <c r="X42" i="14"/>
  <c r="Y42" i="14" s="1"/>
  <c r="AJ40" i="14"/>
  <c r="AI40" i="14"/>
  <c r="Q40" i="14"/>
  <c r="S40" i="14"/>
  <c r="T40" i="14" s="1"/>
  <c r="AL40" i="14" s="1"/>
  <c r="S36" i="14"/>
  <c r="T36" i="14" s="1"/>
  <c r="AL36" i="14" s="1"/>
  <c r="AI36" i="14"/>
  <c r="Q36" i="14"/>
  <c r="AI32" i="14"/>
  <c r="Q32" i="14"/>
  <c r="X30" i="14"/>
  <c r="Y30" i="14" s="1"/>
  <c r="AB29" i="14"/>
  <c r="S28" i="14"/>
  <c r="T28" i="14" s="1"/>
  <c r="AL28" i="14" s="1"/>
  <c r="AI28" i="14"/>
  <c r="Q28" i="14"/>
  <c r="AK28" i="14" s="1"/>
  <c r="AJ24" i="14"/>
  <c r="AI24" i="14"/>
  <c r="Q24" i="14"/>
  <c r="AI20" i="14"/>
  <c r="Q20" i="14"/>
  <c r="S20" i="14"/>
  <c r="X18" i="14"/>
  <c r="Y18" i="14" s="1"/>
  <c r="AI16" i="14"/>
  <c r="Q16" i="14"/>
  <c r="S16" i="14"/>
  <c r="AB13" i="14"/>
  <c r="S12" i="14"/>
  <c r="AI12" i="14"/>
  <c r="Q12" i="14"/>
  <c r="AK12" i="14" s="1"/>
  <c r="AJ5" i="14"/>
  <c r="AI5" i="14"/>
  <c r="S5" i="14"/>
  <c r="T5" i="14" s="1"/>
  <c r="AL5" i="14" s="1"/>
  <c r="Q5" i="14"/>
  <c r="AH117" i="15"/>
  <c r="R113" i="15"/>
  <c r="AB105" i="15"/>
  <c r="AH101" i="15"/>
  <c r="R97" i="15"/>
  <c r="AB89" i="15"/>
  <c r="AH85" i="15"/>
  <c r="R81" i="15"/>
  <c r="AB73" i="15"/>
  <c r="AH69" i="15"/>
  <c r="R65" i="15"/>
  <c r="AB57" i="15"/>
  <c r="AH53" i="15"/>
  <c r="R49" i="15"/>
  <c r="AH38" i="15"/>
  <c r="R34" i="15"/>
  <c r="T34" i="15" s="1"/>
  <c r="AL34" i="15" s="1"/>
  <c r="AB26" i="15"/>
  <c r="AH22" i="15"/>
  <c r="R18" i="15"/>
  <c r="AB10" i="15"/>
  <c r="AI3" i="15"/>
  <c r="X200" i="13"/>
  <c r="Y200" i="13" s="1"/>
  <c r="S200" i="13"/>
  <c r="T200" i="13" s="1"/>
  <c r="AL200" i="13" s="1"/>
  <c r="Z192" i="13"/>
  <c r="AA192" i="13" s="1"/>
  <c r="AG192" i="13" s="1"/>
  <c r="X192" i="13"/>
  <c r="Y192" i="13" s="1"/>
  <c r="S192" i="13"/>
  <c r="T192" i="13" s="1"/>
  <c r="AL192" i="13" s="1"/>
  <c r="Z184" i="13"/>
  <c r="AA184" i="13" s="1"/>
  <c r="AG184" i="13" s="1"/>
  <c r="X184" i="13"/>
  <c r="Y184" i="13" s="1"/>
  <c r="S184" i="13"/>
  <c r="T184" i="13" s="1"/>
  <c r="AL184" i="13" s="1"/>
  <c r="Z176" i="13"/>
  <c r="AA176" i="13" s="1"/>
  <c r="AG176" i="13" s="1"/>
  <c r="X176" i="13"/>
  <c r="Y176" i="13" s="1"/>
  <c r="S176" i="13"/>
  <c r="T176" i="13" s="1"/>
  <c r="AL176" i="13" s="1"/>
  <c r="Z168" i="13"/>
  <c r="AA168" i="13" s="1"/>
  <c r="AG168" i="13" s="1"/>
  <c r="X168" i="13"/>
  <c r="Y168" i="13" s="1"/>
  <c r="S168" i="13"/>
  <c r="T168" i="13" s="1"/>
  <c r="AL168" i="13" s="1"/>
  <c r="Z160" i="13"/>
  <c r="AA160" i="13" s="1"/>
  <c r="AG160" i="13" s="1"/>
  <c r="X160" i="13"/>
  <c r="Y160" i="13" s="1"/>
  <c r="X152" i="13"/>
  <c r="Y152" i="13" s="1"/>
  <c r="X144" i="13"/>
  <c r="Y144" i="13" s="1"/>
  <c r="X136" i="13"/>
  <c r="Y136" i="13" s="1"/>
  <c r="R2" i="14"/>
  <c r="AJ2" i="14"/>
  <c r="S2" i="14"/>
  <c r="T2" i="14" s="1"/>
  <c r="AL2" i="14" s="1"/>
  <c r="Q239" i="13"/>
  <c r="AK239" i="13" s="1"/>
  <c r="W239" i="13"/>
  <c r="AD239" i="13" s="1"/>
  <c r="AH231" i="13"/>
  <c r="O231" i="13"/>
  <c r="AI231" i="13"/>
  <c r="AB227" i="13"/>
  <c r="W226" i="13"/>
  <c r="AD226" i="13" s="1"/>
  <c r="Q223" i="13"/>
  <c r="W223" i="13"/>
  <c r="AD223" i="13" s="1"/>
  <c r="AH218" i="13"/>
  <c r="AH215" i="13"/>
  <c r="O215" i="13"/>
  <c r="AI215" i="13"/>
  <c r="AB211" i="13"/>
  <c r="W210" i="13"/>
  <c r="AD210" i="13" s="1"/>
  <c r="Q207" i="13"/>
  <c r="AK207" i="13" s="1"/>
  <c r="W207" i="13"/>
  <c r="AD207" i="13" s="1"/>
  <c r="AH202" i="13"/>
  <c r="AJ201" i="13"/>
  <c r="AH201" i="13"/>
  <c r="Q201" i="13"/>
  <c r="AK201" i="13" s="1"/>
  <c r="K201" i="13"/>
  <c r="Q199" i="13"/>
  <c r="AK199" i="13" s="1"/>
  <c r="AJ199" i="13"/>
  <c r="AH199" i="13"/>
  <c r="AJ198" i="13"/>
  <c r="R197" i="13"/>
  <c r="T197" i="13" s="1"/>
  <c r="AL197" i="13" s="1"/>
  <c r="S195" i="13"/>
  <c r="T195" i="13" s="1"/>
  <c r="AL195" i="13" s="1"/>
  <c r="S194" i="13"/>
  <c r="T194" i="13" s="1"/>
  <c r="AL194" i="13" s="1"/>
  <c r="S193" i="13"/>
  <c r="T193" i="13" s="1"/>
  <c r="AL193" i="13" s="1"/>
  <c r="O191" i="13"/>
  <c r="R191" i="13" s="1"/>
  <c r="AI191" i="13"/>
  <c r="AI190" i="13"/>
  <c r="AI189" i="13"/>
  <c r="Q186" i="13"/>
  <c r="AK186" i="13" s="1"/>
  <c r="AH186" i="13"/>
  <c r="AJ185" i="13"/>
  <c r="AH185" i="13"/>
  <c r="Q185" i="13"/>
  <c r="T185" i="13" s="1"/>
  <c r="AL185" i="13" s="1"/>
  <c r="K185" i="13"/>
  <c r="Q183" i="13"/>
  <c r="AJ183" i="13"/>
  <c r="AH183" i="13"/>
  <c r="AJ182" i="13"/>
  <c r="R181" i="13"/>
  <c r="T181" i="13" s="1"/>
  <c r="AL181" i="13" s="1"/>
  <c r="S179" i="13"/>
  <c r="T179" i="13" s="1"/>
  <c r="AL179" i="13" s="1"/>
  <c r="S178" i="13"/>
  <c r="T178" i="13" s="1"/>
  <c r="AL178" i="13" s="1"/>
  <c r="S177" i="13"/>
  <c r="T177" i="13" s="1"/>
  <c r="AL177" i="13" s="1"/>
  <c r="O175" i="13"/>
  <c r="R175" i="13" s="1"/>
  <c r="AI175" i="13"/>
  <c r="AI174" i="13"/>
  <c r="AI173" i="13"/>
  <c r="AJ169" i="13"/>
  <c r="Q169" i="13"/>
  <c r="AH169" i="13"/>
  <c r="K169" i="13"/>
  <c r="AH167" i="13"/>
  <c r="R165" i="13"/>
  <c r="T165" i="13" s="1"/>
  <c r="AL165" i="13" s="1"/>
  <c r="S163" i="13"/>
  <c r="T163" i="13" s="1"/>
  <c r="AL163" i="13" s="1"/>
  <c r="S161" i="13"/>
  <c r="T161" i="13" s="1"/>
  <c r="AL161" i="13" s="1"/>
  <c r="O159" i="13"/>
  <c r="R159" i="13" s="1"/>
  <c r="AI159" i="13"/>
  <c r="AI158" i="13"/>
  <c r="AI157" i="13"/>
  <c r="AJ153" i="13"/>
  <c r="Q153" i="13"/>
  <c r="AH153" i="13"/>
  <c r="K153" i="13"/>
  <c r="AH151" i="13"/>
  <c r="AJ150" i="13"/>
  <c r="R149" i="13"/>
  <c r="S147" i="13"/>
  <c r="S145" i="13"/>
  <c r="T145" i="13" s="1"/>
  <c r="AL145" i="13" s="1"/>
  <c r="O143" i="13"/>
  <c r="R143" i="13" s="1"/>
  <c r="AI143" i="13"/>
  <c r="AI142" i="13"/>
  <c r="AI141" i="13"/>
  <c r="U138" i="13"/>
  <c r="Q138" i="13"/>
  <c r="AK138" i="13" s="1"/>
  <c r="AJ137" i="13"/>
  <c r="Q137" i="13"/>
  <c r="T137" i="13" s="1"/>
  <c r="AL137" i="13" s="1"/>
  <c r="AH137" i="13"/>
  <c r="K137" i="13"/>
  <c r="AJ134" i="13"/>
  <c r="R133" i="13"/>
  <c r="T133" i="13" s="1"/>
  <c r="AL133" i="13" s="1"/>
  <c r="S131" i="13"/>
  <c r="T131" i="13" s="1"/>
  <c r="AL131" i="13" s="1"/>
  <c r="S130" i="13"/>
  <c r="T130" i="13" s="1"/>
  <c r="AL130" i="13" s="1"/>
  <c r="X12" i="13"/>
  <c r="Y12" i="13" s="1"/>
  <c r="Y11" i="13"/>
  <c r="X10" i="13"/>
  <c r="Y10" i="13" s="1"/>
  <c r="Y9" i="13"/>
  <c r="X5" i="13"/>
  <c r="Y5" i="13" s="1"/>
  <c r="X238" i="13"/>
  <c r="Y238" i="13" s="1"/>
  <c r="S235" i="13"/>
  <c r="T235" i="13" s="1"/>
  <c r="AL235" i="13" s="1"/>
  <c r="AH230" i="13"/>
  <c r="AH227" i="13"/>
  <c r="O227" i="13"/>
  <c r="U227" i="13" s="1"/>
  <c r="AI227" i="13"/>
  <c r="Z222" i="13"/>
  <c r="W214" i="13"/>
  <c r="AD214" i="13" s="1"/>
  <c r="R211" i="13"/>
  <c r="Q211" i="13"/>
  <c r="AK211" i="13" s="1"/>
  <c r="W211" i="13"/>
  <c r="AD211" i="13" s="1"/>
  <c r="X206" i="13"/>
  <c r="Y206" i="13" s="1"/>
  <c r="S203" i="13"/>
  <c r="T203" i="13" s="1"/>
  <c r="AL203" i="13" s="1"/>
  <c r="AH240" i="13"/>
  <c r="AJ240" i="13"/>
  <c r="AH236" i="13"/>
  <c r="R217" i="13"/>
  <c r="Z213" i="13"/>
  <c r="AA213" i="13" s="1"/>
  <c r="AG213" i="13" s="1"/>
  <c r="AH208" i="13"/>
  <c r="AJ208" i="13"/>
  <c r="AH204" i="13"/>
  <c r="AJ118" i="13"/>
  <c r="AJ102" i="13"/>
  <c r="AJ61" i="13"/>
  <c r="AJ49" i="13"/>
  <c r="AJ39" i="13"/>
  <c r="AH8" i="14"/>
  <c r="Q8" i="14"/>
  <c r="Z221" i="13"/>
  <c r="AA221" i="13" s="1"/>
  <c r="AG221" i="13" s="1"/>
  <c r="AH216" i="13"/>
  <c r="AJ216" i="13"/>
  <c r="S216" i="13"/>
  <c r="AH212" i="13"/>
  <c r="S212" i="13"/>
  <c r="T212" i="13" s="1"/>
  <c r="AL212" i="13" s="1"/>
  <c r="U198" i="13"/>
  <c r="U190" i="13"/>
  <c r="U182" i="13"/>
  <c r="U174" i="13"/>
  <c r="AJ152" i="13"/>
  <c r="AJ121" i="13"/>
  <c r="AJ105" i="13"/>
  <c r="AJ88" i="13"/>
  <c r="AJ65" i="13"/>
  <c r="AJ53" i="13"/>
  <c r="AJ38" i="13"/>
  <c r="AJ29" i="13"/>
  <c r="AJ18" i="13"/>
  <c r="AB7" i="13"/>
  <c r="AB2" i="13"/>
  <c r="X233" i="13"/>
  <c r="Y233" i="13" s="1"/>
  <c r="Z224" i="13"/>
  <c r="AA224" i="13" s="1"/>
  <c r="AG224" i="13" s="1"/>
  <c r="AI224" i="13"/>
  <c r="AJ220" i="13"/>
  <c r="AI220" i="13"/>
  <c r="U154" i="13"/>
  <c r="AJ120" i="13"/>
  <c r="AJ104" i="13"/>
  <c r="AJ87" i="13"/>
  <c r="N6" i="14"/>
  <c r="R237" i="13"/>
  <c r="W237" i="13"/>
  <c r="AD237" i="13" s="1"/>
  <c r="AB232" i="13"/>
  <c r="X232" i="13"/>
  <c r="Y232" i="13" s="1"/>
  <c r="AB228" i="13"/>
  <c r="X228" i="13"/>
  <c r="Y228" i="13" s="1"/>
  <c r="AJ209" i="13"/>
  <c r="AH209" i="13"/>
  <c r="X205" i="13"/>
  <c r="Y205" i="13" s="1"/>
  <c r="AH205" i="13"/>
  <c r="Q150" i="13"/>
  <c r="Z128" i="13"/>
  <c r="AA128" i="13" s="1"/>
  <c r="AG128" i="13" s="1"/>
  <c r="AJ75" i="13"/>
  <c r="W64" i="13"/>
  <c r="AD64" i="13" s="1"/>
  <c r="Z54" i="13"/>
  <c r="AA54" i="13" s="1"/>
  <c r="AG54" i="13" s="1"/>
  <c r="AJ35" i="13"/>
  <c r="AJ27" i="13"/>
  <c r="AJ16" i="13"/>
  <c r="S4" i="13"/>
  <c r="X3" i="13"/>
  <c r="Y3" i="13" s="1"/>
  <c r="X230" i="12"/>
  <c r="Y230" i="12" s="1"/>
  <c r="X214" i="12"/>
  <c r="Y214" i="12" s="1"/>
  <c r="W5" i="12"/>
  <c r="AD5" i="12" s="1"/>
  <c r="Q4" i="12"/>
  <c r="AK4" i="12" s="1"/>
  <c r="W82" i="13"/>
  <c r="AD82" i="13" s="1"/>
  <c r="AJ50" i="13"/>
  <c r="W10" i="13"/>
  <c r="AD10" i="13" s="1"/>
  <c r="S8" i="13"/>
  <c r="R6" i="13"/>
  <c r="T6" i="13" s="1"/>
  <c r="AL6" i="13" s="1"/>
  <c r="AH140" i="13"/>
  <c r="U140" i="13"/>
  <c r="O126" i="13"/>
  <c r="R126" i="13" s="1"/>
  <c r="N126" i="13"/>
  <c r="U126" i="13" s="1"/>
  <c r="O23" i="13"/>
  <c r="R23" i="13" s="1"/>
  <c r="N23" i="13"/>
  <c r="O82" i="13"/>
  <c r="R82" i="13" s="1"/>
  <c r="N82" i="13"/>
  <c r="U82" i="13" s="1"/>
  <c r="O13" i="13"/>
  <c r="R13" i="13" s="1"/>
  <c r="N13" i="13"/>
  <c r="O66" i="13"/>
  <c r="R66" i="13" s="1"/>
  <c r="N66" i="13"/>
  <c r="U66" i="13" s="1"/>
  <c r="O14" i="13"/>
  <c r="R14" i="13" s="1"/>
  <c r="N14" i="13"/>
  <c r="O36" i="13"/>
  <c r="R36" i="13" s="1"/>
  <c r="N36" i="13"/>
  <c r="U36" i="13" s="1"/>
  <c r="O51" i="13"/>
  <c r="R51" i="13" s="1"/>
  <c r="N51" i="13"/>
  <c r="AJ51" i="13" s="1"/>
  <c r="O63" i="13"/>
  <c r="R63" i="13" s="1"/>
  <c r="N63" i="13"/>
  <c r="U63" i="13" s="1"/>
  <c r="O77" i="13"/>
  <c r="R77" i="13" s="1"/>
  <c r="N77" i="13"/>
  <c r="O89" i="13"/>
  <c r="R89" i="13" s="1"/>
  <c r="N89" i="13"/>
  <c r="U89" i="13" s="1"/>
  <c r="O234" i="12"/>
  <c r="R234" i="12" s="1"/>
  <c r="W224" i="12"/>
  <c r="AD224" i="12" s="1"/>
  <c r="W208" i="12"/>
  <c r="AD208" i="12" s="1"/>
  <c r="W192" i="12"/>
  <c r="AD192" i="12" s="1"/>
  <c r="W177" i="12"/>
  <c r="AD177" i="12" s="1"/>
  <c r="W161" i="12"/>
  <c r="AD161" i="12" s="1"/>
  <c r="W145" i="12"/>
  <c r="AD145" i="12" s="1"/>
  <c r="W130" i="12"/>
  <c r="AD130" i="12" s="1"/>
  <c r="W114" i="12"/>
  <c r="AD114" i="12" s="1"/>
  <c r="W98" i="12"/>
  <c r="AD98" i="12" s="1"/>
  <c r="W82" i="12"/>
  <c r="AD82" i="12" s="1"/>
  <c r="W66" i="12"/>
  <c r="AD66" i="12" s="1"/>
  <c r="W50" i="12"/>
  <c r="AD50" i="12" s="1"/>
  <c r="W34" i="12"/>
  <c r="AD34" i="12" s="1"/>
  <c r="W18" i="12"/>
  <c r="AD18" i="12" s="1"/>
  <c r="AJ6" i="12"/>
  <c r="AJ107" i="13"/>
  <c r="AJ91" i="13"/>
  <c r="AJ79" i="13"/>
  <c r="AJ74" i="13"/>
  <c r="AJ59" i="13"/>
  <c r="AJ43" i="13"/>
  <c r="W33" i="13"/>
  <c r="AD33" i="13" s="1"/>
  <c r="Z24" i="13"/>
  <c r="AA24" i="13" s="1"/>
  <c r="AG24" i="13" s="1"/>
  <c r="Z14" i="13"/>
  <c r="W3" i="13"/>
  <c r="AD3" i="13" s="1"/>
  <c r="U3" i="12"/>
  <c r="AH138" i="13"/>
  <c r="Z83" i="13"/>
  <c r="Z67" i="13"/>
  <c r="O42" i="13"/>
  <c r="R42" i="13" s="1"/>
  <c r="N42" i="13"/>
  <c r="U42" i="13" s="1"/>
  <c r="Z97" i="13"/>
  <c r="AA97" i="13" s="1"/>
  <c r="AG97" i="13" s="1"/>
  <c r="W122" i="13"/>
  <c r="AD122" i="13" s="1"/>
  <c r="AB129" i="13"/>
  <c r="X129" i="13"/>
  <c r="Y129" i="13" s="1"/>
  <c r="AB145" i="13"/>
  <c r="X145" i="13"/>
  <c r="Y145" i="13" s="1"/>
  <c r="AB161" i="13"/>
  <c r="X161" i="13"/>
  <c r="Y161" i="13" s="1"/>
  <c r="Z9" i="13"/>
  <c r="AA9" i="13" s="1"/>
  <c r="AG9" i="13" s="1"/>
  <c r="W21" i="13"/>
  <c r="AD21" i="13" s="1"/>
  <c r="Z30" i="13"/>
  <c r="AA30" i="13" s="1"/>
  <c r="AG30" i="13" s="1"/>
  <c r="W40" i="13"/>
  <c r="AD40" i="13" s="1"/>
  <c r="Z46" i="13"/>
  <c r="AA46" i="13" s="1"/>
  <c r="AG46" i="13" s="1"/>
  <c r="W68" i="13"/>
  <c r="AD68" i="13" s="1"/>
  <c r="Z74" i="13"/>
  <c r="Z85" i="13"/>
  <c r="AA85" i="13" s="1"/>
  <c r="AG85" i="13" s="1"/>
  <c r="W98" i="13"/>
  <c r="AD98" i="13" s="1"/>
  <c r="W114" i="13"/>
  <c r="AD114" i="13" s="1"/>
  <c r="Z126" i="13"/>
  <c r="X142" i="13"/>
  <c r="Y142" i="13" s="1"/>
  <c r="AB142" i="13"/>
  <c r="X158" i="13"/>
  <c r="Y158" i="13" s="1"/>
  <c r="AB158" i="13"/>
  <c r="W13" i="13"/>
  <c r="AD13" i="13" s="1"/>
  <c r="W50" i="13"/>
  <c r="AD50" i="13" s="1"/>
  <c r="W62" i="13"/>
  <c r="AD62" i="13" s="1"/>
  <c r="W74" i="13"/>
  <c r="AD74" i="13" s="1"/>
  <c r="W86" i="13"/>
  <c r="AD86" i="13" s="1"/>
  <c r="Z112" i="13"/>
  <c r="AA112" i="13" s="1"/>
  <c r="AG112" i="13" s="1"/>
  <c r="Z120" i="13"/>
  <c r="AA120" i="13" s="1"/>
  <c r="AG120" i="13" s="1"/>
  <c r="X174" i="13"/>
  <c r="Y174" i="13" s="1"/>
  <c r="AB174" i="13"/>
  <c r="X185" i="13"/>
  <c r="Y185" i="13" s="1"/>
  <c r="AB185" i="13"/>
  <c r="X190" i="13"/>
  <c r="Y190" i="13" s="1"/>
  <c r="AB190" i="13"/>
  <c r="X201" i="13"/>
  <c r="Y201" i="13" s="1"/>
  <c r="AB201" i="13"/>
  <c r="W18" i="13"/>
  <c r="AD18" i="13" s="1"/>
  <c r="W26" i="13"/>
  <c r="AD26" i="13" s="1"/>
  <c r="W34" i="13"/>
  <c r="AD34" i="13" s="1"/>
  <c r="W41" i="13"/>
  <c r="AD41" i="13" s="1"/>
  <c r="W49" i="13"/>
  <c r="AD49" i="13" s="1"/>
  <c r="W57" i="13"/>
  <c r="AD57" i="13" s="1"/>
  <c r="W65" i="13"/>
  <c r="AD65" i="13" s="1"/>
  <c r="W73" i="13"/>
  <c r="AD73" i="13" s="1"/>
  <c r="W81" i="13"/>
  <c r="AD81" i="13" s="1"/>
  <c r="W89" i="13"/>
  <c r="AD89" i="13" s="1"/>
  <c r="W97" i="13"/>
  <c r="AD97" i="13" s="1"/>
  <c r="W105" i="13"/>
  <c r="AD105" i="13" s="1"/>
  <c r="W113" i="13"/>
  <c r="AD113" i="13" s="1"/>
  <c r="W121" i="13"/>
  <c r="AD121" i="13" s="1"/>
  <c r="AH235" i="12"/>
  <c r="AH231" i="12"/>
  <c r="AH227" i="12"/>
  <c r="AH223" i="12"/>
  <c r="AH219" i="12"/>
  <c r="AH215" i="12"/>
  <c r="AH211" i="12"/>
  <c r="AH207" i="12"/>
  <c r="AH203" i="12"/>
  <c r="K202" i="12"/>
  <c r="AH199" i="12"/>
  <c r="AH195" i="12"/>
  <c r="AH191" i="12"/>
  <c r="AH187" i="12"/>
  <c r="AH184" i="12"/>
  <c r="AH180" i="12"/>
  <c r="AH176" i="12"/>
  <c r="AH172" i="12"/>
  <c r="AH168" i="12"/>
  <c r="AH164" i="12"/>
  <c r="AH160" i="12"/>
  <c r="AH156" i="12"/>
  <c r="AH152" i="12"/>
  <c r="AH148" i="12"/>
  <c r="AH141" i="12"/>
  <c r="AH137" i="12"/>
  <c r="AH133" i="12"/>
  <c r="AH129" i="12"/>
  <c r="AH125" i="12"/>
  <c r="AH121" i="12"/>
  <c r="AH117" i="12"/>
  <c r="AH113" i="12"/>
  <c r="AH109" i="12"/>
  <c r="AH105" i="12"/>
  <c r="AH101" i="12"/>
  <c r="AH97" i="12"/>
  <c r="AH93" i="12"/>
  <c r="AH89" i="12"/>
  <c r="AH85" i="12"/>
  <c r="AH81" i="12"/>
  <c r="AH77" i="12"/>
  <c r="AH73" i="12"/>
  <c r="AH69" i="12"/>
  <c r="AH65" i="12"/>
  <c r="AH61" i="12"/>
  <c r="AH57" i="12"/>
  <c r="AH53" i="12"/>
  <c r="AH49" i="12"/>
  <c r="AH45" i="12"/>
  <c r="AH41" i="12"/>
  <c r="AH37" i="12"/>
  <c r="AH33" i="12"/>
  <c r="AH29" i="12"/>
  <c r="AH25" i="12"/>
  <c r="AH21" i="12"/>
  <c r="AH17" i="12"/>
  <c r="AH13" i="12"/>
  <c r="AH9" i="12"/>
  <c r="U2" i="13"/>
  <c r="E26" i="1"/>
  <c r="L8" i="3"/>
  <c r="E16" i="1"/>
  <c r="B8" i="3"/>
  <c r="O2" i="15"/>
  <c r="U2" i="15" s="1"/>
  <c r="O6" i="15"/>
  <c r="U6" i="15" s="1"/>
  <c r="M8" i="3"/>
  <c r="E27" i="1"/>
  <c r="AF115" i="15" l="1"/>
  <c r="K115" i="15"/>
  <c r="AJ88" i="15"/>
  <c r="Q88" i="15"/>
  <c r="AK88" i="15" s="1"/>
  <c r="AI116" i="15"/>
  <c r="Q116" i="15"/>
  <c r="AK116" i="15" s="1"/>
  <c r="AJ116" i="15"/>
  <c r="S10" i="15"/>
  <c r="AJ10" i="15"/>
  <c r="S57" i="15"/>
  <c r="AJ57" i="15"/>
  <c r="AJ5" i="15"/>
  <c r="Q5" i="15"/>
  <c r="AK5" i="15" s="1"/>
  <c r="AI29" i="15"/>
  <c r="Q29" i="15"/>
  <c r="AK29" i="15" s="1"/>
  <c r="AJ47" i="15"/>
  <c r="AJ66" i="15"/>
  <c r="Q66" i="15"/>
  <c r="AK66" i="15" s="1"/>
  <c r="AI86" i="15"/>
  <c r="Q86" i="15"/>
  <c r="AK86" i="15" s="1"/>
  <c r="U9" i="15"/>
  <c r="Q9" i="15"/>
  <c r="AK9" i="15" s="1"/>
  <c r="AJ49" i="15"/>
  <c r="U99" i="15"/>
  <c r="Q26" i="15"/>
  <c r="AK26" i="15" s="1"/>
  <c r="AA86" i="15"/>
  <c r="AG86" i="15" s="1"/>
  <c r="T5" i="15"/>
  <c r="AL5" i="15" s="1"/>
  <c r="T69" i="15"/>
  <c r="AL69" i="15" s="1"/>
  <c r="T86" i="15"/>
  <c r="AL86" i="15" s="1"/>
  <c r="T158" i="15"/>
  <c r="AL158" i="15" s="1"/>
  <c r="T166" i="15"/>
  <c r="AL166" i="15" s="1"/>
  <c r="T198" i="15"/>
  <c r="AL198" i="15" s="1"/>
  <c r="T162" i="15"/>
  <c r="AL162" i="15" s="1"/>
  <c r="T170" i="15"/>
  <c r="AL170" i="15" s="1"/>
  <c r="S73" i="15"/>
  <c r="AJ73" i="15"/>
  <c r="AJ44" i="15"/>
  <c r="Q44" i="15"/>
  <c r="AK44" i="15" s="1"/>
  <c r="Q73" i="15"/>
  <c r="AK73" i="15" s="1"/>
  <c r="AJ13" i="15"/>
  <c r="Q13" i="15"/>
  <c r="AK13" i="15" s="1"/>
  <c r="U50" i="15"/>
  <c r="Q50" i="15"/>
  <c r="AK50" i="15" s="1"/>
  <c r="AI70" i="15"/>
  <c r="Q70" i="15"/>
  <c r="AK70" i="15" s="1"/>
  <c r="AJ91" i="15"/>
  <c r="AJ115" i="15"/>
  <c r="Q57" i="15"/>
  <c r="AK57" i="15" s="1"/>
  <c r="AJ14" i="15"/>
  <c r="AI57" i="15"/>
  <c r="T66" i="15"/>
  <c r="AL66" i="15" s="1"/>
  <c r="J34" i="3"/>
  <c r="AA13" i="15"/>
  <c r="AG13" i="15" s="1"/>
  <c r="S124" i="15"/>
  <c r="S156" i="15"/>
  <c r="S188" i="15"/>
  <c r="AA29" i="15"/>
  <c r="AG29" i="15" s="1"/>
  <c r="AA36" i="15"/>
  <c r="AG36" i="15" s="1"/>
  <c r="T223" i="15"/>
  <c r="AL223" i="15" s="1"/>
  <c r="T255" i="15"/>
  <c r="AL255" i="15" s="1"/>
  <c r="T7" i="15"/>
  <c r="AL7" i="15" s="1"/>
  <c r="S213" i="15"/>
  <c r="S221" i="15"/>
  <c r="S237" i="15"/>
  <c r="S253" i="15"/>
  <c r="T253" i="15" s="1"/>
  <c r="AL253" i="15" s="1"/>
  <c r="S269" i="15"/>
  <c r="R237" i="15"/>
  <c r="R131" i="15"/>
  <c r="T9" i="15"/>
  <c r="AL9" i="15" s="1"/>
  <c r="T41" i="15"/>
  <c r="AL41" i="15" s="1"/>
  <c r="T88" i="15"/>
  <c r="AL88" i="15" s="1"/>
  <c r="AA6" i="15"/>
  <c r="AG6" i="15" s="1"/>
  <c r="S128" i="15"/>
  <c r="S160" i="15"/>
  <c r="S192" i="15"/>
  <c r="AA8" i="15"/>
  <c r="AG8" i="15" s="1"/>
  <c r="T85" i="15"/>
  <c r="AL85" i="15" s="1"/>
  <c r="T29" i="15"/>
  <c r="AL29" i="15" s="1"/>
  <c r="T57" i="15"/>
  <c r="AL57" i="15" s="1"/>
  <c r="AJ102" i="15"/>
  <c r="Q102" i="15"/>
  <c r="AK102" i="15" s="1"/>
  <c r="AI54" i="15"/>
  <c r="Q54" i="15"/>
  <c r="AK54" i="15" s="1"/>
  <c r="U41" i="15"/>
  <c r="Q41" i="15"/>
  <c r="AK41" i="15" s="1"/>
  <c r="AJ32" i="15"/>
  <c r="Q113" i="15"/>
  <c r="T50" i="15"/>
  <c r="AL50" i="15" s="1"/>
  <c r="S2" i="15"/>
  <c r="T91" i="15"/>
  <c r="AL91" i="15" s="1"/>
  <c r="AA44" i="15"/>
  <c r="AG44" i="15" s="1"/>
  <c r="AA116" i="15"/>
  <c r="AG116" i="15" s="1"/>
  <c r="AA67" i="15"/>
  <c r="AG67" i="15" s="1"/>
  <c r="AA70" i="15"/>
  <c r="AG70" i="15" s="1"/>
  <c r="AA102" i="15"/>
  <c r="AG102" i="15" s="1"/>
  <c r="J33" i="3"/>
  <c r="T123" i="15"/>
  <c r="AL123" i="15" s="1"/>
  <c r="T131" i="15"/>
  <c r="AL131" i="15" s="1"/>
  <c r="T139" i="15"/>
  <c r="AL139" i="15" s="1"/>
  <c r="T155" i="15"/>
  <c r="AL155" i="15" s="1"/>
  <c r="T171" i="15"/>
  <c r="AL171" i="15" s="1"/>
  <c r="T187" i="15"/>
  <c r="AL187" i="15" s="1"/>
  <c r="T203" i="15"/>
  <c r="AL203" i="15" s="1"/>
  <c r="T46" i="15"/>
  <c r="AL46" i="15" s="1"/>
  <c r="R119" i="15"/>
  <c r="T119" i="15" s="1"/>
  <c r="AL119" i="15" s="1"/>
  <c r="R221" i="15"/>
  <c r="R245" i="15"/>
  <c r="R261" i="15"/>
  <c r="T116" i="15"/>
  <c r="AL116" i="15" s="1"/>
  <c r="T70" i="15"/>
  <c r="AL70" i="15" s="1"/>
  <c r="S97" i="15"/>
  <c r="T97" i="15" s="1"/>
  <c r="AL97" i="15" s="1"/>
  <c r="AJ97" i="15"/>
  <c r="AJ63" i="15"/>
  <c r="U82" i="15"/>
  <c r="Q82" i="15"/>
  <c r="AK82" i="15" s="1"/>
  <c r="AJ25" i="15"/>
  <c r="Q25" i="15"/>
  <c r="AK25" i="15" s="1"/>
  <c r="AJ16" i="15"/>
  <c r="AJ35" i="15"/>
  <c r="Q35" i="15"/>
  <c r="AK35" i="15" s="1"/>
  <c r="Q49" i="15"/>
  <c r="AK49" i="15" s="1"/>
  <c r="Q10" i="15"/>
  <c r="AK10" i="15" s="1"/>
  <c r="J30" i="3"/>
  <c r="AD84" i="15"/>
  <c r="AF9" i="13"/>
  <c r="K9" i="13"/>
  <c r="AK216" i="13"/>
  <c r="Z236" i="14"/>
  <c r="T240" i="13"/>
  <c r="AL240" i="13" s="1"/>
  <c r="T211" i="13"/>
  <c r="AL211" i="13" s="1"/>
  <c r="T207" i="13"/>
  <c r="AL207" i="13" s="1"/>
  <c r="U20" i="13"/>
  <c r="U121" i="13"/>
  <c r="AF121" i="13" s="1"/>
  <c r="U65" i="13"/>
  <c r="U124" i="13"/>
  <c r="AI27" i="13"/>
  <c r="S206" i="13"/>
  <c r="T206" i="13" s="1"/>
  <c r="AL206" i="13" s="1"/>
  <c r="AI206" i="13"/>
  <c r="AH206" i="13"/>
  <c r="U216" i="13"/>
  <c r="Z228" i="14"/>
  <c r="Z244" i="14"/>
  <c r="T216" i="13"/>
  <c r="AL216" i="13" s="1"/>
  <c r="AJ55" i="13"/>
  <c r="T217" i="13"/>
  <c r="AL217" i="13" s="1"/>
  <c r="T37" i="13"/>
  <c r="AL37" i="13" s="1"/>
  <c r="AI15" i="13"/>
  <c r="Q37" i="13"/>
  <c r="AK37" i="13" s="1"/>
  <c r="Q72" i="13"/>
  <c r="AA37" i="13"/>
  <c r="AG37" i="13" s="1"/>
  <c r="AJ163" i="13"/>
  <c r="AI163" i="13"/>
  <c r="U240" i="13"/>
  <c r="AH135" i="13"/>
  <c r="Q135" i="13"/>
  <c r="AI135" i="13"/>
  <c r="S135" i="13"/>
  <c r="T135" i="13" s="1"/>
  <c r="AL135" i="13" s="1"/>
  <c r="AI216" i="13"/>
  <c r="AJ42" i="13"/>
  <c r="AJ89" i="13"/>
  <c r="Z5" i="14"/>
  <c r="AA5" i="14" s="1"/>
  <c r="AG5" i="14" s="1"/>
  <c r="AA222" i="13"/>
  <c r="AG222" i="13" s="1"/>
  <c r="U56" i="13"/>
  <c r="AJ66" i="13"/>
  <c r="U74" i="13"/>
  <c r="T12" i="13"/>
  <c r="AL12" i="13" s="1"/>
  <c r="Q15" i="13"/>
  <c r="AK15" i="13" s="1"/>
  <c r="Q18" i="13"/>
  <c r="AA18" i="13" s="1"/>
  <c r="AG18" i="13" s="1"/>
  <c r="AI37" i="13"/>
  <c r="Q53" i="13"/>
  <c r="AI72" i="13"/>
  <c r="AA135" i="13"/>
  <c r="AG135" i="13" s="1"/>
  <c r="AI236" i="13"/>
  <c r="AJ236" i="13"/>
  <c r="Q147" i="13"/>
  <c r="T147" i="13" s="1"/>
  <c r="AL147" i="13" s="1"/>
  <c r="AI147" i="13"/>
  <c r="AJ90" i="13"/>
  <c r="Q5" i="13"/>
  <c r="AA5" i="13" s="1"/>
  <c r="AG5" i="13" s="1"/>
  <c r="T19" i="13"/>
  <c r="AL19" i="13" s="1"/>
  <c r="AH27" i="13"/>
  <c r="T54" i="13"/>
  <c r="AL54" i="13" s="1"/>
  <c r="T122" i="13"/>
  <c r="AL122" i="13" s="1"/>
  <c r="AJ8" i="13"/>
  <c r="U8" i="13"/>
  <c r="AH8" i="13"/>
  <c r="Q8" i="13"/>
  <c r="AA8" i="13" s="1"/>
  <c r="AG8" i="13" s="1"/>
  <c r="AI8" i="13"/>
  <c r="AI212" i="13"/>
  <c r="AJ212" i="13"/>
  <c r="Z168" i="14"/>
  <c r="S238" i="13"/>
  <c r="AH238" i="13"/>
  <c r="AI238" i="13"/>
  <c r="Z217" i="13"/>
  <c r="AA217" i="13" s="1"/>
  <c r="AG217" i="13" s="1"/>
  <c r="AK224" i="12"/>
  <c r="AK149" i="12"/>
  <c r="Z42" i="13"/>
  <c r="AK145" i="12"/>
  <c r="Z38" i="13"/>
  <c r="AK153" i="12"/>
  <c r="Z52" i="13"/>
  <c r="AF215" i="12"/>
  <c r="AK202" i="12"/>
  <c r="Z159" i="13"/>
  <c r="AA159" i="13" s="1"/>
  <c r="AG159" i="13" s="1"/>
  <c r="Z4" i="13"/>
  <c r="T153" i="12"/>
  <c r="AL153" i="12" s="1"/>
  <c r="T191" i="12"/>
  <c r="AL191" i="12" s="1"/>
  <c r="Z207" i="13"/>
  <c r="T224" i="12"/>
  <c r="AL224" i="12" s="1"/>
  <c r="Z152" i="13"/>
  <c r="AA152" i="13" s="1"/>
  <c r="AG152" i="13" s="1"/>
  <c r="T149" i="12"/>
  <c r="AL149" i="12" s="1"/>
  <c r="T211" i="12"/>
  <c r="AL211" i="12" s="1"/>
  <c r="T226" i="12"/>
  <c r="AL226" i="12" s="1"/>
  <c r="AK120" i="12"/>
  <c r="Z237" i="13"/>
  <c r="T145" i="12"/>
  <c r="AL145" i="12" s="1"/>
  <c r="Z93" i="13"/>
  <c r="AA93" i="13" s="1"/>
  <c r="AG93" i="13" s="1"/>
  <c r="T214" i="12"/>
  <c r="AL214" i="12" s="1"/>
  <c r="U165" i="12"/>
  <c r="AJ7" i="12"/>
  <c r="Q7" i="12"/>
  <c r="T7" i="12" s="1"/>
  <c r="AL7" i="12" s="1"/>
  <c r="AK122" i="12"/>
  <c r="Z2" i="13"/>
  <c r="AA2" i="13" s="1"/>
  <c r="AG2" i="13" s="1"/>
  <c r="AK138" i="12"/>
  <c r="Z21" i="13"/>
  <c r="AK165" i="12"/>
  <c r="Z69" i="13"/>
  <c r="AK142" i="12"/>
  <c r="Z27" i="13"/>
  <c r="AK169" i="12"/>
  <c r="Z76" i="13"/>
  <c r="AK130" i="12"/>
  <c r="Z10" i="13"/>
  <c r="AA10" i="13" s="1"/>
  <c r="AG10" i="13" s="1"/>
  <c r="AK157" i="12"/>
  <c r="Z57" i="13"/>
  <c r="AK161" i="12"/>
  <c r="Z65" i="13"/>
  <c r="U212" i="12"/>
  <c r="AJ212" i="12"/>
  <c r="AJ181" i="12"/>
  <c r="Q181" i="12"/>
  <c r="AJ165" i="12"/>
  <c r="Q192" i="12"/>
  <c r="Q134" i="12"/>
  <c r="AJ196" i="12"/>
  <c r="T175" i="12"/>
  <c r="AL175" i="12" s="1"/>
  <c r="U203" i="12"/>
  <c r="U235" i="12"/>
  <c r="Q200" i="12"/>
  <c r="AI196" i="12"/>
  <c r="T169" i="12"/>
  <c r="AL169" i="12" s="1"/>
  <c r="T165" i="12"/>
  <c r="AL165" i="12" s="1"/>
  <c r="T181" i="12"/>
  <c r="AL181" i="12" s="1"/>
  <c r="Z45" i="13"/>
  <c r="AA45" i="13" s="1"/>
  <c r="AG45" i="13" s="1"/>
  <c r="Z105" i="13"/>
  <c r="AA105" i="13" s="1"/>
  <c r="AG105" i="13" s="1"/>
  <c r="Z29" i="13"/>
  <c r="AA29" i="13" s="1"/>
  <c r="AG29" i="13" s="1"/>
  <c r="T130" i="12"/>
  <c r="AL130" i="12" s="1"/>
  <c r="T161" i="12"/>
  <c r="AL161" i="12" s="1"/>
  <c r="T192" i="12"/>
  <c r="AL192" i="12" s="1"/>
  <c r="Z110" i="13"/>
  <c r="AA110" i="13" s="1"/>
  <c r="AG110" i="13" s="1"/>
  <c r="AI134" i="12"/>
  <c r="U161" i="12"/>
  <c r="K192" i="12"/>
  <c r="K200" i="12"/>
  <c r="T222" i="12"/>
  <c r="AL222" i="12" s="1"/>
  <c r="AK194" i="12"/>
  <c r="Z150" i="13"/>
  <c r="AA150" i="13" s="1"/>
  <c r="AG150" i="13" s="1"/>
  <c r="AI212" i="12"/>
  <c r="Z25" i="13"/>
  <c r="Z72" i="13"/>
  <c r="AA72" i="13" s="1"/>
  <c r="AG72" i="13" s="1"/>
  <c r="Q118" i="12"/>
  <c r="T118" i="12" s="1"/>
  <c r="AL118" i="12" s="1"/>
  <c r="Q232" i="12"/>
  <c r="T138" i="12"/>
  <c r="AL138" i="12" s="1"/>
  <c r="T215" i="12"/>
  <c r="AL215" i="12" s="1"/>
  <c r="Z19" i="13"/>
  <c r="AA19" i="13" s="1"/>
  <c r="AG19" i="13" s="1"/>
  <c r="T134" i="12"/>
  <c r="AL134" i="12" s="1"/>
  <c r="T200" i="12"/>
  <c r="AL200" i="12" s="1"/>
  <c r="Z127" i="13"/>
  <c r="AA127" i="13" s="1"/>
  <c r="AG127" i="13" s="1"/>
  <c r="T122" i="12"/>
  <c r="AL122" i="12" s="1"/>
  <c r="T142" i="12"/>
  <c r="AL142" i="12" s="1"/>
  <c r="T157" i="12"/>
  <c r="AL157" i="12" s="1"/>
  <c r="T232" i="12"/>
  <c r="AL232" i="12" s="1"/>
  <c r="S8" i="12"/>
  <c r="T8" i="12" s="1"/>
  <c r="AL8" i="12" s="1"/>
  <c r="Z218" i="13"/>
  <c r="AA218" i="13" s="1"/>
  <c r="AG218" i="13" s="1"/>
  <c r="Z188" i="13"/>
  <c r="AA188" i="13" s="1"/>
  <c r="AG188" i="13" s="1"/>
  <c r="U118" i="12"/>
  <c r="U134" i="12"/>
  <c r="AK198" i="12"/>
  <c r="Z154" i="13"/>
  <c r="AA154" i="13" s="1"/>
  <c r="AG154" i="13" s="1"/>
  <c r="U219" i="12"/>
  <c r="AK190" i="12"/>
  <c r="Z145" i="13"/>
  <c r="Q173" i="12"/>
  <c r="T173" i="12" s="1"/>
  <c r="AL173" i="12" s="1"/>
  <c r="Q216" i="12"/>
  <c r="T216" i="12" s="1"/>
  <c r="AL216" i="12" s="1"/>
  <c r="Z40" i="13"/>
  <c r="Z121" i="13"/>
  <c r="Q177" i="12"/>
  <c r="Q188" i="12"/>
  <c r="AJ228" i="12"/>
  <c r="AF127" i="15"/>
  <c r="K127" i="15"/>
  <c r="AF135" i="15"/>
  <c r="K135" i="15"/>
  <c r="AF151" i="15"/>
  <c r="K151" i="15"/>
  <c r="AF167" i="15"/>
  <c r="K167" i="15"/>
  <c r="AF179" i="15"/>
  <c r="K179" i="15"/>
  <c r="AF42" i="14"/>
  <c r="K42" i="14"/>
  <c r="AF219" i="13"/>
  <c r="K219" i="13"/>
  <c r="AF119" i="15"/>
  <c r="K119" i="15"/>
  <c r="AF131" i="15"/>
  <c r="K131" i="15"/>
  <c r="AF163" i="15"/>
  <c r="K163" i="15"/>
  <c r="AK50" i="13"/>
  <c r="Z53" i="14"/>
  <c r="AA53" i="14" s="1"/>
  <c r="AG53" i="14" s="1"/>
  <c r="AA50" i="13"/>
  <c r="AG50" i="13" s="1"/>
  <c r="AF213" i="15"/>
  <c r="K213" i="15"/>
  <c r="AF229" i="15"/>
  <c r="K229" i="15"/>
  <c r="AF237" i="15"/>
  <c r="K237" i="15"/>
  <c r="AF245" i="15"/>
  <c r="K245" i="15"/>
  <c r="AF253" i="15"/>
  <c r="K253" i="15"/>
  <c r="AF261" i="15"/>
  <c r="K261" i="15"/>
  <c r="AF269" i="15"/>
  <c r="K269" i="15"/>
  <c r="AK27" i="13"/>
  <c r="Z29" i="14"/>
  <c r="AA29" i="14" s="1"/>
  <c r="AG29" i="14" s="1"/>
  <c r="AF22" i="14"/>
  <c r="K22" i="14"/>
  <c r="AF211" i="13"/>
  <c r="K211" i="13"/>
  <c r="AF139" i="15"/>
  <c r="K139" i="15"/>
  <c r="AF6" i="15"/>
  <c r="K6" i="15"/>
  <c r="AF221" i="15"/>
  <c r="K221" i="15"/>
  <c r="AF2" i="15"/>
  <c r="K2" i="15"/>
  <c r="AF80" i="15"/>
  <c r="AF78" i="14"/>
  <c r="K78" i="14"/>
  <c r="AF123" i="15"/>
  <c r="K123" i="15"/>
  <c r="AF143" i="15"/>
  <c r="K143" i="15"/>
  <c r="AF159" i="15"/>
  <c r="K159" i="15"/>
  <c r="AF171" i="15"/>
  <c r="K171" i="15"/>
  <c r="AF175" i="15"/>
  <c r="K175" i="15"/>
  <c r="AF183" i="15"/>
  <c r="K183" i="15"/>
  <c r="AF187" i="15"/>
  <c r="K187" i="15"/>
  <c r="AF191" i="15"/>
  <c r="K191" i="15"/>
  <c r="AF195" i="15"/>
  <c r="K195" i="15"/>
  <c r="AF199" i="15"/>
  <c r="K199" i="15"/>
  <c r="AF203" i="15"/>
  <c r="K203" i="15"/>
  <c r="AF3" i="12"/>
  <c r="K3" i="12"/>
  <c r="U77" i="13"/>
  <c r="U51" i="13"/>
  <c r="U14" i="13"/>
  <c r="U13" i="13"/>
  <c r="AJ13" i="13"/>
  <c r="U23" i="13"/>
  <c r="AF140" i="13"/>
  <c r="K140" i="13"/>
  <c r="T4" i="13"/>
  <c r="AL4" i="13" s="1"/>
  <c r="H34" i="3"/>
  <c r="H35" i="3"/>
  <c r="AF174" i="13"/>
  <c r="K174" i="13"/>
  <c r="AF227" i="13"/>
  <c r="K227" i="13"/>
  <c r="AF138" i="13"/>
  <c r="K138" i="13"/>
  <c r="AK153" i="13"/>
  <c r="Z167" i="14"/>
  <c r="AA167" i="14" s="1"/>
  <c r="AG167" i="14" s="1"/>
  <c r="AK169" i="13"/>
  <c r="Z185" i="14"/>
  <c r="AA185" i="14" s="1"/>
  <c r="AG185" i="14" s="1"/>
  <c r="AK5" i="14"/>
  <c r="Z5" i="15"/>
  <c r="AA5" i="15" s="1"/>
  <c r="AG5" i="15" s="1"/>
  <c r="T16" i="14"/>
  <c r="AL16" i="14" s="1"/>
  <c r="T20" i="14"/>
  <c r="AL20" i="14" s="1"/>
  <c r="AK24" i="14"/>
  <c r="Z25" i="15"/>
  <c r="AA25" i="15" s="1"/>
  <c r="AG25" i="15" s="1"/>
  <c r="AK32" i="14"/>
  <c r="Z33" i="15"/>
  <c r="AA33" i="15" s="1"/>
  <c r="AG33" i="15" s="1"/>
  <c r="AK52" i="14"/>
  <c r="Z53" i="15"/>
  <c r="AA53" i="15" s="1"/>
  <c r="AG53" i="15" s="1"/>
  <c r="AK60" i="14"/>
  <c r="Z61" i="15"/>
  <c r="AA61" i="15" s="1"/>
  <c r="AG61" i="15" s="1"/>
  <c r="AK72" i="14"/>
  <c r="Z72" i="15"/>
  <c r="AA72" i="15" s="1"/>
  <c r="AG72" i="15" s="1"/>
  <c r="S76" i="14"/>
  <c r="T76" i="14" s="1"/>
  <c r="AL76" i="14" s="1"/>
  <c r="AK92" i="14"/>
  <c r="Z93" i="15"/>
  <c r="AA93" i="15" s="1"/>
  <c r="AG93" i="15" s="1"/>
  <c r="AK96" i="14"/>
  <c r="Z97" i="15"/>
  <c r="AA97" i="15" s="1"/>
  <c r="AG97" i="15" s="1"/>
  <c r="AK100" i="14"/>
  <c r="Z101" i="15"/>
  <c r="AA101" i="15" s="1"/>
  <c r="AG101" i="15" s="1"/>
  <c r="AK108" i="14"/>
  <c r="Z109" i="15"/>
  <c r="AA109" i="15" s="1"/>
  <c r="AG109" i="15" s="1"/>
  <c r="AK124" i="14"/>
  <c r="Z128" i="15"/>
  <c r="AA128" i="15" s="1"/>
  <c r="AG128" i="15" s="1"/>
  <c r="AK128" i="14"/>
  <c r="Z132" i="15"/>
  <c r="AK160" i="14"/>
  <c r="Z166" i="15"/>
  <c r="AA166" i="15" s="1"/>
  <c r="AG166" i="15" s="1"/>
  <c r="AK164" i="14"/>
  <c r="Z170" i="15"/>
  <c r="AA170" i="15" s="1"/>
  <c r="AG170" i="15" s="1"/>
  <c r="AF11" i="14"/>
  <c r="K11" i="14"/>
  <c r="AF23" i="14"/>
  <c r="K23" i="14"/>
  <c r="R54" i="14"/>
  <c r="T54" i="14" s="1"/>
  <c r="AL54" i="14" s="1"/>
  <c r="AF66" i="15"/>
  <c r="K66" i="15"/>
  <c r="AF225" i="15"/>
  <c r="K225" i="15"/>
  <c r="AF257" i="15"/>
  <c r="K257" i="15"/>
  <c r="Z231" i="15"/>
  <c r="AA231" i="15" s="1"/>
  <c r="AG231" i="15" s="1"/>
  <c r="AF234" i="15"/>
  <c r="K234" i="15"/>
  <c r="R236" i="15"/>
  <c r="U236" i="15"/>
  <c r="S236" i="15"/>
  <c r="AF266" i="15"/>
  <c r="K266" i="15"/>
  <c r="R268" i="15"/>
  <c r="U268" i="15"/>
  <c r="S268" i="15"/>
  <c r="T268" i="15" s="1"/>
  <c r="AL268" i="15" s="1"/>
  <c r="AD171" i="15"/>
  <c r="T213" i="15"/>
  <c r="AL213" i="15" s="1"/>
  <c r="T221" i="15"/>
  <c r="AL221" i="15" s="1"/>
  <c r="T237" i="15"/>
  <c r="AL237" i="15" s="1"/>
  <c r="T269" i="15"/>
  <c r="AL269" i="15" s="1"/>
  <c r="R59" i="14"/>
  <c r="U59" i="14"/>
  <c r="R75" i="14"/>
  <c r="U75" i="14"/>
  <c r="AK212" i="12"/>
  <c r="Z190" i="13"/>
  <c r="AA190" i="13" s="1"/>
  <c r="AG190" i="13" s="1"/>
  <c r="U57" i="13"/>
  <c r="U26" i="13"/>
  <c r="U60" i="13"/>
  <c r="U64" i="13"/>
  <c r="U80" i="13"/>
  <c r="AF164" i="13"/>
  <c r="K164" i="13"/>
  <c r="AD165" i="14"/>
  <c r="AD117" i="14"/>
  <c r="AI23" i="12"/>
  <c r="S23" i="12"/>
  <c r="Q23" i="12"/>
  <c r="AJ23" i="12"/>
  <c r="AH23" i="12"/>
  <c r="U23" i="12"/>
  <c r="AI39" i="12"/>
  <c r="S39" i="12"/>
  <c r="Q39" i="12"/>
  <c r="AH39" i="12"/>
  <c r="AJ39" i="12"/>
  <c r="U39" i="12"/>
  <c r="AJ55" i="12"/>
  <c r="AI55" i="12"/>
  <c r="S55" i="12"/>
  <c r="Q55" i="12"/>
  <c r="AH55" i="12"/>
  <c r="U55" i="12"/>
  <c r="AJ71" i="12"/>
  <c r="AI71" i="12"/>
  <c r="S71" i="12"/>
  <c r="Q71" i="12"/>
  <c r="AH71" i="12"/>
  <c r="U71" i="12"/>
  <c r="AJ87" i="12"/>
  <c r="AI87" i="12"/>
  <c r="S87" i="12"/>
  <c r="Q87" i="12"/>
  <c r="AH87" i="12"/>
  <c r="U87" i="12"/>
  <c r="AJ103" i="12"/>
  <c r="AI103" i="12"/>
  <c r="S103" i="12"/>
  <c r="Q103" i="12"/>
  <c r="AH103" i="12"/>
  <c r="U103" i="12"/>
  <c r="AJ119" i="12"/>
  <c r="AI119" i="12"/>
  <c r="S119" i="12"/>
  <c r="Q119" i="12"/>
  <c r="AH119" i="12"/>
  <c r="U119" i="12"/>
  <c r="AJ135" i="12"/>
  <c r="AI135" i="12"/>
  <c r="S135" i="12"/>
  <c r="Q135" i="12"/>
  <c r="AH135" i="12"/>
  <c r="U135" i="12"/>
  <c r="AJ150" i="12"/>
  <c r="AI150" i="12"/>
  <c r="S150" i="12"/>
  <c r="Q150" i="12"/>
  <c r="AH150" i="12"/>
  <c r="U150" i="12"/>
  <c r="AJ166" i="12"/>
  <c r="AI166" i="12"/>
  <c r="S166" i="12"/>
  <c r="Q166" i="12"/>
  <c r="AH166" i="12"/>
  <c r="U166" i="12"/>
  <c r="AJ182" i="12"/>
  <c r="AI182" i="12"/>
  <c r="S182" i="12"/>
  <c r="Q182" i="12"/>
  <c r="AH182" i="12"/>
  <c r="U182" i="12"/>
  <c r="AJ197" i="12"/>
  <c r="AI197" i="12"/>
  <c r="S197" i="12"/>
  <c r="Q197" i="12"/>
  <c r="AH197" i="12"/>
  <c r="U197" i="12"/>
  <c r="AJ213" i="12"/>
  <c r="AI213" i="12"/>
  <c r="S213" i="12"/>
  <c r="Q213" i="12"/>
  <c r="AH213" i="12"/>
  <c r="U213" i="12"/>
  <c r="AJ229" i="12"/>
  <c r="AI229" i="12"/>
  <c r="S229" i="12"/>
  <c r="Q229" i="12"/>
  <c r="AH229" i="12"/>
  <c r="U229" i="12"/>
  <c r="AF155" i="13"/>
  <c r="K155" i="13"/>
  <c r="AF195" i="13"/>
  <c r="K195" i="13"/>
  <c r="AF142" i="13"/>
  <c r="K142" i="13"/>
  <c r="AK157" i="13"/>
  <c r="Z171" i="14"/>
  <c r="AA171" i="14" s="1"/>
  <c r="AG171" i="14" s="1"/>
  <c r="AK202" i="13"/>
  <c r="Z221" i="14"/>
  <c r="AA221" i="14" s="1"/>
  <c r="AG221" i="14" s="1"/>
  <c r="I35" i="3"/>
  <c r="I34" i="3"/>
  <c r="U36" i="14"/>
  <c r="AK21" i="14"/>
  <c r="Z22" i="15"/>
  <c r="AA22" i="15" s="1"/>
  <c r="AG22" i="15" s="1"/>
  <c r="T25" i="14"/>
  <c r="AL25" i="14" s="1"/>
  <c r="AK37" i="14"/>
  <c r="Z38" i="15"/>
  <c r="AA38" i="15" s="1"/>
  <c r="AG38" i="15" s="1"/>
  <c r="AK41" i="14"/>
  <c r="Z42" i="15"/>
  <c r="AA42" i="15" s="1"/>
  <c r="AG42" i="15" s="1"/>
  <c r="AK57" i="14"/>
  <c r="Z58" i="15"/>
  <c r="AA58" i="15" s="1"/>
  <c r="AG58" i="15" s="1"/>
  <c r="AK69" i="14"/>
  <c r="Z69" i="15"/>
  <c r="AA69" i="15" s="1"/>
  <c r="AG69" i="15" s="1"/>
  <c r="AK93" i="14"/>
  <c r="Z94" i="15"/>
  <c r="AA94" i="15" s="1"/>
  <c r="AG94" i="15" s="1"/>
  <c r="AK109" i="14"/>
  <c r="Z110" i="15"/>
  <c r="AA110" i="15" s="1"/>
  <c r="AG110" i="15" s="1"/>
  <c r="AK141" i="14"/>
  <c r="Z146" i="15"/>
  <c r="AA146" i="15" s="1"/>
  <c r="AG146" i="15" s="1"/>
  <c r="AK173" i="14"/>
  <c r="Z180" i="15"/>
  <c r="AA180" i="15" s="1"/>
  <c r="AG180" i="15" s="1"/>
  <c r="AK189" i="14"/>
  <c r="Z196" i="15"/>
  <c r="T12" i="15"/>
  <c r="AL12" i="15" s="1"/>
  <c r="T75" i="15"/>
  <c r="AL75" i="15" s="1"/>
  <c r="T3" i="14"/>
  <c r="AL3" i="14" s="1"/>
  <c r="AF32" i="13"/>
  <c r="K32" i="13"/>
  <c r="AF127" i="13"/>
  <c r="K127" i="13"/>
  <c r="AF71" i="13"/>
  <c r="K71" i="13"/>
  <c r="AF105" i="13"/>
  <c r="K105" i="13"/>
  <c r="AF30" i="13"/>
  <c r="K30" i="13"/>
  <c r="AF61" i="13"/>
  <c r="K61" i="13"/>
  <c r="AF16" i="13"/>
  <c r="K16" i="13"/>
  <c r="AF99" i="13"/>
  <c r="K99" i="13"/>
  <c r="AF115" i="13"/>
  <c r="K115" i="13"/>
  <c r="Z163" i="13"/>
  <c r="AA163" i="13" s="1"/>
  <c r="AG163" i="13" s="1"/>
  <c r="AK80" i="12"/>
  <c r="AD109" i="13"/>
  <c r="Z101" i="13"/>
  <c r="AA101" i="13" s="1"/>
  <c r="AG101" i="13" s="1"/>
  <c r="AF20" i="13"/>
  <c r="K20" i="13"/>
  <c r="AJ69" i="13"/>
  <c r="U4" i="13"/>
  <c r="AH4" i="13"/>
  <c r="U40" i="13"/>
  <c r="AJ126" i="13"/>
  <c r="AF178" i="13"/>
  <c r="K178" i="13"/>
  <c r="AJ82" i="13"/>
  <c r="AF162" i="13"/>
  <c r="K162" i="13"/>
  <c r="AF81" i="14"/>
  <c r="K81" i="14"/>
  <c r="T222" i="13"/>
  <c r="AL222" i="13" s="1"/>
  <c r="AF238" i="13"/>
  <c r="K238" i="13"/>
  <c r="R6" i="12"/>
  <c r="AK5" i="13"/>
  <c r="Z6" i="14"/>
  <c r="AK12" i="13"/>
  <c r="Z13" i="14"/>
  <c r="AA13" i="14" s="1"/>
  <c r="AG13" i="14" s="1"/>
  <c r="AF130" i="13"/>
  <c r="K130" i="13"/>
  <c r="AF248" i="14"/>
  <c r="K248" i="14"/>
  <c r="AF232" i="14"/>
  <c r="K232" i="14"/>
  <c r="AF216" i="14"/>
  <c r="K216" i="14"/>
  <c r="AF200" i="14"/>
  <c r="K200" i="14"/>
  <c r="AF184" i="14"/>
  <c r="K184" i="14"/>
  <c r="AF168" i="14"/>
  <c r="K168" i="14"/>
  <c r="AF152" i="14"/>
  <c r="K152" i="14"/>
  <c r="AF136" i="14"/>
  <c r="K136" i="14"/>
  <c r="AF120" i="14"/>
  <c r="K120" i="14"/>
  <c r="AF104" i="14"/>
  <c r="K104" i="14"/>
  <c r="AF88" i="14"/>
  <c r="K88" i="14"/>
  <c r="U32" i="14"/>
  <c r="AF61" i="14"/>
  <c r="K61" i="14"/>
  <c r="S129" i="13"/>
  <c r="S10" i="14"/>
  <c r="T10" i="14" s="1"/>
  <c r="AL10" i="14" s="1"/>
  <c r="AK34" i="14"/>
  <c r="Z35" i="15"/>
  <c r="AA35" i="15" s="1"/>
  <c r="AG35" i="15" s="1"/>
  <c r="AK46" i="14"/>
  <c r="Z47" i="15"/>
  <c r="AA47" i="15" s="1"/>
  <c r="AG47" i="15" s="1"/>
  <c r="T50" i="14"/>
  <c r="AL50" i="14" s="1"/>
  <c r="AK58" i="14"/>
  <c r="Z59" i="15"/>
  <c r="AA59" i="15" s="1"/>
  <c r="AG59" i="15" s="1"/>
  <c r="T66" i="14"/>
  <c r="AL66" i="14" s="1"/>
  <c r="T74" i="14"/>
  <c r="AL74" i="14" s="1"/>
  <c r="AK78" i="14"/>
  <c r="Z78" i="15"/>
  <c r="AA78" i="15" s="1"/>
  <c r="AG78" i="15" s="1"/>
  <c r="AK86" i="14"/>
  <c r="Z87" i="15"/>
  <c r="AA87" i="15" s="1"/>
  <c r="AG87" i="15" s="1"/>
  <c r="AK94" i="14"/>
  <c r="Z95" i="15"/>
  <c r="AA95" i="15" s="1"/>
  <c r="AG95" i="15" s="1"/>
  <c r="AK102" i="14"/>
  <c r="Z103" i="15"/>
  <c r="AA103" i="15" s="1"/>
  <c r="AG103" i="15" s="1"/>
  <c r="AK110" i="14"/>
  <c r="Z111" i="15"/>
  <c r="AA111" i="15" s="1"/>
  <c r="AG111" i="15" s="1"/>
  <c r="AK126" i="14"/>
  <c r="Z130" i="15"/>
  <c r="AA130" i="15" s="1"/>
  <c r="AG130" i="15" s="1"/>
  <c r="AK158" i="14"/>
  <c r="Z164" i="15"/>
  <c r="AK198" i="14"/>
  <c r="Z205" i="15"/>
  <c r="AA205" i="15" s="1"/>
  <c r="AG205" i="15" s="1"/>
  <c r="S254" i="14"/>
  <c r="T254" i="14" s="1"/>
  <c r="AL254" i="14" s="1"/>
  <c r="Z10" i="14"/>
  <c r="AA10" i="14" s="1"/>
  <c r="AG10" i="14" s="1"/>
  <c r="AA34" i="14"/>
  <c r="AG34" i="14" s="1"/>
  <c r="Z154" i="14"/>
  <c r="AA154" i="14" s="1"/>
  <c r="AG154" i="14" s="1"/>
  <c r="Z186" i="14"/>
  <c r="AA186" i="14" s="1"/>
  <c r="AG186" i="14" s="1"/>
  <c r="Z218" i="14"/>
  <c r="AA218" i="14" s="1"/>
  <c r="AG218" i="14" s="1"/>
  <c r="Z250" i="14"/>
  <c r="AA250" i="14" s="1"/>
  <c r="AG250" i="14" s="1"/>
  <c r="U132" i="15"/>
  <c r="AI132" i="15"/>
  <c r="AJ132" i="15"/>
  <c r="U148" i="15"/>
  <c r="AI148" i="15"/>
  <c r="AJ148" i="15"/>
  <c r="U164" i="15"/>
  <c r="AI164" i="15"/>
  <c r="AJ164" i="15"/>
  <c r="U180" i="15"/>
  <c r="AI180" i="15"/>
  <c r="AJ180" i="15"/>
  <c r="Q180" i="15"/>
  <c r="AK180" i="15" s="1"/>
  <c r="U196" i="15"/>
  <c r="AI196" i="15"/>
  <c r="AJ196" i="15"/>
  <c r="Q196" i="15"/>
  <c r="AK196" i="15" s="1"/>
  <c r="Z208" i="15"/>
  <c r="AA208" i="15" s="1"/>
  <c r="AG208" i="15" s="1"/>
  <c r="Z224" i="15"/>
  <c r="AA224" i="15" s="1"/>
  <c r="AG224" i="15" s="1"/>
  <c r="Z240" i="15"/>
  <c r="AA240" i="15" s="1"/>
  <c r="AG240" i="15" s="1"/>
  <c r="Z256" i="15"/>
  <c r="AA256" i="15" s="1"/>
  <c r="AG256" i="15" s="1"/>
  <c r="Z219" i="15"/>
  <c r="AA219" i="15" s="1"/>
  <c r="AG219" i="15" s="1"/>
  <c r="Z251" i="15"/>
  <c r="AA251" i="15" s="1"/>
  <c r="AG251" i="15" s="1"/>
  <c r="S6" i="15"/>
  <c r="G28" i="3"/>
  <c r="G29" i="3"/>
  <c r="G10" i="3"/>
  <c r="B10" i="4"/>
  <c r="G56" i="3"/>
  <c r="G50" i="3"/>
  <c r="G27" i="3"/>
  <c r="G18" i="3"/>
  <c r="Z49" i="13"/>
  <c r="AA49" i="13" s="1"/>
  <c r="AG49" i="13" s="1"/>
  <c r="Z12" i="13"/>
  <c r="AA12" i="13" s="1"/>
  <c r="AG12" i="13" s="1"/>
  <c r="K121" i="13"/>
  <c r="AF65" i="13"/>
  <c r="K65" i="13"/>
  <c r="AJ70" i="13"/>
  <c r="AK139" i="13"/>
  <c r="Z151" i="14"/>
  <c r="AA151" i="14" s="1"/>
  <c r="AG151" i="14" s="1"/>
  <c r="AF156" i="13"/>
  <c r="K156" i="13"/>
  <c r="T205" i="13"/>
  <c r="AL205" i="13" s="1"/>
  <c r="AF150" i="13"/>
  <c r="K150" i="13"/>
  <c r="AI19" i="12"/>
  <c r="S19" i="12"/>
  <c r="U19" i="12"/>
  <c r="AJ19" i="12"/>
  <c r="Q19" i="12"/>
  <c r="AH19" i="12"/>
  <c r="AI35" i="12"/>
  <c r="S35" i="12"/>
  <c r="U35" i="12"/>
  <c r="Q35" i="12"/>
  <c r="AJ35" i="12"/>
  <c r="AH35" i="12"/>
  <c r="AJ51" i="12"/>
  <c r="AI51" i="12"/>
  <c r="S51" i="12"/>
  <c r="U51" i="12"/>
  <c r="Q51" i="12"/>
  <c r="AH51" i="12"/>
  <c r="AJ67" i="12"/>
  <c r="AI67" i="12"/>
  <c r="S67" i="12"/>
  <c r="U67" i="12"/>
  <c r="Q67" i="12"/>
  <c r="AH67" i="12"/>
  <c r="AJ83" i="12"/>
  <c r="AI83" i="12"/>
  <c r="S83" i="12"/>
  <c r="U83" i="12"/>
  <c r="Q83" i="12"/>
  <c r="AH83" i="12"/>
  <c r="AJ99" i="12"/>
  <c r="AI99" i="12"/>
  <c r="S99" i="12"/>
  <c r="U99" i="12"/>
  <c r="Q99" i="12"/>
  <c r="AH99" i="12"/>
  <c r="AJ115" i="12"/>
  <c r="AI115" i="12"/>
  <c r="S115" i="12"/>
  <c r="U115" i="12"/>
  <c r="Q115" i="12"/>
  <c r="AH115" i="12"/>
  <c r="AJ131" i="12"/>
  <c r="AI131" i="12"/>
  <c r="S131" i="12"/>
  <c r="U131" i="12"/>
  <c r="Q131" i="12"/>
  <c r="AH131" i="12"/>
  <c r="AJ146" i="12"/>
  <c r="AI146" i="12"/>
  <c r="S146" i="12"/>
  <c r="U146" i="12"/>
  <c r="Q146" i="12"/>
  <c r="AH146" i="12"/>
  <c r="AJ162" i="12"/>
  <c r="AI162" i="12"/>
  <c r="S162" i="12"/>
  <c r="U162" i="12"/>
  <c r="Q162" i="12"/>
  <c r="AH162" i="12"/>
  <c r="AJ178" i="12"/>
  <c r="AI178" i="12"/>
  <c r="S178" i="12"/>
  <c r="U178" i="12"/>
  <c r="Q178" i="12"/>
  <c r="AH178" i="12"/>
  <c r="AJ193" i="12"/>
  <c r="AI193" i="12"/>
  <c r="S193" i="12"/>
  <c r="U193" i="12"/>
  <c r="Q193" i="12"/>
  <c r="AH193" i="12"/>
  <c r="AJ209" i="12"/>
  <c r="AI209" i="12"/>
  <c r="S209" i="12"/>
  <c r="U209" i="12"/>
  <c r="Q209" i="12"/>
  <c r="AH209" i="12"/>
  <c r="AJ225" i="12"/>
  <c r="AI225" i="12"/>
  <c r="S225" i="12"/>
  <c r="U225" i="12"/>
  <c r="Q225" i="12"/>
  <c r="AH225" i="12"/>
  <c r="AF172" i="13"/>
  <c r="K172" i="13"/>
  <c r="AF147" i="13"/>
  <c r="K147" i="13"/>
  <c r="AJ25" i="13"/>
  <c r="AK204" i="13"/>
  <c r="Z223" i="14"/>
  <c r="AA223" i="14" s="1"/>
  <c r="AG223" i="14" s="1"/>
  <c r="AF30" i="14"/>
  <c r="K30" i="14"/>
  <c r="S13" i="13"/>
  <c r="AH13" i="13"/>
  <c r="AF134" i="13"/>
  <c r="K134" i="13"/>
  <c r="T141" i="13"/>
  <c r="AL141" i="13" s="1"/>
  <c r="T157" i="13"/>
  <c r="AL157" i="13" s="1"/>
  <c r="T173" i="13"/>
  <c r="AL173" i="13" s="1"/>
  <c r="AK179" i="13"/>
  <c r="Z197" i="14"/>
  <c r="AA197" i="14" s="1"/>
  <c r="AG197" i="14" s="1"/>
  <c r="AK181" i="13"/>
  <c r="Z199" i="14"/>
  <c r="AA199" i="14" s="1"/>
  <c r="AG199" i="14" s="1"/>
  <c r="S191" i="13"/>
  <c r="T191" i="13" s="1"/>
  <c r="AL191" i="13" s="1"/>
  <c r="AK198" i="13"/>
  <c r="Z217" i="14"/>
  <c r="AA217" i="14" s="1"/>
  <c r="AG217" i="14" s="1"/>
  <c r="Z210" i="13"/>
  <c r="AA210" i="13" s="1"/>
  <c r="AG210" i="13" s="1"/>
  <c r="U223" i="13"/>
  <c r="Z209" i="15"/>
  <c r="AA209" i="15" s="1"/>
  <c r="AG209" i="15" s="1"/>
  <c r="U76" i="14"/>
  <c r="AF12" i="14"/>
  <c r="K12" i="14"/>
  <c r="U62" i="14"/>
  <c r="S16" i="13"/>
  <c r="Q17" i="13"/>
  <c r="AI17" i="13"/>
  <c r="Q20" i="13"/>
  <c r="S21" i="13"/>
  <c r="R22" i="13"/>
  <c r="S23" i="13"/>
  <c r="S25" i="13"/>
  <c r="S28" i="13"/>
  <c r="R30" i="13"/>
  <c r="S32" i="13"/>
  <c r="R34" i="13"/>
  <c r="S36" i="13"/>
  <c r="Q39" i="13"/>
  <c r="S40" i="13"/>
  <c r="AH42" i="13"/>
  <c r="S43" i="13"/>
  <c r="Q44" i="13"/>
  <c r="AH44" i="13"/>
  <c r="R45" i="13"/>
  <c r="S47" i="13"/>
  <c r="AK48" i="13"/>
  <c r="Z51" i="14"/>
  <c r="AA51" i="14" s="1"/>
  <c r="AG51" i="14" s="1"/>
  <c r="R49" i="13"/>
  <c r="AH50" i="13"/>
  <c r="S51" i="13"/>
  <c r="Q52" i="13"/>
  <c r="AI52" i="13"/>
  <c r="Q55" i="13"/>
  <c r="S56" i="13"/>
  <c r="S59" i="13"/>
  <c r="Q60" i="13"/>
  <c r="AH60" i="13"/>
  <c r="R61" i="13"/>
  <c r="S63" i="13"/>
  <c r="Q64" i="13"/>
  <c r="AA64" i="13" s="1"/>
  <c r="AG64" i="13" s="1"/>
  <c r="AI64" i="13"/>
  <c r="Q67" i="13"/>
  <c r="S68" i="13"/>
  <c r="AH70" i="13"/>
  <c r="S71" i="13"/>
  <c r="R73" i="13"/>
  <c r="S75" i="13"/>
  <c r="Q76" i="13"/>
  <c r="AH76" i="13"/>
  <c r="AI79" i="13"/>
  <c r="Q80" i="13"/>
  <c r="S82" i="13"/>
  <c r="S83" i="13"/>
  <c r="AI84" i="13"/>
  <c r="AH84" i="13"/>
  <c r="R85" i="13"/>
  <c r="S87" i="13"/>
  <c r="AI90" i="13"/>
  <c r="S91" i="13"/>
  <c r="AK92" i="13"/>
  <c r="Z99" i="14"/>
  <c r="AA99" i="14" s="1"/>
  <c r="AG99" i="14" s="1"/>
  <c r="R93" i="13"/>
  <c r="S95" i="13"/>
  <c r="AK96" i="13"/>
  <c r="Z103" i="14"/>
  <c r="AA103" i="14" s="1"/>
  <c r="AG103" i="14" s="1"/>
  <c r="R97" i="13"/>
  <c r="S99" i="13"/>
  <c r="AK100" i="13"/>
  <c r="Z107" i="14"/>
  <c r="AA107" i="14" s="1"/>
  <c r="AG107" i="14" s="1"/>
  <c r="R101" i="13"/>
  <c r="S103" i="13"/>
  <c r="AK104" i="13"/>
  <c r="Z111" i="14"/>
  <c r="AA111" i="14" s="1"/>
  <c r="AG111" i="14" s="1"/>
  <c r="R105" i="13"/>
  <c r="S107" i="13"/>
  <c r="R109" i="13"/>
  <c r="S111" i="13"/>
  <c r="R113" i="13"/>
  <c r="S115" i="13"/>
  <c r="R117" i="13"/>
  <c r="S119" i="13"/>
  <c r="Q123" i="13"/>
  <c r="AH124" i="13"/>
  <c r="AH126" i="13"/>
  <c r="S127" i="13"/>
  <c r="AF7" i="14"/>
  <c r="K7" i="14"/>
  <c r="AF18" i="15"/>
  <c r="K18" i="15"/>
  <c r="AF81" i="15"/>
  <c r="K81" i="15"/>
  <c r="AK51" i="14"/>
  <c r="Z52" i="15"/>
  <c r="AA52" i="15" s="1"/>
  <c r="AG52" i="15" s="1"/>
  <c r="AK99" i="14"/>
  <c r="Z100" i="15"/>
  <c r="AA100" i="15" s="1"/>
  <c r="AG100" i="15" s="1"/>
  <c r="AK115" i="14"/>
  <c r="Z118" i="15"/>
  <c r="AA118" i="15" s="1"/>
  <c r="AG118" i="15" s="1"/>
  <c r="AK147" i="14"/>
  <c r="Z152" i="15"/>
  <c r="AF21" i="15"/>
  <c r="K21" i="15"/>
  <c r="AF52" i="15"/>
  <c r="K52" i="15"/>
  <c r="AF84" i="15"/>
  <c r="K84" i="15"/>
  <c r="T51" i="15"/>
  <c r="AL51" i="15" s="1"/>
  <c r="T83" i="15"/>
  <c r="AL83" i="15" s="1"/>
  <c r="U26" i="14"/>
  <c r="AF31" i="15"/>
  <c r="K31" i="15"/>
  <c r="AF62" i="15"/>
  <c r="K62" i="15"/>
  <c r="AF94" i="15"/>
  <c r="K94" i="15"/>
  <c r="AA131" i="15"/>
  <c r="AG131" i="15" s="1"/>
  <c r="Z139" i="15"/>
  <c r="AA139" i="15" s="1"/>
  <c r="AG139" i="15" s="1"/>
  <c r="Z147" i="15"/>
  <c r="AA147" i="15" s="1"/>
  <c r="AG147" i="15" s="1"/>
  <c r="Z155" i="15"/>
  <c r="AA155" i="15" s="1"/>
  <c r="AG155" i="15" s="1"/>
  <c r="Z163" i="15"/>
  <c r="AA163" i="15" s="1"/>
  <c r="AG163" i="15" s="1"/>
  <c r="Z179" i="15"/>
  <c r="AA179" i="15" s="1"/>
  <c r="AG179" i="15" s="1"/>
  <c r="Z187" i="15"/>
  <c r="AA187" i="15" s="1"/>
  <c r="AG187" i="15" s="1"/>
  <c r="Z195" i="15"/>
  <c r="AA195" i="15" s="1"/>
  <c r="AG195" i="15" s="1"/>
  <c r="Z203" i="15"/>
  <c r="AA203" i="15" s="1"/>
  <c r="AG203" i="15" s="1"/>
  <c r="AF7" i="15"/>
  <c r="K7" i="15"/>
  <c r="Z213" i="15"/>
  <c r="AA213" i="15" s="1"/>
  <c r="AG213" i="15" s="1"/>
  <c r="Z245" i="15"/>
  <c r="AA245" i="15" s="1"/>
  <c r="AG245" i="15" s="1"/>
  <c r="Q144" i="15"/>
  <c r="AK144" i="15" s="1"/>
  <c r="Q160" i="15"/>
  <c r="AK160" i="15" s="1"/>
  <c r="Q176" i="15"/>
  <c r="AK176" i="15" s="1"/>
  <c r="R217" i="15"/>
  <c r="R233" i="15"/>
  <c r="R249" i="15"/>
  <c r="R265" i="15"/>
  <c r="Z228" i="13"/>
  <c r="AA228" i="13" s="1"/>
  <c r="AG228" i="13" s="1"/>
  <c r="AK230" i="12"/>
  <c r="AA133" i="13"/>
  <c r="AG133" i="13" s="1"/>
  <c r="AA165" i="13"/>
  <c r="AG165" i="13" s="1"/>
  <c r="AA208" i="13"/>
  <c r="AG208" i="13" s="1"/>
  <c r="AA186" i="13"/>
  <c r="AG186" i="13" s="1"/>
  <c r="U228" i="13"/>
  <c r="AA173" i="14"/>
  <c r="AG173" i="14" s="1"/>
  <c r="U171" i="13"/>
  <c r="Z10" i="15"/>
  <c r="AA10" i="15" s="1"/>
  <c r="AG10" i="15" s="1"/>
  <c r="AF45" i="15"/>
  <c r="K45" i="15"/>
  <c r="Z73" i="15"/>
  <c r="AA73" i="15" s="1"/>
  <c r="AG73" i="15" s="1"/>
  <c r="AF12" i="15"/>
  <c r="K12" i="15"/>
  <c r="AA116" i="14"/>
  <c r="AG116" i="14" s="1"/>
  <c r="AA236" i="14"/>
  <c r="AG236" i="14" s="1"/>
  <c r="AA252" i="14"/>
  <c r="AG252" i="14" s="1"/>
  <c r="Z137" i="15"/>
  <c r="AA137" i="15" s="1"/>
  <c r="AG137" i="15" s="1"/>
  <c r="Z153" i="15"/>
  <c r="AA153" i="15" s="1"/>
  <c r="AG153" i="15" s="1"/>
  <c r="T118" i="15"/>
  <c r="AL118" i="15" s="1"/>
  <c r="AF147" i="15"/>
  <c r="K147" i="15"/>
  <c r="AF155" i="15"/>
  <c r="K155" i="15"/>
  <c r="AF166" i="15"/>
  <c r="K166" i="15"/>
  <c r="U129" i="15"/>
  <c r="AF198" i="15"/>
  <c r="K198" i="15"/>
  <c r="T12" i="12"/>
  <c r="AL12" i="12" s="1"/>
  <c r="AF226" i="12"/>
  <c r="K226" i="12"/>
  <c r="S232" i="13"/>
  <c r="T232" i="13" s="1"/>
  <c r="AL232" i="13" s="1"/>
  <c r="U213" i="13"/>
  <c r="U175" i="13"/>
  <c r="U210" i="13"/>
  <c r="S210" i="13"/>
  <c r="T210" i="13" s="1"/>
  <c r="AL210" i="13" s="1"/>
  <c r="U82" i="14"/>
  <c r="AA132" i="14"/>
  <c r="AG132" i="14" s="1"/>
  <c r="AA160" i="14"/>
  <c r="AG160" i="14" s="1"/>
  <c r="AF54" i="15"/>
  <c r="K54" i="15"/>
  <c r="Z119" i="15"/>
  <c r="AA119" i="15" s="1"/>
  <c r="AG119" i="15" s="1"/>
  <c r="Z173" i="15"/>
  <c r="AA173" i="15" s="1"/>
  <c r="AG173" i="15" s="1"/>
  <c r="Z189" i="15"/>
  <c r="AA189" i="15" s="1"/>
  <c r="AG189" i="15" s="1"/>
  <c r="U227" i="15"/>
  <c r="U173" i="15"/>
  <c r="AF118" i="12"/>
  <c r="K118" i="12"/>
  <c r="AF134" i="12"/>
  <c r="K134" i="12"/>
  <c r="AF149" i="12"/>
  <c r="K149" i="12"/>
  <c r="AF165" i="12"/>
  <c r="K165" i="12"/>
  <c r="AA201" i="13"/>
  <c r="AG201" i="13" s="1"/>
  <c r="AA185" i="13"/>
  <c r="AG185" i="13" s="1"/>
  <c r="AA183" i="14"/>
  <c r="AG183" i="14" s="1"/>
  <c r="AA239" i="13"/>
  <c r="AG239" i="13" s="1"/>
  <c r="AD113" i="15"/>
  <c r="AF76" i="15"/>
  <c r="K76" i="15"/>
  <c r="Z64" i="14"/>
  <c r="AA64" i="14" s="1"/>
  <c r="AG64" i="14" s="1"/>
  <c r="AA188" i="14"/>
  <c r="AG188" i="14" s="1"/>
  <c r="Z232" i="14"/>
  <c r="AA232" i="14" s="1"/>
  <c r="AG232" i="14" s="1"/>
  <c r="U235" i="15"/>
  <c r="U267" i="15"/>
  <c r="J35" i="3"/>
  <c r="T126" i="15"/>
  <c r="AL126" i="15" s="1"/>
  <c r="AF170" i="15"/>
  <c r="K170" i="15"/>
  <c r="U181" i="15"/>
  <c r="U197" i="15"/>
  <c r="T20" i="12"/>
  <c r="AL20" i="12" s="1"/>
  <c r="AF224" i="12"/>
  <c r="K224" i="12"/>
  <c r="T4" i="12"/>
  <c r="AL4" i="12" s="1"/>
  <c r="AF209" i="13"/>
  <c r="K209" i="13"/>
  <c r="AF220" i="13"/>
  <c r="K220" i="13"/>
  <c r="S233" i="13"/>
  <c r="T233" i="13" s="1"/>
  <c r="AL233" i="13" s="1"/>
  <c r="AK221" i="13"/>
  <c r="Z241" i="14"/>
  <c r="AA241" i="14" s="1"/>
  <c r="AG241" i="14" s="1"/>
  <c r="Z89" i="15"/>
  <c r="AA89" i="15" s="1"/>
  <c r="AG89" i="15" s="1"/>
  <c r="AF29" i="15"/>
  <c r="K29" i="15"/>
  <c r="Z51" i="15"/>
  <c r="AA51" i="15" s="1"/>
  <c r="AG51" i="15" s="1"/>
  <c r="AA24" i="14"/>
  <c r="AG24" i="14" s="1"/>
  <c r="U58" i="14"/>
  <c r="Z108" i="14"/>
  <c r="AA108" i="14" s="1"/>
  <c r="AG108" i="14" s="1"/>
  <c r="Z128" i="14"/>
  <c r="AA128" i="14" s="1"/>
  <c r="AG128" i="14" s="1"/>
  <c r="AA168" i="14"/>
  <c r="AG168" i="14" s="1"/>
  <c r="Z196" i="14"/>
  <c r="AA196" i="14" s="1"/>
  <c r="AG196" i="14" s="1"/>
  <c r="Z260" i="14"/>
  <c r="AA260" i="14" s="1"/>
  <c r="AG260" i="14" s="1"/>
  <c r="Z129" i="15"/>
  <c r="AA129" i="15" s="1"/>
  <c r="AG129" i="15" s="1"/>
  <c r="U137" i="15"/>
  <c r="U169" i="15"/>
  <c r="AF190" i="15"/>
  <c r="K190" i="15"/>
  <c r="AF182" i="13"/>
  <c r="K182" i="13"/>
  <c r="AF217" i="15"/>
  <c r="K217" i="15"/>
  <c r="AF226" i="15"/>
  <c r="K226" i="15"/>
  <c r="R228" i="15"/>
  <c r="U228" i="15"/>
  <c r="S228" i="15"/>
  <c r="R79" i="14"/>
  <c r="T79" i="14" s="1"/>
  <c r="AL79" i="14" s="1"/>
  <c r="U79" i="14"/>
  <c r="AF21" i="13"/>
  <c r="K21" i="13"/>
  <c r="AF84" i="14"/>
  <c r="K84" i="14"/>
  <c r="AK49" i="14"/>
  <c r="Z50" i="15"/>
  <c r="AA50" i="15" s="1"/>
  <c r="AG50" i="15" s="1"/>
  <c r="AK61" i="14"/>
  <c r="Z62" i="15"/>
  <c r="AA62" i="15" s="1"/>
  <c r="AG62" i="15" s="1"/>
  <c r="AK81" i="14"/>
  <c r="Z81" i="15"/>
  <c r="AA81" i="15" s="1"/>
  <c r="AG81" i="15" s="1"/>
  <c r="AK97" i="14"/>
  <c r="Z98" i="15"/>
  <c r="AA98" i="15" s="1"/>
  <c r="AG98" i="15" s="1"/>
  <c r="AK145" i="14"/>
  <c r="Z150" i="15"/>
  <c r="AA150" i="15" s="1"/>
  <c r="AG150" i="15" s="1"/>
  <c r="AK177" i="14"/>
  <c r="Z184" i="15"/>
  <c r="AK193" i="14"/>
  <c r="Z200" i="15"/>
  <c r="T28" i="15"/>
  <c r="AL28" i="15" s="1"/>
  <c r="T15" i="15"/>
  <c r="AL15" i="15" s="1"/>
  <c r="T78" i="15"/>
  <c r="AL78" i="15" s="1"/>
  <c r="AF43" i="13"/>
  <c r="K43" i="13"/>
  <c r="AF75" i="13"/>
  <c r="K75" i="13"/>
  <c r="AF93" i="13"/>
  <c r="K93" i="13"/>
  <c r="AF109" i="13"/>
  <c r="K109" i="13"/>
  <c r="AF34" i="13"/>
  <c r="K34" i="13"/>
  <c r="AF73" i="13"/>
  <c r="K73" i="13"/>
  <c r="AF22" i="13"/>
  <c r="K22" i="13"/>
  <c r="AF103" i="13"/>
  <c r="K103" i="13"/>
  <c r="AF119" i="13"/>
  <c r="K119" i="13"/>
  <c r="D6" i="4"/>
  <c r="C54" i="3"/>
  <c r="C29" i="3"/>
  <c r="C25" i="3"/>
  <c r="C23" i="3"/>
  <c r="C20" i="3"/>
  <c r="C18" i="3"/>
  <c r="C16" i="3"/>
  <c r="C14" i="3"/>
  <c r="C13" i="3"/>
  <c r="C11" i="3"/>
  <c r="F6" i="4"/>
  <c r="B6" i="4"/>
  <c r="C57" i="3"/>
  <c r="C56" i="3"/>
  <c r="C51" i="3"/>
  <c r="C50" i="3"/>
  <c r="C49" i="3"/>
  <c r="C48" i="3"/>
  <c r="C47" i="3"/>
  <c r="C27" i="3"/>
  <c r="C55" i="3"/>
  <c r="C6" i="4"/>
  <c r="C53" i="3"/>
  <c r="C24" i="3"/>
  <c r="C21" i="3"/>
  <c r="C19" i="3"/>
  <c r="C17" i="3"/>
  <c r="C15" i="3"/>
  <c r="C12" i="3"/>
  <c r="C10" i="3"/>
  <c r="E6" i="4"/>
  <c r="C28" i="3"/>
  <c r="H30" i="3"/>
  <c r="AK76" i="12"/>
  <c r="Z155" i="13"/>
  <c r="AA155" i="13" s="1"/>
  <c r="AG155" i="13" s="1"/>
  <c r="AA52" i="13"/>
  <c r="AG52" i="13" s="1"/>
  <c r="AF123" i="13"/>
  <c r="K123" i="13"/>
  <c r="AF67" i="13"/>
  <c r="K67" i="13"/>
  <c r="AF39" i="13"/>
  <c r="K39" i="13"/>
  <c r="AF76" i="13"/>
  <c r="K76" i="13"/>
  <c r="AF52" i="13"/>
  <c r="K52" i="13"/>
  <c r="AF74" i="13"/>
  <c r="K74" i="13"/>
  <c r="AF25" i="13"/>
  <c r="K25" i="13"/>
  <c r="AJ57" i="13"/>
  <c r="AF160" i="13"/>
  <c r="K160" i="13"/>
  <c r="AF194" i="13"/>
  <c r="K194" i="13"/>
  <c r="AF192" i="13"/>
  <c r="K192" i="13"/>
  <c r="AJ60" i="13"/>
  <c r="AF206" i="13"/>
  <c r="K206" i="13"/>
  <c r="AK227" i="13"/>
  <c r="Z247" i="14"/>
  <c r="AA247" i="14" s="1"/>
  <c r="AG247" i="14" s="1"/>
  <c r="R2" i="12"/>
  <c r="S11" i="13"/>
  <c r="AH11" i="13"/>
  <c r="T153" i="13"/>
  <c r="AL153" i="13" s="1"/>
  <c r="T169" i="13"/>
  <c r="AL169" i="13" s="1"/>
  <c r="AK175" i="13"/>
  <c r="Z191" i="14"/>
  <c r="AA191" i="14" s="1"/>
  <c r="AG191" i="14" s="1"/>
  <c r="AK194" i="13"/>
  <c r="Z213" i="14"/>
  <c r="AA213" i="14" s="1"/>
  <c r="AG213" i="14" s="1"/>
  <c r="U260" i="14"/>
  <c r="AF244" i="14"/>
  <c r="K244" i="14"/>
  <c r="AF228" i="14"/>
  <c r="K228" i="14"/>
  <c r="AF212" i="14"/>
  <c r="K212" i="14"/>
  <c r="AF196" i="14"/>
  <c r="K196" i="14"/>
  <c r="AF180" i="14"/>
  <c r="K180" i="14"/>
  <c r="AF164" i="14"/>
  <c r="K164" i="14"/>
  <c r="AF148" i="14"/>
  <c r="K148" i="14"/>
  <c r="AF132" i="14"/>
  <c r="K132" i="14"/>
  <c r="AF116" i="14"/>
  <c r="K116" i="14"/>
  <c r="AF100" i="14"/>
  <c r="K100" i="14"/>
  <c r="AF80" i="14"/>
  <c r="K80" i="14"/>
  <c r="AF16" i="14"/>
  <c r="K16" i="14"/>
  <c r="Z180" i="13"/>
  <c r="AA180" i="13" s="1"/>
  <c r="AG180" i="13" s="1"/>
  <c r="AK10" i="14"/>
  <c r="Z11" i="15"/>
  <c r="AA11" i="15" s="1"/>
  <c r="AG11" i="15" s="1"/>
  <c r="AK18" i="14"/>
  <c r="Z19" i="15"/>
  <c r="AA19" i="15" s="1"/>
  <c r="AG19" i="15" s="1"/>
  <c r="S22" i="14"/>
  <c r="AK26" i="14"/>
  <c r="Z27" i="15"/>
  <c r="AA27" i="15" s="1"/>
  <c r="AG27" i="15" s="1"/>
  <c r="S42" i="14"/>
  <c r="T42" i="14" s="1"/>
  <c r="AL42" i="14" s="1"/>
  <c r="S58" i="14"/>
  <c r="T58" i="14" s="1"/>
  <c r="AL58" i="14" s="1"/>
  <c r="S78" i="14"/>
  <c r="T78" i="14" s="1"/>
  <c r="AL78" i="14" s="1"/>
  <c r="T86" i="14"/>
  <c r="AL86" i="14" s="1"/>
  <c r="T94" i="14"/>
  <c r="AL94" i="14" s="1"/>
  <c r="T102" i="14"/>
  <c r="AL102" i="14" s="1"/>
  <c r="T110" i="14"/>
  <c r="AL110" i="14" s="1"/>
  <c r="T118" i="14"/>
  <c r="AL118" i="14" s="1"/>
  <c r="T126" i="14"/>
  <c r="AL126" i="14" s="1"/>
  <c r="T134" i="14"/>
  <c r="AL134" i="14" s="1"/>
  <c r="T142" i="14"/>
  <c r="AL142" i="14" s="1"/>
  <c r="T150" i="14"/>
  <c r="AL150" i="14" s="1"/>
  <c r="T158" i="14"/>
  <c r="AL158" i="14" s="1"/>
  <c r="T166" i="14"/>
  <c r="AL166" i="14" s="1"/>
  <c r="T174" i="14"/>
  <c r="AL174" i="14" s="1"/>
  <c r="T182" i="14"/>
  <c r="AL182" i="14" s="1"/>
  <c r="T16" i="15"/>
  <c r="AL16" i="15" s="1"/>
  <c r="T47" i="15"/>
  <c r="AL47" i="15" s="1"/>
  <c r="AA75" i="15"/>
  <c r="AG75" i="15" s="1"/>
  <c r="AA91" i="15"/>
  <c r="AG91" i="15" s="1"/>
  <c r="AA107" i="15"/>
  <c r="AG107" i="15" s="1"/>
  <c r="AA94" i="14"/>
  <c r="AG94" i="14" s="1"/>
  <c r="AA110" i="14"/>
  <c r="AG110" i="14" s="1"/>
  <c r="AA126" i="14"/>
  <c r="AG126" i="14" s="1"/>
  <c r="Z158" i="14"/>
  <c r="AA158" i="14" s="1"/>
  <c r="AG158" i="14" s="1"/>
  <c r="Z190" i="14"/>
  <c r="AA190" i="14" s="1"/>
  <c r="AG190" i="14" s="1"/>
  <c r="Z238" i="14"/>
  <c r="AA238" i="14" s="1"/>
  <c r="AG238" i="14" s="1"/>
  <c r="U120" i="15"/>
  <c r="AI120" i="15"/>
  <c r="AJ120" i="15"/>
  <c r="U136" i="15"/>
  <c r="AI136" i="15"/>
  <c r="AJ136" i="15"/>
  <c r="U152" i="15"/>
  <c r="AI152" i="15"/>
  <c r="AJ152" i="15"/>
  <c r="U168" i="15"/>
  <c r="AI168" i="15"/>
  <c r="AJ168" i="15"/>
  <c r="U184" i="15"/>
  <c r="AI184" i="15"/>
  <c r="AJ184" i="15"/>
  <c r="Q184" i="15"/>
  <c r="AK184" i="15" s="1"/>
  <c r="U200" i="15"/>
  <c r="AI200" i="15"/>
  <c r="AJ200" i="15"/>
  <c r="Q200" i="15"/>
  <c r="AK200" i="15" s="1"/>
  <c r="T128" i="15"/>
  <c r="AL128" i="15" s="1"/>
  <c r="T144" i="15"/>
  <c r="AL144" i="15" s="1"/>
  <c r="T160" i="15"/>
  <c r="AL160" i="15" s="1"/>
  <c r="T176" i="15"/>
  <c r="AL176" i="15" s="1"/>
  <c r="Z227" i="15"/>
  <c r="AA227" i="15" s="1"/>
  <c r="AG227" i="15" s="1"/>
  <c r="Z259" i="15"/>
  <c r="AA259" i="15" s="1"/>
  <c r="AG259" i="15" s="1"/>
  <c r="AF206" i="15"/>
  <c r="K206" i="15"/>
  <c r="R208" i="15"/>
  <c r="S208" i="15"/>
  <c r="AF222" i="15"/>
  <c r="K222" i="15"/>
  <c r="R224" i="15"/>
  <c r="S224" i="15"/>
  <c r="AF238" i="15"/>
  <c r="K238" i="15"/>
  <c r="R240" i="15"/>
  <c r="S240" i="15"/>
  <c r="AF254" i="15"/>
  <c r="K254" i="15"/>
  <c r="R256" i="15"/>
  <c r="S256" i="15"/>
  <c r="J32" i="3"/>
  <c r="Z33" i="13"/>
  <c r="AA33" i="13" s="1"/>
  <c r="AG33" i="13" s="1"/>
  <c r="Z87" i="13"/>
  <c r="AA87" i="13" s="1"/>
  <c r="AG87" i="13" s="1"/>
  <c r="AF79" i="13"/>
  <c r="K79" i="13"/>
  <c r="AF38" i="13"/>
  <c r="K38" i="13"/>
  <c r="AF144" i="13"/>
  <c r="K144" i="13"/>
  <c r="AJ23" i="13"/>
  <c r="AF124" i="13"/>
  <c r="K124" i="13"/>
  <c r="AJ26" i="13"/>
  <c r="AK162" i="13"/>
  <c r="Z177" i="14"/>
  <c r="AA177" i="14" s="1"/>
  <c r="AG177" i="14" s="1"/>
  <c r="AA3" i="14"/>
  <c r="AG3" i="14" s="1"/>
  <c r="AD65" i="14"/>
  <c r="AD24" i="14"/>
  <c r="AF166" i="13"/>
  <c r="K166" i="13"/>
  <c r="T224" i="13"/>
  <c r="AL224" i="13" s="1"/>
  <c r="H32" i="3"/>
  <c r="H33" i="3"/>
  <c r="AK212" i="13"/>
  <c r="Z231" i="14"/>
  <c r="AA231" i="14" s="1"/>
  <c r="AG231" i="14" s="1"/>
  <c r="Z261" i="14"/>
  <c r="AA261" i="14" s="1"/>
  <c r="AG261" i="14" s="1"/>
  <c r="AK236" i="13"/>
  <c r="Z257" i="14"/>
  <c r="AA257" i="14" s="1"/>
  <c r="AG257" i="14" s="1"/>
  <c r="AK235" i="13"/>
  <c r="AF34" i="14"/>
  <c r="K34" i="14"/>
  <c r="AI13" i="13"/>
  <c r="AD130" i="13"/>
  <c r="AK133" i="13"/>
  <c r="Z145" i="14"/>
  <c r="AA145" i="14" s="1"/>
  <c r="AG145" i="14" s="1"/>
  <c r="T142" i="13"/>
  <c r="AL142" i="13" s="1"/>
  <c r="T174" i="13"/>
  <c r="AL174" i="13" s="1"/>
  <c r="Z226" i="13"/>
  <c r="AA226" i="13" s="1"/>
  <c r="AG226" i="13" s="1"/>
  <c r="I33" i="3"/>
  <c r="I32" i="3"/>
  <c r="AF60" i="14"/>
  <c r="K60" i="14"/>
  <c r="AF74" i="14"/>
  <c r="K74" i="14"/>
  <c r="AF85" i="14"/>
  <c r="K85" i="14"/>
  <c r="AI14" i="13"/>
  <c r="AH14" i="13"/>
  <c r="AK18" i="13"/>
  <c r="Z19" i="14"/>
  <c r="AA19" i="14" s="1"/>
  <c r="AG19" i="14" s="1"/>
  <c r="S20" i="13"/>
  <c r="T20" i="13" s="1"/>
  <c r="AL20" i="13" s="1"/>
  <c r="AH21" i="13"/>
  <c r="S22" i="13"/>
  <c r="T22" i="13" s="1"/>
  <c r="AL22" i="13" s="1"/>
  <c r="AH23" i="13"/>
  <c r="S24" i="13"/>
  <c r="AH25" i="13"/>
  <c r="S26" i="13"/>
  <c r="AH26" i="13"/>
  <c r="AK29" i="13"/>
  <c r="Z31" i="14"/>
  <c r="AA31" i="14" s="1"/>
  <c r="AG31" i="14" s="1"/>
  <c r="S30" i="13"/>
  <c r="T30" i="13" s="1"/>
  <c r="AL30" i="13" s="1"/>
  <c r="S34" i="13"/>
  <c r="T34" i="13" s="1"/>
  <c r="AL34" i="13" s="1"/>
  <c r="AI36" i="13"/>
  <c r="S38" i="13"/>
  <c r="S39" i="13"/>
  <c r="T39" i="13" s="1"/>
  <c r="AL39" i="13" s="1"/>
  <c r="AH40" i="13"/>
  <c r="S41" i="13"/>
  <c r="AH41" i="13"/>
  <c r="AI42" i="13"/>
  <c r="S45" i="13"/>
  <c r="T45" i="13" s="1"/>
  <c r="AL45" i="13" s="1"/>
  <c r="S49" i="13"/>
  <c r="T49" i="13" s="1"/>
  <c r="AL49" i="13" s="1"/>
  <c r="AI50" i="13"/>
  <c r="AI51" i="13"/>
  <c r="AH56" i="13"/>
  <c r="S57" i="13"/>
  <c r="AH57" i="13"/>
  <c r="AI60" i="13"/>
  <c r="S61" i="13"/>
  <c r="T61" i="13" s="1"/>
  <c r="AL61" i="13" s="1"/>
  <c r="AI63" i="13"/>
  <c r="Q65" i="13"/>
  <c r="AH65" i="13"/>
  <c r="S66" i="13"/>
  <c r="S67" i="13"/>
  <c r="T67" i="13" s="1"/>
  <c r="AL67" i="13" s="1"/>
  <c r="AH68" i="13"/>
  <c r="S69" i="13"/>
  <c r="AH69" i="13"/>
  <c r="AI74" i="13"/>
  <c r="AI76" i="13"/>
  <c r="AI77" i="13"/>
  <c r="AH77" i="13"/>
  <c r="Q79" i="13"/>
  <c r="S80" i="13"/>
  <c r="T80" i="13" s="1"/>
  <c r="AL80" i="13" s="1"/>
  <c r="Q81" i="13"/>
  <c r="AH81" i="13"/>
  <c r="AH82" i="13"/>
  <c r="AI83" i="13"/>
  <c r="Q84" i="13"/>
  <c r="AA84" i="13" s="1"/>
  <c r="AG84" i="13" s="1"/>
  <c r="S85" i="13"/>
  <c r="T85" i="13" s="1"/>
  <c r="AL85" i="13" s="1"/>
  <c r="AK88" i="13"/>
  <c r="Z95" i="14"/>
  <c r="AA95" i="14" s="1"/>
  <c r="AG95" i="14" s="1"/>
  <c r="AI89" i="13"/>
  <c r="AH89" i="13"/>
  <c r="Q90" i="13"/>
  <c r="AK94" i="13"/>
  <c r="Z101" i="14"/>
  <c r="AA101" i="14" s="1"/>
  <c r="AG101" i="14" s="1"/>
  <c r="AK98" i="13"/>
  <c r="Z105" i="14"/>
  <c r="AA105" i="14" s="1"/>
  <c r="AG105" i="14" s="1"/>
  <c r="AK102" i="13"/>
  <c r="Z109" i="14"/>
  <c r="AA109" i="14" s="1"/>
  <c r="AG109" i="14" s="1"/>
  <c r="AK106" i="13"/>
  <c r="Z113" i="14"/>
  <c r="AA113" i="14" s="1"/>
  <c r="AG113" i="14" s="1"/>
  <c r="Q121" i="13"/>
  <c r="AH121" i="13"/>
  <c r="S123" i="13"/>
  <c r="T123" i="13" s="1"/>
  <c r="AL123" i="13" s="1"/>
  <c r="S124" i="13"/>
  <c r="S125" i="13"/>
  <c r="AH125" i="13"/>
  <c r="AI126" i="13"/>
  <c r="R129" i="13"/>
  <c r="AF34" i="15"/>
  <c r="K34" i="15"/>
  <c r="AF97" i="15"/>
  <c r="K97" i="15"/>
  <c r="S19" i="14"/>
  <c r="T19" i="14" s="1"/>
  <c r="AL19" i="14" s="1"/>
  <c r="AK23" i="14"/>
  <c r="Z24" i="15"/>
  <c r="AA24" i="15" s="1"/>
  <c r="AG24" i="15" s="1"/>
  <c r="AK39" i="14"/>
  <c r="Z40" i="15"/>
  <c r="AA40" i="15" s="1"/>
  <c r="AG40" i="15" s="1"/>
  <c r="AK55" i="14"/>
  <c r="Z56" i="15"/>
  <c r="AA56" i="15" s="1"/>
  <c r="AG56" i="15" s="1"/>
  <c r="AK71" i="14"/>
  <c r="Z71" i="15"/>
  <c r="AA71" i="15" s="1"/>
  <c r="AG71" i="15" s="1"/>
  <c r="AK87" i="14"/>
  <c r="Z88" i="15"/>
  <c r="AA88" i="15" s="1"/>
  <c r="AG88" i="15" s="1"/>
  <c r="AK103" i="14"/>
  <c r="Z104" i="15"/>
  <c r="AA104" i="15" s="1"/>
  <c r="AG104" i="15" s="1"/>
  <c r="AK119" i="14"/>
  <c r="Z122" i="15"/>
  <c r="AA122" i="15" s="1"/>
  <c r="AG122" i="15" s="1"/>
  <c r="AK135" i="14"/>
  <c r="Z140" i="15"/>
  <c r="AK151" i="14"/>
  <c r="Z156" i="15"/>
  <c r="AK167" i="14"/>
  <c r="Z174" i="15"/>
  <c r="AA174" i="15" s="1"/>
  <c r="AG174" i="15" s="1"/>
  <c r="AK175" i="14"/>
  <c r="Z182" i="15"/>
  <c r="AA182" i="15" s="1"/>
  <c r="AG182" i="15" s="1"/>
  <c r="AK183" i="14"/>
  <c r="Z190" i="15"/>
  <c r="AA190" i="15" s="1"/>
  <c r="AG190" i="15" s="1"/>
  <c r="AK191" i="14"/>
  <c r="Z198" i="15"/>
  <c r="AA198" i="15" s="1"/>
  <c r="AG198" i="15" s="1"/>
  <c r="S255" i="14"/>
  <c r="T255" i="14" s="1"/>
  <c r="AL255" i="14" s="1"/>
  <c r="Z269" i="15"/>
  <c r="AA269" i="15" s="1"/>
  <c r="AG269" i="15" s="1"/>
  <c r="T36" i="15"/>
  <c r="AL36" i="15" s="1"/>
  <c r="T99" i="15"/>
  <c r="AL99" i="15" s="1"/>
  <c r="U10" i="14"/>
  <c r="Z251" i="14"/>
  <c r="AA251" i="14" s="1"/>
  <c r="AG251" i="14" s="1"/>
  <c r="Z266" i="15"/>
  <c r="AA266" i="15" s="1"/>
  <c r="AG266" i="15" s="1"/>
  <c r="S217" i="15"/>
  <c r="T217" i="15" s="1"/>
  <c r="AL217" i="15" s="1"/>
  <c r="S225" i="15"/>
  <c r="S233" i="15"/>
  <c r="T233" i="15" s="1"/>
  <c r="AL233" i="15" s="1"/>
  <c r="S241" i="15"/>
  <c r="S249" i="15"/>
  <c r="T249" i="15" s="1"/>
  <c r="AL249" i="15" s="1"/>
  <c r="S257" i="15"/>
  <c r="S265" i="15"/>
  <c r="T265" i="15" s="1"/>
  <c r="AL265" i="15" s="1"/>
  <c r="Z221" i="15"/>
  <c r="AA221" i="15" s="1"/>
  <c r="AG221" i="15" s="1"/>
  <c r="Z253" i="15"/>
  <c r="AA253" i="15" s="1"/>
  <c r="AG253" i="15" s="1"/>
  <c r="Q132" i="15"/>
  <c r="AK132" i="15" s="1"/>
  <c r="Q148" i="15"/>
  <c r="AK148" i="15" s="1"/>
  <c r="Q164" i="15"/>
  <c r="AK164" i="15" s="1"/>
  <c r="U208" i="15"/>
  <c r="R210" i="15"/>
  <c r="S210" i="15"/>
  <c r="T210" i="15" s="1"/>
  <c r="AL210" i="15" s="1"/>
  <c r="U224" i="15"/>
  <c r="R226" i="15"/>
  <c r="S226" i="15"/>
  <c r="T226" i="15" s="1"/>
  <c r="AL226" i="15" s="1"/>
  <c r="U240" i="15"/>
  <c r="R242" i="15"/>
  <c r="S242" i="15"/>
  <c r="U256" i="15"/>
  <c r="R258" i="15"/>
  <c r="S258" i="15"/>
  <c r="AF214" i="12"/>
  <c r="K214" i="12"/>
  <c r="AA191" i="13"/>
  <c r="AG191" i="13" s="1"/>
  <c r="AA4" i="13"/>
  <c r="AG4" i="13" s="1"/>
  <c r="T220" i="13"/>
  <c r="AL220" i="13" s="1"/>
  <c r="S229" i="13"/>
  <c r="T229" i="13" s="1"/>
  <c r="AL229" i="13" s="1"/>
  <c r="AF222" i="13"/>
  <c r="K222" i="13"/>
  <c r="T186" i="13"/>
  <c r="AL186" i="13" s="1"/>
  <c r="AF218" i="13"/>
  <c r="K218" i="13"/>
  <c r="AF59" i="15"/>
  <c r="K59" i="15"/>
  <c r="AA152" i="14"/>
  <c r="AG152" i="14" s="1"/>
  <c r="Z240" i="14"/>
  <c r="AA240" i="14" s="1"/>
  <c r="AG240" i="14" s="1"/>
  <c r="Z141" i="15"/>
  <c r="AA141" i="15" s="1"/>
  <c r="AG141" i="15" s="1"/>
  <c r="Z157" i="15"/>
  <c r="AA157" i="15" s="1"/>
  <c r="AG157" i="15" s="1"/>
  <c r="U125" i="15"/>
  <c r="AF134" i="15"/>
  <c r="K134" i="15"/>
  <c r="AF174" i="15"/>
  <c r="K174" i="15"/>
  <c r="U189" i="15"/>
  <c r="U205" i="15"/>
  <c r="U165" i="15"/>
  <c r="T210" i="12"/>
  <c r="AL210" i="12" s="1"/>
  <c r="AA177" i="13"/>
  <c r="AG177" i="13" s="1"/>
  <c r="U217" i="13"/>
  <c r="T182" i="13"/>
  <c r="AL182" i="13" s="1"/>
  <c r="AK210" i="13"/>
  <c r="Z229" i="14"/>
  <c r="AA229" i="14" s="1"/>
  <c r="AG229" i="14" s="1"/>
  <c r="AF105" i="15"/>
  <c r="K105" i="15"/>
  <c r="AF72" i="15"/>
  <c r="K72" i="15"/>
  <c r="AF112" i="15"/>
  <c r="K112" i="15"/>
  <c r="Z104" i="14"/>
  <c r="AA104" i="14" s="1"/>
  <c r="AG104" i="14" s="1"/>
  <c r="Z140" i="14"/>
  <c r="AA140" i="14" s="1"/>
  <c r="AG140" i="14" s="1"/>
  <c r="Z216" i="14"/>
  <c r="AA216" i="14" s="1"/>
  <c r="AG216" i="14" s="1"/>
  <c r="AF39" i="15"/>
  <c r="K39" i="15"/>
  <c r="Z123" i="15"/>
  <c r="AA123" i="15" s="1"/>
  <c r="AG123" i="15" s="1"/>
  <c r="Z177" i="15"/>
  <c r="AA177" i="15" s="1"/>
  <c r="AG177" i="15" s="1"/>
  <c r="Z193" i="15"/>
  <c r="AA193" i="15" s="1"/>
  <c r="AG193" i="15" s="1"/>
  <c r="AF122" i="15"/>
  <c r="K122" i="15"/>
  <c r="U157" i="15"/>
  <c r="U201" i="15"/>
  <c r="T24" i="12"/>
  <c r="AL24" i="12" s="1"/>
  <c r="AF122" i="12"/>
  <c r="K122" i="12"/>
  <c r="AF138" i="12"/>
  <c r="K138" i="12"/>
  <c r="AF153" i="12"/>
  <c r="K153" i="12"/>
  <c r="AF169" i="12"/>
  <c r="K169" i="12"/>
  <c r="AF191" i="12"/>
  <c r="K191" i="12"/>
  <c r="AF222" i="12"/>
  <c r="K222" i="12"/>
  <c r="AA161" i="13"/>
  <c r="AG161" i="13" s="1"/>
  <c r="AA178" i="13"/>
  <c r="AG178" i="13" s="1"/>
  <c r="T138" i="13"/>
  <c r="AL138" i="13" s="1"/>
  <c r="S226" i="13"/>
  <c r="T226" i="13" s="1"/>
  <c r="AL226" i="13" s="1"/>
  <c r="AF26" i="15"/>
  <c r="K26" i="15"/>
  <c r="AF89" i="15"/>
  <c r="K89" i="15"/>
  <c r="AF60" i="15"/>
  <c r="K60" i="15"/>
  <c r="Z115" i="15"/>
  <c r="AA115" i="15" s="1"/>
  <c r="AG115" i="15" s="1"/>
  <c r="AA76" i="14"/>
  <c r="AG76" i="14" s="1"/>
  <c r="AA192" i="14"/>
  <c r="AG192" i="14" s="1"/>
  <c r="Z220" i="14"/>
  <c r="AA220" i="14" s="1"/>
  <c r="AG220" i="14" s="1"/>
  <c r="U253" i="14"/>
  <c r="U243" i="15"/>
  <c r="U133" i="15"/>
  <c r="AF138" i="15"/>
  <c r="K138" i="15"/>
  <c r="AF146" i="15"/>
  <c r="K146" i="15"/>
  <c r="AF178" i="15"/>
  <c r="K178" i="15"/>
  <c r="AF194" i="15"/>
  <c r="K194" i="15"/>
  <c r="AF208" i="12"/>
  <c r="K208" i="12"/>
  <c r="AK218" i="12"/>
  <c r="Z204" i="13"/>
  <c r="AA204" i="13" s="1"/>
  <c r="AG204" i="13" s="1"/>
  <c r="AF223" i="12"/>
  <c r="K223" i="12"/>
  <c r="AK234" i="12"/>
  <c r="Z235" i="13"/>
  <c r="AA235" i="13" s="1"/>
  <c r="AG235" i="13" s="1"/>
  <c r="AF4" i="12"/>
  <c r="K4" i="12"/>
  <c r="AA173" i="13"/>
  <c r="AG173" i="13" s="1"/>
  <c r="AA141" i="13"/>
  <c r="AG141" i="13" s="1"/>
  <c r="AA182" i="13"/>
  <c r="AG182" i="13" s="1"/>
  <c r="AK217" i="13"/>
  <c r="Z237" i="14"/>
  <c r="AA237" i="14" s="1"/>
  <c r="AG237" i="14" s="1"/>
  <c r="U221" i="13"/>
  <c r="T199" i="13"/>
  <c r="AL199" i="13" s="1"/>
  <c r="AF10" i="15"/>
  <c r="K10" i="15"/>
  <c r="AF13" i="15"/>
  <c r="K13" i="15"/>
  <c r="Z84" i="14"/>
  <c r="AA84" i="14" s="1"/>
  <c r="AG84" i="14" s="1"/>
  <c r="AA172" i="14"/>
  <c r="AG172" i="14" s="1"/>
  <c r="Z200" i="14"/>
  <c r="AA200" i="14" s="1"/>
  <c r="AG200" i="14" s="1"/>
  <c r="Z133" i="15"/>
  <c r="AA133" i="15" s="1"/>
  <c r="AG133" i="15" s="1"/>
  <c r="AH168" i="15"/>
  <c r="AH200" i="15"/>
  <c r="U121" i="15"/>
  <c r="AF130" i="15"/>
  <c r="K130" i="15"/>
  <c r="U161" i="15"/>
  <c r="T190" i="15"/>
  <c r="AL190" i="15" s="1"/>
  <c r="AH136" i="15"/>
  <c r="AH164" i="15"/>
  <c r="AH196" i="15"/>
  <c r="AF2" i="13"/>
  <c r="K2" i="13"/>
  <c r="AA67" i="13"/>
  <c r="AG67" i="13" s="1"/>
  <c r="U6" i="14"/>
  <c r="AH6" i="14"/>
  <c r="Q6" i="14"/>
  <c r="AJ6" i="14"/>
  <c r="S6" i="14"/>
  <c r="AK183" i="13"/>
  <c r="Z201" i="14"/>
  <c r="AA201" i="14" s="1"/>
  <c r="AG201" i="14" s="1"/>
  <c r="AK68" i="14"/>
  <c r="Z68" i="15"/>
  <c r="AA68" i="15" s="1"/>
  <c r="AG68" i="15" s="1"/>
  <c r="AF43" i="14"/>
  <c r="K43" i="14"/>
  <c r="AF249" i="15"/>
  <c r="K249" i="15"/>
  <c r="AF258" i="15"/>
  <c r="K258" i="15"/>
  <c r="R260" i="15"/>
  <c r="U260" i="15"/>
  <c r="S260" i="15"/>
  <c r="T260" i="15" s="1"/>
  <c r="AL260" i="15" s="1"/>
  <c r="R63" i="14"/>
  <c r="T63" i="14" s="1"/>
  <c r="AL63" i="14" s="1"/>
  <c r="U63" i="14"/>
  <c r="K28" i="3"/>
  <c r="D14" i="4"/>
  <c r="K54" i="3"/>
  <c r="K29" i="3"/>
  <c r="K53" i="3"/>
  <c r="K25" i="3"/>
  <c r="K23" i="3"/>
  <c r="K20" i="3"/>
  <c r="K18" i="3"/>
  <c r="K16" i="3"/>
  <c r="K14" i="3"/>
  <c r="K11" i="3"/>
  <c r="F14" i="4"/>
  <c r="B14" i="4"/>
  <c r="K57" i="3"/>
  <c r="K56" i="3"/>
  <c r="K51" i="3"/>
  <c r="K50" i="3"/>
  <c r="K48" i="3"/>
  <c r="K47" i="3"/>
  <c r="K27" i="3"/>
  <c r="E14" i="4"/>
  <c r="C14" i="4"/>
  <c r="K24" i="3"/>
  <c r="K21" i="3"/>
  <c r="K19" i="3"/>
  <c r="K17" i="3"/>
  <c r="K15" i="3"/>
  <c r="K13" i="3"/>
  <c r="K12" i="3"/>
  <c r="K10" i="3"/>
  <c r="K49" i="3"/>
  <c r="K55" i="3"/>
  <c r="AF83" i="13"/>
  <c r="K83" i="13"/>
  <c r="Z153" i="14"/>
  <c r="AA153" i="14" s="1"/>
  <c r="AG153" i="14" s="1"/>
  <c r="AK141" i="13"/>
  <c r="Z189" i="14"/>
  <c r="AA189" i="14" s="1"/>
  <c r="AG189" i="14" s="1"/>
  <c r="AK173" i="13"/>
  <c r="AK29" i="14"/>
  <c r="Z30" i="15"/>
  <c r="AA30" i="15" s="1"/>
  <c r="AG30" i="15" s="1"/>
  <c r="C15" i="4"/>
  <c r="L53" i="3"/>
  <c r="L25" i="3"/>
  <c r="L24" i="3"/>
  <c r="L23" i="3"/>
  <c r="L21" i="3"/>
  <c r="L20" i="3"/>
  <c r="L19" i="3"/>
  <c r="L18" i="3"/>
  <c r="L17" i="3"/>
  <c r="L16" i="3"/>
  <c r="L15" i="3"/>
  <c r="L14" i="3"/>
  <c r="L13" i="3"/>
  <c r="L12" i="3"/>
  <c r="L11" i="3"/>
  <c r="L10" i="3"/>
  <c r="F15" i="4"/>
  <c r="B15" i="4"/>
  <c r="L56" i="3"/>
  <c r="L51" i="3"/>
  <c r="L47" i="3"/>
  <c r="E15" i="4"/>
  <c r="L55" i="3"/>
  <c r="L28" i="3"/>
  <c r="L57" i="3"/>
  <c r="L50" i="3"/>
  <c r="L49" i="3"/>
  <c r="L48" i="3"/>
  <c r="L27" i="3"/>
  <c r="D15" i="4"/>
  <c r="L54" i="3"/>
  <c r="L29" i="3"/>
  <c r="AF89" i="13"/>
  <c r="K89" i="13"/>
  <c r="AF66" i="13"/>
  <c r="K66" i="13"/>
  <c r="AF126" i="13"/>
  <c r="K126" i="13"/>
  <c r="AK150" i="13"/>
  <c r="Z163" i="14"/>
  <c r="AA163" i="14" s="1"/>
  <c r="AG163" i="14" s="1"/>
  <c r="Z207" i="15"/>
  <c r="AA207" i="15" s="1"/>
  <c r="AG207" i="15" s="1"/>
  <c r="T12" i="14"/>
  <c r="AL12" i="14" s="1"/>
  <c r="S32" i="14"/>
  <c r="T32" i="14" s="1"/>
  <c r="AL32" i="14" s="1"/>
  <c r="T60" i="14"/>
  <c r="AL60" i="14" s="1"/>
  <c r="AK64" i="14"/>
  <c r="Z65" i="15"/>
  <c r="AA65" i="15" s="1"/>
  <c r="AG65" i="15" s="1"/>
  <c r="AF88" i="15"/>
  <c r="K88" i="15"/>
  <c r="R6" i="15"/>
  <c r="AF209" i="15"/>
  <c r="K209" i="15"/>
  <c r="AF241" i="15"/>
  <c r="K241" i="15"/>
  <c r="Z215" i="15"/>
  <c r="AA215" i="15" s="1"/>
  <c r="AG215" i="15" s="1"/>
  <c r="Z247" i="15"/>
  <c r="AA247" i="15" s="1"/>
  <c r="AG247" i="15" s="1"/>
  <c r="AF250" i="15"/>
  <c r="K250" i="15"/>
  <c r="R252" i="15"/>
  <c r="U252" i="15"/>
  <c r="S252" i="15"/>
  <c r="T252" i="15" s="1"/>
  <c r="AL252" i="15" s="1"/>
  <c r="T264" i="15"/>
  <c r="AL264" i="15" s="1"/>
  <c r="U67" i="14"/>
  <c r="R67" i="14"/>
  <c r="T67" i="14" s="1"/>
  <c r="AL67" i="14" s="1"/>
  <c r="U83" i="14"/>
  <c r="R83" i="14"/>
  <c r="T83" i="14" s="1"/>
  <c r="AL83" i="14" s="1"/>
  <c r="B9" i="4"/>
  <c r="F47" i="3"/>
  <c r="F56" i="3"/>
  <c r="E9" i="4"/>
  <c r="F55" i="3"/>
  <c r="F28" i="3"/>
  <c r="C9" i="4"/>
  <c r="F53" i="3"/>
  <c r="F25" i="3"/>
  <c r="F24" i="3"/>
  <c r="F23" i="3"/>
  <c r="F21" i="3"/>
  <c r="F20" i="3"/>
  <c r="F19" i="3"/>
  <c r="F18" i="3"/>
  <c r="F17" i="3"/>
  <c r="F16" i="3"/>
  <c r="F15" i="3"/>
  <c r="F14" i="3"/>
  <c r="F13" i="3"/>
  <c r="F12" i="3"/>
  <c r="F11" i="3"/>
  <c r="F10" i="3"/>
  <c r="F51" i="3"/>
  <c r="F50" i="3"/>
  <c r="F49" i="3"/>
  <c r="D9" i="4"/>
  <c r="F54" i="3"/>
  <c r="F29" i="3"/>
  <c r="F9" i="4"/>
  <c r="F57" i="3"/>
  <c r="F48" i="3"/>
  <c r="F27" i="3"/>
  <c r="T228" i="12"/>
  <c r="AL228" i="12" s="1"/>
  <c r="AJ80" i="13"/>
  <c r="AF125" i="13"/>
  <c r="K125" i="13"/>
  <c r="AF69" i="13"/>
  <c r="K69" i="13"/>
  <c r="AF41" i="13"/>
  <c r="K41" i="13"/>
  <c r="AF84" i="13"/>
  <c r="K84" i="13"/>
  <c r="AF11" i="13"/>
  <c r="K11" i="13"/>
  <c r="AF17" i="13"/>
  <c r="K17" i="13"/>
  <c r="AF56" i="13"/>
  <c r="K56" i="13"/>
  <c r="AJ125" i="13"/>
  <c r="AF152" i="13"/>
  <c r="K152" i="13"/>
  <c r="AD253" i="14"/>
  <c r="AF158" i="13"/>
  <c r="K158" i="13"/>
  <c r="AI15" i="12"/>
  <c r="S15" i="12"/>
  <c r="Q15" i="12"/>
  <c r="AJ15" i="12"/>
  <c r="AH15" i="12"/>
  <c r="U15" i="12"/>
  <c r="AI31" i="12"/>
  <c r="S31" i="12"/>
  <c r="Q31" i="12"/>
  <c r="AH31" i="12"/>
  <c r="AJ31" i="12"/>
  <c r="U31" i="12"/>
  <c r="AI47" i="12"/>
  <c r="S47" i="12"/>
  <c r="AJ47" i="12"/>
  <c r="Q47" i="12"/>
  <c r="AH47" i="12"/>
  <c r="U47" i="12"/>
  <c r="AJ63" i="12"/>
  <c r="AI63" i="12"/>
  <c r="S63" i="12"/>
  <c r="T63" i="12" s="1"/>
  <c r="AL63" i="12" s="1"/>
  <c r="Q63" i="12"/>
  <c r="AH63" i="12"/>
  <c r="U63" i="12"/>
  <c r="AJ79" i="12"/>
  <c r="AI79" i="12"/>
  <c r="S79" i="12"/>
  <c r="T79" i="12" s="1"/>
  <c r="AL79" i="12" s="1"/>
  <c r="Q79" i="12"/>
  <c r="AH79" i="12"/>
  <c r="U79" i="12"/>
  <c r="AJ95" i="12"/>
  <c r="AI95" i="12"/>
  <c r="S95" i="12"/>
  <c r="T95" i="12" s="1"/>
  <c r="AL95" i="12" s="1"/>
  <c r="Q95" i="12"/>
  <c r="AH95" i="12"/>
  <c r="U95" i="12"/>
  <c r="AJ111" i="12"/>
  <c r="AI111" i="12"/>
  <c r="S111" i="12"/>
  <c r="T111" i="12" s="1"/>
  <c r="AL111" i="12" s="1"/>
  <c r="Q111" i="12"/>
  <c r="AH111" i="12"/>
  <c r="U111" i="12"/>
  <c r="AJ127" i="12"/>
  <c r="AI127" i="12"/>
  <c r="S127" i="12"/>
  <c r="T127" i="12" s="1"/>
  <c r="AL127" i="12" s="1"/>
  <c r="Q127" i="12"/>
  <c r="AH127" i="12"/>
  <c r="U127" i="12"/>
  <c r="AJ143" i="12"/>
  <c r="AI143" i="12"/>
  <c r="S143" i="12"/>
  <c r="T143" i="12" s="1"/>
  <c r="AL143" i="12" s="1"/>
  <c r="Q143" i="12"/>
  <c r="AH143" i="12"/>
  <c r="U143" i="12"/>
  <c r="AJ158" i="12"/>
  <c r="AI158" i="12"/>
  <c r="S158" i="12"/>
  <c r="Q158" i="12"/>
  <c r="AH158" i="12"/>
  <c r="U158" i="12"/>
  <c r="AJ174" i="12"/>
  <c r="AI174" i="12"/>
  <c r="S174" i="12"/>
  <c r="Q174" i="12"/>
  <c r="AH174" i="12"/>
  <c r="U174" i="12"/>
  <c r="AJ189" i="12"/>
  <c r="AI189" i="12"/>
  <c r="S189" i="12"/>
  <c r="Q189" i="12"/>
  <c r="AH189" i="12"/>
  <c r="U189" i="12"/>
  <c r="AJ205" i="12"/>
  <c r="AI205" i="12"/>
  <c r="S205" i="12"/>
  <c r="Q205" i="12"/>
  <c r="AH205" i="12"/>
  <c r="U205" i="12"/>
  <c r="AJ221" i="12"/>
  <c r="AI221" i="12"/>
  <c r="S221" i="12"/>
  <c r="Q221" i="12"/>
  <c r="AH221" i="12"/>
  <c r="U221" i="12"/>
  <c r="AJ237" i="12"/>
  <c r="AI237" i="12"/>
  <c r="S237" i="12"/>
  <c r="Q237" i="12"/>
  <c r="AH237" i="12"/>
  <c r="U237" i="12"/>
  <c r="AJ83" i="13"/>
  <c r="AF139" i="13"/>
  <c r="K139" i="13"/>
  <c r="AF179" i="13"/>
  <c r="K179" i="13"/>
  <c r="AJ67" i="13"/>
  <c r="AK219" i="13"/>
  <c r="Z239" i="14"/>
  <c r="AA239" i="14" s="1"/>
  <c r="AG239" i="14" s="1"/>
  <c r="AK189" i="13"/>
  <c r="Z207" i="14"/>
  <c r="AA207" i="14" s="1"/>
  <c r="AG207" i="14" s="1"/>
  <c r="T223" i="13"/>
  <c r="AL223" i="13" s="1"/>
  <c r="AF68" i="14"/>
  <c r="K68" i="14"/>
  <c r="T9" i="14"/>
  <c r="AL9" i="14" s="1"/>
  <c r="T29" i="14"/>
  <c r="AL29" i="14" s="1"/>
  <c r="AK33" i="14"/>
  <c r="Z34" i="15"/>
  <c r="AA34" i="15" s="1"/>
  <c r="AG34" i="15" s="1"/>
  <c r="T41" i="14"/>
  <c r="AL41" i="14" s="1"/>
  <c r="T49" i="14"/>
  <c r="AL49" i="14" s="1"/>
  <c r="T57" i="14"/>
  <c r="AL57" i="14" s="1"/>
  <c r="T69" i="14"/>
  <c r="AL69" i="14" s="1"/>
  <c r="T97" i="14"/>
  <c r="AL97" i="14" s="1"/>
  <c r="T113" i="14"/>
  <c r="AL113" i="14" s="1"/>
  <c r="AK117" i="14"/>
  <c r="Z120" i="15"/>
  <c r="T129" i="14"/>
  <c r="AL129" i="14" s="1"/>
  <c r="AK133" i="14"/>
  <c r="Z138" i="15"/>
  <c r="AA138" i="15" s="1"/>
  <c r="AG138" i="15" s="1"/>
  <c r="T145" i="14"/>
  <c r="AL145" i="14" s="1"/>
  <c r="AK149" i="14"/>
  <c r="Z154" i="15"/>
  <c r="AA154" i="15" s="1"/>
  <c r="AG154" i="15" s="1"/>
  <c r="T161" i="14"/>
  <c r="AL161" i="14" s="1"/>
  <c r="AK165" i="14"/>
  <c r="Z172" i="15"/>
  <c r="T177" i="14"/>
  <c r="AL177" i="14" s="1"/>
  <c r="AK181" i="14"/>
  <c r="Z188" i="15"/>
  <c r="T193" i="14"/>
  <c r="AL193" i="14" s="1"/>
  <c r="AK197" i="14"/>
  <c r="Z204" i="15"/>
  <c r="T209" i="14"/>
  <c r="AL209" i="14" s="1"/>
  <c r="T225" i="14"/>
  <c r="AL225" i="14" s="1"/>
  <c r="T241" i="14"/>
  <c r="AL241" i="14" s="1"/>
  <c r="T261" i="14"/>
  <c r="AL261" i="14" s="1"/>
  <c r="T43" i="15"/>
  <c r="AL43" i="15" s="1"/>
  <c r="T107" i="15"/>
  <c r="AL107" i="15" s="1"/>
  <c r="AA65" i="14"/>
  <c r="AG65" i="14" s="1"/>
  <c r="AA233" i="14"/>
  <c r="AG233" i="14" s="1"/>
  <c r="AF59" i="13"/>
  <c r="K59" i="13"/>
  <c r="AF24" i="13"/>
  <c r="K24" i="13"/>
  <c r="AF97" i="13"/>
  <c r="K97" i="13"/>
  <c r="AF113" i="13"/>
  <c r="K113" i="13"/>
  <c r="AF45" i="13"/>
  <c r="K45" i="13"/>
  <c r="AF85" i="13"/>
  <c r="K85" i="13"/>
  <c r="AF91" i="13"/>
  <c r="K91" i="13"/>
  <c r="AF107" i="13"/>
  <c r="K107" i="13"/>
  <c r="B13" i="4"/>
  <c r="J50" i="3"/>
  <c r="C40" i="1" s="1"/>
  <c r="J18" i="3"/>
  <c r="D33" i="1" s="1"/>
  <c r="J10" i="3"/>
  <c r="I10" i="3"/>
  <c r="I24" i="3"/>
  <c r="C12" i="4" s="1"/>
  <c r="I18" i="3"/>
  <c r="B12" i="4"/>
  <c r="I56" i="3"/>
  <c r="I50" i="3"/>
  <c r="I49" i="3"/>
  <c r="I48" i="3"/>
  <c r="I47" i="3"/>
  <c r="I51" i="3" s="1"/>
  <c r="I11" i="3"/>
  <c r="I23" i="3"/>
  <c r="D12" i="4" s="1"/>
  <c r="I19" i="3"/>
  <c r="E19" i="3"/>
  <c r="E18" i="3"/>
  <c r="E17" i="3"/>
  <c r="E16" i="3"/>
  <c r="E53" i="3"/>
  <c r="E23" i="3"/>
  <c r="E21" i="3"/>
  <c r="E20" i="3"/>
  <c r="E15" i="3"/>
  <c r="E14" i="3"/>
  <c r="E13" i="3"/>
  <c r="E11" i="3"/>
  <c r="E10" i="3"/>
  <c r="F8" i="4"/>
  <c r="B8" i="4"/>
  <c r="E57" i="3"/>
  <c r="E56" i="3"/>
  <c r="E51" i="3"/>
  <c r="E50" i="3"/>
  <c r="E49" i="3"/>
  <c r="E48" i="3"/>
  <c r="E47" i="3"/>
  <c r="E27" i="3"/>
  <c r="E8" i="4"/>
  <c r="E28" i="3"/>
  <c r="D8" i="4"/>
  <c r="E54" i="3"/>
  <c r="E29" i="3"/>
  <c r="C8" i="4"/>
  <c r="E55" i="3"/>
  <c r="E25" i="3"/>
  <c r="E24" i="3"/>
  <c r="E12" i="3"/>
  <c r="AK72" i="12"/>
  <c r="Z137" i="13"/>
  <c r="AA137" i="13" s="1"/>
  <c r="AG137" i="13" s="1"/>
  <c r="AK88" i="12"/>
  <c r="Z171" i="13"/>
  <c r="AA171" i="13" s="1"/>
  <c r="AG171" i="13" s="1"/>
  <c r="AK104" i="12"/>
  <c r="Z203" i="13"/>
  <c r="AA203" i="13" s="1"/>
  <c r="AG203" i="13" s="1"/>
  <c r="AJ63" i="13"/>
  <c r="AF170" i="13"/>
  <c r="K170" i="13"/>
  <c r="AK143" i="13"/>
  <c r="Z155" i="14"/>
  <c r="AA155" i="14" s="1"/>
  <c r="AG155" i="14" s="1"/>
  <c r="AI4" i="13"/>
  <c r="U70" i="13"/>
  <c r="AF176" i="13"/>
  <c r="K176" i="13"/>
  <c r="AJ14" i="13"/>
  <c r="AJ68" i="13"/>
  <c r="AJ123" i="13"/>
  <c r="R227" i="13"/>
  <c r="S5" i="13"/>
  <c r="T5" i="13" s="1"/>
  <c r="AL5" i="13" s="1"/>
  <c r="AK10" i="13"/>
  <c r="Z11" i="14"/>
  <c r="AA11" i="14" s="1"/>
  <c r="AG11" i="14" s="1"/>
  <c r="AI11" i="13"/>
  <c r="T171" i="13"/>
  <c r="AL171" i="13" s="1"/>
  <c r="T201" i="13"/>
  <c r="AL201" i="13" s="1"/>
  <c r="U256" i="14"/>
  <c r="AF240" i="14"/>
  <c r="K240" i="14"/>
  <c r="AF224" i="14"/>
  <c r="K224" i="14"/>
  <c r="AF208" i="14"/>
  <c r="K208" i="14"/>
  <c r="AF192" i="14"/>
  <c r="K192" i="14"/>
  <c r="AF176" i="14"/>
  <c r="K176" i="14"/>
  <c r="AF160" i="14"/>
  <c r="K160" i="14"/>
  <c r="AF144" i="14"/>
  <c r="K144" i="14"/>
  <c r="AF128" i="14"/>
  <c r="K128" i="14"/>
  <c r="AF112" i="14"/>
  <c r="K112" i="14"/>
  <c r="AF96" i="14"/>
  <c r="K96" i="14"/>
  <c r="U64" i="14"/>
  <c r="T14" i="14"/>
  <c r="AL14" i="14" s="1"/>
  <c r="T30" i="14"/>
  <c r="AL30" i="14" s="1"/>
  <c r="T34" i="14"/>
  <c r="AL34" i="14" s="1"/>
  <c r="AK42" i="14"/>
  <c r="Z43" i="15"/>
  <c r="AA43" i="15" s="1"/>
  <c r="AG43" i="15" s="1"/>
  <c r="T46" i="14"/>
  <c r="AL46" i="14" s="1"/>
  <c r="AK54" i="14"/>
  <c r="Z55" i="15"/>
  <c r="AA55" i="15" s="1"/>
  <c r="AG55" i="15" s="1"/>
  <c r="AK62" i="14"/>
  <c r="Z63" i="15"/>
  <c r="AA63" i="15" s="1"/>
  <c r="AG63" i="15" s="1"/>
  <c r="T70" i="14"/>
  <c r="AL70" i="14" s="1"/>
  <c r="AK82" i="14"/>
  <c r="Z82" i="15"/>
  <c r="AA82" i="15" s="1"/>
  <c r="AG82" i="15" s="1"/>
  <c r="AK114" i="14"/>
  <c r="Z117" i="15"/>
  <c r="AA117" i="15" s="1"/>
  <c r="AG117" i="15" s="1"/>
  <c r="AK122" i="14"/>
  <c r="Z126" i="15"/>
  <c r="AA126" i="15" s="1"/>
  <c r="AG126" i="15" s="1"/>
  <c r="AK130" i="14"/>
  <c r="Z134" i="15"/>
  <c r="AA134" i="15" s="1"/>
  <c r="AG134" i="15" s="1"/>
  <c r="AK162" i="14"/>
  <c r="Z168" i="15"/>
  <c r="T250" i="14"/>
  <c r="AL250" i="14" s="1"/>
  <c r="T258" i="14"/>
  <c r="AL258" i="14" s="1"/>
  <c r="AD112" i="15"/>
  <c r="AA26" i="14"/>
  <c r="AG26" i="14" s="1"/>
  <c r="AA50" i="14"/>
  <c r="AG50" i="14" s="1"/>
  <c r="AA98" i="14"/>
  <c r="AG98" i="14" s="1"/>
  <c r="AA114" i="14"/>
  <c r="AG114" i="14" s="1"/>
  <c r="AA130" i="14"/>
  <c r="AG130" i="14" s="1"/>
  <c r="AA146" i="14"/>
  <c r="AG146" i="14" s="1"/>
  <c r="AA162" i="14"/>
  <c r="AG162" i="14" s="1"/>
  <c r="Z178" i="14"/>
  <c r="AA178" i="14" s="1"/>
  <c r="AG178" i="14" s="1"/>
  <c r="AA194" i="14"/>
  <c r="AG194" i="14" s="1"/>
  <c r="AA210" i="14"/>
  <c r="AG210" i="14" s="1"/>
  <c r="Z226" i="14"/>
  <c r="AA226" i="14" s="1"/>
  <c r="AG226" i="14" s="1"/>
  <c r="Z242" i="14"/>
  <c r="AA242" i="14" s="1"/>
  <c r="AG242" i="14" s="1"/>
  <c r="Z258" i="14"/>
  <c r="AA258" i="14" s="1"/>
  <c r="AG258" i="14" s="1"/>
  <c r="U124" i="15"/>
  <c r="AI124" i="15"/>
  <c r="AJ124" i="15"/>
  <c r="U140" i="15"/>
  <c r="AI140" i="15"/>
  <c r="AJ140" i="15"/>
  <c r="U156" i="15"/>
  <c r="AI156" i="15"/>
  <c r="AJ156" i="15"/>
  <c r="U172" i="15"/>
  <c r="AI172" i="15"/>
  <c r="AJ172" i="15"/>
  <c r="U188" i="15"/>
  <c r="AI188" i="15"/>
  <c r="AJ188" i="15"/>
  <c r="Q188" i="15"/>
  <c r="AK188" i="15" s="1"/>
  <c r="U204" i="15"/>
  <c r="AI204" i="15"/>
  <c r="AJ204" i="15"/>
  <c r="Q204" i="15"/>
  <c r="AK204" i="15" s="1"/>
  <c r="Z216" i="15"/>
  <c r="AA216" i="15" s="1"/>
  <c r="AG216" i="15" s="1"/>
  <c r="Z232" i="15"/>
  <c r="AA232" i="15" s="1"/>
  <c r="AG232" i="15" s="1"/>
  <c r="Z248" i="15"/>
  <c r="AA248" i="15" s="1"/>
  <c r="AG248" i="15" s="1"/>
  <c r="Z264" i="15"/>
  <c r="AA264" i="15" s="1"/>
  <c r="AG264" i="15" s="1"/>
  <c r="S132" i="15"/>
  <c r="T132" i="15" s="1"/>
  <c r="AL132" i="15" s="1"/>
  <c r="S148" i="15"/>
  <c r="T148" i="15" s="1"/>
  <c r="AL148" i="15" s="1"/>
  <c r="S164" i="15"/>
  <c r="T164" i="15" s="1"/>
  <c r="AL164" i="15" s="1"/>
  <c r="S180" i="15"/>
  <c r="T180" i="15" s="1"/>
  <c r="AL180" i="15" s="1"/>
  <c r="S196" i="15"/>
  <c r="T196" i="15" s="1"/>
  <c r="AL196" i="15" s="1"/>
  <c r="Z235" i="15"/>
  <c r="AA235" i="15" s="1"/>
  <c r="AG235" i="15" s="1"/>
  <c r="Z267" i="15"/>
  <c r="AA267" i="15" s="1"/>
  <c r="AG267" i="15" s="1"/>
  <c r="C52" i="1"/>
  <c r="K12" i="1"/>
  <c r="K10" i="1"/>
  <c r="B3" i="1" s="1"/>
  <c r="I2" i="5"/>
  <c r="C53" i="1"/>
  <c r="C51" i="1"/>
  <c r="C49" i="1"/>
  <c r="K8" i="1"/>
  <c r="E2" i="5"/>
  <c r="B30" i="1"/>
  <c r="C2" i="5"/>
  <c r="C50" i="1"/>
  <c r="C48" i="1"/>
  <c r="I4" i="5"/>
  <c r="K6" i="1"/>
  <c r="I1" i="5" s="1"/>
  <c r="AF7" i="12"/>
  <c r="K7" i="12"/>
  <c r="AA123" i="13"/>
  <c r="AG123" i="13" s="1"/>
  <c r="AJ64" i="13"/>
  <c r="AF136" i="13"/>
  <c r="K136" i="13"/>
  <c r="U53" i="13"/>
  <c r="U18" i="13"/>
  <c r="AJ41" i="13"/>
  <c r="AD211" i="14"/>
  <c r="AD195" i="14"/>
  <c r="AD179" i="14"/>
  <c r="AD115" i="14"/>
  <c r="AD76" i="14"/>
  <c r="AI11" i="12"/>
  <c r="S11" i="12"/>
  <c r="AJ11" i="12"/>
  <c r="U11" i="12"/>
  <c r="Q11" i="12"/>
  <c r="AH11" i="12"/>
  <c r="AI27" i="12"/>
  <c r="S27" i="12"/>
  <c r="AJ27" i="12"/>
  <c r="U27" i="12"/>
  <c r="Q27" i="12"/>
  <c r="AH27" i="12"/>
  <c r="AI43" i="12"/>
  <c r="S43" i="12"/>
  <c r="AJ43" i="12"/>
  <c r="U43" i="12"/>
  <c r="Q43" i="12"/>
  <c r="AH43" i="12"/>
  <c r="AJ59" i="12"/>
  <c r="AI59" i="12"/>
  <c r="S59" i="12"/>
  <c r="U59" i="12"/>
  <c r="Q59" i="12"/>
  <c r="AH59" i="12"/>
  <c r="AJ75" i="12"/>
  <c r="AI75" i="12"/>
  <c r="S75" i="12"/>
  <c r="U75" i="12"/>
  <c r="Q75" i="12"/>
  <c r="AH75" i="12"/>
  <c r="AJ91" i="12"/>
  <c r="AI91" i="12"/>
  <c r="S91" i="12"/>
  <c r="U91" i="12"/>
  <c r="Q91" i="12"/>
  <c r="AH91" i="12"/>
  <c r="AJ107" i="12"/>
  <c r="AI107" i="12"/>
  <c r="S107" i="12"/>
  <c r="U107" i="12"/>
  <c r="Q107" i="12"/>
  <c r="AH107" i="12"/>
  <c r="AJ123" i="12"/>
  <c r="AI123" i="12"/>
  <c r="S123" i="12"/>
  <c r="U123" i="12"/>
  <c r="Q123" i="12"/>
  <c r="AH123" i="12"/>
  <c r="AJ139" i="12"/>
  <c r="AI139" i="12"/>
  <c r="S139" i="12"/>
  <c r="U139" i="12"/>
  <c r="Q139" i="12"/>
  <c r="AH139" i="12"/>
  <c r="AJ154" i="12"/>
  <c r="AI154" i="12"/>
  <c r="S154" i="12"/>
  <c r="U154" i="12"/>
  <c r="Q154" i="12"/>
  <c r="AH154" i="12"/>
  <c r="AJ170" i="12"/>
  <c r="AI170" i="12"/>
  <c r="S170" i="12"/>
  <c r="U170" i="12"/>
  <c r="Q170" i="12"/>
  <c r="AH170" i="12"/>
  <c r="AJ185" i="12"/>
  <c r="AI185" i="12"/>
  <c r="S185" i="12"/>
  <c r="U185" i="12"/>
  <c r="Q185" i="12"/>
  <c r="AH185" i="12"/>
  <c r="AJ201" i="12"/>
  <c r="AI201" i="12"/>
  <c r="S201" i="12"/>
  <c r="U201" i="12"/>
  <c r="Q201" i="12"/>
  <c r="AH201" i="12"/>
  <c r="AJ217" i="12"/>
  <c r="AI217" i="12"/>
  <c r="S217" i="12"/>
  <c r="U217" i="12"/>
  <c r="Q217" i="12"/>
  <c r="AH217" i="12"/>
  <c r="AJ233" i="12"/>
  <c r="AI233" i="12"/>
  <c r="S233" i="12"/>
  <c r="U233" i="12"/>
  <c r="Q233" i="12"/>
  <c r="AH233" i="12"/>
  <c r="AF131" i="13"/>
  <c r="K131" i="13"/>
  <c r="AF163" i="13"/>
  <c r="K163" i="13"/>
  <c r="S8" i="14"/>
  <c r="T8" i="14" s="1"/>
  <c r="AL8" i="14" s="1"/>
  <c r="AJ8" i="14"/>
  <c r="I21" i="3" s="1"/>
  <c r="AI8" i="14"/>
  <c r="U8" i="14"/>
  <c r="AJ56" i="13"/>
  <c r="AJ124" i="13"/>
  <c r="AK208" i="13"/>
  <c r="Z227" i="14"/>
  <c r="AA227" i="14" s="1"/>
  <c r="AG227" i="14" s="1"/>
  <c r="Z225" i="14"/>
  <c r="AA225" i="14" s="1"/>
  <c r="AG225" i="14" s="1"/>
  <c r="AK206" i="13"/>
  <c r="S227" i="13"/>
  <c r="T227" i="13" s="1"/>
  <c r="AL227" i="13" s="1"/>
  <c r="AF38" i="14"/>
  <c r="K38" i="14"/>
  <c r="Q13" i="13"/>
  <c r="S143" i="13"/>
  <c r="T143" i="13" s="1"/>
  <c r="AL143" i="13" s="1"/>
  <c r="S159" i="13"/>
  <c r="T159" i="13" s="1"/>
  <c r="AL159" i="13" s="1"/>
  <c r="S175" i="13"/>
  <c r="T175" i="13" s="1"/>
  <c r="AL175" i="13" s="1"/>
  <c r="T189" i="13"/>
  <c r="AL189" i="13" s="1"/>
  <c r="T218" i="13"/>
  <c r="AL218" i="13" s="1"/>
  <c r="AF44" i="14"/>
  <c r="K44" i="14"/>
  <c r="AF21" i="14"/>
  <c r="K21" i="14"/>
  <c r="Q14" i="13"/>
  <c r="R16" i="13"/>
  <c r="S17" i="13"/>
  <c r="T17" i="13" s="1"/>
  <c r="AL17" i="13" s="1"/>
  <c r="S18" i="13"/>
  <c r="T18" i="13" s="1"/>
  <c r="AL18" i="13" s="1"/>
  <c r="AI21" i="13"/>
  <c r="AK22" i="13"/>
  <c r="Z23" i="14"/>
  <c r="AA23" i="14" s="1"/>
  <c r="AG23" i="14" s="1"/>
  <c r="AI23" i="13"/>
  <c r="R24" i="13"/>
  <c r="AI25" i="13"/>
  <c r="AI26" i="13"/>
  <c r="R28" i="13"/>
  <c r="R32" i="13"/>
  <c r="Q38" i="13"/>
  <c r="AA38" i="13" s="1"/>
  <c r="AG38" i="13" s="1"/>
  <c r="AH38" i="13"/>
  <c r="AI40" i="13"/>
  <c r="AI41" i="13"/>
  <c r="Q42" i="13"/>
  <c r="R43" i="13"/>
  <c r="AK46" i="13"/>
  <c r="Z49" i="14"/>
  <c r="AA49" i="14" s="1"/>
  <c r="AG49" i="14" s="1"/>
  <c r="R47" i="13"/>
  <c r="S52" i="13"/>
  <c r="T52" i="13" s="1"/>
  <c r="AL52" i="13" s="1"/>
  <c r="S53" i="13"/>
  <c r="T53" i="13" s="1"/>
  <c r="AL53" i="13" s="1"/>
  <c r="AK54" i="13"/>
  <c r="Z57" i="14"/>
  <c r="AA57" i="14" s="1"/>
  <c r="AG57" i="14" s="1"/>
  <c r="AI56" i="13"/>
  <c r="AI57" i="13"/>
  <c r="AK58" i="13"/>
  <c r="Z61" i="14"/>
  <c r="AA61" i="14" s="1"/>
  <c r="AG61" i="14" s="1"/>
  <c r="R59" i="13"/>
  <c r="S64" i="13"/>
  <c r="T64" i="13" s="1"/>
  <c r="AL64" i="13" s="1"/>
  <c r="S65" i="13"/>
  <c r="T65" i="13" s="1"/>
  <c r="AL65" i="13" s="1"/>
  <c r="Q66" i="13"/>
  <c r="AH66" i="13"/>
  <c r="AI69" i="13"/>
  <c r="Q70" i="13"/>
  <c r="R71" i="13"/>
  <c r="S73" i="13"/>
  <c r="T73" i="13" s="1"/>
  <c r="AL73" i="13" s="1"/>
  <c r="S74" i="13"/>
  <c r="T74" i="13" s="1"/>
  <c r="AL74" i="13" s="1"/>
  <c r="Q74" i="13"/>
  <c r="R75" i="13"/>
  <c r="Q77" i="13"/>
  <c r="AH80" i="13"/>
  <c r="Q82" i="13"/>
  <c r="AI82" i="13"/>
  <c r="R87" i="13"/>
  <c r="Q89" i="13"/>
  <c r="R91" i="13"/>
  <c r="T92" i="13"/>
  <c r="AL92" i="13" s="1"/>
  <c r="T94" i="13"/>
  <c r="AL94" i="13" s="1"/>
  <c r="R95" i="13"/>
  <c r="T96" i="13"/>
  <c r="AL96" i="13" s="1"/>
  <c r="R99" i="13"/>
  <c r="T100" i="13"/>
  <c r="AL100" i="13" s="1"/>
  <c r="R103" i="13"/>
  <c r="T104" i="13"/>
  <c r="AL104" i="13" s="1"/>
  <c r="R107" i="13"/>
  <c r="T108" i="13"/>
  <c r="AL108" i="13" s="1"/>
  <c r="AK109" i="13"/>
  <c r="Z119" i="14"/>
  <c r="AA119" i="14" s="1"/>
  <c r="AG119" i="14" s="1"/>
  <c r="T110" i="13"/>
  <c r="AL110" i="13" s="1"/>
  <c r="R111" i="13"/>
  <c r="T112" i="13"/>
  <c r="AL112" i="13" s="1"/>
  <c r="AK113" i="13"/>
  <c r="Z123" i="14"/>
  <c r="AA123" i="14" s="1"/>
  <c r="AG123" i="14" s="1"/>
  <c r="R115" i="13"/>
  <c r="T116" i="13"/>
  <c r="AL116" i="13" s="1"/>
  <c r="AK117" i="13"/>
  <c r="Z127" i="14"/>
  <c r="AA127" i="14" s="1"/>
  <c r="AG127" i="14" s="1"/>
  <c r="R119" i="13"/>
  <c r="T120" i="13"/>
  <c r="AL120" i="13" s="1"/>
  <c r="S121" i="13"/>
  <c r="T121" i="13" s="1"/>
  <c r="AL121" i="13" s="1"/>
  <c r="AI124" i="13"/>
  <c r="AI125" i="13"/>
  <c r="Q126" i="13"/>
  <c r="AA126" i="13" s="1"/>
  <c r="AG126" i="13" s="1"/>
  <c r="R127" i="13"/>
  <c r="AD192" i="13"/>
  <c r="AF49" i="15"/>
  <c r="K49" i="15"/>
  <c r="AK11" i="14"/>
  <c r="Z12" i="15"/>
  <c r="AA12" i="15" s="1"/>
  <c r="AG12" i="15" s="1"/>
  <c r="S23" i="14"/>
  <c r="T23" i="14" s="1"/>
  <c r="AL23" i="14" s="1"/>
  <c r="AK27" i="14"/>
  <c r="Z28" i="15"/>
  <c r="AA28" i="15" s="1"/>
  <c r="AG28" i="15" s="1"/>
  <c r="T39" i="14"/>
  <c r="AL39" i="14" s="1"/>
  <c r="S55" i="14"/>
  <c r="T55" i="14" s="1"/>
  <c r="AL55" i="14" s="1"/>
  <c r="S71" i="14"/>
  <c r="T71" i="14" s="1"/>
  <c r="AL71" i="14" s="1"/>
  <c r="T87" i="14"/>
  <c r="AL87" i="14" s="1"/>
  <c r="T103" i="14"/>
  <c r="AL103" i="14" s="1"/>
  <c r="AK107" i="14"/>
  <c r="Z108" i="15"/>
  <c r="AA108" i="15" s="1"/>
  <c r="AG108" i="15" s="1"/>
  <c r="T119" i="14"/>
  <c r="AL119" i="14" s="1"/>
  <c r="T135" i="14"/>
  <c r="AL135" i="14" s="1"/>
  <c r="AK139" i="14"/>
  <c r="Z144" i="15"/>
  <c r="AA144" i="15" s="1"/>
  <c r="AG144" i="15" s="1"/>
  <c r="T151" i="14"/>
  <c r="AL151" i="14" s="1"/>
  <c r="AK155" i="14"/>
  <c r="Z160" i="15"/>
  <c r="AA160" i="15" s="1"/>
  <c r="AG160" i="15" s="1"/>
  <c r="T167" i="14"/>
  <c r="AL167" i="14" s="1"/>
  <c r="T175" i="14"/>
  <c r="AL175" i="14" s="1"/>
  <c r="T183" i="14"/>
  <c r="AL183" i="14" s="1"/>
  <c r="T191" i="14"/>
  <c r="AL191" i="14" s="1"/>
  <c r="T199" i="14"/>
  <c r="AL199" i="14" s="1"/>
  <c r="T207" i="14"/>
  <c r="AL207" i="14" s="1"/>
  <c r="T215" i="14"/>
  <c r="AL215" i="14" s="1"/>
  <c r="T223" i="14"/>
  <c r="AL223" i="14" s="1"/>
  <c r="T231" i="14"/>
  <c r="AL231" i="14" s="1"/>
  <c r="T239" i="14"/>
  <c r="AL239" i="14" s="1"/>
  <c r="T247" i="14"/>
  <c r="AL247" i="14" s="1"/>
  <c r="AF37" i="15"/>
  <c r="K37" i="15"/>
  <c r="AF68" i="15"/>
  <c r="K68" i="15"/>
  <c r="AF100" i="15"/>
  <c r="K100" i="15"/>
  <c r="T67" i="15"/>
  <c r="AL67" i="15" s="1"/>
  <c r="T115" i="15"/>
  <c r="AL115" i="15" s="1"/>
  <c r="U18" i="14"/>
  <c r="AA75" i="14"/>
  <c r="AG75" i="14" s="1"/>
  <c r="AA175" i="14"/>
  <c r="AG175" i="14" s="1"/>
  <c r="AA215" i="14"/>
  <c r="AG215" i="14" s="1"/>
  <c r="AA255" i="14"/>
  <c r="AG255" i="14" s="1"/>
  <c r="AF15" i="15"/>
  <c r="K15" i="15"/>
  <c r="AF46" i="15"/>
  <c r="K46" i="15"/>
  <c r="AF78" i="15"/>
  <c r="K78" i="15"/>
  <c r="AF110" i="15"/>
  <c r="K110" i="15"/>
  <c r="Z127" i="15"/>
  <c r="AA127" i="15" s="1"/>
  <c r="AG127" i="15" s="1"/>
  <c r="Z135" i="15"/>
  <c r="AA135" i="15" s="1"/>
  <c r="AG135" i="15" s="1"/>
  <c r="Z143" i="15"/>
  <c r="AA143" i="15" s="1"/>
  <c r="AG143" i="15" s="1"/>
  <c r="Z151" i="15"/>
  <c r="AA151" i="15" s="1"/>
  <c r="AG151" i="15" s="1"/>
  <c r="Z159" i="15"/>
  <c r="AA159" i="15" s="1"/>
  <c r="AG159" i="15" s="1"/>
  <c r="Z167" i="15"/>
  <c r="AA167" i="15" s="1"/>
  <c r="AG167" i="15" s="1"/>
  <c r="Z175" i="15"/>
  <c r="AA175" i="15" s="1"/>
  <c r="AG175" i="15" s="1"/>
  <c r="Z183" i="15"/>
  <c r="AA183" i="15" s="1"/>
  <c r="AG183" i="15" s="1"/>
  <c r="Z191" i="15"/>
  <c r="AA191" i="15" s="1"/>
  <c r="AG191" i="15" s="1"/>
  <c r="Z199" i="15"/>
  <c r="AA199" i="15" s="1"/>
  <c r="AG199" i="15" s="1"/>
  <c r="R2" i="15"/>
  <c r="T2" i="15" s="1"/>
  <c r="T8" i="15"/>
  <c r="AL8" i="15" s="1"/>
  <c r="AD162" i="15"/>
  <c r="S209" i="15"/>
  <c r="Z229" i="15"/>
  <c r="AA229" i="15" s="1"/>
  <c r="AG229" i="15" s="1"/>
  <c r="Z261" i="15"/>
  <c r="AA261" i="15" s="1"/>
  <c r="AG261" i="15" s="1"/>
  <c r="Q120" i="15"/>
  <c r="AK120" i="15" s="1"/>
  <c r="Q136" i="15"/>
  <c r="Q152" i="15"/>
  <c r="AK152" i="15" s="1"/>
  <c r="Q168" i="15"/>
  <c r="AK168" i="15" s="1"/>
  <c r="R209" i="15"/>
  <c r="R225" i="15"/>
  <c r="R241" i="15"/>
  <c r="R257" i="15"/>
  <c r="Z195" i="13"/>
  <c r="AA195" i="13" s="1"/>
  <c r="AG195" i="13" s="1"/>
  <c r="AK214" i="12"/>
  <c r="T230" i="12"/>
  <c r="AL230" i="12" s="1"/>
  <c r="AA129" i="13"/>
  <c r="AG129" i="13" s="1"/>
  <c r="AA174" i="13"/>
  <c r="AG174" i="13" s="1"/>
  <c r="AA198" i="13"/>
  <c r="AG198" i="13" s="1"/>
  <c r="AF205" i="13"/>
  <c r="K205" i="13"/>
  <c r="AK229" i="13"/>
  <c r="Z249" i="14"/>
  <c r="AA249" i="14" s="1"/>
  <c r="AG249" i="14" s="1"/>
  <c r="T238" i="13"/>
  <c r="AL238" i="13" s="1"/>
  <c r="S187" i="13"/>
  <c r="T187" i="13" s="1"/>
  <c r="AL187" i="13" s="1"/>
  <c r="AF57" i="15"/>
  <c r="K57" i="15"/>
  <c r="AF104" i="15"/>
  <c r="K104" i="15"/>
  <c r="AF43" i="15"/>
  <c r="K43" i="15"/>
  <c r="Z83" i="15"/>
  <c r="AA83" i="15" s="1"/>
  <c r="AG83" i="15" s="1"/>
  <c r="AD162" i="14"/>
  <c r="AA244" i="14"/>
  <c r="AG244" i="14" s="1"/>
  <c r="AF102" i="15"/>
  <c r="K102" i="15"/>
  <c r="Z145" i="15"/>
  <c r="AA145" i="15" s="1"/>
  <c r="AG145" i="15" s="1"/>
  <c r="Z161" i="15"/>
  <c r="AA161" i="15" s="1"/>
  <c r="AG161" i="15" s="1"/>
  <c r="T134" i="15"/>
  <c r="AL134" i="15" s="1"/>
  <c r="AF142" i="15"/>
  <c r="K142" i="15"/>
  <c r="AF150" i="15"/>
  <c r="K150" i="15"/>
  <c r="T174" i="15"/>
  <c r="AL174" i="15" s="1"/>
  <c r="AF186" i="15"/>
  <c r="K186" i="15"/>
  <c r="AF202" i="15"/>
  <c r="K202" i="15"/>
  <c r="U149" i="15"/>
  <c r="AF210" i="12"/>
  <c r="K210" i="12"/>
  <c r="Z220" i="13"/>
  <c r="AA220" i="13" s="1"/>
  <c r="AG220" i="13" s="1"/>
  <c r="AK226" i="12"/>
  <c r="U232" i="13"/>
  <c r="S213" i="13"/>
  <c r="T213" i="13" s="1"/>
  <c r="AL213" i="13" s="1"/>
  <c r="S214" i="13"/>
  <c r="T214" i="13" s="1"/>
  <c r="AL214" i="13" s="1"/>
  <c r="U191" i="13"/>
  <c r="AF109" i="15"/>
  <c r="K109" i="15"/>
  <c r="Z99" i="15"/>
  <c r="AA99" i="15" s="1"/>
  <c r="AG99" i="15" s="1"/>
  <c r="Z32" i="14"/>
  <c r="AA32" i="14" s="1"/>
  <c r="AG32" i="14" s="1"/>
  <c r="U55" i="14"/>
  <c r="Z112" i="14"/>
  <c r="AA112" i="14" s="1"/>
  <c r="AG112" i="14" s="1"/>
  <c r="U255" i="14"/>
  <c r="AF23" i="15"/>
  <c r="K23" i="15"/>
  <c r="AF86" i="15"/>
  <c r="K86" i="15"/>
  <c r="Z165" i="15"/>
  <c r="AA165" i="15" s="1"/>
  <c r="AG165" i="15" s="1"/>
  <c r="Z181" i="15"/>
  <c r="AA181" i="15" s="1"/>
  <c r="AG181" i="15" s="1"/>
  <c r="Z197" i="15"/>
  <c r="AA197" i="15" s="1"/>
  <c r="AG197" i="15" s="1"/>
  <c r="T122" i="15"/>
  <c r="AL122" i="15" s="1"/>
  <c r="AF182" i="15"/>
  <c r="K182" i="15"/>
  <c r="AF126" i="12"/>
  <c r="K126" i="12"/>
  <c r="AF142" i="12"/>
  <c r="K142" i="12"/>
  <c r="AF157" i="12"/>
  <c r="K157" i="12"/>
  <c r="T206" i="12"/>
  <c r="AL206" i="12" s="1"/>
  <c r="T5" i="12"/>
  <c r="AL5" i="12" s="1"/>
  <c r="AA169" i="13"/>
  <c r="AG169" i="13" s="1"/>
  <c r="AA181" i="13"/>
  <c r="AG181" i="13" s="1"/>
  <c r="AF237" i="13"/>
  <c r="K237" i="13"/>
  <c r="T237" i="13"/>
  <c r="AL237" i="13" s="1"/>
  <c r="T150" i="13"/>
  <c r="AL150" i="13" s="1"/>
  <c r="U226" i="13"/>
  <c r="AA2" i="15"/>
  <c r="AG2" i="15" s="1"/>
  <c r="AF92" i="15"/>
  <c r="K92" i="15"/>
  <c r="U24" i="14"/>
  <c r="U54" i="14"/>
  <c r="AD94" i="14"/>
  <c r="AA148" i="14"/>
  <c r="AG148" i="14" s="1"/>
  <c r="AD174" i="14"/>
  <c r="AD194" i="14"/>
  <c r="Z224" i="14"/>
  <c r="AA224" i="14" s="1"/>
  <c r="AG224" i="14" s="1"/>
  <c r="U254" i="14"/>
  <c r="U211" i="15"/>
  <c r="U251" i="15"/>
  <c r="AH132" i="15"/>
  <c r="T138" i="15"/>
  <c r="AL138" i="15" s="1"/>
  <c r="T146" i="15"/>
  <c r="AL146" i="15" s="1"/>
  <c r="AF154" i="15"/>
  <c r="K154" i="15"/>
  <c r="T178" i="15"/>
  <c r="AL178" i="15" s="1"/>
  <c r="T194" i="15"/>
  <c r="AL194" i="15" s="1"/>
  <c r="AF207" i="12"/>
  <c r="K207" i="12"/>
  <c r="T218" i="12"/>
  <c r="AL218" i="12" s="1"/>
  <c r="S234" i="12"/>
  <c r="T234" i="12" s="1"/>
  <c r="AL234" i="12" s="1"/>
  <c r="AA237" i="13"/>
  <c r="AG237" i="13" s="1"/>
  <c r="U233" i="13"/>
  <c r="U225" i="13"/>
  <c r="S225" i="13"/>
  <c r="T225" i="13" s="1"/>
  <c r="AL225" i="13" s="1"/>
  <c r="T134" i="13"/>
  <c r="AL134" i="13" s="1"/>
  <c r="T183" i="13"/>
  <c r="AL183" i="13" s="1"/>
  <c r="AA207" i="13"/>
  <c r="AG207" i="13" s="1"/>
  <c r="T18" i="15"/>
  <c r="AL18" i="15" s="1"/>
  <c r="AF73" i="15"/>
  <c r="K73" i="15"/>
  <c r="AF116" i="15"/>
  <c r="K116" i="15"/>
  <c r="Z16" i="14"/>
  <c r="AA16" i="14" s="1"/>
  <c r="AG16" i="14" s="1"/>
  <c r="Z92" i="14"/>
  <c r="AA92" i="14" s="1"/>
  <c r="AG92" i="14" s="1"/>
  <c r="AA144" i="14"/>
  <c r="AG144" i="14" s="1"/>
  <c r="Z176" i="14"/>
  <c r="AA176" i="14" s="1"/>
  <c r="AG176" i="14" s="1"/>
  <c r="Z204" i="14"/>
  <c r="AA204" i="14" s="1"/>
  <c r="AG204" i="14" s="1"/>
  <c r="AD254" i="14"/>
  <c r="Z121" i="15"/>
  <c r="AA121" i="15" s="1"/>
  <c r="AG121" i="15" s="1"/>
  <c r="T130" i="15"/>
  <c r="AL130" i="15" s="1"/>
  <c r="U153" i="15"/>
  <c r="AH172" i="15"/>
  <c r="AH204" i="15"/>
  <c r="C16" i="4"/>
  <c r="M53" i="3"/>
  <c r="M24" i="3"/>
  <c r="M23" i="3"/>
  <c r="M19" i="3"/>
  <c r="M11" i="3"/>
  <c r="M25" i="3"/>
  <c r="F16" i="4"/>
  <c r="B16" i="4"/>
  <c r="M57" i="3"/>
  <c r="M56" i="3"/>
  <c r="M51" i="3"/>
  <c r="M50" i="3"/>
  <c r="M49" i="3"/>
  <c r="M48" i="3"/>
  <c r="M47" i="3"/>
  <c r="M27" i="3"/>
  <c r="M28" i="3"/>
  <c r="D16" i="4"/>
  <c r="M54" i="3"/>
  <c r="M29" i="3"/>
  <c r="E16" i="4"/>
  <c r="M55" i="3"/>
  <c r="M21" i="3"/>
  <c r="M20" i="3"/>
  <c r="M18" i="3"/>
  <c r="M17" i="3"/>
  <c r="M16" i="3"/>
  <c r="M15" i="3"/>
  <c r="M14" i="3"/>
  <c r="M13" i="3"/>
  <c r="M12" i="3"/>
  <c r="M10" i="3"/>
  <c r="AA74" i="13"/>
  <c r="AG74" i="13" s="1"/>
  <c r="AF154" i="13"/>
  <c r="K154" i="13"/>
  <c r="AK137" i="13"/>
  <c r="Z149" i="14"/>
  <c r="AA149" i="14" s="1"/>
  <c r="AG149" i="14" s="1"/>
  <c r="AK16" i="14"/>
  <c r="Z17" i="15"/>
  <c r="AA17" i="15" s="1"/>
  <c r="AG17" i="15" s="1"/>
  <c r="AK20" i="14"/>
  <c r="Z21" i="15"/>
  <c r="AA21" i="15" s="1"/>
  <c r="AG21" i="15" s="1"/>
  <c r="AF25" i="15"/>
  <c r="K25" i="15"/>
  <c r="AF19" i="14"/>
  <c r="K19" i="14"/>
  <c r="AF210" i="15"/>
  <c r="K210" i="15"/>
  <c r="R212" i="15"/>
  <c r="U212" i="15"/>
  <c r="S212" i="15"/>
  <c r="AF2" i="12"/>
  <c r="K2" i="12"/>
  <c r="AA80" i="13"/>
  <c r="AG80" i="13" s="1"/>
  <c r="AF132" i="13"/>
  <c r="K132" i="13"/>
  <c r="AA65" i="13"/>
  <c r="AG65" i="13" s="1"/>
  <c r="AF20" i="14"/>
  <c r="K20" i="14"/>
  <c r="AF42" i="13"/>
  <c r="K42" i="13"/>
  <c r="AF63" i="13"/>
  <c r="K63" i="13"/>
  <c r="AF36" i="13"/>
  <c r="K36" i="13"/>
  <c r="AF82" i="13"/>
  <c r="K82" i="13"/>
  <c r="AF190" i="13"/>
  <c r="K190" i="13"/>
  <c r="AK8" i="14"/>
  <c r="Z9" i="15"/>
  <c r="AA9" i="15" s="1"/>
  <c r="AG9" i="15" s="1"/>
  <c r="U215" i="13"/>
  <c r="R215" i="13"/>
  <c r="AK223" i="13"/>
  <c r="Z243" i="14"/>
  <c r="AA243" i="14" s="1"/>
  <c r="AG243" i="14" s="1"/>
  <c r="U231" i="13"/>
  <c r="R231" i="13"/>
  <c r="T52" i="14"/>
  <c r="AL52" i="14" s="1"/>
  <c r="T68" i="14"/>
  <c r="AL68" i="14" s="1"/>
  <c r="AK80" i="14"/>
  <c r="Z80" i="15"/>
  <c r="AA80" i="15" s="1"/>
  <c r="AG80" i="15" s="1"/>
  <c r="AK84" i="14"/>
  <c r="Z85" i="15"/>
  <c r="AA85" i="15" s="1"/>
  <c r="AG85" i="15" s="1"/>
  <c r="Z76" i="15"/>
  <c r="AA76" i="15" s="1"/>
  <c r="AG76" i="15" s="1"/>
  <c r="AF35" i="15"/>
  <c r="K35" i="15"/>
  <c r="F5" i="4"/>
  <c r="B57" i="3"/>
  <c r="B56" i="3"/>
  <c r="B51" i="3"/>
  <c r="B50" i="3"/>
  <c r="B49" i="3"/>
  <c r="E5" i="4"/>
  <c r="B55" i="3"/>
  <c r="D5" i="4"/>
  <c r="C5" i="4"/>
  <c r="B53" i="3"/>
  <c r="B25" i="3"/>
  <c r="B24" i="3"/>
  <c r="B23" i="3"/>
  <c r="B21" i="3"/>
  <c r="B20" i="3"/>
  <c r="B19" i="3"/>
  <c r="B18" i="3"/>
  <c r="B17" i="3"/>
  <c r="B16" i="3"/>
  <c r="B15" i="3"/>
  <c r="B14" i="3"/>
  <c r="B13" i="3"/>
  <c r="B12" i="3"/>
  <c r="B11" i="3"/>
  <c r="B10" i="3"/>
  <c r="B5" i="4"/>
  <c r="B48" i="3"/>
  <c r="B54" i="3"/>
  <c r="B47" i="3"/>
  <c r="U159" i="13"/>
  <c r="AF198" i="13"/>
  <c r="K198" i="13"/>
  <c r="AJ77" i="13"/>
  <c r="AK185" i="13"/>
  <c r="Z203" i="14"/>
  <c r="AA203" i="14" s="1"/>
  <c r="AG203" i="14" s="1"/>
  <c r="S24" i="14"/>
  <c r="T24" i="14" s="1"/>
  <c r="AL24" i="14" s="1"/>
  <c r="AK36" i="14"/>
  <c r="Z37" i="15"/>
  <c r="AA37" i="15" s="1"/>
  <c r="AG37" i="15" s="1"/>
  <c r="AK40" i="14"/>
  <c r="Z41" i="15"/>
  <c r="AA41" i="15" s="1"/>
  <c r="AG41" i="15" s="1"/>
  <c r="AK44" i="14"/>
  <c r="Z45" i="15"/>
  <c r="AA45" i="15" s="1"/>
  <c r="AG45" i="15" s="1"/>
  <c r="AK48" i="14"/>
  <c r="Z49" i="15"/>
  <c r="AA49" i="15" s="1"/>
  <c r="AG49" i="15" s="1"/>
  <c r="S64" i="14"/>
  <c r="T64" i="14" s="1"/>
  <c r="AL64" i="14" s="1"/>
  <c r="AF56" i="15"/>
  <c r="K56" i="15"/>
  <c r="R22" i="14"/>
  <c r="U27" i="14"/>
  <c r="AF233" i="15"/>
  <c r="K233" i="15"/>
  <c r="AF265" i="15"/>
  <c r="K265" i="15"/>
  <c r="Z223" i="15"/>
  <c r="AA223" i="15" s="1"/>
  <c r="AG223" i="15" s="1"/>
  <c r="Z255" i="15"/>
  <c r="AA255" i="15" s="1"/>
  <c r="AG255" i="15" s="1"/>
  <c r="AF218" i="15"/>
  <c r="K218" i="15"/>
  <c r="R220" i="15"/>
  <c r="U220" i="15"/>
  <c r="S220" i="15"/>
  <c r="AF242" i="15"/>
  <c r="K242" i="15"/>
  <c r="R244" i="15"/>
  <c r="U244" i="15"/>
  <c r="S244" i="15"/>
  <c r="AD125" i="15"/>
  <c r="AF6" i="12"/>
  <c r="K6" i="12"/>
  <c r="AK126" i="12"/>
  <c r="Z6" i="13"/>
  <c r="AA6" i="13" s="1"/>
  <c r="AG6" i="13" s="1"/>
  <c r="T196" i="12"/>
  <c r="AL196" i="12" s="1"/>
  <c r="AA27" i="13"/>
  <c r="AG27" i="13" s="1"/>
  <c r="U90" i="13"/>
  <c r="AJ36" i="13"/>
  <c r="U68" i="13"/>
  <c r="Q3" i="13"/>
  <c r="AJ3" i="13"/>
  <c r="U3" i="13"/>
  <c r="AH3" i="13"/>
  <c r="S3" i="13"/>
  <c r="T3" i="13" s="1"/>
  <c r="AL3" i="13" s="1"/>
  <c r="AI3" i="13"/>
  <c r="AD233" i="14"/>
  <c r="K7" i="13"/>
  <c r="AF7" i="13"/>
  <c r="AF187" i="13"/>
  <c r="K187" i="13"/>
  <c r="AK187" i="13"/>
  <c r="Z205" i="14"/>
  <c r="AA205" i="14" s="1"/>
  <c r="AG205" i="14" s="1"/>
  <c r="S239" i="13"/>
  <c r="T239" i="13" s="1"/>
  <c r="AL239" i="13" s="1"/>
  <c r="U52" i="14"/>
  <c r="T113" i="15"/>
  <c r="AL113" i="15" s="1"/>
  <c r="AK13" i="14"/>
  <c r="Z14" i="15"/>
  <c r="AA14" i="15" s="1"/>
  <c r="AG14" i="15" s="1"/>
  <c r="AK17" i="14"/>
  <c r="Z18" i="15"/>
  <c r="AA18" i="15" s="1"/>
  <c r="AG18" i="15" s="1"/>
  <c r="T21" i="14"/>
  <c r="AL21" i="14" s="1"/>
  <c r="T33" i="14"/>
  <c r="AL33" i="14" s="1"/>
  <c r="AK45" i="14"/>
  <c r="Z46" i="15"/>
  <c r="AA46" i="15" s="1"/>
  <c r="AG46" i="15" s="1"/>
  <c r="T61" i="14"/>
  <c r="AL61" i="14" s="1"/>
  <c r="T73" i="14"/>
  <c r="AL73" i="14" s="1"/>
  <c r="AK77" i="14"/>
  <c r="Z77" i="15"/>
  <c r="AA77" i="15" s="1"/>
  <c r="AG77" i="15" s="1"/>
  <c r="T81" i="14"/>
  <c r="AL81" i="14" s="1"/>
  <c r="T85" i="14"/>
  <c r="AL85" i="14" s="1"/>
  <c r="AK89" i="14"/>
  <c r="Z90" i="15"/>
  <c r="AA90" i="15" s="1"/>
  <c r="AG90" i="15" s="1"/>
  <c r="T101" i="14"/>
  <c r="AL101" i="14" s="1"/>
  <c r="AK105" i="14"/>
  <c r="Z106" i="15"/>
  <c r="AA106" i="15" s="1"/>
  <c r="AG106" i="15" s="1"/>
  <c r="T117" i="14"/>
  <c r="AL117" i="14" s="1"/>
  <c r="AK121" i="14"/>
  <c r="Z124" i="15"/>
  <c r="T133" i="14"/>
  <c r="AL133" i="14" s="1"/>
  <c r="AK137" i="14"/>
  <c r="Z142" i="15"/>
  <c r="AA142" i="15" s="1"/>
  <c r="AG142" i="15" s="1"/>
  <c r="T149" i="14"/>
  <c r="AL149" i="14" s="1"/>
  <c r="AK153" i="14"/>
  <c r="Z158" i="15"/>
  <c r="AA158" i="15" s="1"/>
  <c r="AG158" i="15" s="1"/>
  <c r="T165" i="14"/>
  <c r="AL165" i="14" s="1"/>
  <c r="AK169" i="14"/>
  <c r="Z176" i="15"/>
  <c r="AA176" i="15" s="1"/>
  <c r="AG176" i="15" s="1"/>
  <c r="T181" i="14"/>
  <c r="AL181" i="14" s="1"/>
  <c r="AK185" i="14"/>
  <c r="Z192" i="15"/>
  <c r="T197" i="14"/>
  <c r="AL197" i="14" s="1"/>
  <c r="T213" i="14"/>
  <c r="AL213" i="14" s="1"/>
  <c r="T229" i="14"/>
  <c r="AL229" i="14" s="1"/>
  <c r="T245" i="14"/>
  <c r="AL245" i="14" s="1"/>
  <c r="T59" i="15"/>
  <c r="AL59" i="15" s="1"/>
  <c r="U5" i="14"/>
  <c r="AA117" i="14"/>
  <c r="AG117" i="14" s="1"/>
  <c r="AA253" i="14"/>
  <c r="AG253" i="14" s="1"/>
  <c r="T229" i="15"/>
  <c r="AL229" i="15" s="1"/>
  <c r="T245" i="15"/>
  <c r="AL245" i="15" s="1"/>
  <c r="T261" i="15"/>
  <c r="AL261" i="15" s="1"/>
  <c r="AF28" i="13"/>
  <c r="K28" i="13"/>
  <c r="AF87" i="13"/>
  <c r="K87" i="13"/>
  <c r="AF47" i="13"/>
  <c r="K47" i="13"/>
  <c r="AF101" i="13"/>
  <c r="K101" i="13"/>
  <c r="AF117" i="13"/>
  <c r="K117" i="13"/>
  <c r="AF49" i="13"/>
  <c r="K49" i="13"/>
  <c r="AF129" i="13"/>
  <c r="K129" i="13"/>
  <c r="AF95" i="13"/>
  <c r="K95" i="13"/>
  <c r="AF111" i="13"/>
  <c r="K111" i="13"/>
  <c r="D7" i="4"/>
  <c r="C7" i="4"/>
  <c r="D53" i="3"/>
  <c r="D25" i="3"/>
  <c r="D24" i="3"/>
  <c r="D23" i="3"/>
  <c r="D21" i="3"/>
  <c r="D20" i="3"/>
  <c r="D19" i="3"/>
  <c r="D18" i="3"/>
  <c r="D17" i="3"/>
  <c r="D16" i="3"/>
  <c r="D15" i="3"/>
  <c r="D14" i="3"/>
  <c r="D13" i="3"/>
  <c r="D12" i="3"/>
  <c r="D11" i="3"/>
  <c r="D10" i="3"/>
  <c r="B7" i="4"/>
  <c r="D56" i="3"/>
  <c r="D51" i="3"/>
  <c r="D50" i="3"/>
  <c r="D49" i="3"/>
  <c r="D47" i="3"/>
  <c r="E7" i="4"/>
  <c r="D55" i="3"/>
  <c r="D28" i="3"/>
  <c r="F7" i="4"/>
  <c r="D57" i="3"/>
  <c r="D48" i="3"/>
  <c r="D27" i="3"/>
  <c r="D54" i="3"/>
  <c r="D29" i="3"/>
  <c r="AK84" i="12"/>
  <c r="Z167" i="13"/>
  <c r="AA167" i="13" s="1"/>
  <c r="AG167" i="13" s="1"/>
  <c r="Z197" i="13"/>
  <c r="AA197" i="13" s="1"/>
  <c r="AG197" i="13" s="1"/>
  <c r="AK100" i="12"/>
  <c r="AA42" i="13"/>
  <c r="AG42" i="13" s="1"/>
  <c r="Z75" i="13"/>
  <c r="AA75" i="13" s="1"/>
  <c r="AG75" i="13" s="1"/>
  <c r="AK171" i="13"/>
  <c r="Z187" i="14"/>
  <c r="AA187" i="14" s="1"/>
  <c r="AG187" i="14" s="1"/>
  <c r="U81" i="13"/>
  <c r="U55" i="13"/>
  <c r="U44" i="13"/>
  <c r="U5" i="13"/>
  <c r="AJ4" i="13"/>
  <c r="U50" i="13"/>
  <c r="AD132" i="14"/>
  <c r="AD116" i="14"/>
  <c r="AF146" i="13"/>
  <c r="K146" i="13"/>
  <c r="AJ11" i="13"/>
  <c r="AJ84" i="13"/>
  <c r="AJ21" i="13"/>
  <c r="T219" i="13"/>
  <c r="AL219" i="13" s="1"/>
  <c r="S2" i="12"/>
  <c r="T2" i="12" s="1"/>
  <c r="AL2" i="12" s="1"/>
  <c r="S6" i="12"/>
  <c r="AI5" i="13"/>
  <c r="T10" i="13"/>
  <c r="AL10" i="13" s="1"/>
  <c r="Q11" i="13"/>
  <c r="AK130" i="13"/>
  <c r="AA130" i="13"/>
  <c r="AG130" i="13" s="1"/>
  <c r="Z157" i="14"/>
  <c r="AA157" i="14" s="1"/>
  <c r="AG157" i="14" s="1"/>
  <c r="AA145" i="13"/>
  <c r="AG145" i="13" s="1"/>
  <c r="AK145" i="13"/>
  <c r="Z193" i="14"/>
  <c r="AA193" i="14" s="1"/>
  <c r="AG193" i="14" s="1"/>
  <c r="AK177" i="13"/>
  <c r="AK191" i="13"/>
  <c r="Z209" i="14"/>
  <c r="AA209" i="14" s="1"/>
  <c r="AG209" i="14" s="1"/>
  <c r="T202" i="13"/>
  <c r="AL202" i="13" s="1"/>
  <c r="AJ234" i="13"/>
  <c r="AI234" i="13"/>
  <c r="AH234" i="13"/>
  <c r="U234" i="13"/>
  <c r="Q234" i="13"/>
  <c r="S234" i="13"/>
  <c r="Z211" i="15"/>
  <c r="AA211" i="15" s="1"/>
  <c r="AG211" i="15" s="1"/>
  <c r="AF252" i="14"/>
  <c r="K252" i="14"/>
  <c r="AF236" i="14"/>
  <c r="K236" i="14"/>
  <c r="AF220" i="14"/>
  <c r="K220" i="14"/>
  <c r="AF204" i="14"/>
  <c r="K204" i="14"/>
  <c r="AF188" i="14"/>
  <c r="K188" i="14"/>
  <c r="AF172" i="14"/>
  <c r="K172" i="14"/>
  <c r="AF156" i="14"/>
  <c r="K156" i="14"/>
  <c r="AF140" i="14"/>
  <c r="K140" i="14"/>
  <c r="AF124" i="14"/>
  <c r="K124" i="14"/>
  <c r="AF108" i="14"/>
  <c r="K108" i="14"/>
  <c r="AF92" i="14"/>
  <c r="K92" i="14"/>
  <c r="U48" i="14"/>
  <c r="Z132" i="13"/>
  <c r="AA132" i="13" s="1"/>
  <c r="AG132" i="13" s="1"/>
  <c r="T14" i="15"/>
  <c r="AL14" i="15" s="1"/>
  <c r="T30" i="15"/>
  <c r="AL30" i="15" s="1"/>
  <c r="T45" i="15"/>
  <c r="AL45" i="15" s="1"/>
  <c r="T61" i="15"/>
  <c r="AL61" i="15" s="1"/>
  <c r="T77" i="15"/>
  <c r="AL77" i="15" s="1"/>
  <c r="T93" i="15"/>
  <c r="AL93" i="15" s="1"/>
  <c r="AK14" i="14"/>
  <c r="Z15" i="15"/>
  <c r="AA15" i="15" s="1"/>
  <c r="AG15" i="15" s="1"/>
  <c r="AK30" i="14"/>
  <c r="Z31" i="15"/>
  <c r="AA31" i="15" s="1"/>
  <c r="AG31" i="15" s="1"/>
  <c r="T38" i="14"/>
  <c r="AL38" i="14" s="1"/>
  <c r="AK66" i="14"/>
  <c r="Z66" i="15"/>
  <c r="AA66" i="15" s="1"/>
  <c r="AG66" i="15" s="1"/>
  <c r="AK74" i="14"/>
  <c r="Z74" i="15"/>
  <c r="AA74" i="15" s="1"/>
  <c r="AG74" i="15" s="1"/>
  <c r="T90" i="14"/>
  <c r="AL90" i="14" s="1"/>
  <c r="T98" i="14"/>
  <c r="AL98" i="14" s="1"/>
  <c r="T106" i="14"/>
  <c r="AL106" i="14" s="1"/>
  <c r="T114" i="14"/>
  <c r="AL114" i="14" s="1"/>
  <c r="T122" i="14"/>
  <c r="AL122" i="14" s="1"/>
  <c r="T130" i="14"/>
  <c r="AL130" i="14" s="1"/>
  <c r="T138" i="14"/>
  <c r="AL138" i="14" s="1"/>
  <c r="T146" i="14"/>
  <c r="AL146" i="14" s="1"/>
  <c r="T154" i="14"/>
  <c r="AL154" i="14" s="1"/>
  <c r="T162" i="14"/>
  <c r="AL162" i="14" s="1"/>
  <c r="T170" i="14"/>
  <c r="AL170" i="14" s="1"/>
  <c r="T178" i="14"/>
  <c r="AL178" i="14" s="1"/>
  <c r="T32" i="15"/>
  <c r="AL32" i="15" s="1"/>
  <c r="T63" i="15"/>
  <c r="AL63" i="15" s="1"/>
  <c r="T79" i="15"/>
  <c r="AL79" i="15" s="1"/>
  <c r="T95" i="15"/>
  <c r="AL95" i="15" s="1"/>
  <c r="T111" i="15"/>
  <c r="AL111" i="15" s="1"/>
  <c r="T7" i="14"/>
  <c r="AL7" i="14" s="1"/>
  <c r="AA38" i="14"/>
  <c r="AG38" i="14" s="1"/>
  <c r="AA46" i="14"/>
  <c r="AG46" i="14" s="1"/>
  <c r="AA102" i="14"/>
  <c r="AG102" i="14" s="1"/>
  <c r="AA118" i="14"/>
  <c r="AG118" i="14" s="1"/>
  <c r="Z150" i="14"/>
  <c r="AA150" i="14" s="1"/>
  <c r="AG150" i="14" s="1"/>
  <c r="AA166" i="14"/>
  <c r="AG166" i="14" s="1"/>
  <c r="Z182" i="14"/>
  <c r="AA182" i="14" s="1"/>
  <c r="AG182" i="14" s="1"/>
  <c r="AA198" i="14"/>
  <c r="AG198" i="14" s="1"/>
  <c r="AA214" i="14"/>
  <c r="AG214" i="14" s="1"/>
  <c r="Z230" i="14"/>
  <c r="AA230" i="14" s="1"/>
  <c r="AG230" i="14" s="1"/>
  <c r="AA246" i="14"/>
  <c r="AG246" i="14" s="1"/>
  <c r="U128" i="15"/>
  <c r="AI128" i="15"/>
  <c r="AJ128" i="15"/>
  <c r="U144" i="15"/>
  <c r="AI144" i="15"/>
  <c r="AJ144" i="15"/>
  <c r="U160" i="15"/>
  <c r="AI160" i="15"/>
  <c r="AJ160" i="15"/>
  <c r="U176" i="15"/>
  <c r="AI176" i="15"/>
  <c r="AJ176" i="15"/>
  <c r="U192" i="15"/>
  <c r="AI192" i="15"/>
  <c r="AJ192" i="15"/>
  <c r="Q192" i="15"/>
  <c r="AK192" i="15" s="1"/>
  <c r="S120" i="15"/>
  <c r="T120" i="15" s="1"/>
  <c r="AL120" i="15" s="1"/>
  <c r="S136" i="15"/>
  <c r="T136" i="15" s="1"/>
  <c r="AL136" i="15" s="1"/>
  <c r="S152" i="15"/>
  <c r="S168" i="15"/>
  <c r="T168" i="15" s="1"/>
  <c r="AL168" i="15" s="1"/>
  <c r="S184" i="15"/>
  <c r="T184" i="15" s="1"/>
  <c r="AL184" i="15" s="1"/>
  <c r="S200" i="15"/>
  <c r="T200" i="15" s="1"/>
  <c r="AL200" i="15" s="1"/>
  <c r="Z243" i="15"/>
  <c r="AA243" i="15" s="1"/>
  <c r="AG243" i="15" s="1"/>
  <c r="T3" i="15"/>
  <c r="AL3" i="15" s="1"/>
  <c r="AF214" i="15"/>
  <c r="K214" i="15"/>
  <c r="R216" i="15"/>
  <c r="S216" i="15"/>
  <c r="AF230" i="15"/>
  <c r="K230" i="15"/>
  <c r="R232" i="15"/>
  <c r="S232" i="15"/>
  <c r="AF246" i="15"/>
  <c r="K246" i="15"/>
  <c r="R248" i="15"/>
  <c r="S248" i="15"/>
  <c r="AF262" i="15"/>
  <c r="K262" i="15"/>
  <c r="H24" i="3"/>
  <c r="C11" i="4" s="1"/>
  <c r="H18" i="3"/>
  <c r="H10" i="3"/>
  <c r="H50" i="3"/>
  <c r="H49" i="3"/>
  <c r="B11" i="4"/>
  <c r="H56" i="3"/>
  <c r="U8" i="12"/>
  <c r="AA51" i="13"/>
  <c r="AG51" i="13" s="1"/>
  <c r="Z114" i="13"/>
  <c r="AA114" i="13" s="1"/>
  <c r="AG114" i="13" s="1"/>
  <c r="U27" i="13"/>
  <c r="AA78" i="13"/>
  <c r="AG78" i="13" s="1"/>
  <c r="U72" i="13"/>
  <c r="U37" i="13"/>
  <c r="U15" i="13"/>
  <c r="AF148" i="13"/>
  <c r="K148" i="13"/>
  <c r="AD33" i="14"/>
  <c r="AF188" i="13"/>
  <c r="K188" i="13"/>
  <c r="AJ76" i="13"/>
  <c r="AJ15" i="13"/>
  <c r="AA211" i="13"/>
  <c r="AG211" i="13" s="1"/>
  <c r="T230" i="13"/>
  <c r="AL230" i="13" s="1"/>
  <c r="AF41" i="14"/>
  <c r="K41" i="14"/>
  <c r="AK149" i="13"/>
  <c r="Z161" i="14"/>
  <c r="AA161" i="14" s="1"/>
  <c r="AG161" i="14" s="1"/>
  <c r="AK165" i="13"/>
  <c r="Z181" i="14"/>
  <c r="AA181" i="14" s="1"/>
  <c r="AG181" i="14" s="1"/>
  <c r="T190" i="13"/>
  <c r="AL190" i="13" s="1"/>
  <c r="U207" i="13"/>
  <c r="S215" i="13"/>
  <c r="T215" i="13" s="1"/>
  <c r="AL215" i="13" s="1"/>
  <c r="S231" i="13"/>
  <c r="T231" i="13" s="1"/>
  <c r="AL231" i="13" s="1"/>
  <c r="U239" i="13"/>
  <c r="AF28" i="14"/>
  <c r="K28" i="14"/>
  <c r="AF57" i="14"/>
  <c r="K57" i="14"/>
  <c r="S14" i="13"/>
  <c r="T14" i="13" s="1"/>
  <c r="AL14" i="13" s="1"/>
  <c r="AH15" i="13"/>
  <c r="H19" i="3" s="1"/>
  <c r="AK16" i="13"/>
  <c r="Z17" i="14"/>
  <c r="AA17" i="14" s="1"/>
  <c r="AG17" i="14" s="1"/>
  <c r="AH17" i="13"/>
  <c r="AI18" i="13"/>
  <c r="AI20" i="13"/>
  <c r="AH20" i="13"/>
  <c r="Q21" i="13"/>
  <c r="Q23" i="13"/>
  <c r="Q25" i="13"/>
  <c r="Q26" i="13"/>
  <c r="AA26" i="13" s="1"/>
  <c r="AG26" i="13" s="1"/>
  <c r="S27" i="13"/>
  <c r="T27" i="13" s="1"/>
  <c r="AL27" i="13" s="1"/>
  <c r="T29" i="13"/>
  <c r="AL29" i="13" s="1"/>
  <c r="T31" i="13"/>
  <c r="AL31" i="13" s="1"/>
  <c r="AK32" i="13"/>
  <c r="Z35" i="14"/>
  <c r="AA35" i="14" s="1"/>
  <c r="AG35" i="14" s="1"/>
  <c r="T33" i="13"/>
  <c r="AL33" i="13" s="1"/>
  <c r="AK34" i="13"/>
  <c r="Z37" i="14"/>
  <c r="AA37" i="14" s="1"/>
  <c r="AG37" i="14" s="1"/>
  <c r="T35" i="13"/>
  <c r="AL35" i="13" s="1"/>
  <c r="Q36" i="13"/>
  <c r="AH36" i="13"/>
  <c r="AH37" i="13"/>
  <c r="AI38" i="13"/>
  <c r="AI39" i="13"/>
  <c r="AH39" i="13"/>
  <c r="Q40" i="13"/>
  <c r="Q41" i="13"/>
  <c r="S42" i="13"/>
  <c r="S44" i="13"/>
  <c r="T44" i="13" s="1"/>
  <c r="AL44" i="13" s="1"/>
  <c r="T46" i="13"/>
  <c r="AL46" i="13" s="1"/>
  <c r="T48" i="13"/>
  <c r="AL48" i="13" s="1"/>
  <c r="S50" i="13"/>
  <c r="T50" i="13" s="1"/>
  <c r="AL50" i="13" s="1"/>
  <c r="Q51" i="13"/>
  <c r="AH51" i="13"/>
  <c r="AH52" i="13"/>
  <c r="AI53" i="13"/>
  <c r="AI55" i="13"/>
  <c r="AH55" i="13"/>
  <c r="Q56" i="13"/>
  <c r="Q57" i="13"/>
  <c r="T58" i="13"/>
  <c r="AL58" i="13" s="1"/>
  <c r="S60" i="13"/>
  <c r="T60" i="13" s="1"/>
  <c r="AL60" i="13" s="1"/>
  <c r="T62" i="13"/>
  <c r="AL62" i="13" s="1"/>
  <c r="Q63" i="13"/>
  <c r="AH63" i="13"/>
  <c r="AH64" i="13"/>
  <c r="AI65" i="13"/>
  <c r="AI66" i="13"/>
  <c r="AI67" i="13"/>
  <c r="AH67" i="13"/>
  <c r="Q68" i="13"/>
  <c r="Q69" i="13"/>
  <c r="S70" i="13"/>
  <c r="T70" i="13" s="1"/>
  <c r="AL70" i="13" s="1"/>
  <c r="AK71" i="13"/>
  <c r="Z77" i="14"/>
  <c r="AA77" i="14" s="1"/>
  <c r="AG77" i="14" s="1"/>
  <c r="S72" i="13"/>
  <c r="T72" i="13" s="1"/>
  <c r="AL72" i="13" s="1"/>
  <c r="AK73" i="13"/>
  <c r="Z79" i="14"/>
  <c r="AA79" i="14" s="1"/>
  <c r="AG79" i="14" s="1"/>
  <c r="AH74" i="13"/>
  <c r="AK75" i="13"/>
  <c r="Z81" i="14"/>
  <c r="AA81" i="14" s="1"/>
  <c r="AG81" i="14" s="1"/>
  <c r="S76" i="13"/>
  <c r="T76" i="13" s="1"/>
  <c r="AL76" i="13" s="1"/>
  <c r="S77" i="13"/>
  <c r="T77" i="13" s="1"/>
  <c r="AL77" i="13" s="1"/>
  <c r="T78" i="13"/>
  <c r="AL78" i="13" s="1"/>
  <c r="S79" i="13"/>
  <c r="T79" i="13" s="1"/>
  <c r="AL79" i="13" s="1"/>
  <c r="AH79" i="13"/>
  <c r="AI80" i="13"/>
  <c r="AI81" i="13"/>
  <c r="Q83" i="13"/>
  <c r="AH83" i="13"/>
  <c r="S84" i="13"/>
  <c r="T84" i="13" s="1"/>
  <c r="AL84" i="13" s="1"/>
  <c r="AK85" i="13"/>
  <c r="Z91" i="14"/>
  <c r="AA91" i="14" s="1"/>
  <c r="AG91" i="14" s="1"/>
  <c r="T86" i="13"/>
  <c r="AL86" i="13" s="1"/>
  <c r="AK87" i="13"/>
  <c r="Z93" i="14"/>
  <c r="AA93" i="14" s="1"/>
  <c r="AG93" i="14" s="1"/>
  <c r="T88" i="13"/>
  <c r="AL88" i="13" s="1"/>
  <c r="S89" i="13"/>
  <c r="T89" i="13" s="1"/>
  <c r="AL89" i="13" s="1"/>
  <c r="S90" i="13"/>
  <c r="T90" i="13" s="1"/>
  <c r="AL90" i="13" s="1"/>
  <c r="S93" i="13"/>
  <c r="T93" i="13" s="1"/>
  <c r="AL93" i="13" s="1"/>
  <c r="S97" i="13"/>
  <c r="T97" i="13" s="1"/>
  <c r="AL97" i="13" s="1"/>
  <c r="T98" i="13"/>
  <c r="AL98" i="13" s="1"/>
  <c r="S101" i="13"/>
  <c r="T101" i="13" s="1"/>
  <c r="AL101" i="13" s="1"/>
  <c r="T102" i="13"/>
  <c r="AL102" i="13" s="1"/>
  <c r="S105" i="13"/>
  <c r="T105" i="13" s="1"/>
  <c r="AL105" i="13" s="1"/>
  <c r="T106" i="13"/>
  <c r="AL106" i="13" s="1"/>
  <c r="S109" i="13"/>
  <c r="T109" i="13" s="1"/>
  <c r="AL109" i="13" s="1"/>
  <c r="AK111" i="13"/>
  <c r="Z121" i="14"/>
  <c r="AA121" i="14" s="1"/>
  <c r="AG121" i="14" s="1"/>
  <c r="S113" i="13"/>
  <c r="T113" i="13" s="1"/>
  <c r="AL113" i="13" s="1"/>
  <c r="T114" i="13"/>
  <c r="AL114" i="13" s="1"/>
  <c r="AK115" i="13"/>
  <c r="Z125" i="14"/>
  <c r="AA125" i="14" s="1"/>
  <c r="AG125" i="14" s="1"/>
  <c r="S117" i="13"/>
  <c r="T117" i="13" s="1"/>
  <c r="AL117" i="13" s="1"/>
  <c r="T118" i="13"/>
  <c r="AL118" i="13" s="1"/>
  <c r="AK119" i="13"/>
  <c r="Z129" i="14"/>
  <c r="AA129" i="14" s="1"/>
  <c r="AG129" i="14" s="1"/>
  <c r="AI121" i="13"/>
  <c r="AK122" i="13"/>
  <c r="Z133" i="14"/>
  <c r="AA133" i="14" s="1"/>
  <c r="AG133" i="14" s="1"/>
  <c r="AI123" i="13"/>
  <c r="AH123" i="13"/>
  <c r="Q124" i="13"/>
  <c r="Q125" i="13"/>
  <c r="S126" i="13"/>
  <c r="T126" i="13" s="1"/>
  <c r="AL126" i="13" s="1"/>
  <c r="AK127" i="13"/>
  <c r="Z139" i="14"/>
  <c r="AA139" i="14" s="1"/>
  <c r="AG139" i="14" s="1"/>
  <c r="T128" i="13"/>
  <c r="AL128" i="13" s="1"/>
  <c r="Z141" i="14"/>
  <c r="AA141" i="14" s="1"/>
  <c r="AG141" i="14" s="1"/>
  <c r="AK129" i="13"/>
  <c r="AF65" i="15"/>
  <c r="K65" i="15"/>
  <c r="S11" i="14"/>
  <c r="T11" i="14" s="1"/>
  <c r="AL11" i="14" s="1"/>
  <c r="AK15" i="14"/>
  <c r="Z16" i="15"/>
  <c r="AA16" i="15" s="1"/>
  <c r="AG16" i="15" s="1"/>
  <c r="S27" i="14"/>
  <c r="T27" i="14" s="1"/>
  <c r="AL27" i="14" s="1"/>
  <c r="AK31" i="14"/>
  <c r="Z32" i="15"/>
  <c r="AA32" i="15" s="1"/>
  <c r="AG32" i="15" s="1"/>
  <c r="S43" i="14"/>
  <c r="T43" i="14" s="1"/>
  <c r="AL43" i="14" s="1"/>
  <c r="AK47" i="14"/>
  <c r="Z48" i="15"/>
  <c r="AA48" i="15" s="1"/>
  <c r="AG48" i="15" s="1"/>
  <c r="S59" i="14"/>
  <c r="T59" i="14" s="1"/>
  <c r="AL59" i="14" s="1"/>
  <c r="AK63" i="14"/>
  <c r="Z64" i="15"/>
  <c r="AA64" i="15" s="1"/>
  <c r="AG64" i="15" s="1"/>
  <c r="S75" i="14"/>
  <c r="T75" i="14" s="1"/>
  <c r="AL75" i="14" s="1"/>
  <c r="AK79" i="14"/>
  <c r="Z79" i="15"/>
  <c r="AA79" i="15" s="1"/>
  <c r="AG79" i="15" s="1"/>
  <c r="AK95" i="14"/>
  <c r="Z96" i="15"/>
  <c r="AA96" i="15" s="1"/>
  <c r="AG96" i="15" s="1"/>
  <c r="AK111" i="14"/>
  <c r="Z114" i="15"/>
  <c r="AA114" i="15" s="1"/>
  <c r="AG114" i="15" s="1"/>
  <c r="AK143" i="14"/>
  <c r="Z148" i="15"/>
  <c r="AA148" i="15" s="1"/>
  <c r="AG148" i="15" s="1"/>
  <c r="AK171" i="14"/>
  <c r="Z178" i="15"/>
  <c r="AA178" i="15" s="1"/>
  <c r="AG178" i="15" s="1"/>
  <c r="AK179" i="14"/>
  <c r="Z186" i="15"/>
  <c r="AA186" i="15" s="1"/>
  <c r="AG186" i="15" s="1"/>
  <c r="AK187" i="14"/>
  <c r="Z194" i="15"/>
  <c r="AA194" i="15" s="1"/>
  <c r="AG194" i="15" s="1"/>
  <c r="AK195" i="14"/>
  <c r="Z202" i="15"/>
  <c r="AA202" i="15" s="1"/>
  <c r="AG202" i="15" s="1"/>
  <c r="T251" i="14"/>
  <c r="AL251" i="14" s="1"/>
  <c r="S259" i="14"/>
  <c r="T259" i="14" s="1"/>
  <c r="AL259" i="14" s="1"/>
  <c r="T20" i="15"/>
  <c r="AL20" i="15" s="1"/>
  <c r="AA115" i="14"/>
  <c r="AG115" i="14" s="1"/>
  <c r="AA179" i="14"/>
  <c r="AG179" i="14" s="1"/>
  <c r="AA219" i="14"/>
  <c r="AG219" i="14" s="1"/>
  <c r="Z259" i="14"/>
  <c r="AA259" i="14" s="1"/>
  <c r="AG259" i="14" s="1"/>
  <c r="Z210" i="15"/>
  <c r="AA210" i="15" s="1"/>
  <c r="AG210" i="15" s="1"/>
  <c r="Z226" i="15"/>
  <c r="AA226" i="15" s="1"/>
  <c r="AG226" i="15" s="1"/>
  <c r="Z242" i="15"/>
  <c r="AA242" i="15" s="1"/>
  <c r="AG242" i="15" s="1"/>
  <c r="Z258" i="15"/>
  <c r="AA258" i="15" s="1"/>
  <c r="AG258" i="15" s="1"/>
  <c r="AD136" i="15"/>
  <c r="T211" i="15"/>
  <c r="AL211" i="15" s="1"/>
  <c r="T219" i="15"/>
  <c r="AL219" i="15" s="1"/>
  <c r="T227" i="15"/>
  <c r="AL227" i="15" s="1"/>
  <c r="T235" i="15"/>
  <c r="AL235" i="15" s="1"/>
  <c r="T243" i="15"/>
  <c r="AL243" i="15" s="1"/>
  <c r="T251" i="15"/>
  <c r="AL251" i="15" s="1"/>
  <c r="T259" i="15"/>
  <c r="AL259" i="15" s="1"/>
  <c r="T267" i="15"/>
  <c r="AL267" i="15" s="1"/>
  <c r="Z237" i="15"/>
  <c r="AA237" i="15" s="1"/>
  <c r="AG237" i="15" s="1"/>
  <c r="Q124" i="15"/>
  <c r="AK124" i="15" s="1"/>
  <c r="Q140" i="15"/>
  <c r="AK140" i="15" s="1"/>
  <c r="Q156" i="15"/>
  <c r="AK156" i="15" s="1"/>
  <c r="Q172" i="15"/>
  <c r="AK172" i="15" s="1"/>
  <c r="U216" i="15"/>
  <c r="R218" i="15"/>
  <c r="S218" i="15"/>
  <c r="U232" i="15"/>
  <c r="R234" i="15"/>
  <c r="S234" i="15"/>
  <c r="U248" i="15"/>
  <c r="R250" i="15"/>
  <c r="S250" i="15"/>
  <c r="T250" i="15" s="1"/>
  <c r="AL250" i="15" s="1"/>
  <c r="U264" i="15"/>
  <c r="R266" i="15"/>
  <c r="S266" i="15"/>
  <c r="T266" i="15" s="1"/>
  <c r="AL266" i="15" s="1"/>
  <c r="T16" i="12"/>
  <c r="AL16" i="12" s="1"/>
  <c r="AF230" i="12"/>
  <c r="K230" i="12"/>
  <c r="AA143" i="13"/>
  <c r="AG143" i="13" s="1"/>
  <c r="U229" i="13"/>
  <c r="AJ5" i="13"/>
  <c r="T170" i="13"/>
  <c r="AL170" i="13" s="1"/>
  <c r="Z223" i="13"/>
  <c r="AA223" i="13" s="1"/>
  <c r="AG223" i="13" s="1"/>
  <c r="T65" i="15"/>
  <c r="AL65" i="15" s="1"/>
  <c r="AF108" i="15"/>
  <c r="K108" i="15"/>
  <c r="AF28" i="15"/>
  <c r="K28" i="15"/>
  <c r="Z52" i="14"/>
  <c r="AA52" i="14" s="1"/>
  <c r="AG52" i="14" s="1"/>
  <c r="Z212" i="14"/>
  <c r="AA212" i="14" s="1"/>
  <c r="AG212" i="14" s="1"/>
  <c r="AA248" i="14"/>
  <c r="AG248" i="14" s="1"/>
  <c r="AF106" i="15"/>
  <c r="K106" i="15"/>
  <c r="Z149" i="15"/>
  <c r="AA149" i="15" s="1"/>
  <c r="AG149" i="15" s="1"/>
  <c r="U219" i="15"/>
  <c r="AH120" i="15"/>
  <c r="AH140" i="15"/>
  <c r="AF118" i="15"/>
  <c r="K118" i="15"/>
  <c r="T142" i="15"/>
  <c r="AL142" i="15" s="1"/>
  <c r="T150" i="15"/>
  <c r="AL150" i="15" s="1"/>
  <c r="AF158" i="15"/>
  <c r="K158" i="15"/>
  <c r="T186" i="15"/>
  <c r="AL186" i="15" s="1"/>
  <c r="T202" i="15"/>
  <c r="AL202" i="15" s="1"/>
  <c r="U141" i="15"/>
  <c r="U185" i="15"/>
  <c r="T28" i="12"/>
  <c r="AL28" i="12" s="1"/>
  <c r="AA134" i="13"/>
  <c r="AG134" i="13" s="1"/>
  <c r="AA205" i="13"/>
  <c r="AG205" i="13" s="1"/>
  <c r="AA8" i="14"/>
  <c r="AG8" i="14" s="1"/>
  <c r="U214" i="13"/>
  <c r="U143" i="13"/>
  <c r="T166" i="13"/>
  <c r="AL166" i="13" s="1"/>
  <c r="T198" i="13"/>
  <c r="AL198" i="13" s="1"/>
  <c r="AF30" i="15"/>
  <c r="K30" i="15"/>
  <c r="Z57" i="15"/>
  <c r="AA57" i="15" s="1"/>
  <c r="AG57" i="15" s="1"/>
  <c r="AF93" i="15"/>
  <c r="K93" i="15"/>
  <c r="AF5" i="15"/>
  <c r="K5" i="15"/>
  <c r="Z40" i="14"/>
  <c r="AA40" i="14" s="1"/>
  <c r="AG40" i="14" s="1"/>
  <c r="U71" i="14"/>
  <c r="Z124" i="14"/>
  <c r="AA124" i="14" s="1"/>
  <c r="AG124" i="14" s="1"/>
  <c r="AF70" i="15"/>
  <c r="K70" i="15"/>
  <c r="Z169" i="15"/>
  <c r="AA169" i="15" s="1"/>
  <c r="AG169" i="15" s="1"/>
  <c r="Z185" i="15"/>
  <c r="AA185" i="15" s="1"/>
  <c r="AG185" i="15" s="1"/>
  <c r="Z201" i="15"/>
  <c r="AA201" i="15" s="1"/>
  <c r="AG201" i="15" s="1"/>
  <c r="T182" i="15"/>
  <c r="AL182" i="15" s="1"/>
  <c r="AF130" i="12"/>
  <c r="K130" i="12"/>
  <c r="AF145" i="12"/>
  <c r="K145" i="12"/>
  <c r="AF161" i="12"/>
  <c r="K161" i="12"/>
  <c r="AF176" i="12"/>
  <c r="K176" i="12"/>
  <c r="AF206" i="12"/>
  <c r="K206" i="12"/>
  <c r="AF5" i="12"/>
  <c r="K5" i="12"/>
  <c r="AA143" i="14"/>
  <c r="AG143" i="14" s="1"/>
  <c r="T162" i="13"/>
  <c r="AL162" i="13" s="1"/>
  <c r="Z105" i="15"/>
  <c r="AA105" i="15" s="1"/>
  <c r="AG105" i="15" s="1"/>
  <c r="AD138" i="14"/>
  <c r="AA156" i="14"/>
  <c r="AG156" i="14" s="1"/>
  <c r="AA184" i="14"/>
  <c r="AG184" i="14" s="1"/>
  <c r="AA228" i="14"/>
  <c r="AG228" i="14" s="1"/>
  <c r="U259" i="15"/>
  <c r="AF126" i="15"/>
  <c r="K126" i="15"/>
  <c r="T154" i="15"/>
  <c r="AL154" i="15" s="1"/>
  <c r="AF162" i="15"/>
  <c r="K162" i="15"/>
  <c r="AF218" i="12"/>
  <c r="K218" i="12"/>
  <c r="U234" i="12"/>
  <c r="AA138" i="13"/>
  <c r="AG138" i="13" s="1"/>
  <c r="AA189" i="13"/>
  <c r="AG189" i="13" s="1"/>
  <c r="AA236" i="13"/>
  <c r="AG236" i="13" s="1"/>
  <c r="AI6" i="14"/>
  <c r="I20" i="3" s="1"/>
  <c r="T4" i="14"/>
  <c r="AL4" i="14" s="1"/>
  <c r="S221" i="13"/>
  <c r="T221" i="13" s="1"/>
  <c r="AL221" i="13" s="1"/>
  <c r="AK225" i="13"/>
  <c r="Z245" i="14"/>
  <c r="AA245" i="14" s="1"/>
  <c r="AG245" i="14" s="1"/>
  <c r="AF230" i="13"/>
  <c r="K230" i="13"/>
  <c r="T146" i="13"/>
  <c r="AL146" i="13" s="1"/>
  <c r="I30" i="3"/>
  <c r="Z26" i="15"/>
  <c r="AA26" i="15" s="1"/>
  <c r="AG26" i="15" s="1"/>
  <c r="T81" i="15"/>
  <c r="AL81" i="15" s="1"/>
  <c r="T105" i="15"/>
  <c r="AL105" i="15" s="1"/>
  <c r="AF44" i="15"/>
  <c r="K44" i="15"/>
  <c r="Z20" i="15"/>
  <c r="AA20" i="15" s="1"/>
  <c r="AG20" i="15" s="1"/>
  <c r="AF107" i="15"/>
  <c r="K107" i="15"/>
  <c r="Z20" i="14"/>
  <c r="AA20" i="14" s="1"/>
  <c r="AG20" i="14" s="1"/>
  <c r="Z36" i="14"/>
  <c r="AA36" i="14" s="1"/>
  <c r="AG36" i="14" s="1"/>
  <c r="AD75" i="14"/>
  <c r="Z100" i="14"/>
  <c r="AA100" i="14" s="1"/>
  <c r="AG100" i="14" s="1"/>
  <c r="Z120" i="14"/>
  <c r="AA120" i="14" s="1"/>
  <c r="AG120" i="14" s="1"/>
  <c r="AA164" i="14"/>
  <c r="AG164" i="14" s="1"/>
  <c r="AA180" i="14"/>
  <c r="AG180" i="14" s="1"/>
  <c r="Z208" i="14"/>
  <c r="AA208" i="14" s="1"/>
  <c r="AG208" i="14" s="1"/>
  <c r="U259" i="14"/>
  <c r="AF19" i="15"/>
  <c r="K19" i="15"/>
  <c r="AA125" i="15"/>
  <c r="AG125" i="15" s="1"/>
  <c r="AH128" i="15"/>
  <c r="AH152" i="15"/>
  <c r="AH184" i="15"/>
  <c r="U145" i="15"/>
  <c r="U177" i="15"/>
  <c r="U193" i="15"/>
  <c r="AH148" i="15"/>
  <c r="AH180" i="15"/>
  <c r="J20" i="3" l="1"/>
  <c r="AA200" i="15"/>
  <c r="AG200" i="15" s="1"/>
  <c r="T25" i="15"/>
  <c r="AL25" i="15" s="1"/>
  <c r="AA54" i="15"/>
  <c r="AG54" i="15" s="1"/>
  <c r="T35" i="15"/>
  <c r="AL35" i="15" s="1"/>
  <c r="AF99" i="15"/>
  <c r="K99" i="15"/>
  <c r="T10" i="15"/>
  <c r="AL10" i="15" s="1"/>
  <c r="T44" i="15"/>
  <c r="AL44" i="15" s="1"/>
  <c r="K41" i="15"/>
  <c r="AF41" i="15"/>
  <c r="T54" i="15"/>
  <c r="AL54" i="15" s="1"/>
  <c r="T13" i="15"/>
  <c r="AL13" i="15" s="1"/>
  <c r="J19" i="3"/>
  <c r="T212" i="15"/>
  <c r="AL212" i="15" s="1"/>
  <c r="J38" i="3"/>
  <c r="C7" i="6" s="1"/>
  <c r="AA184" i="15"/>
  <c r="AG184" i="15" s="1"/>
  <c r="AF82" i="15"/>
  <c r="K82" i="15"/>
  <c r="AK113" i="15"/>
  <c r="AA113" i="15"/>
  <c r="AG113" i="15" s="1"/>
  <c r="T73" i="15"/>
  <c r="AL73" i="15" s="1"/>
  <c r="T26" i="15"/>
  <c r="AL26" i="15" s="1"/>
  <c r="T248" i="15"/>
  <c r="AL248" i="15" s="1"/>
  <c r="T232" i="15"/>
  <c r="AL232" i="15" s="1"/>
  <c r="T216" i="15"/>
  <c r="AL216" i="15" s="1"/>
  <c r="J21" i="3"/>
  <c r="T49" i="15"/>
  <c r="AL49" i="15" s="1"/>
  <c r="K50" i="15"/>
  <c r="AF50" i="15"/>
  <c r="T82" i="15"/>
  <c r="AL82" i="15" s="1"/>
  <c r="AF9" i="15"/>
  <c r="K9" i="15"/>
  <c r="T102" i="15"/>
  <c r="AL102" i="15" s="1"/>
  <c r="AF8" i="13"/>
  <c r="K8" i="13"/>
  <c r="AK53" i="13"/>
  <c r="Z56" i="14"/>
  <c r="AA56" i="14" s="1"/>
  <c r="AG56" i="14" s="1"/>
  <c r="H23" i="3"/>
  <c r="D11" i="4" s="1"/>
  <c r="K240" i="13"/>
  <c r="AF240" i="13"/>
  <c r="AA147" i="13"/>
  <c r="AG147" i="13" s="1"/>
  <c r="T15" i="13"/>
  <c r="AL15" i="13" s="1"/>
  <c r="AF216" i="13"/>
  <c r="K216" i="13"/>
  <c r="H20" i="3"/>
  <c r="H21" i="3"/>
  <c r="Z9" i="14"/>
  <c r="AA9" i="14" s="1"/>
  <c r="AG9" i="14" s="1"/>
  <c r="AK8" i="13"/>
  <c r="AK72" i="13"/>
  <c r="Z78" i="14"/>
  <c r="AA78" i="14" s="1"/>
  <c r="AG78" i="14" s="1"/>
  <c r="T8" i="13"/>
  <c r="AL8" i="13" s="1"/>
  <c r="AK147" i="13"/>
  <c r="Z159" i="14"/>
  <c r="AA159" i="14" s="1"/>
  <c r="AG159" i="14" s="1"/>
  <c r="AK135" i="13"/>
  <c r="Z147" i="14"/>
  <c r="AA147" i="14" s="1"/>
  <c r="AG147" i="14" s="1"/>
  <c r="T55" i="12"/>
  <c r="AL55" i="12" s="1"/>
  <c r="T39" i="12"/>
  <c r="AL39" i="12" s="1"/>
  <c r="AK7" i="12"/>
  <c r="Z28" i="13"/>
  <c r="AA28" i="13" s="1"/>
  <c r="AG28" i="13" s="1"/>
  <c r="T6" i="12"/>
  <c r="AL6" i="12" s="1"/>
  <c r="G47" i="3"/>
  <c r="G21" i="3"/>
  <c r="T209" i="12"/>
  <c r="AL209" i="12" s="1"/>
  <c r="T178" i="12"/>
  <c r="AL178" i="12" s="1"/>
  <c r="T146" i="12"/>
  <c r="AL146" i="12" s="1"/>
  <c r="T115" i="12"/>
  <c r="AL115" i="12" s="1"/>
  <c r="T83" i="12"/>
  <c r="AL83" i="12" s="1"/>
  <c r="T51" i="12"/>
  <c r="AL51" i="12" s="1"/>
  <c r="AK118" i="12"/>
  <c r="Z233" i="13"/>
  <c r="AA233" i="13" s="1"/>
  <c r="AG233" i="13" s="1"/>
  <c r="Z157" i="13"/>
  <c r="AA157" i="13" s="1"/>
  <c r="AG157" i="13" s="1"/>
  <c r="AK200" i="12"/>
  <c r="AK181" i="12"/>
  <c r="Z124" i="13"/>
  <c r="G19" i="3"/>
  <c r="AF235" i="12"/>
  <c r="K235" i="12"/>
  <c r="AK134" i="12"/>
  <c r="Z15" i="13"/>
  <c r="AA15" i="13" s="1"/>
  <c r="AG15" i="13" s="1"/>
  <c r="T217" i="12"/>
  <c r="AL217" i="12" s="1"/>
  <c r="T185" i="12"/>
  <c r="AL185" i="12" s="1"/>
  <c r="T154" i="12"/>
  <c r="AL154" i="12" s="1"/>
  <c r="T123" i="12"/>
  <c r="AL123" i="12" s="1"/>
  <c r="T91" i="12"/>
  <c r="AL91" i="12" s="1"/>
  <c r="T59" i="12"/>
  <c r="AL59" i="12" s="1"/>
  <c r="G24" i="3"/>
  <c r="C10" i="4" s="1"/>
  <c r="G20" i="3"/>
  <c r="T31" i="12"/>
  <c r="AL31" i="12" s="1"/>
  <c r="AK188" i="12"/>
  <c r="Z142" i="13"/>
  <c r="AA142" i="13" s="1"/>
  <c r="AG142" i="13" s="1"/>
  <c r="AK216" i="12"/>
  <c r="Z199" i="13"/>
  <c r="AA199" i="13" s="1"/>
  <c r="AG199" i="13" s="1"/>
  <c r="AF219" i="12"/>
  <c r="K219" i="12"/>
  <c r="AF203" i="12"/>
  <c r="K203" i="12"/>
  <c r="AK192" i="12"/>
  <c r="Z148" i="13"/>
  <c r="AA148" i="13" s="1"/>
  <c r="AG148" i="13" s="1"/>
  <c r="AK177" i="12"/>
  <c r="Z89" i="13"/>
  <c r="AA89" i="13" s="1"/>
  <c r="AG89" i="13" s="1"/>
  <c r="AK173" i="12"/>
  <c r="Z81" i="13"/>
  <c r="AA81" i="13" s="1"/>
  <c r="AG81" i="13" s="1"/>
  <c r="T188" i="12"/>
  <c r="AL188" i="12" s="1"/>
  <c r="AK232" i="12"/>
  <c r="Z231" i="13"/>
  <c r="AA231" i="13" s="1"/>
  <c r="AG231" i="13" s="1"/>
  <c r="T177" i="12"/>
  <c r="AL177" i="12" s="1"/>
  <c r="AF212" i="12"/>
  <c r="K212" i="12"/>
  <c r="AL2" i="15"/>
  <c r="AF216" i="15"/>
  <c r="K216" i="15"/>
  <c r="AK124" i="13"/>
  <c r="Z135" i="14"/>
  <c r="AA135" i="14" s="1"/>
  <c r="AG135" i="14" s="1"/>
  <c r="AK68" i="13"/>
  <c r="Z72" i="14"/>
  <c r="AA72" i="14" s="1"/>
  <c r="AG72" i="14" s="1"/>
  <c r="AK56" i="13"/>
  <c r="Z59" i="14"/>
  <c r="AA59" i="14" s="1"/>
  <c r="AG59" i="14" s="1"/>
  <c r="AK41" i="13"/>
  <c r="Z44" i="14"/>
  <c r="AA44" i="14" s="1"/>
  <c r="AG44" i="14" s="1"/>
  <c r="AK36" i="13"/>
  <c r="Z39" i="14"/>
  <c r="AA39" i="14" s="1"/>
  <c r="AG39" i="14" s="1"/>
  <c r="AK23" i="13"/>
  <c r="Z25" i="14"/>
  <c r="AA25" i="14" s="1"/>
  <c r="AG25" i="14" s="1"/>
  <c r="AF72" i="13"/>
  <c r="K72" i="13"/>
  <c r="AF192" i="15"/>
  <c r="K192" i="15"/>
  <c r="AF128" i="15"/>
  <c r="K128" i="15"/>
  <c r="AF234" i="13"/>
  <c r="K234" i="13"/>
  <c r="AF81" i="13"/>
  <c r="K81" i="13"/>
  <c r="AF52" i="14"/>
  <c r="K52" i="14"/>
  <c r="AF68" i="13"/>
  <c r="K68" i="13"/>
  <c r="AF220" i="15"/>
  <c r="K220" i="15"/>
  <c r="AF231" i="13"/>
  <c r="K231" i="13"/>
  <c r="AF215" i="13"/>
  <c r="K215" i="13"/>
  <c r="G40" i="3"/>
  <c r="G39" i="3"/>
  <c r="G45" i="3"/>
  <c r="AF225" i="13"/>
  <c r="K225" i="13"/>
  <c r="AF254" i="14"/>
  <c r="K254" i="14"/>
  <c r="AF255" i="14"/>
  <c r="K255" i="14"/>
  <c r="AF18" i="14"/>
  <c r="K18" i="14"/>
  <c r="AK77" i="13"/>
  <c r="Z83" i="14"/>
  <c r="AA83" i="14" s="1"/>
  <c r="AG83" i="14" s="1"/>
  <c r="K217" i="12"/>
  <c r="AF217" i="12"/>
  <c r="K185" i="12"/>
  <c r="AF185" i="12"/>
  <c r="K154" i="12"/>
  <c r="AF154" i="12"/>
  <c r="K123" i="12"/>
  <c r="AF123" i="12"/>
  <c r="K91" i="12"/>
  <c r="AF91" i="12"/>
  <c r="K59" i="12"/>
  <c r="AF59" i="12"/>
  <c r="T43" i="12"/>
  <c r="AL43" i="12" s="1"/>
  <c r="K27" i="12"/>
  <c r="AF27" i="12"/>
  <c r="T11" i="12"/>
  <c r="AL11" i="12" s="1"/>
  <c r="I3" i="5"/>
  <c r="I5" i="5" s="1"/>
  <c r="AF172" i="15"/>
  <c r="K172" i="15"/>
  <c r="AF64" i="14"/>
  <c r="K64" i="14"/>
  <c r="I54" i="3"/>
  <c r="I25" i="3"/>
  <c r="J11" i="3"/>
  <c r="J24" i="3"/>
  <c r="AA172" i="15"/>
  <c r="AG172" i="15" s="1"/>
  <c r="AK237" i="12"/>
  <c r="Z240" i="13"/>
  <c r="AA240" i="13" s="1"/>
  <c r="AG240" i="13" s="1"/>
  <c r="K221" i="12"/>
  <c r="AF221" i="12"/>
  <c r="AK205" i="12"/>
  <c r="Z183" i="13"/>
  <c r="AA183" i="13" s="1"/>
  <c r="AG183" i="13" s="1"/>
  <c r="K189" i="12"/>
  <c r="AF189" i="12"/>
  <c r="AK174" i="12"/>
  <c r="Z82" i="13"/>
  <c r="AA82" i="13" s="1"/>
  <c r="AG82" i="13" s="1"/>
  <c r="K158" i="12"/>
  <c r="AF158" i="12"/>
  <c r="AK143" i="12"/>
  <c r="Z36" i="13"/>
  <c r="AA36" i="13" s="1"/>
  <c r="AG36" i="13" s="1"/>
  <c r="K127" i="12"/>
  <c r="AF127" i="12"/>
  <c r="AK111" i="12"/>
  <c r="Z216" i="13"/>
  <c r="AA216" i="13" s="1"/>
  <c r="AG216" i="13" s="1"/>
  <c r="K95" i="12"/>
  <c r="AF95" i="12"/>
  <c r="AK79" i="12"/>
  <c r="Z162" i="13"/>
  <c r="AA162" i="13" s="1"/>
  <c r="AG162" i="13" s="1"/>
  <c r="K63" i="12"/>
  <c r="AF63" i="12"/>
  <c r="AK47" i="12"/>
  <c r="Z104" i="13"/>
  <c r="AA104" i="13" s="1"/>
  <c r="AG104" i="13" s="1"/>
  <c r="K31" i="12"/>
  <c r="AF31" i="12"/>
  <c r="AA56" i="13"/>
  <c r="AG56" i="13" s="1"/>
  <c r="H41" i="3"/>
  <c r="H38" i="3"/>
  <c r="AF157" i="15"/>
  <c r="K157" i="15"/>
  <c r="AF189" i="15"/>
  <c r="K189" i="15"/>
  <c r="AF240" i="15"/>
  <c r="K240" i="15"/>
  <c r="AA140" i="15"/>
  <c r="AG140" i="15" s="1"/>
  <c r="T125" i="13"/>
  <c r="AL125" i="13" s="1"/>
  <c r="AK121" i="13"/>
  <c r="Z131" i="14"/>
  <c r="AA131" i="14" s="1"/>
  <c r="AG131" i="14" s="1"/>
  <c r="AA121" i="13"/>
  <c r="AG121" i="13" s="1"/>
  <c r="AK65" i="13"/>
  <c r="Z69" i="14"/>
  <c r="AA69" i="14" s="1"/>
  <c r="AG69" i="14" s="1"/>
  <c r="T38" i="13"/>
  <c r="AL38" i="13" s="1"/>
  <c r="AF168" i="15"/>
  <c r="K168" i="15"/>
  <c r="T22" i="14"/>
  <c r="AL22" i="14" s="1"/>
  <c r="AF228" i="15"/>
  <c r="K228" i="15"/>
  <c r="AF181" i="15"/>
  <c r="K181" i="15"/>
  <c r="AF210" i="13"/>
  <c r="K210" i="13"/>
  <c r="AF171" i="13"/>
  <c r="K171" i="13"/>
  <c r="T127" i="13"/>
  <c r="AL127" i="13" s="1"/>
  <c r="T119" i="13"/>
  <c r="AL119" i="13" s="1"/>
  <c r="T111" i="13"/>
  <c r="AL111" i="13" s="1"/>
  <c r="T87" i="13"/>
  <c r="AL87" i="13" s="1"/>
  <c r="T83" i="13"/>
  <c r="AL83" i="13" s="1"/>
  <c r="T71" i="13"/>
  <c r="AL71" i="13" s="1"/>
  <c r="AK55" i="13"/>
  <c r="AA55" i="13"/>
  <c r="AG55" i="13" s="1"/>
  <c r="Z58" i="14"/>
  <c r="AA58" i="14" s="1"/>
  <c r="AG58" i="14" s="1"/>
  <c r="T47" i="13"/>
  <c r="AL47" i="13" s="1"/>
  <c r="T43" i="13"/>
  <c r="T36" i="13"/>
  <c r="AL36" i="13" s="1"/>
  <c r="T28" i="13"/>
  <c r="AL28" i="13" s="1"/>
  <c r="T21" i="13"/>
  <c r="AL21" i="13" s="1"/>
  <c r="T16" i="13"/>
  <c r="AF76" i="14"/>
  <c r="K76" i="14"/>
  <c r="AK225" i="12"/>
  <c r="Z219" i="13"/>
  <c r="AA219" i="13" s="1"/>
  <c r="AG219" i="13" s="1"/>
  <c r="Z149" i="13"/>
  <c r="AA149" i="13" s="1"/>
  <c r="AG149" i="13" s="1"/>
  <c r="AK193" i="12"/>
  <c r="AK162" i="12"/>
  <c r="Z66" i="13"/>
  <c r="AA66" i="13" s="1"/>
  <c r="AG66" i="13" s="1"/>
  <c r="AK131" i="12"/>
  <c r="Z11" i="13"/>
  <c r="AA11" i="13" s="1"/>
  <c r="AG11" i="13" s="1"/>
  <c r="Z193" i="13"/>
  <c r="AA193" i="13" s="1"/>
  <c r="AG193" i="13" s="1"/>
  <c r="AK99" i="12"/>
  <c r="Z131" i="13"/>
  <c r="AA131" i="13" s="1"/>
  <c r="AG131" i="13" s="1"/>
  <c r="AK67" i="12"/>
  <c r="K19" i="12"/>
  <c r="AF19" i="12"/>
  <c r="G23" i="3"/>
  <c r="D10" i="4" s="1"/>
  <c r="T6" i="15"/>
  <c r="T188" i="15"/>
  <c r="AL188" i="15" s="1"/>
  <c r="T124" i="15"/>
  <c r="AL124" i="15" s="1"/>
  <c r="AF196" i="15"/>
  <c r="K196" i="15"/>
  <c r="AF180" i="15"/>
  <c r="K180" i="15"/>
  <c r="K229" i="12"/>
  <c r="AF229" i="12"/>
  <c r="AK213" i="12"/>
  <c r="Z194" i="13"/>
  <c r="AA194" i="13" s="1"/>
  <c r="AG194" i="13" s="1"/>
  <c r="K197" i="12"/>
  <c r="AF197" i="12"/>
  <c r="AK182" i="12"/>
  <c r="Z125" i="13"/>
  <c r="AA125" i="13" s="1"/>
  <c r="AG125" i="13" s="1"/>
  <c r="K166" i="12"/>
  <c r="AF166" i="12"/>
  <c r="AK150" i="12"/>
  <c r="Z44" i="13"/>
  <c r="AA44" i="13" s="1"/>
  <c r="AG44" i="13" s="1"/>
  <c r="K135" i="12"/>
  <c r="AF135" i="12"/>
  <c r="AK119" i="12"/>
  <c r="Z234" i="13"/>
  <c r="AA234" i="13" s="1"/>
  <c r="AG234" i="13" s="1"/>
  <c r="K103" i="12"/>
  <c r="AF103" i="12"/>
  <c r="AK87" i="12"/>
  <c r="Z170" i="13"/>
  <c r="AA170" i="13" s="1"/>
  <c r="AG170" i="13" s="1"/>
  <c r="K71" i="12"/>
  <c r="AF71" i="12"/>
  <c r="AK55" i="12"/>
  <c r="Z113" i="13"/>
  <c r="AA113" i="13" s="1"/>
  <c r="AG113" i="13" s="1"/>
  <c r="K39" i="12"/>
  <c r="AF39" i="12"/>
  <c r="AF26" i="13"/>
  <c r="K26" i="13"/>
  <c r="AF75" i="14"/>
  <c r="K75" i="14"/>
  <c r="AF14" i="13"/>
  <c r="K14" i="13"/>
  <c r="J40" i="3"/>
  <c r="AF5" i="13"/>
  <c r="K5" i="13"/>
  <c r="AF3" i="13"/>
  <c r="K3" i="13"/>
  <c r="AF212" i="15"/>
  <c r="K212" i="15"/>
  <c r="AF153" i="15"/>
  <c r="K153" i="15"/>
  <c r="AF188" i="15"/>
  <c r="K188" i="15"/>
  <c r="AF124" i="15"/>
  <c r="K124" i="15"/>
  <c r="AF256" i="14"/>
  <c r="K256" i="14"/>
  <c r="J12" i="3"/>
  <c r="J47" i="3"/>
  <c r="C37" i="1" s="1"/>
  <c r="J48" i="3"/>
  <c r="C38" i="1" s="1"/>
  <c r="AA188" i="15"/>
  <c r="AG188" i="15" s="1"/>
  <c r="AA120" i="15"/>
  <c r="AG120" i="15" s="1"/>
  <c r="T237" i="12"/>
  <c r="AL237" i="12" s="1"/>
  <c r="T205" i="12"/>
  <c r="AL205" i="12" s="1"/>
  <c r="T174" i="12"/>
  <c r="AL174" i="12" s="1"/>
  <c r="AK15" i="12"/>
  <c r="Z43" i="13"/>
  <c r="AA43" i="13" s="1"/>
  <c r="AG43" i="13" s="1"/>
  <c r="AF83" i="14"/>
  <c r="K83" i="14"/>
  <c r="AK6" i="14"/>
  <c r="Z7" i="15"/>
  <c r="AA7" i="15" s="1"/>
  <c r="AG7" i="15" s="1"/>
  <c r="H42" i="3"/>
  <c r="H40" i="3"/>
  <c r="K1" i="13"/>
  <c r="AF121" i="15"/>
  <c r="K121" i="15"/>
  <c r="AF221" i="13"/>
  <c r="K221" i="13"/>
  <c r="AF133" i="15"/>
  <c r="K133" i="15"/>
  <c r="AF125" i="15"/>
  <c r="K125" i="15"/>
  <c r="AF256" i="15"/>
  <c r="K256" i="15"/>
  <c r="T257" i="15"/>
  <c r="AL257" i="15" s="1"/>
  <c r="T225" i="15"/>
  <c r="AL225" i="15" s="1"/>
  <c r="AF10" i="14"/>
  <c r="K10" i="14"/>
  <c r="T124" i="13"/>
  <c r="AL124" i="13" s="1"/>
  <c r="AK90" i="13"/>
  <c r="Z97" i="14"/>
  <c r="AA97" i="14" s="1"/>
  <c r="AG97" i="14" s="1"/>
  <c r="AK79" i="13"/>
  <c r="Z85" i="14"/>
  <c r="AA85" i="14" s="1"/>
  <c r="AG85" i="14" s="1"/>
  <c r="AA79" i="13"/>
  <c r="AG79" i="13" s="1"/>
  <c r="T57" i="13"/>
  <c r="AL57" i="13" s="1"/>
  <c r="T41" i="13"/>
  <c r="AL41" i="13" s="1"/>
  <c r="T26" i="13"/>
  <c r="AL26" i="13" s="1"/>
  <c r="AA41" i="13"/>
  <c r="AG41" i="13" s="1"/>
  <c r="T192" i="15"/>
  <c r="AL192" i="15" s="1"/>
  <c r="AF200" i="15"/>
  <c r="K200" i="15"/>
  <c r="AF184" i="15"/>
  <c r="K184" i="15"/>
  <c r="AF120" i="15"/>
  <c r="K120" i="15"/>
  <c r="AF79" i="14"/>
  <c r="K79" i="14"/>
  <c r="AF267" i="15"/>
  <c r="K267" i="15"/>
  <c r="AF173" i="15"/>
  <c r="K173" i="15"/>
  <c r="AF175" i="13"/>
  <c r="K175" i="13"/>
  <c r="AF129" i="15"/>
  <c r="K129" i="15"/>
  <c r="AF26" i="14"/>
  <c r="K26" i="14"/>
  <c r="T82" i="13"/>
  <c r="AL82" i="13" s="1"/>
  <c r="AK76" i="13"/>
  <c r="Z82" i="14"/>
  <c r="AA82" i="14" s="1"/>
  <c r="AG82" i="14" s="1"/>
  <c r="AK64" i="13"/>
  <c r="Z68" i="14"/>
  <c r="AA68" i="14" s="1"/>
  <c r="AG68" i="14" s="1"/>
  <c r="AK60" i="13"/>
  <c r="Z63" i="14"/>
  <c r="AA63" i="14" s="1"/>
  <c r="AG63" i="14" s="1"/>
  <c r="T25" i="13"/>
  <c r="AL25" i="13" s="1"/>
  <c r="AK20" i="13"/>
  <c r="Z21" i="14"/>
  <c r="AA21" i="14" s="1"/>
  <c r="AG21" i="14" s="1"/>
  <c r="AF62" i="14"/>
  <c r="K62" i="14"/>
  <c r="T13" i="13"/>
  <c r="AL13" i="13" s="1"/>
  <c r="K225" i="12"/>
  <c r="AF225" i="12"/>
  <c r="K193" i="12"/>
  <c r="AF193" i="12"/>
  <c r="K162" i="12"/>
  <c r="AF162" i="12"/>
  <c r="K131" i="12"/>
  <c r="AF131" i="12"/>
  <c r="K99" i="12"/>
  <c r="AF99" i="12"/>
  <c r="K67" i="12"/>
  <c r="AF67" i="12"/>
  <c r="AK35" i="12"/>
  <c r="Z92" i="13"/>
  <c r="AA92" i="13" s="1"/>
  <c r="AG92" i="13" s="1"/>
  <c r="T19" i="12"/>
  <c r="AL19" i="12" s="1"/>
  <c r="G48" i="3"/>
  <c r="T172" i="15"/>
  <c r="AL172" i="15" s="1"/>
  <c r="AF132" i="15"/>
  <c r="K132" i="15"/>
  <c r="AA6" i="14"/>
  <c r="AG6" i="14" s="1"/>
  <c r="AF4" i="13"/>
  <c r="K4" i="13"/>
  <c r="T213" i="12"/>
  <c r="AL213" i="12" s="1"/>
  <c r="T182" i="12"/>
  <c r="AL182" i="12" s="1"/>
  <c r="T150" i="12"/>
  <c r="AL150" i="12" s="1"/>
  <c r="T119" i="12"/>
  <c r="AL119" i="12" s="1"/>
  <c r="T87" i="12"/>
  <c r="AL87" i="12" s="1"/>
  <c r="AK23" i="12"/>
  <c r="Z59" i="13"/>
  <c r="AA59" i="13" s="1"/>
  <c r="AG59" i="13" s="1"/>
  <c r="AF80" i="13"/>
  <c r="K80" i="13"/>
  <c r="AF57" i="13"/>
  <c r="K57" i="13"/>
  <c r="AF23" i="13"/>
  <c r="K23" i="13"/>
  <c r="AF51" i="13"/>
  <c r="K51" i="13"/>
  <c r="J39" i="3"/>
  <c r="J41" i="3"/>
  <c r="J43" i="3"/>
  <c r="AF193" i="15"/>
  <c r="K193" i="15"/>
  <c r="AF232" i="15"/>
  <c r="K232" i="15"/>
  <c r="AK40" i="13"/>
  <c r="Z43" i="14"/>
  <c r="AA43" i="14" s="1"/>
  <c r="AG43" i="14" s="1"/>
  <c r="AA40" i="13"/>
  <c r="AG40" i="13" s="1"/>
  <c r="AK21" i="13"/>
  <c r="Z22" i="14"/>
  <c r="AA22" i="14" s="1"/>
  <c r="AG22" i="14" s="1"/>
  <c r="AF8" i="12"/>
  <c r="K8" i="12"/>
  <c r="AF144" i="15"/>
  <c r="K144" i="15"/>
  <c r="AA192" i="15"/>
  <c r="AG192" i="15" s="1"/>
  <c r="AF159" i="13"/>
  <c r="K159" i="13"/>
  <c r="G44" i="3"/>
  <c r="G41" i="3"/>
  <c r="AF233" i="13"/>
  <c r="K233" i="13"/>
  <c r="AK66" i="13"/>
  <c r="Z70" i="14"/>
  <c r="AA70" i="14" s="1"/>
  <c r="AG70" i="14" s="1"/>
  <c r="AK42" i="13"/>
  <c r="Z45" i="14"/>
  <c r="AA45" i="14" s="1"/>
  <c r="AG45" i="14" s="1"/>
  <c r="AK38" i="13"/>
  <c r="Z41" i="14"/>
  <c r="AA41" i="14" s="1"/>
  <c r="AG41" i="14" s="1"/>
  <c r="AK13" i="13"/>
  <c r="Z14" i="14"/>
  <c r="AA14" i="14" s="1"/>
  <c r="AG14" i="14" s="1"/>
  <c r="AA13" i="13"/>
  <c r="AG13" i="13" s="1"/>
  <c r="AK233" i="12"/>
  <c r="Z232" i="13"/>
  <c r="AA232" i="13" s="1"/>
  <c r="AG232" i="13" s="1"/>
  <c r="AK201" i="12"/>
  <c r="Z158" i="13"/>
  <c r="AA158" i="13" s="1"/>
  <c r="AG158" i="13" s="1"/>
  <c r="AK170" i="12"/>
  <c r="Z77" i="13"/>
  <c r="AA77" i="13" s="1"/>
  <c r="AG77" i="13" s="1"/>
  <c r="AK139" i="12"/>
  <c r="Z23" i="13"/>
  <c r="AA23" i="13" s="1"/>
  <c r="AG23" i="13" s="1"/>
  <c r="Z209" i="13"/>
  <c r="AA209" i="13" s="1"/>
  <c r="AG209" i="13" s="1"/>
  <c r="AK107" i="12"/>
  <c r="Z146" i="13"/>
  <c r="AA146" i="13" s="1"/>
  <c r="AG146" i="13" s="1"/>
  <c r="AK75" i="12"/>
  <c r="AK43" i="12"/>
  <c r="Z100" i="13"/>
  <c r="AA100" i="13" s="1"/>
  <c r="AG100" i="13" s="1"/>
  <c r="AK11" i="12"/>
  <c r="Z32" i="13"/>
  <c r="AA32" i="13" s="1"/>
  <c r="AG32" i="13" s="1"/>
  <c r="AF18" i="13"/>
  <c r="K18" i="13"/>
  <c r="AF204" i="15"/>
  <c r="K204" i="15"/>
  <c r="AF177" i="15"/>
  <c r="K177" i="15"/>
  <c r="AF259" i="14"/>
  <c r="K259" i="14"/>
  <c r="AF143" i="13"/>
  <c r="K143" i="13"/>
  <c r="AF141" i="15"/>
  <c r="K141" i="15"/>
  <c r="AF248" i="15"/>
  <c r="K248" i="15"/>
  <c r="T218" i="15"/>
  <c r="AL218" i="15" s="1"/>
  <c r="AK83" i="13"/>
  <c r="Z89" i="14"/>
  <c r="AA89" i="14" s="1"/>
  <c r="AG89" i="14" s="1"/>
  <c r="AK51" i="13"/>
  <c r="Z54" i="14"/>
  <c r="AA54" i="14" s="1"/>
  <c r="AG54" i="14" s="1"/>
  <c r="AK26" i="13"/>
  <c r="Z28" i="14"/>
  <c r="AA28" i="14" s="1"/>
  <c r="AG28" i="14" s="1"/>
  <c r="AF239" i="13"/>
  <c r="K239" i="13"/>
  <c r="AF15" i="13"/>
  <c r="K15" i="13"/>
  <c r="AF27" i="13"/>
  <c r="K27" i="13"/>
  <c r="H47" i="3"/>
  <c r="H12" i="3"/>
  <c r="T152" i="15"/>
  <c r="AL152" i="15" s="1"/>
  <c r="AF160" i="15"/>
  <c r="K160" i="15"/>
  <c r="AF48" i="14"/>
  <c r="K48" i="14"/>
  <c r="T234" i="13"/>
  <c r="AL234" i="13" s="1"/>
  <c r="AK11" i="13"/>
  <c r="Z12" i="14"/>
  <c r="AA12" i="14" s="1"/>
  <c r="AG12" i="14" s="1"/>
  <c r="AF44" i="13"/>
  <c r="K44" i="13"/>
  <c r="AF90" i="13"/>
  <c r="K90" i="13"/>
  <c r="T244" i="15"/>
  <c r="AL244" i="15" s="1"/>
  <c r="AF27" i="14"/>
  <c r="K27" i="14"/>
  <c r="G37" i="3"/>
  <c r="G42" i="3"/>
  <c r="K1" i="12"/>
  <c r="AF251" i="15"/>
  <c r="K251" i="15"/>
  <c r="AF54" i="14"/>
  <c r="K54" i="14"/>
  <c r="AF55" i="14"/>
  <c r="K55" i="14"/>
  <c r="AF232" i="13"/>
  <c r="K232" i="13"/>
  <c r="AK136" i="15"/>
  <c r="AA136" i="15"/>
  <c r="AG136" i="15" s="1"/>
  <c r="T209" i="15"/>
  <c r="AL209" i="15" s="1"/>
  <c r="AK82" i="13"/>
  <c r="Z88" i="14"/>
  <c r="AA88" i="14" s="1"/>
  <c r="AG88" i="14" s="1"/>
  <c r="AK74" i="13"/>
  <c r="Z80" i="14"/>
  <c r="AA80" i="14" s="1"/>
  <c r="AG80" i="14" s="1"/>
  <c r="AK70" i="13"/>
  <c r="Z74" i="14"/>
  <c r="AA74" i="14" s="1"/>
  <c r="AG74" i="14" s="1"/>
  <c r="K233" i="12"/>
  <c r="AF233" i="12"/>
  <c r="K201" i="12"/>
  <c r="AF201" i="12"/>
  <c r="K170" i="12"/>
  <c r="AF170" i="12"/>
  <c r="K139" i="12"/>
  <c r="AF139" i="12"/>
  <c r="K107" i="12"/>
  <c r="AF107" i="12"/>
  <c r="K75" i="12"/>
  <c r="AF75" i="12"/>
  <c r="K43" i="12"/>
  <c r="AF43" i="12"/>
  <c r="T27" i="12"/>
  <c r="AL27" i="12" s="1"/>
  <c r="K11" i="12"/>
  <c r="AF11" i="12"/>
  <c r="AF53" i="13"/>
  <c r="K53" i="13"/>
  <c r="AF140" i="15"/>
  <c r="K140" i="15"/>
  <c r="AA168" i="15"/>
  <c r="AG168" i="15" s="1"/>
  <c r="AF70" i="13"/>
  <c r="K70" i="13"/>
  <c r="I55" i="3"/>
  <c r="I17" i="3"/>
  <c r="I12" i="3"/>
  <c r="J56" i="3"/>
  <c r="E40" i="1" s="1"/>
  <c r="J13" i="3"/>
  <c r="J49" i="3"/>
  <c r="C39" i="1" s="1"/>
  <c r="AA204" i="15"/>
  <c r="AG204" i="15" s="1"/>
  <c r="K237" i="12"/>
  <c r="AF237" i="12"/>
  <c r="AK221" i="12"/>
  <c r="Z212" i="13"/>
  <c r="AA212" i="13" s="1"/>
  <c r="AG212" i="13" s="1"/>
  <c r="K205" i="12"/>
  <c r="AF205" i="12"/>
  <c r="AK189" i="12"/>
  <c r="Z144" i="13"/>
  <c r="AA144" i="13" s="1"/>
  <c r="AG144" i="13" s="1"/>
  <c r="K174" i="12"/>
  <c r="AF174" i="12"/>
  <c r="AK158" i="12"/>
  <c r="Z60" i="13"/>
  <c r="AA60" i="13" s="1"/>
  <c r="AG60" i="13" s="1"/>
  <c r="K143" i="12"/>
  <c r="AF143" i="12"/>
  <c r="AK127" i="12"/>
  <c r="Z7" i="13"/>
  <c r="AA7" i="13" s="1"/>
  <c r="AG7" i="13" s="1"/>
  <c r="K111" i="12"/>
  <c r="AF111" i="12"/>
  <c r="AK95" i="12"/>
  <c r="Z179" i="13"/>
  <c r="AA179" i="13" s="1"/>
  <c r="AG179" i="13" s="1"/>
  <c r="K79" i="12"/>
  <c r="AF79" i="12"/>
  <c r="AK63" i="12"/>
  <c r="Z122" i="13"/>
  <c r="AA122" i="13" s="1"/>
  <c r="AG122" i="13" s="1"/>
  <c r="K47" i="12"/>
  <c r="AF47" i="12"/>
  <c r="T47" i="12"/>
  <c r="AL47" i="12" s="1"/>
  <c r="K15" i="12"/>
  <c r="AF15" i="12"/>
  <c r="T15" i="12"/>
  <c r="AL15" i="12" s="1"/>
  <c r="AF252" i="15"/>
  <c r="K252" i="15"/>
  <c r="AF260" i="15"/>
  <c r="K260" i="15"/>
  <c r="H44" i="3"/>
  <c r="H43" i="3"/>
  <c r="AF161" i="15"/>
  <c r="K161" i="15"/>
  <c r="AF243" i="15"/>
  <c r="K243" i="15"/>
  <c r="AF217" i="13"/>
  <c r="K217" i="13"/>
  <c r="AF165" i="15"/>
  <c r="K165" i="15"/>
  <c r="T242" i="15"/>
  <c r="AL242" i="15" s="1"/>
  <c r="AF208" i="15"/>
  <c r="K208" i="15"/>
  <c r="AA156" i="15"/>
  <c r="AG156" i="15" s="1"/>
  <c r="T66" i="13"/>
  <c r="AL66" i="13" s="1"/>
  <c r="AF136" i="15"/>
  <c r="K136" i="15"/>
  <c r="AF260" i="14"/>
  <c r="K260" i="14"/>
  <c r="T11" i="13"/>
  <c r="AF169" i="15"/>
  <c r="K169" i="15"/>
  <c r="AF58" i="14"/>
  <c r="K58" i="14"/>
  <c r="AF235" i="15"/>
  <c r="K235" i="15"/>
  <c r="AF227" i="15"/>
  <c r="K227" i="15"/>
  <c r="AF82" i="14"/>
  <c r="K82" i="14"/>
  <c r="AF213" i="13"/>
  <c r="K213" i="13"/>
  <c r="AF228" i="13"/>
  <c r="K228" i="13"/>
  <c r="AA152" i="15"/>
  <c r="AG152" i="15" s="1"/>
  <c r="T115" i="13"/>
  <c r="AL115" i="13" s="1"/>
  <c r="T107" i="13"/>
  <c r="AL107" i="13" s="1"/>
  <c r="T103" i="13"/>
  <c r="AL103" i="13" s="1"/>
  <c r="T99" i="13"/>
  <c r="AL99" i="13" s="1"/>
  <c r="T95" i="13"/>
  <c r="AL95" i="13" s="1"/>
  <c r="T91" i="13"/>
  <c r="AL91" i="13" s="1"/>
  <c r="AK80" i="13"/>
  <c r="Z86" i="14"/>
  <c r="AA86" i="14" s="1"/>
  <c r="AG86" i="14" s="1"/>
  <c r="T75" i="13"/>
  <c r="AL75" i="13" s="1"/>
  <c r="T68" i="13"/>
  <c r="AL68" i="13" s="1"/>
  <c r="T63" i="13"/>
  <c r="AL63" i="13" s="1"/>
  <c r="T59" i="13"/>
  <c r="AL59" i="13" s="1"/>
  <c r="AK52" i="13"/>
  <c r="Z55" i="14"/>
  <c r="AA55" i="14" s="1"/>
  <c r="AG55" i="14" s="1"/>
  <c r="T40" i="13"/>
  <c r="AL40" i="13" s="1"/>
  <c r="T32" i="13"/>
  <c r="AL32" i="13" s="1"/>
  <c r="T23" i="13"/>
  <c r="AL23" i="13" s="1"/>
  <c r="AF223" i="13"/>
  <c r="K223" i="13"/>
  <c r="T225" i="12"/>
  <c r="AL225" i="12" s="1"/>
  <c r="AK209" i="12"/>
  <c r="Z187" i="13"/>
  <c r="AA187" i="13" s="1"/>
  <c r="AG187" i="13" s="1"/>
  <c r="T193" i="12"/>
  <c r="AL193" i="12" s="1"/>
  <c r="AK178" i="12"/>
  <c r="Z90" i="13"/>
  <c r="AA90" i="13" s="1"/>
  <c r="AG90" i="13" s="1"/>
  <c r="T162" i="12"/>
  <c r="AL162" i="12" s="1"/>
  <c r="AK146" i="12"/>
  <c r="Z39" i="13"/>
  <c r="AA39" i="13" s="1"/>
  <c r="AG39" i="13" s="1"/>
  <c r="T131" i="12"/>
  <c r="AL131" i="12" s="1"/>
  <c r="AK115" i="12"/>
  <c r="Z225" i="13"/>
  <c r="AA225" i="13" s="1"/>
  <c r="AG225" i="13" s="1"/>
  <c r="T99" i="12"/>
  <c r="AL99" i="12" s="1"/>
  <c r="Z166" i="13"/>
  <c r="AA166" i="13" s="1"/>
  <c r="AG166" i="13" s="1"/>
  <c r="AK83" i="12"/>
  <c r="T67" i="12"/>
  <c r="AL67" i="12" s="1"/>
  <c r="AK51" i="12"/>
  <c r="Z108" i="13"/>
  <c r="AA108" i="13" s="1"/>
  <c r="AG108" i="13" s="1"/>
  <c r="K35" i="12"/>
  <c r="AF35" i="12"/>
  <c r="AK19" i="12"/>
  <c r="Z48" i="13"/>
  <c r="AA48" i="13" s="1"/>
  <c r="AG48" i="13" s="1"/>
  <c r="G49" i="3"/>
  <c r="G12" i="3"/>
  <c r="T156" i="15"/>
  <c r="AL156" i="15" s="1"/>
  <c r="AF148" i="15"/>
  <c r="K148" i="15"/>
  <c r="AF32" i="14"/>
  <c r="K32" i="14"/>
  <c r="AA76" i="13"/>
  <c r="AG76" i="13" s="1"/>
  <c r="AA196" i="15"/>
  <c r="AG196" i="15" s="1"/>
  <c r="AK229" i="12"/>
  <c r="Z227" i="13"/>
  <c r="AA227" i="13" s="1"/>
  <c r="AG227" i="13" s="1"/>
  <c r="K213" i="12"/>
  <c r="AF213" i="12"/>
  <c r="AK197" i="12"/>
  <c r="Z153" i="13"/>
  <c r="AA153" i="13" s="1"/>
  <c r="AG153" i="13" s="1"/>
  <c r="K182" i="12"/>
  <c r="AF182" i="12"/>
  <c r="AK166" i="12"/>
  <c r="Z70" i="13"/>
  <c r="AA70" i="13" s="1"/>
  <c r="AG70" i="13" s="1"/>
  <c r="K150" i="12"/>
  <c r="AF150" i="12"/>
  <c r="AK135" i="12"/>
  <c r="Z17" i="13"/>
  <c r="AA17" i="13" s="1"/>
  <c r="AG17" i="13" s="1"/>
  <c r="K119" i="12"/>
  <c r="AF119" i="12"/>
  <c r="AK103" i="12"/>
  <c r="Z202" i="13"/>
  <c r="AA202" i="13" s="1"/>
  <c r="AG202" i="13" s="1"/>
  <c r="K87" i="12"/>
  <c r="AF87" i="12"/>
  <c r="AK71" i="12"/>
  <c r="Z136" i="13"/>
  <c r="AA136" i="13" s="1"/>
  <c r="AG136" i="13" s="1"/>
  <c r="K55" i="12"/>
  <c r="AF55" i="12"/>
  <c r="K23" i="12"/>
  <c r="AF23" i="12"/>
  <c r="T23" i="12"/>
  <c r="AL23" i="12" s="1"/>
  <c r="AF64" i="13"/>
  <c r="K64" i="13"/>
  <c r="AF59" i="14"/>
  <c r="K59" i="14"/>
  <c r="AF268" i="15"/>
  <c r="K268" i="15"/>
  <c r="T236" i="15"/>
  <c r="AL236" i="15" s="1"/>
  <c r="AF77" i="13"/>
  <c r="K77" i="13"/>
  <c r="J44" i="3"/>
  <c r="J45" i="3"/>
  <c r="T55" i="13"/>
  <c r="AL55" i="13" s="1"/>
  <c r="AF229" i="13"/>
  <c r="K229" i="13"/>
  <c r="AF185" i="15"/>
  <c r="K185" i="15"/>
  <c r="AF219" i="15"/>
  <c r="K219" i="15"/>
  <c r="AF207" i="13"/>
  <c r="K207" i="13"/>
  <c r="H11" i="3"/>
  <c r="AA124" i="15"/>
  <c r="AG124" i="15" s="1"/>
  <c r="AA21" i="13"/>
  <c r="AG21" i="13" s="1"/>
  <c r="AF145" i="15"/>
  <c r="K145" i="15"/>
  <c r="AF234" i="12"/>
  <c r="K234" i="12"/>
  <c r="AF259" i="15"/>
  <c r="K259" i="15"/>
  <c r="AF71" i="14"/>
  <c r="K71" i="14"/>
  <c r="AF214" i="13"/>
  <c r="K214" i="13"/>
  <c r="AF264" i="15"/>
  <c r="K264" i="15"/>
  <c r="T234" i="15"/>
  <c r="AL234" i="15" s="1"/>
  <c r="AK125" i="13"/>
  <c r="Z136" i="14"/>
  <c r="AA136" i="14" s="1"/>
  <c r="AG136" i="14" s="1"/>
  <c r="AK69" i="13"/>
  <c r="Z73" i="14"/>
  <c r="AA73" i="14" s="1"/>
  <c r="AG73" i="14" s="1"/>
  <c r="AK63" i="13"/>
  <c r="Z67" i="14"/>
  <c r="AA67" i="14" s="1"/>
  <c r="AG67" i="14" s="1"/>
  <c r="AA63" i="13"/>
  <c r="AG63" i="13" s="1"/>
  <c r="AK57" i="13"/>
  <c r="Z60" i="14"/>
  <c r="AA60" i="14" s="1"/>
  <c r="AG60" i="14" s="1"/>
  <c r="T42" i="13"/>
  <c r="AL42" i="13" s="1"/>
  <c r="AK25" i="13"/>
  <c r="Z27" i="14"/>
  <c r="AA27" i="14" s="1"/>
  <c r="AG27" i="14" s="1"/>
  <c r="AA25" i="13"/>
  <c r="AG25" i="13" s="1"/>
  <c r="AF37" i="13"/>
  <c r="K37" i="13"/>
  <c r="H48" i="3"/>
  <c r="H13" i="3"/>
  <c r="AF176" i="15"/>
  <c r="K176" i="15"/>
  <c r="AK234" i="13"/>
  <c r="Z256" i="14"/>
  <c r="AA256" i="14" s="1"/>
  <c r="AG256" i="14" s="1"/>
  <c r="AF50" i="13"/>
  <c r="K50" i="13"/>
  <c r="AF55" i="13"/>
  <c r="K55" i="13"/>
  <c r="AA68" i="13"/>
  <c r="AG68" i="13" s="1"/>
  <c r="AF5" i="14"/>
  <c r="K5" i="14"/>
  <c r="I40" i="3"/>
  <c r="I38" i="3"/>
  <c r="I41" i="3"/>
  <c r="I44" i="3"/>
  <c r="I42" i="3"/>
  <c r="I45" i="3"/>
  <c r="K1" i="14"/>
  <c r="I39" i="3"/>
  <c r="I43" i="3"/>
  <c r="I37" i="3"/>
  <c r="AK3" i="13"/>
  <c r="Z4" i="14"/>
  <c r="AA4" i="14" s="1"/>
  <c r="AG4" i="14" s="1"/>
  <c r="AF244" i="15"/>
  <c r="K244" i="15"/>
  <c r="T220" i="15"/>
  <c r="AL220" i="15" s="1"/>
  <c r="AA57" i="13"/>
  <c r="AG57" i="13" s="1"/>
  <c r="AA83" i="13"/>
  <c r="AG83" i="13" s="1"/>
  <c r="G38" i="3"/>
  <c r="G43" i="3"/>
  <c r="AF211" i="15"/>
  <c r="K211" i="15"/>
  <c r="AF24" i="14"/>
  <c r="K24" i="14"/>
  <c r="AF226" i="13"/>
  <c r="K226" i="13"/>
  <c r="AF191" i="13"/>
  <c r="K191" i="13"/>
  <c r="AF149" i="15"/>
  <c r="K149" i="15"/>
  <c r="AK126" i="13"/>
  <c r="Z137" i="14"/>
  <c r="AA137" i="14" s="1"/>
  <c r="AG137" i="14" s="1"/>
  <c r="AK89" i="13"/>
  <c r="Z96" i="14"/>
  <c r="AA96" i="14" s="1"/>
  <c r="AG96" i="14" s="1"/>
  <c r="AK14" i="13"/>
  <c r="Z15" i="14"/>
  <c r="AA15" i="14" s="1"/>
  <c r="AG15" i="14" s="1"/>
  <c r="AF8" i="14"/>
  <c r="K8" i="14"/>
  <c r="T233" i="12"/>
  <c r="AL233" i="12" s="1"/>
  <c r="AK217" i="12"/>
  <c r="Z200" i="13"/>
  <c r="AA200" i="13" s="1"/>
  <c r="AG200" i="13" s="1"/>
  <c r="T201" i="12"/>
  <c r="AL201" i="12" s="1"/>
  <c r="AK185" i="12"/>
  <c r="Z139" i="13"/>
  <c r="AA139" i="13" s="1"/>
  <c r="AG139" i="13" s="1"/>
  <c r="T170" i="12"/>
  <c r="AL170" i="12" s="1"/>
  <c r="AK154" i="12"/>
  <c r="Z53" i="13"/>
  <c r="AA53" i="13" s="1"/>
  <c r="AG53" i="13" s="1"/>
  <c r="T139" i="12"/>
  <c r="AL139" i="12" s="1"/>
  <c r="Z3" i="13"/>
  <c r="AA3" i="13" s="1"/>
  <c r="AG3" i="13" s="1"/>
  <c r="AK123" i="12"/>
  <c r="T107" i="12"/>
  <c r="AL107" i="12" s="1"/>
  <c r="Z175" i="13"/>
  <c r="AA175" i="13" s="1"/>
  <c r="AG175" i="13" s="1"/>
  <c r="AK91" i="12"/>
  <c r="T75" i="12"/>
  <c r="AL75" i="12" s="1"/>
  <c r="AK59" i="12"/>
  <c r="Z117" i="13"/>
  <c r="AA117" i="13" s="1"/>
  <c r="AG117" i="13" s="1"/>
  <c r="AK27" i="12"/>
  <c r="Z73" i="13"/>
  <c r="AA73" i="13" s="1"/>
  <c r="AG73" i="13" s="1"/>
  <c r="AA69" i="13"/>
  <c r="AG69" i="13" s="1"/>
  <c r="AF156" i="15"/>
  <c r="K156" i="15"/>
  <c r="I13" i="3"/>
  <c r="J23" i="3"/>
  <c r="T221" i="12"/>
  <c r="AL221" i="12" s="1"/>
  <c r="T189" i="12"/>
  <c r="AL189" i="12" s="1"/>
  <c r="T158" i="12"/>
  <c r="AL158" i="12" s="1"/>
  <c r="AK31" i="12"/>
  <c r="Z86" i="13"/>
  <c r="AA86" i="13" s="1"/>
  <c r="AG86" i="13" s="1"/>
  <c r="AF67" i="14"/>
  <c r="K67" i="14"/>
  <c r="AF63" i="14"/>
  <c r="K63" i="14"/>
  <c r="T6" i="14"/>
  <c r="AL6" i="14" s="1"/>
  <c r="AF6" i="14"/>
  <c r="K6" i="14"/>
  <c r="H39" i="3"/>
  <c r="H37" i="3"/>
  <c r="H45" i="3"/>
  <c r="AF253" i="14"/>
  <c r="K253" i="14"/>
  <c r="AF201" i="15"/>
  <c r="K201" i="15"/>
  <c r="AF205" i="15"/>
  <c r="K205" i="15"/>
  <c r="T258" i="15"/>
  <c r="AL258" i="15" s="1"/>
  <c r="AF224" i="15"/>
  <c r="K224" i="15"/>
  <c r="T241" i="15"/>
  <c r="AL241" i="15" s="1"/>
  <c r="AK84" i="13"/>
  <c r="Z90" i="14"/>
  <c r="AA90" i="14" s="1"/>
  <c r="AG90" i="14" s="1"/>
  <c r="AK81" i="13"/>
  <c r="Z87" i="14"/>
  <c r="AA87" i="14" s="1"/>
  <c r="AG87" i="14" s="1"/>
  <c r="T69" i="13"/>
  <c r="AL69" i="13" s="1"/>
  <c r="T24" i="13"/>
  <c r="AL24" i="13" s="1"/>
  <c r="T256" i="15"/>
  <c r="AL256" i="15" s="1"/>
  <c r="T240" i="15"/>
  <c r="AL240" i="15" s="1"/>
  <c r="T224" i="15"/>
  <c r="AL224" i="15" s="1"/>
  <c r="T208" i="15"/>
  <c r="AL208" i="15" s="1"/>
  <c r="AF152" i="15"/>
  <c r="K152" i="15"/>
  <c r="AA124" i="13"/>
  <c r="AG124" i="13" s="1"/>
  <c r="T228" i="15"/>
  <c r="AL228" i="15" s="1"/>
  <c r="AF137" i="15"/>
  <c r="K137" i="15"/>
  <c r="AF197" i="15"/>
  <c r="K197" i="15"/>
  <c r="AK123" i="13"/>
  <c r="Z134" i="14"/>
  <c r="AA134" i="14" s="1"/>
  <c r="AG134" i="14" s="1"/>
  <c r="AK67" i="13"/>
  <c r="Z71" i="14"/>
  <c r="AA71" i="14" s="1"/>
  <c r="AG71" i="14" s="1"/>
  <c r="T56" i="13"/>
  <c r="AL56" i="13" s="1"/>
  <c r="T51" i="13"/>
  <c r="AL51" i="13" s="1"/>
  <c r="AK44" i="13"/>
  <c r="Z47" i="14"/>
  <c r="AA47" i="14" s="1"/>
  <c r="AG47" i="14" s="1"/>
  <c r="AK39" i="13"/>
  <c r="Z42" i="14"/>
  <c r="AA42" i="14" s="1"/>
  <c r="AG42" i="14" s="1"/>
  <c r="AK17" i="13"/>
  <c r="Z18" i="14"/>
  <c r="AA18" i="14" s="1"/>
  <c r="AG18" i="14" s="1"/>
  <c r="K209" i="12"/>
  <c r="AF209" i="12"/>
  <c r="K178" i="12"/>
  <c r="AF178" i="12"/>
  <c r="K146" i="12"/>
  <c r="AF146" i="12"/>
  <c r="K115" i="12"/>
  <c r="AF115" i="12"/>
  <c r="K83" i="12"/>
  <c r="AF83" i="12"/>
  <c r="K51" i="12"/>
  <c r="AF51" i="12"/>
  <c r="T35" i="12"/>
  <c r="AL35" i="12" s="1"/>
  <c r="G11" i="3"/>
  <c r="G13" i="3"/>
  <c r="T204" i="15"/>
  <c r="AL204" i="15" s="1"/>
  <c r="T140" i="15"/>
  <c r="AL140" i="15" s="1"/>
  <c r="AF164" i="15"/>
  <c r="K164" i="15"/>
  <c r="AA164" i="15"/>
  <c r="AG164" i="15" s="1"/>
  <c r="T129" i="13"/>
  <c r="AL129" i="13" s="1"/>
  <c r="AF40" i="13"/>
  <c r="K40" i="13"/>
  <c r="AA20" i="13"/>
  <c r="AG20" i="13" s="1"/>
  <c r="AF36" i="14"/>
  <c r="K36" i="14"/>
  <c r="T229" i="12"/>
  <c r="AL229" i="12" s="1"/>
  <c r="T197" i="12"/>
  <c r="AL197" i="12" s="1"/>
  <c r="T166" i="12"/>
  <c r="AL166" i="12" s="1"/>
  <c r="T135" i="12"/>
  <c r="AL135" i="12" s="1"/>
  <c r="T103" i="12"/>
  <c r="AL103" i="12" s="1"/>
  <c r="T71" i="12"/>
  <c r="AL71" i="12" s="1"/>
  <c r="AK39" i="12"/>
  <c r="Z96" i="13"/>
  <c r="AA96" i="13" s="1"/>
  <c r="AG96" i="13" s="1"/>
  <c r="AF60" i="13"/>
  <c r="K60" i="13"/>
  <c r="AF236" i="15"/>
  <c r="K236" i="15"/>
  <c r="AA132" i="15"/>
  <c r="AG132" i="15" s="1"/>
  <c r="AF13" i="13"/>
  <c r="K13" i="13"/>
  <c r="AA14" i="13"/>
  <c r="AG14" i="13" s="1"/>
  <c r="J37" i="3"/>
  <c r="J42" i="3"/>
  <c r="K1" i="15"/>
  <c r="T81" i="13"/>
  <c r="AL81" i="13" s="1"/>
  <c r="K57" i="1"/>
  <c r="L143" i="6"/>
  <c r="L25" i="6"/>
  <c r="L69" i="6"/>
  <c r="L161" i="6"/>
  <c r="L47" i="6"/>
  <c r="L196" i="6"/>
  <c r="L164" i="6"/>
  <c r="L132" i="6"/>
  <c r="L100" i="6"/>
  <c r="L68" i="6"/>
  <c r="L36" i="6"/>
  <c r="L155" i="6"/>
  <c r="L98" i="6"/>
  <c r="L51" i="6"/>
  <c r="L165" i="6"/>
  <c r="L61" i="6"/>
  <c r="L99" i="6"/>
  <c r="L181" i="6"/>
  <c r="L71" i="6"/>
  <c r="L202" i="6"/>
  <c r="L170" i="6"/>
  <c r="L138" i="6"/>
  <c r="L90" i="6"/>
  <c r="L58" i="6"/>
  <c r="K61" i="1"/>
  <c r="L133" i="6"/>
  <c r="L213" i="6"/>
  <c r="L59" i="6"/>
  <c r="L153" i="6"/>
  <c r="L39" i="6"/>
  <c r="L192" i="6"/>
  <c r="L160" i="6"/>
  <c r="L128" i="6"/>
  <c r="L96" i="6"/>
  <c r="L64" i="6"/>
  <c r="L30" i="6"/>
  <c r="L125" i="6"/>
  <c r="L42" i="6"/>
  <c r="K66" i="1"/>
  <c r="L183" i="6"/>
  <c r="L75" i="6"/>
  <c r="L115" i="6"/>
  <c r="L203" i="6"/>
  <c r="L206" i="6"/>
  <c r="L142" i="6"/>
  <c r="L46" i="6"/>
  <c r="K65" i="1"/>
  <c r="L121" i="6"/>
  <c r="L195" i="6"/>
  <c r="L53" i="6"/>
  <c r="L147" i="6"/>
  <c r="L31" i="6"/>
  <c r="L188" i="6"/>
  <c r="L156" i="6"/>
  <c r="L124" i="6"/>
  <c r="L92" i="6"/>
  <c r="L60" i="6"/>
  <c r="L26" i="6"/>
  <c r="L105" i="6"/>
  <c r="L50" i="6"/>
  <c r="K62" i="1"/>
  <c r="L135" i="6"/>
  <c r="L19" i="6"/>
  <c r="L63" i="6"/>
  <c r="L159" i="6"/>
  <c r="L45" i="6"/>
  <c r="L194" i="6"/>
  <c r="L162" i="6"/>
  <c r="L130" i="6"/>
  <c r="L82" i="6"/>
  <c r="L32" i="6"/>
  <c r="L215" i="6"/>
  <c r="L113" i="6"/>
  <c r="L169" i="6"/>
  <c r="L29" i="6"/>
  <c r="L129" i="6"/>
  <c r="L216" i="6"/>
  <c r="L184" i="6"/>
  <c r="L152" i="6"/>
  <c r="L120" i="6"/>
  <c r="L88" i="6"/>
  <c r="L56" i="6"/>
  <c r="L22" i="6"/>
  <c r="L85" i="6"/>
  <c r="L205" i="6"/>
  <c r="K58" i="1"/>
  <c r="L149" i="6"/>
  <c r="L43" i="6"/>
  <c r="L87" i="6"/>
  <c r="L167" i="6"/>
  <c r="L57" i="6"/>
  <c r="L198" i="6"/>
  <c r="L166" i="6"/>
  <c r="L134" i="6"/>
  <c r="L102" i="6"/>
  <c r="L70" i="6"/>
  <c r="L38" i="6"/>
  <c r="L157" i="6"/>
  <c r="L151" i="6"/>
  <c r="L190" i="6"/>
  <c r="L126" i="6"/>
  <c r="L94" i="6"/>
  <c r="L28" i="6"/>
  <c r="L111" i="6"/>
  <c r="L199" i="6"/>
  <c r="L93" i="6"/>
  <c r="L137" i="6"/>
  <c r="L34" i="6"/>
  <c r="L109" i="6"/>
  <c r="L212" i="6"/>
  <c r="L180" i="6"/>
  <c r="L148" i="6"/>
  <c r="L116" i="6"/>
  <c r="L84" i="6"/>
  <c r="L52" i="6"/>
  <c r="L211" i="6"/>
  <c r="L67" i="6"/>
  <c r="L24" i="6"/>
  <c r="K63" i="1"/>
  <c r="L119" i="6"/>
  <c r="L187" i="6"/>
  <c r="L37" i="6"/>
  <c r="L139" i="6"/>
  <c r="L23" i="6"/>
  <c r="L186" i="6"/>
  <c r="L154" i="6"/>
  <c r="L114" i="6"/>
  <c r="L74" i="6"/>
  <c r="L103" i="6"/>
  <c r="L193" i="6"/>
  <c r="L83" i="6"/>
  <c r="L123" i="6"/>
  <c r="L209" i="6"/>
  <c r="L89" i="6"/>
  <c r="L208" i="6"/>
  <c r="L176" i="6"/>
  <c r="L144" i="6"/>
  <c r="L112" i="6"/>
  <c r="L80" i="6"/>
  <c r="L48" i="6"/>
  <c r="L189" i="6"/>
  <c r="L41" i="6"/>
  <c r="L141" i="6"/>
  <c r="K59" i="1"/>
  <c r="L131" i="6"/>
  <c r="L207" i="6"/>
  <c r="L55" i="6"/>
  <c r="L33" i="6"/>
  <c r="L158" i="6"/>
  <c r="L62" i="6"/>
  <c r="K64" i="1"/>
  <c r="L177" i="6"/>
  <c r="L73" i="6"/>
  <c r="L107" i="6"/>
  <c r="L191" i="6"/>
  <c r="L77" i="6"/>
  <c r="L204" i="6"/>
  <c r="L172" i="6"/>
  <c r="L140" i="6"/>
  <c r="L108" i="6"/>
  <c r="L76" i="6"/>
  <c r="L44" i="6"/>
  <c r="L179" i="6"/>
  <c r="L27" i="6"/>
  <c r="L175" i="6"/>
  <c r="L197" i="6"/>
  <c r="L91" i="6"/>
  <c r="L127" i="6"/>
  <c r="L18" i="6"/>
  <c r="L101" i="6"/>
  <c r="L210" i="6"/>
  <c r="L178" i="6"/>
  <c r="L146" i="6"/>
  <c r="L106" i="6"/>
  <c r="L66" i="6"/>
  <c r="K60" i="1"/>
  <c r="L163" i="6"/>
  <c r="L49" i="6"/>
  <c r="L95" i="6"/>
  <c r="L171" i="6"/>
  <c r="L65" i="6"/>
  <c r="L200" i="6"/>
  <c r="L168" i="6"/>
  <c r="L136" i="6"/>
  <c r="L104" i="6"/>
  <c r="L72" i="6"/>
  <c r="L40" i="6"/>
  <c r="L173" i="6"/>
  <c r="L122" i="6"/>
  <c r="L17" i="6"/>
  <c r="L201" i="6"/>
  <c r="L97" i="6"/>
  <c r="L145" i="6"/>
  <c r="L21" i="6"/>
  <c r="L117" i="6"/>
  <c r="L214" i="6"/>
  <c r="L182" i="6"/>
  <c r="L150" i="6"/>
  <c r="L118" i="6"/>
  <c r="L86" i="6"/>
  <c r="L54" i="6"/>
  <c r="L20" i="6"/>
  <c r="L79" i="6"/>
  <c r="L81" i="6"/>
  <c r="L174" i="6"/>
  <c r="L110" i="6"/>
  <c r="L78" i="6"/>
  <c r="L185" i="6"/>
  <c r="L35" i="6"/>
  <c r="G46" i="1" l="1"/>
  <c r="G54" i="3"/>
  <c r="H35" i="6"/>
  <c r="G35" i="6"/>
  <c r="J35" i="6"/>
  <c r="F35" i="6"/>
  <c r="B35" i="6"/>
  <c r="D35" i="6"/>
  <c r="C35" i="6"/>
  <c r="I35" i="6"/>
  <c r="E35" i="6"/>
  <c r="H79" i="6"/>
  <c r="D79" i="6"/>
  <c r="C79" i="6"/>
  <c r="J79" i="6"/>
  <c r="F79" i="6"/>
  <c r="B79" i="6"/>
  <c r="G79" i="6"/>
  <c r="I79" i="6"/>
  <c r="E79" i="6"/>
  <c r="D111" i="6"/>
  <c r="C111" i="6"/>
  <c r="J111" i="6"/>
  <c r="F111" i="6"/>
  <c r="B111" i="6"/>
  <c r="G111" i="6"/>
  <c r="I111" i="6"/>
  <c r="E111" i="6"/>
  <c r="H111" i="6"/>
  <c r="G157" i="6"/>
  <c r="J157" i="6"/>
  <c r="F157" i="6"/>
  <c r="B157" i="6"/>
  <c r="D157" i="6"/>
  <c r="C157" i="6"/>
  <c r="I157" i="6"/>
  <c r="E157" i="6"/>
  <c r="H157" i="6"/>
  <c r="G185" i="6"/>
  <c r="J185" i="6"/>
  <c r="F185" i="6"/>
  <c r="B185" i="6"/>
  <c r="H185" i="6"/>
  <c r="C185" i="6"/>
  <c r="I185" i="6"/>
  <c r="E185" i="6"/>
  <c r="D185" i="6"/>
  <c r="B20" i="6"/>
  <c r="E20" i="6"/>
  <c r="H20" i="6"/>
  <c r="D20" i="6"/>
  <c r="G20" i="6"/>
  <c r="J20" i="6"/>
  <c r="I20" i="6"/>
  <c r="C20" i="6"/>
  <c r="F20" i="6"/>
  <c r="E28" i="6"/>
  <c r="H28" i="6"/>
  <c r="D28" i="6"/>
  <c r="J28" i="6"/>
  <c r="B28" i="6"/>
  <c r="I28" i="6"/>
  <c r="G28" i="6"/>
  <c r="C28" i="6"/>
  <c r="F28" i="6"/>
  <c r="J38" i="6"/>
  <c r="H38" i="6"/>
  <c r="D38" i="6"/>
  <c r="F38" i="6"/>
  <c r="E38" i="6"/>
  <c r="G38" i="6"/>
  <c r="C38" i="6"/>
  <c r="B38" i="6"/>
  <c r="I38" i="6"/>
  <c r="J46" i="6"/>
  <c r="I46" i="6"/>
  <c r="E46" i="6"/>
  <c r="H46" i="6"/>
  <c r="D46" i="6"/>
  <c r="F46" i="6"/>
  <c r="G46" i="6"/>
  <c r="C46" i="6"/>
  <c r="B46" i="6"/>
  <c r="E54" i="6"/>
  <c r="H54" i="6"/>
  <c r="D54" i="6"/>
  <c r="F54" i="6"/>
  <c r="B54" i="6"/>
  <c r="I54" i="6"/>
  <c r="G54" i="6"/>
  <c r="C54" i="6"/>
  <c r="J54" i="6"/>
  <c r="J62" i="6"/>
  <c r="I62" i="6"/>
  <c r="H62" i="6"/>
  <c r="D62" i="6"/>
  <c r="F62" i="6"/>
  <c r="E62" i="6"/>
  <c r="G62" i="6"/>
  <c r="C62" i="6"/>
  <c r="B62" i="6"/>
  <c r="I70" i="6"/>
  <c r="H70" i="6"/>
  <c r="D70" i="6"/>
  <c r="F70" i="6"/>
  <c r="E70" i="6"/>
  <c r="G70" i="6"/>
  <c r="C70" i="6"/>
  <c r="J70" i="6"/>
  <c r="B70" i="6"/>
  <c r="J78" i="6"/>
  <c r="I78" i="6"/>
  <c r="H78" i="6"/>
  <c r="D78" i="6"/>
  <c r="F78" i="6"/>
  <c r="G78" i="6"/>
  <c r="C78" i="6"/>
  <c r="B78" i="6"/>
  <c r="E78" i="6"/>
  <c r="E86" i="6"/>
  <c r="H86" i="6"/>
  <c r="D86" i="6"/>
  <c r="F86" i="6"/>
  <c r="I86" i="6"/>
  <c r="G86" i="6"/>
  <c r="C86" i="6"/>
  <c r="J86" i="6"/>
  <c r="B86" i="6"/>
  <c r="E94" i="6"/>
  <c r="H94" i="6"/>
  <c r="D94" i="6"/>
  <c r="J94" i="6"/>
  <c r="B94" i="6"/>
  <c r="I94" i="6"/>
  <c r="G94" i="6"/>
  <c r="C94" i="6"/>
  <c r="F94" i="6"/>
  <c r="J102" i="6"/>
  <c r="I102" i="6"/>
  <c r="H102" i="6"/>
  <c r="D102" i="6"/>
  <c r="F102" i="6"/>
  <c r="G102" i="6"/>
  <c r="C102" i="6"/>
  <c r="B102" i="6"/>
  <c r="E102" i="6"/>
  <c r="I110" i="6"/>
  <c r="H110" i="6"/>
  <c r="D110" i="6"/>
  <c r="J110" i="6"/>
  <c r="B110" i="6"/>
  <c r="G110" i="6"/>
  <c r="C110" i="6"/>
  <c r="F110" i="6"/>
  <c r="E110" i="6"/>
  <c r="I118" i="6"/>
  <c r="H118" i="6"/>
  <c r="D118" i="6"/>
  <c r="F118" i="6"/>
  <c r="G118" i="6"/>
  <c r="C118" i="6"/>
  <c r="J118" i="6"/>
  <c r="B118" i="6"/>
  <c r="E118" i="6"/>
  <c r="J126" i="6"/>
  <c r="E126" i="6"/>
  <c r="H126" i="6"/>
  <c r="D126" i="6"/>
  <c r="F126" i="6"/>
  <c r="I126" i="6"/>
  <c r="G126" i="6"/>
  <c r="C126" i="6"/>
  <c r="B126" i="6"/>
  <c r="F134" i="6"/>
  <c r="E134" i="6"/>
  <c r="H134" i="6"/>
  <c r="D134" i="6"/>
  <c r="B134" i="6"/>
  <c r="I134" i="6"/>
  <c r="G134" i="6"/>
  <c r="C134" i="6"/>
  <c r="J134" i="6"/>
  <c r="J142" i="6"/>
  <c r="E142" i="6"/>
  <c r="I142" i="6"/>
  <c r="H142" i="6"/>
  <c r="D142" i="6"/>
  <c r="B142" i="6"/>
  <c r="G142" i="6"/>
  <c r="C142" i="6"/>
  <c r="F142" i="6"/>
  <c r="J150" i="6"/>
  <c r="I150" i="6"/>
  <c r="H150" i="6"/>
  <c r="D150" i="6"/>
  <c r="B150" i="6"/>
  <c r="G150" i="6"/>
  <c r="C150" i="6"/>
  <c r="F150" i="6"/>
  <c r="E150" i="6"/>
  <c r="B158" i="6"/>
  <c r="I158" i="6"/>
  <c r="H158" i="6"/>
  <c r="D158" i="6"/>
  <c r="F158" i="6"/>
  <c r="E158" i="6"/>
  <c r="G158" i="6"/>
  <c r="C158" i="6"/>
  <c r="J158" i="6"/>
  <c r="I166" i="6"/>
  <c r="H166" i="6"/>
  <c r="D166" i="6"/>
  <c r="F166" i="6"/>
  <c r="E166" i="6"/>
  <c r="G166" i="6"/>
  <c r="C166" i="6"/>
  <c r="J166" i="6"/>
  <c r="B166" i="6"/>
  <c r="J174" i="6"/>
  <c r="E174" i="6"/>
  <c r="I174" i="6"/>
  <c r="H174" i="6"/>
  <c r="D174" i="6"/>
  <c r="B174" i="6"/>
  <c r="G174" i="6"/>
  <c r="C174" i="6"/>
  <c r="F174" i="6"/>
  <c r="F182" i="6"/>
  <c r="E182" i="6"/>
  <c r="H182" i="6"/>
  <c r="D182" i="6"/>
  <c r="J182" i="6"/>
  <c r="G182" i="6"/>
  <c r="C182" i="6"/>
  <c r="B182" i="6"/>
  <c r="I182" i="6"/>
  <c r="F190" i="6"/>
  <c r="E190" i="6"/>
  <c r="H190" i="6"/>
  <c r="D190" i="6"/>
  <c r="J190" i="6"/>
  <c r="I190" i="6"/>
  <c r="G190" i="6"/>
  <c r="C190" i="6"/>
  <c r="B190" i="6"/>
  <c r="B198" i="6"/>
  <c r="I198" i="6"/>
  <c r="H198" i="6"/>
  <c r="D198" i="6"/>
  <c r="F198" i="6"/>
  <c r="G198" i="6"/>
  <c r="C198" i="6"/>
  <c r="J198" i="6"/>
  <c r="E198" i="6"/>
  <c r="B206" i="6"/>
  <c r="E206" i="6"/>
  <c r="H206" i="6"/>
  <c r="D206" i="6"/>
  <c r="J206" i="6"/>
  <c r="G206" i="6"/>
  <c r="C206" i="6"/>
  <c r="F206" i="6"/>
  <c r="I206" i="6"/>
  <c r="I214" i="6"/>
  <c r="H214" i="6"/>
  <c r="D214" i="6"/>
  <c r="F214" i="6"/>
  <c r="E214" i="6"/>
  <c r="G214" i="6"/>
  <c r="C214" i="6"/>
  <c r="J214" i="6"/>
  <c r="B214" i="6"/>
  <c r="G33" i="6"/>
  <c r="C33" i="6"/>
  <c r="J33" i="6"/>
  <c r="F33" i="6"/>
  <c r="B33" i="6"/>
  <c r="I33" i="6"/>
  <c r="E33" i="6"/>
  <c r="H33" i="6"/>
  <c r="D33" i="6"/>
  <c r="H57" i="6"/>
  <c r="C57" i="6"/>
  <c r="G57" i="6"/>
  <c r="J57" i="6"/>
  <c r="F57" i="6"/>
  <c r="B57" i="6"/>
  <c r="D57" i="6"/>
  <c r="I57" i="6"/>
  <c r="E57" i="6"/>
  <c r="G81" i="6"/>
  <c r="J81" i="6"/>
  <c r="F81" i="6"/>
  <c r="B81" i="6"/>
  <c r="D81" i="6"/>
  <c r="I81" i="6"/>
  <c r="E81" i="6"/>
  <c r="H81" i="6"/>
  <c r="C81" i="6"/>
  <c r="D117" i="6"/>
  <c r="C117" i="6"/>
  <c r="G117" i="6"/>
  <c r="J117" i="6"/>
  <c r="F117" i="6"/>
  <c r="B117" i="6"/>
  <c r="H117" i="6"/>
  <c r="I117" i="6"/>
  <c r="E117" i="6"/>
  <c r="G151" i="6"/>
  <c r="J151" i="6"/>
  <c r="F151" i="6"/>
  <c r="B151" i="6"/>
  <c r="D151" i="6"/>
  <c r="I151" i="6"/>
  <c r="E151" i="6"/>
  <c r="H151" i="6"/>
  <c r="C151" i="6"/>
  <c r="D167" i="6"/>
  <c r="C167" i="6"/>
  <c r="J167" i="6"/>
  <c r="F167" i="6"/>
  <c r="B167" i="6"/>
  <c r="H167" i="6"/>
  <c r="I167" i="6"/>
  <c r="E167" i="6"/>
  <c r="G167" i="6"/>
  <c r="C203" i="6"/>
  <c r="G203" i="6"/>
  <c r="J203" i="6"/>
  <c r="F203" i="6"/>
  <c r="B203" i="6"/>
  <c r="D203" i="6"/>
  <c r="I203" i="6"/>
  <c r="E203" i="6"/>
  <c r="H203" i="6"/>
  <c r="H21" i="6"/>
  <c r="G21" i="6"/>
  <c r="J21" i="6"/>
  <c r="F21" i="6"/>
  <c r="B21" i="6"/>
  <c r="I21" i="6"/>
  <c r="E21" i="6"/>
  <c r="D21" i="6"/>
  <c r="C21" i="6"/>
  <c r="D55" i="6"/>
  <c r="G55" i="6"/>
  <c r="J55" i="6"/>
  <c r="F55" i="6"/>
  <c r="B55" i="6"/>
  <c r="H55" i="6"/>
  <c r="I55" i="6"/>
  <c r="E55" i="6"/>
  <c r="C55" i="6"/>
  <c r="D87" i="6"/>
  <c r="C87" i="6"/>
  <c r="J87" i="6"/>
  <c r="F87" i="6"/>
  <c r="B87" i="6"/>
  <c r="H87" i="6"/>
  <c r="I87" i="6"/>
  <c r="E87" i="6"/>
  <c r="G87" i="6"/>
  <c r="H115" i="6"/>
  <c r="G115" i="6"/>
  <c r="J115" i="6"/>
  <c r="F115" i="6"/>
  <c r="B115" i="6"/>
  <c r="D115" i="6"/>
  <c r="I115" i="6"/>
  <c r="E115" i="6"/>
  <c r="C115" i="6"/>
  <c r="G145" i="6"/>
  <c r="J145" i="6"/>
  <c r="F145" i="6"/>
  <c r="B145" i="6"/>
  <c r="D145" i="6"/>
  <c r="I145" i="6"/>
  <c r="E145" i="6"/>
  <c r="H145" i="6"/>
  <c r="C145" i="6"/>
  <c r="G207" i="6"/>
  <c r="J207" i="6"/>
  <c r="F207" i="6"/>
  <c r="B207" i="6"/>
  <c r="H207" i="6"/>
  <c r="C207" i="6"/>
  <c r="I207" i="6"/>
  <c r="E207" i="6"/>
  <c r="D207" i="6"/>
  <c r="J43" i="6"/>
  <c r="F43" i="6"/>
  <c r="B43" i="6"/>
  <c r="H43" i="6"/>
  <c r="C43" i="6"/>
  <c r="I43" i="6"/>
  <c r="E43" i="6"/>
  <c r="D43" i="6"/>
  <c r="G43" i="6"/>
  <c r="D75" i="6"/>
  <c r="G75" i="6"/>
  <c r="J75" i="6"/>
  <c r="F75" i="6"/>
  <c r="B75" i="6"/>
  <c r="H75" i="6"/>
  <c r="I75" i="6"/>
  <c r="E75" i="6"/>
  <c r="C75" i="6"/>
  <c r="D97" i="6"/>
  <c r="J97" i="6"/>
  <c r="F97" i="6"/>
  <c r="B97" i="6"/>
  <c r="C97" i="6"/>
  <c r="I97" i="6"/>
  <c r="E97" i="6"/>
  <c r="H97" i="6"/>
  <c r="G97" i="6"/>
  <c r="C131" i="6"/>
  <c r="J131" i="6"/>
  <c r="F131" i="6"/>
  <c r="B131" i="6"/>
  <c r="H131" i="6"/>
  <c r="G131" i="6"/>
  <c r="I131" i="6"/>
  <c r="E131" i="6"/>
  <c r="D131" i="6"/>
  <c r="J149" i="6"/>
  <c r="F149" i="6"/>
  <c r="B149" i="6"/>
  <c r="D149" i="6"/>
  <c r="G149" i="6"/>
  <c r="I149" i="6"/>
  <c r="E149" i="6"/>
  <c r="H149" i="6"/>
  <c r="C149" i="6"/>
  <c r="C183" i="6"/>
  <c r="J183" i="6"/>
  <c r="F183" i="6"/>
  <c r="B183" i="6"/>
  <c r="H183" i="6"/>
  <c r="G183" i="6"/>
  <c r="I183" i="6"/>
  <c r="E183" i="6"/>
  <c r="D183" i="6"/>
  <c r="G201" i="6"/>
  <c r="J201" i="6"/>
  <c r="F201" i="6"/>
  <c r="B201" i="6"/>
  <c r="D201" i="6"/>
  <c r="I201" i="6"/>
  <c r="E201" i="6"/>
  <c r="H201" i="6"/>
  <c r="C201" i="6"/>
  <c r="B17" i="6"/>
  <c r="C141" i="6"/>
  <c r="J141" i="6"/>
  <c r="F141" i="6"/>
  <c r="B141" i="6"/>
  <c r="D141" i="6"/>
  <c r="G141" i="6"/>
  <c r="I141" i="6"/>
  <c r="E141" i="6"/>
  <c r="H141" i="6"/>
  <c r="C205" i="6"/>
  <c r="J205" i="6"/>
  <c r="F205" i="6"/>
  <c r="B205" i="6"/>
  <c r="D205" i="6"/>
  <c r="G205" i="6"/>
  <c r="I205" i="6"/>
  <c r="E205" i="6"/>
  <c r="H205" i="6"/>
  <c r="F42" i="6"/>
  <c r="E42" i="6"/>
  <c r="I42" i="6"/>
  <c r="H42" i="6"/>
  <c r="D42" i="6"/>
  <c r="J42" i="6"/>
  <c r="B42" i="6"/>
  <c r="G42" i="6"/>
  <c r="C42" i="6"/>
  <c r="J122" i="6"/>
  <c r="E122" i="6"/>
  <c r="H122" i="6"/>
  <c r="D122" i="6"/>
  <c r="F122" i="6"/>
  <c r="I122" i="6"/>
  <c r="G122" i="6"/>
  <c r="C122" i="6"/>
  <c r="B122" i="6"/>
  <c r="C41" i="6"/>
  <c r="J41" i="6"/>
  <c r="F41" i="6"/>
  <c r="B41" i="6"/>
  <c r="D41" i="6"/>
  <c r="G41" i="6"/>
  <c r="I41" i="6"/>
  <c r="E41" i="6"/>
  <c r="H41" i="6"/>
  <c r="H85" i="6"/>
  <c r="G85" i="6"/>
  <c r="J85" i="6"/>
  <c r="F85" i="6"/>
  <c r="B85" i="6"/>
  <c r="D85" i="6"/>
  <c r="C85" i="6"/>
  <c r="I85" i="6"/>
  <c r="E85" i="6"/>
  <c r="G125" i="6"/>
  <c r="J125" i="6"/>
  <c r="F125" i="6"/>
  <c r="B125" i="6"/>
  <c r="H125" i="6"/>
  <c r="C125" i="6"/>
  <c r="I125" i="6"/>
  <c r="E125" i="6"/>
  <c r="D125" i="6"/>
  <c r="C173" i="6"/>
  <c r="J173" i="6"/>
  <c r="F173" i="6"/>
  <c r="B173" i="6"/>
  <c r="H173" i="6"/>
  <c r="G173" i="6"/>
  <c r="I173" i="6"/>
  <c r="E173" i="6"/>
  <c r="D173" i="6"/>
  <c r="G189" i="6"/>
  <c r="J189" i="6"/>
  <c r="F189" i="6"/>
  <c r="B189" i="6"/>
  <c r="H189" i="6"/>
  <c r="I189" i="6"/>
  <c r="E189" i="6"/>
  <c r="D189" i="6"/>
  <c r="C189" i="6"/>
  <c r="I22" i="6"/>
  <c r="H22" i="6"/>
  <c r="D22" i="6"/>
  <c r="J22" i="6"/>
  <c r="B22" i="6"/>
  <c r="E22" i="6"/>
  <c r="G22" i="6"/>
  <c r="C22" i="6"/>
  <c r="F22" i="6"/>
  <c r="F30" i="6"/>
  <c r="I30" i="6"/>
  <c r="H30" i="6"/>
  <c r="D30" i="6"/>
  <c r="B30" i="6"/>
  <c r="E30" i="6"/>
  <c r="G30" i="6"/>
  <c r="C30" i="6"/>
  <c r="J30" i="6"/>
  <c r="F40" i="6"/>
  <c r="I40" i="6"/>
  <c r="H40" i="6"/>
  <c r="D40" i="6"/>
  <c r="G40" i="6"/>
  <c r="C40" i="6"/>
  <c r="J40" i="6"/>
  <c r="B40" i="6"/>
  <c r="E40" i="6"/>
  <c r="J48" i="6"/>
  <c r="E48" i="6"/>
  <c r="H48" i="6"/>
  <c r="D48" i="6"/>
  <c r="B48" i="6"/>
  <c r="G48" i="6"/>
  <c r="C48" i="6"/>
  <c r="F48" i="6"/>
  <c r="I48" i="6"/>
  <c r="H56" i="6"/>
  <c r="D56" i="6"/>
  <c r="F56" i="6"/>
  <c r="E56" i="6"/>
  <c r="G56" i="6"/>
  <c r="C56" i="6"/>
  <c r="J56" i="6"/>
  <c r="B56" i="6"/>
  <c r="I56" i="6"/>
  <c r="J64" i="6"/>
  <c r="H64" i="6"/>
  <c r="D64" i="6"/>
  <c r="B64" i="6"/>
  <c r="E64" i="6"/>
  <c r="G64" i="6"/>
  <c r="C64" i="6"/>
  <c r="F64" i="6"/>
  <c r="I64" i="6"/>
  <c r="E72" i="6"/>
  <c r="H72" i="6"/>
  <c r="D72" i="6"/>
  <c r="J72" i="6"/>
  <c r="G72" i="6"/>
  <c r="C72" i="6"/>
  <c r="F72" i="6"/>
  <c r="B72" i="6"/>
  <c r="I72" i="6"/>
  <c r="B80" i="6"/>
  <c r="I80" i="6"/>
  <c r="E80" i="6"/>
  <c r="H80" i="6"/>
  <c r="D80" i="6"/>
  <c r="F80" i="6"/>
  <c r="G80" i="6"/>
  <c r="C80" i="6"/>
  <c r="J80" i="6"/>
  <c r="I88" i="6"/>
  <c r="H88" i="6"/>
  <c r="D88" i="6"/>
  <c r="F88" i="6"/>
  <c r="E88" i="6"/>
  <c r="G88" i="6"/>
  <c r="C88" i="6"/>
  <c r="J88" i="6"/>
  <c r="B88" i="6"/>
  <c r="I96" i="6"/>
  <c r="H96" i="6"/>
  <c r="D96" i="6"/>
  <c r="J96" i="6"/>
  <c r="B96" i="6"/>
  <c r="E96" i="6"/>
  <c r="G96" i="6"/>
  <c r="C96" i="6"/>
  <c r="F96" i="6"/>
  <c r="F104" i="6"/>
  <c r="E104" i="6"/>
  <c r="I104" i="6"/>
  <c r="H104" i="6"/>
  <c r="D104" i="6"/>
  <c r="G104" i="6"/>
  <c r="C104" i="6"/>
  <c r="J104" i="6"/>
  <c r="B104" i="6"/>
  <c r="J112" i="6"/>
  <c r="E112" i="6"/>
  <c r="I112" i="6"/>
  <c r="H112" i="6"/>
  <c r="D112" i="6"/>
  <c r="B112" i="6"/>
  <c r="G112" i="6"/>
  <c r="C112" i="6"/>
  <c r="F112" i="6"/>
  <c r="I120" i="6"/>
  <c r="H120" i="6"/>
  <c r="D120" i="6"/>
  <c r="F120" i="6"/>
  <c r="G120" i="6"/>
  <c r="C120" i="6"/>
  <c r="J120" i="6"/>
  <c r="B120" i="6"/>
  <c r="E120" i="6"/>
  <c r="J128" i="6"/>
  <c r="I128" i="6"/>
  <c r="H128" i="6"/>
  <c r="D128" i="6"/>
  <c r="F128" i="6"/>
  <c r="E128" i="6"/>
  <c r="G128" i="6"/>
  <c r="C128" i="6"/>
  <c r="B128" i="6"/>
  <c r="J136" i="6"/>
  <c r="H136" i="6"/>
  <c r="D136" i="6"/>
  <c r="B136" i="6"/>
  <c r="E136" i="6"/>
  <c r="G136" i="6"/>
  <c r="C136" i="6"/>
  <c r="F136" i="6"/>
  <c r="I136" i="6"/>
  <c r="J144" i="6"/>
  <c r="E144" i="6"/>
  <c r="H144" i="6"/>
  <c r="D144" i="6"/>
  <c r="B144" i="6"/>
  <c r="I144" i="6"/>
  <c r="G144" i="6"/>
  <c r="C144" i="6"/>
  <c r="F144" i="6"/>
  <c r="J152" i="6"/>
  <c r="E152" i="6"/>
  <c r="H152" i="6"/>
  <c r="D152" i="6"/>
  <c r="F152" i="6"/>
  <c r="G152" i="6"/>
  <c r="C152" i="6"/>
  <c r="B152" i="6"/>
  <c r="I152" i="6"/>
  <c r="B160" i="6"/>
  <c r="I160" i="6"/>
  <c r="E160" i="6"/>
  <c r="H160" i="6"/>
  <c r="D160" i="6"/>
  <c r="J160" i="6"/>
  <c r="G160" i="6"/>
  <c r="C160" i="6"/>
  <c r="F160" i="6"/>
  <c r="E168" i="6"/>
  <c r="H168" i="6"/>
  <c r="D168" i="6"/>
  <c r="F168" i="6"/>
  <c r="I168" i="6"/>
  <c r="G168" i="6"/>
  <c r="C168" i="6"/>
  <c r="J168" i="6"/>
  <c r="B168" i="6"/>
  <c r="J176" i="6"/>
  <c r="E176" i="6"/>
  <c r="H176" i="6"/>
  <c r="D176" i="6"/>
  <c r="B176" i="6"/>
  <c r="I176" i="6"/>
  <c r="G176" i="6"/>
  <c r="C176" i="6"/>
  <c r="F176" i="6"/>
  <c r="J184" i="6"/>
  <c r="I184" i="6"/>
  <c r="H184" i="6"/>
  <c r="D184" i="6"/>
  <c r="F184" i="6"/>
  <c r="G184" i="6"/>
  <c r="C184" i="6"/>
  <c r="B184" i="6"/>
  <c r="E184" i="6"/>
  <c r="F192" i="6"/>
  <c r="I192" i="6"/>
  <c r="E192" i="6"/>
  <c r="H192" i="6"/>
  <c r="D192" i="6"/>
  <c r="J192" i="6"/>
  <c r="G192" i="6"/>
  <c r="C192" i="6"/>
  <c r="B192" i="6"/>
  <c r="F200" i="6"/>
  <c r="E200" i="6"/>
  <c r="H200" i="6"/>
  <c r="D200" i="6"/>
  <c r="B200" i="6"/>
  <c r="I200" i="6"/>
  <c r="G200" i="6"/>
  <c r="C200" i="6"/>
  <c r="J200" i="6"/>
  <c r="B208" i="6"/>
  <c r="I208" i="6"/>
  <c r="H208" i="6"/>
  <c r="D208" i="6"/>
  <c r="J208" i="6"/>
  <c r="G208" i="6"/>
  <c r="C208" i="6"/>
  <c r="F208" i="6"/>
  <c r="E208" i="6"/>
  <c r="F216" i="6"/>
  <c r="I216" i="6"/>
  <c r="H216" i="6"/>
  <c r="D216" i="6"/>
  <c r="B216" i="6"/>
  <c r="G216" i="6"/>
  <c r="C216" i="6"/>
  <c r="J216" i="6"/>
  <c r="E216" i="6"/>
  <c r="C39" i="6"/>
  <c r="G39" i="6"/>
  <c r="J39" i="6"/>
  <c r="F39" i="6"/>
  <c r="B39" i="6"/>
  <c r="H39" i="6"/>
  <c r="I39" i="6"/>
  <c r="E39" i="6"/>
  <c r="D39" i="6"/>
  <c r="C65" i="6"/>
  <c r="G65" i="6"/>
  <c r="J65" i="6"/>
  <c r="F65" i="6"/>
  <c r="B65" i="6"/>
  <c r="D65" i="6"/>
  <c r="I65" i="6"/>
  <c r="E65" i="6"/>
  <c r="H65" i="6"/>
  <c r="D89" i="6"/>
  <c r="G89" i="6"/>
  <c r="J89" i="6"/>
  <c r="F89" i="6"/>
  <c r="B89" i="6"/>
  <c r="H89" i="6"/>
  <c r="I89" i="6"/>
  <c r="E89" i="6"/>
  <c r="C89" i="6"/>
  <c r="G129" i="6"/>
  <c r="J129" i="6"/>
  <c r="F129" i="6"/>
  <c r="B129" i="6"/>
  <c r="H129" i="6"/>
  <c r="I129" i="6"/>
  <c r="E129" i="6"/>
  <c r="D129" i="6"/>
  <c r="C129" i="6"/>
  <c r="C153" i="6"/>
  <c r="G153" i="6"/>
  <c r="J153" i="6"/>
  <c r="F153" i="6"/>
  <c r="B153" i="6"/>
  <c r="H153" i="6"/>
  <c r="I153" i="6"/>
  <c r="E153" i="6"/>
  <c r="D153" i="6"/>
  <c r="G171" i="6"/>
  <c r="J171" i="6"/>
  <c r="F171" i="6"/>
  <c r="B171" i="6"/>
  <c r="H171" i="6"/>
  <c r="I171" i="6"/>
  <c r="E171" i="6"/>
  <c r="D171" i="6"/>
  <c r="C171" i="6"/>
  <c r="G209" i="6"/>
  <c r="J209" i="6"/>
  <c r="F209" i="6"/>
  <c r="B209" i="6"/>
  <c r="H209" i="6"/>
  <c r="I209" i="6"/>
  <c r="E209" i="6"/>
  <c r="D209" i="6"/>
  <c r="C209" i="6"/>
  <c r="D29" i="6"/>
  <c r="G29" i="6"/>
  <c r="J29" i="6"/>
  <c r="F29" i="6"/>
  <c r="B29" i="6"/>
  <c r="I29" i="6"/>
  <c r="E29" i="6"/>
  <c r="H29" i="6"/>
  <c r="C29" i="6"/>
  <c r="H59" i="6"/>
  <c r="J59" i="6"/>
  <c r="F59" i="6"/>
  <c r="B59" i="6"/>
  <c r="D59" i="6"/>
  <c r="C59" i="6"/>
  <c r="I59" i="6"/>
  <c r="E59" i="6"/>
  <c r="G59" i="6"/>
  <c r="H95" i="6"/>
  <c r="G95" i="6"/>
  <c r="J95" i="6"/>
  <c r="F95" i="6"/>
  <c r="B95" i="6"/>
  <c r="I95" i="6"/>
  <c r="E95" i="6"/>
  <c r="D95" i="6"/>
  <c r="C95" i="6"/>
  <c r="G123" i="6"/>
  <c r="J123" i="6"/>
  <c r="F123" i="6"/>
  <c r="B123" i="6"/>
  <c r="H123" i="6"/>
  <c r="I123" i="6"/>
  <c r="E123" i="6"/>
  <c r="D123" i="6"/>
  <c r="C123" i="6"/>
  <c r="D169" i="6"/>
  <c r="C169" i="6"/>
  <c r="J169" i="6"/>
  <c r="F169" i="6"/>
  <c r="B169" i="6"/>
  <c r="H169" i="6"/>
  <c r="I169" i="6"/>
  <c r="E169" i="6"/>
  <c r="G169" i="6"/>
  <c r="C213" i="6"/>
  <c r="J213" i="6"/>
  <c r="F213" i="6"/>
  <c r="B213" i="6"/>
  <c r="H213" i="6"/>
  <c r="I213" i="6"/>
  <c r="E213" i="6"/>
  <c r="D213" i="6"/>
  <c r="G213" i="6"/>
  <c r="C49" i="6"/>
  <c r="J49" i="6"/>
  <c r="F49" i="6"/>
  <c r="B49" i="6"/>
  <c r="D49" i="6"/>
  <c r="G49" i="6"/>
  <c r="I49" i="6"/>
  <c r="E49" i="6"/>
  <c r="H49" i="6"/>
  <c r="H83" i="6"/>
  <c r="C83" i="6"/>
  <c r="J83" i="6"/>
  <c r="F83" i="6"/>
  <c r="B83" i="6"/>
  <c r="D83" i="6"/>
  <c r="G83" i="6"/>
  <c r="I83" i="6"/>
  <c r="E83" i="6"/>
  <c r="J113" i="6"/>
  <c r="F113" i="6"/>
  <c r="B113" i="6"/>
  <c r="H113" i="6"/>
  <c r="C113" i="6"/>
  <c r="I113" i="6"/>
  <c r="E113" i="6"/>
  <c r="D113" i="6"/>
  <c r="G113" i="6"/>
  <c r="J133" i="6"/>
  <c r="F133" i="6"/>
  <c r="B133" i="6"/>
  <c r="D133" i="6"/>
  <c r="C133" i="6"/>
  <c r="I133" i="6"/>
  <c r="E133" i="6"/>
  <c r="H133" i="6"/>
  <c r="G133" i="6"/>
  <c r="H163" i="6"/>
  <c r="C163" i="6"/>
  <c r="J163" i="6"/>
  <c r="F163" i="6"/>
  <c r="B163" i="6"/>
  <c r="D163" i="6"/>
  <c r="G163" i="6"/>
  <c r="I163" i="6"/>
  <c r="E163" i="6"/>
  <c r="J193" i="6"/>
  <c r="F193" i="6"/>
  <c r="B193" i="6"/>
  <c r="H193" i="6"/>
  <c r="G193" i="6"/>
  <c r="I193" i="6"/>
  <c r="E193" i="6"/>
  <c r="D193" i="6"/>
  <c r="C193" i="6"/>
  <c r="J215" i="6"/>
  <c r="F215" i="6"/>
  <c r="B215" i="6"/>
  <c r="G215" i="6"/>
  <c r="I215" i="6"/>
  <c r="E215" i="6"/>
  <c r="H215" i="6"/>
  <c r="D215" i="6"/>
  <c r="C215" i="6"/>
  <c r="C103" i="6"/>
  <c r="J103" i="6"/>
  <c r="F103" i="6"/>
  <c r="B103" i="6"/>
  <c r="H103" i="6"/>
  <c r="G103" i="6"/>
  <c r="I103" i="6"/>
  <c r="E103" i="6"/>
  <c r="D103" i="6"/>
  <c r="F32" i="6"/>
  <c r="E32" i="6"/>
  <c r="H32" i="6"/>
  <c r="D32" i="6"/>
  <c r="J32" i="6"/>
  <c r="B32" i="6"/>
  <c r="G32" i="6"/>
  <c r="C32" i="6"/>
  <c r="I32" i="6"/>
  <c r="I58" i="6"/>
  <c r="H58" i="6"/>
  <c r="D58" i="6"/>
  <c r="F58" i="6"/>
  <c r="G58" i="6"/>
  <c r="C58" i="6"/>
  <c r="J58" i="6"/>
  <c r="B58" i="6"/>
  <c r="E58" i="6"/>
  <c r="J66" i="6"/>
  <c r="I66" i="6"/>
  <c r="H66" i="6"/>
  <c r="D66" i="6"/>
  <c r="F66" i="6"/>
  <c r="G66" i="6"/>
  <c r="C66" i="6"/>
  <c r="B66" i="6"/>
  <c r="E66" i="6"/>
  <c r="H74" i="6"/>
  <c r="D74" i="6"/>
  <c r="J74" i="6"/>
  <c r="B74" i="6"/>
  <c r="I74" i="6"/>
  <c r="G74" i="6"/>
  <c r="C74" i="6"/>
  <c r="F74" i="6"/>
  <c r="E74" i="6"/>
  <c r="B82" i="6"/>
  <c r="E82" i="6"/>
  <c r="H82" i="6"/>
  <c r="D82" i="6"/>
  <c r="F82" i="6"/>
  <c r="G82" i="6"/>
  <c r="C82" i="6"/>
  <c r="J82" i="6"/>
  <c r="I82" i="6"/>
  <c r="E90" i="6"/>
  <c r="H90" i="6"/>
  <c r="D90" i="6"/>
  <c r="F90" i="6"/>
  <c r="G90" i="6"/>
  <c r="C90" i="6"/>
  <c r="J90" i="6"/>
  <c r="B90" i="6"/>
  <c r="I90" i="6"/>
  <c r="F106" i="6"/>
  <c r="E106" i="6"/>
  <c r="H106" i="6"/>
  <c r="D106" i="6"/>
  <c r="I106" i="6"/>
  <c r="G106" i="6"/>
  <c r="C106" i="6"/>
  <c r="J106" i="6"/>
  <c r="B106" i="6"/>
  <c r="B114" i="6"/>
  <c r="E114" i="6"/>
  <c r="H114" i="6"/>
  <c r="D114" i="6"/>
  <c r="F114" i="6"/>
  <c r="I114" i="6"/>
  <c r="G114" i="6"/>
  <c r="C114" i="6"/>
  <c r="J114" i="6"/>
  <c r="J130" i="6"/>
  <c r="E130" i="6"/>
  <c r="H130" i="6"/>
  <c r="D130" i="6"/>
  <c r="F130" i="6"/>
  <c r="G130" i="6"/>
  <c r="C130" i="6"/>
  <c r="B130" i="6"/>
  <c r="I130" i="6"/>
  <c r="J138" i="6"/>
  <c r="I138" i="6"/>
  <c r="H138" i="6"/>
  <c r="D138" i="6"/>
  <c r="B138" i="6"/>
  <c r="G138" i="6"/>
  <c r="C138" i="6"/>
  <c r="F138" i="6"/>
  <c r="E138" i="6"/>
  <c r="J146" i="6"/>
  <c r="I146" i="6"/>
  <c r="H146" i="6"/>
  <c r="D146" i="6"/>
  <c r="F146" i="6"/>
  <c r="E146" i="6"/>
  <c r="G146" i="6"/>
  <c r="C146" i="6"/>
  <c r="B146" i="6"/>
  <c r="J154" i="6"/>
  <c r="I154" i="6"/>
  <c r="H154" i="6"/>
  <c r="D154" i="6"/>
  <c r="F154" i="6"/>
  <c r="G154" i="6"/>
  <c r="C154" i="6"/>
  <c r="B154" i="6"/>
  <c r="E154" i="6"/>
  <c r="B162" i="6"/>
  <c r="E162" i="6"/>
  <c r="H162" i="6"/>
  <c r="D162" i="6"/>
  <c r="F162" i="6"/>
  <c r="G162" i="6"/>
  <c r="C162" i="6"/>
  <c r="J162" i="6"/>
  <c r="I162" i="6"/>
  <c r="J170" i="6"/>
  <c r="I170" i="6"/>
  <c r="H170" i="6"/>
  <c r="D170" i="6"/>
  <c r="F170" i="6"/>
  <c r="E170" i="6"/>
  <c r="G170" i="6"/>
  <c r="C170" i="6"/>
  <c r="B170" i="6"/>
  <c r="J178" i="6"/>
  <c r="I178" i="6"/>
  <c r="H178" i="6"/>
  <c r="D178" i="6"/>
  <c r="B178" i="6"/>
  <c r="G178" i="6"/>
  <c r="C178" i="6"/>
  <c r="F178" i="6"/>
  <c r="E178" i="6"/>
  <c r="F186" i="6"/>
  <c r="E186" i="6"/>
  <c r="H186" i="6"/>
  <c r="D186" i="6"/>
  <c r="J186" i="6"/>
  <c r="I186" i="6"/>
  <c r="G186" i="6"/>
  <c r="C186" i="6"/>
  <c r="B186" i="6"/>
  <c r="F194" i="6"/>
  <c r="E194" i="6"/>
  <c r="H194" i="6"/>
  <c r="D194" i="6"/>
  <c r="J194" i="6"/>
  <c r="G194" i="6"/>
  <c r="C194" i="6"/>
  <c r="B194" i="6"/>
  <c r="I194" i="6"/>
  <c r="F202" i="6"/>
  <c r="H202" i="6"/>
  <c r="D202" i="6"/>
  <c r="B202" i="6"/>
  <c r="E202" i="6"/>
  <c r="G202" i="6"/>
  <c r="C202" i="6"/>
  <c r="J202" i="6"/>
  <c r="I202" i="6"/>
  <c r="E210" i="6"/>
  <c r="H210" i="6"/>
  <c r="D210" i="6"/>
  <c r="J210" i="6"/>
  <c r="B210" i="6"/>
  <c r="G210" i="6"/>
  <c r="C210" i="6"/>
  <c r="F210" i="6"/>
  <c r="I210" i="6"/>
  <c r="H23" i="6"/>
  <c r="G23" i="6"/>
  <c r="J23" i="6"/>
  <c r="F23" i="6"/>
  <c r="B23" i="6"/>
  <c r="I23" i="6"/>
  <c r="E23" i="6"/>
  <c r="D23" i="6"/>
  <c r="C23" i="6"/>
  <c r="H45" i="6"/>
  <c r="C45" i="6"/>
  <c r="J45" i="6"/>
  <c r="F45" i="6"/>
  <c r="B45" i="6"/>
  <c r="I45" i="6"/>
  <c r="E45" i="6"/>
  <c r="D45" i="6"/>
  <c r="G45" i="6"/>
  <c r="D71" i="6"/>
  <c r="G71" i="6"/>
  <c r="J71" i="6"/>
  <c r="F71" i="6"/>
  <c r="B71" i="6"/>
  <c r="H71" i="6"/>
  <c r="I71" i="6"/>
  <c r="E71" i="6"/>
  <c r="C71" i="6"/>
  <c r="D101" i="6"/>
  <c r="C101" i="6"/>
  <c r="G101" i="6"/>
  <c r="J101" i="6"/>
  <c r="F101" i="6"/>
  <c r="B101" i="6"/>
  <c r="H101" i="6"/>
  <c r="I101" i="6"/>
  <c r="E101" i="6"/>
  <c r="G139" i="6"/>
  <c r="J139" i="6"/>
  <c r="F139" i="6"/>
  <c r="B139" i="6"/>
  <c r="H139" i="6"/>
  <c r="I139" i="6"/>
  <c r="E139" i="6"/>
  <c r="D139" i="6"/>
  <c r="C139" i="6"/>
  <c r="C159" i="6"/>
  <c r="J159" i="6"/>
  <c r="F159" i="6"/>
  <c r="B159" i="6"/>
  <c r="H159" i="6"/>
  <c r="I159" i="6"/>
  <c r="E159" i="6"/>
  <c r="D159" i="6"/>
  <c r="G159" i="6"/>
  <c r="C181" i="6"/>
  <c r="G181" i="6"/>
  <c r="J181" i="6"/>
  <c r="F181" i="6"/>
  <c r="B181" i="6"/>
  <c r="H181" i="6"/>
  <c r="I181" i="6"/>
  <c r="E181" i="6"/>
  <c r="D181" i="6"/>
  <c r="B18" i="6"/>
  <c r="H37" i="6"/>
  <c r="G37" i="6"/>
  <c r="J37" i="6"/>
  <c r="F37" i="6"/>
  <c r="B37" i="6"/>
  <c r="D37" i="6"/>
  <c r="I37" i="6"/>
  <c r="E37" i="6"/>
  <c r="C37" i="6"/>
  <c r="G63" i="6"/>
  <c r="J63" i="6"/>
  <c r="F63" i="6"/>
  <c r="B63" i="6"/>
  <c r="D63" i="6"/>
  <c r="I63" i="6"/>
  <c r="E63" i="6"/>
  <c r="H63" i="6"/>
  <c r="C63" i="6"/>
  <c r="G99" i="6"/>
  <c r="J99" i="6"/>
  <c r="F99" i="6"/>
  <c r="B99" i="6"/>
  <c r="D99" i="6"/>
  <c r="I99" i="6"/>
  <c r="E99" i="6"/>
  <c r="H99" i="6"/>
  <c r="C99" i="6"/>
  <c r="G127" i="6"/>
  <c r="J127" i="6"/>
  <c r="F127" i="6"/>
  <c r="B127" i="6"/>
  <c r="H127" i="6"/>
  <c r="I127" i="6"/>
  <c r="E127" i="6"/>
  <c r="D127" i="6"/>
  <c r="C127" i="6"/>
  <c r="C187" i="6"/>
  <c r="J187" i="6"/>
  <c r="F187" i="6"/>
  <c r="B187" i="6"/>
  <c r="H187" i="6"/>
  <c r="I187" i="6"/>
  <c r="E187" i="6"/>
  <c r="D187" i="6"/>
  <c r="G187" i="6"/>
  <c r="B19" i="6"/>
  <c r="J61" i="6"/>
  <c r="F61" i="6"/>
  <c r="B61" i="6"/>
  <c r="D61" i="6"/>
  <c r="C61" i="6"/>
  <c r="I61" i="6"/>
  <c r="E61" i="6"/>
  <c r="H61" i="6"/>
  <c r="G61" i="6"/>
  <c r="D91" i="6"/>
  <c r="C91" i="6"/>
  <c r="J91" i="6"/>
  <c r="F91" i="6"/>
  <c r="B91" i="6"/>
  <c r="H91" i="6"/>
  <c r="G91" i="6"/>
  <c r="I91" i="6"/>
  <c r="E91" i="6"/>
  <c r="D119" i="6"/>
  <c r="C119" i="6"/>
  <c r="J119" i="6"/>
  <c r="F119" i="6"/>
  <c r="B119" i="6"/>
  <c r="H119" i="6"/>
  <c r="G119" i="6"/>
  <c r="I119" i="6"/>
  <c r="E119" i="6"/>
  <c r="G135" i="6"/>
  <c r="J135" i="6"/>
  <c r="F135" i="6"/>
  <c r="B135" i="6"/>
  <c r="D135" i="6"/>
  <c r="I135" i="6"/>
  <c r="E135" i="6"/>
  <c r="H135" i="6"/>
  <c r="C135" i="6"/>
  <c r="H165" i="6"/>
  <c r="J165" i="6"/>
  <c r="F165" i="6"/>
  <c r="B165" i="6"/>
  <c r="D165" i="6"/>
  <c r="C165" i="6"/>
  <c r="I165" i="6"/>
  <c r="E165" i="6"/>
  <c r="G165" i="6"/>
  <c r="C197" i="6"/>
  <c r="J197" i="6"/>
  <c r="F197" i="6"/>
  <c r="B197" i="6"/>
  <c r="D197" i="6"/>
  <c r="G197" i="6"/>
  <c r="I197" i="6"/>
  <c r="E197" i="6"/>
  <c r="H197" i="6"/>
  <c r="G51" i="6"/>
  <c r="J51" i="6"/>
  <c r="F51" i="6"/>
  <c r="B51" i="6"/>
  <c r="H51" i="6"/>
  <c r="C51" i="6"/>
  <c r="I51" i="6"/>
  <c r="E51" i="6"/>
  <c r="D51" i="6"/>
  <c r="G175" i="6"/>
  <c r="J175" i="6"/>
  <c r="F175" i="6"/>
  <c r="B175" i="6"/>
  <c r="H175" i="6"/>
  <c r="C175" i="6"/>
  <c r="I175" i="6"/>
  <c r="E175" i="6"/>
  <c r="D175" i="6"/>
  <c r="E24" i="6"/>
  <c r="H24" i="6"/>
  <c r="D24" i="6"/>
  <c r="J24" i="6"/>
  <c r="B24" i="6"/>
  <c r="G24" i="6"/>
  <c r="C24" i="6"/>
  <c r="F24" i="6"/>
  <c r="I24" i="6"/>
  <c r="F50" i="6"/>
  <c r="I50" i="6"/>
  <c r="H50" i="6"/>
  <c r="D50" i="6"/>
  <c r="B50" i="6"/>
  <c r="G50" i="6"/>
  <c r="C50" i="6"/>
  <c r="J50" i="6"/>
  <c r="E50" i="6"/>
  <c r="J98" i="6"/>
  <c r="E98" i="6"/>
  <c r="H98" i="6"/>
  <c r="D98" i="6"/>
  <c r="B98" i="6"/>
  <c r="I98" i="6"/>
  <c r="G98" i="6"/>
  <c r="C98" i="6"/>
  <c r="F98" i="6"/>
  <c r="H27" i="6"/>
  <c r="G27" i="6"/>
  <c r="J27" i="6"/>
  <c r="F27" i="6"/>
  <c r="B27" i="6"/>
  <c r="C27" i="6"/>
  <c r="I27" i="6"/>
  <c r="E27" i="6"/>
  <c r="D27" i="6"/>
  <c r="C67" i="6"/>
  <c r="J67" i="6"/>
  <c r="F67" i="6"/>
  <c r="B67" i="6"/>
  <c r="D67" i="6"/>
  <c r="G67" i="6"/>
  <c r="I67" i="6"/>
  <c r="E67" i="6"/>
  <c r="H67" i="6"/>
  <c r="G105" i="6"/>
  <c r="J105" i="6"/>
  <c r="F105" i="6"/>
  <c r="B105" i="6"/>
  <c r="H105" i="6"/>
  <c r="D105" i="6"/>
  <c r="C105" i="6"/>
  <c r="I105" i="6"/>
  <c r="E105" i="6"/>
  <c r="C155" i="6"/>
  <c r="J155" i="6"/>
  <c r="F155" i="6"/>
  <c r="B155" i="6"/>
  <c r="H155" i="6"/>
  <c r="G155" i="6"/>
  <c r="I155" i="6"/>
  <c r="E155" i="6"/>
  <c r="D155" i="6"/>
  <c r="G179" i="6"/>
  <c r="J179" i="6"/>
  <c r="F179" i="6"/>
  <c r="B179" i="6"/>
  <c r="D179" i="6"/>
  <c r="C179" i="6"/>
  <c r="I179" i="6"/>
  <c r="E179" i="6"/>
  <c r="H179" i="6"/>
  <c r="H211" i="6"/>
  <c r="C211" i="6"/>
  <c r="J211" i="6"/>
  <c r="F211" i="6"/>
  <c r="B211" i="6"/>
  <c r="G211" i="6"/>
  <c r="I211" i="6"/>
  <c r="E211" i="6"/>
  <c r="D211" i="6"/>
  <c r="I26" i="6"/>
  <c r="H26" i="6"/>
  <c r="D26" i="6"/>
  <c r="J26" i="6"/>
  <c r="B26" i="6"/>
  <c r="G26" i="6"/>
  <c r="C26" i="6"/>
  <c r="F26" i="6"/>
  <c r="E26" i="6"/>
  <c r="E36" i="6"/>
  <c r="H36" i="6"/>
  <c r="D36" i="6"/>
  <c r="F36" i="6"/>
  <c r="I36" i="6"/>
  <c r="G36" i="6"/>
  <c r="C36" i="6"/>
  <c r="J36" i="6"/>
  <c r="B36" i="6"/>
  <c r="B44" i="6"/>
  <c r="E44" i="6"/>
  <c r="H44" i="6"/>
  <c r="D44" i="6"/>
  <c r="J44" i="6"/>
  <c r="I44" i="6"/>
  <c r="G44" i="6"/>
  <c r="C44" i="6"/>
  <c r="F44" i="6"/>
  <c r="B52" i="6"/>
  <c r="I52" i="6"/>
  <c r="E52" i="6"/>
  <c r="H52" i="6"/>
  <c r="D52" i="6"/>
  <c r="J52" i="6"/>
  <c r="G52" i="6"/>
  <c r="C52" i="6"/>
  <c r="F52" i="6"/>
  <c r="J60" i="6"/>
  <c r="E60" i="6"/>
  <c r="H60" i="6"/>
  <c r="D60" i="6"/>
  <c r="F60" i="6"/>
  <c r="G60" i="6"/>
  <c r="C60" i="6"/>
  <c r="B60" i="6"/>
  <c r="I60" i="6"/>
  <c r="B68" i="6"/>
  <c r="I68" i="6"/>
  <c r="E68" i="6"/>
  <c r="H68" i="6"/>
  <c r="D68" i="6"/>
  <c r="F68" i="6"/>
  <c r="G68" i="6"/>
  <c r="C68" i="6"/>
  <c r="J68" i="6"/>
  <c r="F76" i="6"/>
  <c r="H76" i="6"/>
  <c r="D76" i="6"/>
  <c r="E76" i="6"/>
  <c r="G76" i="6"/>
  <c r="C76" i="6"/>
  <c r="J76" i="6"/>
  <c r="B76" i="6"/>
  <c r="I76" i="6"/>
  <c r="I84" i="6"/>
  <c r="H84" i="6"/>
  <c r="D84" i="6"/>
  <c r="F84" i="6"/>
  <c r="G84" i="6"/>
  <c r="C84" i="6"/>
  <c r="J84" i="6"/>
  <c r="B84" i="6"/>
  <c r="E84" i="6"/>
  <c r="J92" i="6"/>
  <c r="I92" i="6"/>
  <c r="H92" i="6"/>
  <c r="D92" i="6"/>
  <c r="F92" i="6"/>
  <c r="G92" i="6"/>
  <c r="C92" i="6"/>
  <c r="B92" i="6"/>
  <c r="E92" i="6"/>
  <c r="B100" i="6"/>
  <c r="H100" i="6"/>
  <c r="D100" i="6"/>
  <c r="F100" i="6"/>
  <c r="E100" i="6"/>
  <c r="G100" i="6"/>
  <c r="C100" i="6"/>
  <c r="J100" i="6"/>
  <c r="I100" i="6"/>
  <c r="B108" i="6"/>
  <c r="H108" i="6"/>
  <c r="D108" i="6"/>
  <c r="J108" i="6"/>
  <c r="F108" i="6"/>
  <c r="E108" i="6"/>
  <c r="G108" i="6"/>
  <c r="C108" i="6"/>
  <c r="I108" i="6"/>
  <c r="H116" i="6"/>
  <c r="D116" i="6"/>
  <c r="F116" i="6"/>
  <c r="E116" i="6"/>
  <c r="G116" i="6"/>
  <c r="C116" i="6"/>
  <c r="J116" i="6"/>
  <c r="B116" i="6"/>
  <c r="I116" i="6"/>
  <c r="J124" i="6"/>
  <c r="I124" i="6"/>
  <c r="H124" i="6"/>
  <c r="D124" i="6"/>
  <c r="F124" i="6"/>
  <c r="E124" i="6"/>
  <c r="G124" i="6"/>
  <c r="C124" i="6"/>
  <c r="B124" i="6"/>
  <c r="J132" i="6"/>
  <c r="I132" i="6"/>
  <c r="H132" i="6"/>
  <c r="D132" i="6"/>
  <c r="F132" i="6"/>
  <c r="G132" i="6"/>
  <c r="C132" i="6"/>
  <c r="B132" i="6"/>
  <c r="E132" i="6"/>
  <c r="J140" i="6"/>
  <c r="I140" i="6"/>
  <c r="H140" i="6"/>
  <c r="D140" i="6"/>
  <c r="B140" i="6"/>
  <c r="G140" i="6"/>
  <c r="C140" i="6"/>
  <c r="F140" i="6"/>
  <c r="E140" i="6"/>
  <c r="J148" i="6"/>
  <c r="E148" i="6"/>
  <c r="I148" i="6"/>
  <c r="H148" i="6"/>
  <c r="D148" i="6"/>
  <c r="B148" i="6"/>
  <c r="G148" i="6"/>
  <c r="C148" i="6"/>
  <c r="F148" i="6"/>
  <c r="J156" i="6"/>
  <c r="E156" i="6"/>
  <c r="I156" i="6"/>
  <c r="H156" i="6"/>
  <c r="D156" i="6"/>
  <c r="F156" i="6"/>
  <c r="G156" i="6"/>
  <c r="C156" i="6"/>
  <c r="B156" i="6"/>
  <c r="I164" i="6"/>
  <c r="H164" i="6"/>
  <c r="D164" i="6"/>
  <c r="F164" i="6"/>
  <c r="G164" i="6"/>
  <c r="C164" i="6"/>
  <c r="J164" i="6"/>
  <c r="B164" i="6"/>
  <c r="E164" i="6"/>
  <c r="J172" i="6"/>
  <c r="I172" i="6"/>
  <c r="H172" i="6"/>
  <c r="D172" i="6"/>
  <c r="F172" i="6"/>
  <c r="G172" i="6"/>
  <c r="C172" i="6"/>
  <c r="B172" i="6"/>
  <c r="E172" i="6"/>
  <c r="J180" i="6"/>
  <c r="E180" i="6"/>
  <c r="H180" i="6"/>
  <c r="D180" i="6"/>
  <c r="F180" i="6"/>
  <c r="I180" i="6"/>
  <c r="G180" i="6"/>
  <c r="C180" i="6"/>
  <c r="B180" i="6"/>
  <c r="F188" i="6"/>
  <c r="E188" i="6"/>
  <c r="H188" i="6"/>
  <c r="D188" i="6"/>
  <c r="J188" i="6"/>
  <c r="I188" i="6"/>
  <c r="G188" i="6"/>
  <c r="C188" i="6"/>
  <c r="B188" i="6"/>
  <c r="B196" i="6"/>
  <c r="H196" i="6"/>
  <c r="D196" i="6"/>
  <c r="F196" i="6"/>
  <c r="E196" i="6"/>
  <c r="G196" i="6"/>
  <c r="C196" i="6"/>
  <c r="J196" i="6"/>
  <c r="I196" i="6"/>
  <c r="F204" i="6"/>
  <c r="I204" i="6"/>
  <c r="H204" i="6"/>
  <c r="D204" i="6"/>
  <c r="B204" i="6"/>
  <c r="G204" i="6"/>
  <c r="C204" i="6"/>
  <c r="J204" i="6"/>
  <c r="E204" i="6"/>
  <c r="E212" i="6"/>
  <c r="H212" i="6"/>
  <c r="D212" i="6"/>
  <c r="J212" i="6"/>
  <c r="B212" i="6"/>
  <c r="I212" i="6"/>
  <c r="G212" i="6"/>
  <c r="C212" i="6"/>
  <c r="F212" i="6"/>
  <c r="G31" i="6"/>
  <c r="J31" i="6"/>
  <c r="F31" i="6"/>
  <c r="B31" i="6"/>
  <c r="D31" i="6"/>
  <c r="I31" i="6"/>
  <c r="E31" i="6"/>
  <c r="H31" i="6"/>
  <c r="C31" i="6"/>
  <c r="G47" i="6"/>
  <c r="J47" i="6"/>
  <c r="F47" i="6"/>
  <c r="B47" i="6"/>
  <c r="D47" i="6"/>
  <c r="I47" i="6"/>
  <c r="E47" i="6"/>
  <c r="H47" i="6"/>
  <c r="C47" i="6"/>
  <c r="H77" i="6"/>
  <c r="G77" i="6"/>
  <c r="C77" i="6"/>
  <c r="J77" i="6"/>
  <c r="F77" i="6"/>
  <c r="B77" i="6"/>
  <c r="D77" i="6"/>
  <c r="I77" i="6"/>
  <c r="E77" i="6"/>
  <c r="H109" i="6"/>
  <c r="C109" i="6"/>
  <c r="G109" i="6"/>
  <c r="J109" i="6"/>
  <c r="F109" i="6"/>
  <c r="B109" i="6"/>
  <c r="I109" i="6"/>
  <c r="E109" i="6"/>
  <c r="D109" i="6"/>
  <c r="G147" i="6"/>
  <c r="J147" i="6"/>
  <c r="F147" i="6"/>
  <c r="B147" i="6"/>
  <c r="D147" i="6"/>
  <c r="I147" i="6"/>
  <c r="E147" i="6"/>
  <c r="H147" i="6"/>
  <c r="C147" i="6"/>
  <c r="G161" i="6"/>
  <c r="J161" i="6"/>
  <c r="F161" i="6"/>
  <c r="B161" i="6"/>
  <c r="D161" i="6"/>
  <c r="I161" i="6"/>
  <c r="E161" i="6"/>
  <c r="H161" i="6"/>
  <c r="C161" i="6"/>
  <c r="C191" i="6"/>
  <c r="J191" i="6"/>
  <c r="F191" i="6"/>
  <c r="B191" i="6"/>
  <c r="H191" i="6"/>
  <c r="I191" i="6"/>
  <c r="E191" i="6"/>
  <c r="D191" i="6"/>
  <c r="G191" i="6"/>
  <c r="F34" i="6"/>
  <c r="I34" i="6"/>
  <c r="H34" i="6"/>
  <c r="D34" i="6"/>
  <c r="B34" i="6"/>
  <c r="G34" i="6"/>
  <c r="C34" i="6"/>
  <c r="J34" i="6"/>
  <c r="E34" i="6"/>
  <c r="D53" i="6"/>
  <c r="J53" i="6"/>
  <c r="F53" i="6"/>
  <c r="B53" i="6"/>
  <c r="C53" i="6"/>
  <c r="I53" i="6"/>
  <c r="E53" i="6"/>
  <c r="H53" i="6"/>
  <c r="G53" i="6"/>
  <c r="D69" i="6"/>
  <c r="J69" i="6"/>
  <c r="F69" i="6"/>
  <c r="B69" i="6"/>
  <c r="H69" i="6"/>
  <c r="C69" i="6"/>
  <c r="I69" i="6"/>
  <c r="E69" i="6"/>
  <c r="G69" i="6"/>
  <c r="G107" i="6"/>
  <c r="J107" i="6"/>
  <c r="F107" i="6"/>
  <c r="B107" i="6"/>
  <c r="D107" i="6"/>
  <c r="I107" i="6"/>
  <c r="E107" i="6"/>
  <c r="H107" i="6"/>
  <c r="C107" i="6"/>
  <c r="C137" i="6"/>
  <c r="J137" i="6"/>
  <c r="F137" i="6"/>
  <c r="B137" i="6"/>
  <c r="D137" i="6"/>
  <c r="G137" i="6"/>
  <c r="I137" i="6"/>
  <c r="E137" i="6"/>
  <c r="H137" i="6"/>
  <c r="G195" i="6"/>
  <c r="J195" i="6"/>
  <c r="F195" i="6"/>
  <c r="B195" i="6"/>
  <c r="H195" i="6"/>
  <c r="C195" i="6"/>
  <c r="I195" i="6"/>
  <c r="E195" i="6"/>
  <c r="D195" i="6"/>
  <c r="H25" i="6"/>
  <c r="C25" i="6"/>
  <c r="J25" i="6"/>
  <c r="F25" i="6"/>
  <c r="B25" i="6"/>
  <c r="G25" i="6"/>
  <c r="I25" i="6"/>
  <c r="E25" i="6"/>
  <c r="D25" i="6"/>
  <c r="D73" i="6"/>
  <c r="G73" i="6"/>
  <c r="J73" i="6"/>
  <c r="F73" i="6"/>
  <c r="B73" i="6"/>
  <c r="C73" i="6"/>
  <c r="I73" i="6"/>
  <c r="E73" i="6"/>
  <c r="H73" i="6"/>
  <c r="J93" i="6"/>
  <c r="F93" i="6"/>
  <c r="B93" i="6"/>
  <c r="D93" i="6"/>
  <c r="C93" i="6"/>
  <c r="I93" i="6"/>
  <c r="E93" i="6"/>
  <c r="H93" i="6"/>
  <c r="G93" i="6"/>
  <c r="D121" i="6"/>
  <c r="J121" i="6"/>
  <c r="F121" i="6"/>
  <c r="B121" i="6"/>
  <c r="H121" i="6"/>
  <c r="C121" i="6"/>
  <c r="I121" i="6"/>
  <c r="E121" i="6"/>
  <c r="G121" i="6"/>
  <c r="J143" i="6"/>
  <c r="F143" i="6"/>
  <c r="B143" i="6"/>
  <c r="D143" i="6"/>
  <c r="C143" i="6"/>
  <c r="I143" i="6"/>
  <c r="E143" i="6"/>
  <c r="H143" i="6"/>
  <c r="G143" i="6"/>
  <c r="C177" i="6"/>
  <c r="J177" i="6"/>
  <c r="F177" i="6"/>
  <c r="B177" i="6"/>
  <c r="D177" i="6"/>
  <c r="G177" i="6"/>
  <c r="I177" i="6"/>
  <c r="E177" i="6"/>
  <c r="H177" i="6"/>
  <c r="D199" i="6"/>
  <c r="J199" i="6"/>
  <c r="F199" i="6"/>
  <c r="B199" i="6"/>
  <c r="C199" i="6"/>
  <c r="I199" i="6"/>
  <c r="E199" i="6"/>
  <c r="H199" i="6"/>
  <c r="G199" i="6"/>
  <c r="G37" i="1"/>
  <c r="D13" i="4"/>
  <c r="H28" i="3"/>
  <c r="G17" i="3"/>
  <c r="G25" i="3"/>
  <c r="G51" i="3"/>
  <c r="I27" i="3"/>
  <c r="I28" i="3"/>
  <c r="H17" i="3"/>
  <c r="H51" i="3"/>
  <c r="H25" i="3"/>
  <c r="H27" i="3"/>
  <c r="G14" i="3"/>
  <c r="I53" i="3"/>
  <c r="C10" i="6"/>
  <c r="G49" i="1"/>
  <c r="J17" i="3"/>
  <c r="B32" i="1"/>
  <c r="D40" i="1" s="1"/>
  <c r="J25" i="3"/>
  <c r="H37" i="1" s="1"/>
  <c r="H38" i="1" s="1"/>
  <c r="J51" i="3"/>
  <c r="C41" i="1" s="1"/>
  <c r="J27" i="3"/>
  <c r="C45" i="1" s="1"/>
  <c r="C6" i="6"/>
  <c r="G45" i="1"/>
  <c r="H23" i="1"/>
  <c r="F12" i="4"/>
  <c r="E12" i="4"/>
  <c r="H24" i="1"/>
  <c r="F13" i="4"/>
  <c r="B2" i="6"/>
  <c r="E13" i="4"/>
  <c r="G53" i="1"/>
  <c r="C11" i="6"/>
  <c r="G50" i="1"/>
  <c r="J55" i="3"/>
  <c r="E39" i="1" s="1"/>
  <c r="I14" i="3"/>
  <c r="I16" i="3" s="1"/>
  <c r="H14" i="3"/>
  <c r="G47" i="1"/>
  <c r="C8" i="6"/>
  <c r="AL6" i="15"/>
  <c r="J54" i="3"/>
  <c r="E38" i="1" s="1"/>
  <c r="J53" i="3"/>
  <c r="E37" i="1" s="1"/>
  <c r="C9" i="6"/>
  <c r="G48" i="1"/>
  <c r="H21" i="1"/>
  <c r="B4" i="1"/>
  <c r="E10" i="4"/>
  <c r="F10" i="4"/>
  <c r="H22" i="1"/>
  <c r="F11" i="4"/>
  <c r="E11" i="4"/>
  <c r="G53" i="3"/>
  <c r="G52" i="1"/>
  <c r="C13" i="6"/>
  <c r="G55" i="3"/>
  <c r="AL11" i="13"/>
  <c r="H53" i="3"/>
  <c r="G51" i="1"/>
  <c r="C12" i="6"/>
  <c r="J14" i="3"/>
  <c r="J16" i="3" s="1"/>
  <c r="H33" i="1" s="1"/>
  <c r="D32" i="1"/>
  <c r="AL16" i="13"/>
  <c r="H55" i="3"/>
  <c r="AL43" i="13"/>
  <c r="H54" i="3"/>
  <c r="C13" i="4"/>
  <c r="G38" i="1"/>
  <c r="D12" i="5"/>
  <c r="C8" i="5"/>
  <c r="D13" i="5"/>
  <c r="B81" i="5"/>
  <c r="C12" i="5"/>
  <c r="C11" i="5"/>
  <c r="D8" i="5"/>
  <c r="D7" i="5"/>
  <c r="B3" i="5"/>
  <c r="B47" i="5"/>
  <c r="D11" i="5"/>
  <c r="C7" i="5"/>
  <c r="E7" i="5" s="1"/>
  <c r="J28" i="3"/>
  <c r="F17" i="6"/>
  <c r="G17" i="6"/>
  <c r="D18" i="6"/>
  <c r="F18" i="6"/>
  <c r="E19" i="6"/>
  <c r="I17" i="6"/>
  <c r="E18" i="6"/>
  <c r="C18" i="6"/>
  <c r="I19" i="6"/>
  <c r="D19" i="6"/>
  <c r="C17" i="6"/>
  <c r="E17" i="6"/>
  <c r="H17" i="6"/>
  <c r="J18" i="6"/>
  <c r="J19" i="6"/>
  <c r="G19" i="6"/>
  <c r="J17" i="6"/>
  <c r="D17" i="6"/>
  <c r="H18" i="6"/>
  <c r="G18" i="6"/>
  <c r="F19" i="6"/>
  <c r="C19" i="6"/>
  <c r="I18" i="6"/>
  <c r="H19" i="6"/>
  <c r="D57" i="1"/>
  <c r="C62" i="1"/>
  <c r="K99" i="5"/>
  <c r="K65" i="5"/>
  <c r="K41" i="5"/>
  <c r="K62" i="5"/>
  <c r="K70" i="5"/>
  <c r="D66" i="1"/>
  <c r="B60" i="1"/>
  <c r="B63" i="1"/>
  <c r="K98" i="5"/>
  <c r="K42" i="5"/>
  <c r="K91" i="5"/>
  <c r="K76" i="5"/>
  <c r="K66" i="5"/>
  <c r="C65" i="1"/>
  <c r="K96" i="5"/>
  <c r="K38" i="5"/>
  <c r="K25" i="5"/>
  <c r="K68" i="5"/>
  <c r="K54" i="5"/>
  <c r="L64" i="1"/>
  <c r="L60" i="1"/>
  <c r="K94" i="5"/>
  <c r="K34" i="5"/>
  <c r="K17" i="5"/>
  <c r="K78" i="5"/>
  <c r="B61" i="1"/>
  <c r="C63" i="1"/>
  <c r="C60" i="1"/>
  <c r="K74" i="5"/>
  <c r="K63" i="5"/>
  <c r="B59" i="1"/>
  <c r="K31" i="5"/>
  <c r="K20" i="5"/>
  <c r="D60" i="1"/>
  <c r="K73" i="5"/>
  <c r="K95" i="5"/>
  <c r="L62" i="1"/>
  <c r="K85" i="5"/>
  <c r="B66" i="1"/>
  <c r="D63" i="1"/>
  <c r="K24" i="5"/>
  <c r="K61" i="5"/>
  <c r="C66" i="1"/>
  <c r="K19" i="5"/>
  <c r="L59" i="1"/>
  <c r="K53" i="5"/>
  <c r="B62" i="1"/>
  <c r="D59" i="1"/>
  <c r="B64" i="1"/>
  <c r="D61" i="1"/>
  <c r="B65" i="1"/>
  <c r="K39" i="5"/>
  <c r="K46" i="5"/>
  <c r="K93" i="5"/>
  <c r="K37" i="5"/>
  <c r="K43" i="5"/>
  <c r="K89" i="5"/>
  <c r="K90" i="5"/>
  <c r="K26" i="5"/>
  <c r="K59" i="5"/>
  <c r="K29" i="5"/>
  <c r="K27" i="5"/>
  <c r="B57" i="1"/>
  <c r="K88" i="5"/>
  <c r="K22" i="5"/>
  <c r="K87" i="5"/>
  <c r="K21" i="5"/>
  <c r="L57" i="1"/>
  <c r="L58" i="1"/>
  <c r="L63" i="1"/>
  <c r="K86" i="5"/>
  <c r="K18" i="5"/>
  <c r="K97" i="5"/>
  <c r="K64" i="5"/>
  <c r="D58" i="1"/>
  <c r="C64" i="1"/>
  <c r="K79" i="5"/>
  <c r="K77" i="5"/>
  <c r="K55" i="5"/>
  <c r="K36" i="5"/>
  <c r="L61" i="1"/>
  <c r="K72" i="5"/>
  <c r="D65" i="1"/>
  <c r="K92" i="5"/>
  <c r="K40" i="5"/>
  <c r="K35" i="5"/>
  <c r="K57" i="5"/>
  <c r="K23" i="5"/>
  <c r="L66" i="1"/>
  <c r="K32" i="5"/>
  <c r="C61" i="1"/>
  <c r="C57" i="1"/>
  <c r="K30" i="5"/>
  <c r="K56" i="5"/>
  <c r="B58" i="1"/>
  <c r="K71" i="5"/>
  <c r="K80" i="5"/>
  <c r="L65" i="1"/>
  <c r="K69" i="5"/>
  <c r="K75" i="5"/>
  <c r="C59" i="1"/>
  <c r="D64" i="1"/>
  <c r="K60" i="5"/>
  <c r="C58" i="1"/>
  <c r="K58" i="5"/>
  <c r="K33" i="5"/>
  <c r="K28" i="5"/>
  <c r="D62" i="1"/>
  <c r="K52" i="5"/>
  <c r="K51" i="5"/>
  <c r="K67" i="5"/>
  <c r="K45" i="5"/>
  <c r="K44" i="5"/>
  <c r="J15" i="3" l="1"/>
  <c r="H32" i="1" s="1"/>
  <c r="C13" i="5"/>
  <c r="F7" i="5"/>
  <c r="F8" i="5"/>
  <c r="E8" i="5"/>
  <c r="E11" i="5"/>
  <c r="F12" i="5"/>
  <c r="F11" i="5"/>
  <c r="D39" i="1"/>
  <c r="D38" i="1"/>
  <c r="E13" i="5"/>
  <c r="D37" i="1"/>
  <c r="E44" i="5"/>
  <c r="D44" i="5"/>
  <c r="C44" i="5"/>
  <c r="B44" i="5"/>
  <c r="B75" i="5"/>
  <c r="D75" i="5"/>
  <c r="E75" i="5"/>
  <c r="C75" i="5"/>
  <c r="D64" i="5"/>
  <c r="C64" i="5"/>
  <c r="B64" i="5"/>
  <c r="E64" i="5"/>
  <c r="B78" i="5"/>
  <c r="E78" i="5"/>
  <c r="D78" i="5"/>
  <c r="C78" i="5"/>
  <c r="D32" i="5"/>
  <c r="C32" i="5"/>
  <c r="E32" i="5"/>
  <c r="B32" i="5"/>
  <c r="C45" i="5"/>
  <c r="B45" i="5"/>
  <c r="E45" i="5"/>
  <c r="D45" i="5"/>
  <c r="C72" i="5"/>
  <c r="E72" i="5"/>
  <c r="D72" i="5"/>
  <c r="B72" i="5"/>
  <c r="B34" i="5"/>
  <c r="D34" i="5"/>
  <c r="E34" i="5"/>
  <c r="C34" i="5"/>
  <c r="B53" i="5"/>
  <c r="E53" i="5"/>
  <c r="C53" i="5"/>
  <c r="D53" i="5"/>
  <c r="B69" i="5"/>
  <c r="E69" i="5"/>
  <c r="C69" i="5"/>
  <c r="D69" i="5"/>
  <c r="E67" i="5"/>
  <c r="D67" i="5"/>
  <c r="C67" i="5"/>
  <c r="B67" i="5"/>
  <c r="B54" i="5"/>
  <c r="E54" i="5"/>
  <c r="D54" i="5"/>
  <c r="C54" i="5"/>
  <c r="D68" i="5"/>
  <c r="C68" i="5"/>
  <c r="B68" i="5"/>
  <c r="E68" i="5"/>
  <c r="D36" i="5"/>
  <c r="C36" i="5"/>
  <c r="B36" i="5"/>
  <c r="E36" i="5"/>
  <c r="D52" i="5"/>
  <c r="C52" i="5"/>
  <c r="B52" i="5"/>
  <c r="E52" i="5"/>
  <c r="C80" i="5"/>
  <c r="B80" i="5"/>
  <c r="E80" i="5"/>
  <c r="D80" i="5"/>
  <c r="C38" i="5"/>
  <c r="B38" i="5"/>
  <c r="E38" i="5"/>
  <c r="D38" i="5"/>
  <c r="B57" i="5"/>
  <c r="E57" i="5"/>
  <c r="D57" i="5"/>
  <c r="C57" i="5"/>
  <c r="B73" i="5"/>
  <c r="E73" i="5"/>
  <c r="D73" i="5"/>
  <c r="C73" i="5"/>
  <c r="E71" i="5"/>
  <c r="D71" i="5"/>
  <c r="C71" i="5"/>
  <c r="B71" i="5"/>
  <c r="E27" i="5"/>
  <c r="D27" i="5"/>
  <c r="B27" i="5"/>
  <c r="C27" i="5"/>
  <c r="E66" i="5"/>
  <c r="C66" i="5"/>
  <c r="B66" i="5"/>
  <c r="D66" i="5"/>
  <c r="E28" i="5"/>
  <c r="D28" i="5"/>
  <c r="B28" i="5"/>
  <c r="C28" i="5"/>
  <c r="E55" i="5"/>
  <c r="D55" i="5"/>
  <c r="C55" i="5"/>
  <c r="B55" i="5"/>
  <c r="D29" i="5"/>
  <c r="C29" i="5"/>
  <c r="B29" i="5"/>
  <c r="E29" i="5"/>
  <c r="C76" i="5"/>
  <c r="B76" i="5"/>
  <c r="E76" i="5"/>
  <c r="D76" i="5"/>
  <c r="B35" i="5"/>
  <c r="E35" i="5"/>
  <c r="D35" i="5"/>
  <c r="C35" i="5"/>
  <c r="D59" i="5"/>
  <c r="C59" i="5"/>
  <c r="E59" i="5"/>
  <c r="B59" i="5"/>
  <c r="D33" i="5"/>
  <c r="C33" i="5"/>
  <c r="B33" i="5"/>
  <c r="E33" i="5"/>
  <c r="E56" i="5"/>
  <c r="C56" i="5"/>
  <c r="B56" i="5"/>
  <c r="D56" i="5"/>
  <c r="C26" i="5"/>
  <c r="B26" i="5"/>
  <c r="D26" i="5"/>
  <c r="E26" i="5"/>
  <c r="B42" i="5"/>
  <c r="E42" i="5"/>
  <c r="C42" i="5"/>
  <c r="D42" i="5"/>
  <c r="C61" i="5"/>
  <c r="B61" i="5"/>
  <c r="D61" i="5"/>
  <c r="E61" i="5"/>
  <c r="C77" i="5"/>
  <c r="B77" i="5"/>
  <c r="E77" i="5"/>
  <c r="D77" i="5"/>
  <c r="B58" i="5"/>
  <c r="E58" i="5"/>
  <c r="C58" i="5"/>
  <c r="D58" i="5"/>
  <c r="E31" i="5"/>
  <c r="C31" i="5"/>
  <c r="D31" i="5"/>
  <c r="B31" i="5"/>
  <c r="B43" i="5"/>
  <c r="E43" i="5"/>
  <c r="D43" i="5"/>
  <c r="C43" i="5"/>
  <c r="B70" i="5"/>
  <c r="E70" i="5"/>
  <c r="C70" i="5"/>
  <c r="D70" i="5"/>
  <c r="D40" i="5"/>
  <c r="B40" i="5"/>
  <c r="C40" i="5"/>
  <c r="E40" i="5"/>
  <c r="B63" i="5"/>
  <c r="D63" i="5"/>
  <c r="C63" i="5"/>
  <c r="E63" i="5"/>
  <c r="D37" i="5"/>
  <c r="C37" i="5"/>
  <c r="B37" i="5"/>
  <c r="E37" i="5"/>
  <c r="B62" i="5"/>
  <c r="E62" i="5"/>
  <c r="D62" i="5"/>
  <c r="C62" i="5"/>
  <c r="B79" i="5"/>
  <c r="E79" i="5"/>
  <c r="D79" i="5"/>
  <c r="C79" i="5"/>
  <c r="D41" i="5"/>
  <c r="C41" i="5"/>
  <c r="B41" i="5"/>
  <c r="E41" i="5"/>
  <c r="E60" i="5"/>
  <c r="C60" i="5"/>
  <c r="B60" i="5"/>
  <c r="D60" i="5"/>
  <c r="B30" i="5"/>
  <c r="E30" i="5"/>
  <c r="C30" i="5"/>
  <c r="D30" i="5"/>
  <c r="C46" i="5"/>
  <c r="B46" i="5"/>
  <c r="E46" i="5"/>
  <c r="D46" i="5"/>
  <c r="C65" i="5"/>
  <c r="B65" i="5"/>
  <c r="E65" i="5"/>
  <c r="D65" i="5"/>
  <c r="B74" i="5"/>
  <c r="E74" i="5"/>
  <c r="D74" i="5"/>
  <c r="C74" i="5"/>
  <c r="E39" i="5"/>
  <c r="D39" i="5"/>
  <c r="B39" i="5"/>
  <c r="C39" i="5"/>
  <c r="E57" i="1"/>
  <c r="E65" i="1"/>
  <c r="G57" i="3"/>
  <c r="C10" i="5"/>
  <c r="H29" i="3"/>
  <c r="H57" i="3"/>
  <c r="E12" i="5"/>
  <c r="H16" i="3"/>
  <c r="H15" i="3"/>
  <c r="E64" i="1"/>
  <c r="E63" i="1"/>
  <c r="E61" i="1"/>
  <c r="E59" i="1"/>
  <c r="G16" i="3"/>
  <c r="C46" i="1"/>
  <c r="B33" i="1"/>
  <c r="D9" i="5"/>
  <c r="C9" i="5"/>
  <c r="I15" i="3"/>
  <c r="D10" i="5" s="1"/>
  <c r="D41" i="1"/>
  <c r="G15" i="3"/>
  <c r="E66" i="1"/>
  <c r="E58" i="1"/>
  <c r="I29" i="3"/>
  <c r="I57" i="3"/>
  <c r="F32" i="1"/>
  <c r="J57" i="3"/>
  <c r="E41" i="1" s="1"/>
  <c r="J29" i="3"/>
  <c r="E62" i="1"/>
  <c r="E60" i="1"/>
  <c r="B25" i="5"/>
  <c r="E25" i="5"/>
  <c r="D25" i="5"/>
  <c r="C25" i="5"/>
  <c r="C97" i="5"/>
  <c r="B94" i="5"/>
  <c r="F58" i="1"/>
  <c r="E51" i="5"/>
  <c r="C23" i="5"/>
  <c r="F88" i="5"/>
  <c r="F91" i="5"/>
  <c r="E89" i="5"/>
  <c r="B92" i="5"/>
  <c r="E17" i="5"/>
  <c r="H62" i="1"/>
  <c r="H61" i="1"/>
  <c r="H57" i="1"/>
  <c r="B23" i="5"/>
  <c r="D22" i="5"/>
  <c r="C20" i="5"/>
  <c r="E98" i="5"/>
  <c r="D92" i="5"/>
  <c r="D97" i="5"/>
  <c r="E86" i="5"/>
  <c r="G60" i="1"/>
  <c r="H64" i="1"/>
  <c r="C51" i="5"/>
  <c r="E87" i="5"/>
  <c r="B88" i="5"/>
  <c r="D91" i="5"/>
  <c r="C89" i="5"/>
  <c r="D17" i="5"/>
  <c r="D94" i="5"/>
  <c r="G59" i="1"/>
  <c r="E24" i="5"/>
  <c r="B17" i="5"/>
  <c r="F62" i="1"/>
  <c r="G64" i="1"/>
  <c r="B95" i="5"/>
  <c r="F87" i="5"/>
  <c r="D96" i="5"/>
  <c r="B91" i="5"/>
  <c r="D24" i="5"/>
  <c r="E85" i="5"/>
  <c r="C18" i="5"/>
  <c r="H63" i="1"/>
  <c r="F64" i="1"/>
  <c r="D51" i="5"/>
  <c r="C87" i="5"/>
  <c r="E88" i="5"/>
  <c r="E91" i="5"/>
  <c r="D89" i="5"/>
  <c r="E92" i="5"/>
  <c r="C17" i="5"/>
  <c r="E94" i="5"/>
  <c r="G66" i="1"/>
  <c r="D95" i="5"/>
  <c r="F96" i="5"/>
  <c r="B90" i="5"/>
  <c r="B24" i="5"/>
  <c r="F99" i="5"/>
  <c r="D18" i="5"/>
  <c r="I62" i="1"/>
  <c r="G61" i="1"/>
  <c r="G65" i="1"/>
  <c r="E21" i="5"/>
  <c r="B22" i="5"/>
  <c r="C19" i="5"/>
  <c r="C98" i="5"/>
  <c r="B93" i="5"/>
  <c r="E93" i="5"/>
  <c r="G63" i="1"/>
  <c r="G57" i="1"/>
  <c r="C88" i="5"/>
  <c r="F89" i="5"/>
  <c r="F85" i="5"/>
  <c r="E18" i="5"/>
  <c r="F60" i="1"/>
  <c r="H59" i="1"/>
  <c r="I59" i="1" s="1"/>
  <c r="F95" i="5"/>
  <c r="B19" i="5"/>
  <c r="D90" i="5"/>
  <c r="C93" i="5"/>
  <c r="E97" i="5"/>
  <c r="F86" i="5"/>
  <c r="H60" i="1"/>
  <c r="F59" i="1"/>
  <c r="E95" i="5"/>
  <c r="B87" i="5"/>
  <c r="C96" i="5"/>
  <c r="C90" i="5"/>
  <c r="C24" i="5"/>
  <c r="C99" i="5"/>
  <c r="B18" i="5"/>
  <c r="G62" i="1"/>
  <c r="F61" i="1"/>
  <c r="B21" i="5"/>
  <c r="C22" i="5"/>
  <c r="D19" i="5"/>
  <c r="D98" i="5"/>
  <c r="D85" i="5"/>
  <c r="C86" i="5"/>
  <c r="H58" i="1"/>
  <c r="D23" i="5"/>
  <c r="B20" i="5"/>
  <c r="F92" i="5"/>
  <c r="C85" i="5"/>
  <c r="B86" i="5"/>
  <c r="F66" i="1"/>
  <c r="H65" i="1"/>
  <c r="I65" i="1" s="1"/>
  <c r="D21" i="5"/>
  <c r="E22" i="5"/>
  <c r="D20" i="5"/>
  <c r="F98" i="5"/>
  <c r="D93" i="5"/>
  <c r="B97" i="5"/>
  <c r="F94" i="5"/>
  <c r="H66" i="1"/>
  <c r="F65" i="1"/>
  <c r="C21" i="5"/>
  <c r="E19" i="5"/>
  <c r="F90" i="5"/>
  <c r="F93" i="5"/>
  <c r="B85" i="5"/>
  <c r="D86" i="5"/>
  <c r="F63" i="1"/>
  <c r="G58" i="1"/>
  <c r="F57" i="1"/>
  <c r="E23" i="5"/>
  <c r="D88" i="5"/>
  <c r="E20" i="5"/>
  <c r="B98" i="5"/>
  <c r="C92" i="5"/>
  <c r="F97" i="5"/>
  <c r="C94" i="5"/>
  <c r="I60" i="1"/>
  <c r="I64" i="1"/>
  <c r="B51" i="5"/>
  <c r="D87" i="5"/>
  <c r="E96" i="5"/>
  <c r="C91" i="5"/>
  <c r="B89" i="5"/>
  <c r="E99" i="5"/>
  <c r="B99" i="5"/>
  <c r="I66" i="1"/>
  <c r="C95" i="5"/>
  <c r="B96" i="5"/>
  <c r="E90" i="5"/>
  <c r="D99" i="5"/>
  <c r="E9" i="5" l="1"/>
  <c r="C47" i="1"/>
  <c r="F33" i="1"/>
  <c r="F9" i="5"/>
  <c r="E10" i="5"/>
  <c r="I58" i="1"/>
  <c r="I61" i="1"/>
  <c r="I63" i="1"/>
  <c r="I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6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7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8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9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A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B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C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D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E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F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10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11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<sst xmlns="http://schemas.openxmlformats.org/spreadsheetml/2006/main" count="5380" uniqueCount="560">
  <si>
    <t>لوحة تحكم المستودع — 2026</t>
  </si>
  <si>
    <t>كل المبالغ بالدولار الأمريكي (USD) · الخلايا الصفراء بخط أزرق = خلايا الإدخال · غيرها معادلات</t>
  </si>
  <si>
    <t>⚙ الإعدادات</t>
  </si>
  <si>
    <t>ورقة الشهر المعروض</t>
  </si>
  <si>
    <t>الشهر المعروض</t>
  </si>
  <si>
    <t>آخر شهر متوفر</t>
  </si>
  <si>
    <t>يتحكم بالمقارنة وفحص الأخطاء وبقية اللوحة (اتركه «آخر شهر متوفر» ليتبع آخر شهر فيه بيانات)</t>
  </si>
  <si>
    <t>سعر البيع المعتمد لحساب الربح</t>
  </si>
  <si>
    <t>سعر الجملة</t>
  </si>
  <si>
    <t>الاختيارات: سعر الجملة / القطاعي / جملة الجملة</t>
  </si>
  <si>
    <t>جاهز؟</t>
  </si>
  <si>
    <t>الفئة الفرعية المتوقع لها سعر بيع</t>
  </si>
  <si>
    <t>مواد جاهزة للبيع</t>
  </si>
  <si>
    <t>الأصناف في هذه الفئة بكمية وسعر بيع صفر تُسجَّل كخطأ؛ المواد الخام والطبخات لا يُتوقع لها سعر بيع</t>
  </si>
  <si>
    <t>حد الشك بأسعار الليرة (أقل من)</t>
  </si>
  <si>
    <t>صنف عملته ليرة وسعره أقل من هذا الرقم غالبًا أُدخل بالدولار خطأ</t>
  </si>
  <si>
    <t>الحالة</t>
  </si>
  <si>
    <t>حد الشك بأسعار الدولار (أكبر من)</t>
  </si>
  <si>
    <t>صنف عملته دولار وسعره أكبر من هذا الرقم غالبًا أُدخل بالليرة خطأ</t>
  </si>
  <si>
    <t>أعلى نسبة مقبولة بين أسعار البيع</t>
  </si>
  <si>
    <t>إذا كان أعلى سعر بيع أكبر من الأدنى بأكثر من هذه النسبة يُسجَّل «تباين»</t>
  </si>
  <si>
    <t>فيه بيانات؟</t>
  </si>
  <si>
    <t>نسبة تغير سعر الشراء المهمة</t>
  </si>
  <si>
    <t>تُستخدم لعدّ الأصناف التي ارتفع/انخفض سعر شرائها مقارنة بالشهر السابق</t>
  </si>
  <si>
    <t>فهرس أعلى قيمة</t>
  </si>
  <si>
    <t>فهرس أعلى ربح</t>
  </si>
  <si>
    <t>💱 أسعار الصرف الشهرية (ليرة سورية مقابل 1 دولار) — أدخل سعر كل شهر</t>
  </si>
  <si>
    <t>الشهر</t>
  </si>
  <si>
    <t>سعر الصرف</t>
  </si>
  <si>
    <t>عدد الأصناف الملصوقة</t>
  </si>
  <si>
    <t>اسم الورقة</t>
  </si>
  <si>
    <t>رقم الشهر</t>
  </si>
  <si>
    <t>أصناف بها أخطاء</t>
  </si>
  <si>
    <t>كانون الثاني</t>
  </si>
  <si>
    <t>01-كانون الثاني</t>
  </si>
  <si>
    <t>شباط</t>
  </si>
  <si>
    <t>02-شباط</t>
  </si>
  <si>
    <t>آذار</t>
  </si>
  <si>
    <t>03-آذار</t>
  </si>
  <si>
    <t>نيسان</t>
  </si>
  <si>
    <t>04-نيسان</t>
  </si>
  <si>
    <t>أيار</t>
  </si>
  <si>
    <t>05-أيار</t>
  </si>
  <si>
    <t>حزيران</t>
  </si>
  <si>
    <t>06-حزيران</t>
  </si>
  <si>
    <t>تموز</t>
  </si>
  <si>
    <t>07-تموز</t>
  </si>
  <si>
    <t>آب</t>
  </si>
  <si>
    <t>08-آب</t>
  </si>
  <si>
    <t>أيلول</t>
  </si>
  <si>
    <t>09-أيلول</t>
  </si>
  <si>
    <t>تشرين الأول</t>
  </si>
  <si>
    <t>10-تشرين الأول</t>
  </si>
  <si>
    <t>تشرين الثاني</t>
  </si>
  <si>
    <t>11-تشرين الثاني</t>
  </si>
  <si>
    <t>كانون الأول</t>
  </si>
  <si>
    <t>12-كانون الأول</t>
  </si>
  <si>
    <t>📊 ملخص الشهر المعروض</t>
  </si>
  <si>
    <t>قيمة المستودع (بسعر الشراء)</t>
  </si>
  <si>
    <t>القيمة البيعية المتوقعة</t>
  </si>
  <si>
    <t>الربح المتوقع</t>
  </si>
  <si>
    <t>هامش الربح من المبيع</t>
  </si>
  <si>
    <t>التوزيع حسب الفئة الفرعية والعملة</t>
  </si>
  <si>
    <t>الفئة الفرعية</t>
  </si>
  <si>
    <t>قيمة المخزون $</t>
  </si>
  <si>
    <t>% من الإجمالي</t>
  </si>
  <si>
    <t>الربح المتوقع $</t>
  </si>
  <si>
    <t>العملة</t>
  </si>
  <si>
    <t>% من المخزون</t>
  </si>
  <si>
    <t>مسعّر بالليرة</t>
  </si>
  <si>
    <t>مسعّر بالدولار</t>
  </si>
  <si>
    <t>نسبة الليرة العالية تعني أن جزءًا كبيرًا من قيمة المخزون بالدولار يتأثر بتغير سعر الصرف.</t>
  </si>
  <si>
    <t>المقارنة بالشهر السابق  |  جودة البيانات (تفاصيلها في ورقة فحص الأخطاء)</t>
  </si>
  <si>
    <t>المقارنة بالشهر السابق</t>
  </si>
  <si>
    <t>القيمة</t>
  </si>
  <si>
    <t>جودة البيانات</t>
  </si>
  <si>
    <t>عدد الأصناف</t>
  </si>
  <si>
    <t>تغير قيمة المستودع $</t>
  </si>
  <si>
    <t>كمية سالبة</t>
  </si>
  <si>
    <t>تغير قيمة المستودع %</t>
  </si>
  <si>
    <t>كمية موجبة وسعر شراء صفر</t>
  </si>
  <si>
    <t>تغير الربح المتوقع $</t>
  </si>
  <si>
    <t>صنف للبيع بلا سعر بيع</t>
  </si>
  <si>
    <t>أصناف جديدة</t>
  </si>
  <si>
    <t>سعر البيع أقل من الشراء</t>
  </si>
  <si>
    <t>أصناف محذوفة</t>
  </si>
  <si>
    <t>عملة/سعر مشكوك</t>
  </si>
  <si>
    <t>أصناف زادت كميتها</t>
  </si>
  <si>
    <t>تباين أسعار البيع</t>
  </si>
  <si>
    <t>أصناف نقصت كميتها</t>
  </si>
  <si>
    <t>بلا تصنيف</t>
  </si>
  <si>
    <t>ارتفع سعر شرائها (أكثر من النسبة)</t>
  </si>
  <si>
    <t>بيانات غير صالحة</t>
  </si>
  <si>
    <t>انخفض سعر شرائها (أكثر من النسبة)</t>
  </si>
  <si>
    <t>إجمالي الأصناف بها ملاحظات</t>
  </si>
  <si>
    <t>أكبر 10 أصناف بقيمة المخزون  |  أعلى 10 أصناف ربحًا متوقعًا</t>
  </si>
  <si>
    <t>الصنف</t>
  </si>
  <si>
    <t>الكمية</t>
  </si>
  <si>
    <t>هامش الربح %</t>
  </si>
  <si>
    <t>الاتجاه الشهري</t>
  </si>
  <si>
    <t>دليل الاستخدام</t>
  </si>
  <si>
    <t>الإجراء الشهري (5 خطوات)</t>
  </si>
  <si>
    <t>1) من برنامج المحاسبة صدّر ملف الأصناف كما هو (نفس الأعمدة التسعة وبنفس الترتيب).</t>
  </si>
  <si>
    <t>2) افتح ورقة الشهر (مثل «08-آب»)، حدد A2:I501 ثم اضغط Delete لمسح اللصق القديم إن وُجد.</t>
  </si>
  <si>
    <t>3) انسخ الجدول كاملًا مع صف العناوين والصقه في الخلية A1. لا تلمس الأعمدة من K فما بعد: هي معادلات جاهزة.</t>
  </si>
  <si>
    <t>4) انظر إلى الخلية الأولى في عمود «تنبيه» (K1): أخضر ✓ = لا ملاحظات، أحمر ⚠ = يوجد أصناف بها أخطاء (تظهر بخلفية حمراء مع وصف الخطأ في عمود «ملاحظات / أخطاء»).</t>
  </si>
  <si>
    <t>5) في «لوحة التحكم» أدخل سعر صرف ذلك الشهر في الخلية الصفراء، ثم راجع اللوحة و«المقارنة» و«فحص الأخطاء».</t>
  </si>
  <si>
    <t>كيف يُنبَّه إلى الأخطاء؟</t>
  </si>
  <si>
    <t>• أعلى «لوحة التحكم»: شريط يذكر الأشهر التي فيها أخطاء وعدد الأصناف في كل منها، وشريط آخر يخبرك إن كان ينقصك سعر الصرف أو البيانات.</t>
  </si>
  <si>
    <t>• جدول أسعار الصرف في اللوحة: عمود «أصناف بها أخطاء» لكل شهر.</t>
  </si>
  <si>
    <t>• كل ورقة شهر: خلية تنبيه ملونة في K1 + علامة ⚠ وخلفية حمراء على كل صنف به خطأ (يمكنك التصفية بعمود الملاحظات).</t>
  </si>
  <si>
    <t>• «فحص الأخطاء»: قائمة الأصناف المعيبة للشهر المعروض مع شرح كل نوع وطريقة المعالجة.</t>
  </si>
  <si>
    <t>ما تفعله كل ورقة</t>
  </si>
  <si>
    <t>• لوحة التحكم: الإعدادات، أسعار الصرف، مؤشرات الشهر، التوزيع حسب الفئة والعملة، أكبر الأصناف، الرسوم.</t>
  </si>
  <si>
    <t>• الملخص الشهري: كل المؤشرات لكل الأشهر في جدول واحد (هذا هو المصدر الذي سنربطه لاحقًا بملف التقارير).</t>
  </si>
  <si>
    <t>• المقارنة: الشهر المعروض مقابل السابق — إجماليات، أصناف جديدة، أصناف محذوفة، أكبر التغيرات.</t>
  </si>
  <si>
    <t>• فحص الأخطاء: تفاصيل الأخطاء للشهر المعروض.</t>
  </si>
  <si>
    <t>• أوراق الأشهر 01 إلى 12: مكان اللصق (A:I) + أعمدة حساب جاهزة (K فما بعد).</t>
  </si>
  <si>
    <t>قواعد الحساب (افتراضات مهمة)</t>
  </si>
  <si>
    <t>• العملة: تُؤخذ من عمود «العملة» لكل صنف وتنطبق على أسعاره كلها (شراء وبيع). الليرة تُقسَم على سعر صرف الشهر، والدولار كما هو.</t>
  </si>
  <si>
    <t>• قيمة المستودع = الكمية × سعر الشراء بالدولار. الكمية السالبة تُحسب صفرًا (وتظهر كخطأ).</t>
  </si>
  <si>
    <t>• الربح المتوقع = (سعر البيع المعتمد − سعر الشراء) × الكمية، ويُحسب فقط للأصناف التي كميتها وسعر شرائها وسعر بيعها أكبر من صفر. سعر البيع المعتمد يُختار من لوحة التحكم (الجملة/القطاعي/جملة الجملة)، وفي الملخص الربح بالمستويات الثلاثة.</t>
  </si>
  <si>
    <t>• المواد الخام والطبخات (بلا سعر بيع) لا تدخل في الربح، وقيمتها تظهر في «قيمة مخزون غير مُسعَّر للبيع».</t>
  </si>
  <si>
    <t>• الأصناف ذات الكمية وسعر البيع وبلا سعر شراء: لا تدخل في الربح (تكلفتها مجهولة) وتظهر قيمتها البيعية في سطر منفصل.</t>
  </si>
  <si>
    <t>• مطابقة الأصناف بين الأشهر تتم بالاسم بعد حذف المسافات الزائدة. إن غيّرت اسم صنف يظهر حذفًا + إضافة جديدة.</t>
  </si>
  <si>
    <t>• المقارنة تكون مع الشهر الذي قبله مباشرة بشرط وجود بيانات وسعر صرف فيه. قيمة الشهر السابق تُحسب بسعر صرف ذلك الشهر، فتغير قيمة الأصناف المسعّرة بالليرة يتضمن أثر تغير الصرف.</t>
  </si>
  <si>
    <t>• السعة: 500 صنف لكل شهر. إن تجاوزت ذلك يظهر تنبيه أحمر ولا تُحسب الأرقام؛ اطلب التوسيع.</t>
  </si>
  <si>
    <t>• كل المعادلات تعمل في Excel بدون ماكرو ولا إضافات.</t>
  </si>
  <si>
    <t>اقتراحات لتحسين جودة العمل (للمرحلة القادمة)</t>
  </si>
  <si>
    <t>1) اطلب من برنامج المحاسبة عمود «رمز الصنف» الثابت: يمنع اعتبار تعديل الاسم حذفًا وإضافة، ويجعل المقارنة أدق.</t>
  </si>
  <si>
    <t>2) صدّر أيضًا مبيعات ومشتريات كل صنف شهريًا: نحسب دوران المخزون والأصناف الراكدة وعدد أيام التغطية.</t>
  </si>
  <si>
    <t>3) ثبّت يوم إدخال سعر الصرف كل شهر (مثلًا آخر يوم عمل) ليكون الاعتماد متسقًا.</t>
  </si>
  <si>
    <t>4) لاحقًا: إضافة عرض «بسعر صرف ثابت» لعزل أثر تغير الصرف عن تغير الكميات والأسعار.</t>
  </si>
  <si>
    <t>5) صحّح الأخطاء في البرنامج المحاسبي نفسه (لا في هذا الملف) ثم أعد التصدير، لتبقى الأرقام متطابقة مع الدفاتر.</t>
  </si>
  <si>
    <t>6) عند ربط ملف التقارير نأخذ من «الملخص الشهري» فقط (مصدر واحد ثابت للأرقام).</t>
  </si>
  <si>
    <t>النقل إلى ملف التقارير الشهرية</t>
  </si>
  <si>
    <t>• بعد أن يصبح الشهر نظيفًا (✓) افتح ورقة «تصدير للتقارير» وانسخ صف الشهر (A:E).</t>
  </si>
  <si>
    <t>• في ملف التقارير الصق في الخلايا A21:E21 من صفحة الشهر كـ «قيم» فقط (Ctrl+Alt+V ثم V).</t>
  </si>
  <si>
    <t>• الصف يحمل: سعر صرف هذا الملف، المخزون المسعّر بالدولار، المخزون المسعّر بالليرة (بالليرة نفسها)، وعدد الأصناف التي بها أخطاء.</t>
  </si>
  <si>
    <t>الملخص الشهري — كل المبالغ بالدولار الأمريكي</t>
  </si>
  <si>
    <t>كل الخلايا هنا معادلات تُحسب تلقائيًا من أوراق الأشهر. لا تُدخل شيئًا في هذه الورقة (عدا أسماء الفئات الفرعية باللون الأزرق).</t>
  </si>
  <si>
    <t>المؤشر</t>
  </si>
  <si>
    <t>سعر الصرف (ل.س لكل 1$)</t>
  </si>
  <si>
    <t>حالة الشهر</t>
  </si>
  <si>
    <t>جاهز للحساب (1/0)</t>
  </si>
  <si>
    <t>المخزون والربحية</t>
  </si>
  <si>
    <t>أصناف كميتها موجبة</t>
  </si>
  <si>
    <t>قيمة المستودع بسعر الشراء</t>
  </si>
  <si>
    <t>القيمة البيعية المتوقعة (للأصناف مكتملة التسعير)</t>
  </si>
  <si>
    <t>تكلفة الأصناف مكتملة التسعير</t>
  </si>
  <si>
    <t>هامش الربح من المبيع %</t>
  </si>
  <si>
    <t>نسبة الربح على التكلفة %</t>
  </si>
  <si>
    <t>قيمة مخزون غير مُسعَّر للبيع (مواد خام/طبخات/ناقص تسعير)</t>
  </si>
  <si>
    <t>قيمة بيع أصناف بلا سعر شراء مسجل (تكلفتها مجهولة)</t>
  </si>
  <si>
    <t>الربح المتوقع لو البيع بسعر الجملة</t>
  </si>
  <si>
    <t>الربح المتوقع لو البيع بسعر القطاعي</t>
  </si>
  <si>
    <t>الربح المتوقع لو البيع بسعر جملة الجملة</t>
  </si>
  <si>
    <t>التعرض لتقلب سعر الصرف</t>
  </si>
  <si>
    <t>قيمة المخزون المسعّر بالليرة (بالدولار)</t>
  </si>
  <si>
    <t>قيمة المخزون المسعّر بالدولار</t>
  </si>
  <si>
    <t>نسبة المخزون المسعّر بالليرة % (تعرّض لتقلب الصرف)</t>
  </si>
  <si>
    <t>تغير قيمة المستودع عن الشهر السابق</t>
  </si>
  <si>
    <t>—</t>
  </si>
  <si>
    <t xml:space="preserve">تغير قيمة المستودع % </t>
  </si>
  <si>
    <t>تغير الربح المتوقع عن الشهر السابق</t>
  </si>
  <si>
    <t>أصناف زادت كميتها (غير الجديدة)</t>
  </si>
  <si>
    <t>أصناف ارتفع سعر شرائها بأكثر من النسبة المحددة</t>
  </si>
  <si>
    <t>أصناف انخفض سعر شرائها بأكثر من النسبة المحددة</t>
  </si>
  <si>
    <t>جودة البيانات (عدد الأصناف)</t>
  </si>
  <si>
    <t>صنف للبيع بكمية وسعر بيع صفر</t>
  </si>
  <si>
    <t>سعر البيع أقل من سعر الشراء</t>
  </si>
  <si>
    <t>تباين كبير بين أسعار البيع</t>
  </si>
  <si>
    <t>بلا تصنيف (الفئة الفرعية All)</t>
  </si>
  <si>
    <t>بيانات غير صالحة (نص بدل رقم / عملة مجهولة)</t>
  </si>
  <si>
    <t>إجمالي الأصناف التي بها ملاحظات</t>
  </si>
  <si>
    <t>قيمة المخزون حسب الفئة الفرعية</t>
  </si>
  <si>
    <t>مواد خام</t>
  </si>
  <si>
    <t>الطبخات</t>
  </si>
  <si>
    <t>All</t>
  </si>
  <si>
    <t>أخرى / غير مدرجة</t>
  </si>
  <si>
    <t>الربح المتوقع حسب الفئة الفرعية</t>
  </si>
  <si>
    <t>تصدير للتقارير — الأرقام التي تُنقل شهريًا إلى ملف التقارير</t>
  </si>
  <si>
    <t>انسخ الخلايا A:E من صف الشهر (بعد أن يصبح نظيفًا) والصقها في ملف التقارير داخل A21:E21 من صفحة ذلك الشهر «كقيم فقط» (Ctrl+Alt+V ثم V). العمود F للمعلومة ولا يُنسخ.</t>
  </si>
  <si>
    <t>سعر الصرف المستخدم</t>
  </si>
  <si>
    <t>مخزون مسعّر بالدولار ($)</t>
  </si>
  <si>
    <t>مخزون مسعّر بالليرة (ل.س)</t>
  </si>
  <si>
    <t>الحالة (لا يُنسخ)</t>
  </si>
  <si>
    <t>مقارنة الشهر المعروض بالشهر السابق</t>
  </si>
  <si>
    <t>ورقة الحالي</t>
  </si>
  <si>
    <t>الشهر الحالي</t>
  </si>
  <si>
    <t>الشهر السابق</t>
  </si>
  <si>
    <t>ورقة السابق</t>
  </si>
  <si>
    <t>الحالي جاهز؟</t>
  </si>
  <si>
    <t>السابق جاهز؟</t>
  </si>
  <si>
    <t>المقارنة الإجمالية</t>
  </si>
  <si>
    <t>كلاهما جاهز؟</t>
  </si>
  <si>
    <t>الحالي</t>
  </si>
  <si>
    <t>السابق</t>
  </si>
  <si>
    <t>التغير</t>
  </si>
  <si>
    <t>التغير %</t>
  </si>
  <si>
    <t>قيمة المستودع بسعر الشراء $</t>
  </si>
  <si>
    <t>القيمة البيعية المتوقعة $</t>
  </si>
  <si>
    <t>نسبة المخزون المسعّر بالليرة %</t>
  </si>
  <si>
    <t>أصناف جديدة (ظهرت هذا الشهر ولم تكن في الشهر السابق)</t>
  </si>
  <si>
    <t>فهرس</t>
  </si>
  <si>
    <t>أصناف محذوفة (كانت في الشهر السابق ولم تعد موجودة)</t>
  </si>
  <si>
    <t>كميتها السابقة</t>
  </si>
  <si>
    <t>قيمتها السابقة $</t>
  </si>
  <si>
    <t>أكبر 15 تغيرًا في قيمة المخزون (صعودًا أو هبوطًا)</t>
  </si>
  <si>
    <t>الكمية السابقة</t>
  </si>
  <si>
    <t>الكمية الحالية</t>
  </si>
  <si>
    <t>تغير القيمة $</t>
  </si>
  <si>
    <t>ملاحظة: قيمة الأصناف المسعّرة بالليرة تتأثر بتغير سعر الصرف بين الشهرين، لذلك قد يظهر تغير في قيمتها رغم ثبات الكمية والسعر.</t>
  </si>
  <si>
    <t>فحص الأخطاء — الشهر المعروض</t>
  </si>
  <si>
    <t>أنواع الملاحظات وطريقة معالجتها</t>
  </si>
  <si>
    <t>النوع</t>
  </si>
  <si>
    <t>العدد</t>
  </si>
  <si>
    <t>ماذا يعني وكيف تعالجه</t>
  </si>
  <si>
    <t>رصيد أقل من الصفر (غالبًا بيع قبل إدخال الشراء أو تصنيع بلا مدخلات). تُعتبر صفرًا في قيمة المستودع. صحّح الحركات أو أدخل الجرد.</t>
  </si>
  <si>
    <t>الصنف موجود بالمخزن بلا تكلفة، فتُهمَل قيمته من الميزانية ولا يدخل في الربح. أدخل سعر الشراء/التكلفة.</t>
  </si>
  <si>
    <t>صنف من الفئة المتوقع لها سعر بيع، كميته موجبة وأحد أسعار بيعه صفر. أدخل الأسعار.</t>
  </si>
  <si>
    <t>السعر المعتمد للبيع أقل من التكلفة (خسارة). راجع السعر أو التكلفة.</t>
  </si>
  <si>
    <t>سعر بالليرة صغير جدًا أو سعر بالدولار كبير جدًا (حسب الحدود في لوحة التحكم): غالبًا العملة أو السعر خطأ.</t>
  </si>
  <si>
    <t>الفرق بين أسعار الجملة والقطاعي وجملة الجملة أكبر من النسبة المقبولة: غالبًا رقم ناقص أو زائد.</t>
  </si>
  <si>
    <t>الفئة الفرعية All أو فارغة؛ صنّف الصنف ليظهر في تحليل الفئات.</t>
  </si>
  <si>
    <t>نص مكان الرقم، خلية فارغة بدل رقم، أو عملة غير «دولار أمريكي»/«ليرة سورية».</t>
  </si>
  <si>
    <t>قائمة الأصناف ذات الملاحظات (أول 200 صنف)</t>
  </si>
  <si>
    <t>#</t>
  </si>
  <si>
    <t>سعر الشراء</t>
  </si>
  <si>
    <t>القطاعي</t>
  </si>
  <si>
    <t>جملة الجملة</t>
  </si>
  <si>
    <t>الملاحظات</t>
  </si>
  <si>
    <t>اسم الصنف</t>
  </si>
  <si>
    <t>الفــئة</t>
  </si>
  <si>
    <t xml:space="preserve"> الفــئة الفرعية</t>
  </si>
  <si>
    <t xml:space="preserve"> الشراء</t>
  </si>
  <si>
    <t>مفتاح الاسم</t>
  </si>
  <si>
    <t>معامل التحويل للدولار</t>
  </si>
  <si>
    <t>سعر الشراء $</t>
  </si>
  <si>
    <t>سعر البيع المعتمد $</t>
  </si>
  <si>
    <t>الكمية المعتمدة</t>
  </si>
  <si>
    <t>قيمة المخزون $ (شراء)</t>
  </si>
  <si>
    <t>القيمة البيعية $</t>
  </si>
  <si>
    <t>مؤهل للربح (1/0)</t>
  </si>
  <si>
    <t>ملاحظات / أخطاء</t>
  </si>
  <si>
    <t>رقم الصف بالشهر السابق</t>
  </si>
  <si>
    <t>مقابل الشهر السابق</t>
  </si>
  <si>
    <t>كمية الشهر السابق</t>
  </si>
  <si>
    <t>تغير الكمية</t>
  </si>
  <si>
    <t>قيمة الشهر السابق $</t>
  </si>
  <si>
    <t>تغير سعر الشراء %</t>
  </si>
  <si>
    <t>مقابل الشهر التالي</t>
  </si>
  <si>
    <t>ترتيب جديد</t>
  </si>
  <si>
    <t>ترتيب محذوف</t>
  </si>
  <si>
    <t>ترتيب ملاحظة</t>
  </si>
  <si>
    <t>مفتاح ترتيب التغير</t>
  </si>
  <si>
    <t>ربح بسعر الجملة $</t>
  </si>
  <si>
    <t>ربح بسعر القطاعي $</t>
  </si>
  <si>
    <t>ربح بسعر جملة الجملة $</t>
  </si>
  <si>
    <t>مفتاح ترتيب القيمة</t>
  </si>
  <si>
    <t>مفتاح ترتيب الربح</t>
  </si>
  <si>
    <t>الشهر السابق فيه بيانات؟</t>
  </si>
  <si>
    <t>الشهر التالي فيه بيانات؟</t>
  </si>
  <si>
    <t>رقم مستوى سعر البيع</t>
  </si>
  <si>
    <t>حد شك الليرة</t>
  </si>
  <si>
    <t>حد شك الدولار</t>
  </si>
  <si>
    <t>أعلى نسبة تباين مقبولة</t>
  </si>
  <si>
    <t>ملمع زجاج خام</t>
  </si>
  <si>
    <t>دولار أمريكي</t>
  </si>
  <si>
    <t>ملمع دواليب خام</t>
  </si>
  <si>
    <t>ملح</t>
  </si>
  <si>
    <t>مقصب</t>
  </si>
  <si>
    <t>معطر فانيليا خام</t>
  </si>
  <si>
    <t>معطر ارضيات نسيم المحيط خام</t>
  </si>
  <si>
    <t>معطر ارضيات ليلك خام</t>
  </si>
  <si>
    <t>معطر ارضيات زهرة التوليب خام</t>
  </si>
  <si>
    <t>معطر ارضيات رائحة الورود خام</t>
  </si>
  <si>
    <t>معطر ارضيات ببوري خام</t>
  </si>
  <si>
    <t>معطر ارضيات الليمون المنعش خام</t>
  </si>
  <si>
    <t>معطر ارضيات العود خام</t>
  </si>
  <si>
    <t>معطر ارضيات ازهار النرجس خام</t>
  </si>
  <si>
    <t xml:space="preserve">مجمد </t>
  </si>
  <si>
    <t>مانع رغوة مائي</t>
  </si>
  <si>
    <t>مانع رغوة سيليكون</t>
  </si>
  <si>
    <t>ماء مقطرة</t>
  </si>
  <si>
    <t>ماء مالح خام</t>
  </si>
  <si>
    <t xml:space="preserve">ماء بلسم </t>
  </si>
  <si>
    <t>لانيت 16 ماليزي</t>
  </si>
  <si>
    <t>كوستيك-قطرونة</t>
  </si>
  <si>
    <t>كمبرلان</t>
  </si>
  <si>
    <t>كليمازول</t>
  </si>
  <si>
    <t>كلور خام</t>
  </si>
  <si>
    <t>كحول (ايثانول)</t>
  </si>
  <si>
    <t>قاشط سيارات خام</t>
  </si>
  <si>
    <t xml:space="preserve">قاشط خام </t>
  </si>
  <si>
    <t>فورمول ( سم )</t>
  </si>
  <si>
    <t>فاتي كحول</t>
  </si>
  <si>
    <t>غليسيرين</t>
  </si>
  <si>
    <t>غطا عبوة 3لتر</t>
  </si>
  <si>
    <t>عملاق خام</t>
  </si>
  <si>
    <t xml:space="preserve">عطر-نسيم-المحيط ocean-breeze - 327993 </t>
  </si>
  <si>
    <t>عطر-ليمون shiny-star - 485764</t>
  </si>
  <si>
    <t>عطر-ليمون citrus lemon new - 321639</t>
  </si>
  <si>
    <t>عطر-ليلك ariel-sensation - 318728</t>
  </si>
  <si>
    <t>عطر-فريز</t>
  </si>
  <si>
    <t xml:space="preserve">عطر-سلطان </t>
  </si>
  <si>
    <t>عطر-زهور lovely-petals - 485718</t>
  </si>
  <si>
    <t>عطر-رمان apple grandada - 322730</t>
  </si>
  <si>
    <t>عطر-توليب fresh-scent-amour - 485833</t>
  </si>
  <si>
    <t xml:space="preserve">عطر-تفاح apple - 317691 </t>
  </si>
  <si>
    <t>عطر-برنس</t>
  </si>
  <si>
    <t>عطر-ببوري ultimate-mixture - 485797</t>
  </si>
  <si>
    <t>عطر-ازهار-الربيع spring - 318643</t>
  </si>
  <si>
    <t>عطر هامول</t>
  </si>
  <si>
    <t>عطر مسك احمر</t>
  </si>
  <si>
    <t>عطر مسك</t>
  </si>
  <si>
    <t>عطر ليمون ماكسي</t>
  </si>
  <si>
    <t>عطر عسل</t>
  </si>
  <si>
    <t>عطر جوز الهند</t>
  </si>
  <si>
    <t>عطر بيشبه بيدون السلطان - 87287252-750</t>
  </si>
  <si>
    <t>عطر بانتين</t>
  </si>
  <si>
    <t>عطر اوليفا</t>
  </si>
  <si>
    <t>عطر ramani-kodi-000110</t>
  </si>
  <si>
    <t>عطر magic sprel - 6168581</t>
  </si>
  <si>
    <t>عطر kavien-clein-eforia-000020</t>
  </si>
  <si>
    <t>عطر energy-000400</t>
  </si>
  <si>
    <t>عطر Blue APC - 0001198620</t>
  </si>
  <si>
    <t>عطر billionair-000250</t>
  </si>
  <si>
    <t>عطر be-apple-000320</t>
  </si>
  <si>
    <t xml:space="preserve">عبوة 1 لتر </t>
  </si>
  <si>
    <t xml:space="preserve">طبخة رابع مخصصة </t>
  </si>
  <si>
    <t>طبخة رابع تنتح طبختين</t>
  </si>
  <si>
    <t xml:space="preserve">طبخة اول تنتج طبختين </t>
  </si>
  <si>
    <t>طبالي خشب</t>
  </si>
  <si>
    <t xml:space="preserve">صودا أش </t>
  </si>
  <si>
    <t xml:space="preserve">صبغة </t>
  </si>
  <si>
    <t>صابون سادة خام</t>
  </si>
  <si>
    <t>صابون سائل ماء الذهب خام</t>
  </si>
  <si>
    <t>صابون سائل لافندر خام</t>
  </si>
  <si>
    <t xml:space="preserve">صابون سائل عود خام </t>
  </si>
  <si>
    <t>شامبو خام</t>
  </si>
  <si>
    <t xml:space="preserve">سيليكات سائلة </t>
  </si>
  <si>
    <t>سائل غسيل اتوماتيك خام</t>
  </si>
  <si>
    <t xml:space="preserve">سائل جلي ليمون رابع خام </t>
  </si>
  <si>
    <t xml:space="preserve">سائل جلي ليمون ثاني خام </t>
  </si>
  <si>
    <t xml:space="preserve">سائل جلي ليمون ثالث خام </t>
  </si>
  <si>
    <t xml:space="preserve">سائل جلي ليمون اول خام </t>
  </si>
  <si>
    <t xml:space="preserve">سائل جلي ليلك رابع خام </t>
  </si>
  <si>
    <t xml:space="preserve">سائل جلي ليلك ثاني خام </t>
  </si>
  <si>
    <t xml:space="preserve">سائل جلي ليلك ثالث خام </t>
  </si>
  <si>
    <t xml:space="preserve">سائل جلي ليلك اول خام </t>
  </si>
  <si>
    <t xml:space="preserve">سائل جلي فريز رابع خام </t>
  </si>
  <si>
    <t xml:space="preserve">سائل جلي فريز ثاني خام </t>
  </si>
  <si>
    <t xml:space="preserve">سائل جلي فريز ثالث خام </t>
  </si>
  <si>
    <t xml:space="preserve">سائل جلي فريز اول خام </t>
  </si>
  <si>
    <t xml:space="preserve">سائل جلي سادة رابع خام </t>
  </si>
  <si>
    <t xml:space="preserve">سائل جلي سادة ثاني خام </t>
  </si>
  <si>
    <t xml:space="preserve">سائل جلي سادة ثالث خام </t>
  </si>
  <si>
    <t>سائل جلي سادة اول خام 500 كغ</t>
  </si>
  <si>
    <t xml:space="preserve">سائل جلي سادة اول خام </t>
  </si>
  <si>
    <t xml:space="preserve">سائل جلي تفاح رابع خام </t>
  </si>
  <si>
    <t xml:space="preserve">سائل جلي تفاح ثاني خام </t>
  </si>
  <si>
    <t xml:space="preserve">سائل جلي تفاح ثالث خام </t>
  </si>
  <si>
    <t xml:space="preserve">سائل جلي تفاح اول خام </t>
  </si>
  <si>
    <t>زيت الصنوبر</t>
  </si>
  <si>
    <t>زفتة</t>
  </si>
  <si>
    <t>ديباتيول فينب</t>
  </si>
  <si>
    <t>دواء غسيل نصف مصنع</t>
  </si>
  <si>
    <t>دوا غسيل بودرا 60 كغ خام</t>
  </si>
  <si>
    <t>دوا غسيل بودرا 170 كغ خام</t>
  </si>
  <si>
    <t>دوا غسيل بودرا &amp;&amp; كغ خام</t>
  </si>
  <si>
    <t>حمض الليمون</t>
  </si>
  <si>
    <t>حمض الكبريت</t>
  </si>
  <si>
    <t>حمض الخل</t>
  </si>
  <si>
    <t>حليب التين</t>
  </si>
  <si>
    <t xml:space="preserve">حبيبات ملونة </t>
  </si>
  <si>
    <t>تكسبون</t>
  </si>
  <si>
    <t xml:space="preserve">بيدون 4 لتر </t>
  </si>
  <si>
    <t>بيتائين</t>
  </si>
  <si>
    <t>بي اتش - BH خام</t>
  </si>
  <si>
    <t>بوتيل غليكول</t>
  </si>
  <si>
    <t>بلسم خام</t>
  </si>
  <si>
    <t>بلسم جامد</t>
  </si>
  <si>
    <t>بروبلين - فينب</t>
  </si>
  <si>
    <t>ايمولجين</t>
  </si>
  <si>
    <t>ايديتا</t>
  </si>
  <si>
    <t>اسيد - روح الملح - حمض كلور الماء</t>
  </si>
  <si>
    <t>اسيتون</t>
  </si>
  <si>
    <t>مياه مقطرة 4 لتر</t>
  </si>
  <si>
    <t>ليرة سورية</t>
  </si>
  <si>
    <t>مياه مقطرة 1 لتر</t>
  </si>
  <si>
    <t>مهسهس زفته - معجون</t>
  </si>
  <si>
    <t>مماسح مكتب َ</t>
  </si>
  <si>
    <t>مماسح قماش عائلة فايبر</t>
  </si>
  <si>
    <t>مماسح جلدية</t>
  </si>
  <si>
    <t>مماسح بلور</t>
  </si>
  <si>
    <t>مماسح ارضيات</t>
  </si>
  <si>
    <t>ملمع سيارات 3 لتر</t>
  </si>
  <si>
    <t>ملمع سيارات / فرط</t>
  </si>
  <si>
    <t>ملمع زجاج الكرمل</t>
  </si>
  <si>
    <t>ملمع زجاج 3 لتر</t>
  </si>
  <si>
    <t>ملمع زجاج / فرط</t>
  </si>
  <si>
    <t>ملطف جو ليتس</t>
  </si>
  <si>
    <t>ملطف جو</t>
  </si>
  <si>
    <t xml:space="preserve">مكانس ناعمة كثيفة </t>
  </si>
  <si>
    <t xml:space="preserve">مكانس خشنة </t>
  </si>
  <si>
    <t>معطر كرمل .</t>
  </si>
  <si>
    <t>معطر عافية</t>
  </si>
  <si>
    <t>معطر سيارات</t>
  </si>
  <si>
    <t>معطر رينزو</t>
  </si>
  <si>
    <t xml:space="preserve">معطر super / فرط </t>
  </si>
  <si>
    <t>معطر super / عبوة 3 لتر</t>
  </si>
  <si>
    <t xml:space="preserve">مساحات / نشافات </t>
  </si>
  <si>
    <t>محارم مكتب</t>
  </si>
  <si>
    <t>محارم تواليت</t>
  </si>
  <si>
    <t>محارم تنشيف</t>
  </si>
  <si>
    <t>محارم الكرزة</t>
  </si>
  <si>
    <t>مبيد حشري بار بار</t>
  </si>
  <si>
    <t xml:space="preserve">ليف جلي ثلاثية </t>
  </si>
  <si>
    <t>ليف اسفنج</t>
  </si>
  <si>
    <t>لوح صابون مسك</t>
  </si>
  <si>
    <t>لصاقة طابعة</t>
  </si>
  <si>
    <t>لاصق</t>
  </si>
  <si>
    <t>كياس نايلون</t>
  </si>
  <si>
    <t>كياس قمامة</t>
  </si>
  <si>
    <t>كمامات</t>
  </si>
  <si>
    <t>كلور 4 لتر</t>
  </si>
  <si>
    <t>كلور 1 لتر</t>
  </si>
  <si>
    <t xml:space="preserve">كلور / فرط </t>
  </si>
  <si>
    <t>كفوف نايلون</t>
  </si>
  <si>
    <t>كفوف طبية</t>
  </si>
  <si>
    <t>كفوف صناعية</t>
  </si>
  <si>
    <t>كفوف جلي</t>
  </si>
  <si>
    <t>كريك بلاستيك</t>
  </si>
  <si>
    <t>كاسات شاي صغيرة 17 *6</t>
  </si>
  <si>
    <t>قاشط سيارات / فرط</t>
  </si>
  <si>
    <t xml:space="preserve">قاشط المينيوم - ساندي / فرط </t>
  </si>
  <si>
    <t>قاشط  المينيوم 3 لتر</t>
  </si>
  <si>
    <t xml:space="preserve">فلاش 4 لتر </t>
  </si>
  <si>
    <t>فلاش / فرط</t>
  </si>
  <si>
    <t>فرشاية بسط</t>
  </si>
  <si>
    <t>فرشاة حمام</t>
  </si>
  <si>
    <t>فازلين</t>
  </si>
  <si>
    <t xml:space="preserve">فاربن مزيل شعر </t>
  </si>
  <si>
    <t>عملاق 3 لتر</t>
  </si>
  <si>
    <t xml:space="preserve">عملاق </t>
  </si>
  <si>
    <t>عصايات</t>
  </si>
  <si>
    <t xml:space="preserve">عبوات كلور + فلاش فارغة </t>
  </si>
  <si>
    <t>عبوات شفافة 3 لتر</t>
  </si>
  <si>
    <t>عبوات حليبي</t>
  </si>
  <si>
    <t>طواقي راس</t>
  </si>
  <si>
    <t>صابون كرمل</t>
  </si>
  <si>
    <t>صابون سائل</t>
  </si>
  <si>
    <t xml:space="preserve">صابون super / فرط </t>
  </si>
  <si>
    <t>صابون super / عبوة 3 لتر</t>
  </si>
  <si>
    <t>شامبو سيارات</t>
  </si>
  <si>
    <t>شامبو 3 لتر</t>
  </si>
  <si>
    <t xml:space="preserve">شامبو </t>
  </si>
  <si>
    <t>سيف عائلاتي</t>
  </si>
  <si>
    <t xml:space="preserve">سيف بريفيت </t>
  </si>
  <si>
    <t>سيف برلنت</t>
  </si>
  <si>
    <t>سيف الكرار نخب اول</t>
  </si>
  <si>
    <t>سيف الكرار 2602</t>
  </si>
  <si>
    <t>سلة غسيل</t>
  </si>
  <si>
    <t>سائل مغسل</t>
  </si>
  <si>
    <t>سائل غسيل زهري</t>
  </si>
  <si>
    <t>سائل غسيل اتوماتيك 3 لتر</t>
  </si>
  <si>
    <t xml:space="preserve">سائل غسيل اتوماتيك / فرط </t>
  </si>
  <si>
    <t xml:space="preserve">سائل جلي متعدد الاستعمالات كرمل </t>
  </si>
  <si>
    <t xml:space="preserve">سائل جلي متعدد الإستعمالات - غولدن هاوس 1 لتر </t>
  </si>
  <si>
    <t>سائل جلي شفاف مع عطر / فرط</t>
  </si>
  <si>
    <t>سائل جلي super / فرط 2604</t>
  </si>
  <si>
    <t>سائل جلي super / فرط 2603</t>
  </si>
  <si>
    <t>سائل جلي super / فرط 2602</t>
  </si>
  <si>
    <t>سائل جلي super / فرط 2601</t>
  </si>
  <si>
    <t>سائل جلي super / عبوة 3 لتر 2604</t>
  </si>
  <si>
    <t>سائل جلي super / عبوة 3 لتر 2603</t>
  </si>
  <si>
    <t>سائل جلي super / عبوة 3 لتر 2602</t>
  </si>
  <si>
    <t>سائل جلي super / عبوة 3 لتر 2601</t>
  </si>
  <si>
    <t>زيت صنوبر 3 لتر</t>
  </si>
  <si>
    <t>ديتول خام</t>
  </si>
  <si>
    <t xml:space="preserve">ديتول 3 لتر </t>
  </si>
  <si>
    <t xml:space="preserve">ديتول / فرط </t>
  </si>
  <si>
    <t xml:space="preserve">دواء غسيل بودرا </t>
  </si>
  <si>
    <t>دوا غسيل نورا</t>
  </si>
  <si>
    <t xml:space="preserve">دفتر </t>
  </si>
  <si>
    <t>دبجانة 50 كغ</t>
  </si>
  <si>
    <t xml:space="preserve">خردة وبلاستيك </t>
  </si>
  <si>
    <t>جاطات + طشوطة بلاستيك</t>
  </si>
  <si>
    <t>بيدون سعة 5 كغ</t>
  </si>
  <si>
    <t>بيدون سعة 10 كغ</t>
  </si>
  <si>
    <t>بيدون !</t>
  </si>
  <si>
    <t xml:space="preserve">بي اتش 3 لتر </t>
  </si>
  <si>
    <t>بي اتش - كرتونة</t>
  </si>
  <si>
    <t>بي اتش - BH / فرط</t>
  </si>
  <si>
    <t>بي أتش ph الكرمل</t>
  </si>
  <si>
    <t>بلسم 3 لتر</t>
  </si>
  <si>
    <t>بلسم / فرط</t>
  </si>
  <si>
    <t>برميل كرتون</t>
  </si>
  <si>
    <t>برميل تكسبون فارغ</t>
  </si>
  <si>
    <t>برميل بلاستيك</t>
  </si>
  <si>
    <t xml:space="preserve">اقراص كلور </t>
  </si>
  <si>
    <t>اسيد 3 لتر</t>
  </si>
  <si>
    <t>أسيد 3 لتر</t>
  </si>
  <si>
    <t>أسيد 1 لتر</t>
  </si>
  <si>
    <t>عطر صنوبر</t>
  </si>
  <si>
    <t>طبخة الاندومي</t>
  </si>
  <si>
    <t>زنجارة</t>
  </si>
  <si>
    <t>نفتلين</t>
  </si>
  <si>
    <t>معطر متعدد الاستعمالات ريفا</t>
  </si>
  <si>
    <t>معطر ارضيات ريفا</t>
  </si>
  <si>
    <t>كلور عبوة 1 لتر</t>
  </si>
  <si>
    <t>كرتونة تغليف كلور</t>
  </si>
  <si>
    <t>كرتونة تغليف ريفا</t>
  </si>
  <si>
    <t>عملاق ريفا 450 مم</t>
  </si>
  <si>
    <t>عطر ليمون ريفا</t>
  </si>
  <si>
    <t>عطر لافندر ريفا</t>
  </si>
  <si>
    <t>عطر عود</t>
  </si>
  <si>
    <t xml:space="preserve">عبوة ريفا شفافة 750غ </t>
  </si>
  <si>
    <t xml:space="preserve">طبخة رابع معدلة </t>
  </si>
  <si>
    <t xml:space="preserve">سيف بالكيلو </t>
  </si>
  <si>
    <t>سم مضروب</t>
  </si>
  <si>
    <t>سائل جلي ليمون ريفا - 15% خام</t>
  </si>
  <si>
    <t>سائل جلي ليلك ريفا - 15% خام</t>
  </si>
  <si>
    <t>سائل جلي ريفا 15% super / فرط</t>
  </si>
  <si>
    <t xml:space="preserve">سائل جلي ريفا - عبوة 750غ </t>
  </si>
  <si>
    <t xml:space="preserve">زفتة قديمة </t>
  </si>
  <si>
    <t>تري ايثانول سعودي امين</t>
  </si>
  <si>
    <t>بديل فورمول</t>
  </si>
  <si>
    <t>ايمولجين وقف</t>
  </si>
  <si>
    <t>منتول كريستال</t>
  </si>
  <si>
    <t>فوط</t>
  </si>
  <si>
    <t>عطر ورد-جوري</t>
  </si>
  <si>
    <t>عطر هيد اند شولدرز</t>
  </si>
  <si>
    <t>عطر بلو كابس</t>
  </si>
  <si>
    <t>عبوة كلور 800 ميلي</t>
  </si>
  <si>
    <t>شامبو 120 كغ خام</t>
  </si>
  <si>
    <t>سيتول</t>
  </si>
  <si>
    <t>سجل التصحيحات التلقائية على أشهر حزيران وتموز وأيلول (القيمة القديمة محفوظة هنا للرجوع إليها)</t>
  </si>
  <si>
    <t>رقم الصف</t>
  </si>
  <si>
    <t>الحقل</t>
  </si>
  <si>
    <t>القيمة القديمة</t>
  </si>
  <si>
    <t>القيمة الجديدة</t>
  </si>
  <si>
    <t>السبب</t>
  </si>
  <si>
    <t>الفئة الفرعية مطابقة لآب</t>
  </si>
  <si>
    <t>الشراء</t>
  </si>
  <si>
    <t>سعر الشراء فيه صفر زائد (50000 بدل 5000 كما في آب)</t>
  </si>
  <si>
    <t>معطر super / فرط</t>
  </si>
  <si>
    <t>سعر الشراء مأخوذ من آب (تقريبي)</t>
  </si>
  <si>
    <t>مساحات / نشافات</t>
  </si>
  <si>
    <t>كمية سالبة ← صفر (لا تُحسب في القيمة أصلًا؛ الرصيد الحقيقي مجهول)</t>
  </si>
  <si>
    <t>صابون super / فرط</t>
  </si>
  <si>
    <t>سائل جلي متعدد الاستعمالات كرمل</t>
  </si>
  <si>
    <t>سعر الجملة فيه صفر زائد؛ ساوينا بسعر القطاعي لنفس الشهر</t>
  </si>
  <si>
    <t>خردة وبلاستيك</t>
  </si>
  <si>
    <t>سعر البيع مأخوذ من آب (تقريبي)</t>
  </si>
  <si>
    <t>العملة مطابقة لما صُحّح في آب</t>
  </si>
  <si>
    <t>عبوة ريفا شفافة 750غ</t>
  </si>
  <si>
    <t>سيف بالكيلو</t>
  </si>
  <si>
    <t>سائل جلي ريفا - عبوة 750غ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</si>
</sst>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\-"/>
    <numFmt numFmtId="165" formatCode="\$#,##0;&quot;($&quot;#,##0\);\-"/>
    <numFmt numFmtId="166" formatCode="0.0%"/>
    <numFmt numFmtId="167" formatCode="0.0%;\(0.0%\);\-"/>
    <numFmt numFmtId="168" formatCode="#,##0.00;\(#,##0.00\);\-"/>
    <numFmt numFmtId="169" formatCode="\$#,##0.00;&quot;($&quot;#,##0.00\);\-"/>
    <numFmt numFmtId="170" formatCode="#,##0.##"/>
    <numFmt numFmtId="171" formatCode="#,##0.00;\-#,##0.00;0"/>
    <numFmt numFmtId="172" formatCode="#,##0.####"/>
    <numFmt numFmtId="173" formatCode="0.000000"/>
    <numFmt numFmtId="174" formatCode="#,##0.0000"/>
  </numFmts>
  <fonts count="14">
    <font>
      <sz val="10"/>
      <name val="Arial"/>
      <charset val="1"/>
    </font>
    <font>
      <b/>
      <sz val="16"/>
      <color rgb="FFFFFFFF"/>
      <name val="Arial"/>
      <charset val="1"/>
    </font>
    <font>
      <sz val="8"/>
      <color rgb="FF80808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8"/>
      <color rgb="FF1F4E5F"/>
      <name val="Arial"/>
      <charset val="1"/>
    </font>
    <font>
      <sz val="9"/>
      <color rgb="FF595959"/>
      <name val="Arial"/>
      <charset val="1"/>
    </font>
    <font>
      <sz val="11"/>
      <color theme="1"/>
      <name val="Calibri"/>
      <family val="2"/>
      <charset val="1"/>
    </font>
    <font>
      <sz val="10"/>
      <name val="FreeSans"/>
      <family val="2"/>
    </font>
    <font>
      <sz val="10"/>
      <name val="Arial"/>
      <family val="2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9EAF0"/>
        <bgColor rgb="FFDDEBF7"/>
      </patternFill>
    </fill>
    <fill>
      <patternFill patternType="solid">
        <fgColor rgb="FFFFFF99"/>
        <bgColor rgb="FFFFE699"/>
      </patternFill>
    </fill>
    <fill>
      <patternFill patternType="solid">
        <fgColor rgb="FF2E7D8C"/>
        <bgColor rgb="FF4F81BD"/>
      </patternFill>
    </fill>
    <fill>
      <patternFill patternType="solid">
        <fgColor rgb="FFF3F9FB"/>
        <bgColor rgb="FFFFFFFF"/>
      </patternFill>
    </fill>
    <fill>
      <patternFill patternType="solid">
        <fgColor rgb="FFDDEBF7"/>
        <bgColor rgb="FFD9EAF0"/>
      </patternFill>
    </fill>
    <fill>
      <patternFill patternType="solid">
        <fgColor rgb="FFEDEDED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9" fontId="5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0" xfId="0" applyFont="1"/>
    <xf numFmtId="173" fontId="10" fillId="0" borderId="0" xfId="0" applyNumberFormat="1" applyFont="1"/>
    <xf numFmtId="174" fontId="10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166" fontId="10" fillId="0" borderId="0" xfId="0" applyNumberFormat="1" applyFont="1"/>
    <xf numFmtId="4" fontId="7" fillId="0" borderId="0" xfId="0" applyNumberFormat="1" applyFont="1"/>
    <xf numFmtId="1" fontId="7" fillId="0" borderId="0" xfId="0" applyNumberFormat="1" applyFont="1"/>
    <xf numFmtId="0" fontId="3" fillId="0" borderId="0" xfId="0" applyFont="1"/>
    <xf numFmtId="0" fontId="13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65" fontId="8" fillId="6" borderId="0" xfId="0" applyNumberFormat="1" applyFont="1" applyFill="1" applyAlignment="1">
      <alignment horizontal="center" vertical="center" wrapText="1"/>
    </xf>
    <xf numFmtId="166" fontId="8" fillId="6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76"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3F9F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0"/>
      <rgbColor rgb="FFC6EFCE"/>
      <rgbColor rgb="FFFFFF99"/>
      <rgbColor rgb="FFEDEDED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ED7D31"/>
      <rgbColor rgb="FF595959"/>
      <rgbColor rgb="FF878787"/>
      <rgbColor rgb="FF1F4E5F"/>
      <rgbColor rgb="FF2E7D8C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قيمة المستودع بسعر الشراء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الشهري'!$B$4:$M$4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'الملخص الشهري'!$B$11:$M$11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44737.390469696969</c:v>
                </c:pt>
                <c:pt idx="6">
                  <c:v>48491.032068421046</c:v>
                </c:pt>
                <c:pt idx="7">
                  <c:v>47944.021160606069</c:v>
                </c:pt>
                <c:pt idx="8">
                  <c:v>44900.767091304333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1-4676-9A7D-73D977038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48007"/>
        <c:axId val="30674143"/>
      </c:barChart>
      <c:catAx>
        <c:axId val="1824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30674143"/>
        <c:crosses val="autoZero"/>
        <c:auto val="1"/>
        <c:lblAlgn val="ctr"/>
        <c:lblOffset val="100"/>
        <c:noMultiLvlLbl val="0"/>
      </c:catAx>
      <c:valAx>
        <c:axId val="30674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8248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الربح المتوقع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الشهري'!$B$4:$M$4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'الملخص الشهري'!$B$14:$M$14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9351.6175757575711</c:v>
                </c:pt>
                <c:pt idx="6">
                  <c:v>8810.4512030075166</c:v>
                </c:pt>
                <c:pt idx="7">
                  <c:v>9143.6171060606139</c:v>
                </c:pt>
                <c:pt idx="8">
                  <c:v>7284.6251666666612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9-438C-8D4B-DBE5BB2C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69323"/>
        <c:axId val="68589791"/>
      </c:barChart>
      <c:catAx>
        <c:axId val="84069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68589791"/>
        <c:crosses val="autoZero"/>
        <c:auto val="1"/>
        <c:lblAlgn val="ctr"/>
        <c:lblOffset val="100"/>
        <c:noMultiLvlLbl val="0"/>
      </c:catAx>
      <c:valAx>
        <c:axId val="68589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84069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-1014480</xdr:colOff>
      <xdr:row>69</xdr:row>
      <xdr:rowOff>0</xdr:rowOff>
    </xdr:from>
    <xdr:to>
      <xdr:col>3</xdr:col>
      <xdr:colOff>0</xdr:colOff>
      <xdr:row>84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-168480</xdr:colOff>
      <xdr:row>69</xdr:row>
      <xdr:rowOff>0</xdr:rowOff>
    </xdr:from>
    <xdr:to>
      <xdr:col>8</xdr:col>
      <xdr:colOff>0</xdr:colOff>
      <xdr:row>84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L69"/>
  <sheetViews>
    <sheetView showGridLines="0" rightToLeft="1" zoomScaleNormal="100" workbookViewId="0">
      <pane ySplit="4" topLeftCell="A12" activePane="bottomLeft" state="frozen"/>
      <selection pane="bottomLeft"/>
    </sheetView>
  </sheetViews>
  <sheetFormatPr defaultColWidth="8.7109375" defaultRowHeight="12.75"/>
  <cols>
    <col min="1" max="1" width="2" customWidth="1"/>
    <col min="2" max="2" width="34" customWidth="1"/>
    <col min="3" max="3" width="18" customWidth="1"/>
    <col min="4" max="5" width="16" customWidth="1"/>
    <col min="6" max="6" width="32" customWidth="1"/>
    <col min="7" max="9" width="16" customWidth="1"/>
    <col min="11" max="11" width="24" customWidth="1"/>
    <col min="12" max="12" width="14" customWidth="1"/>
  </cols>
  <sheetData>
    <row r="1" spans="2:12" ht="33.75" customHeight="1">
      <c r="B1" s="53" t="s">
        <v>0</v>
      </c>
      <c r="C1" s="53"/>
      <c r="D1" s="53"/>
      <c r="E1" s="53"/>
      <c r="F1" s="53"/>
      <c r="G1" s="53"/>
      <c r="H1" s="53"/>
      <c r="I1" s="53"/>
    </row>
    <row r="2" spans="2:12">
      <c r="B2" s="54" t="s">
        <v>1</v>
      </c>
      <c r="C2" s="54"/>
      <c r="D2" s="54"/>
      <c r="E2" s="54"/>
      <c r="F2" s="54"/>
      <c r="G2" s="54"/>
      <c r="H2" s="54"/>
      <c r="I2" s="54"/>
    </row>
    <row r="3" spans="2:12" ht="25.5" customHeight="1">
      <c r="B3" s="55" t="str">
        <f>IF($K$10="جاهز","✓ بيانات شهر "&amp;INDEX($B$16:$B$27,$D$6)&amp;" جاهزة · كل المبالغ بالدولار",IF($K$10="لا بيانات","⚠ لا توجد بيانات في ورقة "&amp;INDEX($B$16:$B$27,$D$6)&amp;" — الصق الجدول في الخلية A1 من ورقة الشهر",IF($K$10="أدخل سعر الصرف","⚠ أدخل سعر صرف شهر "&amp;INDEX($B$16:$B$27,$D$6)&amp;" في الخلية الصفراء بجدول أسعار الصرف أدناه","⚠ الملف تجاوز 500 صنفًا — راجع التعليمات في ورقة اقرأني")))</f>
        <v>✓ بيانات شهر أيلول جاهزة · كل المبالغ بالدولار</v>
      </c>
      <c r="C3" s="55"/>
      <c r="D3" s="55"/>
      <c r="E3" s="55"/>
      <c r="F3" s="55"/>
      <c r="G3" s="55"/>
      <c r="H3" s="55"/>
      <c r="I3" s="55"/>
    </row>
    <row r="4" spans="2:12" ht="33.75" customHeight="1">
      <c r="B4" s="52" t="str">
        <f>IF(IF(N('الملخص الشهري'!B45)&gt;0," • كانون الثاني ("&amp;'الملخص الشهري'!B45&amp;" صنف)","")&amp;IF(N('الملخص الشهري'!C45)&gt;0," • شباط ("&amp;'الملخص الشهري'!C45&amp;" صنف)","")&amp;IF(N('الملخص الشهري'!D45)&gt;0," • آذار ("&amp;'الملخص الشهري'!D45&amp;" صنف)","")&amp;IF(N('الملخص الشهري'!E45)&gt;0," • نيسان ("&amp;'الملخص الشهري'!E45&amp;" صنف)","")&amp;IF(N('الملخص الشهري'!F45)&gt;0," • أيار ("&amp;'الملخص الشهري'!F45&amp;" صنف)","")&amp;IF(N('الملخص الشهري'!G45)&gt;0," • حزيران ("&amp;'الملخص الشهري'!G45&amp;" صنف)","")&amp;IF(N('الملخص الشهري'!H45)&gt;0," • تموز ("&amp;'الملخص الشهري'!H45&amp;" صنف)","")&amp;IF(N('الملخص الشهري'!I45)&gt;0," • آب ("&amp;'الملخص الشهري'!I45&amp;" صنف)","")&amp;IF(N('الملخص الشهري'!J45)&gt;0," • أيلول ("&amp;'الملخص الشهري'!J45&amp;" صنف)","")&amp;IF(N('الملخص الشهري'!K45)&gt;0," • تشرين الأول ("&amp;'الملخص الشهري'!K45&amp;" صنف)","")&amp;IF(N('الملخص الشهري'!L45)&gt;0," • تشرين الثاني ("&amp;'الملخص الشهري'!L45&amp;" صنف)","")&amp;IF(N('الملخص الشهري'!M45)&gt;0," • كانون الأول ("&amp;'الملخص الشهري'!M45&amp;" صنف)","")="","✓ لا أخطاء في بيانات أي شهر","⚠ أخطاء في بيانات:"&amp;IF(N('الملخص الشهري'!B45)&gt;0," • كانون الثاني ("&amp;'الملخص الشهري'!B45&amp;" صنف)","")&amp;IF(N('الملخص الشهري'!C45)&gt;0," • شباط ("&amp;'الملخص الشهري'!C45&amp;" صنف)","")&amp;IF(N('الملخص الشهري'!D45)&gt;0," • آذار ("&amp;'الملخص الشهري'!D45&amp;" صنف)","")&amp;IF(N('الملخص الشهري'!E45)&gt;0," • نيسان ("&amp;'الملخص الشهري'!E45&amp;" صنف)","")&amp;IF(N('الملخص الشهري'!F45)&gt;0," • أيار ("&amp;'الملخص الشهري'!F45&amp;" صنف)","")&amp;IF(N('الملخص الشهري'!G45)&gt;0," • حزيران ("&amp;'الملخص الشهري'!G45&amp;" صنف)","")&amp;IF(N('الملخص الشهري'!H45)&gt;0," • تموز ("&amp;'الملخص الشهري'!H45&amp;" صنف)","")&amp;IF(N('الملخص الشهري'!I45)&gt;0," • آب ("&amp;'الملخص الشهري'!I45&amp;" صنف)","")&amp;IF(N('الملخص الشهري'!J45)&gt;0," • أيلول ("&amp;'الملخص الشهري'!J45&amp;" صنف)","")&amp;IF(N('الملخص الشهري'!K45)&gt;0," • تشرين الأول ("&amp;'الملخص الشهري'!K45&amp;" صنف)","")&amp;IF(N('الملخص الشهري'!L45)&gt;0," • تشرين الثاني ("&amp;'الملخص الشهري'!L45&amp;" صنف)","")&amp;IF(N('الملخص الشهري'!M45)&gt;0," • كانون الأول ("&amp;'الملخص الشهري'!M45&amp;" صنف)","")&amp;" — التفاصيل في ورقة فحص الأخطاء وفي عمود الملاحظات بورقة الشهر")</f>
        <v>✓ لا أخطاء في بيانات أي شهر</v>
      </c>
      <c r="C4" s="52"/>
      <c r="D4" s="52"/>
      <c r="E4" s="52"/>
      <c r="F4" s="52"/>
      <c r="G4" s="52"/>
      <c r="H4" s="52"/>
      <c r="I4" s="52"/>
    </row>
    <row r="5" spans="2:12" ht="19.5" customHeight="1">
      <c r="B5" s="47" t="s">
        <v>2</v>
      </c>
      <c r="C5" s="47"/>
      <c r="D5" s="47"/>
      <c r="E5" s="47"/>
      <c r="F5" s="47"/>
      <c r="G5" s="47"/>
      <c r="H5" s="47"/>
      <c r="I5" s="47"/>
      <c r="K5" s="3" t="s">
        <v>3</v>
      </c>
    </row>
    <row r="6" spans="2:12" ht="15" customHeight="1">
      <c r="B6" s="5" t="s">
        <v>4</v>
      </c>
      <c r="C6" s="6" t="s">
        <v>5</v>
      </c>
      <c r="D6" s="7">
        <f>IFERROR(IF($C$6="آخر شهر متوفر",MAX(1,SUMPRODUCT(MAX(($D$16:$D$27&gt;0)*$G$16:$G$27))),MATCH($C$6,$B$16:$B$27,0)),1)</f>
        <v>9</v>
      </c>
      <c r="E6" s="46" t="s">
        <v>6</v>
      </c>
      <c r="F6" s="46"/>
      <c r="G6" s="46"/>
      <c r="H6" s="46"/>
      <c r="I6" s="46"/>
      <c r="K6" s="3" t="str">
        <f>INDEX($F$16:$F$27,$D$6)</f>
        <v>09-أيلول</v>
      </c>
    </row>
    <row r="7" spans="2:12" ht="15" customHeight="1">
      <c r="B7" s="5" t="s">
        <v>7</v>
      </c>
      <c r="C7" s="6" t="s">
        <v>8</v>
      </c>
      <c r="D7" s="7">
        <f>IF($C$7="القطاعي",2,IF($C$7="جملة الجملة",3,1))</f>
        <v>1</v>
      </c>
      <c r="E7" s="46" t="s">
        <v>9</v>
      </c>
      <c r="F7" s="46"/>
      <c r="G7" s="46"/>
      <c r="H7" s="46"/>
      <c r="I7" s="46"/>
      <c r="K7" s="3" t="s">
        <v>10</v>
      </c>
    </row>
    <row r="8" spans="2:12" ht="15" customHeight="1">
      <c r="B8" s="5" t="s">
        <v>11</v>
      </c>
      <c r="C8" s="6" t="s">
        <v>12</v>
      </c>
      <c r="E8" s="46" t="s">
        <v>13</v>
      </c>
      <c r="F8" s="46"/>
      <c r="G8" s="46"/>
      <c r="H8" s="46"/>
      <c r="I8" s="46"/>
      <c r="K8" s="8">
        <f>INDEX('الملخص الشهري'!$B$8:$M$8,$D$6)</f>
        <v>1</v>
      </c>
    </row>
    <row r="9" spans="2:12" ht="15" customHeight="1">
      <c r="B9" s="5" t="s">
        <v>14</v>
      </c>
      <c r="C9" s="6">
        <v>50</v>
      </c>
      <c r="E9" s="46" t="s">
        <v>15</v>
      </c>
      <c r="F9" s="46"/>
      <c r="G9" s="46"/>
      <c r="H9" s="46"/>
      <c r="I9" s="46"/>
      <c r="K9" s="3" t="s">
        <v>16</v>
      </c>
    </row>
    <row r="10" spans="2:12" ht="15" customHeight="1">
      <c r="B10" s="5" t="s">
        <v>17</v>
      </c>
      <c r="C10" s="6">
        <v>5000</v>
      </c>
      <c r="E10" s="46" t="s">
        <v>18</v>
      </c>
      <c r="F10" s="46"/>
      <c r="G10" s="46"/>
      <c r="H10" s="46"/>
      <c r="I10" s="46"/>
      <c r="K10" s="3" t="str">
        <f>INDEX('الملخص الشهري'!$B$7:$M$7,$D$6)</f>
        <v>جاهز</v>
      </c>
    </row>
    <row r="11" spans="2:12" ht="15" customHeight="1">
      <c r="B11" s="5" t="s">
        <v>19</v>
      </c>
      <c r="C11" s="6">
        <v>1.5</v>
      </c>
      <c r="E11" s="46" t="s">
        <v>20</v>
      </c>
      <c r="F11" s="46"/>
      <c r="G11" s="46"/>
      <c r="H11" s="46"/>
      <c r="I11" s="46"/>
      <c r="K11" s="3" t="s">
        <v>21</v>
      </c>
    </row>
    <row r="12" spans="2:12" ht="15" customHeight="1">
      <c r="B12" s="5" t="s">
        <v>22</v>
      </c>
      <c r="C12" s="9">
        <v>0.1</v>
      </c>
      <c r="E12" s="46" t="s">
        <v>23</v>
      </c>
      <c r="F12" s="46"/>
      <c r="G12" s="46"/>
      <c r="H12" s="46"/>
      <c r="I12" s="46"/>
      <c r="K12" s="3">
        <f>IF(AND(INDEX('الملخص الشهري'!$B$5:$M$5,$D$6)&gt;0,INDEX('الملخص الشهري'!$B$5:$M$5,$D$6)&lt;=500),1,0)</f>
        <v>1</v>
      </c>
    </row>
    <row r="13" spans="2:12">
      <c r="K13" s="3" t="s">
        <v>24</v>
      </c>
      <c r="L13" s="3" t="s">
        <v>25</v>
      </c>
    </row>
    <row r="14" spans="2:12" ht="19.5" customHeight="1">
      <c r="B14" s="47" t="s">
        <v>26</v>
      </c>
      <c r="C14" s="47"/>
      <c r="D14" s="47"/>
      <c r="E14" s="47"/>
      <c r="F14" s="47"/>
      <c r="G14" s="47"/>
      <c r="H14" s="47"/>
      <c r="I14" s="47"/>
    </row>
    <row r="15" spans="2:12">
      <c r="B15" s="10" t="s">
        <v>27</v>
      </c>
      <c r="C15" s="10" t="s">
        <v>28</v>
      </c>
      <c r="D15" s="10" t="s">
        <v>29</v>
      </c>
      <c r="E15" s="10" t="s">
        <v>16</v>
      </c>
      <c r="F15" s="10" t="s">
        <v>30</v>
      </c>
      <c r="G15" s="10" t="s">
        <v>31</v>
      </c>
      <c r="H15" s="10" t="s">
        <v>32</v>
      </c>
    </row>
    <row r="16" spans="2:12">
      <c r="B16" s="5" t="s">
        <v>33</v>
      </c>
      <c r="C16" s="11"/>
      <c r="D16" s="12">
        <f>'الملخص الشهري'!B5</f>
        <v>0</v>
      </c>
      <c r="E16" s="13" t="str">
        <f>'الملخص الشهري'!B7</f>
        <v>لا بيانات</v>
      </c>
      <c r="F16" s="14" t="s">
        <v>34</v>
      </c>
      <c r="G16" s="7">
        <v>1</v>
      </c>
      <c r="H16" s="12" t="str">
        <f>IF(N('الملخص الشهري'!B45)&gt;0,'الملخص الشهري'!B45,"")</f>
        <v/>
      </c>
    </row>
    <row r="17" spans="2:9">
      <c r="B17" s="5" t="s">
        <v>35</v>
      </c>
      <c r="C17" s="11"/>
      <c r="D17" s="12">
        <f>'الملخص الشهري'!C5</f>
        <v>0</v>
      </c>
      <c r="E17" s="13" t="str">
        <f>'الملخص الشهري'!C7</f>
        <v>لا بيانات</v>
      </c>
      <c r="F17" s="14" t="s">
        <v>36</v>
      </c>
      <c r="G17" s="7">
        <v>2</v>
      </c>
      <c r="H17" s="12" t="str">
        <f>IF(N('الملخص الشهري'!C45)&gt;0,'الملخص الشهري'!C45,"")</f>
        <v/>
      </c>
    </row>
    <row r="18" spans="2:9">
      <c r="B18" s="5" t="s">
        <v>37</v>
      </c>
      <c r="C18" s="11"/>
      <c r="D18" s="12">
        <f>'الملخص الشهري'!D5</f>
        <v>0</v>
      </c>
      <c r="E18" s="13" t="str">
        <f>'الملخص الشهري'!D7</f>
        <v>لا بيانات</v>
      </c>
      <c r="F18" s="14" t="s">
        <v>38</v>
      </c>
      <c r="G18" s="7">
        <v>3</v>
      </c>
      <c r="H18" s="12" t="str">
        <f>IF(N('الملخص الشهري'!D45)&gt;0,'الملخص الشهري'!D45,"")</f>
        <v/>
      </c>
    </row>
    <row r="19" spans="2:9">
      <c r="B19" s="5" t="s">
        <v>39</v>
      </c>
      <c r="C19" s="11"/>
      <c r="D19" s="12">
        <f>'الملخص الشهري'!E5</f>
        <v>0</v>
      </c>
      <c r="E19" s="13" t="str">
        <f>'الملخص الشهري'!E7</f>
        <v>لا بيانات</v>
      </c>
      <c r="F19" s="14" t="s">
        <v>40</v>
      </c>
      <c r="G19" s="7">
        <v>4</v>
      </c>
      <c r="H19" s="12" t="str">
        <f>IF(N('الملخص الشهري'!E45)&gt;0,'الملخص الشهري'!E45,"")</f>
        <v/>
      </c>
    </row>
    <row r="20" spans="2:9">
      <c r="B20" s="5" t="s">
        <v>41</v>
      </c>
      <c r="C20" s="11"/>
      <c r="D20" s="12">
        <f>'الملخص الشهري'!F5</f>
        <v>0</v>
      </c>
      <c r="E20" s="13" t="str">
        <f>'الملخص الشهري'!F7</f>
        <v>لا بيانات</v>
      </c>
      <c r="F20" s="14" t="s">
        <v>42</v>
      </c>
      <c r="G20" s="7">
        <v>5</v>
      </c>
      <c r="H20" s="12" t="str">
        <f>IF(N('الملخص الشهري'!F45)&gt;0,'الملخص الشهري'!F45,"")</f>
        <v/>
      </c>
    </row>
    <row r="21" spans="2:9">
      <c r="B21" s="5" t="s">
        <v>43</v>
      </c>
      <c r="C21" s="11">
        <v>13200</v>
      </c>
      <c r="D21" s="12">
        <f>'الملخص الشهري'!G5</f>
        <v>236</v>
      </c>
      <c r="E21" s="13" t="str">
        <f>'الملخص الشهري'!G7</f>
        <v>جاهز</v>
      </c>
      <c r="F21" s="14" t="s">
        <v>44</v>
      </c>
      <c r="G21" s="7">
        <v>6</v>
      </c>
      <c r="H21" s="12" t="str">
        <f>IF(N('الملخص الشهري'!G45)&gt;0,'الملخص الشهري'!G45,"")</f>
        <v/>
      </c>
    </row>
    <row r="22" spans="2:9">
      <c r="B22" s="5" t="s">
        <v>45</v>
      </c>
      <c r="C22" s="11">
        <v>13300</v>
      </c>
      <c r="D22" s="12">
        <f>'الملخص الشهري'!H5</f>
        <v>239</v>
      </c>
      <c r="E22" s="13" t="str">
        <f>'الملخص الشهري'!H7</f>
        <v>جاهز</v>
      </c>
      <c r="F22" s="14" t="s">
        <v>46</v>
      </c>
      <c r="G22" s="7">
        <v>7</v>
      </c>
      <c r="H22" s="12" t="str">
        <f>IF(N('الملخص الشهري'!H45)&gt;0,'الملخص الشهري'!H45,"")</f>
        <v/>
      </c>
    </row>
    <row r="23" spans="2:9">
      <c r="B23" s="5" t="s">
        <v>47</v>
      </c>
      <c r="C23" s="11">
        <v>13200</v>
      </c>
      <c r="D23" s="12">
        <f>'الملخص الشهري'!I5</f>
        <v>261</v>
      </c>
      <c r="E23" s="13" t="str">
        <f>'الملخص الشهري'!I7</f>
        <v>جاهز</v>
      </c>
      <c r="F23" s="14" t="s">
        <v>48</v>
      </c>
      <c r="G23" s="7">
        <v>8</v>
      </c>
      <c r="H23" s="12" t="str">
        <f>IF(N('الملخص الشهري'!I45)&gt;0,'الملخص الشهري'!I45,"")</f>
        <v/>
      </c>
    </row>
    <row r="24" spans="2:9">
      <c r="B24" s="5" t="s">
        <v>49</v>
      </c>
      <c r="C24" s="11">
        <v>13800</v>
      </c>
      <c r="D24" s="12">
        <f>'الملخص الشهري'!J5</f>
        <v>268</v>
      </c>
      <c r="E24" s="13" t="str">
        <f>'الملخص الشهري'!J7</f>
        <v>جاهز</v>
      </c>
      <c r="F24" s="14" t="s">
        <v>50</v>
      </c>
      <c r="G24" s="7">
        <v>9</v>
      </c>
      <c r="H24" s="12" t="str">
        <f>IF(N('الملخص الشهري'!J45)&gt;0,'الملخص الشهري'!J45,"")</f>
        <v/>
      </c>
    </row>
    <row r="25" spans="2:9">
      <c r="B25" s="5" t="s">
        <v>51</v>
      </c>
      <c r="C25" s="11"/>
      <c r="D25" s="12">
        <f>'الملخص الشهري'!K5</f>
        <v>0</v>
      </c>
      <c r="E25" s="13" t="str">
        <f>'الملخص الشهري'!K7</f>
        <v>لا بيانات</v>
      </c>
      <c r="F25" s="14" t="s">
        <v>52</v>
      </c>
      <c r="G25" s="7">
        <v>10</v>
      </c>
      <c r="H25" s="12" t="str">
        <f>IF(N('الملخص الشهري'!K45)&gt;0,'الملخص الشهري'!K45,"")</f>
        <v/>
      </c>
    </row>
    <row r="26" spans="2:9">
      <c r="B26" s="5" t="s">
        <v>53</v>
      </c>
      <c r="C26" s="11"/>
      <c r="D26" s="12">
        <f>'الملخص الشهري'!L5</f>
        <v>0</v>
      </c>
      <c r="E26" s="13" t="str">
        <f>'الملخص الشهري'!L7</f>
        <v>لا بيانات</v>
      </c>
      <c r="F26" s="14" t="s">
        <v>54</v>
      </c>
      <c r="G26" s="7">
        <v>11</v>
      </c>
      <c r="H26" s="12" t="str">
        <f>IF(N('الملخص الشهري'!L45)&gt;0,'الملخص الشهري'!L45,"")</f>
        <v/>
      </c>
    </row>
    <row r="27" spans="2:9">
      <c r="B27" s="5" t="s">
        <v>55</v>
      </c>
      <c r="C27" s="11"/>
      <c r="D27" s="12">
        <f>'الملخص الشهري'!M5</f>
        <v>0</v>
      </c>
      <c r="E27" s="13" t="str">
        <f>'الملخص الشهري'!M7</f>
        <v>لا بيانات</v>
      </c>
      <c r="F27" s="14" t="s">
        <v>56</v>
      </c>
      <c r="G27" s="7">
        <v>12</v>
      </c>
      <c r="H27" s="12" t="str">
        <f>IF(N('الملخص الشهري'!M45)&gt;0,'الملخص الشهري'!M45,"")</f>
        <v/>
      </c>
    </row>
    <row r="29" spans="2:9" ht="19.5" customHeight="1">
      <c r="B29" s="47" t="s">
        <v>57</v>
      </c>
      <c r="C29" s="47"/>
      <c r="D29" s="47"/>
      <c r="E29" s="47"/>
      <c r="F29" s="47"/>
      <c r="G29" s="47"/>
      <c r="H29" s="47"/>
      <c r="I29" s="47"/>
    </row>
    <row r="30" spans="2:9">
      <c r="B30" s="52" t="str">
        <f>"الشهر: "&amp;INDEX($B$16:$B$27,$D$6)&amp;" 2026"</f>
        <v>الشهر: أيلول 2026</v>
      </c>
      <c r="C30" s="52"/>
      <c r="D30" s="52"/>
      <c r="E30" s="52"/>
      <c r="F30" s="52"/>
      <c r="G30" s="52"/>
      <c r="H30" s="52"/>
      <c r="I30" s="52"/>
    </row>
    <row r="31" spans="2:9" ht="15" customHeight="1">
      <c r="B31" s="49" t="s">
        <v>58</v>
      </c>
      <c r="C31" s="49"/>
      <c r="D31" s="49" t="s">
        <v>59</v>
      </c>
      <c r="E31" s="49"/>
      <c r="F31" s="49" t="s">
        <v>60</v>
      </c>
      <c r="G31" s="49"/>
      <c r="H31" s="49" t="s">
        <v>61</v>
      </c>
      <c r="I31" s="49"/>
    </row>
    <row r="32" spans="2:9" ht="31.5" customHeight="1">
      <c r="B32" s="50">
        <f>IFERROR(INDEX('الملخص الشهري'!$B$11:$M$11,$D$6),"")</f>
        <v>44900.767091304333</v>
      </c>
      <c r="C32" s="50"/>
      <c r="D32" s="50">
        <f>IFERROR(INDEX('الملخص الشهري'!$B$12:$M$12,$D$6),"")</f>
        <v>18699.770434782604</v>
      </c>
      <c r="E32" s="50"/>
      <c r="F32" s="50">
        <f>IFERROR(INDEX('الملخص الشهري'!$B$14:$M$14,$D$6),"")</f>
        <v>7284.6251666666612</v>
      </c>
      <c r="G32" s="50"/>
      <c r="H32" s="51">
        <f>IFERROR(INDEX('الملخص الشهري'!$B$15:$M$15,$D$6),"")</f>
        <v>0.38955693023465449</v>
      </c>
      <c r="I32" s="51"/>
    </row>
    <row r="33" spans="2:9">
      <c r="B33" s="48" t="str">
        <f>IF(ISNUMBER(IFERROR(INDEX('الملخص الشهري'!$B$28:$M$28,$D$6),"")),IF(IFERROR(INDEX('الملخص الشهري'!$B$28:$M$28,$D$6),"")&gt;=0,"▲ ","▼ ")&amp;TEXT(ABS(IFERROR(INDEX('الملخص الشهري'!$B$28:$M$28,$D$6),"")),"0.0%")&amp;" عن الشهر السابق","—")</f>
        <v>▼ 6.3% عن الشهر السابق</v>
      </c>
      <c r="C33" s="48"/>
      <c r="D33" s="48" t="str">
        <f>IF(ISNUMBER(IFERROR(INDEX('الملخص الشهري'!$B$18:$M$18,$D$6),"")),"+ "&amp;TEXT(IFERROR(INDEX('الملخص الشهري'!$B$18:$M$18,$D$6),""),"#,##0")&amp;"$ أصناف بلا سعر شراء","—")</f>
        <v>+ 0$ أصناف بلا سعر شراء</v>
      </c>
      <c r="E33" s="48"/>
      <c r="F33" s="48" t="str">
        <f>IF(ISNUMBER(IFERROR(INDEX('الملخص الشهري'!$B$29:$M$29,$D$6),"")),IF(IFERROR(INDEX('الملخص الشهري'!$B$29:$M$29,$D$6),"")&gt;=0,"▲ ","▼ ")&amp;TEXT(ABS(IFERROR(INDEX('الملخص الشهري'!$B$29:$M$29,$D$6),"")),"#,##0")&amp;"$ عن الشهر السابق","—")</f>
        <v>▼ 1,859$ عن الشهر السابق</v>
      </c>
      <c r="G33" s="48"/>
      <c r="H33" s="48" t="str">
        <f>IF(ISNUMBER(IFERROR(INDEX('الملخص الشهري'!$B$16:$M$16,$D$6),"")),"نسبة الربح على التكلفة: "&amp;TEXT(IFERROR(INDEX('الملخص الشهري'!$B$16:$M$16,$D$6),""),"0.0%"),"—")</f>
        <v>نسبة الربح على التكلفة: 63.8%</v>
      </c>
      <c r="I33" s="48"/>
    </row>
    <row r="35" spans="2:9" ht="19.5" customHeight="1">
      <c r="B35" s="47" t="s">
        <v>62</v>
      </c>
      <c r="C35" s="47"/>
      <c r="D35" s="47"/>
      <c r="E35" s="47"/>
      <c r="F35" s="47"/>
      <c r="G35" s="47"/>
      <c r="H35" s="47"/>
      <c r="I35" s="47"/>
    </row>
    <row r="36" spans="2:9">
      <c r="B36" s="10" t="s">
        <v>63</v>
      </c>
      <c r="C36" s="10" t="s">
        <v>64</v>
      </c>
      <c r="D36" s="10" t="s">
        <v>65</v>
      </c>
      <c r="E36" s="10" t="s">
        <v>66</v>
      </c>
      <c r="F36" s="10" t="s">
        <v>67</v>
      </c>
      <c r="G36" s="10" t="s">
        <v>64</v>
      </c>
      <c r="H36" s="10" t="s">
        <v>68</v>
      </c>
    </row>
    <row r="37" spans="2:9">
      <c r="B37" s="15" t="str">
        <f>'الملخص الشهري'!A47</f>
        <v>مواد جاهزة للبيع</v>
      </c>
      <c r="C37" s="16">
        <f>IFERROR(INDEX('الملخص الشهري'!$B$47:$M$47,$D$6),"")</f>
        <v>9961.3769492753581</v>
      </c>
      <c r="D37" s="17">
        <f>IF(AND(ISNUMBER(C37),N($B$32)&gt;0),C37/$B$32,"")</f>
        <v>0.22185315740862965</v>
      </c>
      <c r="E37" s="16">
        <f>IFERROR(INDEX('الملخص الشهري'!$B$53:$M$53,$D$6),"")</f>
        <v>6503.0826159420294</v>
      </c>
      <c r="F37" s="18" t="s">
        <v>69</v>
      </c>
      <c r="G37" s="16">
        <f>IFERROR(INDEX('الملخص الشهري'!$B$23:$M$23,$D$6),"")</f>
        <v>10157.255391304343</v>
      </c>
      <c r="H37" s="17">
        <f>IFERROR(INDEX('الملخص الشهري'!$B$25:$M$25,$D$6),"")</f>
        <v>0.22621563169844905</v>
      </c>
    </row>
    <row r="38" spans="2:9">
      <c r="B38" s="15" t="str">
        <f>'الملخص الشهري'!A48</f>
        <v>مواد خام</v>
      </c>
      <c r="C38" s="16">
        <f>IFERROR(INDEX('الملخص الشهري'!$B$48:$M$48,$D$6),"")</f>
        <v>34922.590142028981</v>
      </c>
      <c r="D38" s="17">
        <f>IF(AND(ISNUMBER(C38),N($B$32)&gt;0),C38/$B$32,"")</f>
        <v>0.77777268417296663</v>
      </c>
      <c r="E38" s="16">
        <f>IFERROR(INDEX('الملخص الشهري'!$B$54:$M$54,$D$6),"")</f>
        <v>781.54255072463775</v>
      </c>
      <c r="F38" s="18" t="s">
        <v>70</v>
      </c>
      <c r="G38" s="16">
        <f>IFERROR(INDEX('الملخص الشهري'!$B$24:$M$24,$D$6),"")</f>
        <v>34743.511699999988</v>
      </c>
      <c r="H38" s="17">
        <f>IF(ISNUMBER(H37),1-H37,"")</f>
        <v>0.77378436830155095</v>
      </c>
    </row>
    <row r="39" spans="2:9">
      <c r="B39" s="15" t="str">
        <f>'الملخص الشهري'!A49</f>
        <v>الطبخات</v>
      </c>
      <c r="C39" s="16">
        <f>IFERROR(INDEX('الملخص الشهري'!$B$49:$M$49,$D$6),"")</f>
        <v>16.8</v>
      </c>
      <c r="D39" s="17">
        <f>IF(AND(ISNUMBER(C39),N($B$32)&gt;0),C39/$B$32,"")</f>
        <v>3.7415841840380399E-4</v>
      </c>
      <c r="E39" s="16">
        <f>IFERROR(INDEX('الملخص الشهري'!$B$55:$M$55,$D$6),"")</f>
        <v>0</v>
      </c>
    </row>
    <row r="40" spans="2:9" ht="15" customHeight="1">
      <c r="B40" s="15" t="str">
        <f>'الملخص الشهري'!A50</f>
        <v>All</v>
      </c>
      <c r="C40" s="16">
        <f>IFERROR(INDEX('الملخص الشهري'!$B$50:$M$50,$D$6),"")</f>
        <v>0</v>
      </c>
      <c r="D40" s="17">
        <f>IF(AND(ISNUMBER(C40),N($B$32)&gt;0),C40/$B$32,"")</f>
        <v>0</v>
      </c>
      <c r="E40" s="16">
        <f>IFERROR(INDEX('الملخص الشهري'!$B$56:$M$56,$D$6),"")</f>
        <v>0</v>
      </c>
      <c r="F40" s="46" t="s">
        <v>71</v>
      </c>
      <c r="G40" s="46"/>
      <c r="H40" s="46"/>
      <c r="I40" s="46"/>
    </row>
    <row r="41" spans="2:9">
      <c r="B41" s="15" t="str">
        <f>'الملخص الشهري'!A51</f>
        <v>أخرى / غير مدرجة</v>
      </c>
      <c r="C41" s="16">
        <f>IFERROR(INDEX('الملخص الشهري'!$B$51:$M$51,$D$6),"")</f>
        <v>-7.2759576141834259E-12</v>
      </c>
      <c r="D41" s="17">
        <f>IF(AND(ISNUMBER(C41),N($B$32)&gt;0),C41/$B$32,"")</f>
        <v>-1.6204528531523725E-16</v>
      </c>
      <c r="E41" s="16">
        <f>IFERROR(INDEX('الملخص الشهري'!$B$57:$M$57,$D$6),"")</f>
        <v>-5.4569682106375694E-12</v>
      </c>
      <c r="F41" s="46"/>
      <c r="G41" s="46"/>
      <c r="H41" s="46"/>
      <c r="I41" s="46"/>
    </row>
    <row r="43" spans="2:9" ht="19.5" customHeight="1">
      <c r="B43" s="47" t="s">
        <v>72</v>
      </c>
      <c r="C43" s="47"/>
      <c r="D43" s="47"/>
      <c r="E43" s="47"/>
      <c r="F43" s="47"/>
      <c r="G43" s="47"/>
      <c r="H43" s="47"/>
      <c r="I43" s="47"/>
    </row>
    <row r="44" spans="2:9">
      <c r="B44" s="10" t="s">
        <v>73</v>
      </c>
      <c r="C44" s="10" t="s">
        <v>74</v>
      </c>
      <c r="F44" s="10" t="s">
        <v>75</v>
      </c>
      <c r="G44" s="10" t="s">
        <v>76</v>
      </c>
    </row>
    <row r="45" spans="2:9">
      <c r="B45" s="18" t="s">
        <v>77</v>
      </c>
      <c r="C45" s="16">
        <f>IFERROR(INDEX('الملخص الشهري'!$B$27:$M$27,$D$6),"")</f>
        <v>-3043.2540693017363</v>
      </c>
      <c r="F45" s="18" t="s">
        <v>78</v>
      </c>
      <c r="G45" s="19">
        <f>IFERROR(INDEX('الملخص الشهري'!$B$37:$M$37,$D$6),"")</f>
        <v>0</v>
      </c>
    </row>
    <row r="46" spans="2:9">
      <c r="B46" s="18" t="s">
        <v>79</v>
      </c>
      <c r="C46" s="17">
        <f>IFERROR(INDEX('الملخص الشهري'!$B$28:$M$28,$D$6),"")</f>
        <v>-6.3475152805961804E-2</v>
      </c>
      <c r="F46" s="18" t="s">
        <v>80</v>
      </c>
      <c r="G46" s="19">
        <f>IFERROR(INDEX('الملخص الشهري'!$B$38:$M$38,$D$6),"")</f>
        <v>0</v>
      </c>
    </row>
    <row r="47" spans="2:9">
      <c r="B47" s="18" t="s">
        <v>81</v>
      </c>
      <c r="C47" s="16">
        <f>IFERROR(INDEX('الملخص الشهري'!$B$29:$M$29,$D$6),"")</f>
        <v>-1858.9919393939526</v>
      </c>
      <c r="F47" s="18" t="s">
        <v>82</v>
      </c>
      <c r="G47" s="19">
        <f>IFERROR(INDEX('الملخص الشهري'!$B$39:$M$39,$D$6),"")</f>
        <v>0</v>
      </c>
    </row>
    <row r="48" spans="2:9">
      <c r="B48" s="18" t="s">
        <v>83</v>
      </c>
      <c r="C48" s="19">
        <f>IFERROR(INDEX('الملخص الشهري'!$B$30:$M$30,$D$6),"")</f>
        <v>8</v>
      </c>
      <c r="F48" s="18" t="s">
        <v>84</v>
      </c>
      <c r="G48" s="19">
        <f>IFERROR(INDEX('الملخص الشهري'!$B$40:$M$40,$D$6),"")</f>
        <v>0</v>
      </c>
    </row>
    <row r="49" spans="2:12">
      <c r="B49" s="18" t="s">
        <v>85</v>
      </c>
      <c r="C49" s="19">
        <f>IFERROR(INDEX('الملخص الشهري'!$B$31:$M$31,$D$6),"")</f>
        <v>1</v>
      </c>
      <c r="F49" s="18" t="s">
        <v>86</v>
      </c>
      <c r="G49" s="19">
        <f>IFERROR(INDEX('الملخص الشهري'!$B$41:$M$41,$D$6),"")</f>
        <v>0</v>
      </c>
    </row>
    <row r="50" spans="2:12">
      <c r="B50" s="18" t="s">
        <v>87</v>
      </c>
      <c r="C50" s="19">
        <f>IFERROR(INDEX('الملخص الشهري'!$B$32:$M$32,$D$6),"")</f>
        <v>19</v>
      </c>
      <c r="F50" s="18" t="s">
        <v>88</v>
      </c>
      <c r="G50" s="19">
        <f>IFERROR(INDEX('الملخص الشهري'!$B$42:$M$42,$D$6),"")</f>
        <v>0</v>
      </c>
    </row>
    <row r="51" spans="2:12">
      <c r="B51" s="18" t="s">
        <v>89</v>
      </c>
      <c r="C51" s="19">
        <f>IFERROR(INDEX('الملخص الشهري'!$B$33:$M$33,$D$6),"")</f>
        <v>68</v>
      </c>
      <c r="F51" s="18" t="s">
        <v>90</v>
      </c>
      <c r="G51" s="19">
        <f>IFERROR(INDEX('الملخص الشهري'!$B$43:$M$43,$D$6),"")</f>
        <v>0</v>
      </c>
    </row>
    <row r="52" spans="2:12">
      <c r="B52" s="18" t="s">
        <v>91</v>
      </c>
      <c r="C52" s="19">
        <f>IFERROR(INDEX('الملخص الشهري'!$B$34:$M$34,$D$6),"")</f>
        <v>0</v>
      </c>
      <c r="F52" s="18" t="s">
        <v>92</v>
      </c>
      <c r="G52" s="19">
        <f>IFERROR(INDEX('الملخص الشهري'!$B$44:$M$44,$D$6),"")</f>
        <v>0</v>
      </c>
    </row>
    <row r="53" spans="2:12">
      <c r="B53" s="18" t="s">
        <v>93</v>
      </c>
      <c r="C53" s="19">
        <f>IFERROR(INDEX('الملخص الشهري'!$B$35:$M$35,$D$6),"")</f>
        <v>1</v>
      </c>
      <c r="F53" s="5" t="s">
        <v>94</v>
      </c>
      <c r="G53" s="20">
        <f>IFERROR(INDEX('الملخص الشهري'!$B$45:$M$45,$D$6),"")</f>
        <v>0</v>
      </c>
    </row>
    <row r="55" spans="2:12" ht="19.5" customHeight="1">
      <c r="B55" s="47" t="s">
        <v>95</v>
      </c>
      <c r="C55" s="47"/>
      <c r="D55" s="47"/>
      <c r="E55" s="47"/>
      <c r="F55" s="47"/>
      <c r="G55" s="47"/>
      <c r="H55" s="47"/>
      <c r="I55" s="47"/>
    </row>
    <row r="56" spans="2:12">
      <c r="B56" s="10" t="s">
        <v>96</v>
      </c>
      <c r="C56" s="10" t="s">
        <v>97</v>
      </c>
      <c r="D56" s="10" t="s">
        <v>64</v>
      </c>
      <c r="E56" s="10" t="s">
        <v>65</v>
      </c>
      <c r="F56" s="10" t="s">
        <v>96</v>
      </c>
      <c r="G56" s="10" t="s">
        <v>97</v>
      </c>
      <c r="H56" s="10" t="s">
        <v>66</v>
      </c>
      <c r="I56" s="10" t="s">
        <v>98</v>
      </c>
    </row>
    <row r="57" spans="2:12">
      <c r="B57" s="18" t="str">
        <f t="shared" ref="B57:B66" ca="1" si="0">IF(K57="","",INDEX(INDIRECT("'"&amp;$K$6&amp;"'!$A$2:$A$501"),K57))</f>
        <v>عطر-ازهار-الربيع spring - 318643</v>
      </c>
      <c r="C57" s="21">
        <f t="shared" ref="C57:C66" ca="1" si="1">IF(K57="","",INDEX(INDIRECT("'"&amp;$K$6&amp;"'!$P$2:$P$501"),K57))</f>
        <v>21.23</v>
      </c>
      <c r="D57" s="22">
        <f t="shared" ref="D57:D66" ca="1" si="2">IF(K57="","",INDEX(INDIRECT("'"&amp;$K$6&amp;"'!$Q$2:$Q$501"),K57))</f>
        <v>6634.375</v>
      </c>
      <c r="E57" s="17">
        <f t="shared" ref="E57:E66" ca="1" si="3">IF(K57="","",IF(N($B$32)&gt;0,D57/$B$32,0))</f>
        <v>0.14775638435105579</v>
      </c>
      <c r="F57" s="18" t="str">
        <f t="shared" ref="F57:F66" ca="1" si="4">IF(L57="","",INDEX(INDIRECT("'"&amp;$K$6&amp;"'!$A$2:$A$501"),L57))</f>
        <v xml:space="preserve">معطر super / فرط </v>
      </c>
      <c r="G57" s="21">
        <f t="shared" ref="G57:G66" ca="1" si="5">IF(L57="","",INDEX(INDIRECT("'"&amp;$K$6&amp;"'!$P$2:$P$501"),L57))</f>
        <v>2224.5</v>
      </c>
      <c r="H57" s="22">
        <f t="shared" ref="H57:H66" ca="1" si="6">IF(L57="","",INDEX(INDIRECT("'"&amp;$K$6&amp;"'!$T$2:$T$501"),L57))</f>
        <v>773.73913043478274</v>
      </c>
      <c r="I57" s="17">
        <f t="shared" ref="I57:I66" ca="1" si="7">IF(L57="","",IF(INDEX(INDIRECT("'"&amp;$K$6&amp;"'!$R$2:$R$501"),L57)&gt;0,H57/INDEX(INDIRECT("'"&amp;$K$6&amp;"'!$R$2:$R$501"),L57),0))</f>
        <v>0.60000000000000009</v>
      </c>
      <c r="K57" s="3">
        <f ca="1">IF($K$8=1,IFERROR(IF(LARGE(INDIRECT("'"&amp;$K$6&amp;"'!$AK$2:$AK$501"),1)&gt;0.00001,MATCH(LARGE(INDIRECT("'"&amp;$K$6&amp;"'!$AK$2:$AK$501"),1),INDIRECT("'"&amp;$K$6&amp;"'!$AK$2:$AK$501"),0),""),""),"")</f>
        <v>110</v>
      </c>
      <c r="L57" s="3">
        <f ca="1">IF($K$8=1,IFERROR(IF(LARGE(INDIRECT("'"&amp;$K$6&amp;"'!$AL$2:$AL$501"),1)&gt;0.00001,MATCH(LARGE(INDIRECT("'"&amp;$K$6&amp;"'!$AL$2:$AL$501"),1),INDIRECT("'"&amp;$K$6&amp;"'!$AL$2:$AL$501"),0),""),""),"")</f>
        <v>39</v>
      </c>
    </row>
    <row r="58" spans="2:12">
      <c r="B58" s="18" t="str">
        <f t="shared" ca="1" si="0"/>
        <v xml:space="preserve">عطر-سلطان </v>
      </c>
      <c r="C58" s="21">
        <f t="shared" ca="1" si="1"/>
        <v>3.54</v>
      </c>
      <c r="D58" s="22">
        <f t="shared" ca="1" si="2"/>
        <v>3186</v>
      </c>
      <c r="E58" s="17">
        <f t="shared" ca="1" si="3"/>
        <v>7.0956471490149969E-2</v>
      </c>
      <c r="F58" s="18" t="str">
        <f t="shared" ca="1" si="4"/>
        <v>سائل جلي super / فرط 2604</v>
      </c>
      <c r="G58" s="21">
        <f t="shared" ca="1" si="5"/>
        <v>3349.33</v>
      </c>
      <c r="H58" s="22">
        <f t="shared" ca="1" si="6"/>
        <v>732.96931884057972</v>
      </c>
      <c r="I58" s="17">
        <f t="shared" ca="1" si="7"/>
        <v>0.5033333333333333</v>
      </c>
      <c r="K58" s="3">
        <f ca="1">IF($K$8=1,IFERROR(IF(LARGE(INDIRECT("'"&amp;$K$6&amp;"'!$AK$2:$AK$501"),2)&gt;0.00001,MATCH(LARGE(INDIRECT("'"&amp;$K$6&amp;"'!$AK$2:$AK$501"),2),INDIRECT("'"&amp;$K$6&amp;"'!$AK$2:$AK$501"),0),""),""),"")</f>
        <v>103</v>
      </c>
      <c r="L58" s="3">
        <f ca="1">IF($K$8=1,IFERROR(IF(LARGE(INDIRECT("'"&amp;$K$6&amp;"'!$AL$2:$AL$501"),2)&gt;0.00001,MATCH(LARGE(INDIRECT("'"&amp;$K$6&amp;"'!$AL$2:$AL$501"),2),INDIRECT("'"&amp;$K$6&amp;"'!$AL$2:$AL$501"),0),""),""),"")</f>
        <v>206</v>
      </c>
    </row>
    <row r="59" spans="2:12">
      <c r="B59" s="18" t="str">
        <f t="shared" ca="1" si="0"/>
        <v>تكسبون</v>
      </c>
      <c r="C59" s="21">
        <f t="shared" ca="1" si="1"/>
        <v>1259</v>
      </c>
      <c r="D59" s="22">
        <f t="shared" ca="1" si="2"/>
        <v>3147.5</v>
      </c>
      <c r="E59" s="17">
        <f t="shared" ca="1" si="3"/>
        <v>7.009902511464125E-2</v>
      </c>
      <c r="F59" s="18" t="str">
        <f t="shared" ca="1" si="4"/>
        <v>سائل جلي super / فرط 2603</v>
      </c>
      <c r="G59" s="21">
        <f t="shared" ca="1" si="5"/>
        <v>2109.61</v>
      </c>
      <c r="H59" s="22">
        <f t="shared" ca="1" si="6"/>
        <v>458.6108695652174</v>
      </c>
      <c r="I59" s="17">
        <f t="shared" ca="1" si="7"/>
        <v>0.42857142857142855</v>
      </c>
      <c r="K59" s="3">
        <f ca="1">IF($K$8=1,IFERROR(IF(LARGE(INDIRECT("'"&amp;$K$6&amp;"'!$AK$2:$AK$501"),3)&gt;0.00001,MATCH(LARGE(INDIRECT("'"&amp;$K$6&amp;"'!$AK$2:$AK$501"),3),INDIRECT("'"&amp;$K$6&amp;"'!$AK$2:$AK$501"),0),""),""),"")</f>
        <v>238</v>
      </c>
      <c r="L59" s="3">
        <f ca="1">IF($K$8=1,IFERROR(IF(LARGE(INDIRECT("'"&amp;$K$6&amp;"'!$AL$2:$AL$501"),3)&gt;0.00001,MATCH(LARGE(INDIRECT("'"&amp;$K$6&amp;"'!$AL$2:$AL$501"),3),INDIRECT("'"&amp;$K$6&amp;"'!$AL$2:$AL$501"),0),""),""),"")</f>
        <v>207</v>
      </c>
    </row>
    <row r="60" spans="2:12">
      <c r="B60" s="18" t="str">
        <f t="shared" ca="1" si="0"/>
        <v>عطر-ببوري ultimate-mixture - 485797</v>
      </c>
      <c r="C60" s="21">
        <f t="shared" ca="1" si="1"/>
        <v>19.82</v>
      </c>
      <c r="D60" s="22">
        <f t="shared" ca="1" si="2"/>
        <v>2973</v>
      </c>
      <c r="E60" s="17">
        <f t="shared" ca="1" si="3"/>
        <v>6.6212677256816024E-2</v>
      </c>
      <c r="F60" s="18" t="str">
        <f t="shared" ca="1" si="4"/>
        <v>سائل جلي ريفا 15% super / فرط</v>
      </c>
      <c r="G60" s="21">
        <f t="shared" ca="1" si="5"/>
        <v>1121</v>
      </c>
      <c r="H60" s="22">
        <f t="shared" ca="1" si="6"/>
        <v>426.46739130434798</v>
      </c>
      <c r="I60" s="17">
        <f t="shared" ca="1" si="7"/>
        <v>0.40384615384615397</v>
      </c>
      <c r="K60" s="3">
        <f ca="1">IF($K$8=1,IFERROR(IF(LARGE(INDIRECT("'"&amp;$K$6&amp;"'!$AK$2:$AK$501"),4)&gt;0.00001,MATCH(LARGE(INDIRECT("'"&amp;$K$6&amp;"'!$AK$2:$AK$501"),4),INDIRECT("'"&amp;$K$6&amp;"'!$AK$2:$AK$501"),0),""),""),"")</f>
        <v>109</v>
      </c>
      <c r="L60" s="3">
        <f ca="1">IF($K$8=1,IFERROR(IF(LARGE(INDIRECT("'"&amp;$K$6&amp;"'!$AL$2:$AL$501"),4)&gt;0.00001,MATCH(LARGE(INDIRECT("'"&amp;$K$6&amp;"'!$AL$2:$AL$501"),4),INDIRECT("'"&amp;$K$6&amp;"'!$AL$2:$AL$501"),0),""),""),"")</f>
        <v>200</v>
      </c>
    </row>
    <row r="61" spans="2:12">
      <c r="B61" s="18" t="str">
        <f t="shared" ca="1" si="0"/>
        <v>عطر Blue APC - 0001198620</v>
      </c>
      <c r="C61" s="21">
        <f t="shared" ca="1" si="1"/>
        <v>105</v>
      </c>
      <c r="D61" s="22">
        <f t="shared" ca="1" si="2"/>
        <v>2520</v>
      </c>
      <c r="E61" s="17">
        <f t="shared" ca="1" si="3"/>
        <v>5.61237627605706E-2</v>
      </c>
      <c r="F61" s="18" t="str">
        <f t="shared" ca="1" si="4"/>
        <v>اسيد - روح الملح - حمض كلور الماء</v>
      </c>
      <c r="G61" s="21">
        <f t="shared" ca="1" si="5"/>
        <v>1448.6</v>
      </c>
      <c r="H61" s="22">
        <f t="shared" ca="1" si="6"/>
        <v>420.09399999999999</v>
      </c>
      <c r="I61" s="17">
        <f t="shared" ca="1" si="7"/>
        <v>0.58000000000000007</v>
      </c>
      <c r="K61" s="3">
        <f ca="1">IF($K$8=1,IFERROR(IF(LARGE(INDIRECT("'"&amp;$K$6&amp;"'!$AK$2:$AK$501"),5)&gt;0.00001,MATCH(LARGE(INDIRECT("'"&amp;$K$6&amp;"'!$AK$2:$AK$501"),5),INDIRECT("'"&amp;$K$6&amp;"'!$AK$2:$AK$501"),0),""),""),"")</f>
        <v>131</v>
      </c>
      <c r="L61" s="3">
        <f ca="1">IF($K$8=1,IFERROR(IF(LARGE(INDIRECT("'"&amp;$K$6&amp;"'!$AL$2:$AL$501"),5)&gt;0.00001,MATCH(LARGE(INDIRECT("'"&amp;$K$6&amp;"'!$AL$2:$AL$501"),5),INDIRECT("'"&amp;$K$6&amp;"'!$AL$2:$AL$501"),0),""),""),"")</f>
        <v>265</v>
      </c>
    </row>
    <row r="62" spans="2:12">
      <c r="B62" s="18" t="str">
        <f t="shared" ca="1" si="0"/>
        <v>عطر billionair-000250</v>
      </c>
      <c r="C62" s="21">
        <f t="shared" ca="1" si="1"/>
        <v>4</v>
      </c>
      <c r="D62" s="22">
        <f t="shared" ca="1" si="2"/>
        <v>1800</v>
      </c>
      <c r="E62" s="17">
        <f t="shared" ca="1" si="3"/>
        <v>4.0088401971836142E-2</v>
      </c>
      <c r="F62" s="18" t="str">
        <f t="shared" ca="1" si="4"/>
        <v>عملاق ريفا 450 مم</v>
      </c>
      <c r="G62" s="21">
        <f t="shared" ca="1" si="5"/>
        <v>99</v>
      </c>
      <c r="H62" s="22">
        <f t="shared" ca="1" si="6"/>
        <v>403.91999999999996</v>
      </c>
      <c r="I62" s="17">
        <f t="shared" ca="1" si="7"/>
        <v>0.40476190476190471</v>
      </c>
      <c r="K62" s="3">
        <f ca="1">IF($K$8=1,IFERROR(IF(LARGE(INDIRECT("'"&amp;$K$6&amp;"'!$AK$2:$AK$501"),6)&gt;0.00001,MATCH(LARGE(INDIRECT("'"&amp;$K$6&amp;"'!$AK$2:$AK$501"),6),INDIRECT("'"&amp;$K$6&amp;"'!$AK$2:$AK$501"),0),""),""),"")</f>
        <v>132</v>
      </c>
      <c r="L62" s="3">
        <f ca="1">IF($K$8=1,IFERROR(IF(LARGE(INDIRECT("'"&amp;$K$6&amp;"'!$AL$2:$AL$501"),6)&gt;0.00001,MATCH(LARGE(INDIRECT("'"&amp;$K$6&amp;"'!$AL$2:$AL$501"),6),INDIRECT("'"&amp;$K$6&amp;"'!$AL$2:$AL$501"),0),""),""),"")</f>
        <v>94</v>
      </c>
    </row>
    <row r="63" spans="2:12">
      <c r="B63" s="18" t="str">
        <f t="shared" ca="1" si="0"/>
        <v>عطر kavien-clein-eforia-000020</v>
      </c>
      <c r="C63" s="21">
        <f t="shared" ca="1" si="1"/>
        <v>4</v>
      </c>
      <c r="D63" s="22">
        <f t="shared" ca="1" si="2"/>
        <v>1700</v>
      </c>
      <c r="E63" s="17">
        <f t="shared" ca="1" si="3"/>
        <v>3.7861268528956354E-2</v>
      </c>
      <c r="F63" s="18" t="str">
        <f t="shared" ca="1" si="4"/>
        <v>مماسح مكتب َ</v>
      </c>
      <c r="G63" s="21">
        <f t="shared" ca="1" si="5"/>
        <v>41.91</v>
      </c>
      <c r="H63" s="22">
        <f t="shared" ca="1" si="6"/>
        <v>340.13913043478254</v>
      </c>
      <c r="I63" s="17">
        <f t="shared" ca="1" si="7"/>
        <v>0.50909090909090904</v>
      </c>
      <c r="K63" s="3">
        <f ca="1">IF($K$8=1,IFERROR(IF(LARGE(INDIRECT("'"&amp;$K$6&amp;"'!$AK$2:$AK$501"),7)&gt;0.00001,MATCH(LARGE(INDIRECT("'"&amp;$K$6&amp;"'!$AK$2:$AK$501"),7),INDIRECT("'"&amp;$K$6&amp;"'!$AK$2:$AK$501"),0),""),""),"")</f>
        <v>129</v>
      </c>
      <c r="L63" s="3">
        <f ca="1">IF($K$8=1,IFERROR(IF(LARGE(INDIRECT("'"&amp;$K$6&amp;"'!$AL$2:$AL$501"),7)&gt;0.00001,MATCH(LARGE(INDIRECT("'"&amp;$K$6&amp;"'!$AL$2:$AL$501"),7),INDIRECT("'"&amp;$K$6&amp;"'!$AL$2:$AL$501"),0),""),""),"")</f>
        <v>6</v>
      </c>
    </row>
    <row r="64" spans="2:12">
      <c r="B64" s="18" t="str">
        <f t="shared" ca="1" si="0"/>
        <v>زفتة</v>
      </c>
      <c r="C64" s="21">
        <f t="shared" ca="1" si="1"/>
        <v>486.7</v>
      </c>
      <c r="D64" s="22">
        <f t="shared" ca="1" si="2"/>
        <v>1460.1</v>
      </c>
      <c r="E64" s="17">
        <f t="shared" ca="1" si="3"/>
        <v>3.2518375399487751E-2</v>
      </c>
      <c r="F64" s="18" t="str">
        <f t="shared" ca="1" si="4"/>
        <v xml:space="preserve">صابون super / فرط </v>
      </c>
      <c r="G64" s="21">
        <f t="shared" ca="1" si="5"/>
        <v>1338</v>
      </c>
      <c r="H64" s="22">
        <f t="shared" ca="1" si="6"/>
        <v>339.34782608695662</v>
      </c>
      <c r="I64" s="17">
        <f t="shared" ca="1" si="7"/>
        <v>0.35000000000000009</v>
      </c>
      <c r="K64" s="3">
        <f ca="1">IF($K$8=1,IFERROR(IF(LARGE(INDIRECT("'"&amp;$K$6&amp;"'!$AK$2:$AK$501"),8)&gt;0.00001,MATCH(LARGE(INDIRECT("'"&amp;$K$6&amp;"'!$AK$2:$AK$501"),8),INDIRECT("'"&amp;$K$6&amp;"'!$AK$2:$AK$501"),0),""),""),"")</f>
        <v>218</v>
      </c>
      <c r="L64" s="3">
        <f ca="1">IF($K$8=1,IFERROR(IF(LARGE(INDIRECT("'"&amp;$K$6&amp;"'!$AL$2:$AL$501"),8)&gt;0.00001,MATCH(LARGE(INDIRECT("'"&amp;$K$6&amp;"'!$AL$2:$AL$501"),8),INDIRECT("'"&amp;$K$6&amp;"'!$AL$2:$AL$501"),0),""),""),"")</f>
        <v>156</v>
      </c>
    </row>
    <row r="65" spans="2:12">
      <c r="B65" s="18" t="str">
        <f t="shared" ca="1" si="0"/>
        <v>عطر magic sprel - 6168581</v>
      </c>
      <c r="C65" s="21">
        <f t="shared" ca="1" si="1"/>
        <v>50</v>
      </c>
      <c r="D65" s="22">
        <f t="shared" ca="1" si="2"/>
        <v>1100</v>
      </c>
      <c r="E65" s="17">
        <f t="shared" ca="1" si="3"/>
        <v>2.4498467871677643E-2</v>
      </c>
      <c r="F65" s="18" t="str">
        <f t="shared" ca="1" si="4"/>
        <v>سائل جلي super / عبوة 3 لتر 2602</v>
      </c>
      <c r="G65" s="21">
        <f t="shared" ca="1" si="5"/>
        <v>521</v>
      </c>
      <c r="H65" s="22">
        <f t="shared" ca="1" si="6"/>
        <v>317.13043478260863</v>
      </c>
      <c r="I65" s="17">
        <f t="shared" ca="1" si="7"/>
        <v>0.31111111111111106</v>
      </c>
      <c r="K65" s="3">
        <f ca="1">IF($K$8=1,IFERROR(IF(LARGE(INDIRECT("'"&amp;$K$6&amp;"'!$AK$2:$AK$501"),9)&gt;0.00001,MATCH(LARGE(INDIRECT("'"&amp;$K$6&amp;"'!$AK$2:$AK$501"),9),INDIRECT("'"&amp;$K$6&amp;"'!$AK$2:$AK$501"),0),""),""),"")</f>
        <v>128</v>
      </c>
      <c r="L65" s="3">
        <f ca="1">IF($K$8=1,IFERROR(IF(LARGE(INDIRECT("'"&amp;$K$6&amp;"'!$AL$2:$AL$501"),9)&gt;0.00001,MATCH(LARGE(INDIRECT("'"&amp;$K$6&amp;"'!$AL$2:$AL$501"),9),INDIRECT("'"&amp;$K$6&amp;"'!$AL$2:$AL$501"),0),""),""),"")</f>
        <v>212</v>
      </c>
    </row>
    <row r="66" spans="2:12">
      <c r="B66" s="18" t="str">
        <f t="shared" ca="1" si="0"/>
        <v xml:space="preserve">زفتة قديمة </v>
      </c>
      <c r="C66" s="21">
        <f t="shared" ca="1" si="1"/>
        <v>305</v>
      </c>
      <c r="D66" s="22">
        <f t="shared" ca="1" si="2"/>
        <v>915</v>
      </c>
      <c r="E66" s="17">
        <f t="shared" ca="1" si="3"/>
        <v>2.037827100235004E-2</v>
      </c>
      <c r="F66" s="18" t="str">
        <f t="shared" ca="1" si="4"/>
        <v xml:space="preserve">قاشط المينيوم - ساندي / فرط </v>
      </c>
      <c r="G66" s="21">
        <f t="shared" ca="1" si="5"/>
        <v>749.3</v>
      </c>
      <c r="H66" s="22">
        <f t="shared" ca="1" si="6"/>
        <v>314.92318840579708</v>
      </c>
      <c r="I66" s="17">
        <f t="shared" ca="1" si="7"/>
        <v>0.44615384615384618</v>
      </c>
      <c r="K66" s="3">
        <f ca="1">IF($K$8=1,IFERROR(IF(LARGE(INDIRECT("'"&amp;$K$6&amp;"'!$AK$2:$AK$501"),10)&gt;0.00001,MATCH(LARGE(INDIRECT("'"&amp;$K$6&amp;"'!$AK$2:$AK$501"),10),INDIRECT("'"&amp;$K$6&amp;"'!$AK$2:$AK$501"),0),""),""),"")</f>
        <v>217</v>
      </c>
      <c r="L66" s="3">
        <f ca="1">IF($K$8=1,IFERROR(IF(LARGE(INDIRECT("'"&amp;$K$6&amp;"'!$AL$2:$AL$501"),10)&gt;0.00001,MATCH(LARGE(INDIRECT("'"&amp;$K$6&amp;"'!$AL$2:$AL$501"),10),INDIRECT("'"&amp;$K$6&amp;"'!$AL$2:$AL$501"),0),""),""),"")</f>
        <v>81</v>
      </c>
    </row>
    <row r="69" spans="2:12" ht="19.5" customHeight="1">
      <c r="B69" s="47" t="s">
        <v>99</v>
      </c>
      <c r="C69" s="47"/>
      <c r="D69" s="47"/>
      <c r="E69" s="47"/>
      <c r="F69" s="47"/>
      <c r="G69" s="47"/>
      <c r="H69" s="47"/>
      <c r="I69" s="47"/>
    </row>
  </sheetData>
  <mergeCells count="32">
    <mergeCell ref="B1:I1"/>
    <mergeCell ref="B2:I2"/>
    <mergeCell ref="B3:I3"/>
    <mergeCell ref="B4:I4"/>
    <mergeCell ref="B5:I5"/>
    <mergeCell ref="E6:I6"/>
    <mergeCell ref="E7:I7"/>
    <mergeCell ref="E8:I8"/>
    <mergeCell ref="E9:I9"/>
    <mergeCell ref="E10:I10"/>
    <mergeCell ref="E11:I11"/>
    <mergeCell ref="E12:I12"/>
    <mergeCell ref="B14:I14"/>
    <mergeCell ref="B29:I29"/>
    <mergeCell ref="B30:I30"/>
    <mergeCell ref="B31:C31"/>
    <mergeCell ref="D31:E31"/>
    <mergeCell ref="F31:G31"/>
    <mergeCell ref="H31:I31"/>
    <mergeCell ref="B32:C32"/>
    <mergeCell ref="D32:E32"/>
    <mergeCell ref="F32:G32"/>
    <mergeCell ref="H32:I32"/>
    <mergeCell ref="F40:I41"/>
    <mergeCell ref="B43:I43"/>
    <mergeCell ref="B55:I55"/>
    <mergeCell ref="B69:I69"/>
    <mergeCell ref="B33:C33"/>
    <mergeCell ref="D33:E33"/>
    <mergeCell ref="F33:G33"/>
    <mergeCell ref="H33:I33"/>
    <mergeCell ref="B35:I35"/>
  </mergeCells>
  <conditionalFormatting sqref="B3:B4">
    <cfRule type="expression" dxfId="75" priority="2">
      <formula>LEFT(B3,1)="⚠"</formula>
    </cfRule>
    <cfRule type="expression" dxfId="74" priority="3">
      <formula>LEFT(B3,1)="✓"</formula>
    </cfRule>
  </conditionalFormatting>
  <conditionalFormatting sqref="E16:E27">
    <cfRule type="expression" dxfId="73" priority="6">
      <formula>E16="جاهز"</formula>
    </cfRule>
    <cfRule type="expression" dxfId="72" priority="7">
      <formula>OR(E16="أدخل سعر الصرف",E16="تجاوز السعة")</formula>
    </cfRule>
  </conditionalFormatting>
  <conditionalFormatting sqref="G45:G53">
    <cfRule type="cellIs" dxfId="71" priority="9" operator="greaterThan">
      <formula>0</formula>
    </cfRule>
  </conditionalFormatting>
  <conditionalFormatting sqref="H16:H27">
    <cfRule type="expression" dxfId="70" priority="8">
      <formula>N(H16)&gt;0</formula>
    </cfRule>
  </conditionalFormatting>
  <dataValidations count="3">
    <dataValidation type="list" sqref="C6" xr:uid="{00000000-0002-0000-0000-000000000000}">
      <formula1>"آخر شهر متوفر,كانون الثاني,شباط,آذار,نيسان,أيار,حزيران,تموز,آب,أيلول,تشرين الأول,تشرين الثاني,كانون الأول"</formula1>
      <formula2>0</formula2>
    </dataValidation>
    <dataValidation type="list" sqref="C7" xr:uid="{00000000-0002-0000-0000-000001000000}">
      <formula1>"سعر الجملة,القطاعي,جملة الجملة"</formula1>
      <formula2>0</formula2>
    </dataValidation>
    <dataValidation type="decimal" operator="greaterThan" allowBlank="1" errorTitle="سعر الصرف" error="أدخل رقمًا أكبر من الصفر (ليرة لكل 1 دولار)." sqref="C16:C27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B1:B40"/>
  <sheetViews>
    <sheetView showGridLines="0" rightToLeft="1" zoomScaleNormal="100" workbookViewId="0"/>
  </sheetViews>
  <sheetFormatPr defaultColWidth="8.7109375" defaultRowHeight="12.75"/>
  <cols>
    <col min="1" max="1" width="3" customWidth="1"/>
    <col min="2" max="2" width="120" customWidth="1"/>
  </cols>
  <sheetData>
    <row r="1" spans="2:2" ht="30" customHeight="1">
      <c r="B1" s="4" t="s">
        <v>100</v>
      </c>
    </row>
    <row r="3" spans="2:2" ht="21.75" customHeight="1">
      <c r="B3" s="2" t="s">
        <v>101</v>
      </c>
    </row>
    <row r="4" spans="2:2" ht="18" customHeight="1">
      <c r="B4" s="1" t="s">
        <v>102</v>
      </c>
    </row>
    <row r="5" spans="2:2" ht="18" customHeight="1">
      <c r="B5" s="1" t="s">
        <v>103</v>
      </c>
    </row>
    <row r="6" spans="2:2" ht="18" customHeight="1">
      <c r="B6" s="1" t="s">
        <v>104</v>
      </c>
    </row>
    <row r="7" spans="2:2" ht="30" customHeight="1">
      <c r="B7" s="1" t="s">
        <v>105</v>
      </c>
    </row>
    <row r="8" spans="2:2" ht="18" customHeight="1">
      <c r="B8" s="1" t="s">
        <v>106</v>
      </c>
    </row>
    <row r="9" spans="2:2" ht="21.75" customHeight="1">
      <c r="B9" s="2" t="s">
        <v>107</v>
      </c>
    </row>
    <row r="10" spans="2:2" ht="30" customHeight="1">
      <c r="B10" s="1" t="s">
        <v>108</v>
      </c>
    </row>
    <row r="11" spans="2:2" ht="18" customHeight="1">
      <c r="B11" s="1" t="s">
        <v>109</v>
      </c>
    </row>
    <row r="12" spans="2:2" ht="30" customHeight="1">
      <c r="B12" s="1" t="s">
        <v>110</v>
      </c>
    </row>
    <row r="13" spans="2:2" ht="18" customHeight="1">
      <c r="B13" s="1" t="s">
        <v>111</v>
      </c>
    </row>
    <row r="14" spans="2:2" ht="21.75" customHeight="1">
      <c r="B14" s="2" t="s">
        <v>112</v>
      </c>
    </row>
    <row r="15" spans="2:2" ht="18" customHeight="1">
      <c r="B15" s="1" t="s">
        <v>113</v>
      </c>
    </row>
    <row r="16" spans="2:2" ht="18" customHeight="1">
      <c r="B16" s="1" t="s">
        <v>114</v>
      </c>
    </row>
    <row r="17" spans="2:2" ht="18" customHeight="1">
      <c r="B17" s="1" t="s">
        <v>115</v>
      </c>
    </row>
    <row r="18" spans="2:2" ht="18" customHeight="1">
      <c r="B18" s="1" t="s">
        <v>116</v>
      </c>
    </row>
    <row r="19" spans="2:2" ht="18" customHeight="1">
      <c r="B19" s="1" t="s">
        <v>117</v>
      </c>
    </row>
    <row r="20" spans="2:2" ht="21.75" customHeight="1">
      <c r="B20" s="2" t="s">
        <v>118</v>
      </c>
    </row>
    <row r="21" spans="2:2" ht="30" customHeight="1">
      <c r="B21" s="1" t="s">
        <v>119</v>
      </c>
    </row>
    <row r="22" spans="2:2" ht="18" customHeight="1">
      <c r="B22" s="1" t="s">
        <v>120</v>
      </c>
    </row>
    <row r="23" spans="2:2" ht="30" customHeight="1">
      <c r="B23" s="1" t="s">
        <v>121</v>
      </c>
    </row>
    <row r="24" spans="2:2" ht="18" customHeight="1">
      <c r="B24" s="1" t="s">
        <v>122</v>
      </c>
    </row>
    <row r="25" spans="2:2" ht="30" customHeight="1">
      <c r="B25" s="1" t="s">
        <v>123</v>
      </c>
    </row>
    <row r="26" spans="2:2" ht="18" customHeight="1">
      <c r="B26" s="1" t="s">
        <v>124</v>
      </c>
    </row>
    <row r="27" spans="2:2" ht="30" customHeight="1">
      <c r="B27" s="1" t="s">
        <v>125</v>
      </c>
    </row>
    <row r="28" spans="2:2" ht="18" customHeight="1">
      <c r="B28" s="1" t="s">
        <v>126</v>
      </c>
    </row>
    <row r="29" spans="2:2" ht="18" customHeight="1">
      <c r="B29" s="1" t="s">
        <v>127</v>
      </c>
    </row>
    <row r="30" spans="2:2" ht="21.75" customHeight="1">
      <c r="B30" s="2" t="s">
        <v>128</v>
      </c>
    </row>
    <row r="31" spans="2:2" ht="18" customHeight="1">
      <c r="B31" s="1" t="s">
        <v>129</v>
      </c>
    </row>
    <row r="32" spans="2:2" ht="18" customHeight="1">
      <c r="B32" s="1" t="s">
        <v>130</v>
      </c>
    </row>
    <row r="33" spans="2:2" ht="18" customHeight="1">
      <c r="B33" s="1" t="s">
        <v>131</v>
      </c>
    </row>
    <row r="34" spans="2:2" ht="18" customHeight="1">
      <c r="B34" s="1" t="s">
        <v>132</v>
      </c>
    </row>
    <row r="35" spans="2:2" ht="18" customHeight="1">
      <c r="B35" s="1" t="s">
        <v>133</v>
      </c>
    </row>
    <row r="36" spans="2:2" ht="18" customHeight="1">
      <c r="B36" s="1" t="s">
        <v>134</v>
      </c>
    </row>
    <row r="37" spans="2:2" ht="21.75" customHeight="1">
      <c r="B37" s="2" t="s">
        <v>135</v>
      </c>
    </row>
    <row r="38" spans="2:2" ht="18" customHeight="1">
      <c r="B38" s="1" t="s">
        <v>136</v>
      </c>
    </row>
    <row r="39" spans="2:2" ht="18" customHeight="1">
      <c r="B39" s="1" t="s">
        <v>137</v>
      </c>
    </row>
    <row r="40" spans="2:2" ht="30" customHeight="1">
      <c r="B40" s="1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5F"/>
  </sheetPr>
  <dimension ref="A1:M57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M1"/>
    </sheetView>
  </sheetViews>
  <sheetFormatPr defaultColWidth="8.7109375" defaultRowHeight="12.75"/>
  <cols>
    <col min="1" max="1" width="58" customWidth="1"/>
    <col min="2" max="13" width="14" customWidth="1"/>
  </cols>
  <sheetData>
    <row r="1" spans="1:13" ht="30" customHeight="1">
      <c r="A1" s="53" t="s">
        <v>139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>
      <c r="A2" s="54" t="s">
        <v>140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4" spans="1:13">
      <c r="A4" s="10" t="s">
        <v>141</v>
      </c>
      <c r="B4" s="10" t="s">
        <v>33</v>
      </c>
      <c r="C4" s="10" t="s">
        <v>35</v>
      </c>
      <c r="D4" s="10" t="s">
        <v>37</v>
      </c>
      <c r="E4" s="10" t="s">
        <v>39</v>
      </c>
      <c r="F4" s="10" t="s">
        <v>41</v>
      </c>
      <c r="G4" s="10" t="s">
        <v>43</v>
      </c>
      <c r="H4" s="10" t="s">
        <v>45</v>
      </c>
      <c r="I4" s="10" t="s">
        <v>47</v>
      </c>
      <c r="J4" s="10" t="s">
        <v>49</v>
      </c>
      <c r="K4" s="10" t="s">
        <v>51</v>
      </c>
      <c r="L4" s="10" t="s">
        <v>53</v>
      </c>
      <c r="M4" s="10" t="s">
        <v>55</v>
      </c>
    </row>
    <row r="5" spans="1:13">
      <c r="A5" s="18" t="s">
        <v>29</v>
      </c>
      <c r="B5" s="19">
        <f>COUNTA('01-كانون الثاني'!$A$2:$A$5000)</f>
        <v>0</v>
      </c>
      <c r="C5" s="19">
        <f>COUNTA('02-شباط'!$A$2:$A$5000)</f>
        <v>0</v>
      </c>
      <c r="D5" s="19">
        <f>COUNTA('03-آذار'!$A$2:$A$5000)</f>
        <v>0</v>
      </c>
      <c r="E5" s="19">
        <f>COUNTA('04-نيسان'!$A$2:$A$5000)</f>
        <v>0</v>
      </c>
      <c r="F5" s="19">
        <f>COUNTA('05-أيار'!$A$2:$A$5000)</f>
        <v>0</v>
      </c>
      <c r="G5" s="19">
        <f>COUNTA('06-حزيران'!$A$2:$A$4998)</f>
        <v>236</v>
      </c>
      <c r="H5" s="19">
        <f>COUNTA('07-تموز'!$A$2:$A$4999)</f>
        <v>239</v>
      </c>
      <c r="I5" s="19">
        <f>COUNTA('08-آب'!$A$2:$A$5000)</f>
        <v>261</v>
      </c>
      <c r="J5" s="19">
        <f>COUNTA('09-أيلول'!$A$2:$A$4999)</f>
        <v>268</v>
      </c>
      <c r="K5" s="19">
        <f>COUNTA('10-تشرين الأول'!$A$2:$A$5000)</f>
        <v>0</v>
      </c>
      <c r="L5" s="19">
        <f>COUNTA('11-تشرين الثاني'!$A$2:$A$5000)</f>
        <v>0</v>
      </c>
      <c r="M5" s="19">
        <f>COUNTA('12-كانون الأول'!$A$2:$A$5000)</f>
        <v>0</v>
      </c>
    </row>
    <row r="6" spans="1:13">
      <c r="A6" s="18" t="s">
        <v>142</v>
      </c>
      <c r="B6" s="23" t="str">
        <f>IF('لوحة التحكم'!$C$16="","",'لوحة التحكم'!$C$16)</f>
        <v/>
      </c>
      <c r="C6" s="23" t="str">
        <f>IF('لوحة التحكم'!$C$17="","",'لوحة التحكم'!$C$17)</f>
        <v/>
      </c>
      <c r="D6" s="23" t="str">
        <f>IF('لوحة التحكم'!$C$18="","",'لوحة التحكم'!$C$18)</f>
        <v/>
      </c>
      <c r="E6" s="23" t="str">
        <f>IF('لوحة التحكم'!$C$19="","",'لوحة التحكم'!$C$19)</f>
        <v/>
      </c>
      <c r="F6" s="23" t="str">
        <f>IF('لوحة التحكم'!$C$20="","",'لوحة التحكم'!$C$20)</f>
        <v/>
      </c>
      <c r="G6" s="23">
        <f>IF('لوحة التحكم'!$C$21="","",'لوحة التحكم'!$C$21)</f>
        <v>13200</v>
      </c>
      <c r="H6" s="23">
        <f>IF('لوحة التحكم'!$C$22="","",'لوحة التحكم'!$C$22)</f>
        <v>13300</v>
      </c>
      <c r="I6" s="23">
        <f>IF('لوحة التحكم'!$C$23="","",'لوحة التحكم'!$C$23)</f>
        <v>13200</v>
      </c>
      <c r="J6" s="23">
        <f>IF('لوحة التحكم'!$C$24="","",'لوحة التحكم'!$C$24)</f>
        <v>13800</v>
      </c>
      <c r="K6" s="23" t="str">
        <f>IF('لوحة التحكم'!$C$25="","",'لوحة التحكم'!$C$25)</f>
        <v/>
      </c>
      <c r="L6" s="23" t="str">
        <f>IF('لوحة التحكم'!$C$26="","",'لوحة التحكم'!$C$26)</f>
        <v/>
      </c>
      <c r="M6" s="23" t="str">
        <f>IF('لوحة التحكم'!$C$27="","",'لوحة التحكم'!$C$27)</f>
        <v/>
      </c>
    </row>
    <row r="7" spans="1:13">
      <c r="A7" s="5" t="s">
        <v>143</v>
      </c>
      <c r="B7" s="24" t="str">
        <f>IF(B5=0,"لا بيانات",IF(B5&gt;500,"تجاوز السعة",IF(AND(COUNTIF('01-كانون الثاني'!$F$2:$F$501,"*ليرة*")&gt;0,N(B6)&lt;=0),"أدخل سعر الصرف","جاهز")))</f>
        <v>لا بيانات</v>
      </c>
      <c r="C7" s="24" t="str">
        <f>IF(C5=0,"لا بيانات",IF(C5&gt;500,"تجاوز السعة",IF(AND(COUNTIF('02-شباط'!$F$2:$F$501,"*ليرة*")&gt;0,N(C6)&lt;=0),"أدخل سعر الصرف","جاهز")))</f>
        <v>لا بيانات</v>
      </c>
      <c r="D7" s="24" t="str">
        <f>IF(D5=0,"لا بيانات",IF(D5&gt;500,"تجاوز السعة",IF(AND(COUNTIF('03-آذار'!$F$2:$F$501,"*ليرة*")&gt;0,N(D6)&lt;=0),"أدخل سعر الصرف","جاهز")))</f>
        <v>لا بيانات</v>
      </c>
      <c r="E7" s="24" t="str">
        <f>IF(E5=0,"لا بيانات",IF(E5&gt;500,"تجاوز السعة",IF(AND(COUNTIF('04-نيسان'!$F$2:$F$501,"*ليرة*")&gt;0,N(E6)&lt;=0),"أدخل سعر الصرف","جاهز")))</f>
        <v>لا بيانات</v>
      </c>
      <c r="F7" s="24" t="str">
        <f>IF(F5=0,"لا بيانات",IF(F5&gt;500,"تجاوز السعة",IF(AND(COUNTIF('05-أيار'!$F$2:$F$501,"*ليرة*")&gt;0,N(F6)&lt;=0),"أدخل سعر الصرف","جاهز")))</f>
        <v>لا بيانات</v>
      </c>
      <c r="G7" s="24" t="str">
        <f>IF(G5=0,"لا بيانات",IF(G5&gt;500,"تجاوز السعة",IF(AND(COUNTIF('06-حزيران'!$F$2:$F$499,"*ليرة*")&gt;0,N(G6)&lt;=0),"أدخل سعر الصرف","جاهز")))</f>
        <v>جاهز</v>
      </c>
      <c r="H7" s="24" t="str">
        <f>IF(H5=0,"لا بيانات",IF(H5&gt;500,"تجاوز السعة",IF(AND(COUNTIF('07-تموز'!$F$2:$F$500,"*ليرة*")&gt;0,N(H6)&lt;=0),"أدخل سعر الصرف","جاهز")))</f>
        <v>جاهز</v>
      </c>
      <c r="I7" s="24" t="str">
        <f>IF(I5=0,"لا بيانات",IF(I5&gt;500,"تجاوز السعة",IF(AND(COUNTIF('08-آب'!$F$2:$F$501,"*ليرة*")&gt;0,N(I6)&lt;=0),"أدخل سعر الصرف","جاهز")))</f>
        <v>جاهز</v>
      </c>
      <c r="J7" s="24" t="str">
        <f>IF(J5=0,"لا بيانات",IF(J5&gt;500,"تجاوز السعة",IF(AND(COUNTIF('09-أيلول'!$F$2:$F$500,"*ليرة*")&gt;0,N(J6)&lt;=0),"أدخل سعر الصرف","جاهز")))</f>
        <v>جاهز</v>
      </c>
      <c r="K7" s="24" t="str">
        <f>IF(K5=0,"لا بيانات",IF(K5&gt;500,"تجاوز السعة",IF(AND(COUNTIF('10-تشرين الأول'!$F$2:$F$501,"*ليرة*")&gt;0,N(K6)&lt;=0),"أدخل سعر الصرف","جاهز")))</f>
        <v>لا بيانات</v>
      </c>
      <c r="L7" s="24" t="str">
        <f>IF(L5=0,"لا بيانات",IF(L5&gt;500,"تجاوز السعة",IF(AND(COUNTIF('11-تشرين الثاني'!$F$2:$F$501,"*ليرة*")&gt;0,N(L6)&lt;=0),"أدخل سعر الصرف","جاهز")))</f>
        <v>لا بيانات</v>
      </c>
      <c r="M7" s="24" t="str">
        <f>IF(M5=0,"لا بيانات",IF(M5&gt;500,"تجاوز السعة",IF(AND(COUNTIF('12-كانون الأول'!$F$2:$F$501,"*ليرة*")&gt;0,N(M6)&lt;=0),"أدخل سعر الصرف","جاهز")))</f>
        <v>لا بيانات</v>
      </c>
    </row>
    <row r="8" spans="1:13">
      <c r="A8" s="18" t="s">
        <v>144</v>
      </c>
      <c r="B8" s="25">
        <f t="shared" ref="B8:M8" si="0">IF(B7="جاهز",1,0)</f>
        <v>0</v>
      </c>
      <c r="C8" s="25">
        <f t="shared" si="0"/>
        <v>0</v>
      </c>
      <c r="D8" s="25">
        <f t="shared" si="0"/>
        <v>0</v>
      </c>
      <c r="E8" s="25">
        <f t="shared" si="0"/>
        <v>0</v>
      </c>
      <c r="F8" s="25">
        <f t="shared" si="0"/>
        <v>0</v>
      </c>
      <c r="G8" s="25">
        <f t="shared" si="0"/>
        <v>1</v>
      </c>
      <c r="H8" s="25">
        <f t="shared" si="0"/>
        <v>1</v>
      </c>
      <c r="I8" s="25">
        <f t="shared" si="0"/>
        <v>1</v>
      </c>
      <c r="J8" s="25">
        <f t="shared" si="0"/>
        <v>1</v>
      </c>
      <c r="K8" s="25">
        <f t="shared" si="0"/>
        <v>0</v>
      </c>
      <c r="L8" s="25">
        <f t="shared" si="0"/>
        <v>0</v>
      </c>
      <c r="M8" s="25">
        <f t="shared" si="0"/>
        <v>0</v>
      </c>
    </row>
    <row r="9" spans="1:13" ht="19.5" customHeight="1">
      <c r="A9" s="47" t="s">
        <v>145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>
      <c r="A10" s="18" t="s">
        <v>146</v>
      </c>
      <c r="B10" s="19" t="str">
        <f>IF(B$8=1,COUNTIF('01-كانون الثاني'!$P$2:$P$501,"&gt;0"),"")</f>
        <v/>
      </c>
      <c r="C10" s="19" t="str">
        <f>IF(C$8=1,COUNTIF('02-شباط'!$P$2:$P$501,"&gt;0"),"")</f>
        <v/>
      </c>
      <c r="D10" s="19" t="str">
        <f>IF(D$8=1,COUNTIF('03-آذار'!$P$2:$P$501,"&gt;0"),"")</f>
        <v/>
      </c>
      <c r="E10" s="19" t="str">
        <f>IF(E$8=1,COUNTIF('04-نيسان'!$P$2:$P$501,"&gt;0"),"")</f>
        <v/>
      </c>
      <c r="F10" s="19" t="str">
        <f>IF(F$8=1,COUNTIF('05-أيار'!$P$2:$P$501,"&gt;0"),"")</f>
        <v/>
      </c>
      <c r="G10" s="19">
        <f>IF(G$8=1,COUNTIF('06-حزيران'!$P$2:$P$499,"&gt;0"),"")</f>
        <v>107</v>
      </c>
      <c r="H10" s="19">
        <f>IF(H$8=1,COUNTIF('07-تموز'!$P$2:$P$500,"&gt;0"),"")</f>
        <v>113</v>
      </c>
      <c r="I10" s="19">
        <f>IF(I$8=1,COUNTIF('08-آب'!$P$2:$P$501,"&gt;0"),"")</f>
        <v>136</v>
      </c>
      <c r="J10" s="19">
        <f>IF(J$8=1,COUNTIF('09-أيلول'!$P$2:$P$500,"&gt;0"),"")</f>
        <v>134</v>
      </c>
      <c r="K10" s="19" t="str">
        <f>IF(K$8=1,COUNTIF('10-تشرين الأول'!$P$2:$P$501,"&gt;0"),"")</f>
        <v/>
      </c>
      <c r="L10" s="19" t="str">
        <f>IF(L$8=1,COUNTIF('11-تشرين الثاني'!$P$2:$P$501,"&gt;0"),"")</f>
        <v/>
      </c>
      <c r="M10" s="19" t="str">
        <f>IF(M$8=1,COUNTIF('12-كانون الأول'!$P$2:$P$501,"&gt;0"),"")</f>
        <v/>
      </c>
    </row>
    <row r="11" spans="1:13">
      <c r="A11" s="5" t="s">
        <v>147</v>
      </c>
      <c r="B11" s="16" t="str">
        <f>IF(B$8=1,SUM('01-كانون الثاني'!$Q$2:$Q$501),"")</f>
        <v/>
      </c>
      <c r="C11" s="16" t="str">
        <f>IF(C$8=1,SUM('02-شباط'!$Q$2:$Q$501),"")</f>
        <v/>
      </c>
      <c r="D11" s="16" t="str">
        <f>IF(D$8=1,SUM('03-آذار'!$Q$2:$Q$501),"")</f>
        <v/>
      </c>
      <c r="E11" s="16" t="str">
        <f>IF(E$8=1,SUM('04-نيسان'!$Q$2:$Q$501),"")</f>
        <v/>
      </c>
      <c r="F11" s="16" t="str">
        <f>IF(F$8=1,SUM('05-أيار'!$Q$2:$Q$501),"")</f>
        <v/>
      </c>
      <c r="G11" s="16">
        <f>IF(G$8=1,SUM('06-حزيران'!$Q$2:$Q$499),"")</f>
        <v>44737.390469696969</v>
      </c>
      <c r="H11" s="16">
        <f>IF(H$8=1,SUM('07-تموز'!$Q$2:$Q$500),"")</f>
        <v>48491.032068421046</v>
      </c>
      <c r="I11" s="16">
        <f>IF(I$8=1,SUM('08-آب'!$Q$2:$Q$501),"")</f>
        <v>47944.021160606069</v>
      </c>
      <c r="J11" s="16">
        <f>IF(J$8=1,SUM('09-أيلول'!$Q$2:$Q$500),"")</f>
        <v>44900.767091304333</v>
      </c>
      <c r="K11" s="16" t="str">
        <f>IF(K$8=1,SUM('10-تشرين الأول'!$Q$2:$Q$501),"")</f>
        <v/>
      </c>
      <c r="L11" s="16" t="str">
        <f>IF(L$8=1,SUM('11-تشرين الثاني'!$Q$2:$Q$501),"")</f>
        <v/>
      </c>
      <c r="M11" s="16" t="str">
        <f>IF(M$8=1,SUM('12-كانون الأول'!$Q$2:$Q$501),"")</f>
        <v/>
      </c>
    </row>
    <row r="12" spans="1:13">
      <c r="A12" s="18" t="s">
        <v>148</v>
      </c>
      <c r="B12" s="16" t="str">
        <f>IF(B$8=1,SUMIFS('01-كانون الثاني'!$R$2:$R$501,'01-كانون الثاني'!$S$2:$S$501,1),"")</f>
        <v/>
      </c>
      <c r="C12" s="16" t="str">
        <f>IF(C$8=1,SUMIFS('02-شباط'!$R$2:$R$501,'02-شباط'!$S$2:$S$501,1),"")</f>
        <v/>
      </c>
      <c r="D12" s="16" t="str">
        <f>IF(D$8=1,SUMIFS('03-آذار'!$R$2:$R$501,'03-آذار'!$S$2:$S$501,1),"")</f>
        <v/>
      </c>
      <c r="E12" s="16" t="str">
        <f>IF(E$8=1,SUMIFS('04-نيسان'!$R$2:$R$501,'04-نيسان'!$S$2:$S$501,1),"")</f>
        <v/>
      </c>
      <c r="F12" s="16" t="str">
        <f>IF(F$8=1,SUMIFS('05-أيار'!$R$2:$R$501,'05-أيار'!$S$2:$S$501,1),"")</f>
        <v/>
      </c>
      <c r="G12" s="16">
        <f>IF(G$8=1,SUMIFS('06-حزيران'!$R$2:$R$499,'06-حزيران'!$S$2:$S$499,1),"")</f>
        <v>25034.171969696967</v>
      </c>
      <c r="H12" s="16">
        <f>IF(H$8=1,SUMIFS('07-تموز'!$R$2:$R$500,'07-تموز'!$S$2:$S$500,1),"")</f>
        <v>22961.060526315785</v>
      </c>
      <c r="I12" s="16">
        <f>IF(I$8=1,SUMIFS('08-آب'!$R$2:$R$501,'08-آب'!$S$2:$S$501,1),"")</f>
        <v>23866.931439393946</v>
      </c>
      <c r="J12" s="16">
        <f>IF(J$8=1,SUMIFS('09-أيلول'!$R$2:$R$500,'09-أيلول'!$S$2:$S$500,1),"")</f>
        <v>18699.770434782604</v>
      </c>
      <c r="K12" s="16" t="str">
        <f>IF(K$8=1,SUMIFS('10-تشرين الأول'!$R$2:$R$501,'10-تشرين الأول'!$S$2:$S$501,1),"")</f>
        <v/>
      </c>
      <c r="L12" s="16" t="str">
        <f>IF(L$8=1,SUMIFS('11-تشرين الثاني'!$R$2:$R$501,'11-تشرين الثاني'!$S$2:$S$501,1),"")</f>
        <v/>
      </c>
      <c r="M12" s="16" t="str">
        <f>IF(M$8=1,SUMIFS('12-كانون الأول'!$R$2:$R$501,'12-كانون الأول'!$S$2:$S$501,1),"")</f>
        <v/>
      </c>
    </row>
    <row r="13" spans="1:13">
      <c r="A13" s="18" t="s">
        <v>149</v>
      </c>
      <c r="B13" s="16" t="str">
        <f>IF(B$8=1,SUMIFS('01-كانون الثاني'!$Q$2:$Q$501,'01-كانون الثاني'!$S$2:$S$501,1),"")</f>
        <v/>
      </c>
      <c r="C13" s="16" t="str">
        <f>IF(C$8=1,SUMIFS('02-شباط'!$Q$2:$Q$501,'02-شباط'!$S$2:$S$501,1),"")</f>
        <v/>
      </c>
      <c r="D13" s="16" t="str">
        <f>IF(D$8=1,SUMIFS('03-آذار'!$Q$2:$Q$501,'03-آذار'!$S$2:$S$501,1),"")</f>
        <v/>
      </c>
      <c r="E13" s="16" t="str">
        <f>IF(E$8=1,SUMIFS('04-نيسان'!$Q$2:$Q$501,'04-نيسان'!$S$2:$S$501,1),"")</f>
        <v/>
      </c>
      <c r="F13" s="16" t="str">
        <f>IF(F$8=1,SUMIFS('05-أيار'!$Q$2:$Q$501,'05-أيار'!$S$2:$S$501,1),"")</f>
        <v/>
      </c>
      <c r="G13" s="16">
        <f>IF(G$8=1,SUMIFS('06-حزيران'!$Q$2:$Q$499,'06-حزيران'!$S$2:$S$499,1),"")</f>
        <v>15682.554393939396</v>
      </c>
      <c r="H13" s="16">
        <f>IF(H$8=1,SUMIFS('07-تموز'!$Q$2:$Q$500,'07-تموز'!$S$2:$S$500,1),"")</f>
        <v>14150.609323308268</v>
      </c>
      <c r="I13" s="16">
        <f>IF(I$8=1,SUMIFS('08-آب'!$Q$2:$Q$501,'08-آب'!$S$2:$S$501,1),"")</f>
        <v>14723.314333333332</v>
      </c>
      <c r="J13" s="16">
        <f>IF(J$8=1,SUMIFS('09-أيلول'!$Q$2:$Q$500,'09-أيلول'!$S$2:$S$500,1),"")</f>
        <v>11415.145268115943</v>
      </c>
      <c r="K13" s="16" t="str">
        <f>IF(K$8=1,SUMIFS('10-تشرين الأول'!$Q$2:$Q$501,'10-تشرين الأول'!$S$2:$S$501,1),"")</f>
        <v/>
      </c>
      <c r="L13" s="16" t="str">
        <f>IF(L$8=1,SUMIFS('11-تشرين الثاني'!$Q$2:$Q$501,'11-تشرين الثاني'!$S$2:$S$501,1),"")</f>
        <v/>
      </c>
      <c r="M13" s="16" t="str">
        <f>IF(M$8=1,SUMIFS('12-كانون الأول'!$Q$2:$Q$501,'12-كانون الأول'!$S$2:$S$501,1),"")</f>
        <v/>
      </c>
    </row>
    <row r="14" spans="1:13">
      <c r="A14" s="5" t="s">
        <v>60</v>
      </c>
      <c r="B14" s="16" t="str">
        <f t="shared" ref="B14:M14" si="1">IF(B$8=1,B12-B13,"")</f>
        <v/>
      </c>
      <c r="C14" s="16" t="str">
        <f t="shared" si="1"/>
        <v/>
      </c>
      <c r="D14" s="16" t="str">
        <f t="shared" si="1"/>
        <v/>
      </c>
      <c r="E14" s="16" t="str">
        <f t="shared" si="1"/>
        <v/>
      </c>
      <c r="F14" s="16" t="str">
        <f t="shared" si="1"/>
        <v/>
      </c>
      <c r="G14" s="16">
        <f t="shared" si="1"/>
        <v>9351.6175757575711</v>
      </c>
      <c r="H14" s="16">
        <f t="shared" si="1"/>
        <v>8810.4512030075166</v>
      </c>
      <c r="I14" s="16">
        <f t="shared" si="1"/>
        <v>9143.6171060606139</v>
      </c>
      <c r="J14" s="16">
        <f t="shared" si="1"/>
        <v>7284.6251666666612</v>
      </c>
      <c r="K14" s="16" t="str">
        <f t="shared" si="1"/>
        <v/>
      </c>
      <c r="L14" s="16" t="str">
        <f t="shared" si="1"/>
        <v/>
      </c>
      <c r="M14" s="16" t="str">
        <f t="shared" si="1"/>
        <v/>
      </c>
    </row>
    <row r="15" spans="1:13">
      <c r="A15" s="18" t="s">
        <v>150</v>
      </c>
      <c r="B15" s="17" t="str">
        <f t="shared" ref="B15:M15" si="2">IF(B$8=1,IF(B12&gt;0,B14/B12,0),"")</f>
        <v/>
      </c>
      <c r="C15" s="17" t="str">
        <f t="shared" si="2"/>
        <v/>
      </c>
      <c r="D15" s="17" t="str">
        <f t="shared" si="2"/>
        <v/>
      </c>
      <c r="E15" s="17" t="str">
        <f t="shared" si="2"/>
        <v/>
      </c>
      <c r="F15" s="17" t="str">
        <f t="shared" si="2"/>
        <v/>
      </c>
      <c r="G15" s="17">
        <f t="shared" si="2"/>
        <v>0.37355409985508581</v>
      </c>
      <c r="H15" s="17">
        <f t="shared" si="2"/>
        <v>0.38371272933625233</v>
      </c>
      <c r="I15" s="17">
        <f t="shared" si="2"/>
        <v>0.3831081984409806</v>
      </c>
      <c r="J15" s="17">
        <f t="shared" si="2"/>
        <v>0.38955693023465449</v>
      </c>
      <c r="K15" s="17" t="str">
        <f t="shared" si="2"/>
        <v/>
      </c>
      <c r="L15" s="17" t="str">
        <f t="shared" si="2"/>
        <v/>
      </c>
      <c r="M15" s="17" t="str">
        <f t="shared" si="2"/>
        <v/>
      </c>
    </row>
    <row r="16" spans="1:13">
      <c r="A16" s="18" t="s">
        <v>151</v>
      </c>
      <c r="B16" s="17" t="str">
        <f t="shared" ref="B16:M16" si="3">IF(B$8=1,IF(B13&gt;0,B14/B13,0),"")</f>
        <v/>
      </c>
      <c r="C16" s="17" t="str">
        <f t="shared" si="3"/>
        <v/>
      </c>
      <c r="D16" s="17" t="str">
        <f t="shared" si="3"/>
        <v/>
      </c>
      <c r="E16" s="17" t="str">
        <f t="shared" si="3"/>
        <v/>
      </c>
      <c r="F16" s="17" t="str">
        <f t="shared" si="3"/>
        <v/>
      </c>
      <c r="G16" s="17">
        <f t="shared" si="3"/>
        <v>0.59630703907340199</v>
      </c>
      <c r="H16" s="17">
        <f t="shared" si="3"/>
        <v>0.62261991704451369</v>
      </c>
      <c r="I16" s="17">
        <f t="shared" si="3"/>
        <v>0.62102981020785664</v>
      </c>
      <c r="J16" s="17">
        <f t="shared" si="3"/>
        <v>0.63815439887686864</v>
      </c>
      <c r="K16" s="17" t="str">
        <f t="shared" si="3"/>
        <v/>
      </c>
      <c r="L16" s="17" t="str">
        <f t="shared" si="3"/>
        <v/>
      </c>
      <c r="M16" s="17" t="str">
        <f t="shared" si="3"/>
        <v/>
      </c>
    </row>
    <row r="17" spans="1:13">
      <c r="A17" s="18" t="s">
        <v>152</v>
      </c>
      <c r="B17" s="16" t="str">
        <f t="shared" ref="B17:M17" si="4">IF(B$8=1,B11-B13,"")</f>
        <v/>
      </c>
      <c r="C17" s="16" t="str">
        <f t="shared" si="4"/>
        <v/>
      </c>
      <c r="D17" s="16" t="str">
        <f t="shared" si="4"/>
        <v/>
      </c>
      <c r="E17" s="16" t="str">
        <f t="shared" si="4"/>
        <v/>
      </c>
      <c r="F17" s="16" t="str">
        <f t="shared" si="4"/>
        <v/>
      </c>
      <c r="G17" s="16">
        <f t="shared" si="4"/>
        <v>29054.836075757572</v>
      </c>
      <c r="H17" s="16">
        <f t="shared" si="4"/>
        <v>34340.422745112781</v>
      </c>
      <c r="I17" s="16">
        <f t="shared" si="4"/>
        <v>33220.706827272734</v>
      </c>
      <c r="J17" s="16">
        <f t="shared" si="4"/>
        <v>33485.62182318839</v>
      </c>
      <c r="K17" s="16" t="str">
        <f t="shared" si="4"/>
        <v/>
      </c>
      <c r="L17" s="16" t="str">
        <f t="shared" si="4"/>
        <v/>
      </c>
      <c r="M17" s="16" t="str">
        <f t="shared" si="4"/>
        <v/>
      </c>
    </row>
    <row r="18" spans="1:13">
      <c r="A18" s="18" t="s">
        <v>153</v>
      </c>
      <c r="B18" s="16" t="str">
        <f>IF(B$8=1,SUMIFS('01-كانون الثاني'!$R$2:$R$501,'01-كانون الثاني'!$P$2:$P$501,"&gt;0",'01-كانون الثاني'!$N$2:$N$501,0,'01-كانون الثاني'!$O$2:$O$501,"&gt;0"),"")</f>
        <v/>
      </c>
      <c r="C18" s="16" t="str">
        <f>IF(C$8=1,SUMIFS('02-شباط'!$R$2:$R$501,'02-شباط'!$P$2:$P$501,"&gt;0",'02-شباط'!$N$2:$N$501,0,'02-شباط'!$O$2:$O$501,"&gt;0"),"")</f>
        <v/>
      </c>
      <c r="D18" s="16" t="str">
        <f>IF(D$8=1,SUMIFS('03-آذار'!$R$2:$R$501,'03-آذار'!$P$2:$P$501,"&gt;0",'03-آذار'!$N$2:$N$501,0,'03-آذار'!$O$2:$O$501,"&gt;0"),"")</f>
        <v/>
      </c>
      <c r="E18" s="16" t="str">
        <f>IF(E$8=1,SUMIFS('04-نيسان'!$R$2:$R$501,'04-نيسان'!$P$2:$P$501,"&gt;0",'04-نيسان'!$N$2:$N$501,0,'04-نيسان'!$O$2:$O$501,"&gt;0"),"")</f>
        <v/>
      </c>
      <c r="F18" s="16" t="str">
        <f>IF(F$8=1,SUMIFS('05-أيار'!$R$2:$R$501,'05-أيار'!$P$2:$P$501,"&gt;0",'05-أيار'!$N$2:$N$501,0,'05-أيار'!$O$2:$O$501,"&gt;0"),"")</f>
        <v/>
      </c>
      <c r="G18" s="16">
        <f>IF(G$8=1,SUMIFS('06-حزيران'!$R$2:$R$499,'06-حزيران'!$P$2:$P$499,"&gt;0",'06-حزيران'!$N$2:$N$499,0,'06-حزيران'!$O$2:$O$499,"&gt;0"),"")</f>
        <v>0</v>
      </c>
      <c r="H18" s="16">
        <f>IF(H$8=1,SUMIFS('07-تموز'!$R$2:$R$500,'07-تموز'!$P$2:$P$500,"&gt;0",'07-تموز'!$N$2:$N$500,0,'07-تموز'!$O$2:$O$500,"&gt;0"),"")</f>
        <v>0</v>
      </c>
      <c r="I18" s="16">
        <f>IF(I$8=1,SUMIFS('08-آب'!$R$2:$R$501,'08-آب'!$P$2:$P$501,"&gt;0",'08-آب'!$N$2:$N$501,0,'08-آب'!$O$2:$O$501,"&gt;0"),"")</f>
        <v>0</v>
      </c>
      <c r="J18" s="16">
        <f>IF(J$8=1,SUMIFS('09-أيلول'!$R$2:$R$500,'09-أيلول'!$P$2:$P$500,"&gt;0",'09-أيلول'!$N$2:$N$500,0,'09-أيلول'!$O$2:$O$500,"&gt;0"),"")</f>
        <v>0</v>
      </c>
      <c r="K18" s="16" t="str">
        <f>IF(K$8=1,SUMIFS('10-تشرين الأول'!$R$2:$R$501,'10-تشرين الأول'!$P$2:$P$501,"&gt;0",'10-تشرين الأول'!$N$2:$N$501,0,'10-تشرين الأول'!$O$2:$O$501,"&gt;0"),"")</f>
        <v/>
      </c>
      <c r="L18" s="16" t="str">
        <f>IF(L$8=1,SUMIFS('11-تشرين الثاني'!$R$2:$R$501,'11-تشرين الثاني'!$P$2:$P$501,"&gt;0",'11-تشرين الثاني'!$N$2:$N$501,0,'11-تشرين الثاني'!$O$2:$O$501,"&gt;0"),"")</f>
        <v/>
      </c>
      <c r="M18" s="16" t="str">
        <f>IF(M$8=1,SUMIFS('12-كانون الأول'!$R$2:$R$501,'12-كانون الأول'!$P$2:$P$501,"&gt;0",'12-كانون الأول'!$N$2:$N$501,0,'12-كانون الأول'!$O$2:$O$501,"&gt;0"),"")</f>
        <v/>
      </c>
    </row>
    <row r="19" spans="1:13">
      <c r="A19" s="18" t="s">
        <v>154</v>
      </c>
      <c r="B19" s="16" t="str">
        <f>IF(B$8=1,SUM('01-كانون الثاني'!$AH$2:$AH$501),"")</f>
        <v/>
      </c>
      <c r="C19" s="16" t="str">
        <f>IF(C$8=1,SUM('02-شباط'!$AH$2:$AH$501),"")</f>
        <v/>
      </c>
      <c r="D19" s="16" t="str">
        <f>IF(D$8=1,SUM('03-آذار'!$AH$2:$AH$501),"")</f>
        <v/>
      </c>
      <c r="E19" s="16" t="str">
        <f>IF(E$8=1,SUM('04-نيسان'!$AH$2:$AH$501),"")</f>
        <v/>
      </c>
      <c r="F19" s="16" t="str">
        <f>IF(F$8=1,SUM('05-أيار'!$AH$2:$AH$501),"")</f>
        <v/>
      </c>
      <c r="G19" s="16">
        <f>IF(G$8=1,SUM('06-حزيران'!$AH$2:$AH$499),"")</f>
        <v>9351.6175757575766</v>
      </c>
      <c r="H19" s="16">
        <f>IF(H$8=1,SUM('07-تموز'!$AH$2:$AH$500),"")</f>
        <v>8810.4512030075184</v>
      </c>
      <c r="I19" s="16">
        <f>IF(I$8=1,SUM('08-آب'!$AH$2:$AH$501),"")</f>
        <v>9143.6171060606084</v>
      </c>
      <c r="J19" s="16">
        <f>IF(J$8=1,SUM('09-أيلول'!$AH$2:$AH$500),"")</f>
        <v>7284.6251666666676</v>
      </c>
      <c r="K19" s="16" t="str">
        <f>IF(K$8=1,SUM('10-تشرين الأول'!$AH$2:$AH$501),"")</f>
        <v/>
      </c>
      <c r="L19" s="16" t="str">
        <f>IF(L$8=1,SUM('11-تشرين الثاني'!$AH$2:$AH$501),"")</f>
        <v/>
      </c>
      <c r="M19" s="16" t="str">
        <f>IF(M$8=1,SUM('12-كانون الأول'!$AH$2:$AH$501),"")</f>
        <v/>
      </c>
    </row>
    <row r="20" spans="1:13">
      <c r="A20" s="18" t="s">
        <v>155</v>
      </c>
      <c r="B20" s="16" t="str">
        <f>IF(B$8=1,SUM('01-كانون الثاني'!$AI$2:$AI$501),"")</f>
        <v/>
      </c>
      <c r="C20" s="16" t="str">
        <f>IF(C$8=1,SUM('02-شباط'!$AI$2:$AI$501),"")</f>
        <v/>
      </c>
      <c r="D20" s="16" t="str">
        <f>IF(D$8=1,SUM('03-آذار'!$AI$2:$AI$501),"")</f>
        <v/>
      </c>
      <c r="E20" s="16" t="str">
        <f>IF(E$8=1,SUM('04-نيسان'!$AI$2:$AI$501),"")</f>
        <v/>
      </c>
      <c r="F20" s="16" t="str">
        <f>IF(F$8=1,SUM('05-أيار'!$AI$2:$AI$501),"")</f>
        <v/>
      </c>
      <c r="G20" s="16">
        <f>IF(G$8=1,SUM('06-حزيران'!$AI$2:$AI$499),"")</f>
        <v>9351.6175757575766</v>
      </c>
      <c r="H20" s="16">
        <f>IF(H$8=1,SUM('07-تموز'!$AI$2:$AI$500),"")</f>
        <v>8810.4512030075184</v>
      </c>
      <c r="I20" s="16">
        <f>IF(I$8=1,SUM('08-آب'!$AI$2:$AI$501),"")</f>
        <v>9143.6171060606084</v>
      </c>
      <c r="J20" s="16">
        <f>IF(J$8=1,SUM('09-أيلول'!$AI$2:$AI$500),"")</f>
        <v>7284.6251666666676</v>
      </c>
      <c r="K20" s="16" t="str">
        <f>IF(K$8=1,SUM('10-تشرين الأول'!$AI$2:$AI$501),"")</f>
        <v/>
      </c>
      <c r="L20" s="16" t="str">
        <f>IF(L$8=1,SUM('11-تشرين الثاني'!$AI$2:$AI$501),"")</f>
        <v/>
      </c>
      <c r="M20" s="16" t="str">
        <f>IF(M$8=1,SUM('12-كانون الأول'!$AI$2:$AI$501),"")</f>
        <v/>
      </c>
    </row>
    <row r="21" spans="1:13">
      <c r="A21" s="18" t="s">
        <v>156</v>
      </c>
      <c r="B21" s="16" t="str">
        <f>IF(B$8=1,SUM('01-كانون الثاني'!$AJ$2:$AJ$501),"")</f>
        <v/>
      </c>
      <c r="C21" s="16" t="str">
        <f>IF(C$8=1,SUM('02-شباط'!$AJ$2:$AJ$501),"")</f>
        <v/>
      </c>
      <c r="D21" s="16" t="str">
        <f>IF(D$8=1,SUM('03-آذار'!$AJ$2:$AJ$501),"")</f>
        <v/>
      </c>
      <c r="E21" s="16" t="str">
        <f>IF(E$8=1,SUM('04-نيسان'!$AJ$2:$AJ$501),"")</f>
        <v/>
      </c>
      <c r="F21" s="16" t="str">
        <f>IF(F$8=1,SUM('05-أيار'!$AJ$2:$AJ$501),"")</f>
        <v/>
      </c>
      <c r="G21" s="16">
        <f>IF(G$8=1,SUM('06-حزيران'!$AJ$2:$AJ$499),"")</f>
        <v>9351.6175757575766</v>
      </c>
      <c r="H21" s="16">
        <f>IF(H$8=1,SUM('07-تموز'!$AJ$2:$AJ$500),"")</f>
        <v>8810.4512030075184</v>
      </c>
      <c r="I21" s="16">
        <f>IF(I$8=1,SUM('08-آب'!$AJ$2:$AJ$501),"")</f>
        <v>9143.6171060606084</v>
      </c>
      <c r="J21" s="16">
        <f>IF(J$8=1,SUM('09-أيلول'!$AJ$2:$AJ$500),"")</f>
        <v>7284.6251666666676</v>
      </c>
      <c r="K21" s="16" t="str">
        <f>IF(K$8=1,SUM('10-تشرين الأول'!$AJ$2:$AJ$501),"")</f>
        <v/>
      </c>
      <c r="L21" s="16" t="str">
        <f>IF(L$8=1,SUM('11-تشرين الثاني'!$AJ$2:$AJ$501),"")</f>
        <v/>
      </c>
      <c r="M21" s="16" t="str">
        <f>IF(M$8=1,SUM('12-كانون الأول'!$AJ$2:$AJ$501),"")</f>
        <v/>
      </c>
    </row>
    <row r="22" spans="1:13" ht="19.5" customHeight="1">
      <c r="A22" s="47" t="s">
        <v>157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1:13">
      <c r="A23" s="18" t="s">
        <v>158</v>
      </c>
      <c r="B23" s="16" t="str">
        <f>IF(B$8=1,SUMIFS('01-كانون الثاني'!$Q$2:$Q$501,'01-كانون الثاني'!$F$2:$F$501,"*ليرة*"),"")</f>
        <v/>
      </c>
      <c r="C23" s="16" t="str">
        <f>IF(C$8=1,SUMIFS('02-شباط'!$Q$2:$Q$501,'02-شباط'!$F$2:$F$501,"*ليرة*"),"")</f>
        <v/>
      </c>
      <c r="D23" s="16" t="str">
        <f>IF(D$8=1,SUMIFS('03-آذار'!$Q$2:$Q$501,'03-آذار'!$F$2:$F$501,"*ليرة*"),"")</f>
        <v/>
      </c>
      <c r="E23" s="16" t="str">
        <f>IF(E$8=1,SUMIFS('04-نيسان'!$Q$2:$Q$501,'04-نيسان'!$F$2:$F$501,"*ليرة*"),"")</f>
        <v/>
      </c>
      <c r="F23" s="16" t="str">
        <f>IF(F$8=1,SUMIFS('05-أيار'!$Q$2:$Q$501,'05-أيار'!$F$2:$F$501,"*ليرة*"),"")</f>
        <v/>
      </c>
      <c r="G23" s="16">
        <f>IF(G$8=1,SUMIFS('06-حزيران'!$Q$2:$Q$499,'06-حزيران'!$F$2:$F$499,"*ليرة*"),"")</f>
        <v>15477.59196969697</v>
      </c>
      <c r="H23" s="16">
        <f>IF(H$8=1,SUMIFS('07-تموز'!$Q$2:$Q$500,'07-تموز'!$F$2:$F$500,"*ليرة*"),"")</f>
        <v>13511.107368421051</v>
      </c>
      <c r="I23" s="16">
        <f>IF(I$8=1,SUMIFS('08-آب'!$Q$2:$Q$501,'08-آب'!$F$2:$F$501,"*ليرة*"),"")</f>
        <v>14028.721060606062</v>
      </c>
      <c r="J23" s="16">
        <f>IF(J$8=1,SUMIFS('09-أيلول'!$Q$2:$Q$500,'09-أيلول'!$F$2:$F$500,"*ليرة*"),"")</f>
        <v>10157.255391304343</v>
      </c>
      <c r="K23" s="16" t="str">
        <f>IF(K$8=1,SUMIFS('10-تشرين الأول'!$Q$2:$Q$501,'10-تشرين الأول'!$F$2:$F$501,"*ليرة*"),"")</f>
        <v/>
      </c>
      <c r="L23" s="16" t="str">
        <f>IF(L$8=1,SUMIFS('11-تشرين الثاني'!$Q$2:$Q$501,'11-تشرين الثاني'!$F$2:$F$501,"*ليرة*"),"")</f>
        <v/>
      </c>
      <c r="M23" s="16" t="str">
        <f>IF(M$8=1,SUMIFS('12-كانون الأول'!$Q$2:$Q$501,'12-كانون الأول'!$F$2:$F$501,"*ليرة*"),"")</f>
        <v/>
      </c>
    </row>
    <row r="24" spans="1:13">
      <c r="A24" s="18" t="s">
        <v>159</v>
      </c>
      <c r="B24" s="16" t="str">
        <f>IF(B$8=1,SUMIFS('01-كانون الثاني'!$Q$2:$Q$501,'01-كانون الثاني'!$F$2:$F$501,"*دولار*"),"")</f>
        <v/>
      </c>
      <c r="C24" s="16" t="str">
        <f>IF(C$8=1,SUMIFS('02-شباط'!$Q$2:$Q$501,'02-شباط'!$F$2:$F$501,"*دولار*"),"")</f>
        <v/>
      </c>
      <c r="D24" s="16" t="str">
        <f>IF(D$8=1,SUMIFS('03-آذار'!$Q$2:$Q$501,'03-آذار'!$F$2:$F$501,"*دولار*"),"")</f>
        <v/>
      </c>
      <c r="E24" s="16" t="str">
        <f>IF(E$8=1,SUMIFS('04-نيسان'!$Q$2:$Q$501,'04-نيسان'!$F$2:$F$501,"*دولار*"),"")</f>
        <v/>
      </c>
      <c r="F24" s="16" t="str">
        <f>IF(F$8=1,SUMIFS('05-أيار'!$Q$2:$Q$501,'05-أيار'!$F$2:$F$501,"*دولار*"),"")</f>
        <v/>
      </c>
      <c r="G24" s="16">
        <f>IF(G$8=1,SUMIFS('06-حزيران'!$Q$2:$Q$499,'06-حزيران'!$F$2:$F$499,"*دولار*"),"")</f>
        <v>29259.798500000001</v>
      </c>
      <c r="H24" s="16">
        <f>IF(H$8=1,SUMIFS('07-تموز'!$Q$2:$Q$500,'07-تموز'!$F$2:$F$500,"*دولار*"),"")</f>
        <v>34979.924699999996</v>
      </c>
      <c r="I24" s="16">
        <f>IF(I$8=1,SUMIFS('08-آب'!$Q$2:$Q$501,'08-آب'!$F$2:$F$501,"*دولار*"),"")</f>
        <v>33915.3001</v>
      </c>
      <c r="J24" s="16">
        <f>IF(J$8=1,SUMIFS('09-أيلول'!$Q$2:$Q$500,'09-أيلول'!$F$2:$F$500,"*دولار*"),"")</f>
        <v>34743.511699999988</v>
      </c>
      <c r="K24" s="16" t="str">
        <f>IF(K$8=1,SUMIFS('10-تشرين الأول'!$Q$2:$Q$501,'10-تشرين الأول'!$F$2:$F$501,"*دولار*"),"")</f>
        <v/>
      </c>
      <c r="L24" s="16" t="str">
        <f>IF(L$8=1,SUMIFS('11-تشرين الثاني'!$Q$2:$Q$501,'11-تشرين الثاني'!$F$2:$F$501,"*دولار*"),"")</f>
        <v/>
      </c>
      <c r="M24" s="16" t="str">
        <f>IF(M$8=1,SUMIFS('12-كانون الأول'!$Q$2:$Q$501,'12-كانون الأول'!$F$2:$F$501,"*دولار*"),"")</f>
        <v/>
      </c>
    </row>
    <row r="25" spans="1:13">
      <c r="A25" s="18" t="s">
        <v>160</v>
      </c>
      <c r="B25" s="17" t="str">
        <f t="shared" ref="B25:M25" si="5">IF(B$8=1,IF(B11&gt;0,B23/B11,0),"")</f>
        <v/>
      </c>
      <c r="C25" s="17" t="str">
        <f t="shared" si="5"/>
        <v/>
      </c>
      <c r="D25" s="17" t="str">
        <f t="shared" si="5"/>
        <v/>
      </c>
      <c r="E25" s="17" t="str">
        <f t="shared" si="5"/>
        <v/>
      </c>
      <c r="F25" s="17" t="str">
        <f t="shared" si="5"/>
        <v/>
      </c>
      <c r="G25" s="17">
        <f t="shared" si="5"/>
        <v>0.34596546216035495</v>
      </c>
      <c r="H25" s="17">
        <f t="shared" si="5"/>
        <v>0.27863105386902931</v>
      </c>
      <c r="I25" s="17">
        <f t="shared" si="5"/>
        <v>0.29260626707992887</v>
      </c>
      <c r="J25" s="17">
        <f t="shared" si="5"/>
        <v>0.22621563169844905</v>
      </c>
      <c r="K25" s="17" t="str">
        <f t="shared" si="5"/>
        <v/>
      </c>
      <c r="L25" s="17" t="str">
        <f t="shared" si="5"/>
        <v/>
      </c>
      <c r="M25" s="17" t="str">
        <f t="shared" si="5"/>
        <v/>
      </c>
    </row>
    <row r="26" spans="1:13" ht="19.5" customHeight="1">
      <c r="A26" s="47" t="s">
        <v>73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>
      <c r="A27" s="18" t="s">
        <v>161</v>
      </c>
      <c r="B27" s="16" t="s">
        <v>162</v>
      </c>
      <c r="C27" s="16" t="str">
        <f t="shared" ref="C27:M27" si="6">IF(AND(C$8=1,B$8=1),C11-B11,"")</f>
        <v/>
      </c>
      <c r="D27" s="16" t="str">
        <f t="shared" si="6"/>
        <v/>
      </c>
      <c r="E27" s="16" t="str">
        <f t="shared" si="6"/>
        <v/>
      </c>
      <c r="F27" s="16" t="str">
        <f t="shared" si="6"/>
        <v/>
      </c>
      <c r="G27" s="16" t="str">
        <f t="shared" si="6"/>
        <v/>
      </c>
      <c r="H27" s="16">
        <f t="shared" si="6"/>
        <v>3753.6415987240762</v>
      </c>
      <c r="I27" s="16">
        <f t="shared" si="6"/>
        <v>-547.01090781497624</v>
      </c>
      <c r="J27" s="16">
        <f t="shared" si="6"/>
        <v>-3043.2540693017363</v>
      </c>
      <c r="K27" s="16" t="str">
        <f t="shared" si="6"/>
        <v/>
      </c>
      <c r="L27" s="16" t="str">
        <f t="shared" si="6"/>
        <v/>
      </c>
      <c r="M27" s="16" t="str">
        <f t="shared" si="6"/>
        <v/>
      </c>
    </row>
    <row r="28" spans="1:13">
      <c r="A28" s="18" t="s">
        <v>163</v>
      </c>
      <c r="B28" s="17" t="s">
        <v>162</v>
      </c>
      <c r="C28" s="17" t="str">
        <f t="shared" ref="C28:M28" si="7">IF(AND(C$8=1,B$8=1),IF(B11&gt;0,(C11-B11)/B11,0),"")</f>
        <v/>
      </c>
      <c r="D28" s="17" t="str">
        <f t="shared" si="7"/>
        <v/>
      </c>
      <c r="E28" s="17" t="str">
        <f t="shared" si="7"/>
        <v/>
      </c>
      <c r="F28" s="17" t="str">
        <f t="shared" si="7"/>
        <v/>
      </c>
      <c r="G28" s="17" t="str">
        <f t="shared" si="7"/>
        <v/>
      </c>
      <c r="H28" s="17">
        <f t="shared" si="7"/>
        <v>8.3903901396900182E-2</v>
      </c>
      <c r="I28" s="17">
        <f t="shared" si="7"/>
        <v>-1.1280661278628626E-2</v>
      </c>
      <c r="J28" s="17">
        <f t="shared" si="7"/>
        <v>-6.3475152805961804E-2</v>
      </c>
      <c r="K28" s="17" t="str">
        <f t="shared" si="7"/>
        <v/>
      </c>
      <c r="L28" s="17" t="str">
        <f t="shared" si="7"/>
        <v/>
      </c>
      <c r="M28" s="17" t="str">
        <f t="shared" si="7"/>
        <v/>
      </c>
    </row>
    <row r="29" spans="1:13">
      <c r="A29" s="18" t="s">
        <v>164</v>
      </c>
      <c r="B29" s="16" t="s">
        <v>162</v>
      </c>
      <c r="C29" s="16" t="str">
        <f t="shared" ref="C29:M29" si="8">IF(AND(C$8=1,B$8=1),C14-B14,"")</f>
        <v/>
      </c>
      <c r="D29" s="16" t="str">
        <f t="shared" si="8"/>
        <v/>
      </c>
      <c r="E29" s="16" t="str">
        <f t="shared" si="8"/>
        <v/>
      </c>
      <c r="F29" s="16" t="str">
        <f t="shared" si="8"/>
        <v/>
      </c>
      <c r="G29" s="16" t="str">
        <f t="shared" si="8"/>
        <v/>
      </c>
      <c r="H29" s="16">
        <f t="shared" si="8"/>
        <v>-541.16637275005451</v>
      </c>
      <c r="I29" s="16">
        <f t="shared" si="8"/>
        <v>333.16590305309728</v>
      </c>
      <c r="J29" s="16">
        <f t="shared" si="8"/>
        <v>-1858.9919393939526</v>
      </c>
      <c r="K29" s="16" t="str">
        <f t="shared" si="8"/>
        <v/>
      </c>
      <c r="L29" s="16" t="str">
        <f t="shared" si="8"/>
        <v/>
      </c>
      <c r="M29" s="16" t="str">
        <f t="shared" si="8"/>
        <v/>
      </c>
    </row>
    <row r="30" spans="1:13">
      <c r="A30" s="18" t="s">
        <v>83</v>
      </c>
      <c r="B30" s="19" t="s">
        <v>162</v>
      </c>
      <c r="C30" s="19" t="str">
        <f>IF(AND(AND(C5&gt;0,C5&lt;=500),AND(B5&gt;0,B5&lt;=500)),COUNTIF('02-شباط'!$W$2:$W$501,"جديد"),"")</f>
        <v/>
      </c>
      <c r="D30" s="19" t="str">
        <f>IF(AND(AND(D5&gt;0,D5&lt;=500),AND(C5&gt;0,C5&lt;=500)),COUNTIF('03-آذار'!$W$2:$W$501,"جديد"),"")</f>
        <v/>
      </c>
      <c r="E30" s="19" t="str">
        <f>IF(AND(AND(E5&gt;0,E5&lt;=500),AND(D5&gt;0,D5&lt;=500)),COUNTIF('04-نيسان'!$W$2:$W$501,"جديد"),"")</f>
        <v/>
      </c>
      <c r="F30" s="19" t="str">
        <f>IF(AND(AND(F5&gt;0,F5&lt;=500),AND(E5&gt;0,E5&lt;=500)),COUNTIF('05-أيار'!$W$2:$W$501,"جديد"),"")</f>
        <v/>
      </c>
      <c r="G30" s="19" t="str">
        <f>IF(AND(AND(G5&gt;0,G5&lt;=500),AND(F5&gt;0,F5&lt;=500)),COUNTIF('06-حزيران'!$W$2:$W$499,"جديد"),"")</f>
        <v/>
      </c>
      <c r="H30" s="19">
        <f>IF(AND(AND(H5&gt;0,H5&lt;=500),AND(G5&gt;0,G5&lt;=500)),COUNTIF('07-تموز'!$W$2:$W$500,"جديد"),"")</f>
        <v>3</v>
      </c>
      <c r="I30" s="19">
        <f>IF(AND(AND(I5&gt;0,I5&lt;=500),AND(H5&gt;0,H5&lt;=500)),COUNTIF('08-آب'!$W$2:$W$501,"جديد"),"")</f>
        <v>22</v>
      </c>
      <c r="J30" s="19">
        <f>IF(AND(AND(J5&gt;0,J5&lt;=500),AND(I5&gt;0,I5&lt;=500)),COUNTIF('09-أيلول'!$W$2:$W$500,"جديد"),"")</f>
        <v>8</v>
      </c>
      <c r="K30" s="19" t="str">
        <f>IF(AND(AND(K5&gt;0,K5&lt;=500),AND(J5&gt;0,J5&lt;=500)),COUNTIF('10-تشرين الأول'!$W$2:$W$501,"جديد"),"")</f>
        <v/>
      </c>
      <c r="L30" s="19" t="str">
        <f>IF(AND(AND(L5&gt;0,L5&lt;=500),AND(K5&gt;0,K5&lt;=500)),COUNTIF('11-تشرين الثاني'!$W$2:$W$501,"جديد"),"")</f>
        <v/>
      </c>
      <c r="M30" s="19" t="str">
        <f>IF(AND(AND(M5&gt;0,M5&lt;=500),AND(L5&gt;0,L5&lt;=500)),COUNTIF('12-كانون الأول'!$W$2:$W$501,"جديد"),"")</f>
        <v/>
      </c>
    </row>
    <row r="31" spans="1:13">
      <c r="A31" s="18" t="s">
        <v>85</v>
      </c>
      <c r="B31" s="19" t="s">
        <v>162</v>
      </c>
      <c r="C31" s="19" t="str">
        <f>IF(AND(AND(C5&gt;0,C5&lt;=500),AND(B5&gt;0,B5&lt;=500)),COUNTIF('01-كانون الثاني'!$AC$2:$AC$501,"محذوف لاحقاً"),"")</f>
        <v/>
      </c>
      <c r="D31" s="19" t="str">
        <f>IF(AND(AND(D5&gt;0,D5&lt;=500),AND(C5&gt;0,C5&lt;=500)),COUNTIF('02-شباط'!$AC$2:$AC$501,"محذوف لاحقاً"),"")</f>
        <v/>
      </c>
      <c r="E31" s="19" t="str">
        <f>IF(AND(AND(E5&gt;0,E5&lt;=500),AND(D5&gt;0,D5&lt;=500)),COUNTIF('03-آذار'!$AC$2:$AC$501,"محذوف لاحقاً"),"")</f>
        <v/>
      </c>
      <c r="F31" s="19" t="str">
        <f>IF(AND(AND(F5&gt;0,F5&lt;=500),AND(E5&gt;0,E5&lt;=500)),COUNTIF('04-نيسان'!$AC$2:$AC$501,"محذوف لاحقاً"),"")</f>
        <v/>
      </c>
      <c r="G31" s="19" t="str">
        <f>IF(AND(AND(G5&gt;0,G5&lt;=500),AND(F5&gt;0,F5&lt;=500)),COUNTIF('05-أيار'!$AC$2:$AC$501,"محذوف لاحقاً"),"")</f>
        <v/>
      </c>
      <c r="H31" s="19">
        <f>IF(AND(AND(H5&gt;0,H5&lt;=500),AND(G5&gt;0,G5&lt;=500)),COUNTIF('06-حزيران'!$AC$2:$AC$499,"محذوف لاحقاً"),"")</f>
        <v>0</v>
      </c>
      <c r="I31" s="19">
        <f>IF(AND(AND(I5&gt;0,I5&lt;=500),AND(H5&gt;0,H5&lt;=500)),COUNTIF('07-تموز'!$AC$2:$AC$500,"محذوف لاحقاً"),"")</f>
        <v>0</v>
      </c>
      <c r="J31" s="19">
        <f>IF(AND(AND(J5&gt;0,J5&lt;=500),AND(I5&gt;0,I5&lt;=500)),COUNTIF('08-آب'!$AC$2:$AC$501,"محذوف لاحقاً"),"")</f>
        <v>1</v>
      </c>
      <c r="K31" s="19" t="str">
        <f>IF(AND(AND(K5&gt;0,K5&lt;=500),AND(J5&gt;0,J5&lt;=500)),COUNTIF('09-أيلول'!$AC$2:$AC$500,"محذوف لاحقاً"),"")</f>
        <v/>
      </c>
      <c r="L31" s="19" t="str">
        <f>IF(AND(AND(L5&gt;0,L5&lt;=500),AND(K5&gt;0,K5&lt;=500)),COUNTIF('10-تشرين الأول'!$AC$2:$AC$501,"محذوف لاحقاً"),"")</f>
        <v/>
      </c>
      <c r="M31" s="19" t="str">
        <f>IF(AND(AND(M5&gt;0,M5&lt;=500),AND(L5&gt;0,L5&lt;=500)),COUNTIF('11-تشرين الثاني'!$AC$2:$AC$501,"محذوف لاحقاً"),"")</f>
        <v/>
      </c>
    </row>
    <row r="32" spans="1:13">
      <c r="A32" s="18" t="s">
        <v>165</v>
      </c>
      <c r="B32" s="19" t="s">
        <v>162</v>
      </c>
      <c r="C32" s="19" t="str">
        <f>IF(AND(AND(C5&gt;0,C5&lt;=500),AND(B5&gt;0,B5&lt;=500)),COUNTIFS('02-شباط'!$Y$2:$Y$501,"&gt;0",'02-شباط'!$W$2:$W$501,"&lt;&gt;جديد"),"")</f>
        <v/>
      </c>
      <c r="D32" s="19" t="str">
        <f>IF(AND(AND(D5&gt;0,D5&lt;=500),AND(C5&gt;0,C5&lt;=500)),COUNTIFS('03-آذار'!$Y$2:$Y$501,"&gt;0",'03-آذار'!$W$2:$W$501,"&lt;&gt;جديد"),"")</f>
        <v/>
      </c>
      <c r="E32" s="19" t="str">
        <f>IF(AND(AND(E5&gt;0,E5&lt;=500),AND(D5&gt;0,D5&lt;=500)),COUNTIFS('04-نيسان'!$Y$2:$Y$501,"&gt;0",'04-نيسان'!$W$2:$W$501,"&lt;&gt;جديد"),"")</f>
        <v/>
      </c>
      <c r="F32" s="19" t="str">
        <f>IF(AND(AND(F5&gt;0,F5&lt;=500),AND(E5&gt;0,E5&lt;=500)),COUNTIFS('05-أيار'!$Y$2:$Y$501,"&gt;0",'05-أيار'!$W$2:$W$501,"&lt;&gt;جديد"),"")</f>
        <v/>
      </c>
      <c r="G32" s="19" t="str">
        <f>IF(AND(AND(G5&gt;0,G5&lt;=500),AND(F5&gt;0,F5&lt;=500)),COUNTIFS('06-حزيران'!$Y$2:$Y$499,"&gt;0",'06-حزيران'!$W$2:$W$499,"&lt;&gt;جديد"),"")</f>
        <v/>
      </c>
      <c r="H32" s="19">
        <f>IF(AND(AND(H5&gt;0,H5&lt;=500),AND(G5&gt;0,G5&lt;=500)),COUNTIFS('07-تموز'!$Y$2:$Y$500,"&gt;0",'07-تموز'!$W$2:$W$500,"&lt;&gt;جديد"),"")</f>
        <v>30</v>
      </c>
      <c r="I32" s="19">
        <f>IF(AND(AND(I5&gt;0,I5&lt;=500),AND(H5&gt;0,H5&lt;=500)),COUNTIFS('08-آب'!$Y$2:$Y$501,"&gt;0",'08-آب'!$W$2:$W$501,"&lt;&gt;جديد"),"")</f>
        <v>32</v>
      </c>
      <c r="J32" s="19">
        <f>IF(AND(AND(J5&gt;0,J5&lt;=500),AND(I5&gt;0,I5&lt;=500)),COUNTIFS('09-أيلول'!$Y$2:$Y$500,"&gt;0",'09-أيلول'!$W$2:$W$500,"&lt;&gt;جديد"),"")</f>
        <v>19</v>
      </c>
      <c r="K32" s="19" t="str">
        <f>IF(AND(AND(K5&gt;0,K5&lt;=500),AND(J5&gt;0,J5&lt;=500)),COUNTIFS('10-تشرين الأول'!$Y$2:$Y$501,"&gt;0",'10-تشرين الأول'!$W$2:$W$501,"&lt;&gt;جديد"),"")</f>
        <v/>
      </c>
      <c r="L32" s="19" t="str">
        <f>IF(AND(AND(L5&gt;0,L5&lt;=500),AND(K5&gt;0,K5&lt;=500)),COUNTIFS('11-تشرين الثاني'!$Y$2:$Y$501,"&gt;0",'11-تشرين الثاني'!$W$2:$W$501,"&lt;&gt;جديد"),"")</f>
        <v/>
      </c>
      <c r="M32" s="19" t="str">
        <f>IF(AND(AND(M5&gt;0,M5&lt;=500),AND(L5&gt;0,L5&lt;=500)),COUNTIFS('12-كانون الأول'!$Y$2:$Y$501,"&gt;0",'12-كانون الأول'!$W$2:$W$501,"&lt;&gt;جديد"),"")</f>
        <v/>
      </c>
    </row>
    <row r="33" spans="1:13">
      <c r="A33" s="18" t="s">
        <v>89</v>
      </c>
      <c r="B33" s="19" t="s">
        <v>162</v>
      </c>
      <c r="C33" s="19" t="str">
        <f>IF(AND(AND(C5&gt;0,C5&lt;=500),AND(B5&gt;0,B5&lt;=500)),COUNTIFS('02-شباط'!$Y$2:$Y$501,"&lt;0",'02-شباط'!$W$2:$W$501,"&lt;&gt;جديد"),"")</f>
        <v/>
      </c>
      <c r="D33" s="19" t="str">
        <f>IF(AND(AND(D5&gt;0,D5&lt;=500),AND(C5&gt;0,C5&lt;=500)),COUNTIFS('03-آذار'!$Y$2:$Y$501,"&lt;0",'03-آذار'!$W$2:$W$501,"&lt;&gt;جديد"),"")</f>
        <v/>
      </c>
      <c r="E33" s="19" t="str">
        <f>IF(AND(AND(E5&gt;0,E5&lt;=500),AND(D5&gt;0,D5&lt;=500)),COUNTIFS('04-نيسان'!$Y$2:$Y$501,"&lt;0",'04-نيسان'!$W$2:$W$501,"&lt;&gt;جديد"),"")</f>
        <v/>
      </c>
      <c r="F33" s="19" t="str">
        <f>IF(AND(AND(F5&gt;0,F5&lt;=500),AND(E5&gt;0,E5&lt;=500)),COUNTIFS('05-أيار'!$Y$2:$Y$501,"&lt;0",'05-أيار'!$W$2:$W$501,"&lt;&gt;جديد"),"")</f>
        <v/>
      </c>
      <c r="G33" s="19" t="str">
        <f>IF(AND(AND(G5&gt;0,G5&lt;=500),AND(F5&gt;0,F5&lt;=500)),COUNTIFS('06-حزيران'!$Y$2:$Y$499,"&lt;0",'06-حزيران'!$W$2:$W$499,"&lt;&gt;جديد"),"")</f>
        <v/>
      </c>
      <c r="H33" s="19">
        <f>IF(AND(AND(H5&gt;0,H5&lt;=500),AND(G5&gt;0,G5&lt;=500)),COUNTIFS('07-تموز'!$Y$2:$Y$500,"&lt;0",'07-تموز'!$W$2:$W$500,"&lt;&gt;جديد"),"")</f>
        <v>40</v>
      </c>
      <c r="I33" s="19">
        <f>IF(AND(AND(I5&gt;0,I5&lt;=500),AND(H5&gt;0,H5&lt;=500)),COUNTIFS('08-آب'!$Y$2:$Y$501,"&lt;0",'08-آب'!$W$2:$W$501,"&lt;&gt;جديد"),"")</f>
        <v>49</v>
      </c>
      <c r="J33" s="19">
        <f>IF(AND(AND(J5&gt;0,J5&lt;=500),AND(I5&gt;0,I5&lt;=500)),COUNTIFS('09-أيلول'!$Y$2:$Y$500,"&lt;0",'09-أيلول'!$W$2:$W$500,"&lt;&gt;جديد"),"")</f>
        <v>68</v>
      </c>
      <c r="K33" s="19" t="str">
        <f>IF(AND(AND(K5&gt;0,K5&lt;=500),AND(J5&gt;0,J5&lt;=500)),COUNTIFS('10-تشرين الأول'!$Y$2:$Y$501,"&lt;0",'10-تشرين الأول'!$W$2:$W$501,"&lt;&gt;جديد"),"")</f>
        <v/>
      </c>
      <c r="L33" s="19" t="str">
        <f>IF(AND(AND(L5&gt;0,L5&lt;=500),AND(K5&gt;0,K5&lt;=500)),COUNTIFS('11-تشرين الثاني'!$Y$2:$Y$501,"&lt;0",'11-تشرين الثاني'!$W$2:$W$501,"&lt;&gt;جديد"),"")</f>
        <v/>
      </c>
      <c r="M33" s="19" t="str">
        <f>IF(AND(AND(M5&gt;0,M5&lt;=500),AND(L5&gt;0,L5&lt;=500)),COUNTIFS('12-كانون الأول'!$Y$2:$Y$501,"&lt;0",'12-كانون الأول'!$W$2:$W$501,"&lt;&gt;جديد"),"")</f>
        <v/>
      </c>
    </row>
    <row r="34" spans="1:13">
      <c r="A34" s="18" t="s">
        <v>166</v>
      </c>
      <c r="B34" s="19" t="s">
        <v>162</v>
      </c>
      <c r="C34" s="19" t="str">
        <f>IF(AND(AND(C5&gt;0,C5&lt;=500),AND(B5&gt;0,B5&lt;=500)),COUNTIF('02-شباط'!$AB$2:$AB$501,"&gt;"&amp;'لوحة التحكم'!$C$12),"")</f>
        <v/>
      </c>
      <c r="D34" s="19" t="str">
        <f>IF(AND(AND(D5&gt;0,D5&lt;=500),AND(C5&gt;0,C5&lt;=500)),COUNTIF('03-آذار'!$AB$2:$AB$501,"&gt;"&amp;'لوحة التحكم'!$C$12),"")</f>
        <v/>
      </c>
      <c r="E34" s="19" t="str">
        <f>IF(AND(AND(E5&gt;0,E5&lt;=500),AND(D5&gt;0,D5&lt;=500)),COUNTIF('04-نيسان'!$AB$2:$AB$501,"&gt;"&amp;'لوحة التحكم'!$C$12),"")</f>
        <v/>
      </c>
      <c r="F34" s="19" t="str">
        <f>IF(AND(AND(F5&gt;0,F5&lt;=500),AND(E5&gt;0,E5&lt;=500)),COUNTIF('05-أيار'!$AB$2:$AB$501,"&gt;"&amp;'لوحة التحكم'!$C$12),"")</f>
        <v/>
      </c>
      <c r="G34" s="19" t="str">
        <f>IF(AND(AND(G5&gt;0,G5&lt;=500),AND(F5&gt;0,F5&lt;=500)),COUNTIF('06-حزيران'!$AB$2:$AB$499,"&gt;"&amp;'لوحة التحكم'!$C$12),"")</f>
        <v/>
      </c>
      <c r="H34" s="19">
        <f>IF(AND(AND(H5&gt;0,H5&lt;=500),AND(G5&gt;0,G5&lt;=500)),COUNTIF('07-تموز'!$AB$2:$AB$500,"&gt;"&amp;'لوحة التحكم'!$C$12),"")</f>
        <v>1</v>
      </c>
      <c r="I34" s="19">
        <f>IF(AND(AND(I5&gt;0,I5&lt;=500),AND(H5&gt;0,H5&lt;=500)),COUNTIF('08-آب'!$AB$2:$AB$501,"&gt;"&amp;'لوحة التحكم'!$C$12),"")</f>
        <v>0</v>
      </c>
      <c r="J34" s="19">
        <f>IF(AND(AND(J5&gt;0,J5&lt;=500),AND(I5&gt;0,I5&lt;=500)),COUNTIF('09-أيلول'!$AB$2:$AB$500,"&gt;"&amp;'لوحة التحكم'!$C$12),"")</f>
        <v>0</v>
      </c>
      <c r="K34" s="19" t="str">
        <f>IF(AND(AND(K5&gt;0,K5&lt;=500),AND(J5&gt;0,J5&lt;=500)),COUNTIF('10-تشرين الأول'!$AB$2:$AB$501,"&gt;"&amp;'لوحة التحكم'!$C$12),"")</f>
        <v/>
      </c>
      <c r="L34" s="19" t="str">
        <f>IF(AND(AND(L5&gt;0,L5&lt;=500),AND(K5&gt;0,K5&lt;=500)),COUNTIF('11-تشرين الثاني'!$AB$2:$AB$501,"&gt;"&amp;'لوحة التحكم'!$C$12),"")</f>
        <v/>
      </c>
      <c r="M34" s="19" t="str">
        <f>IF(AND(AND(M5&gt;0,M5&lt;=500),AND(L5&gt;0,L5&lt;=500)),COUNTIF('12-كانون الأول'!$AB$2:$AB$501,"&gt;"&amp;'لوحة التحكم'!$C$12),"")</f>
        <v/>
      </c>
    </row>
    <row r="35" spans="1:13">
      <c r="A35" s="18" t="s">
        <v>167</v>
      </c>
      <c r="B35" s="19" t="s">
        <v>162</v>
      </c>
      <c r="C35" s="19" t="str">
        <f>IF(AND(AND(C5&gt;0,C5&lt;=500),AND(B5&gt;0,B5&lt;=500)),COUNTIF('02-شباط'!$AB$2:$AB$501,"&lt;"&amp;-'لوحة التحكم'!$C$12),"")</f>
        <v/>
      </c>
      <c r="D35" s="19" t="str">
        <f>IF(AND(AND(D5&gt;0,D5&lt;=500),AND(C5&gt;0,C5&lt;=500)),COUNTIF('03-آذار'!$AB$2:$AB$501,"&lt;"&amp;-'لوحة التحكم'!$C$12),"")</f>
        <v/>
      </c>
      <c r="E35" s="19" t="str">
        <f>IF(AND(AND(E5&gt;0,E5&lt;=500),AND(D5&gt;0,D5&lt;=500)),COUNTIF('04-نيسان'!$AB$2:$AB$501,"&lt;"&amp;-'لوحة التحكم'!$C$12),"")</f>
        <v/>
      </c>
      <c r="F35" s="19" t="str">
        <f>IF(AND(AND(F5&gt;0,F5&lt;=500),AND(E5&gt;0,E5&lt;=500)),COUNTIF('05-أيار'!$AB$2:$AB$501,"&lt;"&amp;-'لوحة التحكم'!$C$12),"")</f>
        <v/>
      </c>
      <c r="G35" s="19" t="str">
        <f>IF(AND(AND(G5&gt;0,G5&lt;=500),AND(F5&gt;0,F5&lt;=500)),COUNTIF('06-حزيران'!$AB$2:$AB$499,"&lt;"&amp;-'لوحة التحكم'!$C$12),"")</f>
        <v/>
      </c>
      <c r="H35" s="19">
        <f>IF(AND(AND(H5&gt;0,H5&lt;=500),AND(G5&gt;0,G5&lt;=500)),COUNTIF('07-تموز'!$AB$2:$AB$500,"&lt;"&amp;-'لوحة التحكم'!$C$12),"")</f>
        <v>0</v>
      </c>
      <c r="I35" s="19">
        <f>IF(AND(AND(I5&gt;0,I5&lt;=500),AND(H5&gt;0,H5&lt;=500)),COUNTIF('08-آب'!$AB$2:$AB$501,"&lt;"&amp;-'لوحة التحكم'!$C$12),"")</f>
        <v>0</v>
      </c>
      <c r="J35" s="19">
        <f>IF(AND(AND(J5&gt;0,J5&lt;=500),AND(I5&gt;0,I5&lt;=500)),COUNTIF('09-أيلول'!$AB$2:$AB$500,"&lt;"&amp;-'لوحة التحكم'!$C$12),"")</f>
        <v>1</v>
      </c>
      <c r="K35" s="19" t="str">
        <f>IF(AND(AND(K5&gt;0,K5&lt;=500),AND(J5&gt;0,J5&lt;=500)),COUNTIF('10-تشرين الأول'!$AB$2:$AB$501,"&lt;"&amp;-'لوحة التحكم'!$C$12),"")</f>
        <v/>
      </c>
      <c r="L35" s="19" t="str">
        <f>IF(AND(AND(L5&gt;0,L5&lt;=500),AND(K5&gt;0,K5&lt;=500)),COUNTIF('11-تشرين الثاني'!$AB$2:$AB$501,"&lt;"&amp;-'لوحة التحكم'!$C$12),"")</f>
        <v/>
      </c>
      <c r="M35" s="19" t="str">
        <f>IF(AND(AND(M5&gt;0,M5&lt;=500),AND(L5&gt;0,L5&lt;=500)),COUNTIF('12-كانون الأول'!$AB$2:$AB$501,"&lt;"&amp;-'لوحة التحكم'!$C$12),"")</f>
        <v/>
      </c>
    </row>
    <row r="36" spans="1:13" ht="19.5" customHeight="1">
      <c r="A36" s="47" t="s">
        <v>168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spans="1:13">
      <c r="A37" s="18" t="s">
        <v>78</v>
      </c>
      <c r="B37" s="19" t="str">
        <f>IF(AND(B5&gt;0,B5&lt;=500),COUNTIF('01-كانون الثاني'!$U$2:$U$501,"*كمية سالبة*"),"")</f>
        <v/>
      </c>
      <c r="C37" s="19" t="str">
        <f>IF(AND(C5&gt;0,C5&lt;=500),COUNTIF('02-شباط'!$U$2:$U$501,"*كمية سالبة*"),"")</f>
        <v/>
      </c>
      <c r="D37" s="19" t="str">
        <f>IF(AND(D5&gt;0,D5&lt;=500),COUNTIF('03-آذار'!$U$2:$U$501,"*كمية سالبة*"),"")</f>
        <v/>
      </c>
      <c r="E37" s="19" t="str">
        <f>IF(AND(E5&gt;0,E5&lt;=500),COUNTIF('04-نيسان'!$U$2:$U$501,"*كمية سالبة*"),"")</f>
        <v/>
      </c>
      <c r="F37" s="19" t="str">
        <f>IF(AND(F5&gt;0,F5&lt;=500),COUNTIF('05-أيار'!$U$2:$U$501,"*كمية سالبة*"),"")</f>
        <v/>
      </c>
      <c r="G37" s="19">
        <f>IF(AND(G5&gt;0,G5&lt;=500),COUNTIF('06-حزيران'!$U$2:$U$499,"*كمية سالبة*"),"")</f>
        <v>0</v>
      </c>
      <c r="H37" s="19">
        <f>IF(AND(H5&gt;0,H5&lt;=500),COUNTIF('07-تموز'!$U$2:$U$500,"*كمية سالبة*"),"")</f>
        <v>0</v>
      </c>
      <c r="I37" s="19">
        <f>IF(AND(I5&gt;0,I5&lt;=500),COUNTIF('08-آب'!$U$2:$U$501,"*كمية سالبة*"),"")</f>
        <v>0</v>
      </c>
      <c r="J37" s="19">
        <f>IF(AND(J5&gt;0,J5&lt;=500),COUNTIF('09-أيلول'!$U$2:$U$500,"*كمية سالبة*"),"")</f>
        <v>0</v>
      </c>
      <c r="K37" s="19" t="str">
        <f>IF(AND(K5&gt;0,K5&lt;=500),COUNTIF('10-تشرين الأول'!$U$2:$U$501,"*كمية سالبة*"),"")</f>
        <v/>
      </c>
      <c r="L37" s="19" t="str">
        <f>IF(AND(L5&gt;0,L5&lt;=500),COUNTIF('11-تشرين الثاني'!$U$2:$U$501,"*كمية سالبة*"),"")</f>
        <v/>
      </c>
      <c r="M37" s="19" t="str">
        <f>IF(AND(M5&gt;0,M5&lt;=500),COUNTIF('12-كانون الأول'!$U$2:$U$501,"*كمية سالبة*"),"")</f>
        <v/>
      </c>
    </row>
    <row r="38" spans="1:13">
      <c r="A38" s="18" t="s">
        <v>80</v>
      </c>
      <c r="B38" s="19" t="str">
        <f>IF(AND(B5&gt;0,B5&lt;=500),COUNTIF('01-كانون الثاني'!$U$2:$U$501,"*شراء صفر*"),"")</f>
        <v/>
      </c>
      <c r="C38" s="19" t="str">
        <f>IF(AND(C5&gt;0,C5&lt;=500),COUNTIF('02-شباط'!$U$2:$U$501,"*شراء صفر*"),"")</f>
        <v/>
      </c>
      <c r="D38" s="19" t="str">
        <f>IF(AND(D5&gt;0,D5&lt;=500),COUNTIF('03-آذار'!$U$2:$U$501,"*شراء صفر*"),"")</f>
        <v/>
      </c>
      <c r="E38" s="19" t="str">
        <f>IF(AND(E5&gt;0,E5&lt;=500),COUNTIF('04-نيسان'!$U$2:$U$501,"*شراء صفر*"),"")</f>
        <v/>
      </c>
      <c r="F38" s="19" t="str">
        <f>IF(AND(F5&gt;0,F5&lt;=500),COUNTIF('05-أيار'!$U$2:$U$501,"*شراء صفر*"),"")</f>
        <v/>
      </c>
      <c r="G38" s="19">
        <f>IF(AND(G5&gt;0,G5&lt;=500),COUNTIF('06-حزيران'!$U$2:$U$499,"*شراء صفر*"),"")</f>
        <v>0</v>
      </c>
      <c r="H38" s="19">
        <f>IF(AND(H5&gt;0,H5&lt;=500),COUNTIF('07-تموز'!$U$2:$U$500,"*شراء صفر*"),"")</f>
        <v>0</v>
      </c>
      <c r="I38" s="19">
        <f>IF(AND(I5&gt;0,I5&lt;=500),COUNTIF('08-آب'!$U$2:$U$501,"*شراء صفر*"),"")</f>
        <v>0</v>
      </c>
      <c r="J38" s="19">
        <f>IF(AND(J5&gt;0,J5&lt;=500),COUNTIF('09-أيلول'!$U$2:$U$500,"*شراء صفر*"),"")</f>
        <v>0</v>
      </c>
      <c r="K38" s="19" t="str">
        <f>IF(AND(K5&gt;0,K5&lt;=500),COUNTIF('10-تشرين الأول'!$U$2:$U$501,"*شراء صفر*"),"")</f>
        <v/>
      </c>
      <c r="L38" s="19" t="str">
        <f>IF(AND(L5&gt;0,L5&lt;=500),COUNTIF('11-تشرين الثاني'!$U$2:$U$501,"*شراء صفر*"),"")</f>
        <v/>
      </c>
      <c r="M38" s="19" t="str">
        <f>IF(AND(M5&gt;0,M5&lt;=500),COUNTIF('12-كانون الأول'!$U$2:$U$501,"*شراء صفر*"),"")</f>
        <v/>
      </c>
    </row>
    <row r="39" spans="1:13">
      <c r="A39" s="18" t="s">
        <v>169</v>
      </c>
      <c r="B39" s="19" t="str">
        <f>IF(AND(B5&gt;0,B5&lt;=500),COUNTIF('01-كانون الثاني'!$U$2:$U$501,"*بيع صفر*"),"")</f>
        <v/>
      </c>
      <c r="C39" s="19" t="str">
        <f>IF(AND(C5&gt;0,C5&lt;=500),COUNTIF('02-شباط'!$U$2:$U$501,"*بيع صفر*"),"")</f>
        <v/>
      </c>
      <c r="D39" s="19" t="str">
        <f>IF(AND(D5&gt;0,D5&lt;=500),COUNTIF('03-آذار'!$U$2:$U$501,"*بيع صفر*"),"")</f>
        <v/>
      </c>
      <c r="E39" s="19" t="str">
        <f>IF(AND(E5&gt;0,E5&lt;=500),COUNTIF('04-نيسان'!$U$2:$U$501,"*بيع صفر*"),"")</f>
        <v/>
      </c>
      <c r="F39" s="19" t="str">
        <f>IF(AND(F5&gt;0,F5&lt;=500),COUNTIF('05-أيار'!$U$2:$U$501,"*بيع صفر*"),"")</f>
        <v/>
      </c>
      <c r="G39" s="19">
        <f>IF(AND(G5&gt;0,G5&lt;=500),COUNTIF('06-حزيران'!$U$2:$U$499,"*بيع صفر*"),"")</f>
        <v>0</v>
      </c>
      <c r="H39" s="19">
        <f>IF(AND(H5&gt;0,H5&lt;=500),COUNTIF('07-تموز'!$U$2:$U$500,"*بيع صفر*"),"")</f>
        <v>0</v>
      </c>
      <c r="I39" s="19">
        <f>IF(AND(I5&gt;0,I5&lt;=500),COUNTIF('08-آب'!$U$2:$U$501,"*بيع صفر*"),"")</f>
        <v>0</v>
      </c>
      <c r="J39" s="19">
        <f>IF(AND(J5&gt;0,J5&lt;=500),COUNTIF('09-أيلول'!$U$2:$U$500,"*بيع صفر*"),"")</f>
        <v>0</v>
      </c>
      <c r="K39" s="19" t="str">
        <f>IF(AND(K5&gt;0,K5&lt;=500),COUNTIF('10-تشرين الأول'!$U$2:$U$501,"*بيع صفر*"),"")</f>
        <v/>
      </c>
      <c r="L39" s="19" t="str">
        <f>IF(AND(L5&gt;0,L5&lt;=500),COUNTIF('11-تشرين الثاني'!$U$2:$U$501,"*بيع صفر*"),"")</f>
        <v/>
      </c>
      <c r="M39" s="19" t="str">
        <f>IF(AND(M5&gt;0,M5&lt;=500),COUNTIF('12-كانون الأول'!$U$2:$U$501,"*بيع صفر*"),"")</f>
        <v/>
      </c>
    </row>
    <row r="40" spans="1:13">
      <c r="A40" s="18" t="s">
        <v>170</v>
      </c>
      <c r="B40" s="19" t="str">
        <f>IF(AND(B5&gt;0,B5&lt;=500),COUNTIF('01-كانون الثاني'!$U$2:$U$501,"*بيع أقل من الشراء*"),"")</f>
        <v/>
      </c>
      <c r="C40" s="19" t="str">
        <f>IF(AND(C5&gt;0,C5&lt;=500),COUNTIF('02-شباط'!$U$2:$U$501,"*بيع أقل من الشراء*"),"")</f>
        <v/>
      </c>
      <c r="D40" s="19" t="str">
        <f>IF(AND(D5&gt;0,D5&lt;=500),COUNTIF('03-آذار'!$U$2:$U$501,"*بيع أقل من الشراء*"),"")</f>
        <v/>
      </c>
      <c r="E40" s="19" t="str">
        <f>IF(AND(E5&gt;0,E5&lt;=500),COUNTIF('04-نيسان'!$U$2:$U$501,"*بيع أقل من الشراء*"),"")</f>
        <v/>
      </c>
      <c r="F40" s="19" t="str">
        <f>IF(AND(F5&gt;0,F5&lt;=500),COUNTIF('05-أيار'!$U$2:$U$501,"*بيع أقل من الشراء*"),"")</f>
        <v/>
      </c>
      <c r="G40" s="19">
        <f>IF(AND(G5&gt;0,G5&lt;=500),COUNTIF('06-حزيران'!$U$2:$U$499,"*بيع أقل من الشراء*"),"")</f>
        <v>0</v>
      </c>
      <c r="H40" s="19">
        <f>IF(AND(H5&gt;0,H5&lt;=500),COUNTIF('07-تموز'!$U$2:$U$500,"*بيع أقل من الشراء*"),"")</f>
        <v>0</v>
      </c>
      <c r="I40" s="19">
        <f>IF(AND(I5&gt;0,I5&lt;=500),COUNTIF('08-آب'!$U$2:$U$501,"*بيع أقل من الشراء*"),"")</f>
        <v>0</v>
      </c>
      <c r="J40" s="19">
        <f>IF(AND(J5&gt;0,J5&lt;=500),COUNTIF('09-أيلول'!$U$2:$U$500,"*بيع أقل من الشراء*"),"")</f>
        <v>0</v>
      </c>
      <c r="K40" s="19" t="str">
        <f>IF(AND(K5&gt;0,K5&lt;=500),COUNTIF('10-تشرين الأول'!$U$2:$U$501,"*بيع أقل من الشراء*"),"")</f>
        <v/>
      </c>
      <c r="L40" s="19" t="str">
        <f>IF(AND(L5&gt;0,L5&lt;=500),COUNTIF('11-تشرين الثاني'!$U$2:$U$501,"*بيع أقل من الشراء*"),"")</f>
        <v/>
      </c>
      <c r="M40" s="19" t="str">
        <f>IF(AND(M5&gt;0,M5&lt;=500),COUNTIF('12-كانون الأول'!$U$2:$U$501,"*بيع أقل من الشراء*"),"")</f>
        <v/>
      </c>
    </row>
    <row r="41" spans="1:13">
      <c r="A41" s="18" t="s">
        <v>86</v>
      </c>
      <c r="B41" s="19" t="str">
        <f>IF(AND(B5&gt;0,B5&lt;=500),COUNTIF('01-كانون الثاني'!$U$2:$U$501,"*مشكوك*"),"")</f>
        <v/>
      </c>
      <c r="C41" s="19" t="str">
        <f>IF(AND(C5&gt;0,C5&lt;=500),COUNTIF('02-شباط'!$U$2:$U$501,"*مشكوك*"),"")</f>
        <v/>
      </c>
      <c r="D41" s="19" t="str">
        <f>IF(AND(D5&gt;0,D5&lt;=500),COUNTIF('03-آذار'!$U$2:$U$501,"*مشكوك*"),"")</f>
        <v/>
      </c>
      <c r="E41" s="19" t="str">
        <f>IF(AND(E5&gt;0,E5&lt;=500),COUNTIF('04-نيسان'!$U$2:$U$501,"*مشكوك*"),"")</f>
        <v/>
      </c>
      <c r="F41" s="19" t="str">
        <f>IF(AND(F5&gt;0,F5&lt;=500),COUNTIF('05-أيار'!$U$2:$U$501,"*مشكوك*"),"")</f>
        <v/>
      </c>
      <c r="G41" s="19">
        <f>IF(AND(G5&gt;0,G5&lt;=500),COUNTIF('06-حزيران'!$U$2:$U$499,"*مشكوك*"),"")</f>
        <v>0</v>
      </c>
      <c r="H41" s="19">
        <f>IF(AND(H5&gt;0,H5&lt;=500),COUNTIF('07-تموز'!$U$2:$U$500,"*مشكوك*"),"")</f>
        <v>0</v>
      </c>
      <c r="I41" s="19">
        <f>IF(AND(I5&gt;0,I5&lt;=500),COUNTIF('08-آب'!$U$2:$U$501,"*مشكوك*"),"")</f>
        <v>0</v>
      </c>
      <c r="J41" s="19">
        <f>IF(AND(J5&gt;0,J5&lt;=500),COUNTIF('09-أيلول'!$U$2:$U$500,"*مشكوك*"),"")</f>
        <v>0</v>
      </c>
      <c r="K41" s="19" t="str">
        <f>IF(AND(K5&gt;0,K5&lt;=500),COUNTIF('10-تشرين الأول'!$U$2:$U$501,"*مشكوك*"),"")</f>
        <v/>
      </c>
      <c r="L41" s="19" t="str">
        <f>IF(AND(L5&gt;0,L5&lt;=500),COUNTIF('11-تشرين الثاني'!$U$2:$U$501,"*مشكوك*"),"")</f>
        <v/>
      </c>
      <c r="M41" s="19" t="str">
        <f>IF(AND(M5&gt;0,M5&lt;=500),COUNTIF('12-كانون الأول'!$U$2:$U$501,"*مشكوك*"),"")</f>
        <v/>
      </c>
    </row>
    <row r="42" spans="1:13">
      <c r="A42" s="18" t="s">
        <v>171</v>
      </c>
      <c r="B42" s="19" t="str">
        <f>IF(AND(B5&gt;0,B5&lt;=500),COUNTIF('01-كانون الثاني'!$U$2:$U$501,"*تباين*"),"")</f>
        <v/>
      </c>
      <c r="C42" s="19" t="str">
        <f>IF(AND(C5&gt;0,C5&lt;=500),COUNTIF('02-شباط'!$U$2:$U$501,"*تباين*"),"")</f>
        <v/>
      </c>
      <c r="D42" s="19" t="str">
        <f>IF(AND(D5&gt;0,D5&lt;=500),COUNTIF('03-آذار'!$U$2:$U$501,"*تباين*"),"")</f>
        <v/>
      </c>
      <c r="E42" s="19" t="str">
        <f>IF(AND(E5&gt;0,E5&lt;=500),COUNTIF('04-نيسان'!$U$2:$U$501,"*تباين*"),"")</f>
        <v/>
      </c>
      <c r="F42" s="19" t="str">
        <f>IF(AND(F5&gt;0,F5&lt;=500),COUNTIF('05-أيار'!$U$2:$U$501,"*تباين*"),"")</f>
        <v/>
      </c>
      <c r="G42" s="19">
        <f>IF(AND(G5&gt;0,G5&lt;=500),COUNTIF('06-حزيران'!$U$2:$U$499,"*تباين*"),"")</f>
        <v>0</v>
      </c>
      <c r="H42" s="19">
        <f>IF(AND(H5&gt;0,H5&lt;=500),COUNTIF('07-تموز'!$U$2:$U$500,"*تباين*"),"")</f>
        <v>0</v>
      </c>
      <c r="I42" s="19">
        <f>IF(AND(I5&gt;0,I5&lt;=500),COUNTIF('08-آب'!$U$2:$U$501,"*تباين*"),"")</f>
        <v>0</v>
      </c>
      <c r="J42" s="19">
        <f>IF(AND(J5&gt;0,J5&lt;=500),COUNTIF('09-أيلول'!$U$2:$U$500,"*تباين*"),"")</f>
        <v>0</v>
      </c>
      <c r="K42" s="19" t="str">
        <f>IF(AND(K5&gt;0,K5&lt;=500),COUNTIF('10-تشرين الأول'!$U$2:$U$501,"*تباين*"),"")</f>
        <v/>
      </c>
      <c r="L42" s="19" t="str">
        <f>IF(AND(L5&gt;0,L5&lt;=500),COUNTIF('11-تشرين الثاني'!$U$2:$U$501,"*تباين*"),"")</f>
        <v/>
      </c>
      <c r="M42" s="19" t="str">
        <f>IF(AND(M5&gt;0,M5&lt;=500),COUNTIF('12-كانون الأول'!$U$2:$U$501,"*تباين*"),"")</f>
        <v/>
      </c>
    </row>
    <row r="43" spans="1:13">
      <c r="A43" s="18" t="s">
        <v>172</v>
      </c>
      <c r="B43" s="19" t="str">
        <f>IF(AND(B5&gt;0,B5&lt;=500),COUNTIF('01-كانون الثاني'!$U$2:$U$501,"*بلا تصنيف*"),"")</f>
        <v/>
      </c>
      <c r="C43" s="19" t="str">
        <f>IF(AND(C5&gt;0,C5&lt;=500),COUNTIF('02-شباط'!$U$2:$U$501,"*بلا تصنيف*"),"")</f>
        <v/>
      </c>
      <c r="D43" s="19" t="str">
        <f>IF(AND(D5&gt;0,D5&lt;=500),COUNTIF('03-آذار'!$U$2:$U$501,"*بلا تصنيف*"),"")</f>
        <v/>
      </c>
      <c r="E43" s="19" t="str">
        <f>IF(AND(E5&gt;0,E5&lt;=500),COUNTIF('04-نيسان'!$U$2:$U$501,"*بلا تصنيف*"),"")</f>
        <v/>
      </c>
      <c r="F43" s="19" t="str">
        <f>IF(AND(F5&gt;0,F5&lt;=500),COUNTIF('05-أيار'!$U$2:$U$501,"*بلا تصنيف*"),"")</f>
        <v/>
      </c>
      <c r="G43" s="19">
        <f>IF(AND(G5&gt;0,G5&lt;=500),COUNTIF('06-حزيران'!$U$2:$U$499,"*بلا تصنيف*"),"")</f>
        <v>0</v>
      </c>
      <c r="H43" s="19">
        <f>IF(AND(H5&gt;0,H5&lt;=500),COUNTIF('07-تموز'!$U$2:$U$500,"*بلا تصنيف*"),"")</f>
        <v>0</v>
      </c>
      <c r="I43" s="19">
        <f>IF(AND(I5&gt;0,I5&lt;=500),COUNTIF('08-آب'!$U$2:$U$501,"*بلا تصنيف*"),"")</f>
        <v>0</v>
      </c>
      <c r="J43" s="19">
        <f>IF(AND(J5&gt;0,J5&lt;=500),COUNTIF('09-أيلول'!$U$2:$U$500,"*بلا تصنيف*"),"")</f>
        <v>0</v>
      </c>
      <c r="K43" s="19" t="str">
        <f>IF(AND(K5&gt;0,K5&lt;=500),COUNTIF('10-تشرين الأول'!$U$2:$U$501,"*بلا تصنيف*"),"")</f>
        <v/>
      </c>
      <c r="L43" s="19" t="str">
        <f>IF(AND(L5&gt;0,L5&lt;=500),COUNTIF('11-تشرين الثاني'!$U$2:$U$501,"*بلا تصنيف*"),"")</f>
        <v/>
      </c>
      <c r="M43" s="19" t="str">
        <f>IF(AND(M5&gt;0,M5&lt;=500),COUNTIF('12-كانون الأول'!$U$2:$U$501,"*بلا تصنيف*"),"")</f>
        <v/>
      </c>
    </row>
    <row r="44" spans="1:13">
      <c r="A44" s="18" t="s">
        <v>173</v>
      </c>
      <c r="B44" s="19" t="str">
        <f>IF(AND(B5&gt;0,B5&lt;=500),COUNTIF('01-كانون الثاني'!$U$2:$U$501,"*بيانات غير صالحة*"),"")</f>
        <v/>
      </c>
      <c r="C44" s="19" t="str">
        <f>IF(AND(C5&gt;0,C5&lt;=500),COUNTIF('02-شباط'!$U$2:$U$501,"*بيانات غير صالحة*"),"")</f>
        <v/>
      </c>
      <c r="D44" s="19" t="str">
        <f>IF(AND(D5&gt;0,D5&lt;=500),COUNTIF('03-آذار'!$U$2:$U$501,"*بيانات غير صالحة*"),"")</f>
        <v/>
      </c>
      <c r="E44" s="19" t="str">
        <f>IF(AND(E5&gt;0,E5&lt;=500),COUNTIF('04-نيسان'!$U$2:$U$501,"*بيانات غير صالحة*"),"")</f>
        <v/>
      </c>
      <c r="F44" s="19" t="str">
        <f>IF(AND(F5&gt;0,F5&lt;=500),COUNTIF('05-أيار'!$U$2:$U$501,"*بيانات غير صالحة*"),"")</f>
        <v/>
      </c>
      <c r="G44" s="19">
        <f>IF(AND(G5&gt;0,G5&lt;=500),COUNTIF('06-حزيران'!$U$2:$U$499,"*بيانات غير صالحة*"),"")</f>
        <v>0</v>
      </c>
      <c r="H44" s="19">
        <f>IF(AND(H5&gt;0,H5&lt;=500),COUNTIF('07-تموز'!$U$2:$U$500,"*بيانات غير صالحة*"),"")</f>
        <v>0</v>
      </c>
      <c r="I44" s="19">
        <f>IF(AND(I5&gt;0,I5&lt;=500),COUNTIF('08-آب'!$U$2:$U$501,"*بيانات غير صالحة*"),"")</f>
        <v>0</v>
      </c>
      <c r="J44" s="19">
        <f>IF(AND(J5&gt;0,J5&lt;=500),COUNTIF('09-أيلول'!$U$2:$U$500,"*بيانات غير صالحة*"),"")</f>
        <v>0</v>
      </c>
      <c r="K44" s="19" t="str">
        <f>IF(AND(K5&gt;0,K5&lt;=500),COUNTIF('10-تشرين الأول'!$U$2:$U$501,"*بيانات غير صالحة*"),"")</f>
        <v/>
      </c>
      <c r="L44" s="19" t="str">
        <f>IF(AND(L5&gt;0,L5&lt;=500),COUNTIF('11-تشرين الثاني'!$U$2:$U$501,"*بيانات غير صالحة*"),"")</f>
        <v/>
      </c>
      <c r="M44" s="19" t="str">
        <f>IF(AND(M5&gt;0,M5&lt;=500),COUNTIF('12-كانون الأول'!$U$2:$U$501,"*بيانات غير صالحة*"),"")</f>
        <v/>
      </c>
    </row>
    <row r="45" spans="1:13">
      <c r="A45" s="18" t="s">
        <v>174</v>
      </c>
      <c r="B45" s="19" t="str">
        <f>IF(AND(B5&gt;0,B5&lt;=500),COUNTIF('01-كانون الثاني'!$U$2:$U$501,"?*"),"")</f>
        <v/>
      </c>
      <c r="C45" s="19" t="str">
        <f>IF(AND(C5&gt;0,C5&lt;=500),COUNTIF('02-شباط'!$U$2:$U$501,"?*"),"")</f>
        <v/>
      </c>
      <c r="D45" s="19" t="str">
        <f>IF(AND(D5&gt;0,D5&lt;=500),COUNTIF('03-آذار'!$U$2:$U$501,"?*"),"")</f>
        <v/>
      </c>
      <c r="E45" s="19" t="str">
        <f>IF(AND(E5&gt;0,E5&lt;=500),COUNTIF('04-نيسان'!$U$2:$U$501,"?*"),"")</f>
        <v/>
      </c>
      <c r="F45" s="19" t="str">
        <f>IF(AND(F5&gt;0,F5&lt;=500),COUNTIF('05-أيار'!$U$2:$U$501,"?*"),"")</f>
        <v/>
      </c>
      <c r="G45" s="19">
        <f>IF(AND(G5&gt;0,G5&lt;=500),COUNTIF('06-حزيران'!$U$2:$U$499,"?*"),"")</f>
        <v>0</v>
      </c>
      <c r="H45" s="19">
        <f>IF(AND(H5&gt;0,H5&lt;=500),COUNTIF('07-تموز'!$U$2:$U$500,"?*"),"")</f>
        <v>0</v>
      </c>
      <c r="I45" s="19">
        <f>IF(AND(I5&gt;0,I5&lt;=500),COUNTIF('08-آب'!$U$2:$U$501,"?*"),"")</f>
        <v>0</v>
      </c>
      <c r="J45" s="19">
        <f>IF(AND(J5&gt;0,J5&lt;=500),COUNTIF('09-أيلول'!$U$2:$U$500,"?*"),"")</f>
        <v>0</v>
      </c>
      <c r="K45" s="19" t="str">
        <f>IF(AND(K5&gt;0,K5&lt;=500),COUNTIF('10-تشرين الأول'!$U$2:$U$501,"?*"),"")</f>
        <v/>
      </c>
      <c r="L45" s="19" t="str">
        <f>IF(AND(L5&gt;0,L5&lt;=500),COUNTIF('11-تشرين الثاني'!$U$2:$U$501,"?*"),"")</f>
        <v/>
      </c>
      <c r="M45" s="19" t="str">
        <f>IF(AND(M5&gt;0,M5&lt;=500),COUNTIF('12-كانون الأول'!$U$2:$U$501,"?*"),"")</f>
        <v/>
      </c>
    </row>
    <row r="46" spans="1:13" ht="19.5" customHeight="1">
      <c r="A46" s="47" t="s">
        <v>175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pans="1:13">
      <c r="A47" s="26" t="s">
        <v>12</v>
      </c>
      <c r="B47" s="16" t="str">
        <f>IF(B$8=1,SUMIFS('01-كانون الثاني'!$Q$2:$Q$501,'01-كانون الثاني'!$H$2:$H$501,$A47),"")</f>
        <v/>
      </c>
      <c r="C47" s="16" t="str">
        <f>IF(C$8=1,SUMIFS('02-شباط'!$Q$2:$Q$501,'02-شباط'!$H$2:$H$501,$A47),"")</f>
        <v/>
      </c>
      <c r="D47" s="16" t="str">
        <f>IF(D$8=1,SUMIFS('03-آذار'!$Q$2:$Q$501,'03-آذار'!$H$2:$H$501,$A47),"")</f>
        <v/>
      </c>
      <c r="E47" s="16" t="str">
        <f>IF(E$8=1,SUMIFS('04-نيسان'!$Q$2:$Q$501,'04-نيسان'!$H$2:$H$501,$A47),"")</f>
        <v/>
      </c>
      <c r="F47" s="16" t="str">
        <f>IF(F$8=1,SUMIFS('05-أيار'!$Q$2:$Q$501,'05-أيار'!$H$2:$H$501,$A47),"")</f>
        <v/>
      </c>
      <c r="G47" s="16">
        <f>IF(G$8=1,SUMIFS('06-حزيران'!$Q$2:$Q$499,'06-حزيران'!$H$2:$H$499,$A47),"")</f>
        <v>14562.043484848486</v>
      </c>
      <c r="H47" s="16">
        <f>IF(H$8=1,SUMIFS('07-تموز'!$Q$2:$Q$500,'07-تموز'!$H$2:$H$500,$A47),"")</f>
        <v>12409.126917293232</v>
      </c>
      <c r="I47" s="16">
        <f>IF(I$8=1,SUMIFS('08-آب'!$Q$2:$Q$501,'08-آب'!$H$2:$H$501,$A47),"")</f>
        <v>13081.291439393939</v>
      </c>
      <c r="J47" s="16">
        <f>IF(J$8=1,SUMIFS('09-أيلول'!$Q$2:$Q$500,'09-أيلول'!$H$2:$H$500,$A47),"")</f>
        <v>9961.3769492753581</v>
      </c>
      <c r="K47" s="16" t="str">
        <f>IF(K$8=1,SUMIFS('10-تشرين الأول'!$Q$2:$Q$501,'10-تشرين الأول'!$H$2:$H$501,$A47),"")</f>
        <v/>
      </c>
      <c r="L47" s="16" t="str">
        <f>IF(L$8=1,SUMIFS('11-تشرين الثاني'!$Q$2:$Q$501,'11-تشرين الثاني'!$H$2:$H$501,$A47),"")</f>
        <v/>
      </c>
      <c r="M47" s="16" t="str">
        <f>IF(M$8=1,SUMIFS('12-كانون الأول'!$Q$2:$Q$501,'12-كانون الأول'!$H$2:$H$501,$A47),"")</f>
        <v/>
      </c>
    </row>
    <row r="48" spans="1:13">
      <c r="A48" s="26" t="s">
        <v>176</v>
      </c>
      <c r="B48" s="16" t="str">
        <f>IF(B$8=1,SUMIFS('01-كانون الثاني'!$Q$2:$Q$501,'01-كانون الثاني'!$H$2:$H$501,$A48),"")</f>
        <v/>
      </c>
      <c r="C48" s="16" t="str">
        <f>IF(C$8=1,SUMIFS('02-شباط'!$Q$2:$Q$501,'02-شباط'!$H$2:$H$501,$A48),"")</f>
        <v/>
      </c>
      <c r="D48" s="16" t="str">
        <f>IF(D$8=1,SUMIFS('03-آذار'!$Q$2:$Q$501,'03-آذار'!$H$2:$H$501,$A48),"")</f>
        <v/>
      </c>
      <c r="E48" s="16" t="str">
        <f>IF(E$8=1,SUMIFS('04-نيسان'!$Q$2:$Q$501,'04-نيسان'!$H$2:$H$501,$A48),"")</f>
        <v/>
      </c>
      <c r="F48" s="16" t="str">
        <f>IF(F$8=1,SUMIFS('05-أيار'!$Q$2:$Q$501,'05-أيار'!$H$2:$H$501,$A48),"")</f>
        <v/>
      </c>
      <c r="G48" s="16">
        <f>IF(G$8=1,SUMIFS('06-حزيران'!$Q$2:$Q$499,'06-حزيران'!$H$2:$H$499,$A48),"")</f>
        <v>30160.346984848482</v>
      </c>
      <c r="H48" s="16">
        <f>IF(H$8=1,SUMIFS('07-تموز'!$Q$2:$Q$500,'07-تموز'!$H$2:$H$500,$A48),"")</f>
        <v>36058.505151127814</v>
      </c>
      <c r="I48" s="16">
        <f>IF(I$8=1,SUMIFS('08-آب'!$Q$2:$Q$501,'08-آب'!$H$2:$H$501,$A48),"")</f>
        <v>34854.329721212118</v>
      </c>
      <c r="J48" s="16">
        <f>IF(J$8=1,SUMIFS('09-أيلول'!$Q$2:$Q$500,'09-أيلول'!$H$2:$H$500,$A48),"")</f>
        <v>34922.590142028981</v>
      </c>
      <c r="K48" s="16" t="str">
        <f>IF(K$8=1,SUMIFS('10-تشرين الأول'!$Q$2:$Q$501,'10-تشرين الأول'!$H$2:$H$501,$A48),"")</f>
        <v/>
      </c>
      <c r="L48" s="16" t="str">
        <f>IF(L$8=1,SUMIFS('11-تشرين الثاني'!$Q$2:$Q$501,'11-تشرين الثاني'!$H$2:$H$501,$A48),"")</f>
        <v/>
      </c>
      <c r="M48" s="16" t="str">
        <f>IF(M$8=1,SUMIFS('12-كانون الأول'!$Q$2:$Q$501,'12-كانون الأول'!$H$2:$H$501,$A48),"")</f>
        <v/>
      </c>
    </row>
    <row r="49" spans="1:13">
      <c r="A49" s="26" t="s">
        <v>177</v>
      </c>
      <c r="B49" s="16" t="str">
        <f>IF(B$8=1,SUMIFS('01-كانون الثاني'!$Q$2:$Q$501,'01-كانون الثاني'!$H$2:$H$501,$A49),"")</f>
        <v/>
      </c>
      <c r="C49" s="16" t="str">
        <f>IF(C$8=1,SUMIFS('02-شباط'!$Q$2:$Q$501,'02-شباط'!$H$2:$H$501,$A49),"")</f>
        <v/>
      </c>
      <c r="D49" s="16" t="str">
        <f>IF(D$8=1,SUMIFS('03-آذار'!$Q$2:$Q$501,'03-آذار'!$H$2:$H$501,$A49),"")</f>
        <v/>
      </c>
      <c r="E49" s="16" t="str">
        <f>IF(E$8=1,SUMIFS('04-نيسان'!$Q$2:$Q$501,'04-نيسان'!$H$2:$H$501,$A49),"")</f>
        <v/>
      </c>
      <c r="F49" s="16" t="str">
        <f>IF(F$8=1,SUMIFS('05-أيار'!$Q$2:$Q$501,'05-أيار'!$H$2:$H$501,$A49),"")</f>
        <v/>
      </c>
      <c r="G49" s="16">
        <f>IF(G$8=1,SUMIFS('06-حزيران'!$Q$2:$Q$499,'06-حزيران'!$H$2:$H$499,$A49),"")</f>
        <v>15</v>
      </c>
      <c r="H49" s="16">
        <f>IF(H$8=1,SUMIFS('07-تموز'!$Q$2:$Q$500,'07-تموز'!$H$2:$H$500,$A49),"")</f>
        <v>23.400000000000002</v>
      </c>
      <c r="I49" s="16">
        <f>IF(I$8=1,SUMIFS('08-آب'!$Q$2:$Q$501,'08-آب'!$H$2:$H$501,$A49),"")</f>
        <v>8.4</v>
      </c>
      <c r="J49" s="16">
        <f>IF(J$8=1,SUMIFS('09-أيلول'!$Q$2:$Q$500,'09-أيلول'!$H$2:$H$500,$A49),"")</f>
        <v>16.8</v>
      </c>
      <c r="K49" s="16" t="str">
        <f>IF(K$8=1,SUMIFS('10-تشرين الأول'!$Q$2:$Q$501,'10-تشرين الأول'!$H$2:$H$501,$A49),"")</f>
        <v/>
      </c>
      <c r="L49" s="16" t="str">
        <f>IF(L$8=1,SUMIFS('11-تشرين الثاني'!$Q$2:$Q$501,'11-تشرين الثاني'!$H$2:$H$501,$A49),"")</f>
        <v/>
      </c>
      <c r="M49" s="16" t="str">
        <f>IF(M$8=1,SUMIFS('12-كانون الأول'!$Q$2:$Q$501,'12-كانون الأول'!$H$2:$H$501,$A49),"")</f>
        <v/>
      </c>
    </row>
    <row r="50" spans="1:13">
      <c r="A50" s="26" t="s">
        <v>178</v>
      </c>
      <c r="B50" s="16" t="str">
        <f>IF(B$8=1,SUMIFS('01-كانون الثاني'!$Q$2:$Q$501,'01-كانون الثاني'!$H$2:$H$501,$A50),"")</f>
        <v/>
      </c>
      <c r="C50" s="16" t="str">
        <f>IF(C$8=1,SUMIFS('02-شباط'!$Q$2:$Q$501,'02-شباط'!$H$2:$H$501,$A50),"")</f>
        <v/>
      </c>
      <c r="D50" s="16" t="str">
        <f>IF(D$8=1,SUMIFS('03-آذار'!$Q$2:$Q$501,'03-آذار'!$H$2:$H$501,$A50),"")</f>
        <v/>
      </c>
      <c r="E50" s="16" t="str">
        <f>IF(E$8=1,SUMIFS('04-نيسان'!$Q$2:$Q$501,'04-نيسان'!$H$2:$H$501,$A50),"")</f>
        <v/>
      </c>
      <c r="F50" s="16" t="str">
        <f>IF(F$8=1,SUMIFS('05-أيار'!$Q$2:$Q$501,'05-أيار'!$H$2:$H$501,$A50),"")</f>
        <v/>
      </c>
      <c r="G50" s="16">
        <f>IF(G$8=1,SUMIFS('06-حزيران'!$Q$2:$Q$499,'06-حزيران'!$H$2:$H$499,$A50),"")</f>
        <v>0</v>
      </c>
      <c r="H50" s="16">
        <f>IF(H$8=1,SUMIFS('07-تموز'!$Q$2:$Q$500,'07-تموز'!$H$2:$H$500,$A50),"")</f>
        <v>0</v>
      </c>
      <c r="I50" s="16">
        <f>IF(I$8=1,SUMIFS('08-آب'!$Q$2:$Q$501,'08-آب'!$H$2:$H$501,$A50),"")</f>
        <v>0</v>
      </c>
      <c r="J50" s="16">
        <f>IF(J$8=1,SUMIFS('09-أيلول'!$Q$2:$Q$500,'09-أيلول'!$H$2:$H$500,$A50),"")</f>
        <v>0</v>
      </c>
      <c r="K50" s="16" t="str">
        <f>IF(K$8=1,SUMIFS('10-تشرين الأول'!$Q$2:$Q$501,'10-تشرين الأول'!$H$2:$H$501,$A50),"")</f>
        <v/>
      </c>
      <c r="L50" s="16" t="str">
        <f>IF(L$8=1,SUMIFS('11-تشرين الثاني'!$Q$2:$Q$501,'11-تشرين الثاني'!$H$2:$H$501,$A50),"")</f>
        <v/>
      </c>
      <c r="M50" s="16" t="str">
        <f>IF(M$8=1,SUMIFS('12-كانون الأول'!$Q$2:$Q$501,'12-كانون الأول'!$H$2:$H$501,$A50),"")</f>
        <v/>
      </c>
    </row>
    <row r="51" spans="1:13">
      <c r="A51" s="18" t="s">
        <v>179</v>
      </c>
      <c r="B51" s="16" t="str">
        <f t="shared" ref="B51:M51" si="9">IF(B$8=1,B11-SUM(B47:B50),"")</f>
        <v/>
      </c>
      <c r="C51" s="16" t="str">
        <f t="shared" si="9"/>
        <v/>
      </c>
      <c r="D51" s="16" t="str">
        <f t="shared" si="9"/>
        <v/>
      </c>
      <c r="E51" s="16" t="str">
        <f t="shared" si="9"/>
        <v/>
      </c>
      <c r="F51" s="16" t="str">
        <f t="shared" si="9"/>
        <v/>
      </c>
      <c r="G51" s="16">
        <f t="shared" si="9"/>
        <v>0</v>
      </c>
      <c r="H51" s="16">
        <f t="shared" si="9"/>
        <v>0</v>
      </c>
      <c r="I51" s="16">
        <f t="shared" si="9"/>
        <v>1.4551915228366852E-11</v>
      </c>
      <c r="J51" s="16">
        <f t="shared" si="9"/>
        <v>-7.2759576141834259E-12</v>
      </c>
      <c r="K51" s="16" t="str">
        <f t="shared" si="9"/>
        <v/>
      </c>
      <c r="L51" s="16" t="str">
        <f t="shared" si="9"/>
        <v/>
      </c>
      <c r="M51" s="16" t="str">
        <f t="shared" si="9"/>
        <v/>
      </c>
    </row>
    <row r="52" spans="1:13" ht="19.5" customHeight="1">
      <c r="A52" s="47" t="s">
        <v>180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pans="1:13">
      <c r="A53" s="18" t="str">
        <f>A47</f>
        <v>مواد جاهزة للبيع</v>
      </c>
      <c r="B53" s="16" t="str">
        <f>IF(B$8=1,SUMIFS('01-كانون الثاني'!$T$2:$T$501,'01-كانون الثاني'!$H$2:$H$501,$A53),"")</f>
        <v/>
      </c>
      <c r="C53" s="16" t="str">
        <f>IF(C$8=1,SUMIFS('02-شباط'!$T$2:$T$501,'02-شباط'!$H$2:$H$501,$A53),"")</f>
        <v/>
      </c>
      <c r="D53" s="16" t="str">
        <f>IF(D$8=1,SUMIFS('03-آذار'!$T$2:$T$501,'03-آذار'!$H$2:$H$501,$A53),"")</f>
        <v/>
      </c>
      <c r="E53" s="16" t="str">
        <f>IF(E$8=1,SUMIFS('04-نيسان'!$T$2:$T$501,'04-نيسان'!$H$2:$H$501,$A53),"")</f>
        <v/>
      </c>
      <c r="F53" s="16" t="str">
        <f>IF(F$8=1,SUMIFS('05-أيار'!$T$2:$T$501,'05-أيار'!$H$2:$H$501,$A53),"")</f>
        <v/>
      </c>
      <c r="G53" s="16">
        <f>IF(G$8=1,SUMIFS('06-حزيران'!$T$2:$T$499,'06-حزيران'!$H$2:$H$499,$A53),"")</f>
        <v>9043.7239393939381</v>
      </c>
      <c r="H53" s="16">
        <f>IF(H$8=1,SUMIFS('07-تموز'!$T$2:$T$500,'07-تموز'!$H$2:$H$500,$A53),"")</f>
        <v>8099.0700751879685</v>
      </c>
      <c r="I53" s="16">
        <f>IF(I$8=1,SUMIFS('08-آب'!$T$2:$T$501,'08-آب'!$H$2:$H$501,$A53),"")</f>
        <v>8253.0839393939405</v>
      </c>
      <c r="J53" s="16">
        <f>IF(J$8=1,SUMIFS('09-أيلول'!$T$2:$T$500,'09-أيلول'!$H$2:$H$500,$A53),"")</f>
        <v>6503.0826159420294</v>
      </c>
      <c r="K53" s="16" t="str">
        <f>IF(K$8=1,SUMIFS('10-تشرين الأول'!$T$2:$T$501,'10-تشرين الأول'!$H$2:$H$501,$A53),"")</f>
        <v/>
      </c>
      <c r="L53" s="16" t="str">
        <f>IF(L$8=1,SUMIFS('11-تشرين الثاني'!$T$2:$T$501,'11-تشرين الثاني'!$H$2:$H$501,$A53),"")</f>
        <v/>
      </c>
      <c r="M53" s="16" t="str">
        <f>IF(M$8=1,SUMIFS('12-كانون الأول'!$T$2:$T$501,'12-كانون الأول'!$H$2:$H$501,$A53),"")</f>
        <v/>
      </c>
    </row>
    <row r="54" spans="1:13">
      <c r="A54" s="18" t="str">
        <f>A48</f>
        <v>مواد خام</v>
      </c>
      <c r="B54" s="16" t="str">
        <f>IF(B$8=1,SUMIFS('01-كانون الثاني'!$T$2:$T$501,'01-كانون الثاني'!$H$2:$H$501,$A54),"")</f>
        <v/>
      </c>
      <c r="C54" s="16" t="str">
        <f>IF(C$8=1,SUMIFS('02-شباط'!$T$2:$T$501,'02-شباط'!$H$2:$H$501,$A54),"")</f>
        <v/>
      </c>
      <c r="D54" s="16" t="str">
        <f>IF(D$8=1,SUMIFS('03-آذار'!$T$2:$T$501,'03-آذار'!$H$2:$H$501,$A54),"")</f>
        <v/>
      </c>
      <c r="E54" s="16" t="str">
        <f>IF(E$8=1,SUMIFS('04-نيسان'!$T$2:$T$501,'04-نيسان'!$H$2:$H$501,$A54),"")</f>
        <v/>
      </c>
      <c r="F54" s="16" t="str">
        <f>IF(F$8=1,SUMIFS('05-أيار'!$T$2:$T$501,'05-أيار'!$H$2:$H$501,$A54),"")</f>
        <v/>
      </c>
      <c r="G54" s="16">
        <f>IF(G$8=1,SUMIFS('06-حزيران'!$T$2:$T$499,'06-حزيران'!$H$2:$H$499,$A54),"")</f>
        <v>307.89363636363646</v>
      </c>
      <c r="H54" s="16">
        <f>IF(H$8=1,SUMIFS('07-تموز'!$T$2:$T$500,'07-تموز'!$H$2:$H$500,$A54),"")</f>
        <v>711.38112781954874</v>
      </c>
      <c r="I54" s="16">
        <f>IF(I$8=1,SUMIFS('08-آب'!$T$2:$T$501,'08-آب'!$H$2:$H$501,$A54),"")</f>
        <v>890.53316666666683</v>
      </c>
      <c r="J54" s="16">
        <f>IF(J$8=1,SUMIFS('09-أيلول'!$T$2:$T$500,'09-أيلول'!$H$2:$H$500,$A54),"")</f>
        <v>781.54255072463775</v>
      </c>
      <c r="K54" s="16" t="str">
        <f>IF(K$8=1,SUMIFS('10-تشرين الأول'!$T$2:$T$501,'10-تشرين الأول'!$H$2:$H$501,$A54),"")</f>
        <v/>
      </c>
      <c r="L54" s="16" t="str">
        <f>IF(L$8=1,SUMIFS('11-تشرين الثاني'!$T$2:$T$501,'11-تشرين الثاني'!$H$2:$H$501,$A54),"")</f>
        <v/>
      </c>
      <c r="M54" s="16" t="str">
        <f>IF(M$8=1,SUMIFS('12-كانون الأول'!$T$2:$T$501,'12-كانون الأول'!$H$2:$H$501,$A54),"")</f>
        <v/>
      </c>
    </row>
    <row r="55" spans="1:13">
      <c r="A55" s="18" t="str">
        <f>A49</f>
        <v>الطبخات</v>
      </c>
      <c r="B55" s="16" t="str">
        <f>IF(B$8=1,SUMIFS('01-كانون الثاني'!$T$2:$T$501,'01-كانون الثاني'!$H$2:$H$501,$A55),"")</f>
        <v/>
      </c>
      <c r="C55" s="16" t="str">
        <f>IF(C$8=1,SUMIFS('02-شباط'!$T$2:$T$501,'02-شباط'!$H$2:$H$501,$A55),"")</f>
        <v/>
      </c>
      <c r="D55" s="16" t="str">
        <f>IF(D$8=1,SUMIFS('03-آذار'!$T$2:$T$501,'03-آذار'!$H$2:$H$501,$A55),"")</f>
        <v/>
      </c>
      <c r="E55" s="16" t="str">
        <f>IF(E$8=1,SUMIFS('04-نيسان'!$T$2:$T$501,'04-نيسان'!$H$2:$H$501,$A55),"")</f>
        <v/>
      </c>
      <c r="F55" s="16" t="str">
        <f>IF(F$8=1,SUMIFS('05-أيار'!$T$2:$T$501,'05-أيار'!$H$2:$H$501,$A55),"")</f>
        <v/>
      </c>
      <c r="G55" s="16">
        <f>IF(G$8=1,SUMIFS('06-حزيران'!$T$2:$T$499,'06-حزيران'!$H$2:$H$499,$A55),"")</f>
        <v>0</v>
      </c>
      <c r="H55" s="16">
        <f>IF(H$8=1,SUMIFS('07-تموز'!$T$2:$T$500,'07-تموز'!$H$2:$H$500,$A55),"")</f>
        <v>0</v>
      </c>
      <c r="I55" s="16">
        <f>IF(I$8=1,SUMIFS('08-آب'!$T$2:$T$501,'08-آب'!$H$2:$H$501,$A55),"")</f>
        <v>0</v>
      </c>
      <c r="J55" s="16">
        <f>IF(J$8=1,SUMIFS('09-أيلول'!$T$2:$T$500,'09-أيلول'!$H$2:$H$500,$A55),"")</f>
        <v>0</v>
      </c>
      <c r="K55" s="16" t="str">
        <f>IF(K$8=1,SUMIFS('10-تشرين الأول'!$T$2:$T$501,'10-تشرين الأول'!$H$2:$H$501,$A55),"")</f>
        <v/>
      </c>
      <c r="L55" s="16" t="str">
        <f>IF(L$8=1,SUMIFS('11-تشرين الثاني'!$T$2:$T$501,'11-تشرين الثاني'!$H$2:$H$501,$A55),"")</f>
        <v/>
      </c>
      <c r="M55" s="16" t="str">
        <f>IF(M$8=1,SUMIFS('12-كانون الأول'!$T$2:$T$501,'12-كانون الأول'!$H$2:$H$501,$A55),"")</f>
        <v/>
      </c>
    </row>
    <row r="56" spans="1:13">
      <c r="A56" s="18" t="str">
        <f>A50</f>
        <v>All</v>
      </c>
      <c r="B56" s="16" t="str">
        <f>IF(B$8=1,SUMIFS('01-كانون الثاني'!$T$2:$T$501,'01-كانون الثاني'!$H$2:$H$501,$A56),"")</f>
        <v/>
      </c>
      <c r="C56" s="16" t="str">
        <f>IF(C$8=1,SUMIFS('02-شباط'!$T$2:$T$501,'02-شباط'!$H$2:$H$501,$A56),"")</f>
        <v/>
      </c>
      <c r="D56" s="16" t="str">
        <f>IF(D$8=1,SUMIFS('03-آذار'!$T$2:$T$501,'03-آذار'!$H$2:$H$501,$A56),"")</f>
        <v/>
      </c>
      <c r="E56" s="16" t="str">
        <f>IF(E$8=1,SUMIFS('04-نيسان'!$T$2:$T$501,'04-نيسان'!$H$2:$H$501,$A56),"")</f>
        <v/>
      </c>
      <c r="F56" s="16" t="str">
        <f>IF(F$8=1,SUMIFS('05-أيار'!$T$2:$T$501,'05-أيار'!$H$2:$H$501,$A56),"")</f>
        <v/>
      </c>
      <c r="G56" s="16">
        <f>IF(G$8=1,SUMIFS('06-حزيران'!$T$2:$T$499,'06-حزيران'!$H$2:$H$499,$A56),"")</f>
        <v>0</v>
      </c>
      <c r="H56" s="16">
        <f>IF(H$8=1,SUMIFS('07-تموز'!$T$2:$T$500,'07-تموز'!$H$2:$H$500,$A56),"")</f>
        <v>0</v>
      </c>
      <c r="I56" s="16">
        <f>IF(I$8=1,SUMIFS('08-آب'!$T$2:$T$501,'08-آب'!$H$2:$H$501,$A56),"")</f>
        <v>0</v>
      </c>
      <c r="J56" s="16">
        <f>IF(J$8=1,SUMIFS('09-أيلول'!$T$2:$T$500,'09-أيلول'!$H$2:$H$500,$A56),"")</f>
        <v>0</v>
      </c>
      <c r="K56" s="16" t="str">
        <f>IF(K$8=1,SUMIFS('10-تشرين الأول'!$T$2:$T$501,'10-تشرين الأول'!$H$2:$H$501,$A56),"")</f>
        <v/>
      </c>
      <c r="L56" s="16" t="str">
        <f>IF(L$8=1,SUMIFS('11-تشرين الثاني'!$T$2:$T$501,'11-تشرين الثاني'!$H$2:$H$501,$A56),"")</f>
        <v/>
      </c>
      <c r="M56" s="16" t="str">
        <f>IF(M$8=1,SUMIFS('12-كانون الأول'!$T$2:$T$501,'12-كانون الأول'!$H$2:$H$501,$A56),"")</f>
        <v/>
      </c>
    </row>
    <row r="57" spans="1:13">
      <c r="A57" s="18" t="s">
        <v>179</v>
      </c>
      <c r="B57" s="16" t="str">
        <f t="shared" ref="B57:M57" si="10">IF(B$8=1,B14-SUM(B53:B56),"")</f>
        <v/>
      </c>
      <c r="C57" s="16" t="str">
        <f t="shared" si="10"/>
        <v/>
      </c>
      <c r="D57" s="16" t="str">
        <f t="shared" si="10"/>
        <v/>
      </c>
      <c r="E57" s="16" t="str">
        <f t="shared" si="10"/>
        <v/>
      </c>
      <c r="F57" s="16" t="str">
        <f t="shared" si="10"/>
        <v/>
      </c>
      <c r="G57" s="16">
        <f t="shared" si="10"/>
        <v>-3.637978807091713E-12</v>
      </c>
      <c r="H57" s="16">
        <f t="shared" si="10"/>
        <v>0</v>
      </c>
      <c r="I57" s="16">
        <f t="shared" si="10"/>
        <v>7.2759576141834259E-12</v>
      </c>
      <c r="J57" s="16">
        <f t="shared" si="10"/>
        <v>-5.4569682106375694E-12</v>
      </c>
      <c r="K57" s="16" t="str">
        <f t="shared" si="10"/>
        <v/>
      </c>
      <c r="L57" s="16" t="str">
        <f t="shared" si="10"/>
        <v/>
      </c>
      <c r="M57" s="16" t="str">
        <f t="shared" si="10"/>
        <v/>
      </c>
    </row>
  </sheetData>
  <mergeCells count="8">
    <mergeCell ref="A36:M36"/>
    <mergeCell ref="A46:M46"/>
    <mergeCell ref="A52:M52"/>
    <mergeCell ref="A1:M1"/>
    <mergeCell ref="A2:M2"/>
    <mergeCell ref="A9:M9"/>
    <mergeCell ref="A22:M22"/>
    <mergeCell ref="A26:M26"/>
  </mergeCells>
  <conditionalFormatting sqref="B7:M7">
    <cfRule type="expression" dxfId="69" priority="2">
      <formula>B7="جاهز"</formula>
    </cfRule>
    <cfRule type="expression" dxfId="68" priority="3">
      <formula>AND(B7&lt;&gt;"جاهز",B7&lt;&gt;"لا بيانات")</formula>
    </cfRule>
  </conditionalFormatting>
  <conditionalFormatting sqref="B37:M45">
    <cfRule type="cellIs" dxfId="67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16"/>
  <sheetViews>
    <sheetView showGridLines="0" rightToLeft="1" tabSelected="1" zoomScaleNormal="100" workbookViewId="0">
      <pane ySplit="4" topLeftCell="A5" activePane="bottomLeft" state="frozen"/>
      <selection pane="bottomLeft" activeCell="A13" sqref="A13:E13"/>
    </sheetView>
  </sheetViews>
  <sheetFormatPr defaultColWidth="8.7109375" defaultRowHeight="12.75"/>
  <cols>
    <col min="1" max="1" width="12" customWidth="1"/>
    <col min="2" max="2" width="18" customWidth="1"/>
    <col min="3" max="3" width="22" customWidth="1"/>
    <col min="4" max="4" width="26" customWidth="1"/>
    <col min="5" max="5" width="16" customWidth="1"/>
    <col min="6" max="6" width="44" customWidth="1"/>
  </cols>
  <sheetData>
    <row r="1" spans="1:6" ht="31.5" customHeight="1">
      <c r="A1" s="53" t="s">
        <v>181</v>
      </c>
      <c r="B1" s="53"/>
      <c r="C1" s="53"/>
      <c r="D1" s="53"/>
      <c r="E1" s="53"/>
      <c r="F1" s="53"/>
    </row>
    <row r="2" spans="1:6" ht="30" customHeight="1">
      <c r="A2" s="56" t="s">
        <v>182</v>
      </c>
      <c r="B2" s="56"/>
      <c r="C2" s="56"/>
      <c r="D2" s="56"/>
      <c r="E2" s="56"/>
      <c r="F2" s="56"/>
    </row>
    <row r="4" spans="1:6" ht="31.5" customHeight="1">
      <c r="A4" s="10" t="s">
        <v>31</v>
      </c>
      <c r="B4" s="10" t="s">
        <v>183</v>
      </c>
      <c r="C4" s="10" t="s">
        <v>184</v>
      </c>
      <c r="D4" s="10" t="s">
        <v>185</v>
      </c>
      <c r="E4" s="10" t="s">
        <v>32</v>
      </c>
      <c r="F4" s="10" t="s">
        <v>186</v>
      </c>
    </row>
    <row r="5" spans="1:6">
      <c r="A5" s="27">
        <v>1</v>
      </c>
      <c r="B5" s="28" t="str">
        <f>IF('الملخص الشهري'!B8=1,'الملخص الشهري'!B6,"")</f>
        <v/>
      </c>
      <c r="C5" s="29" t="str">
        <f>IF('الملخص الشهري'!B8=1,ROUND('الملخص الشهري'!B24,2),"")</f>
        <v/>
      </c>
      <c r="D5" s="30" t="str">
        <f>IF('الملخص الشهري'!B8=1,ROUND('الملخص الشهري'!B23*'الملخص الشهري'!B6,0),"")</f>
        <v/>
      </c>
      <c r="E5" s="25" t="str">
        <f>IF('الملخص الشهري'!B8=1,'الملخص الشهري'!B45,"")</f>
        <v/>
      </c>
      <c r="F5" s="24" t="str">
        <f>IF('الملخص الشهري'!B8=1,IF('الملخص الشهري'!B45=0,"✅ جاهز للنسخ","⚠ فيه "&amp;'الملخص الشهري'!B45&amp;" صنف بأخطاء — صحّح ثم أعد التصدير"),'الملخص الشهري'!B7)</f>
        <v>لا بيانات</v>
      </c>
    </row>
    <row r="6" spans="1:6">
      <c r="A6" s="27">
        <v>2</v>
      </c>
      <c r="B6" s="28" t="str">
        <f>IF('الملخص الشهري'!C8=1,'الملخص الشهري'!C6,"")</f>
        <v/>
      </c>
      <c r="C6" s="29" t="str">
        <f>IF('الملخص الشهري'!C8=1,ROUND('الملخص الشهري'!C24,2),"")</f>
        <v/>
      </c>
      <c r="D6" s="30" t="str">
        <f>IF('الملخص الشهري'!C8=1,ROUND('الملخص الشهري'!C23*'الملخص الشهري'!C6,0),"")</f>
        <v/>
      </c>
      <c r="E6" s="25" t="str">
        <f>IF('الملخص الشهري'!C8=1,'الملخص الشهري'!C45,"")</f>
        <v/>
      </c>
      <c r="F6" s="24" t="str">
        <f>IF('الملخص الشهري'!C8=1,IF('الملخص الشهري'!C45=0,"✅ جاهز للنسخ","⚠ فيه "&amp;'الملخص الشهري'!C45&amp;" صنف بأخطاء — صحّح ثم أعد التصدير"),'الملخص الشهري'!C7)</f>
        <v>لا بيانات</v>
      </c>
    </row>
    <row r="7" spans="1:6">
      <c r="A7" s="27">
        <v>3</v>
      </c>
      <c r="B7" s="28" t="str">
        <f>IF('الملخص الشهري'!D8=1,'الملخص الشهري'!D6,"")</f>
        <v/>
      </c>
      <c r="C7" s="29" t="str">
        <f>IF('الملخص الشهري'!D8=1,ROUND('الملخص الشهري'!D24,2),"")</f>
        <v/>
      </c>
      <c r="D7" s="30" t="str">
        <f>IF('الملخص الشهري'!D8=1,ROUND('الملخص الشهري'!D23*'الملخص الشهري'!D6,0),"")</f>
        <v/>
      </c>
      <c r="E7" s="25" t="str">
        <f>IF('الملخص الشهري'!D8=1,'الملخص الشهري'!D45,"")</f>
        <v/>
      </c>
      <c r="F7" s="24" t="str">
        <f>IF('الملخص الشهري'!D8=1,IF('الملخص الشهري'!D45=0,"✅ جاهز للنسخ","⚠ فيه "&amp;'الملخص الشهري'!D45&amp;" صنف بأخطاء — صحّح ثم أعد التصدير"),'الملخص الشهري'!D7)</f>
        <v>لا بيانات</v>
      </c>
    </row>
    <row r="8" spans="1:6">
      <c r="A8" s="27">
        <v>4</v>
      </c>
      <c r="B8" s="28" t="str">
        <f>IF('الملخص الشهري'!E8=1,'الملخص الشهري'!E6,"")</f>
        <v/>
      </c>
      <c r="C8" s="29" t="str">
        <f>IF('الملخص الشهري'!E8=1,ROUND('الملخص الشهري'!E24,2),"")</f>
        <v/>
      </c>
      <c r="D8" s="30" t="str">
        <f>IF('الملخص الشهري'!E8=1,ROUND('الملخص الشهري'!E23*'الملخص الشهري'!E6,0),"")</f>
        <v/>
      </c>
      <c r="E8" s="25" t="str">
        <f>IF('الملخص الشهري'!E8=1,'الملخص الشهري'!E45,"")</f>
        <v/>
      </c>
      <c r="F8" s="24" t="str">
        <f>IF('الملخص الشهري'!E8=1,IF('الملخص الشهري'!E45=0,"✅ جاهز للنسخ","⚠ فيه "&amp;'الملخص الشهري'!E45&amp;" صنف بأخطاء — صحّح ثم أعد التصدير"),'الملخص الشهري'!E7)</f>
        <v>لا بيانات</v>
      </c>
    </row>
    <row r="9" spans="1:6">
      <c r="A9" s="27">
        <v>5</v>
      </c>
      <c r="B9" s="28" t="str">
        <f>IF('الملخص الشهري'!F8=1,'الملخص الشهري'!F6,"")</f>
        <v/>
      </c>
      <c r="C9" s="29" t="str">
        <f>IF('الملخص الشهري'!F8=1,ROUND('الملخص الشهري'!F24,2),"")</f>
        <v/>
      </c>
      <c r="D9" s="30" t="str">
        <f>IF('الملخص الشهري'!F8=1,ROUND('الملخص الشهري'!F23*'الملخص الشهري'!F6,0),"")</f>
        <v/>
      </c>
      <c r="E9" s="25" t="str">
        <f>IF('الملخص الشهري'!F8=1,'الملخص الشهري'!F45,"")</f>
        <v/>
      </c>
      <c r="F9" s="24" t="str">
        <f>IF('الملخص الشهري'!F8=1,IF('الملخص الشهري'!F45=0,"✅ جاهز للنسخ","⚠ فيه "&amp;'الملخص الشهري'!F45&amp;" صنف بأخطاء — صحّح ثم أعد التصدير"),'الملخص الشهري'!F7)</f>
        <v>لا بيانات</v>
      </c>
    </row>
    <row r="10" spans="1:6">
      <c r="A10" s="27">
        <v>6</v>
      </c>
      <c r="B10" s="28">
        <f>IF('الملخص الشهري'!G8=1,'الملخص الشهري'!G6,"")</f>
        <v>13200</v>
      </c>
      <c r="C10" s="29">
        <f>IF('الملخص الشهري'!G8=1,ROUND('الملخص الشهري'!G24,2),"")</f>
        <v>29259.8</v>
      </c>
      <c r="D10" s="30">
        <f>IF('الملخص الشهري'!G8=1,ROUND('الملخص الشهري'!G23*'الملخص الشهري'!G6,0),"")</f>
        <v>204304214</v>
      </c>
      <c r="E10" s="25">
        <f>IF('الملخص الشهري'!G8=1,'الملخص الشهري'!G45,"")</f>
        <v>0</v>
      </c>
      <c r="F10" s="24" t="str">
        <f>IF('الملخص الشهري'!G8=1,IF('الملخص الشهري'!G45=0,"✅ جاهز للنسخ","⚠ فيه "&amp;'الملخص الشهري'!G45&amp;" صنف بأخطاء — صحّح ثم أعد التصدير"),'الملخص الشهري'!G7)</f>
        <v>✅ جاهز للنسخ</v>
      </c>
    </row>
    <row r="11" spans="1:6">
      <c r="A11" s="27">
        <v>7</v>
      </c>
      <c r="B11" s="28">
        <f>IF('الملخص الشهري'!H8=1,'الملخص الشهري'!H6,"")</f>
        <v>13300</v>
      </c>
      <c r="C11" s="29">
        <f>IF('الملخص الشهري'!H8=1,ROUND('الملخص الشهري'!H24,2),"")</f>
        <v>34979.919999999998</v>
      </c>
      <c r="D11" s="30">
        <f>IF('الملخص الشهري'!H8=1,ROUND('الملخص الشهري'!H23*'الملخص الشهري'!H6,0),"")</f>
        <v>179697728</v>
      </c>
      <c r="E11" s="25">
        <f>IF('الملخص الشهري'!H8=1,'الملخص الشهري'!H45,"")</f>
        <v>0</v>
      </c>
      <c r="F11" s="24" t="str">
        <f>IF('الملخص الشهري'!H8=1,IF('الملخص الشهري'!H45=0,"✅ جاهز للنسخ","⚠ فيه "&amp;'الملخص الشهري'!H45&amp;" صنف بأخطاء — صحّح ثم أعد التصدير"),'الملخص الشهري'!H7)</f>
        <v>✅ جاهز للنسخ</v>
      </c>
    </row>
    <row r="12" spans="1:6">
      <c r="A12" s="27">
        <v>8</v>
      </c>
      <c r="B12" s="28">
        <f>IF('الملخص الشهري'!I8=1,'الملخص الشهري'!I6,"")</f>
        <v>13200</v>
      </c>
      <c r="C12" s="29">
        <f>IF('الملخص الشهري'!I8=1,ROUND('الملخص الشهري'!I24,2),"")</f>
        <v>33915.300000000003</v>
      </c>
      <c r="D12" s="30">
        <f>IF('الملخص الشهري'!I8=1,ROUND('الملخص الشهري'!I23*'الملخص الشهري'!I6,0),"")</f>
        <v>185179118</v>
      </c>
      <c r="E12" s="25">
        <f>IF('الملخص الشهري'!I8=1,'الملخص الشهري'!I45,"")</f>
        <v>0</v>
      </c>
      <c r="F12" s="24" t="str">
        <f>IF('الملخص الشهري'!I8=1,IF('الملخص الشهري'!I45=0,"✅ جاهز للنسخ","⚠ فيه "&amp;'الملخص الشهري'!I45&amp;" صنف بأخطاء — صحّح ثم أعد التصدير"),'الملخص الشهري'!I7)</f>
        <v>✅ جاهز للنسخ</v>
      </c>
    </row>
    <row r="13" spans="1:6">
      <c r="A13" s="27">
        <v>9</v>
      </c>
      <c r="B13" s="28">
        <f>IF('الملخص الشهري'!J8=1,'الملخص الشهري'!J6,"")</f>
        <v>13800</v>
      </c>
      <c r="C13" s="29">
        <f>IF('الملخص الشهري'!J8=1,ROUND('الملخص الشهري'!J24,2),"")</f>
        <v>34743.51</v>
      </c>
      <c r="D13" s="30">
        <f>IF('الملخص الشهري'!J8=1,ROUND('الملخص الشهري'!J23*'الملخص الشهري'!J6,0),"")</f>
        <v>140170124</v>
      </c>
      <c r="E13" s="25">
        <f>IF('الملخص الشهري'!J8=1,'الملخص الشهري'!J45,"")</f>
        <v>0</v>
      </c>
      <c r="F13" s="24" t="str">
        <f>IF('الملخص الشهري'!J8=1,IF('الملخص الشهري'!J45=0,"✅ جاهز للنسخ","⚠ فيه "&amp;'الملخص الشهري'!J45&amp;" صنف بأخطاء — صحّح ثم أعد التصدير"),'الملخص الشهري'!J7)</f>
        <v>✅ جاهز للنسخ</v>
      </c>
    </row>
    <row r="14" spans="1:6">
      <c r="A14" s="27">
        <v>10</v>
      </c>
      <c r="B14" s="28" t="str">
        <f>IF('الملخص الشهري'!K8=1,'الملخص الشهري'!K6,"")</f>
        <v/>
      </c>
      <c r="C14" s="29" t="str">
        <f>IF('الملخص الشهري'!K8=1,ROUND('الملخص الشهري'!K24,2),"")</f>
        <v/>
      </c>
      <c r="D14" s="30" t="str">
        <f>IF('الملخص الشهري'!K8=1,ROUND('الملخص الشهري'!K23*'الملخص الشهري'!K6,0),"")</f>
        <v/>
      </c>
      <c r="E14" s="25" t="str">
        <f>IF('الملخص الشهري'!K8=1,'الملخص الشهري'!K45,"")</f>
        <v/>
      </c>
      <c r="F14" s="24" t="str">
        <f>IF('الملخص الشهري'!K8=1,IF('الملخص الشهري'!K45=0,"✅ جاهز للنسخ","⚠ فيه "&amp;'الملخص الشهري'!K45&amp;" صنف بأخطاء — صحّح ثم أعد التصدير"),'الملخص الشهري'!K7)</f>
        <v>لا بيانات</v>
      </c>
    </row>
    <row r="15" spans="1:6">
      <c r="A15" s="27">
        <v>11</v>
      </c>
      <c r="B15" s="28" t="str">
        <f>IF('الملخص الشهري'!L8=1,'الملخص الشهري'!L6,"")</f>
        <v/>
      </c>
      <c r="C15" s="29" t="str">
        <f>IF('الملخص الشهري'!L8=1,ROUND('الملخص الشهري'!L24,2),"")</f>
        <v/>
      </c>
      <c r="D15" s="30" t="str">
        <f>IF('الملخص الشهري'!L8=1,ROUND('الملخص الشهري'!L23*'الملخص الشهري'!L6,0),"")</f>
        <v/>
      </c>
      <c r="E15" s="25" t="str">
        <f>IF('الملخص الشهري'!L8=1,'الملخص الشهري'!L45,"")</f>
        <v/>
      </c>
      <c r="F15" s="24" t="str">
        <f>IF('الملخص الشهري'!L8=1,IF('الملخص الشهري'!L45=0,"✅ جاهز للنسخ","⚠ فيه "&amp;'الملخص الشهري'!L45&amp;" صنف بأخطاء — صحّح ثم أعد التصدير"),'الملخص الشهري'!L7)</f>
        <v>لا بيانات</v>
      </c>
    </row>
    <row r="16" spans="1:6">
      <c r="A16" s="27">
        <v>12</v>
      </c>
      <c r="B16" s="28" t="str">
        <f>IF('الملخص الشهري'!M8=1,'الملخص الشهري'!M6,"")</f>
        <v/>
      </c>
      <c r="C16" s="29" t="str">
        <f>IF('الملخص الشهري'!M8=1,ROUND('الملخص الشهري'!M24,2),"")</f>
        <v/>
      </c>
      <c r="D16" s="30" t="str">
        <f>IF('الملخص الشهري'!M8=1,ROUND('الملخص الشهري'!M23*'الملخص الشهري'!M6,0),"")</f>
        <v/>
      </c>
      <c r="E16" s="25" t="str">
        <f>IF('الملخص الشهري'!M8=1,'الملخص الشهري'!M45,"")</f>
        <v/>
      </c>
      <c r="F16" s="24" t="str">
        <f>IF('الملخص الشهري'!M8=1,IF('الملخص الشهري'!M45=0,"✅ جاهز للنسخ","⚠ فيه "&amp;'الملخص الشهري'!M45&amp;" صنف بأخطاء — صحّح ثم أعد التصدير"),'الملخص الشهري'!M7)</f>
        <v>لا بيانات</v>
      </c>
    </row>
  </sheetData>
  <mergeCells count="2">
    <mergeCell ref="A1:F1"/>
    <mergeCell ref="A2:F2"/>
  </mergeCells>
  <conditionalFormatting sqref="F5:F16">
    <cfRule type="expression" dxfId="66" priority="2">
      <formula>LEFT($F5,1)="✅"</formula>
    </cfRule>
    <cfRule type="expression" dxfId="65" priority="3">
      <formula>LEFT($F5,1)="⚠"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1:K100"/>
  <sheetViews>
    <sheetView showGridLines="0"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2" customWidth="1"/>
    <col min="2" max="2" width="38" customWidth="1"/>
    <col min="3" max="4" width="18" customWidth="1"/>
    <col min="5" max="5" width="22" customWidth="1"/>
    <col min="6" max="6" width="18" customWidth="1"/>
    <col min="8" max="8" width="14" customWidth="1"/>
    <col min="9" max="9" width="22" customWidth="1"/>
    <col min="11" max="11" width="8" customWidth="1"/>
  </cols>
  <sheetData>
    <row r="1" spans="2:11" ht="30" customHeight="1">
      <c r="B1" s="53" t="s">
        <v>187</v>
      </c>
      <c r="C1" s="53"/>
      <c r="D1" s="53"/>
      <c r="E1" s="53"/>
      <c r="F1" s="53"/>
      <c r="H1" s="3" t="s">
        <v>188</v>
      </c>
      <c r="I1" s="3" t="str">
        <f>'لوحة التحكم'!$K$6</f>
        <v>09-أيلول</v>
      </c>
    </row>
    <row r="2" spans="2:11">
      <c r="B2" s="5" t="s">
        <v>189</v>
      </c>
      <c r="C2" s="13" t="str">
        <f>INDEX('لوحة التحكم'!$B$16:$B$27,'لوحة التحكم'!$D$6)</f>
        <v>أيلول</v>
      </c>
      <c r="D2" s="5" t="s">
        <v>190</v>
      </c>
      <c r="E2" s="13" t="str">
        <f>IF('لوحة التحكم'!$D$6&gt;1,INDEX('لوحة التحكم'!$B$16:$B$27,'لوحة التحكم'!$D$6-1),"—")</f>
        <v>آب</v>
      </c>
      <c r="H2" s="3" t="s">
        <v>191</v>
      </c>
      <c r="I2" s="3" t="str">
        <f>IF('لوحة التحكم'!$D$6&gt;1,INDEX('لوحة التحكم'!$F$16:$F$27,'لوحة التحكم'!$D$6-1),"")</f>
        <v>08-آب</v>
      </c>
    </row>
    <row r="3" spans="2:11">
      <c r="B3" s="52" t="str">
        <f>IF($I$5=1,"✓ المقارنة متاحة","⚠ المقارنة غير متاحة: يلزم أن يكون الشهران فيهما بيانات وسعر صرف (راجع لوحة التحكم)")</f>
        <v>✓ المقارنة متاحة</v>
      </c>
      <c r="C3" s="52"/>
      <c r="D3" s="52"/>
      <c r="E3" s="52"/>
      <c r="F3" s="52"/>
      <c r="H3" s="3" t="s">
        <v>192</v>
      </c>
      <c r="I3" s="8">
        <f>'لوحة التحكم'!$K$8</f>
        <v>1</v>
      </c>
    </row>
    <row r="4" spans="2:11">
      <c r="H4" s="3" t="s">
        <v>193</v>
      </c>
      <c r="I4" s="8">
        <f>IF('لوحة التحكم'!$D$6&gt;1,INDEX('الملخص الشهري'!$B$8:$M$8,'لوحة التحكم'!$D$6-1),0)</f>
        <v>1</v>
      </c>
    </row>
    <row r="5" spans="2:11" ht="19.5" customHeight="1">
      <c r="B5" s="47" t="s">
        <v>194</v>
      </c>
      <c r="C5" s="47"/>
      <c r="D5" s="47"/>
      <c r="E5" s="47"/>
      <c r="F5" s="47"/>
      <c r="H5" s="3" t="s">
        <v>195</v>
      </c>
      <c r="I5" s="3">
        <f>IF(AND(I3=1,I4=1),1,0)</f>
        <v>1</v>
      </c>
    </row>
    <row r="6" spans="2:11">
      <c r="B6" s="10" t="s">
        <v>141</v>
      </c>
      <c r="C6" s="10" t="s">
        <v>196</v>
      </c>
      <c r="D6" s="10" t="s">
        <v>197</v>
      </c>
      <c r="E6" s="10" t="s">
        <v>198</v>
      </c>
      <c r="F6" s="10" t="s">
        <v>199</v>
      </c>
    </row>
    <row r="7" spans="2:11">
      <c r="B7" s="18" t="s">
        <v>200</v>
      </c>
      <c r="C7" s="16">
        <f>IF($I$5=1,INDEX('الملخص الشهري'!$B$11:$M$11,'لوحة التحكم'!$D$6),"")</f>
        <v>44900.767091304333</v>
      </c>
      <c r="D7" s="16">
        <f>IF($I$5=1,INDEX('الملخص الشهري'!$B$11:$M$11,'لوحة التحكم'!$D$6-1),"")</f>
        <v>47944.021160606069</v>
      </c>
      <c r="E7" s="16">
        <f t="shared" ref="E7:E13" si="0">IF($I$5=1,C7-D7,"")</f>
        <v>-3043.2540693017363</v>
      </c>
      <c r="F7" s="17">
        <f>IF($I$5=1,IF(D7&lt;&gt;0,(C7-D7)/ABS(D7),0),"")</f>
        <v>-6.3475152805961804E-2</v>
      </c>
    </row>
    <row r="8" spans="2:11">
      <c r="B8" s="18" t="s">
        <v>201</v>
      </c>
      <c r="C8" s="16">
        <f>IF($I$5=1,INDEX('الملخص الشهري'!$B$12:$M$12,'لوحة التحكم'!$D$6),"")</f>
        <v>18699.770434782604</v>
      </c>
      <c r="D8" s="16">
        <f>IF($I$5=1,INDEX('الملخص الشهري'!$B$12:$M$12,'لوحة التحكم'!$D$6-1),"")</f>
        <v>23866.931439393946</v>
      </c>
      <c r="E8" s="16">
        <f t="shared" si="0"/>
        <v>-5167.1610046113419</v>
      </c>
      <c r="F8" s="17">
        <f>IF($I$5=1,IF(D8&lt;&gt;0,(C8-D8)/ABS(D8),0),"")</f>
        <v>-0.21649875761081719</v>
      </c>
    </row>
    <row r="9" spans="2:11">
      <c r="B9" s="18" t="s">
        <v>66</v>
      </c>
      <c r="C9" s="16">
        <f>IF($I$5=1,INDEX('الملخص الشهري'!$B$14:$M$14,'لوحة التحكم'!$D$6),"")</f>
        <v>7284.6251666666612</v>
      </c>
      <c r="D9" s="16">
        <f>IF($I$5=1,INDEX('الملخص الشهري'!$B$14:$M$14,'لوحة التحكم'!$D$6-1),"")</f>
        <v>9143.6171060606139</v>
      </c>
      <c r="E9" s="16">
        <f t="shared" si="0"/>
        <v>-1858.9919393939526</v>
      </c>
      <c r="F9" s="17">
        <f>IF($I$5=1,IF(D9&lt;&gt;0,(C9-D9)/ABS(D9),0),"")</f>
        <v>-0.20331034401711409</v>
      </c>
    </row>
    <row r="10" spans="2:11">
      <c r="B10" s="18" t="s">
        <v>98</v>
      </c>
      <c r="C10" s="17">
        <f>IF($I$5=1,INDEX('الملخص الشهري'!$B$15:$M$15,'لوحة التحكم'!$D$6),"")</f>
        <v>0.38955693023465449</v>
      </c>
      <c r="D10" s="17">
        <f>IF($I$5=1,INDEX('الملخص الشهري'!$B$15:$M$15,'لوحة التحكم'!$D$6-1),"")</f>
        <v>0.3831081984409806</v>
      </c>
      <c r="E10" s="17">
        <f t="shared" si="0"/>
        <v>6.4487317936738897E-3</v>
      </c>
      <c r="F10" s="24"/>
    </row>
    <row r="11" spans="2:11">
      <c r="B11" s="18" t="s">
        <v>146</v>
      </c>
      <c r="C11" s="19">
        <f>IF($I$5=1,INDEX('الملخص الشهري'!$B$10:$M$10,'لوحة التحكم'!$D$6),"")</f>
        <v>134</v>
      </c>
      <c r="D11" s="19">
        <f>IF($I$5=1,INDEX('الملخص الشهري'!$B$10:$M$10,'لوحة التحكم'!$D$6-1),"")</f>
        <v>136</v>
      </c>
      <c r="E11" s="19">
        <f t="shared" si="0"/>
        <v>-2</v>
      </c>
      <c r="F11" s="17">
        <f>IF($I$5=1,IF(D11&lt;&gt;0,(C11-D11)/ABS(D11),0),"")</f>
        <v>-1.4705882352941176E-2</v>
      </c>
    </row>
    <row r="12" spans="2:11">
      <c r="B12" s="18" t="s">
        <v>29</v>
      </c>
      <c r="C12" s="19">
        <f>IF($I$5=1,INDEX('الملخص الشهري'!$B$5:$M$5,'لوحة التحكم'!$D$6),"")</f>
        <v>268</v>
      </c>
      <c r="D12" s="19">
        <f>IF($I$5=1,INDEX('الملخص الشهري'!$B$5:$M$5,'لوحة التحكم'!$D$6-1),"")</f>
        <v>261</v>
      </c>
      <c r="E12" s="19">
        <f t="shared" si="0"/>
        <v>7</v>
      </c>
      <c r="F12" s="17">
        <f>IF($I$5=1,IF(D12&lt;&gt;0,(C12-D12)/ABS(D12),0),"")</f>
        <v>2.681992337164751E-2</v>
      </c>
    </row>
    <row r="13" spans="2:11">
      <c r="B13" s="18" t="s">
        <v>202</v>
      </c>
      <c r="C13" s="17">
        <f>IF($I$5=1,INDEX('الملخص الشهري'!$B$25:$M$25,'لوحة التحكم'!$D$6),"")</f>
        <v>0.22621563169844905</v>
      </c>
      <c r="D13" s="17">
        <f>IF($I$5=1,INDEX('الملخص الشهري'!$B$25:$M$25,'لوحة التحكم'!$D$6-1),"")</f>
        <v>0.29260626707992887</v>
      </c>
      <c r="E13" s="17">
        <f t="shared" si="0"/>
        <v>-6.6390635381479823E-2</v>
      </c>
      <c r="F13" s="24"/>
    </row>
    <row r="15" spans="2:11" ht="19.5" customHeight="1">
      <c r="B15" s="47" t="s">
        <v>203</v>
      </c>
      <c r="C15" s="47"/>
      <c r="D15" s="47"/>
      <c r="E15" s="47"/>
      <c r="F15" s="47"/>
    </row>
    <row r="16" spans="2:11">
      <c r="B16" s="10" t="s">
        <v>96</v>
      </c>
      <c r="C16" s="10" t="s">
        <v>97</v>
      </c>
      <c r="D16" s="10" t="s">
        <v>64</v>
      </c>
      <c r="E16" s="10" t="s">
        <v>63</v>
      </c>
      <c r="K16" s="3" t="s">
        <v>204</v>
      </c>
    </row>
    <row r="17" spans="2:11">
      <c r="B17" s="18" t="str">
        <f t="shared" ref="B17:B46" ca="1" si="1">IF(K17="","",INDEX(INDIRECT("'"&amp;$I$1&amp;"'!$A$2:$A$501"),K17))</f>
        <v>منتول كريستال</v>
      </c>
      <c r="C17" s="21">
        <f t="shared" ref="C17:C46" ca="1" si="2">IF(K17="","",INDEX(INDIRECT("'"&amp;$I$1&amp;"'!$P$2:$P$501"),K17))</f>
        <v>0</v>
      </c>
      <c r="D17" s="22">
        <f t="shared" ref="D17:D46" ca="1" si="3">IF(K17="","",INDEX(INDIRECT("'"&amp;$I$1&amp;"'!$Q$2:$Q$501"),K17))</f>
        <v>0</v>
      </c>
      <c r="E17" s="18" t="str">
        <f t="shared" ref="E17:E46" ca="1" si="4">IF(K17="","",INDEX(INDIRECT("'"&amp;$I$1&amp;"'!$H$2:$H$501"),K17))</f>
        <v>مواد خام</v>
      </c>
      <c r="K17" s="3">
        <f ca="1">IF($I$5=1,IFERROR(MATCH(1,INDIRECT("'"&amp;$I$1&amp;"'!$AD$2:$AD$501"),0),""),"")</f>
        <v>5</v>
      </c>
    </row>
    <row r="18" spans="2:11">
      <c r="B18" s="18" t="str">
        <f t="shared" ca="1" si="1"/>
        <v>فوط</v>
      </c>
      <c r="C18" s="21">
        <f t="shared" ca="1" si="2"/>
        <v>0</v>
      </c>
      <c r="D18" s="22">
        <f t="shared" ca="1" si="3"/>
        <v>0</v>
      </c>
      <c r="E18" s="18" t="str">
        <f t="shared" ca="1" si="4"/>
        <v>مواد جاهزة للبيع</v>
      </c>
      <c r="K18" s="3">
        <f ca="1">IF($I$5=1,IFERROR(MATCH(2,INDIRECT("'"&amp;$I$1&amp;"'!$AD$2:$AD$501"),0),""),"")</f>
        <v>83</v>
      </c>
    </row>
    <row r="19" spans="2:11">
      <c r="B19" s="18" t="str">
        <f t="shared" ca="1" si="1"/>
        <v>عطر ورد-جوري</v>
      </c>
      <c r="C19" s="21">
        <f t="shared" ca="1" si="2"/>
        <v>0.4</v>
      </c>
      <c r="D19" s="22">
        <f t="shared" ca="1" si="3"/>
        <v>6.6000000000000005</v>
      </c>
      <c r="E19" s="18" t="str">
        <f t="shared" ca="1" si="4"/>
        <v>مواد خام</v>
      </c>
      <c r="K19" s="3">
        <f ca="1">IF($I$5=1,IFERROR(MATCH(3,INDIRECT("'"&amp;$I$1&amp;"'!$AD$2:$AD$501"),0),""),"")</f>
        <v>111</v>
      </c>
    </row>
    <row r="20" spans="2:11">
      <c r="B20" s="18" t="str">
        <f t="shared" ca="1" si="1"/>
        <v>عطر هيد اند شولدرز</v>
      </c>
      <c r="C20" s="21">
        <f t="shared" ca="1" si="2"/>
        <v>0</v>
      </c>
      <c r="D20" s="22">
        <f t="shared" ca="1" si="3"/>
        <v>0</v>
      </c>
      <c r="E20" s="18" t="str">
        <f t="shared" ca="1" si="4"/>
        <v>مواد خام</v>
      </c>
      <c r="K20" s="3">
        <f ca="1">IF($I$5=1,IFERROR(MATCH(4,INDIRECT("'"&amp;$I$1&amp;"'!$AD$2:$AD$501"),0),""),"")</f>
        <v>112</v>
      </c>
    </row>
    <row r="21" spans="2:11">
      <c r="B21" s="18" t="str">
        <f t="shared" ca="1" si="1"/>
        <v>عطر بلو كابس</v>
      </c>
      <c r="C21" s="21">
        <f t="shared" ca="1" si="2"/>
        <v>0.5</v>
      </c>
      <c r="D21" s="22">
        <f t="shared" ca="1" si="3"/>
        <v>9.75</v>
      </c>
      <c r="E21" s="18" t="str">
        <f t="shared" ca="1" si="4"/>
        <v>مواد خام</v>
      </c>
      <c r="K21" s="3">
        <f ca="1">IF($I$5=1,IFERROR(MATCH(5,INDIRECT("'"&amp;$I$1&amp;"'!$AD$2:$AD$501"),0),""),"")</f>
        <v>124</v>
      </c>
    </row>
    <row r="22" spans="2:11">
      <c r="B22" s="18" t="str">
        <f t="shared" ca="1" si="1"/>
        <v>عبوة كلور 800 ميلي</v>
      </c>
      <c r="C22" s="21">
        <f t="shared" ca="1" si="2"/>
        <v>4466</v>
      </c>
      <c r="D22" s="22">
        <f t="shared" ca="1" si="3"/>
        <v>602.91000000000008</v>
      </c>
      <c r="E22" s="18" t="str">
        <f t="shared" ca="1" si="4"/>
        <v>مواد خام</v>
      </c>
      <c r="K22" s="3">
        <f ca="1">IF($I$5=1,IFERROR(MATCH(6,INDIRECT("'"&amp;$I$1&amp;"'!$AD$2:$AD$501"),0),""),"")</f>
        <v>135</v>
      </c>
    </row>
    <row r="23" spans="2:11">
      <c r="B23" s="18" t="str">
        <f t="shared" ca="1" si="1"/>
        <v>شامبو 120 كغ خام</v>
      </c>
      <c r="C23" s="21">
        <f t="shared" ca="1" si="2"/>
        <v>0</v>
      </c>
      <c r="D23" s="22">
        <f t="shared" ca="1" si="3"/>
        <v>0</v>
      </c>
      <c r="E23" s="18" t="str">
        <f t="shared" ca="1" si="4"/>
        <v>الطبخات</v>
      </c>
      <c r="K23" s="3">
        <f ca="1">IF($I$5=1,IFERROR(MATCH(7,INDIRECT("'"&amp;$I$1&amp;"'!$AD$2:$AD$501"),0),""),"")</f>
        <v>161</v>
      </c>
    </row>
    <row r="24" spans="2:11">
      <c r="B24" s="18" t="str">
        <f t="shared" ca="1" si="1"/>
        <v>سيتول</v>
      </c>
      <c r="C24" s="21">
        <f t="shared" ca="1" si="2"/>
        <v>0</v>
      </c>
      <c r="D24" s="22">
        <f t="shared" ca="1" si="3"/>
        <v>0</v>
      </c>
      <c r="E24" s="18" t="str">
        <f t="shared" ca="1" si="4"/>
        <v>مواد خام</v>
      </c>
      <c r="K24" s="3">
        <f ca="1">IF($I$5=1,IFERROR(MATCH(8,INDIRECT("'"&amp;$I$1&amp;"'!$AD$2:$AD$501"),0),""),"")</f>
        <v>170</v>
      </c>
    </row>
    <row r="25" spans="2:11">
      <c r="B25" s="18" t="str">
        <f t="shared" ca="1" si="1"/>
        <v/>
      </c>
      <c r="C25" s="21" t="str">
        <f t="shared" ca="1" si="2"/>
        <v/>
      </c>
      <c r="D25" s="22" t="str">
        <f t="shared" ca="1" si="3"/>
        <v/>
      </c>
      <c r="E25" s="18" t="str">
        <f t="shared" ca="1" si="4"/>
        <v/>
      </c>
      <c r="K25" s="3" t="str">
        <f ca="1">IF($I$5=1,IFERROR(MATCH(9,INDIRECT("'"&amp;$I$1&amp;"'!$AD$2:$AD$501"),0),""),"")</f>
        <v/>
      </c>
    </row>
    <row r="26" spans="2:11">
      <c r="B26" s="18" t="str">
        <f t="shared" ca="1" si="1"/>
        <v/>
      </c>
      <c r="C26" s="21" t="str">
        <f t="shared" ca="1" si="2"/>
        <v/>
      </c>
      <c r="D26" s="22" t="str">
        <f t="shared" ca="1" si="3"/>
        <v/>
      </c>
      <c r="E26" s="18" t="str">
        <f t="shared" ca="1" si="4"/>
        <v/>
      </c>
      <c r="K26" s="3" t="str">
        <f ca="1">IF($I$5=1,IFERROR(MATCH(10,INDIRECT("'"&amp;$I$1&amp;"'!$AD$2:$AD$501"),0),""),"")</f>
        <v/>
      </c>
    </row>
    <row r="27" spans="2:11">
      <c r="B27" s="18" t="str">
        <f t="shared" ca="1" si="1"/>
        <v/>
      </c>
      <c r="C27" s="21" t="str">
        <f t="shared" ca="1" si="2"/>
        <v/>
      </c>
      <c r="D27" s="22" t="str">
        <f t="shared" ca="1" si="3"/>
        <v/>
      </c>
      <c r="E27" s="18" t="str">
        <f t="shared" ca="1" si="4"/>
        <v/>
      </c>
      <c r="K27" s="3" t="str">
        <f ca="1">IF($I$5=1,IFERROR(MATCH(11,INDIRECT("'"&amp;$I$1&amp;"'!$AD$2:$AD$501"),0),""),"")</f>
        <v/>
      </c>
    </row>
    <row r="28" spans="2:11">
      <c r="B28" s="18" t="str">
        <f t="shared" ca="1" si="1"/>
        <v/>
      </c>
      <c r="C28" s="21" t="str">
        <f t="shared" ca="1" si="2"/>
        <v/>
      </c>
      <c r="D28" s="22" t="str">
        <f t="shared" ca="1" si="3"/>
        <v/>
      </c>
      <c r="E28" s="18" t="str">
        <f t="shared" ca="1" si="4"/>
        <v/>
      </c>
      <c r="K28" s="3" t="str">
        <f ca="1">IF($I$5=1,IFERROR(MATCH(12,INDIRECT("'"&amp;$I$1&amp;"'!$AD$2:$AD$501"),0),""),"")</f>
        <v/>
      </c>
    </row>
    <row r="29" spans="2:11">
      <c r="B29" s="18" t="str">
        <f t="shared" ca="1" si="1"/>
        <v/>
      </c>
      <c r="C29" s="21" t="str">
        <f t="shared" ca="1" si="2"/>
        <v/>
      </c>
      <c r="D29" s="22" t="str">
        <f t="shared" ca="1" si="3"/>
        <v/>
      </c>
      <c r="E29" s="18" t="str">
        <f t="shared" ca="1" si="4"/>
        <v/>
      </c>
      <c r="K29" s="3" t="str">
        <f ca="1">IF($I$5=1,IFERROR(MATCH(13,INDIRECT("'"&amp;$I$1&amp;"'!$AD$2:$AD$501"),0),""),"")</f>
        <v/>
      </c>
    </row>
    <row r="30" spans="2:11">
      <c r="B30" s="18" t="str">
        <f t="shared" ca="1" si="1"/>
        <v/>
      </c>
      <c r="C30" s="21" t="str">
        <f t="shared" ca="1" si="2"/>
        <v/>
      </c>
      <c r="D30" s="22" t="str">
        <f t="shared" ca="1" si="3"/>
        <v/>
      </c>
      <c r="E30" s="18" t="str">
        <f t="shared" ca="1" si="4"/>
        <v/>
      </c>
      <c r="K30" s="3" t="str">
        <f ca="1">IF($I$5=1,IFERROR(MATCH(14,INDIRECT("'"&amp;$I$1&amp;"'!$AD$2:$AD$501"),0),""),"")</f>
        <v/>
      </c>
    </row>
    <row r="31" spans="2:11">
      <c r="B31" s="18" t="str">
        <f t="shared" ca="1" si="1"/>
        <v/>
      </c>
      <c r="C31" s="21" t="str">
        <f t="shared" ca="1" si="2"/>
        <v/>
      </c>
      <c r="D31" s="22" t="str">
        <f t="shared" ca="1" si="3"/>
        <v/>
      </c>
      <c r="E31" s="18" t="str">
        <f t="shared" ca="1" si="4"/>
        <v/>
      </c>
      <c r="K31" s="3" t="str">
        <f ca="1">IF($I$5=1,IFERROR(MATCH(15,INDIRECT("'"&amp;$I$1&amp;"'!$AD$2:$AD$501"),0),""),"")</f>
        <v/>
      </c>
    </row>
    <row r="32" spans="2:11">
      <c r="B32" s="18" t="str">
        <f t="shared" ca="1" si="1"/>
        <v/>
      </c>
      <c r="C32" s="21" t="str">
        <f t="shared" ca="1" si="2"/>
        <v/>
      </c>
      <c r="D32" s="22" t="str">
        <f t="shared" ca="1" si="3"/>
        <v/>
      </c>
      <c r="E32" s="18" t="str">
        <f t="shared" ca="1" si="4"/>
        <v/>
      </c>
      <c r="K32" s="3" t="str">
        <f ca="1">IF($I$5=1,IFERROR(MATCH(16,INDIRECT("'"&amp;$I$1&amp;"'!$AD$2:$AD$501"),0),""),"")</f>
        <v/>
      </c>
    </row>
    <row r="33" spans="2:11">
      <c r="B33" s="18" t="str">
        <f t="shared" ca="1" si="1"/>
        <v/>
      </c>
      <c r="C33" s="21" t="str">
        <f t="shared" ca="1" si="2"/>
        <v/>
      </c>
      <c r="D33" s="22" t="str">
        <f t="shared" ca="1" si="3"/>
        <v/>
      </c>
      <c r="E33" s="18" t="str">
        <f t="shared" ca="1" si="4"/>
        <v/>
      </c>
      <c r="K33" s="3" t="str">
        <f ca="1">IF($I$5=1,IFERROR(MATCH(17,INDIRECT("'"&amp;$I$1&amp;"'!$AD$2:$AD$501"),0),""),"")</f>
        <v/>
      </c>
    </row>
    <row r="34" spans="2:11">
      <c r="B34" s="18" t="str">
        <f t="shared" ca="1" si="1"/>
        <v/>
      </c>
      <c r="C34" s="21" t="str">
        <f t="shared" ca="1" si="2"/>
        <v/>
      </c>
      <c r="D34" s="22" t="str">
        <f t="shared" ca="1" si="3"/>
        <v/>
      </c>
      <c r="E34" s="18" t="str">
        <f t="shared" ca="1" si="4"/>
        <v/>
      </c>
      <c r="K34" s="3" t="str">
        <f ca="1">IF($I$5=1,IFERROR(MATCH(18,INDIRECT("'"&amp;$I$1&amp;"'!$AD$2:$AD$501"),0),""),"")</f>
        <v/>
      </c>
    </row>
    <row r="35" spans="2:11">
      <c r="B35" s="18" t="str">
        <f t="shared" ca="1" si="1"/>
        <v/>
      </c>
      <c r="C35" s="21" t="str">
        <f t="shared" ca="1" si="2"/>
        <v/>
      </c>
      <c r="D35" s="22" t="str">
        <f t="shared" ca="1" si="3"/>
        <v/>
      </c>
      <c r="E35" s="18" t="str">
        <f t="shared" ca="1" si="4"/>
        <v/>
      </c>
      <c r="K35" s="3" t="str">
        <f ca="1">IF($I$5=1,IFERROR(MATCH(19,INDIRECT("'"&amp;$I$1&amp;"'!$AD$2:$AD$501"),0),""),"")</f>
        <v/>
      </c>
    </row>
    <row r="36" spans="2:11">
      <c r="B36" s="18" t="str">
        <f t="shared" ca="1" si="1"/>
        <v/>
      </c>
      <c r="C36" s="21" t="str">
        <f t="shared" ca="1" si="2"/>
        <v/>
      </c>
      <c r="D36" s="22" t="str">
        <f t="shared" ca="1" si="3"/>
        <v/>
      </c>
      <c r="E36" s="18" t="str">
        <f t="shared" ca="1" si="4"/>
        <v/>
      </c>
      <c r="K36" s="3" t="str">
        <f ca="1">IF($I$5=1,IFERROR(MATCH(20,INDIRECT("'"&amp;$I$1&amp;"'!$AD$2:$AD$501"),0),""),"")</f>
        <v/>
      </c>
    </row>
    <row r="37" spans="2:11">
      <c r="B37" s="18" t="str">
        <f t="shared" ca="1" si="1"/>
        <v/>
      </c>
      <c r="C37" s="21" t="str">
        <f t="shared" ca="1" si="2"/>
        <v/>
      </c>
      <c r="D37" s="22" t="str">
        <f t="shared" ca="1" si="3"/>
        <v/>
      </c>
      <c r="E37" s="18" t="str">
        <f t="shared" ca="1" si="4"/>
        <v/>
      </c>
      <c r="K37" s="3" t="str">
        <f ca="1">IF($I$5=1,IFERROR(MATCH(21,INDIRECT("'"&amp;$I$1&amp;"'!$AD$2:$AD$501"),0),""),"")</f>
        <v/>
      </c>
    </row>
    <row r="38" spans="2:11">
      <c r="B38" s="18" t="str">
        <f t="shared" ca="1" si="1"/>
        <v/>
      </c>
      <c r="C38" s="21" t="str">
        <f t="shared" ca="1" si="2"/>
        <v/>
      </c>
      <c r="D38" s="22" t="str">
        <f t="shared" ca="1" si="3"/>
        <v/>
      </c>
      <c r="E38" s="18" t="str">
        <f t="shared" ca="1" si="4"/>
        <v/>
      </c>
      <c r="K38" s="3" t="str">
        <f ca="1">IF($I$5=1,IFERROR(MATCH(22,INDIRECT("'"&amp;$I$1&amp;"'!$AD$2:$AD$501"),0),""),"")</f>
        <v/>
      </c>
    </row>
    <row r="39" spans="2:11">
      <c r="B39" s="18" t="str">
        <f t="shared" ca="1" si="1"/>
        <v/>
      </c>
      <c r="C39" s="21" t="str">
        <f t="shared" ca="1" si="2"/>
        <v/>
      </c>
      <c r="D39" s="22" t="str">
        <f t="shared" ca="1" si="3"/>
        <v/>
      </c>
      <c r="E39" s="18" t="str">
        <f t="shared" ca="1" si="4"/>
        <v/>
      </c>
      <c r="K39" s="3" t="str">
        <f ca="1">IF($I$5=1,IFERROR(MATCH(23,INDIRECT("'"&amp;$I$1&amp;"'!$AD$2:$AD$501"),0),""),"")</f>
        <v/>
      </c>
    </row>
    <row r="40" spans="2:11">
      <c r="B40" s="18" t="str">
        <f t="shared" ca="1" si="1"/>
        <v/>
      </c>
      <c r="C40" s="21" t="str">
        <f t="shared" ca="1" si="2"/>
        <v/>
      </c>
      <c r="D40" s="22" t="str">
        <f t="shared" ca="1" si="3"/>
        <v/>
      </c>
      <c r="E40" s="18" t="str">
        <f t="shared" ca="1" si="4"/>
        <v/>
      </c>
      <c r="K40" s="3" t="str">
        <f ca="1">IF($I$5=1,IFERROR(MATCH(24,INDIRECT("'"&amp;$I$1&amp;"'!$AD$2:$AD$501"),0),""),"")</f>
        <v/>
      </c>
    </row>
    <row r="41" spans="2:11">
      <c r="B41" s="18" t="str">
        <f t="shared" ca="1" si="1"/>
        <v/>
      </c>
      <c r="C41" s="21" t="str">
        <f t="shared" ca="1" si="2"/>
        <v/>
      </c>
      <c r="D41" s="22" t="str">
        <f t="shared" ca="1" si="3"/>
        <v/>
      </c>
      <c r="E41" s="18" t="str">
        <f t="shared" ca="1" si="4"/>
        <v/>
      </c>
      <c r="K41" s="3" t="str">
        <f ca="1">IF($I$5=1,IFERROR(MATCH(25,INDIRECT("'"&amp;$I$1&amp;"'!$AD$2:$AD$501"),0),""),"")</f>
        <v/>
      </c>
    </row>
    <row r="42" spans="2:11">
      <c r="B42" s="18" t="str">
        <f t="shared" ca="1" si="1"/>
        <v/>
      </c>
      <c r="C42" s="21" t="str">
        <f t="shared" ca="1" si="2"/>
        <v/>
      </c>
      <c r="D42" s="22" t="str">
        <f t="shared" ca="1" si="3"/>
        <v/>
      </c>
      <c r="E42" s="18" t="str">
        <f t="shared" ca="1" si="4"/>
        <v/>
      </c>
      <c r="K42" s="3" t="str">
        <f ca="1">IF($I$5=1,IFERROR(MATCH(26,INDIRECT("'"&amp;$I$1&amp;"'!$AD$2:$AD$501"),0),""),"")</f>
        <v/>
      </c>
    </row>
    <row r="43" spans="2:11">
      <c r="B43" s="18" t="str">
        <f t="shared" ca="1" si="1"/>
        <v/>
      </c>
      <c r="C43" s="21" t="str">
        <f t="shared" ca="1" si="2"/>
        <v/>
      </c>
      <c r="D43" s="22" t="str">
        <f t="shared" ca="1" si="3"/>
        <v/>
      </c>
      <c r="E43" s="18" t="str">
        <f t="shared" ca="1" si="4"/>
        <v/>
      </c>
      <c r="K43" s="3" t="str">
        <f ca="1">IF($I$5=1,IFERROR(MATCH(27,INDIRECT("'"&amp;$I$1&amp;"'!$AD$2:$AD$501"),0),""),"")</f>
        <v/>
      </c>
    </row>
    <row r="44" spans="2:11">
      <c r="B44" s="18" t="str">
        <f t="shared" ca="1" si="1"/>
        <v/>
      </c>
      <c r="C44" s="21" t="str">
        <f t="shared" ca="1" si="2"/>
        <v/>
      </c>
      <c r="D44" s="22" t="str">
        <f t="shared" ca="1" si="3"/>
        <v/>
      </c>
      <c r="E44" s="18" t="str">
        <f t="shared" ca="1" si="4"/>
        <v/>
      </c>
      <c r="K44" s="3" t="str">
        <f ca="1">IF($I$5=1,IFERROR(MATCH(28,INDIRECT("'"&amp;$I$1&amp;"'!$AD$2:$AD$501"),0),""),"")</f>
        <v/>
      </c>
    </row>
    <row r="45" spans="2:11">
      <c r="B45" s="18" t="str">
        <f t="shared" ca="1" si="1"/>
        <v/>
      </c>
      <c r="C45" s="21" t="str">
        <f t="shared" ca="1" si="2"/>
        <v/>
      </c>
      <c r="D45" s="22" t="str">
        <f t="shared" ca="1" si="3"/>
        <v/>
      </c>
      <c r="E45" s="18" t="str">
        <f t="shared" ca="1" si="4"/>
        <v/>
      </c>
      <c r="K45" s="3" t="str">
        <f ca="1">IF($I$5=1,IFERROR(MATCH(29,INDIRECT("'"&amp;$I$1&amp;"'!$AD$2:$AD$501"),0),""),"")</f>
        <v/>
      </c>
    </row>
    <row r="46" spans="2:11">
      <c r="B46" s="18" t="str">
        <f t="shared" ca="1" si="1"/>
        <v/>
      </c>
      <c r="C46" s="21" t="str">
        <f t="shared" ca="1" si="2"/>
        <v/>
      </c>
      <c r="D46" s="22" t="str">
        <f t="shared" ca="1" si="3"/>
        <v/>
      </c>
      <c r="E46" s="18" t="str">
        <f t="shared" ca="1" si="4"/>
        <v/>
      </c>
      <c r="K46" s="3" t="str">
        <f ca="1">IF($I$5=1,IFERROR(MATCH(30,INDIRECT("'"&amp;$I$1&amp;"'!$AD$2:$AD$501"),0),""),"")</f>
        <v/>
      </c>
    </row>
    <row r="47" spans="2:11">
      <c r="B47" s="54" t="str">
        <f>IF($I$5=1,IF(N(INDEX('الملخص الشهري'!$B$30:$M$30,'لوحة التحكم'!$D$6))&gt;30,"+ "&amp;(INDEX('الملخص الشهري'!$B$30:$M$30,'لوحة التحكم'!$D$6)-30)&amp;" أصناف جديدة إضافية — فلتر عمود «مقابل الشهر السابق» في ورقة الشهر",""),"")</f>
        <v/>
      </c>
      <c r="C47" s="54"/>
      <c r="D47" s="54"/>
      <c r="E47" s="54"/>
      <c r="F47" s="54"/>
    </row>
    <row r="49" spans="2:11" ht="19.5" customHeight="1">
      <c r="B49" s="47" t="s">
        <v>205</v>
      </c>
      <c r="C49" s="47"/>
      <c r="D49" s="47"/>
      <c r="E49" s="47"/>
      <c r="F49" s="47"/>
    </row>
    <row r="50" spans="2:11">
      <c r="B50" s="10" t="s">
        <v>96</v>
      </c>
      <c r="C50" s="10" t="s">
        <v>206</v>
      </c>
      <c r="D50" s="10" t="s">
        <v>207</v>
      </c>
      <c r="E50" s="10" t="s">
        <v>63</v>
      </c>
    </row>
    <row r="51" spans="2:11">
      <c r="B51" s="18" t="str">
        <f t="shared" ref="B51:B80" ca="1" si="5">IF(K51="","",INDEX(INDIRECT("'"&amp;$I$2&amp;"'!$A$2:$A$501"),K51))</f>
        <v>كلور عبوة 1 لتر</v>
      </c>
      <c r="C51" s="21">
        <f t="shared" ref="C51:C80" ca="1" si="6">IF(K51="","",INDEX(INDIRECT("'"&amp;$I$2&amp;"'!$P$2:$P$501"),K51))</f>
        <v>6050</v>
      </c>
      <c r="D51" s="22">
        <f t="shared" ref="D51:D80" ca="1" si="7">IF(K51="","",INDEX(INDIRECT("'"&amp;$I$2&amp;"'!$Q$2:$Q$501"),K51))</f>
        <v>816.75</v>
      </c>
      <c r="E51" s="18" t="str">
        <f t="shared" ref="E51:E80" ca="1" si="8">IF(K51="","",INDEX(INDIRECT("'"&amp;$I$2&amp;"'!$H$2:$H$501"),K51))</f>
        <v>مواد خام</v>
      </c>
      <c r="K51" s="3">
        <f ca="1">IF($I$5=1,IFERROR(MATCH(1,INDIRECT("'"&amp;$I$2&amp;"'!$AE$2:$AE$501"),0),""),"")</f>
        <v>64</v>
      </c>
    </row>
    <row r="52" spans="2:11">
      <c r="B52" s="18" t="str">
        <f t="shared" ca="1" si="5"/>
        <v/>
      </c>
      <c r="C52" s="21" t="str">
        <f t="shared" ca="1" si="6"/>
        <v/>
      </c>
      <c r="D52" s="22" t="str">
        <f t="shared" ca="1" si="7"/>
        <v/>
      </c>
      <c r="E52" s="18" t="str">
        <f t="shared" ca="1" si="8"/>
        <v/>
      </c>
      <c r="K52" s="3" t="str">
        <f ca="1">IF($I$5=1,IFERROR(MATCH(2,INDIRECT("'"&amp;$I$2&amp;"'!$AE$2:$AE$501"),0),""),"")</f>
        <v/>
      </c>
    </row>
    <row r="53" spans="2:11">
      <c r="B53" s="18" t="str">
        <f t="shared" ca="1" si="5"/>
        <v/>
      </c>
      <c r="C53" s="21" t="str">
        <f t="shared" ca="1" si="6"/>
        <v/>
      </c>
      <c r="D53" s="22" t="str">
        <f t="shared" ca="1" si="7"/>
        <v/>
      </c>
      <c r="E53" s="18" t="str">
        <f t="shared" ca="1" si="8"/>
        <v/>
      </c>
      <c r="K53" s="3" t="str">
        <f ca="1">IF($I$5=1,IFERROR(MATCH(3,INDIRECT("'"&amp;$I$2&amp;"'!$AE$2:$AE$501"),0),""),"")</f>
        <v/>
      </c>
    </row>
    <row r="54" spans="2:11">
      <c r="B54" s="18" t="str">
        <f t="shared" ca="1" si="5"/>
        <v/>
      </c>
      <c r="C54" s="21" t="str">
        <f t="shared" ca="1" si="6"/>
        <v/>
      </c>
      <c r="D54" s="22" t="str">
        <f t="shared" ca="1" si="7"/>
        <v/>
      </c>
      <c r="E54" s="18" t="str">
        <f t="shared" ca="1" si="8"/>
        <v/>
      </c>
      <c r="K54" s="3" t="str">
        <f ca="1">IF($I$5=1,IFERROR(MATCH(4,INDIRECT("'"&amp;$I$2&amp;"'!$AE$2:$AE$501"),0),""),"")</f>
        <v/>
      </c>
    </row>
    <row r="55" spans="2:11">
      <c r="B55" s="18" t="str">
        <f t="shared" ca="1" si="5"/>
        <v/>
      </c>
      <c r="C55" s="21" t="str">
        <f t="shared" ca="1" si="6"/>
        <v/>
      </c>
      <c r="D55" s="22" t="str">
        <f t="shared" ca="1" si="7"/>
        <v/>
      </c>
      <c r="E55" s="18" t="str">
        <f t="shared" ca="1" si="8"/>
        <v/>
      </c>
      <c r="K55" s="3" t="str">
        <f ca="1">IF($I$5=1,IFERROR(MATCH(5,INDIRECT("'"&amp;$I$2&amp;"'!$AE$2:$AE$501"),0),""),"")</f>
        <v/>
      </c>
    </row>
    <row r="56" spans="2:11">
      <c r="B56" s="18" t="str">
        <f t="shared" ca="1" si="5"/>
        <v/>
      </c>
      <c r="C56" s="21" t="str">
        <f t="shared" ca="1" si="6"/>
        <v/>
      </c>
      <c r="D56" s="22" t="str">
        <f t="shared" ca="1" si="7"/>
        <v/>
      </c>
      <c r="E56" s="18" t="str">
        <f t="shared" ca="1" si="8"/>
        <v/>
      </c>
      <c r="K56" s="3" t="str">
        <f ca="1">IF($I$5=1,IFERROR(MATCH(6,INDIRECT("'"&amp;$I$2&amp;"'!$AE$2:$AE$501"),0),""),"")</f>
        <v/>
      </c>
    </row>
    <row r="57" spans="2:11">
      <c r="B57" s="18" t="str">
        <f t="shared" ca="1" si="5"/>
        <v/>
      </c>
      <c r="C57" s="21" t="str">
        <f t="shared" ca="1" si="6"/>
        <v/>
      </c>
      <c r="D57" s="22" t="str">
        <f t="shared" ca="1" si="7"/>
        <v/>
      </c>
      <c r="E57" s="18" t="str">
        <f t="shared" ca="1" si="8"/>
        <v/>
      </c>
      <c r="K57" s="3" t="str">
        <f ca="1">IF($I$5=1,IFERROR(MATCH(7,INDIRECT("'"&amp;$I$2&amp;"'!$AE$2:$AE$501"),0),""),"")</f>
        <v/>
      </c>
    </row>
    <row r="58" spans="2:11">
      <c r="B58" s="18" t="str">
        <f t="shared" ca="1" si="5"/>
        <v/>
      </c>
      <c r="C58" s="21" t="str">
        <f t="shared" ca="1" si="6"/>
        <v/>
      </c>
      <c r="D58" s="22" t="str">
        <f t="shared" ca="1" si="7"/>
        <v/>
      </c>
      <c r="E58" s="18" t="str">
        <f t="shared" ca="1" si="8"/>
        <v/>
      </c>
      <c r="K58" s="3" t="str">
        <f ca="1">IF($I$5=1,IFERROR(MATCH(8,INDIRECT("'"&amp;$I$2&amp;"'!$AE$2:$AE$501"),0),""),"")</f>
        <v/>
      </c>
    </row>
    <row r="59" spans="2:11">
      <c r="B59" s="18" t="str">
        <f t="shared" ca="1" si="5"/>
        <v/>
      </c>
      <c r="C59" s="21" t="str">
        <f t="shared" ca="1" si="6"/>
        <v/>
      </c>
      <c r="D59" s="22" t="str">
        <f t="shared" ca="1" si="7"/>
        <v/>
      </c>
      <c r="E59" s="18" t="str">
        <f t="shared" ca="1" si="8"/>
        <v/>
      </c>
      <c r="K59" s="3" t="str">
        <f ca="1">IF($I$5=1,IFERROR(MATCH(9,INDIRECT("'"&amp;$I$2&amp;"'!$AE$2:$AE$501"),0),""),"")</f>
        <v/>
      </c>
    </row>
    <row r="60" spans="2:11">
      <c r="B60" s="18" t="str">
        <f t="shared" ca="1" si="5"/>
        <v/>
      </c>
      <c r="C60" s="21" t="str">
        <f t="shared" ca="1" si="6"/>
        <v/>
      </c>
      <c r="D60" s="22" t="str">
        <f t="shared" ca="1" si="7"/>
        <v/>
      </c>
      <c r="E60" s="18" t="str">
        <f t="shared" ca="1" si="8"/>
        <v/>
      </c>
      <c r="K60" s="3" t="str">
        <f ca="1">IF($I$5=1,IFERROR(MATCH(10,INDIRECT("'"&amp;$I$2&amp;"'!$AE$2:$AE$501"),0),""),"")</f>
        <v/>
      </c>
    </row>
    <row r="61" spans="2:11">
      <c r="B61" s="18" t="str">
        <f t="shared" ca="1" si="5"/>
        <v/>
      </c>
      <c r="C61" s="21" t="str">
        <f t="shared" ca="1" si="6"/>
        <v/>
      </c>
      <c r="D61" s="22" t="str">
        <f t="shared" ca="1" si="7"/>
        <v/>
      </c>
      <c r="E61" s="18" t="str">
        <f t="shared" ca="1" si="8"/>
        <v/>
      </c>
      <c r="K61" s="3" t="str">
        <f ca="1">IF($I$5=1,IFERROR(MATCH(11,INDIRECT("'"&amp;$I$2&amp;"'!$AE$2:$AE$501"),0),""),"")</f>
        <v/>
      </c>
    </row>
    <row r="62" spans="2:11">
      <c r="B62" s="18" t="str">
        <f t="shared" ca="1" si="5"/>
        <v/>
      </c>
      <c r="C62" s="21" t="str">
        <f t="shared" ca="1" si="6"/>
        <v/>
      </c>
      <c r="D62" s="22" t="str">
        <f t="shared" ca="1" si="7"/>
        <v/>
      </c>
      <c r="E62" s="18" t="str">
        <f t="shared" ca="1" si="8"/>
        <v/>
      </c>
      <c r="K62" s="3" t="str">
        <f ca="1">IF($I$5=1,IFERROR(MATCH(12,INDIRECT("'"&amp;$I$2&amp;"'!$AE$2:$AE$501"),0),""),"")</f>
        <v/>
      </c>
    </row>
    <row r="63" spans="2:11">
      <c r="B63" s="18" t="str">
        <f t="shared" ca="1" si="5"/>
        <v/>
      </c>
      <c r="C63" s="21" t="str">
        <f t="shared" ca="1" si="6"/>
        <v/>
      </c>
      <c r="D63" s="22" t="str">
        <f t="shared" ca="1" si="7"/>
        <v/>
      </c>
      <c r="E63" s="18" t="str">
        <f t="shared" ca="1" si="8"/>
        <v/>
      </c>
      <c r="K63" s="3" t="str">
        <f ca="1">IF($I$5=1,IFERROR(MATCH(13,INDIRECT("'"&amp;$I$2&amp;"'!$AE$2:$AE$501"),0),""),"")</f>
        <v/>
      </c>
    </row>
    <row r="64" spans="2:11">
      <c r="B64" s="18" t="str">
        <f t="shared" ca="1" si="5"/>
        <v/>
      </c>
      <c r="C64" s="21" t="str">
        <f t="shared" ca="1" si="6"/>
        <v/>
      </c>
      <c r="D64" s="22" t="str">
        <f t="shared" ca="1" si="7"/>
        <v/>
      </c>
      <c r="E64" s="18" t="str">
        <f t="shared" ca="1" si="8"/>
        <v/>
      </c>
      <c r="K64" s="3" t="str">
        <f ca="1">IF($I$5=1,IFERROR(MATCH(14,INDIRECT("'"&amp;$I$2&amp;"'!$AE$2:$AE$501"),0),""),"")</f>
        <v/>
      </c>
    </row>
    <row r="65" spans="2:11">
      <c r="B65" s="18" t="str">
        <f t="shared" ca="1" si="5"/>
        <v/>
      </c>
      <c r="C65" s="21" t="str">
        <f t="shared" ca="1" si="6"/>
        <v/>
      </c>
      <c r="D65" s="22" t="str">
        <f t="shared" ca="1" si="7"/>
        <v/>
      </c>
      <c r="E65" s="18" t="str">
        <f t="shared" ca="1" si="8"/>
        <v/>
      </c>
      <c r="K65" s="3" t="str">
        <f ca="1">IF($I$5=1,IFERROR(MATCH(15,INDIRECT("'"&amp;$I$2&amp;"'!$AE$2:$AE$501"),0),""),"")</f>
        <v/>
      </c>
    </row>
    <row r="66" spans="2:11">
      <c r="B66" s="18" t="str">
        <f t="shared" ca="1" si="5"/>
        <v/>
      </c>
      <c r="C66" s="21" t="str">
        <f t="shared" ca="1" si="6"/>
        <v/>
      </c>
      <c r="D66" s="22" t="str">
        <f t="shared" ca="1" si="7"/>
        <v/>
      </c>
      <c r="E66" s="18" t="str">
        <f t="shared" ca="1" si="8"/>
        <v/>
      </c>
      <c r="K66" s="3" t="str">
        <f ca="1">IF($I$5=1,IFERROR(MATCH(16,INDIRECT("'"&amp;$I$2&amp;"'!$AE$2:$AE$501"),0),""),"")</f>
        <v/>
      </c>
    </row>
    <row r="67" spans="2:11">
      <c r="B67" s="18" t="str">
        <f t="shared" ca="1" si="5"/>
        <v/>
      </c>
      <c r="C67" s="21" t="str">
        <f t="shared" ca="1" si="6"/>
        <v/>
      </c>
      <c r="D67" s="22" t="str">
        <f t="shared" ca="1" si="7"/>
        <v/>
      </c>
      <c r="E67" s="18" t="str">
        <f t="shared" ca="1" si="8"/>
        <v/>
      </c>
      <c r="K67" s="3" t="str">
        <f ca="1">IF($I$5=1,IFERROR(MATCH(17,INDIRECT("'"&amp;$I$2&amp;"'!$AE$2:$AE$501"),0),""),"")</f>
        <v/>
      </c>
    </row>
    <row r="68" spans="2:11">
      <c r="B68" s="18" t="str">
        <f t="shared" ca="1" si="5"/>
        <v/>
      </c>
      <c r="C68" s="21" t="str">
        <f t="shared" ca="1" si="6"/>
        <v/>
      </c>
      <c r="D68" s="22" t="str">
        <f t="shared" ca="1" si="7"/>
        <v/>
      </c>
      <c r="E68" s="18" t="str">
        <f t="shared" ca="1" si="8"/>
        <v/>
      </c>
      <c r="K68" s="3" t="str">
        <f ca="1">IF($I$5=1,IFERROR(MATCH(18,INDIRECT("'"&amp;$I$2&amp;"'!$AE$2:$AE$501"),0),""),"")</f>
        <v/>
      </c>
    </row>
    <row r="69" spans="2:11">
      <c r="B69" s="18" t="str">
        <f t="shared" ca="1" si="5"/>
        <v/>
      </c>
      <c r="C69" s="21" t="str">
        <f t="shared" ca="1" si="6"/>
        <v/>
      </c>
      <c r="D69" s="22" t="str">
        <f t="shared" ca="1" si="7"/>
        <v/>
      </c>
      <c r="E69" s="18" t="str">
        <f t="shared" ca="1" si="8"/>
        <v/>
      </c>
      <c r="K69" s="3" t="str">
        <f ca="1">IF($I$5=1,IFERROR(MATCH(19,INDIRECT("'"&amp;$I$2&amp;"'!$AE$2:$AE$501"),0),""),"")</f>
        <v/>
      </c>
    </row>
    <row r="70" spans="2:11">
      <c r="B70" s="18" t="str">
        <f t="shared" ca="1" si="5"/>
        <v/>
      </c>
      <c r="C70" s="21" t="str">
        <f t="shared" ca="1" si="6"/>
        <v/>
      </c>
      <c r="D70" s="22" t="str">
        <f t="shared" ca="1" si="7"/>
        <v/>
      </c>
      <c r="E70" s="18" t="str">
        <f t="shared" ca="1" si="8"/>
        <v/>
      </c>
      <c r="K70" s="3" t="str">
        <f ca="1">IF($I$5=1,IFERROR(MATCH(20,INDIRECT("'"&amp;$I$2&amp;"'!$AE$2:$AE$501"),0),""),"")</f>
        <v/>
      </c>
    </row>
    <row r="71" spans="2:11">
      <c r="B71" s="18" t="str">
        <f t="shared" ca="1" si="5"/>
        <v/>
      </c>
      <c r="C71" s="21" t="str">
        <f t="shared" ca="1" si="6"/>
        <v/>
      </c>
      <c r="D71" s="22" t="str">
        <f t="shared" ca="1" si="7"/>
        <v/>
      </c>
      <c r="E71" s="18" t="str">
        <f t="shared" ca="1" si="8"/>
        <v/>
      </c>
      <c r="K71" s="3" t="str">
        <f ca="1">IF($I$5=1,IFERROR(MATCH(21,INDIRECT("'"&amp;$I$2&amp;"'!$AE$2:$AE$501"),0),""),"")</f>
        <v/>
      </c>
    </row>
    <row r="72" spans="2:11">
      <c r="B72" s="18" t="str">
        <f t="shared" ca="1" si="5"/>
        <v/>
      </c>
      <c r="C72" s="21" t="str">
        <f t="shared" ca="1" si="6"/>
        <v/>
      </c>
      <c r="D72" s="22" t="str">
        <f t="shared" ca="1" si="7"/>
        <v/>
      </c>
      <c r="E72" s="18" t="str">
        <f t="shared" ca="1" si="8"/>
        <v/>
      </c>
      <c r="K72" s="3" t="str">
        <f ca="1">IF($I$5=1,IFERROR(MATCH(22,INDIRECT("'"&amp;$I$2&amp;"'!$AE$2:$AE$501"),0),""),"")</f>
        <v/>
      </c>
    </row>
    <row r="73" spans="2:11">
      <c r="B73" s="18" t="str">
        <f t="shared" ca="1" si="5"/>
        <v/>
      </c>
      <c r="C73" s="21" t="str">
        <f t="shared" ca="1" si="6"/>
        <v/>
      </c>
      <c r="D73" s="22" t="str">
        <f t="shared" ca="1" si="7"/>
        <v/>
      </c>
      <c r="E73" s="18" t="str">
        <f t="shared" ca="1" si="8"/>
        <v/>
      </c>
      <c r="K73" s="3" t="str">
        <f ca="1">IF($I$5=1,IFERROR(MATCH(23,INDIRECT("'"&amp;$I$2&amp;"'!$AE$2:$AE$501"),0),""),"")</f>
        <v/>
      </c>
    </row>
    <row r="74" spans="2:11">
      <c r="B74" s="18" t="str">
        <f t="shared" ca="1" si="5"/>
        <v/>
      </c>
      <c r="C74" s="21" t="str">
        <f t="shared" ca="1" si="6"/>
        <v/>
      </c>
      <c r="D74" s="22" t="str">
        <f t="shared" ca="1" si="7"/>
        <v/>
      </c>
      <c r="E74" s="18" t="str">
        <f t="shared" ca="1" si="8"/>
        <v/>
      </c>
      <c r="K74" s="3" t="str">
        <f ca="1">IF($I$5=1,IFERROR(MATCH(24,INDIRECT("'"&amp;$I$2&amp;"'!$AE$2:$AE$501"),0),""),"")</f>
        <v/>
      </c>
    </row>
    <row r="75" spans="2:11">
      <c r="B75" s="18" t="str">
        <f t="shared" ca="1" si="5"/>
        <v/>
      </c>
      <c r="C75" s="21" t="str">
        <f t="shared" ca="1" si="6"/>
        <v/>
      </c>
      <c r="D75" s="22" t="str">
        <f t="shared" ca="1" si="7"/>
        <v/>
      </c>
      <c r="E75" s="18" t="str">
        <f t="shared" ca="1" si="8"/>
        <v/>
      </c>
      <c r="K75" s="3" t="str">
        <f ca="1">IF($I$5=1,IFERROR(MATCH(25,INDIRECT("'"&amp;$I$2&amp;"'!$AE$2:$AE$501"),0),""),"")</f>
        <v/>
      </c>
    </row>
    <row r="76" spans="2:11">
      <c r="B76" s="18" t="str">
        <f t="shared" ca="1" si="5"/>
        <v/>
      </c>
      <c r="C76" s="21" t="str">
        <f t="shared" ca="1" si="6"/>
        <v/>
      </c>
      <c r="D76" s="22" t="str">
        <f t="shared" ca="1" si="7"/>
        <v/>
      </c>
      <c r="E76" s="18" t="str">
        <f t="shared" ca="1" si="8"/>
        <v/>
      </c>
      <c r="K76" s="3" t="str">
        <f ca="1">IF($I$5=1,IFERROR(MATCH(26,INDIRECT("'"&amp;$I$2&amp;"'!$AE$2:$AE$501"),0),""),"")</f>
        <v/>
      </c>
    </row>
    <row r="77" spans="2:11">
      <c r="B77" s="18" t="str">
        <f t="shared" ca="1" si="5"/>
        <v/>
      </c>
      <c r="C77" s="21" t="str">
        <f t="shared" ca="1" si="6"/>
        <v/>
      </c>
      <c r="D77" s="22" t="str">
        <f t="shared" ca="1" si="7"/>
        <v/>
      </c>
      <c r="E77" s="18" t="str">
        <f t="shared" ca="1" si="8"/>
        <v/>
      </c>
      <c r="K77" s="3" t="str">
        <f ca="1">IF($I$5=1,IFERROR(MATCH(27,INDIRECT("'"&amp;$I$2&amp;"'!$AE$2:$AE$501"),0),""),"")</f>
        <v/>
      </c>
    </row>
    <row r="78" spans="2:11">
      <c r="B78" s="18" t="str">
        <f t="shared" ca="1" si="5"/>
        <v/>
      </c>
      <c r="C78" s="21" t="str">
        <f t="shared" ca="1" si="6"/>
        <v/>
      </c>
      <c r="D78" s="22" t="str">
        <f t="shared" ca="1" si="7"/>
        <v/>
      </c>
      <c r="E78" s="18" t="str">
        <f t="shared" ca="1" si="8"/>
        <v/>
      </c>
      <c r="K78" s="3" t="str">
        <f ca="1">IF($I$5=1,IFERROR(MATCH(28,INDIRECT("'"&amp;$I$2&amp;"'!$AE$2:$AE$501"),0),""),"")</f>
        <v/>
      </c>
    </row>
    <row r="79" spans="2:11">
      <c r="B79" s="18" t="str">
        <f t="shared" ca="1" si="5"/>
        <v/>
      </c>
      <c r="C79" s="21" t="str">
        <f t="shared" ca="1" si="6"/>
        <v/>
      </c>
      <c r="D79" s="22" t="str">
        <f t="shared" ca="1" si="7"/>
        <v/>
      </c>
      <c r="E79" s="18" t="str">
        <f t="shared" ca="1" si="8"/>
        <v/>
      </c>
      <c r="K79" s="3" t="str">
        <f ca="1">IF($I$5=1,IFERROR(MATCH(29,INDIRECT("'"&amp;$I$2&amp;"'!$AE$2:$AE$501"),0),""),"")</f>
        <v/>
      </c>
    </row>
    <row r="80" spans="2:11">
      <c r="B80" s="18" t="str">
        <f t="shared" ca="1" si="5"/>
        <v/>
      </c>
      <c r="C80" s="21" t="str">
        <f t="shared" ca="1" si="6"/>
        <v/>
      </c>
      <c r="D80" s="22" t="str">
        <f t="shared" ca="1" si="7"/>
        <v/>
      </c>
      <c r="E80" s="18" t="str">
        <f t="shared" ca="1" si="8"/>
        <v/>
      </c>
      <c r="K80" s="3" t="str">
        <f ca="1">IF($I$5=1,IFERROR(MATCH(30,INDIRECT("'"&amp;$I$2&amp;"'!$AE$2:$AE$501"),0),""),"")</f>
        <v/>
      </c>
    </row>
    <row r="81" spans="2:11">
      <c r="B81" s="54" t="str">
        <f>IF($I$5=1,IF(N(INDEX('الملخص الشهري'!$B$31:$M$31,'لوحة التحكم'!$D$6))&gt;30,"+ "&amp;(INDEX('الملخص الشهري'!$B$31:$M$31,'لوحة التحكم'!$D$6)-30)&amp;" أصناف محذوفة إضافية — فلتر عمود «مقابل الشهر التالي» في ورقة الشهر السابق",""),"")</f>
        <v/>
      </c>
      <c r="C81" s="54"/>
      <c r="D81" s="54"/>
      <c r="E81" s="54"/>
      <c r="F81" s="54"/>
    </row>
    <row r="83" spans="2:11" ht="19.5" customHeight="1">
      <c r="B83" s="47" t="s">
        <v>208</v>
      </c>
      <c r="C83" s="47"/>
      <c r="D83" s="47"/>
      <c r="E83" s="47"/>
      <c r="F83" s="47"/>
    </row>
    <row r="84" spans="2:11">
      <c r="B84" s="10" t="s">
        <v>96</v>
      </c>
      <c r="C84" s="10" t="s">
        <v>16</v>
      </c>
      <c r="D84" s="10" t="s">
        <v>209</v>
      </c>
      <c r="E84" s="10" t="s">
        <v>210</v>
      </c>
      <c r="F84" s="10" t="s">
        <v>211</v>
      </c>
    </row>
    <row r="85" spans="2:11">
      <c r="B85" s="18" t="str">
        <f t="shared" ref="B85:B99" ca="1" si="9">IF(K85="","",INDEX(INDIRECT("'"&amp;$I$1&amp;"'!$A$2:$A$501"),K85))</f>
        <v>تكسبون</v>
      </c>
      <c r="C85" s="24" t="str">
        <f t="shared" ref="C85:C99" ca="1" si="10">IF(K85="","",IF(INDEX(INDIRECT("'"&amp;$I$1&amp;"'!$W$2:$W$501"),K85)="جديد","جديد","موجود"))</f>
        <v>موجود</v>
      </c>
      <c r="D85" s="21">
        <f t="shared" ref="D85:D99" ca="1" si="11">IF(K85="","",INDEX(INDIRECT("'"&amp;$I$1&amp;"'!$X$2:$X$501"),K85))</f>
        <v>400</v>
      </c>
      <c r="E85" s="21">
        <f t="shared" ref="E85:E99" ca="1" si="12">IF(K85="","",INDEX(INDIRECT("'"&amp;$I$1&amp;"'!$P$2:$P$501"),K85))</f>
        <v>1259</v>
      </c>
      <c r="F85" s="22">
        <f t="shared" ref="F85:F99" ca="1" si="13">IF(K85="","",INDEX(INDIRECT("'"&amp;$I$1&amp;"'!$AA$2:$AA$501"),K85))</f>
        <v>2147.5</v>
      </c>
      <c r="K85" s="3">
        <f ca="1">IF($I$5=1,IFERROR(IF(LARGE(INDIRECT("'"&amp;$I$1&amp;"'!$AG$2:$AG$501"),1)&gt;0.00001,MATCH(LARGE(INDIRECT("'"&amp;$I$1&amp;"'!$AG$2:$AG$501"),1),INDIRECT("'"&amp;$I$1&amp;"'!$AG$2:$AG$501"),0),""),""),"")</f>
        <v>238</v>
      </c>
    </row>
    <row r="86" spans="2:11">
      <c r="B86" s="18" t="str">
        <f t="shared" ca="1" si="9"/>
        <v>زفتة</v>
      </c>
      <c r="C86" s="24" t="str">
        <f t="shared" ca="1" si="10"/>
        <v>موجود</v>
      </c>
      <c r="D86" s="21">
        <f t="shared" ca="1" si="11"/>
        <v>970</v>
      </c>
      <c r="E86" s="21">
        <f t="shared" ca="1" si="12"/>
        <v>486.7</v>
      </c>
      <c r="F86" s="22">
        <f t="shared" ca="1" si="13"/>
        <v>-1449.9</v>
      </c>
      <c r="K86" s="3">
        <f ca="1">IF($I$5=1,IFERROR(IF(LARGE(INDIRECT("'"&amp;$I$1&amp;"'!$AG$2:$AG$501"),2)&gt;0.00001,MATCH(LARGE(INDIRECT("'"&amp;$I$1&amp;"'!$AG$2:$AG$501"),2),INDIRECT("'"&amp;$I$1&amp;"'!$AG$2:$AG$501"),0),""),""),"")</f>
        <v>218</v>
      </c>
    </row>
    <row r="87" spans="2:11">
      <c r="B87" s="18" t="str">
        <f t="shared" ca="1" si="9"/>
        <v>سائل جلي super / فرط 2601</v>
      </c>
      <c r="C87" s="24" t="str">
        <f t="shared" ca="1" si="10"/>
        <v>موجود</v>
      </c>
      <c r="D87" s="21">
        <f t="shared" ca="1" si="11"/>
        <v>2039</v>
      </c>
      <c r="E87" s="21">
        <f t="shared" ca="1" si="12"/>
        <v>1051.32</v>
      </c>
      <c r="F87" s="22">
        <f t="shared" ca="1" si="13"/>
        <v>-908.13022397891962</v>
      </c>
      <c r="K87" s="3">
        <f ca="1">IF($I$5=1,IFERROR(IF(LARGE(INDIRECT("'"&amp;$I$1&amp;"'!$AG$2:$AG$501"),3)&gt;0.00001,MATCH(LARGE(INDIRECT("'"&amp;$I$1&amp;"'!$AG$2:$AG$501"),3),INDIRECT("'"&amp;$I$1&amp;"'!$AG$2:$AG$501"),0),""),""),"")</f>
        <v>209</v>
      </c>
    </row>
    <row r="88" spans="2:11">
      <c r="B88" s="18" t="str">
        <f t="shared" ca="1" si="9"/>
        <v>سائل جلي super / فرط 2602</v>
      </c>
      <c r="C88" s="24" t="str">
        <f t="shared" ca="1" si="10"/>
        <v>موجود</v>
      </c>
      <c r="D88" s="21">
        <f t="shared" ca="1" si="11"/>
        <v>2479</v>
      </c>
      <c r="E88" s="21">
        <f t="shared" ca="1" si="12"/>
        <v>634.5</v>
      </c>
      <c r="F88" s="22">
        <f t="shared" ca="1" si="13"/>
        <v>-737.48880105401838</v>
      </c>
      <c r="K88" s="3">
        <f ca="1">IF($I$5=1,IFERROR(IF(LARGE(INDIRECT("'"&amp;$I$1&amp;"'!$AG$2:$AG$501"),4)&gt;0.00001,MATCH(LARGE(INDIRECT("'"&amp;$I$1&amp;"'!$AG$2:$AG$501"),4),INDIRECT("'"&amp;$I$1&amp;"'!$AG$2:$AG$501"),0),""),""),"")</f>
        <v>208</v>
      </c>
    </row>
    <row r="89" spans="2:11">
      <c r="B89" s="18" t="str">
        <f t="shared" ca="1" si="9"/>
        <v>عبوة كلور 800 ميلي</v>
      </c>
      <c r="C89" s="24" t="str">
        <f t="shared" ca="1" si="10"/>
        <v>جديد</v>
      </c>
      <c r="D89" s="21">
        <f t="shared" ca="1" si="11"/>
        <v>0</v>
      </c>
      <c r="E89" s="21">
        <f t="shared" ca="1" si="12"/>
        <v>4466</v>
      </c>
      <c r="F89" s="22">
        <f t="shared" ca="1" si="13"/>
        <v>602.91000000000008</v>
      </c>
      <c r="K89" s="3">
        <f ca="1">IF($I$5=1,IFERROR(IF(LARGE(INDIRECT("'"&amp;$I$1&amp;"'!$AG$2:$AG$501"),5)&gt;0.00001,MATCH(LARGE(INDIRECT("'"&amp;$I$1&amp;"'!$AG$2:$AG$501"),5),INDIRECT("'"&amp;$I$1&amp;"'!$AG$2:$AG$501"),0),""),""),"")</f>
        <v>135</v>
      </c>
    </row>
    <row r="90" spans="2:11">
      <c r="B90" s="18" t="str">
        <f t="shared" ca="1" si="9"/>
        <v>عملاق ريفا 450 مم</v>
      </c>
      <c r="C90" s="24" t="str">
        <f t="shared" ca="1" si="10"/>
        <v>موجود</v>
      </c>
      <c r="D90" s="21">
        <f t="shared" ca="1" si="11"/>
        <v>1</v>
      </c>
      <c r="E90" s="21">
        <f t="shared" ca="1" si="12"/>
        <v>99</v>
      </c>
      <c r="F90" s="22">
        <f t="shared" ca="1" si="13"/>
        <v>588</v>
      </c>
      <c r="K90" s="3">
        <f ca="1">IF($I$5=1,IFERROR(IF(LARGE(INDIRECT("'"&amp;$I$1&amp;"'!$AG$2:$AG$501"),6)&gt;0.00001,MATCH(LARGE(INDIRECT("'"&amp;$I$1&amp;"'!$AG$2:$AG$501"),6),INDIRECT("'"&amp;$I$1&amp;"'!$AG$2:$AG$501"),0),""),""),"")</f>
        <v>94</v>
      </c>
    </row>
    <row r="91" spans="2:11">
      <c r="B91" s="18" t="str">
        <f t="shared" ca="1" si="9"/>
        <v>سائل جلي ريفا 15% super / فرط</v>
      </c>
      <c r="C91" s="24" t="str">
        <f t="shared" ca="1" si="10"/>
        <v>موجود</v>
      </c>
      <c r="D91" s="21">
        <f t="shared" ca="1" si="11"/>
        <v>153</v>
      </c>
      <c r="E91" s="21">
        <f t="shared" ca="1" si="12"/>
        <v>1121</v>
      </c>
      <c r="F91" s="22">
        <f t="shared" ca="1" si="13"/>
        <v>539.71755599472976</v>
      </c>
      <c r="K91" s="3">
        <f ca="1">IF($I$5=1,IFERROR(IF(LARGE(INDIRECT("'"&amp;$I$1&amp;"'!$AG$2:$AG$501"),7)&gt;0.00001,MATCH(LARGE(INDIRECT("'"&amp;$I$1&amp;"'!$AG$2:$AG$501"),7),INDIRECT("'"&amp;$I$1&amp;"'!$AG$2:$AG$501"),0),""),""),"")</f>
        <v>200</v>
      </c>
    </row>
    <row r="92" spans="2:11">
      <c r="B92" s="18" t="str">
        <f t="shared" ca="1" si="9"/>
        <v>سائل جلي super / فرط 2603</v>
      </c>
      <c r="C92" s="24" t="str">
        <f t="shared" ca="1" si="10"/>
        <v>موجود</v>
      </c>
      <c r="D92" s="21">
        <f t="shared" ca="1" si="11"/>
        <v>3741.5</v>
      </c>
      <c r="E92" s="21">
        <f t="shared" ca="1" si="12"/>
        <v>2109.61</v>
      </c>
      <c r="F92" s="22">
        <f t="shared" ca="1" si="13"/>
        <v>-522.30671936758881</v>
      </c>
      <c r="K92" s="3">
        <f ca="1">IF($I$5=1,IFERROR(IF(LARGE(INDIRECT("'"&amp;$I$1&amp;"'!$AG$2:$AG$501"),8)&gt;0.00001,MATCH(LARGE(INDIRECT("'"&amp;$I$1&amp;"'!$AG$2:$AG$501"),8),INDIRECT("'"&amp;$I$1&amp;"'!$AG$2:$AG$501"),0),""),""),"")</f>
        <v>207</v>
      </c>
    </row>
    <row r="93" spans="2:11">
      <c r="B93" s="18" t="str">
        <f t="shared" ca="1" si="9"/>
        <v xml:space="preserve">صابون super / فرط </v>
      </c>
      <c r="C93" s="24" t="str">
        <f t="shared" ca="1" si="10"/>
        <v>موجود</v>
      </c>
      <c r="D93" s="21">
        <f t="shared" ca="1" si="11"/>
        <v>1876.8</v>
      </c>
      <c r="E93" s="21">
        <f t="shared" ca="1" si="12"/>
        <v>1338</v>
      </c>
      <c r="F93" s="22">
        <f t="shared" ca="1" si="13"/>
        <v>-293.96442687747037</v>
      </c>
      <c r="K93" s="3">
        <f ca="1">IF($I$5=1,IFERROR(IF(LARGE(INDIRECT("'"&amp;$I$1&amp;"'!$AG$2:$AG$501"),9)&gt;0.00001,MATCH(LARGE(INDIRECT("'"&amp;$I$1&amp;"'!$AG$2:$AG$501"),9),INDIRECT("'"&amp;$I$1&amp;"'!$AG$2:$AG$501"),0),""),""),"")</f>
        <v>156</v>
      </c>
    </row>
    <row r="94" spans="2:11">
      <c r="B94" s="18" t="str">
        <f t="shared" ca="1" si="9"/>
        <v>سائل جلي super / فرط 2604</v>
      </c>
      <c r="C94" s="24" t="str">
        <f t="shared" ca="1" si="10"/>
        <v>موجود</v>
      </c>
      <c r="D94" s="21">
        <f t="shared" ca="1" si="11"/>
        <v>4293</v>
      </c>
      <c r="E94" s="21">
        <f t="shared" ca="1" si="12"/>
        <v>3349.33</v>
      </c>
      <c r="F94" s="22">
        <f t="shared" ca="1" si="13"/>
        <v>-245.91615678524386</v>
      </c>
      <c r="K94" s="3">
        <f ca="1">IF($I$5=1,IFERROR(IF(LARGE(INDIRECT("'"&amp;$I$1&amp;"'!$AG$2:$AG$501"),10)&gt;0.00001,MATCH(LARGE(INDIRECT("'"&amp;$I$1&amp;"'!$AG$2:$AG$501"),10),INDIRECT("'"&amp;$I$1&amp;"'!$AG$2:$AG$501"),0),""),""),"")</f>
        <v>206</v>
      </c>
    </row>
    <row r="95" spans="2:11">
      <c r="B95" s="18" t="str">
        <f t="shared" ca="1" si="9"/>
        <v>بيتائين</v>
      </c>
      <c r="C95" s="24" t="str">
        <f t="shared" ca="1" si="10"/>
        <v>موجود</v>
      </c>
      <c r="D95" s="21">
        <f t="shared" ca="1" si="11"/>
        <v>290</v>
      </c>
      <c r="E95" s="21">
        <f t="shared" ca="1" si="12"/>
        <v>127</v>
      </c>
      <c r="F95" s="22">
        <f t="shared" ca="1" si="13"/>
        <v>-220.04999999999998</v>
      </c>
      <c r="K95" s="3">
        <f ca="1">IF($I$5=1,IFERROR(IF(LARGE(INDIRECT("'"&amp;$I$1&amp;"'!$AG$2:$AG$501"),11)&gt;0.00001,MATCH(LARGE(INDIRECT("'"&amp;$I$1&amp;"'!$AG$2:$AG$501"),11),INDIRECT("'"&amp;$I$1&amp;"'!$AG$2:$AG$501"),0),""),""),"")</f>
        <v>244</v>
      </c>
    </row>
    <row r="96" spans="2:11">
      <c r="B96" s="18" t="str">
        <f t="shared" ca="1" si="9"/>
        <v xml:space="preserve">معطر super / فرط </v>
      </c>
      <c r="C96" s="24" t="str">
        <f t="shared" ca="1" si="10"/>
        <v>موجود</v>
      </c>
      <c r="D96" s="21">
        <f t="shared" ca="1" si="11"/>
        <v>3027.25</v>
      </c>
      <c r="E96" s="21">
        <f t="shared" ca="1" si="12"/>
        <v>2224.5</v>
      </c>
      <c r="F96" s="22">
        <f t="shared" ca="1" si="13"/>
        <v>-218.05270092226613</v>
      </c>
      <c r="K96" s="3">
        <f ca="1">IF($I$5=1,IFERROR(IF(LARGE(INDIRECT("'"&amp;$I$1&amp;"'!$AG$2:$AG$501"),12)&gt;0.00001,MATCH(LARGE(INDIRECT("'"&amp;$I$1&amp;"'!$AG$2:$AG$501"),12),INDIRECT("'"&amp;$I$1&amp;"'!$AG$2:$AG$501"),0),""),""),"")</f>
        <v>39</v>
      </c>
    </row>
    <row r="97" spans="2:11">
      <c r="B97" s="18" t="str">
        <f t="shared" ca="1" si="9"/>
        <v>كوستيك-قطرونة</v>
      </c>
      <c r="C97" s="24" t="str">
        <f t="shared" ca="1" si="10"/>
        <v>موجود</v>
      </c>
      <c r="D97" s="21">
        <f t="shared" ca="1" si="11"/>
        <v>13.6</v>
      </c>
      <c r="E97" s="21">
        <f t="shared" ca="1" si="12"/>
        <v>24.88</v>
      </c>
      <c r="F97" s="22">
        <f t="shared" ca="1" si="13"/>
        <v>211.5</v>
      </c>
      <c r="K97" s="3">
        <f ca="1">IF($I$5=1,IFERROR(IF(LARGE(INDIRECT("'"&amp;$I$1&amp;"'!$AG$2:$AG$501"),13)&gt;0.00001,MATCH(LARGE(INDIRECT("'"&amp;$I$1&amp;"'!$AG$2:$AG$501"),13),INDIRECT("'"&amp;$I$1&amp;"'!$AG$2:$AG$501"),0),""),""),"")</f>
        <v>61</v>
      </c>
    </row>
    <row r="98" spans="2:11">
      <c r="B98" s="18" t="str">
        <f t="shared" ca="1" si="9"/>
        <v xml:space="preserve">عملاق </v>
      </c>
      <c r="C98" s="24" t="str">
        <f t="shared" ca="1" si="10"/>
        <v>موجود</v>
      </c>
      <c r="D98" s="21">
        <f t="shared" ca="1" si="11"/>
        <v>279.33999999999997</v>
      </c>
      <c r="E98" s="21">
        <f t="shared" ca="1" si="12"/>
        <v>27</v>
      </c>
      <c r="F98" s="22">
        <f t="shared" ca="1" si="13"/>
        <v>-172.85039525691698</v>
      </c>
      <c r="K98" s="3">
        <f ca="1">IF($I$5=1,IFERROR(IF(LARGE(INDIRECT("'"&amp;$I$1&amp;"'!$AG$2:$AG$501"),14)&gt;0.00001,MATCH(LARGE(INDIRECT("'"&amp;$I$1&amp;"'!$AG$2:$AG$501"),14),INDIRECT("'"&amp;$I$1&amp;"'!$AG$2:$AG$501"),0),""),""),"")</f>
        <v>97</v>
      </c>
    </row>
    <row r="99" spans="2:11">
      <c r="B99" s="18" t="str">
        <f t="shared" ca="1" si="9"/>
        <v xml:space="preserve">دواء غسيل بودرا </v>
      </c>
      <c r="C99" s="24" t="str">
        <f t="shared" ca="1" si="10"/>
        <v>موجود</v>
      </c>
      <c r="D99" s="21">
        <f t="shared" ca="1" si="11"/>
        <v>391.89</v>
      </c>
      <c r="E99" s="21">
        <f t="shared" ca="1" si="12"/>
        <v>150</v>
      </c>
      <c r="F99" s="22">
        <f t="shared" ca="1" si="13"/>
        <v>-169.37164031620551</v>
      </c>
      <c r="K99" s="3">
        <f ca="1">IF($I$5=1,IFERROR(IF(LARGE(INDIRECT("'"&amp;$I$1&amp;"'!$AG$2:$AG$501"),15)&gt;0.00001,MATCH(LARGE(INDIRECT("'"&amp;$I$1&amp;"'!$AG$2:$AG$501"),15),INDIRECT("'"&amp;$I$1&amp;"'!$AG$2:$AG$501"),0),""),""),"")</f>
        <v>224</v>
      </c>
    </row>
    <row r="100" spans="2:11" ht="15" customHeight="1">
      <c r="B100" s="46" t="s">
        <v>212</v>
      </c>
      <c r="C100" s="46"/>
      <c r="D100" s="46"/>
      <c r="E100" s="46"/>
      <c r="F100" s="46"/>
    </row>
  </sheetData>
  <mergeCells count="9">
    <mergeCell ref="B49:F49"/>
    <mergeCell ref="B81:F81"/>
    <mergeCell ref="B83:F83"/>
    <mergeCell ref="B100:F100"/>
    <mergeCell ref="B1:F1"/>
    <mergeCell ref="B3:F3"/>
    <mergeCell ref="B5:F5"/>
    <mergeCell ref="B15:F15"/>
    <mergeCell ref="B47:F47"/>
  </mergeCells>
  <conditionalFormatting sqref="B3">
    <cfRule type="expression" dxfId="64" priority="2">
      <formula>LEFT($B$3,1)="⚠"</formula>
    </cfRule>
    <cfRule type="expression" dxfId="63" priority="3">
      <formula>LEFT($B$3,1)="✓"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L216"/>
  <sheetViews>
    <sheetView showGridLines="0"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2" customWidth="1"/>
    <col min="2" max="2" width="22" customWidth="1"/>
    <col min="3" max="3" width="36" customWidth="1"/>
    <col min="4" max="4" width="12" customWidth="1"/>
    <col min="5" max="9" width="14" customWidth="1"/>
    <col min="10" max="10" width="46" customWidth="1"/>
    <col min="12" max="12" width="8" customWidth="1"/>
  </cols>
  <sheetData>
    <row r="1" spans="2:12" ht="30" customHeight="1">
      <c r="B1" s="53" t="s">
        <v>213</v>
      </c>
      <c r="C1" s="53"/>
      <c r="D1" s="53"/>
      <c r="E1" s="53"/>
      <c r="F1" s="53"/>
      <c r="G1" s="53"/>
      <c r="H1" s="53"/>
      <c r="I1" s="53"/>
      <c r="J1" s="53"/>
    </row>
    <row r="2" spans="2:12" ht="25.5" customHeight="1">
      <c r="B2" s="52" t="str">
        <f>"الشهر: "&amp;INDEX('لوحة التحكم'!$B$16:$B$27,'لوحة التحكم'!$D$6)&amp;"  ·  "&amp;IF('لوحة التحكم'!$K$12=1,IF(INDEX('الملخص الشهري'!$B$45:$M$45,'لوحة التحكم'!$D$6)=0,"✓ لا توجد أخطاء","⚠ يوجد "&amp;INDEX('الملخص الشهري'!$B$45:$M$45,'لوحة التحكم'!$D$6)&amp;" صنف به ملاحظات — صحّحها في البرنامج المحاسبي ثم أعد التصدير واللصق"),"لا توجد بيانات صالحة للفحص")</f>
        <v>الشهر: أيلول  ·  ✓ لا توجد أخطاء</v>
      </c>
      <c r="C2" s="52"/>
      <c r="D2" s="52"/>
      <c r="E2" s="52"/>
      <c r="F2" s="52"/>
      <c r="G2" s="52"/>
      <c r="H2" s="52"/>
      <c r="I2" s="52"/>
      <c r="J2" s="52"/>
    </row>
    <row r="4" spans="2:12" ht="19.5" customHeight="1">
      <c r="B4" s="47" t="s">
        <v>214</v>
      </c>
      <c r="C4" s="47"/>
      <c r="D4" s="47"/>
      <c r="E4" s="47"/>
      <c r="F4" s="47"/>
      <c r="G4" s="47"/>
      <c r="H4" s="47"/>
      <c r="I4" s="47"/>
      <c r="J4" s="47"/>
    </row>
    <row r="5" spans="2:12" ht="15" customHeight="1">
      <c r="B5" s="10" t="s">
        <v>215</v>
      </c>
      <c r="C5" s="10" t="s">
        <v>216</v>
      </c>
      <c r="D5" s="58" t="s">
        <v>217</v>
      </c>
      <c r="E5" s="58"/>
      <c r="F5" s="58"/>
      <c r="G5" s="58"/>
      <c r="H5" s="58"/>
      <c r="I5" s="58"/>
      <c r="J5" s="58"/>
    </row>
    <row r="6" spans="2:12" ht="30" customHeight="1">
      <c r="B6" s="5" t="s">
        <v>78</v>
      </c>
      <c r="C6" s="19">
        <f>IFERROR(INDEX('الملخص الشهري'!$B$37:$M$37,'لوحة التحكم'!$D$6),"")</f>
        <v>0</v>
      </c>
      <c r="D6" s="57" t="s">
        <v>218</v>
      </c>
      <c r="E6" s="57"/>
      <c r="F6" s="57"/>
      <c r="G6" s="57"/>
      <c r="H6" s="57"/>
      <c r="I6" s="57"/>
      <c r="J6" s="57"/>
    </row>
    <row r="7" spans="2:12" ht="30" customHeight="1">
      <c r="B7" s="5" t="s">
        <v>80</v>
      </c>
      <c r="C7" s="19">
        <f>IFERROR(INDEX('الملخص الشهري'!$B$38:$M$38,'لوحة التحكم'!$D$6),"")</f>
        <v>0</v>
      </c>
      <c r="D7" s="57" t="s">
        <v>219</v>
      </c>
      <c r="E7" s="57"/>
      <c r="F7" s="57"/>
      <c r="G7" s="57"/>
      <c r="H7" s="57"/>
      <c r="I7" s="57"/>
      <c r="J7" s="57"/>
    </row>
    <row r="8" spans="2:12" ht="30" customHeight="1">
      <c r="B8" s="5" t="s">
        <v>82</v>
      </c>
      <c r="C8" s="19">
        <f>IFERROR(INDEX('الملخص الشهري'!$B$39:$M$39,'لوحة التحكم'!$D$6),"")</f>
        <v>0</v>
      </c>
      <c r="D8" s="57" t="s">
        <v>220</v>
      </c>
      <c r="E8" s="57"/>
      <c r="F8" s="57"/>
      <c r="G8" s="57"/>
      <c r="H8" s="57"/>
      <c r="I8" s="57"/>
      <c r="J8" s="57"/>
    </row>
    <row r="9" spans="2:12" ht="30" customHeight="1">
      <c r="B9" s="5" t="s">
        <v>84</v>
      </c>
      <c r="C9" s="19">
        <f>IFERROR(INDEX('الملخص الشهري'!$B$40:$M$40,'لوحة التحكم'!$D$6),"")</f>
        <v>0</v>
      </c>
      <c r="D9" s="57" t="s">
        <v>221</v>
      </c>
      <c r="E9" s="57"/>
      <c r="F9" s="57"/>
      <c r="G9" s="57"/>
      <c r="H9" s="57"/>
      <c r="I9" s="57"/>
      <c r="J9" s="57"/>
    </row>
    <row r="10" spans="2:12" ht="30" customHeight="1">
      <c r="B10" s="5" t="s">
        <v>86</v>
      </c>
      <c r="C10" s="19">
        <f>IFERROR(INDEX('الملخص الشهري'!$B$41:$M$41,'لوحة التحكم'!$D$6),"")</f>
        <v>0</v>
      </c>
      <c r="D10" s="57" t="s">
        <v>222</v>
      </c>
      <c r="E10" s="57"/>
      <c r="F10" s="57"/>
      <c r="G10" s="57"/>
      <c r="H10" s="57"/>
      <c r="I10" s="57"/>
      <c r="J10" s="57"/>
    </row>
    <row r="11" spans="2:12" ht="30" customHeight="1">
      <c r="B11" s="5" t="s">
        <v>88</v>
      </c>
      <c r="C11" s="19">
        <f>IFERROR(INDEX('الملخص الشهري'!$B$42:$M$42,'لوحة التحكم'!$D$6),"")</f>
        <v>0</v>
      </c>
      <c r="D11" s="57" t="s">
        <v>223</v>
      </c>
      <c r="E11" s="57"/>
      <c r="F11" s="57"/>
      <c r="G11" s="57"/>
      <c r="H11" s="57"/>
      <c r="I11" s="57"/>
      <c r="J11" s="57"/>
    </row>
    <row r="12" spans="2:12" ht="30" customHeight="1">
      <c r="B12" s="5" t="s">
        <v>90</v>
      </c>
      <c r="C12" s="19">
        <f>IFERROR(INDEX('الملخص الشهري'!$B$43:$M$43,'لوحة التحكم'!$D$6),"")</f>
        <v>0</v>
      </c>
      <c r="D12" s="57" t="s">
        <v>224</v>
      </c>
      <c r="E12" s="57"/>
      <c r="F12" s="57"/>
      <c r="G12" s="57"/>
      <c r="H12" s="57"/>
      <c r="I12" s="57"/>
      <c r="J12" s="57"/>
    </row>
    <row r="13" spans="2:12" ht="30" customHeight="1">
      <c r="B13" s="5" t="s">
        <v>92</v>
      </c>
      <c r="C13" s="19">
        <f>IFERROR(INDEX('الملخص الشهري'!$B$44:$M$44,'لوحة التحكم'!$D$6),"")</f>
        <v>0</v>
      </c>
      <c r="D13" s="57" t="s">
        <v>225</v>
      </c>
      <c r="E13" s="57"/>
      <c r="F13" s="57"/>
      <c r="G13" s="57"/>
      <c r="H13" s="57"/>
      <c r="I13" s="57"/>
      <c r="J13" s="57"/>
    </row>
    <row r="15" spans="2:12" ht="19.5" customHeight="1">
      <c r="B15" s="47" t="s">
        <v>226</v>
      </c>
      <c r="C15" s="47"/>
      <c r="D15" s="47"/>
      <c r="E15" s="47"/>
      <c r="F15" s="47"/>
      <c r="G15" s="47"/>
      <c r="H15" s="47"/>
      <c r="I15" s="47"/>
      <c r="J15" s="47"/>
    </row>
    <row r="16" spans="2:12">
      <c r="B16" s="10" t="s">
        <v>227</v>
      </c>
      <c r="C16" s="10" t="s">
        <v>96</v>
      </c>
      <c r="D16" s="10" t="s">
        <v>97</v>
      </c>
      <c r="E16" s="10" t="s">
        <v>67</v>
      </c>
      <c r="F16" s="10" t="s">
        <v>228</v>
      </c>
      <c r="G16" s="10" t="s">
        <v>8</v>
      </c>
      <c r="H16" s="10" t="s">
        <v>229</v>
      </c>
      <c r="I16" s="10" t="s">
        <v>230</v>
      </c>
      <c r="J16" s="10" t="s">
        <v>231</v>
      </c>
      <c r="L16" s="3" t="s">
        <v>204</v>
      </c>
    </row>
    <row r="17" spans="2:12">
      <c r="B17" s="24" t="str">
        <f ca="1">IF(L17="","",1)</f>
        <v/>
      </c>
      <c r="C17" s="18" t="str">
        <f ca="1">IF(L17="","",INDEX(INDIRECT("'"&amp;'لوحة التحكم'!$K$6&amp;"'!$A$2:$A$501"),L17))</f>
        <v/>
      </c>
      <c r="D17" s="31" t="str">
        <f ca="1">IF(L17="","",INDEX(INDIRECT("'"&amp;'لوحة التحكم'!$K$6&amp;"'!$B$2:$B$501"),L17))</f>
        <v/>
      </c>
      <c r="E17" s="24" t="str">
        <f ca="1">IF(L17="","",INDEX(INDIRECT("'"&amp;'لوحة التحكم'!$K$6&amp;"'!$F$2:$F$501"),L17))</f>
        <v/>
      </c>
      <c r="F17" s="32" t="str">
        <f ca="1">IF(L17="","",INDEX(INDIRECT("'"&amp;'لوحة التحكم'!$K$6&amp;"'!$I$2:$I$501"),L17))</f>
        <v/>
      </c>
      <c r="G17" s="32" t="str">
        <f ca="1">IF(L17="","",INDEX(INDIRECT("'"&amp;'لوحة التحكم'!$K$6&amp;"'!$C$2:$C$501"),L17))</f>
        <v/>
      </c>
      <c r="H17" s="32" t="str">
        <f ca="1">IF(L17="","",INDEX(INDIRECT("'"&amp;'لوحة التحكم'!$K$6&amp;"'!$D$2:$D$501"),L17))</f>
        <v/>
      </c>
      <c r="I17" s="32" t="str">
        <f ca="1">IF(L17="","",INDEX(INDIRECT("'"&amp;'لوحة التحكم'!$K$6&amp;"'!$E$2:$E$501"),L17))</f>
        <v/>
      </c>
      <c r="J17" s="18" t="str">
        <f ca="1">IF(L17="","",INDEX(INDIRECT("'"&amp;'لوحة التحكم'!$K$6&amp;"'!$U$2:$U$501"),L17))</f>
        <v/>
      </c>
      <c r="L17" s="3" t="str">
        <f ca="1">IF('لوحة التحكم'!$K$12=1,IFERROR(MATCH(1,INDIRECT("'"&amp;'لوحة التحكم'!$K$6&amp;"'!$AF$2:$AF$501"),0),""),"")</f>
        <v/>
      </c>
    </row>
    <row r="18" spans="2:12">
      <c r="B18" s="24" t="str">
        <f ca="1">IF(L18="","",2)</f>
        <v/>
      </c>
      <c r="C18" s="18" t="str">
        <f ca="1">IF(L18="","",INDEX(INDIRECT("'"&amp;'لوحة التحكم'!$K$6&amp;"'!$A$2:$A$501"),L18))</f>
        <v/>
      </c>
      <c r="D18" s="31" t="str">
        <f ca="1">IF(L18="","",INDEX(INDIRECT("'"&amp;'لوحة التحكم'!$K$6&amp;"'!$B$2:$B$501"),L18))</f>
        <v/>
      </c>
      <c r="E18" s="24" t="str">
        <f ca="1">IF(L18="","",INDEX(INDIRECT("'"&amp;'لوحة التحكم'!$K$6&amp;"'!$F$2:$F$501"),L18))</f>
        <v/>
      </c>
      <c r="F18" s="32" t="str">
        <f ca="1">IF(L18="","",INDEX(INDIRECT("'"&amp;'لوحة التحكم'!$K$6&amp;"'!$I$2:$I$501"),L18))</f>
        <v/>
      </c>
      <c r="G18" s="32" t="str">
        <f ca="1">IF(L18="","",INDEX(INDIRECT("'"&amp;'لوحة التحكم'!$K$6&amp;"'!$C$2:$C$501"),L18))</f>
        <v/>
      </c>
      <c r="H18" s="32" t="str">
        <f ca="1">IF(L18="","",INDEX(INDIRECT("'"&amp;'لوحة التحكم'!$K$6&amp;"'!$D$2:$D$501"),L18))</f>
        <v/>
      </c>
      <c r="I18" s="32" t="str">
        <f ca="1">IF(L18="","",INDEX(INDIRECT("'"&amp;'لوحة التحكم'!$K$6&amp;"'!$E$2:$E$501"),L18))</f>
        <v/>
      </c>
      <c r="J18" s="18" t="str">
        <f ca="1">IF(L18="","",INDEX(INDIRECT("'"&amp;'لوحة التحكم'!$K$6&amp;"'!$U$2:$U$501"),L18))</f>
        <v/>
      </c>
      <c r="L18" s="3" t="str">
        <f ca="1">IF('لوحة التحكم'!$K$12=1,IFERROR(MATCH(2,INDIRECT("'"&amp;'لوحة التحكم'!$K$6&amp;"'!$AF$2:$AF$501"),0),""),"")</f>
        <v/>
      </c>
    </row>
    <row r="19" spans="2:12">
      <c r="B19" s="24" t="str">
        <f ca="1">IF(L19="","",3)</f>
        <v/>
      </c>
      <c r="C19" s="18" t="str">
        <f ca="1">IF(L19="","",INDEX(INDIRECT("'"&amp;'لوحة التحكم'!$K$6&amp;"'!$A$2:$A$501"),L19))</f>
        <v/>
      </c>
      <c r="D19" s="31" t="str">
        <f ca="1">IF(L19="","",INDEX(INDIRECT("'"&amp;'لوحة التحكم'!$K$6&amp;"'!$B$2:$B$501"),L19))</f>
        <v/>
      </c>
      <c r="E19" s="24" t="str">
        <f ca="1">IF(L19="","",INDEX(INDIRECT("'"&amp;'لوحة التحكم'!$K$6&amp;"'!$F$2:$F$501"),L19))</f>
        <v/>
      </c>
      <c r="F19" s="32" t="str">
        <f ca="1">IF(L19="","",INDEX(INDIRECT("'"&amp;'لوحة التحكم'!$K$6&amp;"'!$I$2:$I$501"),L19))</f>
        <v/>
      </c>
      <c r="G19" s="32" t="str">
        <f ca="1">IF(L19="","",INDEX(INDIRECT("'"&amp;'لوحة التحكم'!$K$6&amp;"'!$C$2:$C$501"),L19))</f>
        <v/>
      </c>
      <c r="H19" s="32" t="str">
        <f ca="1">IF(L19="","",INDEX(INDIRECT("'"&amp;'لوحة التحكم'!$K$6&amp;"'!$D$2:$D$501"),L19))</f>
        <v/>
      </c>
      <c r="I19" s="32" t="str">
        <f ca="1">IF(L19="","",INDEX(INDIRECT("'"&amp;'لوحة التحكم'!$K$6&amp;"'!$E$2:$E$501"),L19))</f>
        <v/>
      </c>
      <c r="J19" s="18" t="str">
        <f ca="1">IF(L19="","",INDEX(INDIRECT("'"&amp;'لوحة التحكم'!$K$6&amp;"'!$U$2:$U$501"),L19))</f>
        <v/>
      </c>
      <c r="L19" s="3" t="str">
        <f ca="1">IF('لوحة التحكم'!$K$12=1,IFERROR(MATCH(3,INDIRECT("'"&amp;'لوحة التحكم'!$K$6&amp;"'!$AF$2:$AF$501"),0),""),"")</f>
        <v/>
      </c>
    </row>
    <row r="20" spans="2:12">
      <c r="B20" s="24" t="str">
        <f ca="1">IF(L20="","",4)</f>
        <v/>
      </c>
      <c r="C20" s="18" t="str">
        <f ca="1">IF(L20="","",INDEX(INDIRECT("'"&amp;'لوحة التحكم'!$K$6&amp;"'!$A$2:$A$501"),L20))</f>
        <v/>
      </c>
      <c r="D20" s="31" t="str">
        <f ca="1">IF(L20="","",INDEX(INDIRECT("'"&amp;'لوحة التحكم'!$K$6&amp;"'!$B$2:$B$501"),L20))</f>
        <v/>
      </c>
      <c r="E20" s="24" t="str">
        <f ca="1">IF(L20="","",INDEX(INDIRECT("'"&amp;'لوحة التحكم'!$K$6&amp;"'!$F$2:$F$501"),L20))</f>
        <v/>
      </c>
      <c r="F20" s="32" t="str">
        <f ca="1">IF(L20="","",INDEX(INDIRECT("'"&amp;'لوحة التحكم'!$K$6&amp;"'!$I$2:$I$501"),L20))</f>
        <v/>
      </c>
      <c r="G20" s="32" t="str">
        <f ca="1">IF(L20="","",INDEX(INDIRECT("'"&amp;'لوحة التحكم'!$K$6&amp;"'!$C$2:$C$501"),L20))</f>
        <v/>
      </c>
      <c r="H20" s="32" t="str">
        <f ca="1">IF(L20="","",INDEX(INDIRECT("'"&amp;'لوحة التحكم'!$K$6&amp;"'!$D$2:$D$501"),L20))</f>
        <v/>
      </c>
      <c r="I20" s="32" t="str">
        <f ca="1">IF(L20="","",INDEX(INDIRECT("'"&amp;'لوحة التحكم'!$K$6&amp;"'!$E$2:$E$501"),L20))</f>
        <v/>
      </c>
      <c r="J20" s="18" t="str">
        <f ca="1">IF(L20="","",INDEX(INDIRECT("'"&amp;'لوحة التحكم'!$K$6&amp;"'!$U$2:$U$501"),L20))</f>
        <v/>
      </c>
      <c r="L20" s="3" t="str">
        <f ca="1">IF('لوحة التحكم'!$K$12=1,IFERROR(MATCH(4,INDIRECT("'"&amp;'لوحة التحكم'!$K$6&amp;"'!$AF$2:$AF$501"),0),""),"")</f>
        <v/>
      </c>
    </row>
    <row r="21" spans="2:12">
      <c r="B21" s="24" t="str">
        <f ca="1">IF(L21="","",5)</f>
        <v/>
      </c>
      <c r="C21" s="18" t="str">
        <f ca="1">IF(L21="","",INDEX(INDIRECT("'"&amp;'لوحة التحكم'!$K$6&amp;"'!$A$2:$A$501"),L21))</f>
        <v/>
      </c>
      <c r="D21" s="31" t="str">
        <f ca="1">IF(L21="","",INDEX(INDIRECT("'"&amp;'لوحة التحكم'!$K$6&amp;"'!$B$2:$B$501"),L21))</f>
        <v/>
      </c>
      <c r="E21" s="24" t="str">
        <f ca="1">IF(L21="","",INDEX(INDIRECT("'"&amp;'لوحة التحكم'!$K$6&amp;"'!$F$2:$F$501"),L21))</f>
        <v/>
      </c>
      <c r="F21" s="32" t="str">
        <f ca="1">IF(L21="","",INDEX(INDIRECT("'"&amp;'لوحة التحكم'!$K$6&amp;"'!$I$2:$I$501"),L21))</f>
        <v/>
      </c>
      <c r="G21" s="32" t="str">
        <f ca="1">IF(L21="","",INDEX(INDIRECT("'"&amp;'لوحة التحكم'!$K$6&amp;"'!$C$2:$C$501"),L21))</f>
        <v/>
      </c>
      <c r="H21" s="32" t="str">
        <f ca="1">IF(L21="","",INDEX(INDIRECT("'"&amp;'لوحة التحكم'!$K$6&amp;"'!$D$2:$D$501"),L21))</f>
        <v/>
      </c>
      <c r="I21" s="32" t="str">
        <f ca="1">IF(L21="","",INDEX(INDIRECT("'"&amp;'لوحة التحكم'!$K$6&amp;"'!$E$2:$E$501"),L21))</f>
        <v/>
      </c>
      <c r="J21" s="18" t="str">
        <f ca="1">IF(L21="","",INDEX(INDIRECT("'"&amp;'لوحة التحكم'!$K$6&amp;"'!$U$2:$U$501"),L21))</f>
        <v/>
      </c>
      <c r="L21" s="3" t="str">
        <f ca="1">IF('لوحة التحكم'!$K$12=1,IFERROR(MATCH(5,INDIRECT("'"&amp;'لوحة التحكم'!$K$6&amp;"'!$AF$2:$AF$501"),0),""),"")</f>
        <v/>
      </c>
    </row>
    <row r="22" spans="2:12">
      <c r="B22" s="24" t="str">
        <f ca="1">IF(L22="","",6)</f>
        <v/>
      </c>
      <c r="C22" s="18" t="str">
        <f ca="1">IF(L22="","",INDEX(INDIRECT("'"&amp;'لوحة التحكم'!$K$6&amp;"'!$A$2:$A$501"),L22))</f>
        <v/>
      </c>
      <c r="D22" s="31" t="str">
        <f ca="1">IF(L22="","",INDEX(INDIRECT("'"&amp;'لوحة التحكم'!$K$6&amp;"'!$B$2:$B$501"),L22))</f>
        <v/>
      </c>
      <c r="E22" s="24" t="str">
        <f ca="1">IF(L22="","",INDEX(INDIRECT("'"&amp;'لوحة التحكم'!$K$6&amp;"'!$F$2:$F$501"),L22))</f>
        <v/>
      </c>
      <c r="F22" s="32" t="str">
        <f ca="1">IF(L22="","",INDEX(INDIRECT("'"&amp;'لوحة التحكم'!$K$6&amp;"'!$I$2:$I$501"),L22))</f>
        <v/>
      </c>
      <c r="G22" s="32" t="str">
        <f ca="1">IF(L22="","",INDEX(INDIRECT("'"&amp;'لوحة التحكم'!$K$6&amp;"'!$C$2:$C$501"),L22))</f>
        <v/>
      </c>
      <c r="H22" s="32" t="str">
        <f ca="1">IF(L22="","",INDEX(INDIRECT("'"&amp;'لوحة التحكم'!$K$6&amp;"'!$D$2:$D$501"),L22))</f>
        <v/>
      </c>
      <c r="I22" s="32" t="str">
        <f ca="1">IF(L22="","",INDEX(INDIRECT("'"&amp;'لوحة التحكم'!$K$6&amp;"'!$E$2:$E$501"),L22))</f>
        <v/>
      </c>
      <c r="J22" s="18" t="str">
        <f ca="1">IF(L22="","",INDEX(INDIRECT("'"&amp;'لوحة التحكم'!$K$6&amp;"'!$U$2:$U$501"),L22))</f>
        <v/>
      </c>
      <c r="L22" s="3" t="str">
        <f ca="1">IF('لوحة التحكم'!$K$12=1,IFERROR(MATCH(6,INDIRECT("'"&amp;'لوحة التحكم'!$K$6&amp;"'!$AF$2:$AF$501"),0),""),"")</f>
        <v/>
      </c>
    </row>
    <row r="23" spans="2:12">
      <c r="B23" s="24" t="str">
        <f ca="1">IF(L23="","",7)</f>
        <v/>
      </c>
      <c r="C23" s="18" t="str">
        <f ca="1">IF(L23="","",INDEX(INDIRECT("'"&amp;'لوحة التحكم'!$K$6&amp;"'!$A$2:$A$501"),L23))</f>
        <v/>
      </c>
      <c r="D23" s="31" t="str">
        <f ca="1">IF(L23="","",INDEX(INDIRECT("'"&amp;'لوحة التحكم'!$K$6&amp;"'!$B$2:$B$501"),L23))</f>
        <v/>
      </c>
      <c r="E23" s="24" t="str">
        <f ca="1">IF(L23="","",INDEX(INDIRECT("'"&amp;'لوحة التحكم'!$K$6&amp;"'!$F$2:$F$501"),L23))</f>
        <v/>
      </c>
      <c r="F23" s="32" t="str">
        <f ca="1">IF(L23="","",INDEX(INDIRECT("'"&amp;'لوحة التحكم'!$K$6&amp;"'!$I$2:$I$501"),L23))</f>
        <v/>
      </c>
      <c r="G23" s="32" t="str">
        <f ca="1">IF(L23="","",INDEX(INDIRECT("'"&amp;'لوحة التحكم'!$K$6&amp;"'!$C$2:$C$501"),L23))</f>
        <v/>
      </c>
      <c r="H23" s="32" t="str">
        <f ca="1">IF(L23="","",INDEX(INDIRECT("'"&amp;'لوحة التحكم'!$K$6&amp;"'!$D$2:$D$501"),L23))</f>
        <v/>
      </c>
      <c r="I23" s="32" t="str">
        <f ca="1">IF(L23="","",INDEX(INDIRECT("'"&amp;'لوحة التحكم'!$K$6&amp;"'!$E$2:$E$501"),L23))</f>
        <v/>
      </c>
      <c r="J23" s="18" t="str">
        <f ca="1">IF(L23="","",INDEX(INDIRECT("'"&amp;'لوحة التحكم'!$K$6&amp;"'!$U$2:$U$501"),L23))</f>
        <v/>
      </c>
      <c r="L23" s="3" t="str">
        <f ca="1">IF('لوحة التحكم'!$K$12=1,IFERROR(MATCH(7,INDIRECT("'"&amp;'لوحة التحكم'!$K$6&amp;"'!$AF$2:$AF$501"),0),""),"")</f>
        <v/>
      </c>
    </row>
    <row r="24" spans="2:12">
      <c r="B24" s="24" t="str">
        <f ca="1">IF(L24="","",8)</f>
        <v/>
      </c>
      <c r="C24" s="18" t="str">
        <f ca="1">IF(L24="","",INDEX(INDIRECT("'"&amp;'لوحة التحكم'!$K$6&amp;"'!$A$2:$A$501"),L24))</f>
        <v/>
      </c>
      <c r="D24" s="31" t="str">
        <f ca="1">IF(L24="","",INDEX(INDIRECT("'"&amp;'لوحة التحكم'!$K$6&amp;"'!$B$2:$B$501"),L24))</f>
        <v/>
      </c>
      <c r="E24" s="24" t="str">
        <f ca="1">IF(L24="","",INDEX(INDIRECT("'"&amp;'لوحة التحكم'!$K$6&amp;"'!$F$2:$F$501"),L24))</f>
        <v/>
      </c>
      <c r="F24" s="32" t="str">
        <f ca="1">IF(L24="","",INDEX(INDIRECT("'"&amp;'لوحة التحكم'!$K$6&amp;"'!$I$2:$I$501"),L24))</f>
        <v/>
      </c>
      <c r="G24" s="32" t="str">
        <f ca="1">IF(L24="","",INDEX(INDIRECT("'"&amp;'لوحة التحكم'!$K$6&amp;"'!$C$2:$C$501"),L24))</f>
        <v/>
      </c>
      <c r="H24" s="32" t="str">
        <f ca="1">IF(L24="","",INDEX(INDIRECT("'"&amp;'لوحة التحكم'!$K$6&amp;"'!$D$2:$D$501"),L24))</f>
        <v/>
      </c>
      <c r="I24" s="32" t="str">
        <f ca="1">IF(L24="","",INDEX(INDIRECT("'"&amp;'لوحة التحكم'!$K$6&amp;"'!$E$2:$E$501"),L24))</f>
        <v/>
      </c>
      <c r="J24" s="18" t="str">
        <f ca="1">IF(L24="","",INDEX(INDIRECT("'"&amp;'لوحة التحكم'!$K$6&amp;"'!$U$2:$U$501"),L24))</f>
        <v/>
      </c>
      <c r="L24" s="3" t="str">
        <f ca="1">IF('لوحة التحكم'!$K$12=1,IFERROR(MATCH(8,INDIRECT("'"&amp;'لوحة التحكم'!$K$6&amp;"'!$AF$2:$AF$501"),0),""),"")</f>
        <v/>
      </c>
    </row>
    <row r="25" spans="2:12">
      <c r="B25" s="24" t="str">
        <f ca="1">IF(L25="","",9)</f>
        <v/>
      </c>
      <c r="C25" s="18" t="str">
        <f ca="1">IF(L25="","",INDEX(INDIRECT("'"&amp;'لوحة التحكم'!$K$6&amp;"'!$A$2:$A$501"),L25))</f>
        <v/>
      </c>
      <c r="D25" s="31" t="str">
        <f ca="1">IF(L25="","",INDEX(INDIRECT("'"&amp;'لوحة التحكم'!$K$6&amp;"'!$B$2:$B$501"),L25))</f>
        <v/>
      </c>
      <c r="E25" s="24" t="str">
        <f ca="1">IF(L25="","",INDEX(INDIRECT("'"&amp;'لوحة التحكم'!$K$6&amp;"'!$F$2:$F$501"),L25))</f>
        <v/>
      </c>
      <c r="F25" s="32" t="str">
        <f ca="1">IF(L25="","",INDEX(INDIRECT("'"&amp;'لوحة التحكم'!$K$6&amp;"'!$I$2:$I$501"),L25))</f>
        <v/>
      </c>
      <c r="G25" s="32" t="str">
        <f ca="1">IF(L25="","",INDEX(INDIRECT("'"&amp;'لوحة التحكم'!$K$6&amp;"'!$C$2:$C$501"),L25))</f>
        <v/>
      </c>
      <c r="H25" s="32" t="str">
        <f ca="1">IF(L25="","",INDEX(INDIRECT("'"&amp;'لوحة التحكم'!$K$6&amp;"'!$D$2:$D$501"),L25))</f>
        <v/>
      </c>
      <c r="I25" s="32" t="str">
        <f ca="1">IF(L25="","",INDEX(INDIRECT("'"&amp;'لوحة التحكم'!$K$6&amp;"'!$E$2:$E$501"),L25))</f>
        <v/>
      </c>
      <c r="J25" s="18" t="str">
        <f ca="1">IF(L25="","",INDEX(INDIRECT("'"&amp;'لوحة التحكم'!$K$6&amp;"'!$U$2:$U$501"),L25))</f>
        <v/>
      </c>
      <c r="L25" s="3" t="str">
        <f ca="1">IF('لوحة التحكم'!$K$12=1,IFERROR(MATCH(9,INDIRECT("'"&amp;'لوحة التحكم'!$K$6&amp;"'!$AF$2:$AF$501"),0),""),"")</f>
        <v/>
      </c>
    </row>
    <row r="26" spans="2:12">
      <c r="B26" s="24" t="str">
        <f ca="1">IF(L26="","",10)</f>
        <v/>
      </c>
      <c r="C26" s="18" t="str">
        <f ca="1">IF(L26="","",INDEX(INDIRECT("'"&amp;'لوحة التحكم'!$K$6&amp;"'!$A$2:$A$501"),L26))</f>
        <v/>
      </c>
      <c r="D26" s="31" t="str">
        <f ca="1">IF(L26="","",INDEX(INDIRECT("'"&amp;'لوحة التحكم'!$K$6&amp;"'!$B$2:$B$501"),L26))</f>
        <v/>
      </c>
      <c r="E26" s="24" t="str">
        <f ca="1">IF(L26="","",INDEX(INDIRECT("'"&amp;'لوحة التحكم'!$K$6&amp;"'!$F$2:$F$501"),L26))</f>
        <v/>
      </c>
      <c r="F26" s="32" t="str">
        <f ca="1">IF(L26="","",INDEX(INDIRECT("'"&amp;'لوحة التحكم'!$K$6&amp;"'!$I$2:$I$501"),L26))</f>
        <v/>
      </c>
      <c r="G26" s="32" t="str">
        <f ca="1">IF(L26="","",INDEX(INDIRECT("'"&amp;'لوحة التحكم'!$K$6&amp;"'!$C$2:$C$501"),L26))</f>
        <v/>
      </c>
      <c r="H26" s="32" t="str">
        <f ca="1">IF(L26="","",INDEX(INDIRECT("'"&amp;'لوحة التحكم'!$K$6&amp;"'!$D$2:$D$501"),L26))</f>
        <v/>
      </c>
      <c r="I26" s="32" t="str">
        <f ca="1">IF(L26="","",INDEX(INDIRECT("'"&amp;'لوحة التحكم'!$K$6&amp;"'!$E$2:$E$501"),L26))</f>
        <v/>
      </c>
      <c r="J26" s="18" t="str">
        <f ca="1">IF(L26="","",INDEX(INDIRECT("'"&amp;'لوحة التحكم'!$K$6&amp;"'!$U$2:$U$501"),L26))</f>
        <v/>
      </c>
      <c r="L26" s="3" t="str">
        <f ca="1">IF('لوحة التحكم'!$K$12=1,IFERROR(MATCH(10,INDIRECT("'"&amp;'لوحة التحكم'!$K$6&amp;"'!$AF$2:$AF$501"),0),""),"")</f>
        <v/>
      </c>
    </row>
    <row r="27" spans="2:12">
      <c r="B27" s="24" t="str">
        <f ca="1">IF(L27="","",11)</f>
        <v/>
      </c>
      <c r="C27" s="18" t="str">
        <f ca="1">IF(L27="","",INDEX(INDIRECT("'"&amp;'لوحة التحكم'!$K$6&amp;"'!$A$2:$A$501"),L27))</f>
        <v/>
      </c>
      <c r="D27" s="31" t="str">
        <f ca="1">IF(L27="","",INDEX(INDIRECT("'"&amp;'لوحة التحكم'!$K$6&amp;"'!$B$2:$B$501"),L27))</f>
        <v/>
      </c>
      <c r="E27" s="24" t="str">
        <f ca="1">IF(L27="","",INDEX(INDIRECT("'"&amp;'لوحة التحكم'!$K$6&amp;"'!$F$2:$F$501"),L27))</f>
        <v/>
      </c>
      <c r="F27" s="32" t="str">
        <f ca="1">IF(L27="","",INDEX(INDIRECT("'"&amp;'لوحة التحكم'!$K$6&amp;"'!$I$2:$I$501"),L27))</f>
        <v/>
      </c>
      <c r="G27" s="32" t="str">
        <f ca="1">IF(L27="","",INDEX(INDIRECT("'"&amp;'لوحة التحكم'!$K$6&amp;"'!$C$2:$C$501"),L27))</f>
        <v/>
      </c>
      <c r="H27" s="32" t="str">
        <f ca="1">IF(L27="","",INDEX(INDIRECT("'"&amp;'لوحة التحكم'!$K$6&amp;"'!$D$2:$D$501"),L27))</f>
        <v/>
      </c>
      <c r="I27" s="32" t="str">
        <f ca="1">IF(L27="","",INDEX(INDIRECT("'"&amp;'لوحة التحكم'!$K$6&amp;"'!$E$2:$E$501"),L27))</f>
        <v/>
      </c>
      <c r="J27" s="18" t="str">
        <f ca="1">IF(L27="","",INDEX(INDIRECT("'"&amp;'لوحة التحكم'!$K$6&amp;"'!$U$2:$U$501"),L27))</f>
        <v/>
      </c>
      <c r="L27" s="3" t="str">
        <f ca="1">IF('لوحة التحكم'!$K$12=1,IFERROR(MATCH(11,INDIRECT("'"&amp;'لوحة التحكم'!$K$6&amp;"'!$AF$2:$AF$501"),0),""),"")</f>
        <v/>
      </c>
    </row>
    <row r="28" spans="2:12">
      <c r="B28" s="24" t="str">
        <f ca="1">IF(L28="","",12)</f>
        <v/>
      </c>
      <c r="C28" s="18" t="str">
        <f ca="1">IF(L28="","",INDEX(INDIRECT("'"&amp;'لوحة التحكم'!$K$6&amp;"'!$A$2:$A$501"),L28))</f>
        <v/>
      </c>
      <c r="D28" s="31" t="str">
        <f ca="1">IF(L28="","",INDEX(INDIRECT("'"&amp;'لوحة التحكم'!$K$6&amp;"'!$B$2:$B$501"),L28))</f>
        <v/>
      </c>
      <c r="E28" s="24" t="str">
        <f ca="1">IF(L28="","",INDEX(INDIRECT("'"&amp;'لوحة التحكم'!$K$6&amp;"'!$F$2:$F$501"),L28))</f>
        <v/>
      </c>
      <c r="F28" s="32" t="str">
        <f ca="1">IF(L28="","",INDEX(INDIRECT("'"&amp;'لوحة التحكم'!$K$6&amp;"'!$I$2:$I$501"),L28))</f>
        <v/>
      </c>
      <c r="G28" s="32" t="str">
        <f ca="1">IF(L28="","",INDEX(INDIRECT("'"&amp;'لوحة التحكم'!$K$6&amp;"'!$C$2:$C$501"),L28))</f>
        <v/>
      </c>
      <c r="H28" s="32" t="str">
        <f ca="1">IF(L28="","",INDEX(INDIRECT("'"&amp;'لوحة التحكم'!$K$6&amp;"'!$D$2:$D$501"),L28))</f>
        <v/>
      </c>
      <c r="I28" s="32" t="str">
        <f ca="1">IF(L28="","",INDEX(INDIRECT("'"&amp;'لوحة التحكم'!$K$6&amp;"'!$E$2:$E$501"),L28))</f>
        <v/>
      </c>
      <c r="J28" s="18" t="str">
        <f ca="1">IF(L28="","",INDEX(INDIRECT("'"&amp;'لوحة التحكم'!$K$6&amp;"'!$U$2:$U$501"),L28))</f>
        <v/>
      </c>
      <c r="L28" s="3" t="str">
        <f ca="1">IF('لوحة التحكم'!$K$12=1,IFERROR(MATCH(12,INDIRECT("'"&amp;'لوحة التحكم'!$K$6&amp;"'!$AF$2:$AF$501"),0),""),"")</f>
        <v/>
      </c>
    </row>
    <row r="29" spans="2:12">
      <c r="B29" s="24" t="str">
        <f ca="1">IF(L29="","",13)</f>
        <v/>
      </c>
      <c r="C29" s="18" t="str">
        <f ca="1">IF(L29="","",INDEX(INDIRECT("'"&amp;'لوحة التحكم'!$K$6&amp;"'!$A$2:$A$501"),L29))</f>
        <v/>
      </c>
      <c r="D29" s="31" t="str">
        <f ca="1">IF(L29="","",INDEX(INDIRECT("'"&amp;'لوحة التحكم'!$K$6&amp;"'!$B$2:$B$501"),L29))</f>
        <v/>
      </c>
      <c r="E29" s="24" t="str">
        <f ca="1">IF(L29="","",INDEX(INDIRECT("'"&amp;'لوحة التحكم'!$K$6&amp;"'!$F$2:$F$501"),L29))</f>
        <v/>
      </c>
      <c r="F29" s="32" t="str">
        <f ca="1">IF(L29="","",INDEX(INDIRECT("'"&amp;'لوحة التحكم'!$K$6&amp;"'!$I$2:$I$501"),L29))</f>
        <v/>
      </c>
      <c r="G29" s="32" t="str">
        <f ca="1">IF(L29="","",INDEX(INDIRECT("'"&amp;'لوحة التحكم'!$K$6&amp;"'!$C$2:$C$501"),L29))</f>
        <v/>
      </c>
      <c r="H29" s="32" t="str">
        <f ca="1">IF(L29="","",INDEX(INDIRECT("'"&amp;'لوحة التحكم'!$K$6&amp;"'!$D$2:$D$501"),L29))</f>
        <v/>
      </c>
      <c r="I29" s="32" t="str">
        <f ca="1">IF(L29="","",INDEX(INDIRECT("'"&amp;'لوحة التحكم'!$K$6&amp;"'!$E$2:$E$501"),L29))</f>
        <v/>
      </c>
      <c r="J29" s="18" t="str">
        <f ca="1">IF(L29="","",INDEX(INDIRECT("'"&amp;'لوحة التحكم'!$K$6&amp;"'!$U$2:$U$501"),L29))</f>
        <v/>
      </c>
      <c r="L29" s="3" t="str">
        <f ca="1">IF('لوحة التحكم'!$K$12=1,IFERROR(MATCH(13,INDIRECT("'"&amp;'لوحة التحكم'!$K$6&amp;"'!$AF$2:$AF$501"),0),""),"")</f>
        <v/>
      </c>
    </row>
    <row r="30" spans="2:12">
      <c r="B30" s="24" t="str">
        <f ca="1">IF(L30="","",14)</f>
        <v/>
      </c>
      <c r="C30" s="18" t="str">
        <f ca="1">IF(L30="","",INDEX(INDIRECT("'"&amp;'لوحة التحكم'!$K$6&amp;"'!$A$2:$A$501"),L30))</f>
        <v/>
      </c>
      <c r="D30" s="31" t="str">
        <f ca="1">IF(L30="","",INDEX(INDIRECT("'"&amp;'لوحة التحكم'!$K$6&amp;"'!$B$2:$B$501"),L30))</f>
        <v/>
      </c>
      <c r="E30" s="24" t="str">
        <f ca="1">IF(L30="","",INDEX(INDIRECT("'"&amp;'لوحة التحكم'!$K$6&amp;"'!$F$2:$F$501"),L30))</f>
        <v/>
      </c>
      <c r="F30" s="32" t="str">
        <f ca="1">IF(L30="","",INDEX(INDIRECT("'"&amp;'لوحة التحكم'!$K$6&amp;"'!$I$2:$I$501"),L30))</f>
        <v/>
      </c>
      <c r="G30" s="32" t="str">
        <f ca="1">IF(L30="","",INDEX(INDIRECT("'"&amp;'لوحة التحكم'!$K$6&amp;"'!$C$2:$C$501"),L30))</f>
        <v/>
      </c>
      <c r="H30" s="32" t="str">
        <f ca="1">IF(L30="","",INDEX(INDIRECT("'"&amp;'لوحة التحكم'!$K$6&amp;"'!$D$2:$D$501"),L30))</f>
        <v/>
      </c>
      <c r="I30" s="32" t="str">
        <f ca="1">IF(L30="","",INDEX(INDIRECT("'"&amp;'لوحة التحكم'!$K$6&amp;"'!$E$2:$E$501"),L30))</f>
        <v/>
      </c>
      <c r="J30" s="18" t="str">
        <f ca="1">IF(L30="","",INDEX(INDIRECT("'"&amp;'لوحة التحكم'!$K$6&amp;"'!$U$2:$U$501"),L30))</f>
        <v/>
      </c>
      <c r="L30" s="3" t="str">
        <f ca="1">IF('لوحة التحكم'!$K$12=1,IFERROR(MATCH(14,INDIRECT("'"&amp;'لوحة التحكم'!$K$6&amp;"'!$AF$2:$AF$501"),0),""),"")</f>
        <v/>
      </c>
    </row>
    <row r="31" spans="2:12">
      <c r="B31" s="24" t="str">
        <f ca="1">IF(L31="","",15)</f>
        <v/>
      </c>
      <c r="C31" s="18" t="str">
        <f ca="1">IF(L31="","",INDEX(INDIRECT("'"&amp;'لوحة التحكم'!$K$6&amp;"'!$A$2:$A$501"),L31))</f>
        <v/>
      </c>
      <c r="D31" s="31" t="str">
        <f ca="1">IF(L31="","",INDEX(INDIRECT("'"&amp;'لوحة التحكم'!$K$6&amp;"'!$B$2:$B$501"),L31))</f>
        <v/>
      </c>
      <c r="E31" s="24" t="str">
        <f ca="1">IF(L31="","",INDEX(INDIRECT("'"&amp;'لوحة التحكم'!$K$6&amp;"'!$F$2:$F$501"),L31))</f>
        <v/>
      </c>
      <c r="F31" s="32" t="str">
        <f ca="1">IF(L31="","",INDEX(INDIRECT("'"&amp;'لوحة التحكم'!$K$6&amp;"'!$I$2:$I$501"),L31))</f>
        <v/>
      </c>
      <c r="G31" s="32" t="str">
        <f ca="1">IF(L31="","",INDEX(INDIRECT("'"&amp;'لوحة التحكم'!$K$6&amp;"'!$C$2:$C$501"),L31))</f>
        <v/>
      </c>
      <c r="H31" s="32" t="str">
        <f ca="1">IF(L31="","",INDEX(INDIRECT("'"&amp;'لوحة التحكم'!$K$6&amp;"'!$D$2:$D$501"),L31))</f>
        <v/>
      </c>
      <c r="I31" s="32" t="str">
        <f ca="1">IF(L31="","",INDEX(INDIRECT("'"&amp;'لوحة التحكم'!$K$6&amp;"'!$E$2:$E$501"),L31))</f>
        <v/>
      </c>
      <c r="J31" s="18" t="str">
        <f ca="1">IF(L31="","",INDEX(INDIRECT("'"&amp;'لوحة التحكم'!$K$6&amp;"'!$U$2:$U$501"),L31))</f>
        <v/>
      </c>
      <c r="L31" s="3" t="str">
        <f ca="1">IF('لوحة التحكم'!$K$12=1,IFERROR(MATCH(15,INDIRECT("'"&amp;'لوحة التحكم'!$K$6&amp;"'!$AF$2:$AF$501"),0),""),"")</f>
        <v/>
      </c>
    </row>
    <row r="32" spans="2:12">
      <c r="B32" s="24" t="str">
        <f ca="1">IF(L32="","",16)</f>
        <v/>
      </c>
      <c r="C32" s="18" t="str">
        <f ca="1">IF(L32="","",INDEX(INDIRECT("'"&amp;'لوحة التحكم'!$K$6&amp;"'!$A$2:$A$501"),L32))</f>
        <v/>
      </c>
      <c r="D32" s="31" t="str">
        <f ca="1">IF(L32="","",INDEX(INDIRECT("'"&amp;'لوحة التحكم'!$K$6&amp;"'!$B$2:$B$501"),L32))</f>
        <v/>
      </c>
      <c r="E32" s="24" t="str">
        <f ca="1">IF(L32="","",INDEX(INDIRECT("'"&amp;'لوحة التحكم'!$K$6&amp;"'!$F$2:$F$501"),L32))</f>
        <v/>
      </c>
      <c r="F32" s="32" t="str">
        <f ca="1">IF(L32="","",INDEX(INDIRECT("'"&amp;'لوحة التحكم'!$K$6&amp;"'!$I$2:$I$501"),L32))</f>
        <v/>
      </c>
      <c r="G32" s="32" t="str">
        <f ca="1">IF(L32="","",INDEX(INDIRECT("'"&amp;'لوحة التحكم'!$K$6&amp;"'!$C$2:$C$501"),L32))</f>
        <v/>
      </c>
      <c r="H32" s="32" t="str">
        <f ca="1">IF(L32="","",INDEX(INDIRECT("'"&amp;'لوحة التحكم'!$K$6&amp;"'!$D$2:$D$501"),L32))</f>
        <v/>
      </c>
      <c r="I32" s="32" t="str">
        <f ca="1">IF(L32="","",INDEX(INDIRECT("'"&amp;'لوحة التحكم'!$K$6&amp;"'!$E$2:$E$501"),L32))</f>
        <v/>
      </c>
      <c r="J32" s="18" t="str">
        <f ca="1">IF(L32="","",INDEX(INDIRECT("'"&amp;'لوحة التحكم'!$K$6&amp;"'!$U$2:$U$501"),L32))</f>
        <v/>
      </c>
      <c r="L32" s="3" t="str">
        <f ca="1">IF('لوحة التحكم'!$K$12=1,IFERROR(MATCH(16,INDIRECT("'"&amp;'لوحة التحكم'!$K$6&amp;"'!$AF$2:$AF$501"),0),""),"")</f>
        <v/>
      </c>
    </row>
    <row r="33" spans="2:12">
      <c r="B33" s="24" t="str">
        <f ca="1">IF(L33="","",17)</f>
        <v/>
      </c>
      <c r="C33" s="18" t="str">
        <f ca="1">IF(L33="","",INDEX(INDIRECT("'"&amp;'لوحة التحكم'!$K$6&amp;"'!$A$2:$A$501"),L33))</f>
        <v/>
      </c>
      <c r="D33" s="31" t="str">
        <f ca="1">IF(L33="","",INDEX(INDIRECT("'"&amp;'لوحة التحكم'!$K$6&amp;"'!$B$2:$B$501"),L33))</f>
        <v/>
      </c>
      <c r="E33" s="24" t="str">
        <f ca="1">IF(L33="","",INDEX(INDIRECT("'"&amp;'لوحة التحكم'!$K$6&amp;"'!$F$2:$F$501"),L33))</f>
        <v/>
      </c>
      <c r="F33" s="32" t="str">
        <f ca="1">IF(L33="","",INDEX(INDIRECT("'"&amp;'لوحة التحكم'!$K$6&amp;"'!$I$2:$I$501"),L33))</f>
        <v/>
      </c>
      <c r="G33" s="32" t="str">
        <f ca="1">IF(L33="","",INDEX(INDIRECT("'"&amp;'لوحة التحكم'!$K$6&amp;"'!$C$2:$C$501"),L33))</f>
        <v/>
      </c>
      <c r="H33" s="32" t="str">
        <f ca="1">IF(L33="","",INDEX(INDIRECT("'"&amp;'لوحة التحكم'!$K$6&amp;"'!$D$2:$D$501"),L33))</f>
        <v/>
      </c>
      <c r="I33" s="32" t="str">
        <f ca="1">IF(L33="","",INDEX(INDIRECT("'"&amp;'لوحة التحكم'!$K$6&amp;"'!$E$2:$E$501"),L33))</f>
        <v/>
      </c>
      <c r="J33" s="18" t="str">
        <f ca="1">IF(L33="","",INDEX(INDIRECT("'"&amp;'لوحة التحكم'!$K$6&amp;"'!$U$2:$U$501"),L33))</f>
        <v/>
      </c>
      <c r="L33" s="3" t="str">
        <f ca="1">IF('لوحة التحكم'!$K$12=1,IFERROR(MATCH(17,INDIRECT("'"&amp;'لوحة التحكم'!$K$6&amp;"'!$AF$2:$AF$501"),0),""),"")</f>
        <v/>
      </c>
    </row>
    <row r="34" spans="2:12">
      <c r="B34" s="24" t="str">
        <f ca="1">IF(L34="","",18)</f>
        <v/>
      </c>
      <c r="C34" s="18" t="str">
        <f ca="1">IF(L34="","",INDEX(INDIRECT("'"&amp;'لوحة التحكم'!$K$6&amp;"'!$A$2:$A$501"),L34))</f>
        <v/>
      </c>
      <c r="D34" s="31" t="str">
        <f ca="1">IF(L34="","",INDEX(INDIRECT("'"&amp;'لوحة التحكم'!$K$6&amp;"'!$B$2:$B$501"),L34))</f>
        <v/>
      </c>
      <c r="E34" s="24" t="str">
        <f ca="1">IF(L34="","",INDEX(INDIRECT("'"&amp;'لوحة التحكم'!$K$6&amp;"'!$F$2:$F$501"),L34))</f>
        <v/>
      </c>
      <c r="F34" s="32" t="str">
        <f ca="1">IF(L34="","",INDEX(INDIRECT("'"&amp;'لوحة التحكم'!$K$6&amp;"'!$I$2:$I$501"),L34))</f>
        <v/>
      </c>
      <c r="G34" s="32" t="str">
        <f ca="1">IF(L34="","",INDEX(INDIRECT("'"&amp;'لوحة التحكم'!$K$6&amp;"'!$C$2:$C$501"),L34))</f>
        <v/>
      </c>
      <c r="H34" s="32" t="str">
        <f ca="1">IF(L34="","",INDEX(INDIRECT("'"&amp;'لوحة التحكم'!$K$6&amp;"'!$D$2:$D$501"),L34))</f>
        <v/>
      </c>
      <c r="I34" s="32" t="str">
        <f ca="1">IF(L34="","",INDEX(INDIRECT("'"&amp;'لوحة التحكم'!$K$6&amp;"'!$E$2:$E$501"),L34))</f>
        <v/>
      </c>
      <c r="J34" s="18" t="str">
        <f ca="1">IF(L34="","",INDEX(INDIRECT("'"&amp;'لوحة التحكم'!$K$6&amp;"'!$U$2:$U$501"),L34))</f>
        <v/>
      </c>
      <c r="L34" s="3" t="str">
        <f ca="1">IF('لوحة التحكم'!$K$12=1,IFERROR(MATCH(18,INDIRECT("'"&amp;'لوحة التحكم'!$K$6&amp;"'!$AF$2:$AF$501"),0),""),"")</f>
        <v/>
      </c>
    </row>
    <row r="35" spans="2:12">
      <c r="B35" s="24" t="str">
        <f ca="1">IF(L35="","",19)</f>
        <v/>
      </c>
      <c r="C35" s="18" t="str">
        <f ca="1">IF(L35="","",INDEX(INDIRECT("'"&amp;'لوحة التحكم'!$K$6&amp;"'!$A$2:$A$501"),L35))</f>
        <v/>
      </c>
      <c r="D35" s="31" t="str">
        <f ca="1">IF(L35="","",INDEX(INDIRECT("'"&amp;'لوحة التحكم'!$K$6&amp;"'!$B$2:$B$501"),L35))</f>
        <v/>
      </c>
      <c r="E35" s="24" t="str">
        <f ca="1">IF(L35="","",INDEX(INDIRECT("'"&amp;'لوحة التحكم'!$K$6&amp;"'!$F$2:$F$501"),L35))</f>
        <v/>
      </c>
      <c r="F35" s="32" t="str">
        <f ca="1">IF(L35="","",INDEX(INDIRECT("'"&amp;'لوحة التحكم'!$K$6&amp;"'!$I$2:$I$501"),L35))</f>
        <v/>
      </c>
      <c r="G35" s="32" t="str">
        <f ca="1">IF(L35="","",INDEX(INDIRECT("'"&amp;'لوحة التحكم'!$K$6&amp;"'!$C$2:$C$501"),L35))</f>
        <v/>
      </c>
      <c r="H35" s="32" t="str">
        <f ca="1">IF(L35="","",INDEX(INDIRECT("'"&amp;'لوحة التحكم'!$K$6&amp;"'!$D$2:$D$501"),L35))</f>
        <v/>
      </c>
      <c r="I35" s="32" t="str">
        <f ca="1">IF(L35="","",INDEX(INDIRECT("'"&amp;'لوحة التحكم'!$K$6&amp;"'!$E$2:$E$501"),L35))</f>
        <v/>
      </c>
      <c r="J35" s="18" t="str">
        <f ca="1">IF(L35="","",INDEX(INDIRECT("'"&amp;'لوحة التحكم'!$K$6&amp;"'!$U$2:$U$501"),L35))</f>
        <v/>
      </c>
      <c r="L35" s="3" t="str">
        <f ca="1">IF('لوحة التحكم'!$K$12=1,IFERROR(MATCH(19,INDIRECT("'"&amp;'لوحة التحكم'!$K$6&amp;"'!$AF$2:$AF$501"),0),""),"")</f>
        <v/>
      </c>
    </row>
    <row r="36" spans="2:12">
      <c r="B36" s="24" t="str">
        <f ca="1">IF(L36="","",20)</f>
        <v/>
      </c>
      <c r="C36" s="18" t="str">
        <f ca="1">IF(L36="","",INDEX(INDIRECT("'"&amp;'لوحة التحكم'!$K$6&amp;"'!$A$2:$A$501"),L36))</f>
        <v/>
      </c>
      <c r="D36" s="31" t="str">
        <f ca="1">IF(L36="","",INDEX(INDIRECT("'"&amp;'لوحة التحكم'!$K$6&amp;"'!$B$2:$B$501"),L36))</f>
        <v/>
      </c>
      <c r="E36" s="24" t="str">
        <f ca="1">IF(L36="","",INDEX(INDIRECT("'"&amp;'لوحة التحكم'!$K$6&amp;"'!$F$2:$F$501"),L36))</f>
        <v/>
      </c>
      <c r="F36" s="32" t="str">
        <f ca="1">IF(L36="","",INDEX(INDIRECT("'"&amp;'لوحة التحكم'!$K$6&amp;"'!$I$2:$I$501"),L36))</f>
        <v/>
      </c>
      <c r="G36" s="32" t="str">
        <f ca="1">IF(L36="","",INDEX(INDIRECT("'"&amp;'لوحة التحكم'!$K$6&amp;"'!$C$2:$C$501"),L36))</f>
        <v/>
      </c>
      <c r="H36" s="32" t="str">
        <f ca="1">IF(L36="","",INDEX(INDIRECT("'"&amp;'لوحة التحكم'!$K$6&amp;"'!$D$2:$D$501"),L36))</f>
        <v/>
      </c>
      <c r="I36" s="32" t="str">
        <f ca="1">IF(L36="","",INDEX(INDIRECT("'"&amp;'لوحة التحكم'!$K$6&amp;"'!$E$2:$E$501"),L36))</f>
        <v/>
      </c>
      <c r="J36" s="18" t="str">
        <f ca="1">IF(L36="","",INDEX(INDIRECT("'"&amp;'لوحة التحكم'!$K$6&amp;"'!$U$2:$U$501"),L36))</f>
        <v/>
      </c>
      <c r="L36" s="3" t="str">
        <f ca="1">IF('لوحة التحكم'!$K$12=1,IFERROR(MATCH(20,INDIRECT("'"&amp;'لوحة التحكم'!$K$6&amp;"'!$AF$2:$AF$501"),0),""),"")</f>
        <v/>
      </c>
    </row>
    <row r="37" spans="2:12">
      <c r="B37" s="24" t="str">
        <f ca="1">IF(L37="","",21)</f>
        <v/>
      </c>
      <c r="C37" s="18" t="str">
        <f ca="1">IF(L37="","",INDEX(INDIRECT("'"&amp;'لوحة التحكم'!$K$6&amp;"'!$A$2:$A$501"),L37))</f>
        <v/>
      </c>
      <c r="D37" s="31" t="str">
        <f ca="1">IF(L37="","",INDEX(INDIRECT("'"&amp;'لوحة التحكم'!$K$6&amp;"'!$B$2:$B$501"),L37))</f>
        <v/>
      </c>
      <c r="E37" s="24" t="str">
        <f ca="1">IF(L37="","",INDEX(INDIRECT("'"&amp;'لوحة التحكم'!$K$6&amp;"'!$F$2:$F$501"),L37))</f>
        <v/>
      </c>
      <c r="F37" s="32" t="str">
        <f ca="1">IF(L37="","",INDEX(INDIRECT("'"&amp;'لوحة التحكم'!$K$6&amp;"'!$I$2:$I$501"),L37))</f>
        <v/>
      </c>
      <c r="G37" s="32" t="str">
        <f ca="1">IF(L37="","",INDEX(INDIRECT("'"&amp;'لوحة التحكم'!$K$6&amp;"'!$C$2:$C$501"),L37))</f>
        <v/>
      </c>
      <c r="H37" s="32" t="str">
        <f ca="1">IF(L37="","",INDEX(INDIRECT("'"&amp;'لوحة التحكم'!$K$6&amp;"'!$D$2:$D$501"),L37))</f>
        <v/>
      </c>
      <c r="I37" s="32" t="str">
        <f ca="1">IF(L37="","",INDEX(INDIRECT("'"&amp;'لوحة التحكم'!$K$6&amp;"'!$E$2:$E$501"),L37))</f>
        <v/>
      </c>
      <c r="J37" s="18" t="str">
        <f ca="1">IF(L37="","",INDEX(INDIRECT("'"&amp;'لوحة التحكم'!$K$6&amp;"'!$U$2:$U$501"),L37))</f>
        <v/>
      </c>
      <c r="L37" s="3" t="str">
        <f ca="1">IF('لوحة التحكم'!$K$12=1,IFERROR(MATCH(21,INDIRECT("'"&amp;'لوحة التحكم'!$K$6&amp;"'!$AF$2:$AF$501"),0),""),"")</f>
        <v/>
      </c>
    </row>
    <row r="38" spans="2:12">
      <c r="B38" s="24" t="str">
        <f ca="1">IF(L38="","",22)</f>
        <v/>
      </c>
      <c r="C38" s="18" t="str">
        <f ca="1">IF(L38="","",INDEX(INDIRECT("'"&amp;'لوحة التحكم'!$K$6&amp;"'!$A$2:$A$501"),L38))</f>
        <v/>
      </c>
      <c r="D38" s="31" t="str">
        <f ca="1">IF(L38="","",INDEX(INDIRECT("'"&amp;'لوحة التحكم'!$K$6&amp;"'!$B$2:$B$501"),L38))</f>
        <v/>
      </c>
      <c r="E38" s="24" t="str">
        <f ca="1">IF(L38="","",INDEX(INDIRECT("'"&amp;'لوحة التحكم'!$K$6&amp;"'!$F$2:$F$501"),L38))</f>
        <v/>
      </c>
      <c r="F38" s="32" t="str">
        <f ca="1">IF(L38="","",INDEX(INDIRECT("'"&amp;'لوحة التحكم'!$K$6&amp;"'!$I$2:$I$501"),L38))</f>
        <v/>
      </c>
      <c r="G38" s="32" t="str">
        <f ca="1">IF(L38="","",INDEX(INDIRECT("'"&amp;'لوحة التحكم'!$K$6&amp;"'!$C$2:$C$501"),L38))</f>
        <v/>
      </c>
      <c r="H38" s="32" t="str">
        <f ca="1">IF(L38="","",INDEX(INDIRECT("'"&amp;'لوحة التحكم'!$K$6&amp;"'!$D$2:$D$501"),L38))</f>
        <v/>
      </c>
      <c r="I38" s="32" t="str">
        <f ca="1">IF(L38="","",INDEX(INDIRECT("'"&amp;'لوحة التحكم'!$K$6&amp;"'!$E$2:$E$501"),L38))</f>
        <v/>
      </c>
      <c r="J38" s="18" t="str">
        <f ca="1">IF(L38="","",INDEX(INDIRECT("'"&amp;'لوحة التحكم'!$K$6&amp;"'!$U$2:$U$501"),L38))</f>
        <v/>
      </c>
      <c r="L38" s="3" t="str">
        <f ca="1">IF('لوحة التحكم'!$K$12=1,IFERROR(MATCH(22,INDIRECT("'"&amp;'لوحة التحكم'!$K$6&amp;"'!$AF$2:$AF$501"),0),""),"")</f>
        <v/>
      </c>
    </row>
    <row r="39" spans="2:12">
      <c r="B39" s="24" t="str">
        <f ca="1">IF(L39="","",23)</f>
        <v/>
      </c>
      <c r="C39" s="18" t="str">
        <f ca="1">IF(L39="","",INDEX(INDIRECT("'"&amp;'لوحة التحكم'!$K$6&amp;"'!$A$2:$A$501"),L39))</f>
        <v/>
      </c>
      <c r="D39" s="31" t="str">
        <f ca="1">IF(L39="","",INDEX(INDIRECT("'"&amp;'لوحة التحكم'!$K$6&amp;"'!$B$2:$B$501"),L39))</f>
        <v/>
      </c>
      <c r="E39" s="24" t="str">
        <f ca="1">IF(L39="","",INDEX(INDIRECT("'"&amp;'لوحة التحكم'!$K$6&amp;"'!$F$2:$F$501"),L39))</f>
        <v/>
      </c>
      <c r="F39" s="32" t="str">
        <f ca="1">IF(L39="","",INDEX(INDIRECT("'"&amp;'لوحة التحكم'!$K$6&amp;"'!$I$2:$I$501"),L39))</f>
        <v/>
      </c>
      <c r="G39" s="32" t="str">
        <f ca="1">IF(L39="","",INDEX(INDIRECT("'"&amp;'لوحة التحكم'!$K$6&amp;"'!$C$2:$C$501"),L39))</f>
        <v/>
      </c>
      <c r="H39" s="32" t="str">
        <f ca="1">IF(L39="","",INDEX(INDIRECT("'"&amp;'لوحة التحكم'!$K$6&amp;"'!$D$2:$D$501"),L39))</f>
        <v/>
      </c>
      <c r="I39" s="32" t="str">
        <f ca="1">IF(L39="","",INDEX(INDIRECT("'"&amp;'لوحة التحكم'!$K$6&amp;"'!$E$2:$E$501"),L39))</f>
        <v/>
      </c>
      <c r="J39" s="18" t="str">
        <f ca="1">IF(L39="","",INDEX(INDIRECT("'"&amp;'لوحة التحكم'!$K$6&amp;"'!$U$2:$U$501"),L39))</f>
        <v/>
      </c>
      <c r="L39" s="3" t="str">
        <f ca="1">IF('لوحة التحكم'!$K$12=1,IFERROR(MATCH(23,INDIRECT("'"&amp;'لوحة التحكم'!$K$6&amp;"'!$AF$2:$AF$501"),0),""),"")</f>
        <v/>
      </c>
    </row>
    <row r="40" spans="2:12">
      <c r="B40" s="24" t="str">
        <f ca="1">IF(L40="","",24)</f>
        <v/>
      </c>
      <c r="C40" s="18" t="str">
        <f ca="1">IF(L40="","",INDEX(INDIRECT("'"&amp;'لوحة التحكم'!$K$6&amp;"'!$A$2:$A$501"),L40))</f>
        <v/>
      </c>
      <c r="D40" s="31" t="str">
        <f ca="1">IF(L40="","",INDEX(INDIRECT("'"&amp;'لوحة التحكم'!$K$6&amp;"'!$B$2:$B$501"),L40))</f>
        <v/>
      </c>
      <c r="E40" s="24" t="str">
        <f ca="1">IF(L40="","",INDEX(INDIRECT("'"&amp;'لوحة التحكم'!$K$6&amp;"'!$F$2:$F$501"),L40))</f>
        <v/>
      </c>
      <c r="F40" s="32" t="str">
        <f ca="1">IF(L40="","",INDEX(INDIRECT("'"&amp;'لوحة التحكم'!$K$6&amp;"'!$I$2:$I$501"),L40))</f>
        <v/>
      </c>
      <c r="G40" s="32" t="str">
        <f ca="1">IF(L40="","",INDEX(INDIRECT("'"&amp;'لوحة التحكم'!$K$6&amp;"'!$C$2:$C$501"),L40))</f>
        <v/>
      </c>
      <c r="H40" s="32" t="str">
        <f ca="1">IF(L40="","",INDEX(INDIRECT("'"&amp;'لوحة التحكم'!$K$6&amp;"'!$D$2:$D$501"),L40))</f>
        <v/>
      </c>
      <c r="I40" s="32" t="str">
        <f ca="1">IF(L40="","",INDEX(INDIRECT("'"&amp;'لوحة التحكم'!$K$6&amp;"'!$E$2:$E$501"),L40))</f>
        <v/>
      </c>
      <c r="J40" s="18" t="str">
        <f ca="1">IF(L40="","",INDEX(INDIRECT("'"&amp;'لوحة التحكم'!$K$6&amp;"'!$U$2:$U$501"),L40))</f>
        <v/>
      </c>
      <c r="L40" s="3" t="str">
        <f ca="1">IF('لوحة التحكم'!$K$12=1,IFERROR(MATCH(24,INDIRECT("'"&amp;'لوحة التحكم'!$K$6&amp;"'!$AF$2:$AF$501"),0),""),"")</f>
        <v/>
      </c>
    </row>
    <row r="41" spans="2:12">
      <c r="B41" s="24" t="str">
        <f ca="1">IF(L41="","",25)</f>
        <v/>
      </c>
      <c r="C41" s="18" t="str">
        <f ca="1">IF(L41="","",INDEX(INDIRECT("'"&amp;'لوحة التحكم'!$K$6&amp;"'!$A$2:$A$501"),L41))</f>
        <v/>
      </c>
      <c r="D41" s="31" t="str">
        <f ca="1">IF(L41="","",INDEX(INDIRECT("'"&amp;'لوحة التحكم'!$K$6&amp;"'!$B$2:$B$501"),L41))</f>
        <v/>
      </c>
      <c r="E41" s="24" t="str">
        <f ca="1">IF(L41="","",INDEX(INDIRECT("'"&amp;'لوحة التحكم'!$K$6&amp;"'!$F$2:$F$501"),L41))</f>
        <v/>
      </c>
      <c r="F41" s="32" t="str">
        <f ca="1">IF(L41="","",INDEX(INDIRECT("'"&amp;'لوحة التحكم'!$K$6&amp;"'!$I$2:$I$501"),L41))</f>
        <v/>
      </c>
      <c r="G41" s="32" t="str">
        <f ca="1">IF(L41="","",INDEX(INDIRECT("'"&amp;'لوحة التحكم'!$K$6&amp;"'!$C$2:$C$501"),L41))</f>
        <v/>
      </c>
      <c r="H41" s="32" t="str">
        <f ca="1">IF(L41="","",INDEX(INDIRECT("'"&amp;'لوحة التحكم'!$K$6&amp;"'!$D$2:$D$501"),L41))</f>
        <v/>
      </c>
      <c r="I41" s="32" t="str">
        <f ca="1">IF(L41="","",INDEX(INDIRECT("'"&amp;'لوحة التحكم'!$K$6&amp;"'!$E$2:$E$501"),L41))</f>
        <v/>
      </c>
      <c r="J41" s="18" t="str">
        <f ca="1">IF(L41="","",INDEX(INDIRECT("'"&amp;'لوحة التحكم'!$K$6&amp;"'!$U$2:$U$501"),L41))</f>
        <v/>
      </c>
      <c r="L41" s="3" t="str">
        <f ca="1">IF('لوحة التحكم'!$K$12=1,IFERROR(MATCH(25,INDIRECT("'"&amp;'لوحة التحكم'!$K$6&amp;"'!$AF$2:$AF$501"),0),""),"")</f>
        <v/>
      </c>
    </row>
    <row r="42" spans="2:12">
      <c r="B42" s="24" t="str">
        <f ca="1">IF(L42="","",26)</f>
        <v/>
      </c>
      <c r="C42" s="18" t="str">
        <f ca="1">IF(L42="","",INDEX(INDIRECT("'"&amp;'لوحة التحكم'!$K$6&amp;"'!$A$2:$A$501"),L42))</f>
        <v/>
      </c>
      <c r="D42" s="31" t="str">
        <f ca="1">IF(L42="","",INDEX(INDIRECT("'"&amp;'لوحة التحكم'!$K$6&amp;"'!$B$2:$B$501"),L42))</f>
        <v/>
      </c>
      <c r="E42" s="24" t="str">
        <f ca="1">IF(L42="","",INDEX(INDIRECT("'"&amp;'لوحة التحكم'!$K$6&amp;"'!$F$2:$F$501"),L42))</f>
        <v/>
      </c>
      <c r="F42" s="32" t="str">
        <f ca="1">IF(L42="","",INDEX(INDIRECT("'"&amp;'لوحة التحكم'!$K$6&amp;"'!$I$2:$I$501"),L42))</f>
        <v/>
      </c>
      <c r="G42" s="32" t="str">
        <f ca="1">IF(L42="","",INDEX(INDIRECT("'"&amp;'لوحة التحكم'!$K$6&amp;"'!$C$2:$C$501"),L42))</f>
        <v/>
      </c>
      <c r="H42" s="32" t="str">
        <f ca="1">IF(L42="","",INDEX(INDIRECT("'"&amp;'لوحة التحكم'!$K$6&amp;"'!$D$2:$D$501"),L42))</f>
        <v/>
      </c>
      <c r="I42" s="32" t="str">
        <f ca="1">IF(L42="","",INDEX(INDIRECT("'"&amp;'لوحة التحكم'!$K$6&amp;"'!$E$2:$E$501"),L42))</f>
        <v/>
      </c>
      <c r="J42" s="18" t="str">
        <f ca="1">IF(L42="","",INDEX(INDIRECT("'"&amp;'لوحة التحكم'!$K$6&amp;"'!$U$2:$U$501"),L42))</f>
        <v/>
      </c>
      <c r="L42" s="3" t="str">
        <f ca="1">IF('لوحة التحكم'!$K$12=1,IFERROR(MATCH(26,INDIRECT("'"&amp;'لوحة التحكم'!$K$6&amp;"'!$AF$2:$AF$501"),0),""),"")</f>
        <v/>
      </c>
    </row>
    <row r="43" spans="2:12">
      <c r="B43" s="24" t="str">
        <f ca="1">IF(L43="","",27)</f>
        <v/>
      </c>
      <c r="C43" s="18" t="str">
        <f ca="1">IF(L43="","",INDEX(INDIRECT("'"&amp;'لوحة التحكم'!$K$6&amp;"'!$A$2:$A$501"),L43))</f>
        <v/>
      </c>
      <c r="D43" s="31" t="str">
        <f ca="1">IF(L43="","",INDEX(INDIRECT("'"&amp;'لوحة التحكم'!$K$6&amp;"'!$B$2:$B$501"),L43))</f>
        <v/>
      </c>
      <c r="E43" s="24" t="str">
        <f ca="1">IF(L43="","",INDEX(INDIRECT("'"&amp;'لوحة التحكم'!$K$6&amp;"'!$F$2:$F$501"),L43))</f>
        <v/>
      </c>
      <c r="F43" s="32" t="str">
        <f ca="1">IF(L43="","",INDEX(INDIRECT("'"&amp;'لوحة التحكم'!$K$6&amp;"'!$I$2:$I$501"),L43))</f>
        <v/>
      </c>
      <c r="G43" s="32" t="str">
        <f ca="1">IF(L43="","",INDEX(INDIRECT("'"&amp;'لوحة التحكم'!$K$6&amp;"'!$C$2:$C$501"),L43))</f>
        <v/>
      </c>
      <c r="H43" s="32" t="str">
        <f ca="1">IF(L43="","",INDEX(INDIRECT("'"&amp;'لوحة التحكم'!$K$6&amp;"'!$D$2:$D$501"),L43))</f>
        <v/>
      </c>
      <c r="I43" s="32" t="str">
        <f ca="1">IF(L43="","",INDEX(INDIRECT("'"&amp;'لوحة التحكم'!$K$6&amp;"'!$E$2:$E$501"),L43))</f>
        <v/>
      </c>
      <c r="J43" s="18" t="str">
        <f ca="1">IF(L43="","",INDEX(INDIRECT("'"&amp;'لوحة التحكم'!$K$6&amp;"'!$U$2:$U$501"),L43))</f>
        <v/>
      </c>
      <c r="L43" s="3" t="str">
        <f ca="1">IF('لوحة التحكم'!$K$12=1,IFERROR(MATCH(27,INDIRECT("'"&amp;'لوحة التحكم'!$K$6&amp;"'!$AF$2:$AF$501"),0),""),"")</f>
        <v/>
      </c>
    </row>
    <row r="44" spans="2:12">
      <c r="B44" s="24" t="str">
        <f ca="1">IF(L44="","",28)</f>
        <v/>
      </c>
      <c r="C44" s="18" t="str">
        <f ca="1">IF(L44="","",INDEX(INDIRECT("'"&amp;'لوحة التحكم'!$K$6&amp;"'!$A$2:$A$501"),L44))</f>
        <v/>
      </c>
      <c r="D44" s="31" t="str">
        <f ca="1">IF(L44="","",INDEX(INDIRECT("'"&amp;'لوحة التحكم'!$K$6&amp;"'!$B$2:$B$501"),L44))</f>
        <v/>
      </c>
      <c r="E44" s="24" t="str">
        <f ca="1">IF(L44="","",INDEX(INDIRECT("'"&amp;'لوحة التحكم'!$K$6&amp;"'!$F$2:$F$501"),L44))</f>
        <v/>
      </c>
      <c r="F44" s="32" t="str">
        <f ca="1">IF(L44="","",INDEX(INDIRECT("'"&amp;'لوحة التحكم'!$K$6&amp;"'!$I$2:$I$501"),L44))</f>
        <v/>
      </c>
      <c r="G44" s="32" t="str">
        <f ca="1">IF(L44="","",INDEX(INDIRECT("'"&amp;'لوحة التحكم'!$K$6&amp;"'!$C$2:$C$501"),L44))</f>
        <v/>
      </c>
      <c r="H44" s="32" t="str">
        <f ca="1">IF(L44="","",INDEX(INDIRECT("'"&amp;'لوحة التحكم'!$K$6&amp;"'!$D$2:$D$501"),L44))</f>
        <v/>
      </c>
      <c r="I44" s="32" t="str">
        <f ca="1">IF(L44="","",INDEX(INDIRECT("'"&amp;'لوحة التحكم'!$K$6&amp;"'!$E$2:$E$501"),L44))</f>
        <v/>
      </c>
      <c r="J44" s="18" t="str">
        <f ca="1">IF(L44="","",INDEX(INDIRECT("'"&amp;'لوحة التحكم'!$K$6&amp;"'!$U$2:$U$501"),L44))</f>
        <v/>
      </c>
      <c r="L44" s="3" t="str">
        <f ca="1">IF('لوحة التحكم'!$K$12=1,IFERROR(MATCH(28,INDIRECT("'"&amp;'لوحة التحكم'!$K$6&amp;"'!$AF$2:$AF$501"),0),""),"")</f>
        <v/>
      </c>
    </row>
    <row r="45" spans="2:12">
      <c r="B45" s="24" t="str">
        <f ca="1">IF(L45="","",29)</f>
        <v/>
      </c>
      <c r="C45" s="18" t="str">
        <f ca="1">IF(L45="","",INDEX(INDIRECT("'"&amp;'لوحة التحكم'!$K$6&amp;"'!$A$2:$A$501"),L45))</f>
        <v/>
      </c>
      <c r="D45" s="31" t="str">
        <f ca="1">IF(L45="","",INDEX(INDIRECT("'"&amp;'لوحة التحكم'!$K$6&amp;"'!$B$2:$B$501"),L45))</f>
        <v/>
      </c>
      <c r="E45" s="24" t="str">
        <f ca="1">IF(L45="","",INDEX(INDIRECT("'"&amp;'لوحة التحكم'!$K$6&amp;"'!$F$2:$F$501"),L45))</f>
        <v/>
      </c>
      <c r="F45" s="32" t="str">
        <f ca="1">IF(L45="","",INDEX(INDIRECT("'"&amp;'لوحة التحكم'!$K$6&amp;"'!$I$2:$I$501"),L45))</f>
        <v/>
      </c>
      <c r="G45" s="32" t="str">
        <f ca="1">IF(L45="","",INDEX(INDIRECT("'"&amp;'لوحة التحكم'!$K$6&amp;"'!$C$2:$C$501"),L45))</f>
        <v/>
      </c>
      <c r="H45" s="32" t="str">
        <f ca="1">IF(L45="","",INDEX(INDIRECT("'"&amp;'لوحة التحكم'!$K$6&amp;"'!$D$2:$D$501"),L45))</f>
        <v/>
      </c>
      <c r="I45" s="32" t="str">
        <f ca="1">IF(L45="","",INDEX(INDIRECT("'"&amp;'لوحة التحكم'!$K$6&amp;"'!$E$2:$E$501"),L45))</f>
        <v/>
      </c>
      <c r="J45" s="18" t="str">
        <f ca="1">IF(L45="","",INDEX(INDIRECT("'"&amp;'لوحة التحكم'!$K$6&amp;"'!$U$2:$U$501"),L45))</f>
        <v/>
      </c>
      <c r="L45" s="3" t="str">
        <f ca="1">IF('لوحة التحكم'!$K$12=1,IFERROR(MATCH(29,INDIRECT("'"&amp;'لوحة التحكم'!$K$6&amp;"'!$AF$2:$AF$501"),0),""),"")</f>
        <v/>
      </c>
    </row>
    <row r="46" spans="2:12">
      <c r="B46" s="24" t="str">
        <f ca="1">IF(L46="","",30)</f>
        <v/>
      </c>
      <c r="C46" s="18" t="str">
        <f ca="1">IF(L46="","",INDEX(INDIRECT("'"&amp;'لوحة التحكم'!$K$6&amp;"'!$A$2:$A$501"),L46))</f>
        <v/>
      </c>
      <c r="D46" s="31" t="str">
        <f ca="1">IF(L46="","",INDEX(INDIRECT("'"&amp;'لوحة التحكم'!$K$6&amp;"'!$B$2:$B$501"),L46))</f>
        <v/>
      </c>
      <c r="E46" s="24" t="str">
        <f ca="1">IF(L46="","",INDEX(INDIRECT("'"&amp;'لوحة التحكم'!$K$6&amp;"'!$F$2:$F$501"),L46))</f>
        <v/>
      </c>
      <c r="F46" s="32" t="str">
        <f ca="1">IF(L46="","",INDEX(INDIRECT("'"&amp;'لوحة التحكم'!$K$6&amp;"'!$I$2:$I$501"),L46))</f>
        <v/>
      </c>
      <c r="G46" s="32" t="str">
        <f ca="1">IF(L46="","",INDEX(INDIRECT("'"&amp;'لوحة التحكم'!$K$6&amp;"'!$C$2:$C$501"),L46))</f>
        <v/>
      </c>
      <c r="H46" s="32" t="str">
        <f ca="1">IF(L46="","",INDEX(INDIRECT("'"&amp;'لوحة التحكم'!$K$6&amp;"'!$D$2:$D$501"),L46))</f>
        <v/>
      </c>
      <c r="I46" s="32" t="str">
        <f ca="1">IF(L46="","",INDEX(INDIRECT("'"&amp;'لوحة التحكم'!$K$6&amp;"'!$E$2:$E$501"),L46))</f>
        <v/>
      </c>
      <c r="J46" s="18" t="str">
        <f ca="1">IF(L46="","",INDEX(INDIRECT("'"&amp;'لوحة التحكم'!$K$6&amp;"'!$U$2:$U$501"),L46))</f>
        <v/>
      </c>
      <c r="L46" s="3" t="str">
        <f ca="1">IF('لوحة التحكم'!$K$12=1,IFERROR(MATCH(30,INDIRECT("'"&amp;'لوحة التحكم'!$K$6&amp;"'!$AF$2:$AF$501"),0),""),"")</f>
        <v/>
      </c>
    </row>
    <row r="47" spans="2:12">
      <c r="B47" s="24" t="str">
        <f ca="1">IF(L47="","",31)</f>
        <v/>
      </c>
      <c r="C47" s="18" t="str">
        <f ca="1">IF(L47="","",INDEX(INDIRECT("'"&amp;'لوحة التحكم'!$K$6&amp;"'!$A$2:$A$501"),L47))</f>
        <v/>
      </c>
      <c r="D47" s="31" t="str">
        <f ca="1">IF(L47="","",INDEX(INDIRECT("'"&amp;'لوحة التحكم'!$K$6&amp;"'!$B$2:$B$501"),L47))</f>
        <v/>
      </c>
      <c r="E47" s="24" t="str">
        <f ca="1">IF(L47="","",INDEX(INDIRECT("'"&amp;'لوحة التحكم'!$K$6&amp;"'!$F$2:$F$501"),L47))</f>
        <v/>
      </c>
      <c r="F47" s="32" t="str">
        <f ca="1">IF(L47="","",INDEX(INDIRECT("'"&amp;'لوحة التحكم'!$K$6&amp;"'!$I$2:$I$501"),L47))</f>
        <v/>
      </c>
      <c r="G47" s="32" t="str">
        <f ca="1">IF(L47="","",INDEX(INDIRECT("'"&amp;'لوحة التحكم'!$K$6&amp;"'!$C$2:$C$501"),L47))</f>
        <v/>
      </c>
      <c r="H47" s="32" t="str">
        <f ca="1">IF(L47="","",INDEX(INDIRECT("'"&amp;'لوحة التحكم'!$K$6&amp;"'!$D$2:$D$501"),L47))</f>
        <v/>
      </c>
      <c r="I47" s="32" t="str">
        <f ca="1">IF(L47="","",INDEX(INDIRECT("'"&amp;'لوحة التحكم'!$K$6&amp;"'!$E$2:$E$501"),L47))</f>
        <v/>
      </c>
      <c r="J47" s="18" t="str">
        <f ca="1">IF(L47="","",INDEX(INDIRECT("'"&amp;'لوحة التحكم'!$K$6&amp;"'!$U$2:$U$501"),L47))</f>
        <v/>
      </c>
      <c r="L47" s="3" t="str">
        <f ca="1">IF('لوحة التحكم'!$K$12=1,IFERROR(MATCH(31,INDIRECT("'"&amp;'لوحة التحكم'!$K$6&amp;"'!$AF$2:$AF$501"),0),""),"")</f>
        <v/>
      </c>
    </row>
    <row r="48" spans="2:12">
      <c r="B48" s="24" t="str">
        <f ca="1">IF(L48="","",32)</f>
        <v/>
      </c>
      <c r="C48" s="18" t="str">
        <f ca="1">IF(L48="","",INDEX(INDIRECT("'"&amp;'لوحة التحكم'!$K$6&amp;"'!$A$2:$A$501"),L48))</f>
        <v/>
      </c>
      <c r="D48" s="31" t="str">
        <f ca="1">IF(L48="","",INDEX(INDIRECT("'"&amp;'لوحة التحكم'!$K$6&amp;"'!$B$2:$B$501"),L48))</f>
        <v/>
      </c>
      <c r="E48" s="24" t="str">
        <f ca="1">IF(L48="","",INDEX(INDIRECT("'"&amp;'لوحة التحكم'!$K$6&amp;"'!$F$2:$F$501"),L48))</f>
        <v/>
      </c>
      <c r="F48" s="32" t="str">
        <f ca="1">IF(L48="","",INDEX(INDIRECT("'"&amp;'لوحة التحكم'!$K$6&amp;"'!$I$2:$I$501"),L48))</f>
        <v/>
      </c>
      <c r="G48" s="32" t="str">
        <f ca="1">IF(L48="","",INDEX(INDIRECT("'"&amp;'لوحة التحكم'!$K$6&amp;"'!$C$2:$C$501"),L48))</f>
        <v/>
      </c>
      <c r="H48" s="32" t="str">
        <f ca="1">IF(L48="","",INDEX(INDIRECT("'"&amp;'لوحة التحكم'!$K$6&amp;"'!$D$2:$D$501"),L48))</f>
        <v/>
      </c>
      <c r="I48" s="32" t="str">
        <f ca="1">IF(L48="","",INDEX(INDIRECT("'"&amp;'لوحة التحكم'!$K$6&amp;"'!$E$2:$E$501"),L48))</f>
        <v/>
      </c>
      <c r="J48" s="18" t="str">
        <f ca="1">IF(L48="","",INDEX(INDIRECT("'"&amp;'لوحة التحكم'!$K$6&amp;"'!$U$2:$U$501"),L48))</f>
        <v/>
      </c>
      <c r="L48" s="3" t="str">
        <f ca="1">IF('لوحة التحكم'!$K$12=1,IFERROR(MATCH(32,INDIRECT("'"&amp;'لوحة التحكم'!$K$6&amp;"'!$AF$2:$AF$501"),0),""),"")</f>
        <v/>
      </c>
    </row>
    <row r="49" spans="2:12">
      <c r="B49" s="24" t="str">
        <f ca="1">IF(L49="","",33)</f>
        <v/>
      </c>
      <c r="C49" s="18" t="str">
        <f ca="1">IF(L49="","",INDEX(INDIRECT("'"&amp;'لوحة التحكم'!$K$6&amp;"'!$A$2:$A$501"),L49))</f>
        <v/>
      </c>
      <c r="D49" s="31" t="str">
        <f ca="1">IF(L49="","",INDEX(INDIRECT("'"&amp;'لوحة التحكم'!$K$6&amp;"'!$B$2:$B$501"),L49))</f>
        <v/>
      </c>
      <c r="E49" s="24" t="str">
        <f ca="1">IF(L49="","",INDEX(INDIRECT("'"&amp;'لوحة التحكم'!$K$6&amp;"'!$F$2:$F$501"),L49))</f>
        <v/>
      </c>
      <c r="F49" s="32" t="str">
        <f ca="1">IF(L49="","",INDEX(INDIRECT("'"&amp;'لوحة التحكم'!$K$6&amp;"'!$I$2:$I$501"),L49))</f>
        <v/>
      </c>
      <c r="G49" s="32" t="str">
        <f ca="1">IF(L49="","",INDEX(INDIRECT("'"&amp;'لوحة التحكم'!$K$6&amp;"'!$C$2:$C$501"),L49))</f>
        <v/>
      </c>
      <c r="H49" s="32" t="str">
        <f ca="1">IF(L49="","",INDEX(INDIRECT("'"&amp;'لوحة التحكم'!$K$6&amp;"'!$D$2:$D$501"),L49))</f>
        <v/>
      </c>
      <c r="I49" s="32" t="str">
        <f ca="1">IF(L49="","",INDEX(INDIRECT("'"&amp;'لوحة التحكم'!$K$6&amp;"'!$E$2:$E$501"),L49))</f>
        <v/>
      </c>
      <c r="J49" s="18" t="str">
        <f ca="1">IF(L49="","",INDEX(INDIRECT("'"&amp;'لوحة التحكم'!$K$6&amp;"'!$U$2:$U$501"),L49))</f>
        <v/>
      </c>
      <c r="L49" s="3" t="str">
        <f ca="1">IF('لوحة التحكم'!$K$12=1,IFERROR(MATCH(33,INDIRECT("'"&amp;'لوحة التحكم'!$K$6&amp;"'!$AF$2:$AF$501"),0),""),"")</f>
        <v/>
      </c>
    </row>
    <row r="50" spans="2:12">
      <c r="B50" s="24" t="str">
        <f ca="1">IF(L50="","",34)</f>
        <v/>
      </c>
      <c r="C50" s="18" t="str">
        <f ca="1">IF(L50="","",INDEX(INDIRECT("'"&amp;'لوحة التحكم'!$K$6&amp;"'!$A$2:$A$501"),L50))</f>
        <v/>
      </c>
      <c r="D50" s="31" t="str">
        <f ca="1">IF(L50="","",INDEX(INDIRECT("'"&amp;'لوحة التحكم'!$K$6&amp;"'!$B$2:$B$501"),L50))</f>
        <v/>
      </c>
      <c r="E50" s="24" t="str">
        <f ca="1">IF(L50="","",INDEX(INDIRECT("'"&amp;'لوحة التحكم'!$K$6&amp;"'!$F$2:$F$501"),L50))</f>
        <v/>
      </c>
      <c r="F50" s="32" t="str">
        <f ca="1">IF(L50="","",INDEX(INDIRECT("'"&amp;'لوحة التحكم'!$K$6&amp;"'!$I$2:$I$501"),L50))</f>
        <v/>
      </c>
      <c r="G50" s="32" t="str">
        <f ca="1">IF(L50="","",INDEX(INDIRECT("'"&amp;'لوحة التحكم'!$K$6&amp;"'!$C$2:$C$501"),L50))</f>
        <v/>
      </c>
      <c r="H50" s="32" t="str">
        <f ca="1">IF(L50="","",INDEX(INDIRECT("'"&amp;'لوحة التحكم'!$K$6&amp;"'!$D$2:$D$501"),L50))</f>
        <v/>
      </c>
      <c r="I50" s="32" t="str">
        <f ca="1">IF(L50="","",INDEX(INDIRECT("'"&amp;'لوحة التحكم'!$K$6&amp;"'!$E$2:$E$501"),L50))</f>
        <v/>
      </c>
      <c r="J50" s="18" t="str">
        <f ca="1">IF(L50="","",INDEX(INDIRECT("'"&amp;'لوحة التحكم'!$K$6&amp;"'!$U$2:$U$501"),L50))</f>
        <v/>
      </c>
      <c r="L50" s="3" t="str">
        <f ca="1">IF('لوحة التحكم'!$K$12=1,IFERROR(MATCH(34,INDIRECT("'"&amp;'لوحة التحكم'!$K$6&amp;"'!$AF$2:$AF$501"),0),""),"")</f>
        <v/>
      </c>
    </row>
    <row r="51" spans="2:12">
      <c r="B51" s="24" t="str">
        <f ca="1">IF(L51="","",35)</f>
        <v/>
      </c>
      <c r="C51" s="18" t="str">
        <f ca="1">IF(L51="","",INDEX(INDIRECT("'"&amp;'لوحة التحكم'!$K$6&amp;"'!$A$2:$A$501"),L51))</f>
        <v/>
      </c>
      <c r="D51" s="31" t="str">
        <f ca="1">IF(L51="","",INDEX(INDIRECT("'"&amp;'لوحة التحكم'!$K$6&amp;"'!$B$2:$B$501"),L51))</f>
        <v/>
      </c>
      <c r="E51" s="24" t="str">
        <f ca="1">IF(L51="","",INDEX(INDIRECT("'"&amp;'لوحة التحكم'!$K$6&amp;"'!$F$2:$F$501"),L51))</f>
        <v/>
      </c>
      <c r="F51" s="32" t="str">
        <f ca="1">IF(L51="","",INDEX(INDIRECT("'"&amp;'لوحة التحكم'!$K$6&amp;"'!$I$2:$I$501"),L51))</f>
        <v/>
      </c>
      <c r="G51" s="32" t="str">
        <f ca="1">IF(L51="","",INDEX(INDIRECT("'"&amp;'لوحة التحكم'!$K$6&amp;"'!$C$2:$C$501"),L51))</f>
        <v/>
      </c>
      <c r="H51" s="32" t="str">
        <f ca="1">IF(L51="","",INDEX(INDIRECT("'"&amp;'لوحة التحكم'!$K$6&amp;"'!$D$2:$D$501"),L51))</f>
        <v/>
      </c>
      <c r="I51" s="32" t="str">
        <f ca="1">IF(L51="","",INDEX(INDIRECT("'"&amp;'لوحة التحكم'!$K$6&amp;"'!$E$2:$E$501"),L51))</f>
        <v/>
      </c>
      <c r="J51" s="18" t="str">
        <f ca="1">IF(L51="","",INDEX(INDIRECT("'"&amp;'لوحة التحكم'!$K$6&amp;"'!$U$2:$U$501"),L51))</f>
        <v/>
      </c>
      <c r="L51" s="3" t="str">
        <f ca="1">IF('لوحة التحكم'!$K$12=1,IFERROR(MATCH(35,INDIRECT("'"&amp;'لوحة التحكم'!$K$6&amp;"'!$AF$2:$AF$501"),0),""),"")</f>
        <v/>
      </c>
    </row>
    <row r="52" spans="2:12">
      <c r="B52" s="24" t="str">
        <f ca="1">IF(L52="","",36)</f>
        <v/>
      </c>
      <c r="C52" s="18" t="str">
        <f ca="1">IF(L52="","",INDEX(INDIRECT("'"&amp;'لوحة التحكم'!$K$6&amp;"'!$A$2:$A$501"),L52))</f>
        <v/>
      </c>
      <c r="D52" s="31" t="str">
        <f ca="1">IF(L52="","",INDEX(INDIRECT("'"&amp;'لوحة التحكم'!$K$6&amp;"'!$B$2:$B$501"),L52))</f>
        <v/>
      </c>
      <c r="E52" s="24" t="str">
        <f ca="1">IF(L52="","",INDEX(INDIRECT("'"&amp;'لوحة التحكم'!$K$6&amp;"'!$F$2:$F$501"),L52))</f>
        <v/>
      </c>
      <c r="F52" s="32" t="str">
        <f ca="1">IF(L52="","",INDEX(INDIRECT("'"&amp;'لوحة التحكم'!$K$6&amp;"'!$I$2:$I$501"),L52))</f>
        <v/>
      </c>
      <c r="G52" s="32" t="str">
        <f ca="1">IF(L52="","",INDEX(INDIRECT("'"&amp;'لوحة التحكم'!$K$6&amp;"'!$C$2:$C$501"),L52))</f>
        <v/>
      </c>
      <c r="H52" s="32" t="str">
        <f ca="1">IF(L52="","",INDEX(INDIRECT("'"&amp;'لوحة التحكم'!$K$6&amp;"'!$D$2:$D$501"),L52))</f>
        <v/>
      </c>
      <c r="I52" s="32" t="str">
        <f ca="1">IF(L52="","",INDEX(INDIRECT("'"&amp;'لوحة التحكم'!$K$6&amp;"'!$E$2:$E$501"),L52))</f>
        <v/>
      </c>
      <c r="J52" s="18" t="str">
        <f ca="1">IF(L52="","",INDEX(INDIRECT("'"&amp;'لوحة التحكم'!$K$6&amp;"'!$U$2:$U$501"),L52))</f>
        <v/>
      </c>
      <c r="L52" s="3" t="str">
        <f ca="1">IF('لوحة التحكم'!$K$12=1,IFERROR(MATCH(36,INDIRECT("'"&amp;'لوحة التحكم'!$K$6&amp;"'!$AF$2:$AF$501"),0),""),"")</f>
        <v/>
      </c>
    </row>
    <row r="53" spans="2:12">
      <c r="B53" s="24" t="str">
        <f ca="1">IF(L53="","",37)</f>
        <v/>
      </c>
      <c r="C53" s="18" t="str">
        <f ca="1">IF(L53="","",INDEX(INDIRECT("'"&amp;'لوحة التحكم'!$K$6&amp;"'!$A$2:$A$501"),L53))</f>
        <v/>
      </c>
      <c r="D53" s="31" t="str">
        <f ca="1">IF(L53="","",INDEX(INDIRECT("'"&amp;'لوحة التحكم'!$K$6&amp;"'!$B$2:$B$501"),L53))</f>
        <v/>
      </c>
      <c r="E53" s="24" t="str">
        <f ca="1">IF(L53="","",INDEX(INDIRECT("'"&amp;'لوحة التحكم'!$K$6&amp;"'!$F$2:$F$501"),L53))</f>
        <v/>
      </c>
      <c r="F53" s="32" t="str">
        <f ca="1">IF(L53="","",INDEX(INDIRECT("'"&amp;'لوحة التحكم'!$K$6&amp;"'!$I$2:$I$501"),L53))</f>
        <v/>
      </c>
      <c r="G53" s="32" t="str">
        <f ca="1">IF(L53="","",INDEX(INDIRECT("'"&amp;'لوحة التحكم'!$K$6&amp;"'!$C$2:$C$501"),L53))</f>
        <v/>
      </c>
      <c r="H53" s="32" t="str">
        <f ca="1">IF(L53="","",INDEX(INDIRECT("'"&amp;'لوحة التحكم'!$K$6&amp;"'!$D$2:$D$501"),L53))</f>
        <v/>
      </c>
      <c r="I53" s="32" t="str">
        <f ca="1">IF(L53="","",INDEX(INDIRECT("'"&amp;'لوحة التحكم'!$K$6&amp;"'!$E$2:$E$501"),L53))</f>
        <v/>
      </c>
      <c r="J53" s="18" t="str">
        <f ca="1">IF(L53="","",INDEX(INDIRECT("'"&amp;'لوحة التحكم'!$K$6&amp;"'!$U$2:$U$501"),L53))</f>
        <v/>
      </c>
      <c r="L53" s="3" t="str">
        <f ca="1">IF('لوحة التحكم'!$K$12=1,IFERROR(MATCH(37,INDIRECT("'"&amp;'لوحة التحكم'!$K$6&amp;"'!$AF$2:$AF$501"),0),""),"")</f>
        <v/>
      </c>
    </row>
    <row r="54" spans="2:12">
      <c r="B54" s="24" t="str">
        <f ca="1">IF(L54="","",38)</f>
        <v/>
      </c>
      <c r="C54" s="18" t="str">
        <f ca="1">IF(L54="","",INDEX(INDIRECT("'"&amp;'لوحة التحكم'!$K$6&amp;"'!$A$2:$A$501"),L54))</f>
        <v/>
      </c>
      <c r="D54" s="31" t="str">
        <f ca="1">IF(L54="","",INDEX(INDIRECT("'"&amp;'لوحة التحكم'!$K$6&amp;"'!$B$2:$B$501"),L54))</f>
        <v/>
      </c>
      <c r="E54" s="24" t="str">
        <f ca="1">IF(L54="","",INDEX(INDIRECT("'"&amp;'لوحة التحكم'!$K$6&amp;"'!$F$2:$F$501"),L54))</f>
        <v/>
      </c>
      <c r="F54" s="32" t="str">
        <f ca="1">IF(L54="","",INDEX(INDIRECT("'"&amp;'لوحة التحكم'!$K$6&amp;"'!$I$2:$I$501"),L54))</f>
        <v/>
      </c>
      <c r="G54" s="32" t="str">
        <f ca="1">IF(L54="","",INDEX(INDIRECT("'"&amp;'لوحة التحكم'!$K$6&amp;"'!$C$2:$C$501"),L54))</f>
        <v/>
      </c>
      <c r="H54" s="32" t="str">
        <f ca="1">IF(L54="","",INDEX(INDIRECT("'"&amp;'لوحة التحكم'!$K$6&amp;"'!$D$2:$D$501"),L54))</f>
        <v/>
      </c>
      <c r="I54" s="32" t="str">
        <f ca="1">IF(L54="","",INDEX(INDIRECT("'"&amp;'لوحة التحكم'!$K$6&amp;"'!$E$2:$E$501"),L54))</f>
        <v/>
      </c>
      <c r="J54" s="18" t="str">
        <f ca="1">IF(L54="","",INDEX(INDIRECT("'"&amp;'لوحة التحكم'!$K$6&amp;"'!$U$2:$U$501"),L54))</f>
        <v/>
      </c>
      <c r="L54" s="3" t="str">
        <f ca="1">IF('لوحة التحكم'!$K$12=1,IFERROR(MATCH(38,INDIRECT("'"&amp;'لوحة التحكم'!$K$6&amp;"'!$AF$2:$AF$501"),0),""),"")</f>
        <v/>
      </c>
    </row>
    <row r="55" spans="2:12">
      <c r="B55" s="24" t="str">
        <f ca="1">IF(L55="","",39)</f>
        <v/>
      </c>
      <c r="C55" s="18" t="str">
        <f ca="1">IF(L55="","",INDEX(INDIRECT("'"&amp;'لوحة التحكم'!$K$6&amp;"'!$A$2:$A$501"),L55))</f>
        <v/>
      </c>
      <c r="D55" s="31" t="str">
        <f ca="1">IF(L55="","",INDEX(INDIRECT("'"&amp;'لوحة التحكم'!$K$6&amp;"'!$B$2:$B$501"),L55))</f>
        <v/>
      </c>
      <c r="E55" s="24" t="str">
        <f ca="1">IF(L55="","",INDEX(INDIRECT("'"&amp;'لوحة التحكم'!$K$6&amp;"'!$F$2:$F$501"),L55))</f>
        <v/>
      </c>
      <c r="F55" s="32" t="str">
        <f ca="1">IF(L55="","",INDEX(INDIRECT("'"&amp;'لوحة التحكم'!$K$6&amp;"'!$I$2:$I$501"),L55))</f>
        <v/>
      </c>
      <c r="G55" s="32" t="str">
        <f ca="1">IF(L55="","",INDEX(INDIRECT("'"&amp;'لوحة التحكم'!$K$6&amp;"'!$C$2:$C$501"),L55))</f>
        <v/>
      </c>
      <c r="H55" s="32" t="str">
        <f ca="1">IF(L55="","",INDEX(INDIRECT("'"&amp;'لوحة التحكم'!$K$6&amp;"'!$D$2:$D$501"),L55))</f>
        <v/>
      </c>
      <c r="I55" s="32" t="str">
        <f ca="1">IF(L55="","",INDEX(INDIRECT("'"&amp;'لوحة التحكم'!$K$6&amp;"'!$E$2:$E$501"),L55))</f>
        <v/>
      </c>
      <c r="J55" s="18" t="str">
        <f ca="1">IF(L55="","",INDEX(INDIRECT("'"&amp;'لوحة التحكم'!$K$6&amp;"'!$U$2:$U$501"),L55))</f>
        <v/>
      </c>
      <c r="L55" s="3" t="str">
        <f ca="1">IF('لوحة التحكم'!$K$12=1,IFERROR(MATCH(39,INDIRECT("'"&amp;'لوحة التحكم'!$K$6&amp;"'!$AF$2:$AF$501"),0),""),"")</f>
        <v/>
      </c>
    </row>
    <row r="56" spans="2:12">
      <c r="B56" s="24" t="str">
        <f ca="1">IF(L56="","",40)</f>
        <v/>
      </c>
      <c r="C56" s="18" t="str">
        <f ca="1">IF(L56="","",INDEX(INDIRECT("'"&amp;'لوحة التحكم'!$K$6&amp;"'!$A$2:$A$501"),L56))</f>
        <v/>
      </c>
      <c r="D56" s="31" t="str">
        <f ca="1">IF(L56="","",INDEX(INDIRECT("'"&amp;'لوحة التحكم'!$K$6&amp;"'!$B$2:$B$501"),L56))</f>
        <v/>
      </c>
      <c r="E56" s="24" t="str">
        <f ca="1">IF(L56="","",INDEX(INDIRECT("'"&amp;'لوحة التحكم'!$K$6&amp;"'!$F$2:$F$501"),L56))</f>
        <v/>
      </c>
      <c r="F56" s="32" t="str">
        <f ca="1">IF(L56="","",INDEX(INDIRECT("'"&amp;'لوحة التحكم'!$K$6&amp;"'!$I$2:$I$501"),L56))</f>
        <v/>
      </c>
      <c r="G56" s="32" t="str">
        <f ca="1">IF(L56="","",INDEX(INDIRECT("'"&amp;'لوحة التحكم'!$K$6&amp;"'!$C$2:$C$501"),L56))</f>
        <v/>
      </c>
      <c r="H56" s="32" t="str">
        <f ca="1">IF(L56="","",INDEX(INDIRECT("'"&amp;'لوحة التحكم'!$K$6&amp;"'!$D$2:$D$501"),L56))</f>
        <v/>
      </c>
      <c r="I56" s="32" t="str">
        <f ca="1">IF(L56="","",INDEX(INDIRECT("'"&amp;'لوحة التحكم'!$K$6&amp;"'!$E$2:$E$501"),L56))</f>
        <v/>
      </c>
      <c r="J56" s="18" t="str">
        <f ca="1">IF(L56="","",INDEX(INDIRECT("'"&amp;'لوحة التحكم'!$K$6&amp;"'!$U$2:$U$501"),L56))</f>
        <v/>
      </c>
      <c r="L56" s="3" t="str">
        <f ca="1">IF('لوحة التحكم'!$K$12=1,IFERROR(MATCH(40,INDIRECT("'"&amp;'لوحة التحكم'!$K$6&amp;"'!$AF$2:$AF$501"),0),""),"")</f>
        <v/>
      </c>
    </row>
    <row r="57" spans="2:12">
      <c r="B57" s="24" t="str">
        <f ca="1">IF(L57="","",41)</f>
        <v/>
      </c>
      <c r="C57" s="18" t="str">
        <f ca="1">IF(L57="","",INDEX(INDIRECT("'"&amp;'لوحة التحكم'!$K$6&amp;"'!$A$2:$A$501"),L57))</f>
        <v/>
      </c>
      <c r="D57" s="31" t="str">
        <f ca="1">IF(L57="","",INDEX(INDIRECT("'"&amp;'لوحة التحكم'!$K$6&amp;"'!$B$2:$B$501"),L57))</f>
        <v/>
      </c>
      <c r="E57" s="24" t="str">
        <f ca="1">IF(L57="","",INDEX(INDIRECT("'"&amp;'لوحة التحكم'!$K$6&amp;"'!$F$2:$F$501"),L57))</f>
        <v/>
      </c>
      <c r="F57" s="32" t="str">
        <f ca="1">IF(L57="","",INDEX(INDIRECT("'"&amp;'لوحة التحكم'!$K$6&amp;"'!$I$2:$I$501"),L57))</f>
        <v/>
      </c>
      <c r="G57" s="32" t="str">
        <f ca="1">IF(L57="","",INDEX(INDIRECT("'"&amp;'لوحة التحكم'!$K$6&amp;"'!$C$2:$C$501"),L57))</f>
        <v/>
      </c>
      <c r="H57" s="32" t="str">
        <f ca="1">IF(L57="","",INDEX(INDIRECT("'"&amp;'لوحة التحكم'!$K$6&amp;"'!$D$2:$D$501"),L57))</f>
        <v/>
      </c>
      <c r="I57" s="32" t="str">
        <f ca="1">IF(L57="","",INDEX(INDIRECT("'"&amp;'لوحة التحكم'!$K$6&amp;"'!$E$2:$E$501"),L57))</f>
        <v/>
      </c>
      <c r="J57" s="18" t="str">
        <f ca="1">IF(L57="","",INDEX(INDIRECT("'"&amp;'لوحة التحكم'!$K$6&amp;"'!$U$2:$U$501"),L57))</f>
        <v/>
      </c>
      <c r="L57" s="3" t="str">
        <f ca="1">IF('لوحة التحكم'!$K$12=1,IFERROR(MATCH(41,INDIRECT("'"&amp;'لوحة التحكم'!$K$6&amp;"'!$AF$2:$AF$501"),0),""),"")</f>
        <v/>
      </c>
    </row>
    <row r="58" spans="2:12">
      <c r="B58" s="24" t="str">
        <f ca="1">IF(L58="","",42)</f>
        <v/>
      </c>
      <c r="C58" s="18" t="str">
        <f ca="1">IF(L58="","",INDEX(INDIRECT("'"&amp;'لوحة التحكم'!$K$6&amp;"'!$A$2:$A$501"),L58))</f>
        <v/>
      </c>
      <c r="D58" s="31" t="str">
        <f ca="1">IF(L58="","",INDEX(INDIRECT("'"&amp;'لوحة التحكم'!$K$6&amp;"'!$B$2:$B$501"),L58))</f>
        <v/>
      </c>
      <c r="E58" s="24" t="str">
        <f ca="1">IF(L58="","",INDEX(INDIRECT("'"&amp;'لوحة التحكم'!$K$6&amp;"'!$F$2:$F$501"),L58))</f>
        <v/>
      </c>
      <c r="F58" s="32" t="str">
        <f ca="1">IF(L58="","",INDEX(INDIRECT("'"&amp;'لوحة التحكم'!$K$6&amp;"'!$I$2:$I$501"),L58))</f>
        <v/>
      </c>
      <c r="G58" s="32" t="str">
        <f ca="1">IF(L58="","",INDEX(INDIRECT("'"&amp;'لوحة التحكم'!$K$6&amp;"'!$C$2:$C$501"),L58))</f>
        <v/>
      </c>
      <c r="H58" s="32" t="str">
        <f ca="1">IF(L58="","",INDEX(INDIRECT("'"&amp;'لوحة التحكم'!$K$6&amp;"'!$D$2:$D$501"),L58))</f>
        <v/>
      </c>
      <c r="I58" s="32" t="str">
        <f ca="1">IF(L58="","",INDEX(INDIRECT("'"&amp;'لوحة التحكم'!$K$6&amp;"'!$E$2:$E$501"),L58))</f>
        <v/>
      </c>
      <c r="J58" s="18" t="str">
        <f ca="1">IF(L58="","",INDEX(INDIRECT("'"&amp;'لوحة التحكم'!$K$6&amp;"'!$U$2:$U$501"),L58))</f>
        <v/>
      </c>
      <c r="L58" s="3" t="str">
        <f ca="1">IF('لوحة التحكم'!$K$12=1,IFERROR(MATCH(42,INDIRECT("'"&amp;'لوحة التحكم'!$K$6&amp;"'!$AF$2:$AF$501"),0),""),"")</f>
        <v/>
      </c>
    </row>
    <row r="59" spans="2:12">
      <c r="B59" s="24" t="str">
        <f ca="1">IF(L59="","",43)</f>
        <v/>
      </c>
      <c r="C59" s="18" t="str">
        <f ca="1">IF(L59="","",INDEX(INDIRECT("'"&amp;'لوحة التحكم'!$K$6&amp;"'!$A$2:$A$501"),L59))</f>
        <v/>
      </c>
      <c r="D59" s="31" t="str">
        <f ca="1">IF(L59="","",INDEX(INDIRECT("'"&amp;'لوحة التحكم'!$K$6&amp;"'!$B$2:$B$501"),L59))</f>
        <v/>
      </c>
      <c r="E59" s="24" t="str">
        <f ca="1">IF(L59="","",INDEX(INDIRECT("'"&amp;'لوحة التحكم'!$K$6&amp;"'!$F$2:$F$501"),L59))</f>
        <v/>
      </c>
      <c r="F59" s="32" t="str">
        <f ca="1">IF(L59="","",INDEX(INDIRECT("'"&amp;'لوحة التحكم'!$K$6&amp;"'!$I$2:$I$501"),L59))</f>
        <v/>
      </c>
      <c r="G59" s="32" t="str">
        <f ca="1">IF(L59="","",INDEX(INDIRECT("'"&amp;'لوحة التحكم'!$K$6&amp;"'!$C$2:$C$501"),L59))</f>
        <v/>
      </c>
      <c r="H59" s="32" t="str">
        <f ca="1">IF(L59="","",INDEX(INDIRECT("'"&amp;'لوحة التحكم'!$K$6&amp;"'!$D$2:$D$501"),L59))</f>
        <v/>
      </c>
      <c r="I59" s="32" t="str">
        <f ca="1">IF(L59="","",INDEX(INDIRECT("'"&amp;'لوحة التحكم'!$K$6&amp;"'!$E$2:$E$501"),L59))</f>
        <v/>
      </c>
      <c r="J59" s="18" t="str">
        <f ca="1">IF(L59="","",INDEX(INDIRECT("'"&amp;'لوحة التحكم'!$K$6&amp;"'!$U$2:$U$501"),L59))</f>
        <v/>
      </c>
      <c r="L59" s="3" t="str">
        <f ca="1">IF('لوحة التحكم'!$K$12=1,IFERROR(MATCH(43,INDIRECT("'"&amp;'لوحة التحكم'!$K$6&amp;"'!$AF$2:$AF$501"),0),""),"")</f>
        <v/>
      </c>
    </row>
    <row r="60" spans="2:12">
      <c r="B60" s="24" t="str">
        <f ca="1">IF(L60="","",44)</f>
        <v/>
      </c>
      <c r="C60" s="18" t="str">
        <f ca="1">IF(L60="","",INDEX(INDIRECT("'"&amp;'لوحة التحكم'!$K$6&amp;"'!$A$2:$A$501"),L60))</f>
        <v/>
      </c>
      <c r="D60" s="31" t="str">
        <f ca="1">IF(L60="","",INDEX(INDIRECT("'"&amp;'لوحة التحكم'!$K$6&amp;"'!$B$2:$B$501"),L60))</f>
        <v/>
      </c>
      <c r="E60" s="24" t="str">
        <f ca="1">IF(L60="","",INDEX(INDIRECT("'"&amp;'لوحة التحكم'!$K$6&amp;"'!$F$2:$F$501"),L60))</f>
        <v/>
      </c>
      <c r="F60" s="32" t="str">
        <f ca="1">IF(L60="","",INDEX(INDIRECT("'"&amp;'لوحة التحكم'!$K$6&amp;"'!$I$2:$I$501"),L60))</f>
        <v/>
      </c>
      <c r="G60" s="32" t="str">
        <f ca="1">IF(L60="","",INDEX(INDIRECT("'"&amp;'لوحة التحكم'!$K$6&amp;"'!$C$2:$C$501"),L60))</f>
        <v/>
      </c>
      <c r="H60" s="32" t="str">
        <f ca="1">IF(L60="","",INDEX(INDIRECT("'"&amp;'لوحة التحكم'!$K$6&amp;"'!$D$2:$D$501"),L60))</f>
        <v/>
      </c>
      <c r="I60" s="32" t="str">
        <f ca="1">IF(L60="","",INDEX(INDIRECT("'"&amp;'لوحة التحكم'!$K$6&amp;"'!$E$2:$E$501"),L60))</f>
        <v/>
      </c>
      <c r="J60" s="18" t="str">
        <f ca="1">IF(L60="","",INDEX(INDIRECT("'"&amp;'لوحة التحكم'!$K$6&amp;"'!$U$2:$U$501"),L60))</f>
        <v/>
      </c>
      <c r="L60" s="3" t="str">
        <f ca="1">IF('لوحة التحكم'!$K$12=1,IFERROR(MATCH(44,INDIRECT("'"&amp;'لوحة التحكم'!$K$6&amp;"'!$AF$2:$AF$501"),0),""),"")</f>
        <v/>
      </c>
    </row>
    <row r="61" spans="2:12">
      <c r="B61" s="24" t="str">
        <f ca="1">IF(L61="","",45)</f>
        <v/>
      </c>
      <c r="C61" s="18" t="str">
        <f ca="1">IF(L61="","",INDEX(INDIRECT("'"&amp;'لوحة التحكم'!$K$6&amp;"'!$A$2:$A$501"),L61))</f>
        <v/>
      </c>
      <c r="D61" s="31" t="str">
        <f ca="1">IF(L61="","",INDEX(INDIRECT("'"&amp;'لوحة التحكم'!$K$6&amp;"'!$B$2:$B$501"),L61))</f>
        <v/>
      </c>
      <c r="E61" s="24" t="str">
        <f ca="1">IF(L61="","",INDEX(INDIRECT("'"&amp;'لوحة التحكم'!$K$6&amp;"'!$F$2:$F$501"),L61))</f>
        <v/>
      </c>
      <c r="F61" s="32" t="str">
        <f ca="1">IF(L61="","",INDEX(INDIRECT("'"&amp;'لوحة التحكم'!$K$6&amp;"'!$I$2:$I$501"),L61))</f>
        <v/>
      </c>
      <c r="G61" s="32" t="str">
        <f ca="1">IF(L61="","",INDEX(INDIRECT("'"&amp;'لوحة التحكم'!$K$6&amp;"'!$C$2:$C$501"),L61))</f>
        <v/>
      </c>
      <c r="H61" s="32" t="str">
        <f ca="1">IF(L61="","",INDEX(INDIRECT("'"&amp;'لوحة التحكم'!$K$6&amp;"'!$D$2:$D$501"),L61))</f>
        <v/>
      </c>
      <c r="I61" s="32" t="str">
        <f ca="1">IF(L61="","",INDEX(INDIRECT("'"&amp;'لوحة التحكم'!$K$6&amp;"'!$E$2:$E$501"),L61))</f>
        <v/>
      </c>
      <c r="J61" s="18" t="str">
        <f ca="1">IF(L61="","",INDEX(INDIRECT("'"&amp;'لوحة التحكم'!$K$6&amp;"'!$U$2:$U$501"),L61))</f>
        <v/>
      </c>
      <c r="L61" s="3" t="str">
        <f ca="1">IF('لوحة التحكم'!$K$12=1,IFERROR(MATCH(45,INDIRECT("'"&amp;'لوحة التحكم'!$K$6&amp;"'!$AF$2:$AF$501"),0),""),"")</f>
        <v/>
      </c>
    </row>
    <row r="62" spans="2:12">
      <c r="B62" s="24" t="str">
        <f ca="1">IF(L62="","",46)</f>
        <v/>
      </c>
      <c r="C62" s="18" t="str">
        <f ca="1">IF(L62="","",INDEX(INDIRECT("'"&amp;'لوحة التحكم'!$K$6&amp;"'!$A$2:$A$501"),L62))</f>
        <v/>
      </c>
      <c r="D62" s="31" t="str">
        <f ca="1">IF(L62="","",INDEX(INDIRECT("'"&amp;'لوحة التحكم'!$K$6&amp;"'!$B$2:$B$501"),L62))</f>
        <v/>
      </c>
      <c r="E62" s="24" t="str">
        <f ca="1">IF(L62="","",INDEX(INDIRECT("'"&amp;'لوحة التحكم'!$K$6&amp;"'!$F$2:$F$501"),L62))</f>
        <v/>
      </c>
      <c r="F62" s="32" t="str">
        <f ca="1">IF(L62="","",INDEX(INDIRECT("'"&amp;'لوحة التحكم'!$K$6&amp;"'!$I$2:$I$501"),L62))</f>
        <v/>
      </c>
      <c r="G62" s="32" t="str">
        <f ca="1">IF(L62="","",INDEX(INDIRECT("'"&amp;'لوحة التحكم'!$K$6&amp;"'!$C$2:$C$501"),L62))</f>
        <v/>
      </c>
      <c r="H62" s="32" t="str">
        <f ca="1">IF(L62="","",INDEX(INDIRECT("'"&amp;'لوحة التحكم'!$K$6&amp;"'!$D$2:$D$501"),L62))</f>
        <v/>
      </c>
      <c r="I62" s="32" t="str">
        <f ca="1">IF(L62="","",INDEX(INDIRECT("'"&amp;'لوحة التحكم'!$K$6&amp;"'!$E$2:$E$501"),L62))</f>
        <v/>
      </c>
      <c r="J62" s="18" t="str">
        <f ca="1">IF(L62="","",INDEX(INDIRECT("'"&amp;'لوحة التحكم'!$K$6&amp;"'!$U$2:$U$501"),L62))</f>
        <v/>
      </c>
      <c r="L62" s="3" t="str">
        <f ca="1">IF('لوحة التحكم'!$K$12=1,IFERROR(MATCH(46,INDIRECT("'"&amp;'لوحة التحكم'!$K$6&amp;"'!$AF$2:$AF$501"),0),""),"")</f>
        <v/>
      </c>
    </row>
    <row r="63" spans="2:12">
      <c r="B63" s="24" t="str">
        <f ca="1">IF(L63="","",47)</f>
        <v/>
      </c>
      <c r="C63" s="18" t="str">
        <f ca="1">IF(L63="","",INDEX(INDIRECT("'"&amp;'لوحة التحكم'!$K$6&amp;"'!$A$2:$A$501"),L63))</f>
        <v/>
      </c>
      <c r="D63" s="31" t="str">
        <f ca="1">IF(L63="","",INDEX(INDIRECT("'"&amp;'لوحة التحكم'!$K$6&amp;"'!$B$2:$B$501"),L63))</f>
        <v/>
      </c>
      <c r="E63" s="24" t="str">
        <f ca="1">IF(L63="","",INDEX(INDIRECT("'"&amp;'لوحة التحكم'!$K$6&amp;"'!$F$2:$F$501"),L63))</f>
        <v/>
      </c>
      <c r="F63" s="32" t="str">
        <f ca="1">IF(L63="","",INDEX(INDIRECT("'"&amp;'لوحة التحكم'!$K$6&amp;"'!$I$2:$I$501"),L63))</f>
        <v/>
      </c>
      <c r="G63" s="32" t="str">
        <f ca="1">IF(L63="","",INDEX(INDIRECT("'"&amp;'لوحة التحكم'!$K$6&amp;"'!$C$2:$C$501"),L63))</f>
        <v/>
      </c>
      <c r="H63" s="32" t="str">
        <f ca="1">IF(L63="","",INDEX(INDIRECT("'"&amp;'لوحة التحكم'!$K$6&amp;"'!$D$2:$D$501"),L63))</f>
        <v/>
      </c>
      <c r="I63" s="32" t="str">
        <f ca="1">IF(L63="","",INDEX(INDIRECT("'"&amp;'لوحة التحكم'!$K$6&amp;"'!$E$2:$E$501"),L63))</f>
        <v/>
      </c>
      <c r="J63" s="18" t="str">
        <f ca="1">IF(L63="","",INDEX(INDIRECT("'"&amp;'لوحة التحكم'!$K$6&amp;"'!$U$2:$U$501"),L63))</f>
        <v/>
      </c>
      <c r="L63" s="3" t="str">
        <f ca="1">IF('لوحة التحكم'!$K$12=1,IFERROR(MATCH(47,INDIRECT("'"&amp;'لوحة التحكم'!$K$6&amp;"'!$AF$2:$AF$501"),0),""),"")</f>
        <v/>
      </c>
    </row>
    <row r="64" spans="2:12">
      <c r="B64" s="24" t="str">
        <f ca="1">IF(L64="","",48)</f>
        <v/>
      </c>
      <c r="C64" s="18" t="str">
        <f ca="1">IF(L64="","",INDEX(INDIRECT("'"&amp;'لوحة التحكم'!$K$6&amp;"'!$A$2:$A$501"),L64))</f>
        <v/>
      </c>
      <c r="D64" s="31" t="str">
        <f ca="1">IF(L64="","",INDEX(INDIRECT("'"&amp;'لوحة التحكم'!$K$6&amp;"'!$B$2:$B$501"),L64))</f>
        <v/>
      </c>
      <c r="E64" s="24" t="str">
        <f ca="1">IF(L64="","",INDEX(INDIRECT("'"&amp;'لوحة التحكم'!$K$6&amp;"'!$F$2:$F$501"),L64))</f>
        <v/>
      </c>
      <c r="F64" s="32" t="str">
        <f ca="1">IF(L64="","",INDEX(INDIRECT("'"&amp;'لوحة التحكم'!$K$6&amp;"'!$I$2:$I$501"),L64))</f>
        <v/>
      </c>
      <c r="G64" s="32" t="str">
        <f ca="1">IF(L64="","",INDEX(INDIRECT("'"&amp;'لوحة التحكم'!$K$6&amp;"'!$C$2:$C$501"),L64))</f>
        <v/>
      </c>
      <c r="H64" s="32" t="str">
        <f ca="1">IF(L64="","",INDEX(INDIRECT("'"&amp;'لوحة التحكم'!$K$6&amp;"'!$D$2:$D$501"),L64))</f>
        <v/>
      </c>
      <c r="I64" s="32" t="str">
        <f ca="1">IF(L64="","",INDEX(INDIRECT("'"&amp;'لوحة التحكم'!$K$6&amp;"'!$E$2:$E$501"),L64))</f>
        <v/>
      </c>
      <c r="J64" s="18" t="str">
        <f ca="1">IF(L64="","",INDEX(INDIRECT("'"&amp;'لوحة التحكم'!$K$6&amp;"'!$U$2:$U$501"),L64))</f>
        <v/>
      </c>
      <c r="L64" s="3" t="str">
        <f ca="1">IF('لوحة التحكم'!$K$12=1,IFERROR(MATCH(48,INDIRECT("'"&amp;'لوحة التحكم'!$K$6&amp;"'!$AF$2:$AF$501"),0),""),"")</f>
        <v/>
      </c>
    </row>
    <row r="65" spans="2:12">
      <c r="B65" s="24" t="str">
        <f ca="1">IF(L65="","",49)</f>
        <v/>
      </c>
      <c r="C65" s="18" t="str">
        <f ca="1">IF(L65="","",INDEX(INDIRECT("'"&amp;'لوحة التحكم'!$K$6&amp;"'!$A$2:$A$501"),L65))</f>
        <v/>
      </c>
      <c r="D65" s="31" t="str">
        <f ca="1">IF(L65="","",INDEX(INDIRECT("'"&amp;'لوحة التحكم'!$K$6&amp;"'!$B$2:$B$501"),L65))</f>
        <v/>
      </c>
      <c r="E65" s="24" t="str">
        <f ca="1">IF(L65="","",INDEX(INDIRECT("'"&amp;'لوحة التحكم'!$K$6&amp;"'!$F$2:$F$501"),L65))</f>
        <v/>
      </c>
      <c r="F65" s="32" t="str">
        <f ca="1">IF(L65="","",INDEX(INDIRECT("'"&amp;'لوحة التحكم'!$K$6&amp;"'!$I$2:$I$501"),L65))</f>
        <v/>
      </c>
      <c r="G65" s="32" t="str">
        <f ca="1">IF(L65="","",INDEX(INDIRECT("'"&amp;'لوحة التحكم'!$K$6&amp;"'!$C$2:$C$501"),L65))</f>
        <v/>
      </c>
      <c r="H65" s="32" t="str">
        <f ca="1">IF(L65="","",INDEX(INDIRECT("'"&amp;'لوحة التحكم'!$K$6&amp;"'!$D$2:$D$501"),L65))</f>
        <v/>
      </c>
      <c r="I65" s="32" t="str">
        <f ca="1">IF(L65="","",INDEX(INDIRECT("'"&amp;'لوحة التحكم'!$K$6&amp;"'!$E$2:$E$501"),L65))</f>
        <v/>
      </c>
      <c r="J65" s="18" t="str">
        <f ca="1">IF(L65="","",INDEX(INDIRECT("'"&amp;'لوحة التحكم'!$K$6&amp;"'!$U$2:$U$501"),L65))</f>
        <v/>
      </c>
      <c r="L65" s="3" t="str">
        <f ca="1">IF('لوحة التحكم'!$K$12=1,IFERROR(MATCH(49,INDIRECT("'"&amp;'لوحة التحكم'!$K$6&amp;"'!$AF$2:$AF$501"),0),""),"")</f>
        <v/>
      </c>
    </row>
    <row r="66" spans="2:12">
      <c r="B66" s="24" t="str">
        <f ca="1">IF(L66="","",50)</f>
        <v/>
      </c>
      <c r="C66" s="18" t="str">
        <f ca="1">IF(L66="","",INDEX(INDIRECT("'"&amp;'لوحة التحكم'!$K$6&amp;"'!$A$2:$A$501"),L66))</f>
        <v/>
      </c>
      <c r="D66" s="31" t="str">
        <f ca="1">IF(L66="","",INDEX(INDIRECT("'"&amp;'لوحة التحكم'!$K$6&amp;"'!$B$2:$B$501"),L66))</f>
        <v/>
      </c>
      <c r="E66" s="24" t="str">
        <f ca="1">IF(L66="","",INDEX(INDIRECT("'"&amp;'لوحة التحكم'!$K$6&amp;"'!$F$2:$F$501"),L66))</f>
        <v/>
      </c>
      <c r="F66" s="32" t="str">
        <f ca="1">IF(L66="","",INDEX(INDIRECT("'"&amp;'لوحة التحكم'!$K$6&amp;"'!$I$2:$I$501"),L66))</f>
        <v/>
      </c>
      <c r="G66" s="32" t="str">
        <f ca="1">IF(L66="","",INDEX(INDIRECT("'"&amp;'لوحة التحكم'!$K$6&amp;"'!$C$2:$C$501"),L66))</f>
        <v/>
      </c>
      <c r="H66" s="32" t="str">
        <f ca="1">IF(L66="","",INDEX(INDIRECT("'"&amp;'لوحة التحكم'!$K$6&amp;"'!$D$2:$D$501"),L66))</f>
        <v/>
      </c>
      <c r="I66" s="32" t="str">
        <f ca="1">IF(L66="","",INDEX(INDIRECT("'"&amp;'لوحة التحكم'!$K$6&amp;"'!$E$2:$E$501"),L66))</f>
        <v/>
      </c>
      <c r="J66" s="18" t="str">
        <f ca="1">IF(L66="","",INDEX(INDIRECT("'"&amp;'لوحة التحكم'!$K$6&amp;"'!$U$2:$U$501"),L66))</f>
        <v/>
      </c>
      <c r="L66" s="3" t="str">
        <f ca="1">IF('لوحة التحكم'!$K$12=1,IFERROR(MATCH(50,INDIRECT("'"&amp;'لوحة التحكم'!$K$6&amp;"'!$AF$2:$AF$501"),0),""),"")</f>
        <v/>
      </c>
    </row>
    <row r="67" spans="2:12">
      <c r="B67" s="24" t="str">
        <f ca="1">IF(L67="","",51)</f>
        <v/>
      </c>
      <c r="C67" s="18" t="str">
        <f ca="1">IF(L67="","",INDEX(INDIRECT("'"&amp;'لوحة التحكم'!$K$6&amp;"'!$A$2:$A$501"),L67))</f>
        <v/>
      </c>
      <c r="D67" s="31" t="str">
        <f ca="1">IF(L67="","",INDEX(INDIRECT("'"&amp;'لوحة التحكم'!$K$6&amp;"'!$B$2:$B$501"),L67))</f>
        <v/>
      </c>
      <c r="E67" s="24" t="str">
        <f ca="1">IF(L67="","",INDEX(INDIRECT("'"&amp;'لوحة التحكم'!$K$6&amp;"'!$F$2:$F$501"),L67))</f>
        <v/>
      </c>
      <c r="F67" s="32" t="str">
        <f ca="1">IF(L67="","",INDEX(INDIRECT("'"&amp;'لوحة التحكم'!$K$6&amp;"'!$I$2:$I$501"),L67))</f>
        <v/>
      </c>
      <c r="G67" s="32" t="str">
        <f ca="1">IF(L67="","",INDEX(INDIRECT("'"&amp;'لوحة التحكم'!$K$6&amp;"'!$C$2:$C$501"),L67))</f>
        <v/>
      </c>
      <c r="H67" s="32" t="str">
        <f ca="1">IF(L67="","",INDEX(INDIRECT("'"&amp;'لوحة التحكم'!$K$6&amp;"'!$D$2:$D$501"),L67))</f>
        <v/>
      </c>
      <c r="I67" s="32" t="str">
        <f ca="1">IF(L67="","",INDEX(INDIRECT("'"&amp;'لوحة التحكم'!$K$6&amp;"'!$E$2:$E$501"),L67))</f>
        <v/>
      </c>
      <c r="J67" s="18" t="str">
        <f ca="1">IF(L67="","",INDEX(INDIRECT("'"&amp;'لوحة التحكم'!$K$6&amp;"'!$U$2:$U$501"),L67))</f>
        <v/>
      </c>
      <c r="L67" s="3" t="str">
        <f ca="1">IF('لوحة التحكم'!$K$12=1,IFERROR(MATCH(51,INDIRECT("'"&amp;'لوحة التحكم'!$K$6&amp;"'!$AF$2:$AF$501"),0),""),"")</f>
        <v/>
      </c>
    </row>
    <row r="68" spans="2:12">
      <c r="B68" s="24" t="str">
        <f ca="1">IF(L68="","",52)</f>
        <v/>
      </c>
      <c r="C68" s="18" t="str">
        <f ca="1">IF(L68="","",INDEX(INDIRECT("'"&amp;'لوحة التحكم'!$K$6&amp;"'!$A$2:$A$501"),L68))</f>
        <v/>
      </c>
      <c r="D68" s="31" t="str">
        <f ca="1">IF(L68="","",INDEX(INDIRECT("'"&amp;'لوحة التحكم'!$K$6&amp;"'!$B$2:$B$501"),L68))</f>
        <v/>
      </c>
      <c r="E68" s="24" t="str">
        <f ca="1">IF(L68="","",INDEX(INDIRECT("'"&amp;'لوحة التحكم'!$K$6&amp;"'!$F$2:$F$501"),L68))</f>
        <v/>
      </c>
      <c r="F68" s="32" t="str">
        <f ca="1">IF(L68="","",INDEX(INDIRECT("'"&amp;'لوحة التحكم'!$K$6&amp;"'!$I$2:$I$501"),L68))</f>
        <v/>
      </c>
      <c r="G68" s="32" t="str">
        <f ca="1">IF(L68="","",INDEX(INDIRECT("'"&amp;'لوحة التحكم'!$K$6&amp;"'!$C$2:$C$501"),L68))</f>
        <v/>
      </c>
      <c r="H68" s="32" t="str">
        <f ca="1">IF(L68="","",INDEX(INDIRECT("'"&amp;'لوحة التحكم'!$K$6&amp;"'!$D$2:$D$501"),L68))</f>
        <v/>
      </c>
      <c r="I68" s="32" t="str">
        <f ca="1">IF(L68="","",INDEX(INDIRECT("'"&amp;'لوحة التحكم'!$K$6&amp;"'!$E$2:$E$501"),L68))</f>
        <v/>
      </c>
      <c r="J68" s="18" t="str">
        <f ca="1">IF(L68="","",INDEX(INDIRECT("'"&amp;'لوحة التحكم'!$K$6&amp;"'!$U$2:$U$501"),L68))</f>
        <v/>
      </c>
      <c r="L68" s="3" t="str">
        <f ca="1">IF('لوحة التحكم'!$K$12=1,IFERROR(MATCH(52,INDIRECT("'"&amp;'لوحة التحكم'!$K$6&amp;"'!$AF$2:$AF$501"),0),""),"")</f>
        <v/>
      </c>
    </row>
    <row r="69" spans="2:12">
      <c r="B69" s="24" t="str">
        <f ca="1">IF(L69="","",53)</f>
        <v/>
      </c>
      <c r="C69" s="18" t="str">
        <f ca="1">IF(L69="","",INDEX(INDIRECT("'"&amp;'لوحة التحكم'!$K$6&amp;"'!$A$2:$A$501"),L69))</f>
        <v/>
      </c>
      <c r="D69" s="31" t="str">
        <f ca="1">IF(L69="","",INDEX(INDIRECT("'"&amp;'لوحة التحكم'!$K$6&amp;"'!$B$2:$B$501"),L69))</f>
        <v/>
      </c>
      <c r="E69" s="24" t="str">
        <f ca="1">IF(L69="","",INDEX(INDIRECT("'"&amp;'لوحة التحكم'!$K$6&amp;"'!$F$2:$F$501"),L69))</f>
        <v/>
      </c>
      <c r="F69" s="32" t="str">
        <f ca="1">IF(L69="","",INDEX(INDIRECT("'"&amp;'لوحة التحكم'!$K$6&amp;"'!$I$2:$I$501"),L69))</f>
        <v/>
      </c>
      <c r="G69" s="32" t="str">
        <f ca="1">IF(L69="","",INDEX(INDIRECT("'"&amp;'لوحة التحكم'!$K$6&amp;"'!$C$2:$C$501"),L69))</f>
        <v/>
      </c>
      <c r="H69" s="32" t="str">
        <f ca="1">IF(L69="","",INDEX(INDIRECT("'"&amp;'لوحة التحكم'!$K$6&amp;"'!$D$2:$D$501"),L69))</f>
        <v/>
      </c>
      <c r="I69" s="32" t="str">
        <f ca="1">IF(L69="","",INDEX(INDIRECT("'"&amp;'لوحة التحكم'!$K$6&amp;"'!$E$2:$E$501"),L69))</f>
        <v/>
      </c>
      <c r="J69" s="18" t="str">
        <f ca="1">IF(L69="","",INDEX(INDIRECT("'"&amp;'لوحة التحكم'!$K$6&amp;"'!$U$2:$U$501"),L69))</f>
        <v/>
      </c>
      <c r="L69" s="3" t="str">
        <f ca="1">IF('لوحة التحكم'!$K$12=1,IFERROR(MATCH(53,INDIRECT("'"&amp;'لوحة التحكم'!$K$6&amp;"'!$AF$2:$AF$501"),0),""),"")</f>
        <v/>
      </c>
    </row>
    <row r="70" spans="2:12">
      <c r="B70" s="24" t="str">
        <f ca="1">IF(L70="","",54)</f>
        <v/>
      </c>
      <c r="C70" s="18" t="str">
        <f ca="1">IF(L70="","",INDEX(INDIRECT("'"&amp;'لوحة التحكم'!$K$6&amp;"'!$A$2:$A$501"),L70))</f>
        <v/>
      </c>
      <c r="D70" s="31" t="str">
        <f ca="1">IF(L70="","",INDEX(INDIRECT("'"&amp;'لوحة التحكم'!$K$6&amp;"'!$B$2:$B$501"),L70))</f>
        <v/>
      </c>
      <c r="E70" s="24" t="str">
        <f ca="1">IF(L70="","",INDEX(INDIRECT("'"&amp;'لوحة التحكم'!$K$6&amp;"'!$F$2:$F$501"),L70))</f>
        <v/>
      </c>
      <c r="F70" s="32" t="str">
        <f ca="1">IF(L70="","",INDEX(INDIRECT("'"&amp;'لوحة التحكم'!$K$6&amp;"'!$I$2:$I$501"),L70))</f>
        <v/>
      </c>
      <c r="G70" s="32" t="str">
        <f ca="1">IF(L70="","",INDEX(INDIRECT("'"&amp;'لوحة التحكم'!$K$6&amp;"'!$C$2:$C$501"),L70))</f>
        <v/>
      </c>
      <c r="H70" s="32" t="str">
        <f ca="1">IF(L70="","",INDEX(INDIRECT("'"&amp;'لوحة التحكم'!$K$6&amp;"'!$D$2:$D$501"),L70))</f>
        <v/>
      </c>
      <c r="I70" s="32" t="str">
        <f ca="1">IF(L70="","",INDEX(INDIRECT("'"&amp;'لوحة التحكم'!$K$6&amp;"'!$E$2:$E$501"),L70))</f>
        <v/>
      </c>
      <c r="J70" s="18" t="str">
        <f ca="1">IF(L70="","",INDEX(INDIRECT("'"&amp;'لوحة التحكم'!$K$6&amp;"'!$U$2:$U$501"),L70))</f>
        <v/>
      </c>
      <c r="L70" s="3" t="str">
        <f ca="1">IF('لوحة التحكم'!$K$12=1,IFERROR(MATCH(54,INDIRECT("'"&amp;'لوحة التحكم'!$K$6&amp;"'!$AF$2:$AF$501"),0),""),"")</f>
        <v/>
      </c>
    </row>
    <row r="71" spans="2:12">
      <c r="B71" s="24" t="str">
        <f ca="1">IF(L71="","",55)</f>
        <v/>
      </c>
      <c r="C71" s="18" t="str">
        <f ca="1">IF(L71="","",INDEX(INDIRECT("'"&amp;'لوحة التحكم'!$K$6&amp;"'!$A$2:$A$501"),L71))</f>
        <v/>
      </c>
      <c r="D71" s="31" t="str">
        <f ca="1">IF(L71="","",INDEX(INDIRECT("'"&amp;'لوحة التحكم'!$K$6&amp;"'!$B$2:$B$501"),L71))</f>
        <v/>
      </c>
      <c r="E71" s="24" t="str">
        <f ca="1">IF(L71="","",INDEX(INDIRECT("'"&amp;'لوحة التحكم'!$K$6&amp;"'!$F$2:$F$501"),L71))</f>
        <v/>
      </c>
      <c r="F71" s="32" t="str">
        <f ca="1">IF(L71="","",INDEX(INDIRECT("'"&amp;'لوحة التحكم'!$K$6&amp;"'!$I$2:$I$501"),L71))</f>
        <v/>
      </c>
      <c r="G71" s="32" t="str">
        <f ca="1">IF(L71="","",INDEX(INDIRECT("'"&amp;'لوحة التحكم'!$K$6&amp;"'!$C$2:$C$501"),L71))</f>
        <v/>
      </c>
      <c r="H71" s="32" t="str">
        <f ca="1">IF(L71="","",INDEX(INDIRECT("'"&amp;'لوحة التحكم'!$K$6&amp;"'!$D$2:$D$501"),L71))</f>
        <v/>
      </c>
      <c r="I71" s="32" t="str">
        <f ca="1">IF(L71="","",INDEX(INDIRECT("'"&amp;'لوحة التحكم'!$K$6&amp;"'!$E$2:$E$501"),L71))</f>
        <v/>
      </c>
      <c r="J71" s="18" t="str">
        <f ca="1">IF(L71="","",INDEX(INDIRECT("'"&amp;'لوحة التحكم'!$K$6&amp;"'!$U$2:$U$501"),L71))</f>
        <v/>
      </c>
      <c r="L71" s="3" t="str">
        <f ca="1">IF('لوحة التحكم'!$K$12=1,IFERROR(MATCH(55,INDIRECT("'"&amp;'لوحة التحكم'!$K$6&amp;"'!$AF$2:$AF$501"),0),""),"")</f>
        <v/>
      </c>
    </row>
    <row r="72" spans="2:12">
      <c r="B72" s="24" t="str">
        <f ca="1">IF(L72="","",56)</f>
        <v/>
      </c>
      <c r="C72" s="18" t="str">
        <f ca="1">IF(L72="","",INDEX(INDIRECT("'"&amp;'لوحة التحكم'!$K$6&amp;"'!$A$2:$A$501"),L72))</f>
        <v/>
      </c>
      <c r="D72" s="31" t="str">
        <f ca="1">IF(L72="","",INDEX(INDIRECT("'"&amp;'لوحة التحكم'!$K$6&amp;"'!$B$2:$B$501"),L72))</f>
        <v/>
      </c>
      <c r="E72" s="24" t="str">
        <f ca="1">IF(L72="","",INDEX(INDIRECT("'"&amp;'لوحة التحكم'!$K$6&amp;"'!$F$2:$F$501"),L72))</f>
        <v/>
      </c>
      <c r="F72" s="32" t="str">
        <f ca="1">IF(L72="","",INDEX(INDIRECT("'"&amp;'لوحة التحكم'!$K$6&amp;"'!$I$2:$I$501"),L72))</f>
        <v/>
      </c>
      <c r="G72" s="32" t="str">
        <f ca="1">IF(L72="","",INDEX(INDIRECT("'"&amp;'لوحة التحكم'!$K$6&amp;"'!$C$2:$C$501"),L72))</f>
        <v/>
      </c>
      <c r="H72" s="32" t="str">
        <f ca="1">IF(L72="","",INDEX(INDIRECT("'"&amp;'لوحة التحكم'!$K$6&amp;"'!$D$2:$D$501"),L72))</f>
        <v/>
      </c>
      <c r="I72" s="32" t="str">
        <f ca="1">IF(L72="","",INDEX(INDIRECT("'"&amp;'لوحة التحكم'!$K$6&amp;"'!$E$2:$E$501"),L72))</f>
        <v/>
      </c>
      <c r="J72" s="18" t="str">
        <f ca="1">IF(L72="","",INDEX(INDIRECT("'"&amp;'لوحة التحكم'!$K$6&amp;"'!$U$2:$U$501"),L72))</f>
        <v/>
      </c>
      <c r="L72" s="3" t="str">
        <f ca="1">IF('لوحة التحكم'!$K$12=1,IFERROR(MATCH(56,INDIRECT("'"&amp;'لوحة التحكم'!$K$6&amp;"'!$AF$2:$AF$501"),0),""),"")</f>
        <v/>
      </c>
    </row>
    <row r="73" spans="2:12">
      <c r="B73" s="24" t="str">
        <f ca="1">IF(L73="","",57)</f>
        <v/>
      </c>
      <c r="C73" s="18" t="str">
        <f ca="1">IF(L73="","",INDEX(INDIRECT("'"&amp;'لوحة التحكم'!$K$6&amp;"'!$A$2:$A$501"),L73))</f>
        <v/>
      </c>
      <c r="D73" s="31" t="str">
        <f ca="1">IF(L73="","",INDEX(INDIRECT("'"&amp;'لوحة التحكم'!$K$6&amp;"'!$B$2:$B$501"),L73))</f>
        <v/>
      </c>
      <c r="E73" s="24" t="str">
        <f ca="1">IF(L73="","",INDEX(INDIRECT("'"&amp;'لوحة التحكم'!$K$6&amp;"'!$F$2:$F$501"),L73))</f>
        <v/>
      </c>
      <c r="F73" s="32" t="str">
        <f ca="1">IF(L73="","",INDEX(INDIRECT("'"&amp;'لوحة التحكم'!$K$6&amp;"'!$I$2:$I$501"),L73))</f>
        <v/>
      </c>
      <c r="G73" s="32" t="str">
        <f ca="1">IF(L73="","",INDEX(INDIRECT("'"&amp;'لوحة التحكم'!$K$6&amp;"'!$C$2:$C$501"),L73))</f>
        <v/>
      </c>
      <c r="H73" s="32" t="str">
        <f ca="1">IF(L73="","",INDEX(INDIRECT("'"&amp;'لوحة التحكم'!$K$6&amp;"'!$D$2:$D$501"),L73))</f>
        <v/>
      </c>
      <c r="I73" s="32" t="str">
        <f ca="1">IF(L73="","",INDEX(INDIRECT("'"&amp;'لوحة التحكم'!$K$6&amp;"'!$E$2:$E$501"),L73))</f>
        <v/>
      </c>
      <c r="J73" s="18" t="str">
        <f ca="1">IF(L73="","",INDEX(INDIRECT("'"&amp;'لوحة التحكم'!$K$6&amp;"'!$U$2:$U$501"),L73))</f>
        <v/>
      </c>
      <c r="L73" s="3" t="str">
        <f ca="1">IF('لوحة التحكم'!$K$12=1,IFERROR(MATCH(57,INDIRECT("'"&amp;'لوحة التحكم'!$K$6&amp;"'!$AF$2:$AF$501"),0),""),"")</f>
        <v/>
      </c>
    </row>
    <row r="74" spans="2:12">
      <c r="B74" s="24" t="str">
        <f ca="1">IF(L74="","",58)</f>
        <v/>
      </c>
      <c r="C74" s="18" t="str">
        <f ca="1">IF(L74="","",INDEX(INDIRECT("'"&amp;'لوحة التحكم'!$K$6&amp;"'!$A$2:$A$501"),L74))</f>
        <v/>
      </c>
      <c r="D74" s="31" t="str">
        <f ca="1">IF(L74="","",INDEX(INDIRECT("'"&amp;'لوحة التحكم'!$K$6&amp;"'!$B$2:$B$501"),L74))</f>
        <v/>
      </c>
      <c r="E74" s="24" t="str">
        <f ca="1">IF(L74="","",INDEX(INDIRECT("'"&amp;'لوحة التحكم'!$K$6&amp;"'!$F$2:$F$501"),L74))</f>
        <v/>
      </c>
      <c r="F74" s="32" t="str">
        <f ca="1">IF(L74="","",INDEX(INDIRECT("'"&amp;'لوحة التحكم'!$K$6&amp;"'!$I$2:$I$501"),L74))</f>
        <v/>
      </c>
      <c r="G74" s="32" t="str">
        <f ca="1">IF(L74="","",INDEX(INDIRECT("'"&amp;'لوحة التحكم'!$K$6&amp;"'!$C$2:$C$501"),L74))</f>
        <v/>
      </c>
      <c r="H74" s="32" t="str">
        <f ca="1">IF(L74="","",INDEX(INDIRECT("'"&amp;'لوحة التحكم'!$K$6&amp;"'!$D$2:$D$501"),L74))</f>
        <v/>
      </c>
      <c r="I74" s="32" t="str">
        <f ca="1">IF(L74="","",INDEX(INDIRECT("'"&amp;'لوحة التحكم'!$K$6&amp;"'!$E$2:$E$501"),L74))</f>
        <v/>
      </c>
      <c r="J74" s="18" t="str">
        <f ca="1">IF(L74="","",INDEX(INDIRECT("'"&amp;'لوحة التحكم'!$K$6&amp;"'!$U$2:$U$501"),L74))</f>
        <v/>
      </c>
      <c r="L74" s="3" t="str">
        <f ca="1">IF('لوحة التحكم'!$K$12=1,IFERROR(MATCH(58,INDIRECT("'"&amp;'لوحة التحكم'!$K$6&amp;"'!$AF$2:$AF$501"),0),""),"")</f>
        <v/>
      </c>
    </row>
    <row r="75" spans="2:12">
      <c r="B75" s="24" t="str">
        <f ca="1">IF(L75="","",59)</f>
        <v/>
      </c>
      <c r="C75" s="18" t="str">
        <f ca="1">IF(L75="","",INDEX(INDIRECT("'"&amp;'لوحة التحكم'!$K$6&amp;"'!$A$2:$A$501"),L75))</f>
        <v/>
      </c>
      <c r="D75" s="31" t="str">
        <f ca="1">IF(L75="","",INDEX(INDIRECT("'"&amp;'لوحة التحكم'!$K$6&amp;"'!$B$2:$B$501"),L75))</f>
        <v/>
      </c>
      <c r="E75" s="24" t="str">
        <f ca="1">IF(L75="","",INDEX(INDIRECT("'"&amp;'لوحة التحكم'!$K$6&amp;"'!$F$2:$F$501"),L75))</f>
        <v/>
      </c>
      <c r="F75" s="32" t="str">
        <f ca="1">IF(L75="","",INDEX(INDIRECT("'"&amp;'لوحة التحكم'!$K$6&amp;"'!$I$2:$I$501"),L75))</f>
        <v/>
      </c>
      <c r="G75" s="32" t="str">
        <f ca="1">IF(L75="","",INDEX(INDIRECT("'"&amp;'لوحة التحكم'!$K$6&amp;"'!$C$2:$C$501"),L75))</f>
        <v/>
      </c>
      <c r="H75" s="32" t="str">
        <f ca="1">IF(L75="","",INDEX(INDIRECT("'"&amp;'لوحة التحكم'!$K$6&amp;"'!$D$2:$D$501"),L75))</f>
        <v/>
      </c>
      <c r="I75" s="32" t="str">
        <f ca="1">IF(L75="","",INDEX(INDIRECT("'"&amp;'لوحة التحكم'!$K$6&amp;"'!$E$2:$E$501"),L75))</f>
        <v/>
      </c>
      <c r="J75" s="18" t="str">
        <f ca="1">IF(L75="","",INDEX(INDIRECT("'"&amp;'لوحة التحكم'!$K$6&amp;"'!$U$2:$U$501"),L75))</f>
        <v/>
      </c>
      <c r="L75" s="3" t="str">
        <f ca="1">IF('لوحة التحكم'!$K$12=1,IFERROR(MATCH(59,INDIRECT("'"&amp;'لوحة التحكم'!$K$6&amp;"'!$AF$2:$AF$501"),0),""),"")</f>
        <v/>
      </c>
    </row>
    <row r="76" spans="2:12">
      <c r="B76" s="24" t="str">
        <f ca="1">IF(L76="","",60)</f>
        <v/>
      </c>
      <c r="C76" s="18" t="str">
        <f ca="1">IF(L76="","",INDEX(INDIRECT("'"&amp;'لوحة التحكم'!$K$6&amp;"'!$A$2:$A$501"),L76))</f>
        <v/>
      </c>
      <c r="D76" s="31" t="str">
        <f ca="1">IF(L76="","",INDEX(INDIRECT("'"&amp;'لوحة التحكم'!$K$6&amp;"'!$B$2:$B$501"),L76))</f>
        <v/>
      </c>
      <c r="E76" s="24" t="str">
        <f ca="1">IF(L76="","",INDEX(INDIRECT("'"&amp;'لوحة التحكم'!$K$6&amp;"'!$F$2:$F$501"),L76))</f>
        <v/>
      </c>
      <c r="F76" s="32" t="str">
        <f ca="1">IF(L76="","",INDEX(INDIRECT("'"&amp;'لوحة التحكم'!$K$6&amp;"'!$I$2:$I$501"),L76))</f>
        <v/>
      </c>
      <c r="G76" s="32" t="str">
        <f ca="1">IF(L76="","",INDEX(INDIRECT("'"&amp;'لوحة التحكم'!$K$6&amp;"'!$C$2:$C$501"),L76))</f>
        <v/>
      </c>
      <c r="H76" s="32" t="str">
        <f ca="1">IF(L76="","",INDEX(INDIRECT("'"&amp;'لوحة التحكم'!$K$6&amp;"'!$D$2:$D$501"),L76))</f>
        <v/>
      </c>
      <c r="I76" s="32" t="str">
        <f ca="1">IF(L76="","",INDEX(INDIRECT("'"&amp;'لوحة التحكم'!$K$6&amp;"'!$E$2:$E$501"),L76))</f>
        <v/>
      </c>
      <c r="J76" s="18" t="str">
        <f ca="1">IF(L76="","",INDEX(INDIRECT("'"&amp;'لوحة التحكم'!$K$6&amp;"'!$U$2:$U$501"),L76))</f>
        <v/>
      </c>
      <c r="L76" s="3" t="str">
        <f ca="1">IF('لوحة التحكم'!$K$12=1,IFERROR(MATCH(60,INDIRECT("'"&amp;'لوحة التحكم'!$K$6&amp;"'!$AF$2:$AF$501"),0),""),"")</f>
        <v/>
      </c>
    </row>
    <row r="77" spans="2:12">
      <c r="B77" s="24" t="str">
        <f ca="1">IF(L77="","",61)</f>
        <v/>
      </c>
      <c r="C77" s="18" t="str">
        <f ca="1">IF(L77="","",INDEX(INDIRECT("'"&amp;'لوحة التحكم'!$K$6&amp;"'!$A$2:$A$501"),L77))</f>
        <v/>
      </c>
      <c r="D77" s="31" t="str">
        <f ca="1">IF(L77="","",INDEX(INDIRECT("'"&amp;'لوحة التحكم'!$K$6&amp;"'!$B$2:$B$501"),L77))</f>
        <v/>
      </c>
      <c r="E77" s="24" t="str">
        <f ca="1">IF(L77="","",INDEX(INDIRECT("'"&amp;'لوحة التحكم'!$K$6&amp;"'!$F$2:$F$501"),L77))</f>
        <v/>
      </c>
      <c r="F77" s="32" t="str">
        <f ca="1">IF(L77="","",INDEX(INDIRECT("'"&amp;'لوحة التحكم'!$K$6&amp;"'!$I$2:$I$501"),L77))</f>
        <v/>
      </c>
      <c r="G77" s="32" t="str">
        <f ca="1">IF(L77="","",INDEX(INDIRECT("'"&amp;'لوحة التحكم'!$K$6&amp;"'!$C$2:$C$501"),L77))</f>
        <v/>
      </c>
      <c r="H77" s="32" t="str">
        <f ca="1">IF(L77="","",INDEX(INDIRECT("'"&amp;'لوحة التحكم'!$K$6&amp;"'!$D$2:$D$501"),L77))</f>
        <v/>
      </c>
      <c r="I77" s="32" t="str">
        <f ca="1">IF(L77="","",INDEX(INDIRECT("'"&amp;'لوحة التحكم'!$K$6&amp;"'!$E$2:$E$501"),L77))</f>
        <v/>
      </c>
      <c r="J77" s="18" t="str">
        <f ca="1">IF(L77="","",INDEX(INDIRECT("'"&amp;'لوحة التحكم'!$K$6&amp;"'!$U$2:$U$501"),L77))</f>
        <v/>
      </c>
      <c r="L77" s="3" t="str">
        <f ca="1">IF('لوحة التحكم'!$K$12=1,IFERROR(MATCH(61,INDIRECT("'"&amp;'لوحة التحكم'!$K$6&amp;"'!$AF$2:$AF$501"),0),""),"")</f>
        <v/>
      </c>
    </row>
    <row r="78" spans="2:12">
      <c r="B78" s="24" t="str">
        <f ca="1">IF(L78="","",62)</f>
        <v/>
      </c>
      <c r="C78" s="18" t="str">
        <f ca="1">IF(L78="","",INDEX(INDIRECT("'"&amp;'لوحة التحكم'!$K$6&amp;"'!$A$2:$A$501"),L78))</f>
        <v/>
      </c>
      <c r="D78" s="31" t="str">
        <f ca="1">IF(L78="","",INDEX(INDIRECT("'"&amp;'لوحة التحكم'!$K$6&amp;"'!$B$2:$B$501"),L78))</f>
        <v/>
      </c>
      <c r="E78" s="24" t="str">
        <f ca="1">IF(L78="","",INDEX(INDIRECT("'"&amp;'لوحة التحكم'!$K$6&amp;"'!$F$2:$F$501"),L78))</f>
        <v/>
      </c>
      <c r="F78" s="32" t="str">
        <f ca="1">IF(L78="","",INDEX(INDIRECT("'"&amp;'لوحة التحكم'!$K$6&amp;"'!$I$2:$I$501"),L78))</f>
        <v/>
      </c>
      <c r="G78" s="32" t="str">
        <f ca="1">IF(L78="","",INDEX(INDIRECT("'"&amp;'لوحة التحكم'!$K$6&amp;"'!$C$2:$C$501"),L78))</f>
        <v/>
      </c>
      <c r="H78" s="32" t="str">
        <f ca="1">IF(L78="","",INDEX(INDIRECT("'"&amp;'لوحة التحكم'!$K$6&amp;"'!$D$2:$D$501"),L78))</f>
        <v/>
      </c>
      <c r="I78" s="32" t="str">
        <f ca="1">IF(L78="","",INDEX(INDIRECT("'"&amp;'لوحة التحكم'!$K$6&amp;"'!$E$2:$E$501"),L78))</f>
        <v/>
      </c>
      <c r="J78" s="18" t="str">
        <f ca="1">IF(L78="","",INDEX(INDIRECT("'"&amp;'لوحة التحكم'!$K$6&amp;"'!$U$2:$U$501"),L78))</f>
        <v/>
      </c>
      <c r="L78" s="3" t="str">
        <f ca="1">IF('لوحة التحكم'!$K$12=1,IFERROR(MATCH(62,INDIRECT("'"&amp;'لوحة التحكم'!$K$6&amp;"'!$AF$2:$AF$501"),0),""),"")</f>
        <v/>
      </c>
    </row>
    <row r="79" spans="2:12">
      <c r="B79" s="24" t="str">
        <f ca="1">IF(L79="","",63)</f>
        <v/>
      </c>
      <c r="C79" s="18" t="str">
        <f ca="1">IF(L79="","",INDEX(INDIRECT("'"&amp;'لوحة التحكم'!$K$6&amp;"'!$A$2:$A$501"),L79))</f>
        <v/>
      </c>
      <c r="D79" s="31" t="str">
        <f ca="1">IF(L79="","",INDEX(INDIRECT("'"&amp;'لوحة التحكم'!$K$6&amp;"'!$B$2:$B$501"),L79))</f>
        <v/>
      </c>
      <c r="E79" s="24" t="str">
        <f ca="1">IF(L79="","",INDEX(INDIRECT("'"&amp;'لوحة التحكم'!$K$6&amp;"'!$F$2:$F$501"),L79))</f>
        <v/>
      </c>
      <c r="F79" s="32" t="str">
        <f ca="1">IF(L79="","",INDEX(INDIRECT("'"&amp;'لوحة التحكم'!$K$6&amp;"'!$I$2:$I$501"),L79))</f>
        <v/>
      </c>
      <c r="G79" s="32" t="str">
        <f ca="1">IF(L79="","",INDEX(INDIRECT("'"&amp;'لوحة التحكم'!$K$6&amp;"'!$C$2:$C$501"),L79))</f>
        <v/>
      </c>
      <c r="H79" s="32" t="str">
        <f ca="1">IF(L79="","",INDEX(INDIRECT("'"&amp;'لوحة التحكم'!$K$6&amp;"'!$D$2:$D$501"),L79))</f>
        <v/>
      </c>
      <c r="I79" s="32" t="str">
        <f ca="1">IF(L79="","",INDEX(INDIRECT("'"&amp;'لوحة التحكم'!$K$6&amp;"'!$E$2:$E$501"),L79))</f>
        <v/>
      </c>
      <c r="J79" s="18" t="str">
        <f ca="1">IF(L79="","",INDEX(INDIRECT("'"&amp;'لوحة التحكم'!$K$6&amp;"'!$U$2:$U$501"),L79))</f>
        <v/>
      </c>
      <c r="L79" s="3" t="str">
        <f ca="1">IF('لوحة التحكم'!$K$12=1,IFERROR(MATCH(63,INDIRECT("'"&amp;'لوحة التحكم'!$K$6&amp;"'!$AF$2:$AF$501"),0),""),"")</f>
        <v/>
      </c>
    </row>
    <row r="80" spans="2:12">
      <c r="B80" s="24" t="str">
        <f ca="1">IF(L80="","",64)</f>
        <v/>
      </c>
      <c r="C80" s="18" t="str">
        <f ca="1">IF(L80="","",INDEX(INDIRECT("'"&amp;'لوحة التحكم'!$K$6&amp;"'!$A$2:$A$501"),L80))</f>
        <v/>
      </c>
      <c r="D80" s="31" t="str">
        <f ca="1">IF(L80="","",INDEX(INDIRECT("'"&amp;'لوحة التحكم'!$K$6&amp;"'!$B$2:$B$501"),L80))</f>
        <v/>
      </c>
      <c r="E80" s="24" t="str">
        <f ca="1">IF(L80="","",INDEX(INDIRECT("'"&amp;'لوحة التحكم'!$K$6&amp;"'!$F$2:$F$501"),L80))</f>
        <v/>
      </c>
      <c r="F80" s="32" t="str">
        <f ca="1">IF(L80="","",INDEX(INDIRECT("'"&amp;'لوحة التحكم'!$K$6&amp;"'!$I$2:$I$501"),L80))</f>
        <v/>
      </c>
      <c r="G80" s="32" t="str">
        <f ca="1">IF(L80="","",INDEX(INDIRECT("'"&amp;'لوحة التحكم'!$K$6&amp;"'!$C$2:$C$501"),L80))</f>
        <v/>
      </c>
      <c r="H80" s="32" t="str">
        <f ca="1">IF(L80="","",INDEX(INDIRECT("'"&amp;'لوحة التحكم'!$K$6&amp;"'!$D$2:$D$501"),L80))</f>
        <v/>
      </c>
      <c r="I80" s="32" t="str">
        <f ca="1">IF(L80="","",INDEX(INDIRECT("'"&amp;'لوحة التحكم'!$K$6&amp;"'!$E$2:$E$501"),L80))</f>
        <v/>
      </c>
      <c r="J80" s="18" t="str">
        <f ca="1">IF(L80="","",INDEX(INDIRECT("'"&amp;'لوحة التحكم'!$K$6&amp;"'!$U$2:$U$501"),L80))</f>
        <v/>
      </c>
      <c r="L80" s="3" t="str">
        <f ca="1">IF('لوحة التحكم'!$K$12=1,IFERROR(MATCH(64,INDIRECT("'"&amp;'لوحة التحكم'!$K$6&amp;"'!$AF$2:$AF$501"),0),""),"")</f>
        <v/>
      </c>
    </row>
    <row r="81" spans="2:12">
      <c r="B81" s="24" t="str">
        <f ca="1">IF(L81="","",65)</f>
        <v/>
      </c>
      <c r="C81" s="18" t="str">
        <f ca="1">IF(L81="","",INDEX(INDIRECT("'"&amp;'لوحة التحكم'!$K$6&amp;"'!$A$2:$A$501"),L81))</f>
        <v/>
      </c>
      <c r="D81" s="31" t="str">
        <f ca="1">IF(L81="","",INDEX(INDIRECT("'"&amp;'لوحة التحكم'!$K$6&amp;"'!$B$2:$B$501"),L81))</f>
        <v/>
      </c>
      <c r="E81" s="24" t="str">
        <f ca="1">IF(L81="","",INDEX(INDIRECT("'"&amp;'لوحة التحكم'!$K$6&amp;"'!$F$2:$F$501"),L81))</f>
        <v/>
      </c>
      <c r="F81" s="32" t="str">
        <f ca="1">IF(L81="","",INDEX(INDIRECT("'"&amp;'لوحة التحكم'!$K$6&amp;"'!$I$2:$I$501"),L81))</f>
        <v/>
      </c>
      <c r="G81" s="32" t="str">
        <f ca="1">IF(L81="","",INDEX(INDIRECT("'"&amp;'لوحة التحكم'!$K$6&amp;"'!$C$2:$C$501"),L81))</f>
        <v/>
      </c>
      <c r="H81" s="32" t="str">
        <f ca="1">IF(L81="","",INDEX(INDIRECT("'"&amp;'لوحة التحكم'!$K$6&amp;"'!$D$2:$D$501"),L81))</f>
        <v/>
      </c>
      <c r="I81" s="32" t="str">
        <f ca="1">IF(L81="","",INDEX(INDIRECT("'"&amp;'لوحة التحكم'!$K$6&amp;"'!$E$2:$E$501"),L81))</f>
        <v/>
      </c>
      <c r="J81" s="18" t="str">
        <f ca="1">IF(L81="","",INDEX(INDIRECT("'"&amp;'لوحة التحكم'!$K$6&amp;"'!$U$2:$U$501"),L81))</f>
        <v/>
      </c>
      <c r="L81" s="3" t="str">
        <f ca="1">IF('لوحة التحكم'!$K$12=1,IFERROR(MATCH(65,INDIRECT("'"&amp;'لوحة التحكم'!$K$6&amp;"'!$AF$2:$AF$501"),0),""),"")</f>
        <v/>
      </c>
    </row>
    <row r="82" spans="2:12">
      <c r="B82" s="24" t="str">
        <f ca="1">IF(L82="","",66)</f>
        <v/>
      </c>
      <c r="C82" s="18" t="str">
        <f ca="1">IF(L82="","",INDEX(INDIRECT("'"&amp;'لوحة التحكم'!$K$6&amp;"'!$A$2:$A$501"),L82))</f>
        <v/>
      </c>
      <c r="D82" s="31" t="str">
        <f ca="1">IF(L82="","",INDEX(INDIRECT("'"&amp;'لوحة التحكم'!$K$6&amp;"'!$B$2:$B$501"),L82))</f>
        <v/>
      </c>
      <c r="E82" s="24" t="str">
        <f ca="1">IF(L82="","",INDEX(INDIRECT("'"&amp;'لوحة التحكم'!$K$6&amp;"'!$F$2:$F$501"),L82))</f>
        <v/>
      </c>
      <c r="F82" s="32" t="str">
        <f ca="1">IF(L82="","",INDEX(INDIRECT("'"&amp;'لوحة التحكم'!$K$6&amp;"'!$I$2:$I$501"),L82))</f>
        <v/>
      </c>
      <c r="G82" s="32" t="str">
        <f ca="1">IF(L82="","",INDEX(INDIRECT("'"&amp;'لوحة التحكم'!$K$6&amp;"'!$C$2:$C$501"),L82))</f>
        <v/>
      </c>
      <c r="H82" s="32" t="str">
        <f ca="1">IF(L82="","",INDEX(INDIRECT("'"&amp;'لوحة التحكم'!$K$6&amp;"'!$D$2:$D$501"),L82))</f>
        <v/>
      </c>
      <c r="I82" s="32" t="str">
        <f ca="1">IF(L82="","",INDEX(INDIRECT("'"&amp;'لوحة التحكم'!$K$6&amp;"'!$E$2:$E$501"),L82))</f>
        <v/>
      </c>
      <c r="J82" s="18" t="str">
        <f ca="1">IF(L82="","",INDEX(INDIRECT("'"&amp;'لوحة التحكم'!$K$6&amp;"'!$U$2:$U$501"),L82))</f>
        <v/>
      </c>
      <c r="L82" s="3" t="str">
        <f ca="1">IF('لوحة التحكم'!$K$12=1,IFERROR(MATCH(66,INDIRECT("'"&amp;'لوحة التحكم'!$K$6&amp;"'!$AF$2:$AF$501"),0),""),"")</f>
        <v/>
      </c>
    </row>
    <row r="83" spans="2:12">
      <c r="B83" s="24" t="str">
        <f ca="1">IF(L83="","",67)</f>
        <v/>
      </c>
      <c r="C83" s="18" t="str">
        <f ca="1">IF(L83="","",INDEX(INDIRECT("'"&amp;'لوحة التحكم'!$K$6&amp;"'!$A$2:$A$501"),L83))</f>
        <v/>
      </c>
      <c r="D83" s="31" t="str">
        <f ca="1">IF(L83="","",INDEX(INDIRECT("'"&amp;'لوحة التحكم'!$K$6&amp;"'!$B$2:$B$501"),L83))</f>
        <v/>
      </c>
      <c r="E83" s="24" t="str">
        <f ca="1">IF(L83="","",INDEX(INDIRECT("'"&amp;'لوحة التحكم'!$K$6&amp;"'!$F$2:$F$501"),L83))</f>
        <v/>
      </c>
      <c r="F83" s="32" t="str">
        <f ca="1">IF(L83="","",INDEX(INDIRECT("'"&amp;'لوحة التحكم'!$K$6&amp;"'!$I$2:$I$501"),L83))</f>
        <v/>
      </c>
      <c r="G83" s="32" t="str">
        <f ca="1">IF(L83="","",INDEX(INDIRECT("'"&amp;'لوحة التحكم'!$K$6&amp;"'!$C$2:$C$501"),L83))</f>
        <v/>
      </c>
      <c r="H83" s="32" t="str">
        <f ca="1">IF(L83="","",INDEX(INDIRECT("'"&amp;'لوحة التحكم'!$K$6&amp;"'!$D$2:$D$501"),L83))</f>
        <v/>
      </c>
      <c r="I83" s="32" t="str">
        <f ca="1">IF(L83="","",INDEX(INDIRECT("'"&amp;'لوحة التحكم'!$K$6&amp;"'!$E$2:$E$501"),L83))</f>
        <v/>
      </c>
      <c r="J83" s="18" t="str">
        <f ca="1">IF(L83="","",INDEX(INDIRECT("'"&amp;'لوحة التحكم'!$K$6&amp;"'!$U$2:$U$501"),L83))</f>
        <v/>
      </c>
      <c r="L83" s="3" t="str">
        <f ca="1">IF('لوحة التحكم'!$K$12=1,IFERROR(MATCH(67,INDIRECT("'"&amp;'لوحة التحكم'!$K$6&amp;"'!$AF$2:$AF$501"),0),""),"")</f>
        <v/>
      </c>
    </row>
    <row r="84" spans="2:12">
      <c r="B84" s="24" t="str">
        <f ca="1">IF(L84="","",68)</f>
        <v/>
      </c>
      <c r="C84" s="18" t="str">
        <f ca="1">IF(L84="","",INDEX(INDIRECT("'"&amp;'لوحة التحكم'!$K$6&amp;"'!$A$2:$A$501"),L84))</f>
        <v/>
      </c>
      <c r="D84" s="31" t="str">
        <f ca="1">IF(L84="","",INDEX(INDIRECT("'"&amp;'لوحة التحكم'!$K$6&amp;"'!$B$2:$B$501"),L84))</f>
        <v/>
      </c>
      <c r="E84" s="24" t="str">
        <f ca="1">IF(L84="","",INDEX(INDIRECT("'"&amp;'لوحة التحكم'!$K$6&amp;"'!$F$2:$F$501"),L84))</f>
        <v/>
      </c>
      <c r="F84" s="32" t="str">
        <f ca="1">IF(L84="","",INDEX(INDIRECT("'"&amp;'لوحة التحكم'!$K$6&amp;"'!$I$2:$I$501"),L84))</f>
        <v/>
      </c>
      <c r="G84" s="32" t="str">
        <f ca="1">IF(L84="","",INDEX(INDIRECT("'"&amp;'لوحة التحكم'!$K$6&amp;"'!$C$2:$C$501"),L84))</f>
        <v/>
      </c>
      <c r="H84" s="32" t="str">
        <f ca="1">IF(L84="","",INDEX(INDIRECT("'"&amp;'لوحة التحكم'!$K$6&amp;"'!$D$2:$D$501"),L84))</f>
        <v/>
      </c>
      <c r="I84" s="32" t="str">
        <f ca="1">IF(L84="","",INDEX(INDIRECT("'"&amp;'لوحة التحكم'!$K$6&amp;"'!$E$2:$E$501"),L84))</f>
        <v/>
      </c>
      <c r="J84" s="18" t="str">
        <f ca="1">IF(L84="","",INDEX(INDIRECT("'"&amp;'لوحة التحكم'!$K$6&amp;"'!$U$2:$U$501"),L84))</f>
        <v/>
      </c>
      <c r="L84" s="3" t="str">
        <f ca="1">IF('لوحة التحكم'!$K$12=1,IFERROR(MATCH(68,INDIRECT("'"&amp;'لوحة التحكم'!$K$6&amp;"'!$AF$2:$AF$501"),0),""),"")</f>
        <v/>
      </c>
    </row>
    <row r="85" spans="2:12">
      <c r="B85" s="24" t="str">
        <f ca="1">IF(L85="","",69)</f>
        <v/>
      </c>
      <c r="C85" s="18" t="str">
        <f ca="1">IF(L85="","",INDEX(INDIRECT("'"&amp;'لوحة التحكم'!$K$6&amp;"'!$A$2:$A$501"),L85))</f>
        <v/>
      </c>
      <c r="D85" s="31" t="str">
        <f ca="1">IF(L85="","",INDEX(INDIRECT("'"&amp;'لوحة التحكم'!$K$6&amp;"'!$B$2:$B$501"),L85))</f>
        <v/>
      </c>
      <c r="E85" s="24" t="str">
        <f ca="1">IF(L85="","",INDEX(INDIRECT("'"&amp;'لوحة التحكم'!$K$6&amp;"'!$F$2:$F$501"),L85))</f>
        <v/>
      </c>
      <c r="F85" s="32" t="str">
        <f ca="1">IF(L85="","",INDEX(INDIRECT("'"&amp;'لوحة التحكم'!$K$6&amp;"'!$I$2:$I$501"),L85))</f>
        <v/>
      </c>
      <c r="G85" s="32" t="str">
        <f ca="1">IF(L85="","",INDEX(INDIRECT("'"&amp;'لوحة التحكم'!$K$6&amp;"'!$C$2:$C$501"),L85))</f>
        <v/>
      </c>
      <c r="H85" s="32" t="str">
        <f ca="1">IF(L85="","",INDEX(INDIRECT("'"&amp;'لوحة التحكم'!$K$6&amp;"'!$D$2:$D$501"),L85))</f>
        <v/>
      </c>
      <c r="I85" s="32" t="str">
        <f ca="1">IF(L85="","",INDEX(INDIRECT("'"&amp;'لوحة التحكم'!$K$6&amp;"'!$E$2:$E$501"),L85))</f>
        <v/>
      </c>
      <c r="J85" s="18" t="str">
        <f ca="1">IF(L85="","",INDEX(INDIRECT("'"&amp;'لوحة التحكم'!$K$6&amp;"'!$U$2:$U$501"),L85))</f>
        <v/>
      </c>
      <c r="L85" s="3" t="str">
        <f ca="1">IF('لوحة التحكم'!$K$12=1,IFERROR(MATCH(69,INDIRECT("'"&amp;'لوحة التحكم'!$K$6&amp;"'!$AF$2:$AF$501"),0),""),"")</f>
        <v/>
      </c>
    </row>
    <row r="86" spans="2:12">
      <c r="B86" s="24" t="str">
        <f ca="1">IF(L86="","",70)</f>
        <v/>
      </c>
      <c r="C86" s="18" t="str">
        <f ca="1">IF(L86="","",INDEX(INDIRECT("'"&amp;'لوحة التحكم'!$K$6&amp;"'!$A$2:$A$501"),L86))</f>
        <v/>
      </c>
      <c r="D86" s="31" t="str">
        <f ca="1">IF(L86="","",INDEX(INDIRECT("'"&amp;'لوحة التحكم'!$K$6&amp;"'!$B$2:$B$501"),L86))</f>
        <v/>
      </c>
      <c r="E86" s="24" t="str">
        <f ca="1">IF(L86="","",INDEX(INDIRECT("'"&amp;'لوحة التحكم'!$K$6&amp;"'!$F$2:$F$501"),L86))</f>
        <v/>
      </c>
      <c r="F86" s="32" t="str">
        <f ca="1">IF(L86="","",INDEX(INDIRECT("'"&amp;'لوحة التحكم'!$K$6&amp;"'!$I$2:$I$501"),L86))</f>
        <v/>
      </c>
      <c r="G86" s="32" t="str">
        <f ca="1">IF(L86="","",INDEX(INDIRECT("'"&amp;'لوحة التحكم'!$K$6&amp;"'!$C$2:$C$501"),L86))</f>
        <v/>
      </c>
      <c r="H86" s="32" t="str">
        <f ca="1">IF(L86="","",INDEX(INDIRECT("'"&amp;'لوحة التحكم'!$K$6&amp;"'!$D$2:$D$501"),L86))</f>
        <v/>
      </c>
      <c r="I86" s="32" t="str">
        <f ca="1">IF(L86="","",INDEX(INDIRECT("'"&amp;'لوحة التحكم'!$K$6&amp;"'!$E$2:$E$501"),L86))</f>
        <v/>
      </c>
      <c r="J86" s="18" t="str">
        <f ca="1">IF(L86="","",INDEX(INDIRECT("'"&amp;'لوحة التحكم'!$K$6&amp;"'!$U$2:$U$501"),L86))</f>
        <v/>
      </c>
      <c r="L86" s="3" t="str">
        <f ca="1">IF('لوحة التحكم'!$K$12=1,IFERROR(MATCH(70,INDIRECT("'"&amp;'لوحة التحكم'!$K$6&amp;"'!$AF$2:$AF$501"),0),""),"")</f>
        <v/>
      </c>
    </row>
    <row r="87" spans="2:12">
      <c r="B87" s="24" t="str">
        <f ca="1">IF(L87="","",71)</f>
        <v/>
      </c>
      <c r="C87" s="18" t="str">
        <f ca="1">IF(L87="","",INDEX(INDIRECT("'"&amp;'لوحة التحكم'!$K$6&amp;"'!$A$2:$A$501"),L87))</f>
        <v/>
      </c>
      <c r="D87" s="31" t="str">
        <f ca="1">IF(L87="","",INDEX(INDIRECT("'"&amp;'لوحة التحكم'!$K$6&amp;"'!$B$2:$B$501"),L87))</f>
        <v/>
      </c>
      <c r="E87" s="24" t="str">
        <f ca="1">IF(L87="","",INDEX(INDIRECT("'"&amp;'لوحة التحكم'!$K$6&amp;"'!$F$2:$F$501"),L87))</f>
        <v/>
      </c>
      <c r="F87" s="32" t="str">
        <f ca="1">IF(L87="","",INDEX(INDIRECT("'"&amp;'لوحة التحكم'!$K$6&amp;"'!$I$2:$I$501"),L87))</f>
        <v/>
      </c>
      <c r="G87" s="32" t="str">
        <f ca="1">IF(L87="","",INDEX(INDIRECT("'"&amp;'لوحة التحكم'!$K$6&amp;"'!$C$2:$C$501"),L87))</f>
        <v/>
      </c>
      <c r="H87" s="32" t="str">
        <f ca="1">IF(L87="","",INDEX(INDIRECT("'"&amp;'لوحة التحكم'!$K$6&amp;"'!$D$2:$D$501"),L87))</f>
        <v/>
      </c>
      <c r="I87" s="32" t="str">
        <f ca="1">IF(L87="","",INDEX(INDIRECT("'"&amp;'لوحة التحكم'!$K$6&amp;"'!$E$2:$E$501"),L87))</f>
        <v/>
      </c>
      <c r="J87" s="18" t="str">
        <f ca="1">IF(L87="","",INDEX(INDIRECT("'"&amp;'لوحة التحكم'!$K$6&amp;"'!$U$2:$U$501"),L87))</f>
        <v/>
      </c>
      <c r="L87" s="3" t="str">
        <f ca="1">IF('لوحة التحكم'!$K$12=1,IFERROR(MATCH(71,INDIRECT("'"&amp;'لوحة التحكم'!$K$6&amp;"'!$AF$2:$AF$501"),0),""),"")</f>
        <v/>
      </c>
    </row>
    <row r="88" spans="2:12">
      <c r="B88" s="24" t="str">
        <f ca="1">IF(L88="","",72)</f>
        <v/>
      </c>
      <c r="C88" s="18" t="str">
        <f ca="1">IF(L88="","",INDEX(INDIRECT("'"&amp;'لوحة التحكم'!$K$6&amp;"'!$A$2:$A$501"),L88))</f>
        <v/>
      </c>
      <c r="D88" s="31" t="str">
        <f ca="1">IF(L88="","",INDEX(INDIRECT("'"&amp;'لوحة التحكم'!$K$6&amp;"'!$B$2:$B$501"),L88))</f>
        <v/>
      </c>
      <c r="E88" s="24" t="str">
        <f ca="1">IF(L88="","",INDEX(INDIRECT("'"&amp;'لوحة التحكم'!$K$6&amp;"'!$F$2:$F$501"),L88))</f>
        <v/>
      </c>
      <c r="F88" s="32" t="str">
        <f ca="1">IF(L88="","",INDEX(INDIRECT("'"&amp;'لوحة التحكم'!$K$6&amp;"'!$I$2:$I$501"),L88))</f>
        <v/>
      </c>
      <c r="G88" s="32" t="str">
        <f ca="1">IF(L88="","",INDEX(INDIRECT("'"&amp;'لوحة التحكم'!$K$6&amp;"'!$C$2:$C$501"),L88))</f>
        <v/>
      </c>
      <c r="H88" s="32" t="str">
        <f ca="1">IF(L88="","",INDEX(INDIRECT("'"&amp;'لوحة التحكم'!$K$6&amp;"'!$D$2:$D$501"),L88))</f>
        <v/>
      </c>
      <c r="I88" s="32" t="str">
        <f ca="1">IF(L88="","",INDEX(INDIRECT("'"&amp;'لوحة التحكم'!$K$6&amp;"'!$E$2:$E$501"),L88))</f>
        <v/>
      </c>
      <c r="J88" s="18" t="str">
        <f ca="1">IF(L88="","",INDEX(INDIRECT("'"&amp;'لوحة التحكم'!$K$6&amp;"'!$U$2:$U$501"),L88))</f>
        <v/>
      </c>
      <c r="L88" s="3" t="str">
        <f ca="1">IF('لوحة التحكم'!$K$12=1,IFERROR(MATCH(72,INDIRECT("'"&amp;'لوحة التحكم'!$K$6&amp;"'!$AF$2:$AF$501"),0),""),"")</f>
        <v/>
      </c>
    </row>
    <row r="89" spans="2:12">
      <c r="B89" s="24" t="str">
        <f ca="1">IF(L89="","",73)</f>
        <v/>
      </c>
      <c r="C89" s="18" t="str">
        <f ca="1">IF(L89="","",INDEX(INDIRECT("'"&amp;'لوحة التحكم'!$K$6&amp;"'!$A$2:$A$501"),L89))</f>
        <v/>
      </c>
      <c r="D89" s="31" t="str">
        <f ca="1">IF(L89="","",INDEX(INDIRECT("'"&amp;'لوحة التحكم'!$K$6&amp;"'!$B$2:$B$501"),L89))</f>
        <v/>
      </c>
      <c r="E89" s="24" t="str">
        <f ca="1">IF(L89="","",INDEX(INDIRECT("'"&amp;'لوحة التحكم'!$K$6&amp;"'!$F$2:$F$501"),L89))</f>
        <v/>
      </c>
      <c r="F89" s="32" t="str">
        <f ca="1">IF(L89="","",INDEX(INDIRECT("'"&amp;'لوحة التحكم'!$K$6&amp;"'!$I$2:$I$501"),L89))</f>
        <v/>
      </c>
      <c r="G89" s="32" t="str">
        <f ca="1">IF(L89="","",INDEX(INDIRECT("'"&amp;'لوحة التحكم'!$K$6&amp;"'!$C$2:$C$501"),L89))</f>
        <v/>
      </c>
      <c r="H89" s="32" t="str">
        <f ca="1">IF(L89="","",INDEX(INDIRECT("'"&amp;'لوحة التحكم'!$K$6&amp;"'!$D$2:$D$501"),L89))</f>
        <v/>
      </c>
      <c r="I89" s="32" t="str">
        <f ca="1">IF(L89="","",INDEX(INDIRECT("'"&amp;'لوحة التحكم'!$K$6&amp;"'!$E$2:$E$501"),L89))</f>
        <v/>
      </c>
      <c r="J89" s="18" t="str">
        <f ca="1">IF(L89="","",INDEX(INDIRECT("'"&amp;'لوحة التحكم'!$K$6&amp;"'!$U$2:$U$501"),L89))</f>
        <v/>
      </c>
      <c r="L89" s="3" t="str">
        <f ca="1">IF('لوحة التحكم'!$K$12=1,IFERROR(MATCH(73,INDIRECT("'"&amp;'لوحة التحكم'!$K$6&amp;"'!$AF$2:$AF$501"),0),""),"")</f>
        <v/>
      </c>
    </row>
    <row r="90" spans="2:12">
      <c r="B90" s="24" t="str">
        <f ca="1">IF(L90="","",74)</f>
        <v/>
      </c>
      <c r="C90" s="18" t="str">
        <f ca="1">IF(L90="","",INDEX(INDIRECT("'"&amp;'لوحة التحكم'!$K$6&amp;"'!$A$2:$A$501"),L90))</f>
        <v/>
      </c>
      <c r="D90" s="31" t="str">
        <f ca="1">IF(L90="","",INDEX(INDIRECT("'"&amp;'لوحة التحكم'!$K$6&amp;"'!$B$2:$B$501"),L90))</f>
        <v/>
      </c>
      <c r="E90" s="24" t="str">
        <f ca="1">IF(L90="","",INDEX(INDIRECT("'"&amp;'لوحة التحكم'!$K$6&amp;"'!$F$2:$F$501"),L90))</f>
        <v/>
      </c>
      <c r="F90" s="32" t="str">
        <f ca="1">IF(L90="","",INDEX(INDIRECT("'"&amp;'لوحة التحكم'!$K$6&amp;"'!$I$2:$I$501"),L90))</f>
        <v/>
      </c>
      <c r="G90" s="32" t="str">
        <f ca="1">IF(L90="","",INDEX(INDIRECT("'"&amp;'لوحة التحكم'!$K$6&amp;"'!$C$2:$C$501"),L90))</f>
        <v/>
      </c>
      <c r="H90" s="32" t="str">
        <f ca="1">IF(L90="","",INDEX(INDIRECT("'"&amp;'لوحة التحكم'!$K$6&amp;"'!$D$2:$D$501"),L90))</f>
        <v/>
      </c>
      <c r="I90" s="32" t="str">
        <f ca="1">IF(L90="","",INDEX(INDIRECT("'"&amp;'لوحة التحكم'!$K$6&amp;"'!$E$2:$E$501"),L90))</f>
        <v/>
      </c>
      <c r="J90" s="18" t="str">
        <f ca="1">IF(L90="","",INDEX(INDIRECT("'"&amp;'لوحة التحكم'!$K$6&amp;"'!$U$2:$U$501"),L90))</f>
        <v/>
      </c>
      <c r="L90" s="3" t="str">
        <f ca="1">IF('لوحة التحكم'!$K$12=1,IFERROR(MATCH(74,INDIRECT("'"&amp;'لوحة التحكم'!$K$6&amp;"'!$AF$2:$AF$501"),0),""),"")</f>
        <v/>
      </c>
    </row>
    <row r="91" spans="2:12">
      <c r="B91" s="24" t="str">
        <f ca="1">IF(L91="","",75)</f>
        <v/>
      </c>
      <c r="C91" s="18" t="str">
        <f ca="1">IF(L91="","",INDEX(INDIRECT("'"&amp;'لوحة التحكم'!$K$6&amp;"'!$A$2:$A$501"),L91))</f>
        <v/>
      </c>
      <c r="D91" s="31" t="str">
        <f ca="1">IF(L91="","",INDEX(INDIRECT("'"&amp;'لوحة التحكم'!$K$6&amp;"'!$B$2:$B$501"),L91))</f>
        <v/>
      </c>
      <c r="E91" s="24" t="str">
        <f ca="1">IF(L91="","",INDEX(INDIRECT("'"&amp;'لوحة التحكم'!$K$6&amp;"'!$F$2:$F$501"),L91))</f>
        <v/>
      </c>
      <c r="F91" s="32" t="str">
        <f ca="1">IF(L91="","",INDEX(INDIRECT("'"&amp;'لوحة التحكم'!$K$6&amp;"'!$I$2:$I$501"),L91))</f>
        <v/>
      </c>
      <c r="G91" s="32" t="str">
        <f ca="1">IF(L91="","",INDEX(INDIRECT("'"&amp;'لوحة التحكم'!$K$6&amp;"'!$C$2:$C$501"),L91))</f>
        <v/>
      </c>
      <c r="H91" s="32" t="str">
        <f ca="1">IF(L91="","",INDEX(INDIRECT("'"&amp;'لوحة التحكم'!$K$6&amp;"'!$D$2:$D$501"),L91))</f>
        <v/>
      </c>
      <c r="I91" s="32" t="str">
        <f ca="1">IF(L91="","",INDEX(INDIRECT("'"&amp;'لوحة التحكم'!$K$6&amp;"'!$E$2:$E$501"),L91))</f>
        <v/>
      </c>
      <c r="J91" s="18" t="str">
        <f ca="1">IF(L91="","",INDEX(INDIRECT("'"&amp;'لوحة التحكم'!$K$6&amp;"'!$U$2:$U$501"),L91))</f>
        <v/>
      </c>
      <c r="L91" s="3" t="str">
        <f ca="1">IF('لوحة التحكم'!$K$12=1,IFERROR(MATCH(75,INDIRECT("'"&amp;'لوحة التحكم'!$K$6&amp;"'!$AF$2:$AF$501"),0),""),"")</f>
        <v/>
      </c>
    </row>
    <row r="92" spans="2:12">
      <c r="B92" s="24" t="str">
        <f ca="1">IF(L92="","",76)</f>
        <v/>
      </c>
      <c r="C92" s="18" t="str">
        <f ca="1">IF(L92="","",INDEX(INDIRECT("'"&amp;'لوحة التحكم'!$K$6&amp;"'!$A$2:$A$501"),L92))</f>
        <v/>
      </c>
      <c r="D92" s="31" t="str">
        <f ca="1">IF(L92="","",INDEX(INDIRECT("'"&amp;'لوحة التحكم'!$K$6&amp;"'!$B$2:$B$501"),L92))</f>
        <v/>
      </c>
      <c r="E92" s="24" t="str">
        <f ca="1">IF(L92="","",INDEX(INDIRECT("'"&amp;'لوحة التحكم'!$K$6&amp;"'!$F$2:$F$501"),L92))</f>
        <v/>
      </c>
      <c r="F92" s="32" t="str">
        <f ca="1">IF(L92="","",INDEX(INDIRECT("'"&amp;'لوحة التحكم'!$K$6&amp;"'!$I$2:$I$501"),L92))</f>
        <v/>
      </c>
      <c r="G92" s="32" t="str">
        <f ca="1">IF(L92="","",INDEX(INDIRECT("'"&amp;'لوحة التحكم'!$K$6&amp;"'!$C$2:$C$501"),L92))</f>
        <v/>
      </c>
      <c r="H92" s="32" t="str">
        <f ca="1">IF(L92="","",INDEX(INDIRECT("'"&amp;'لوحة التحكم'!$K$6&amp;"'!$D$2:$D$501"),L92))</f>
        <v/>
      </c>
      <c r="I92" s="32" t="str">
        <f ca="1">IF(L92="","",INDEX(INDIRECT("'"&amp;'لوحة التحكم'!$K$6&amp;"'!$E$2:$E$501"),L92))</f>
        <v/>
      </c>
      <c r="J92" s="18" t="str">
        <f ca="1">IF(L92="","",INDEX(INDIRECT("'"&amp;'لوحة التحكم'!$K$6&amp;"'!$U$2:$U$501"),L92))</f>
        <v/>
      </c>
      <c r="L92" s="3" t="str">
        <f ca="1">IF('لوحة التحكم'!$K$12=1,IFERROR(MATCH(76,INDIRECT("'"&amp;'لوحة التحكم'!$K$6&amp;"'!$AF$2:$AF$501"),0),""),"")</f>
        <v/>
      </c>
    </row>
    <row r="93" spans="2:12">
      <c r="B93" s="24" t="str">
        <f ca="1">IF(L93="","",77)</f>
        <v/>
      </c>
      <c r="C93" s="18" t="str">
        <f ca="1">IF(L93="","",INDEX(INDIRECT("'"&amp;'لوحة التحكم'!$K$6&amp;"'!$A$2:$A$501"),L93))</f>
        <v/>
      </c>
      <c r="D93" s="31" t="str">
        <f ca="1">IF(L93="","",INDEX(INDIRECT("'"&amp;'لوحة التحكم'!$K$6&amp;"'!$B$2:$B$501"),L93))</f>
        <v/>
      </c>
      <c r="E93" s="24" t="str">
        <f ca="1">IF(L93="","",INDEX(INDIRECT("'"&amp;'لوحة التحكم'!$K$6&amp;"'!$F$2:$F$501"),L93))</f>
        <v/>
      </c>
      <c r="F93" s="32" t="str">
        <f ca="1">IF(L93="","",INDEX(INDIRECT("'"&amp;'لوحة التحكم'!$K$6&amp;"'!$I$2:$I$501"),L93))</f>
        <v/>
      </c>
      <c r="G93" s="32" t="str">
        <f ca="1">IF(L93="","",INDEX(INDIRECT("'"&amp;'لوحة التحكم'!$K$6&amp;"'!$C$2:$C$501"),L93))</f>
        <v/>
      </c>
      <c r="H93" s="32" t="str">
        <f ca="1">IF(L93="","",INDEX(INDIRECT("'"&amp;'لوحة التحكم'!$K$6&amp;"'!$D$2:$D$501"),L93))</f>
        <v/>
      </c>
      <c r="I93" s="32" t="str">
        <f ca="1">IF(L93="","",INDEX(INDIRECT("'"&amp;'لوحة التحكم'!$K$6&amp;"'!$E$2:$E$501"),L93))</f>
        <v/>
      </c>
      <c r="J93" s="18" t="str">
        <f ca="1">IF(L93="","",INDEX(INDIRECT("'"&amp;'لوحة التحكم'!$K$6&amp;"'!$U$2:$U$501"),L93))</f>
        <v/>
      </c>
      <c r="L93" s="3" t="str">
        <f ca="1">IF('لوحة التحكم'!$K$12=1,IFERROR(MATCH(77,INDIRECT("'"&amp;'لوحة التحكم'!$K$6&amp;"'!$AF$2:$AF$501"),0),""),"")</f>
        <v/>
      </c>
    </row>
    <row r="94" spans="2:12">
      <c r="B94" s="24" t="str">
        <f ca="1">IF(L94="","",78)</f>
        <v/>
      </c>
      <c r="C94" s="18" t="str">
        <f ca="1">IF(L94="","",INDEX(INDIRECT("'"&amp;'لوحة التحكم'!$K$6&amp;"'!$A$2:$A$501"),L94))</f>
        <v/>
      </c>
      <c r="D94" s="31" t="str">
        <f ca="1">IF(L94="","",INDEX(INDIRECT("'"&amp;'لوحة التحكم'!$K$6&amp;"'!$B$2:$B$501"),L94))</f>
        <v/>
      </c>
      <c r="E94" s="24" t="str">
        <f ca="1">IF(L94="","",INDEX(INDIRECT("'"&amp;'لوحة التحكم'!$K$6&amp;"'!$F$2:$F$501"),L94))</f>
        <v/>
      </c>
      <c r="F94" s="32" t="str">
        <f ca="1">IF(L94="","",INDEX(INDIRECT("'"&amp;'لوحة التحكم'!$K$6&amp;"'!$I$2:$I$501"),L94))</f>
        <v/>
      </c>
      <c r="G94" s="32" t="str">
        <f ca="1">IF(L94="","",INDEX(INDIRECT("'"&amp;'لوحة التحكم'!$K$6&amp;"'!$C$2:$C$501"),L94))</f>
        <v/>
      </c>
      <c r="H94" s="32" t="str">
        <f ca="1">IF(L94="","",INDEX(INDIRECT("'"&amp;'لوحة التحكم'!$K$6&amp;"'!$D$2:$D$501"),L94))</f>
        <v/>
      </c>
      <c r="I94" s="32" t="str">
        <f ca="1">IF(L94="","",INDEX(INDIRECT("'"&amp;'لوحة التحكم'!$K$6&amp;"'!$E$2:$E$501"),L94))</f>
        <v/>
      </c>
      <c r="J94" s="18" t="str">
        <f ca="1">IF(L94="","",INDEX(INDIRECT("'"&amp;'لوحة التحكم'!$K$6&amp;"'!$U$2:$U$501"),L94))</f>
        <v/>
      </c>
      <c r="L94" s="3" t="str">
        <f ca="1">IF('لوحة التحكم'!$K$12=1,IFERROR(MATCH(78,INDIRECT("'"&amp;'لوحة التحكم'!$K$6&amp;"'!$AF$2:$AF$501"),0),""),"")</f>
        <v/>
      </c>
    </row>
    <row r="95" spans="2:12">
      <c r="B95" s="24" t="str">
        <f ca="1">IF(L95="","",79)</f>
        <v/>
      </c>
      <c r="C95" s="18" t="str">
        <f ca="1">IF(L95="","",INDEX(INDIRECT("'"&amp;'لوحة التحكم'!$K$6&amp;"'!$A$2:$A$501"),L95))</f>
        <v/>
      </c>
      <c r="D95" s="31" t="str">
        <f ca="1">IF(L95="","",INDEX(INDIRECT("'"&amp;'لوحة التحكم'!$K$6&amp;"'!$B$2:$B$501"),L95))</f>
        <v/>
      </c>
      <c r="E95" s="24" t="str">
        <f ca="1">IF(L95="","",INDEX(INDIRECT("'"&amp;'لوحة التحكم'!$K$6&amp;"'!$F$2:$F$501"),L95))</f>
        <v/>
      </c>
      <c r="F95" s="32" t="str">
        <f ca="1">IF(L95="","",INDEX(INDIRECT("'"&amp;'لوحة التحكم'!$K$6&amp;"'!$I$2:$I$501"),L95))</f>
        <v/>
      </c>
      <c r="G95" s="32" t="str">
        <f ca="1">IF(L95="","",INDEX(INDIRECT("'"&amp;'لوحة التحكم'!$K$6&amp;"'!$C$2:$C$501"),L95))</f>
        <v/>
      </c>
      <c r="H95" s="32" t="str">
        <f ca="1">IF(L95="","",INDEX(INDIRECT("'"&amp;'لوحة التحكم'!$K$6&amp;"'!$D$2:$D$501"),L95))</f>
        <v/>
      </c>
      <c r="I95" s="32" t="str">
        <f ca="1">IF(L95="","",INDEX(INDIRECT("'"&amp;'لوحة التحكم'!$K$6&amp;"'!$E$2:$E$501"),L95))</f>
        <v/>
      </c>
      <c r="J95" s="18" t="str">
        <f ca="1">IF(L95="","",INDEX(INDIRECT("'"&amp;'لوحة التحكم'!$K$6&amp;"'!$U$2:$U$501"),L95))</f>
        <v/>
      </c>
      <c r="L95" s="3" t="str">
        <f ca="1">IF('لوحة التحكم'!$K$12=1,IFERROR(MATCH(79,INDIRECT("'"&amp;'لوحة التحكم'!$K$6&amp;"'!$AF$2:$AF$501"),0),""),"")</f>
        <v/>
      </c>
    </row>
    <row r="96" spans="2:12">
      <c r="B96" s="24" t="str">
        <f ca="1">IF(L96="","",80)</f>
        <v/>
      </c>
      <c r="C96" s="18" t="str">
        <f ca="1">IF(L96="","",INDEX(INDIRECT("'"&amp;'لوحة التحكم'!$K$6&amp;"'!$A$2:$A$501"),L96))</f>
        <v/>
      </c>
      <c r="D96" s="31" t="str">
        <f ca="1">IF(L96="","",INDEX(INDIRECT("'"&amp;'لوحة التحكم'!$K$6&amp;"'!$B$2:$B$501"),L96))</f>
        <v/>
      </c>
      <c r="E96" s="24" t="str">
        <f ca="1">IF(L96="","",INDEX(INDIRECT("'"&amp;'لوحة التحكم'!$K$6&amp;"'!$F$2:$F$501"),L96))</f>
        <v/>
      </c>
      <c r="F96" s="32" t="str">
        <f ca="1">IF(L96="","",INDEX(INDIRECT("'"&amp;'لوحة التحكم'!$K$6&amp;"'!$I$2:$I$501"),L96))</f>
        <v/>
      </c>
      <c r="G96" s="32" t="str">
        <f ca="1">IF(L96="","",INDEX(INDIRECT("'"&amp;'لوحة التحكم'!$K$6&amp;"'!$C$2:$C$501"),L96))</f>
        <v/>
      </c>
      <c r="H96" s="32" t="str">
        <f ca="1">IF(L96="","",INDEX(INDIRECT("'"&amp;'لوحة التحكم'!$K$6&amp;"'!$D$2:$D$501"),L96))</f>
        <v/>
      </c>
      <c r="I96" s="32" t="str">
        <f ca="1">IF(L96="","",INDEX(INDIRECT("'"&amp;'لوحة التحكم'!$K$6&amp;"'!$E$2:$E$501"),L96))</f>
        <v/>
      </c>
      <c r="J96" s="18" t="str">
        <f ca="1">IF(L96="","",INDEX(INDIRECT("'"&amp;'لوحة التحكم'!$K$6&amp;"'!$U$2:$U$501"),L96))</f>
        <v/>
      </c>
      <c r="L96" s="3" t="str">
        <f ca="1">IF('لوحة التحكم'!$K$12=1,IFERROR(MATCH(80,INDIRECT("'"&amp;'لوحة التحكم'!$K$6&amp;"'!$AF$2:$AF$501"),0),""),"")</f>
        <v/>
      </c>
    </row>
    <row r="97" spans="2:12">
      <c r="B97" s="24" t="str">
        <f ca="1">IF(L97="","",81)</f>
        <v/>
      </c>
      <c r="C97" s="18" t="str">
        <f ca="1">IF(L97="","",INDEX(INDIRECT("'"&amp;'لوحة التحكم'!$K$6&amp;"'!$A$2:$A$501"),L97))</f>
        <v/>
      </c>
      <c r="D97" s="31" t="str">
        <f ca="1">IF(L97="","",INDEX(INDIRECT("'"&amp;'لوحة التحكم'!$K$6&amp;"'!$B$2:$B$501"),L97))</f>
        <v/>
      </c>
      <c r="E97" s="24" t="str">
        <f ca="1">IF(L97="","",INDEX(INDIRECT("'"&amp;'لوحة التحكم'!$K$6&amp;"'!$F$2:$F$501"),L97))</f>
        <v/>
      </c>
      <c r="F97" s="32" t="str">
        <f ca="1">IF(L97="","",INDEX(INDIRECT("'"&amp;'لوحة التحكم'!$K$6&amp;"'!$I$2:$I$501"),L97))</f>
        <v/>
      </c>
      <c r="G97" s="32" t="str">
        <f ca="1">IF(L97="","",INDEX(INDIRECT("'"&amp;'لوحة التحكم'!$K$6&amp;"'!$C$2:$C$501"),L97))</f>
        <v/>
      </c>
      <c r="H97" s="32" t="str">
        <f ca="1">IF(L97="","",INDEX(INDIRECT("'"&amp;'لوحة التحكم'!$K$6&amp;"'!$D$2:$D$501"),L97))</f>
        <v/>
      </c>
      <c r="I97" s="32" t="str">
        <f ca="1">IF(L97="","",INDEX(INDIRECT("'"&amp;'لوحة التحكم'!$K$6&amp;"'!$E$2:$E$501"),L97))</f>
        <v/>
      </c>
      <c r="J97" s="18" t="str">
        <f ca="1">IF(L97="","",INDEX(INDIRECT("'"&amp;'لوحة التحكم'!$K$6&amp;"'!$U$2:$U$501"),L97))</f>
        <v/>
      </c>
      <c r="L97" s="3" t="str">
        <f ca="1">IF('لوحة التحكم'!$K$12=1,IFERROR(MATCH(81,INDIRECT("'"&amp;'لوحة التحكم'!$K$6&amp;"'!$AF$2:$AF$501"),0),""),"")</f>
        <v/>
      </c>
    </row>
    <row r="98" spans="2:12">
      <c r="B98" s="24" t="str">
        <f ca="1">IF(L98="","",82)</f>
        <v/>
      </c>
      <c r="C98" s="18" t="str">
        <f ca="1">IF(L98="","",INDEX(INDIRECT("'"&amp;'لوحة التحكم'!$K$6&amp;"'!$A$2:$A$501"),L98))</f>
        <v/>
      </c>
      <c r="D98" s="31" t="str">
        <f ca="1">IF(L98="","",INDEX(INDIRECT("'"&amp;'لوحة التحكم'!$K$6&amp;"'!$B$2:$B$501"),L98))</f>
        <v/>
      </c>
      <c r="E98" s="24" t="str">
        <f ca="1">IF(L98="","",INDEX(INDIRECT("'"&amp;'لوحة التحكم'!$K$6&amp;"'!$F$2:$F$501"),L98))</f>
        <v/>
      </c>
      <c r="F98" s="32" t="str">
        <f ca="1">IF(L98="","",INDEX(INDIRECT("'"&amp;'لوحة التحكم'!$K$6&amp;"'!$I$2:$I$501"),L98))</f>
        <v/>
      </c>
      <c r="G98" s="32" t="str">
        <f ca="1">IF(L98="","",INDEX(INDIRECT("'"&amp;'لوحة التحكم'!$K$6&amp;"'!$C$2:$C$501"),L98))</f>
        <v/>
      </c>
      <c r="H98" s="32" t="str">
        <f ca="1">IF(L98="","",INDEX(INDIRECT("'"&amp;'لوحة التحكم'!$K$6&amp;"'!$D$2:$D$501"),L98))</f>
        <v/>
      </c>
      <c r="I98" s="32" t="str">
        <f ca="1">IF(L98="","",INDEX(INDIRECT("'"&amp;'لوحة التحكم'!$K$6&amp;"'!$E$2:$E$501"),L98))</f>
        <v/>
      </c>
      <c r="J98" s="18" t="str">
        <f ca="1">IF(L98="","",INDEX(INDIRECT("'"&amp;'لوحة التحكم'!$K$6&amp;"'!$U$2:$U$501"),L98))</f>
        <v/>
      </c>
      <c r="L98" s="3" t="str">
        <f ca="1">IF('لوحة التحكم'!$K$12=1,IFERROR(MATCH(82,INDIRECT("'"&amp;'لوحة التحكم'!$K$6&amp;"'!$AF$2:$AF$501"),0),""),"")</f>
        <v/>
      </c>
    </row>
    <row r="99" spans="2:12">
      <c r="B99" s="24" t="str">
        <f ca="1">IF(L99="","",83)</f>
        <v/>
      </c>
      <c r="C99" s="18" t="str">
        <f ca="1">IF(L99="","",INDEX(INDIRECT("'"&amp;'لوحة التحكم'!$K$6&amp;"'!$A$2:$A$501"),L99))</f>
        <v/>
      </c>
      <c r="D99" s="31" t="str">
        <f ca="1">IF(L99="","",INDEX(INDIRECT("'"&amp;'لوحة التحكم'!$K$6&amp;"'!$B$2:$B$501"),L99))</f>
        <v/>
      </c>
      <c r="E99" s="24" t="str">
        <f ca="1">IF(L99="","",INDEX(INDIRECT("'"&amp;'لوحة التحكم'!$K$6&amp;"'!$F$2:$F$501"),L99))</f>
        <v/>
      </c>
      <c r="F99" s="32" t="str">
        <f ca="1">IF(L99="","",INDEX(INDIRECT("'"&amp;'لوحة التحكم'!$K$6&amp;"'!$I$2:$I$501"),L99))</f>
        <v/>
      </c>
      <c r="G99" s="32" t="str">
        <f ca="1">IF(L99="","",INDEX(INDIRECT("'"&amp;'لوحة التحكم'!$K$6&amp;"'!$C$2:$C$501"),L99))</f>
        <v/>
      </c>
      <c r="H99" s="32" t="str">
        <f ca="1">IF(L99="","",INDEX(INDIRECT("'"&amp;'لوحة التحكم'!$K$6&amp;"'!$D$2:$D$501"),L99))</f>
        <v/>
      </c>
      <c r="I99" s="32" t="str">
        <f ca="1">IF(L99="","",INDEX(INDIRECT("'"&amp;'لوحة التحكم'!$K$6&amp;"'!$E$2:$E$501"),L99))</f>
        <v/>
      </c>
      <c r="J99" s="18" t="str">
        <f ca="1">IF(L99="","",INDEX(INDIRECT("'"&amp;'لوحة التحكم'!$K$6&amp;"'!$U$2:$U$501"),L99))</f>
        <v/>
      </c>
      <c r="L99" s="3" t="str">
        <f ca="1">IF('لوحة التحكم'!$K$12=1,IFERROR(MATCH(83,INDIRECT("'"&amp;'لوحة التحكم'!$K$6&amp;"'!$AF$2:$AF$501"),0),""),"")</f>
        <v/>
      </c>
    </row>
    <row r="100" spans="2:12">
      <c r="B100" s="24" t="str">
        <f ca="1">IF(L100="","",84)</f>
        <v/>
      </c>
      <c r="C100" s="18" t="str">
        <f ca="1">IF(L100="","",INDEX(INDIRECT("'"&amp;'لوحة التحكم'!$K$6&amp;"'!$A$2:$A$501"),L100))</f>
        <v/>
      </c>
      <c r="D100" s="31" t="str">
        <f ca="1">IF(L100="","",INDEX(INDIRECT("'"&amp;'لوحة التحكم'!$K$6&amp;"'!$B$2:$B$501"),L100))</f>
        <v/>
      </c>
      <c r="E100" s="24" t="str">
        <f ca="1">IF(L100="","",INDEX(INDIRECT("'"&amp;'لوحة التحكم'!$K$6&amp;"'!$F$2:$F$501"),L100))</f>
        <v/>
      </c>
      <c r="F100" s="32" t="str">
        <f ca="1">IF(L100="","",INDEX(INDIRECT("'"&amp;'لوحة التحكم'!$K$6&amp;"'!$I$2:$I$501"),L100))</f>
        <v/>
      </c>
      <c r="G100" s="32" t="str">
        <f ca="1">IF(L100="","",INDEX(INDIRECT("'"&amp;'لوحة التحكم'!$K$6&amp;"'!$C$2:$C$501"),L100))</f>
        <v/>
      </c>
      <c r="H100" s="32" t="str">
        <f ca="1">IF(L100="","",INDEX(INDIRECT("'"&amp;'لوحة التحكم'!$K$6&amp;"'!$D$2:$D$501"),L100))</f>
        <v/>
      </c>
      <c r="I100" s="32" t="str">
        <f ca="1">IF(L100="","",INDEX(INDIRECT("'"&amp;'لوحة التحكم'!$K$6&amp;"'!$E$2:$E$501"),L100))</f>
        <v/>
      </c>
      <c r="J100" s="18" t="str">
        <f ca="1">IF(L100="","",INDEX(INDIRECT("'"&amp;'لوحة التحكم'!$K$6&amp;"'!$U$2:$U$501"),L100))</f>
        <v/>
      </c>
      <c r="L100" s="3" t="str">
        <f ca="1">IF('لوحة التحكم'!$K$12=1,IFERROR(MATCH(84,INDIRECT("'"&amp;'لوحة التحكم'!$K$6&amp;"'!$AF$2:$AF$501"),0),""),"")</f>
        <v/>
      </c>
    </row>
    <row r="101" spans="2:12">
      <c r="B101" s="24" t="str">
        <f ca="1">IF(L101="","",85)</f>
        <v/>
      </c>
      <c r="C101" s="18" t="str">
        <f ca="1">IF(L101="","",INDEX(INDIRECT("'"&amp;'لوحة التحكم'!$K$6&amp;"'!$A$2:$A$501"),L101))</f>
        <v/>
      </c>
      <c r="D101" s="31" t="str">
        <f ca="1">IF(L101="","",INDEX(INDIRECT("'"&amp;'لوحة التحكم'!$K$6&amp;"'!$B$2:$B$501"),L101))</f>
        <v/>
      </c>
      <c r="E101" s="24" t="str">
        <f ca="1">IF(L101="","",INDEX(INDIRECT("'"&amp;'لوحة التحكم'!$K$6&amp;"'!$F$2:$F$501"),L101))</f>
        <v/>
      </c>
      <c r="F101" s="32" t="str">
        <f ca="1">IF(L101="","",INDEX(INDIRECT("'"&amp;'لوحة التحكم'!$K$6&amp;"'!$I$2:$I$501"),L101))</f>
        <v/>
      </c>
      <c r="G101" s="32" t="str">
        <f ca="1">IF(L101="","",INDEX(INDIRECT("'"&amp;'لوحة التحكم'!$K$6&amp;"'!$C$2:$C$501"),L101))</f>
        <v/>
      </c>
      <c r="H101" s="32" t="str">
        <f ca="1">IF(L101="","",INDEX(INDIRECT("'"&amp;'لوحة التحكم'!$K$6&amp;"'!$D$2:$D$501"),L101))</f>
        <v/>
      </c>
      <c r="I101" s="32" t="str">
        <f ca="1">IF(L101="","",INDEX(INDIRECT("'"&amp;'لوحة التحكم'!$K$6&amp;"'!$E$2:$E$501"),L101))</f>
        <v/>
      </c>
      <c r="J101" s="18" t="str">
        <f ca="1">IF(L101="","",INDEX(INDIRECT("'"&amp;'لوحة التحكم'!$K$6&amp;"'!$U$2:$U$501"),L101))</f>
        <v/>
      </c>
      <c r="L101" s="3" t="str">
        <f ca="1">IF('لوحة التحكم'!$K$12=1,IFERROR(MATCH(85,INDIRECT("'"&amp;'لوحة التحكم'!$K$6&amp;"'!$AF$2:$AF$501"),0),""),"")</f>
        <v/>
      </c>
    </row>
    <row r="102" spans="2:12">
      <c r="B102" s="24" t="str">
        <f ca="1">IF(L102="","",86)</f>
        <v/>
      </c>
      <c r="C102" s="18" t="str">
        <f ca="1">IF(L102="","",INDEX(INDIRECT("'"&amp;'لوحة التحكم'!$K$6&amp;"'!$A$2:$A$501"),L102))</f>
        <v/>
      </c>
      <c r="D102" s="31" t="str">
        <f ca="1">IF(L102="","",INDEX(INDIRECT("'"&amp;'لوحة التحكم'!$K$6&amp;"'!$B$2:$B$501"),L102))</f>
        <v/>
      </c>
      <c r="E102" s="24" t="str">
        <f ca="1">IF(L102="","",INDEX(INDIRECT("'"&amp;'لوحة التحكم'!$K$6&amp;"'!$F$2:$F$501"),L102))</f>
        <v/>
      </c>
      <c r="F102" s="32" t="str">
        <f ca="1">IF(L102="","",INDEX(INDIRECT("'"&amp;'لوحة التحكم'!$K$6&amp;"'!$I$2:$I$501"),L102))</f>
        <v/>
      </c>
      <c r="G102" s="32" t="str">
        <f ca="1">IF(L102="","",INDEX(INDIRECT("'"&amp;'لوحة التحكم'!$K$6&amp;"'!$C$2:$C$501"),L102))</f>
        <v/>
      </c>
      <c r="H102" s="32" t="str">
        <f ca="1">IF(L102="","",INDEX(INDIRECT("'"&amp;'لوحة التحكم'!$K$6&amp;"'!$D$2:$D$501"),L102))</f>
        <v/>
      </c>
      <c r="I102" s="32" t="str">
        <f ca="1">IF(L102="","",INDEX(INDIRECT("'"&amp;'لوحة التحكم'!$K$6&amp;"'!$E$2:$E$501"),L102))</f>
        <v/>
      </c>
      <c r="J102" s="18" t="str">
        <f ca="1">IF(L102="","",INDEX(INDIRECT("'"&amp;'لوحة التحكم'!$K$6&amp;"'!$U$2:$U$501"),L102))</f>
        <v/>
      </c>
      <c r="L102" s="3" t="str">
        <f ca="1">IF('لوحة التحكم'!$K$12=1,IFERROR(MATCH(86,INDIRECT("'"&amp;'لوحة التحكم'!$K$6&amp;"'!$AF$2:$AF$501"),0),""),"")</f>
        <v/>
      </c>
    </row>
    <row r="103" spans="2:12">
      <c r="B103" s="24" t="str">
        <f ca="1">IF(L103="","",87)</f>
        <v/>
      </c>
      <c r="C103" s="18" t="str">
        <f ca="1">IF(L103="","",INDEX(INDIRECT("'"&amp;'لوحة التحكم'!$K$6&amp;"'!$A$2:$A$501"),L103))</f>
        <v/>
      </c>
      <c r="D103" s="31" t="str">
        <f ca="1">IF(L103="","",INDEX(INDIRECT("'"&amp;'لوحة التحكم'!$K$6&amp;"'!$B$2:$B$501"),L103))</f>
        <v/>
      </c>
      <c r="E103" s="24" t="str">
        <f ca="1">IF(L103="","",INDEX(INDIRECT("'"&amp;'لوحة التحكم'!$K$6&amp;"'!$F$2:$F$501"),L103))</f>
        <v/>
      </c>
      <c r="F103" s="32" t="str">
        <f ca="1">IF(L103="","",INDEX(INDIRECT("'"&amp;'لوحة التحكم'!$K$6&amp;"'!$I$2:$I$501"),L103))</f>
        <v/>
      </c>
      <c r="G103" s="32" t="str">
        <f ca="1">IF(L103="","",INDEX(INDIRECT("'"&amp;'لوحة التحكم'!$K$6&amp;"'!$C$2:$C$501"),L103))</f>
        <v/>
      </c>
      <c r="H103" s="32" t="str">
        <f ca="1">IF(L103="","",INDEX(INDIRECT("'"&amp;'لوحة التحكم'!$K$6&amp;"'!$D$2:$D$501"),L103))</f>
        <v/>
      </c>
      <c r="I103" s="32" t="str">
        <f ca="1">IF(L103="","",INDEX(INDIRECT("'"&amp;'لوحة التحكم'!$K$6&amp;"'!$E$2:$E$501"),L103))</f>
        <v/>
      </c>
      <c r="J103" s="18" t="str">
        <f ca="1">IF(L103="","",INDEX(INDIRECT("'"&amp;'لوحة التحكم'!$K$6&amp;"'!$U$2:$U$501"),L103))</f>
        <v/>
      </c>
      <c r="L103" s="3" t="str">
        <f ca="1">IF('لوحة التحكم'!$K$12=1,IFERROR(MATCH(87,INDIRECT("'"&amp;'لوحة التحكم'!$K$6&amp;"'!$AF$2:$AF$501"),0),""),"")</f>
        <v/>
      </c>
    </row>
    <row r="104" spans="2:12">
      <c r="B104" s="24" t="str">
        <f ca="1">IF(L104="","",88)</f>
        <v/>
      </c>
      <c r="C104" s="18" t="str">
        <f ca="1">IF(L104="","",INDEX(INDIRECT("'"&amp;'لوحة التحكم'!$K$6&amp;"'!$A$2:$A$501"),L104))</f>
        <v/>
      </c>
      <c r="D104" s="31" t="str">
        <f ca="1">IF(L104="","",INDEX(INDIRECT("'"&amp;'لوحة التحكم'!$K$6&amp;"'!$B$2:$B$501"),L104))</f>
        <v/>
      </c>
      <c r="E104" s="24" t="str">
        <f ca="1">IF(L104="","",INDEX(INDIRECT("'"&amp;'لوحة التحكم'!$K$6&amp;"'!$F$2:$F$501"),L104))</f>
        <v/>
      </c>
      <c r="F104" s="32" t="str">
        <f ca="1">IF(L104="","",INDEX(INDIRECT("'"&amp;'لوحة التحكم'!$K$6&amp;"'!$I$2:$I$501"),L104))</f>
        <v/>
      </c>
      <c r="G104" s="32" t="str">
        <f ca="1">IF(L104="","",INDEX(INDIRECT("'"&amp;'لوحة التحكم'!$K$6&amp;"'!$C$2:$C$501"),L104))</f>
        <v/>
      </c>
      <c r="H104" s="32" t="str">
        <f ca="1">IF(L104="","",INDEX(INDIRECT("'"&amp;'لوحة التحكم'!$K$6&amp;"'!$D$2:$D$501"),L104))</f>
        <v/>
      </c>
      <c r="I104" s="32" t="str">
        <f ca="1">IF(L104="","",INDEX(INDIRECT("'"&amp;'لوحة التحكم'!$K$6&amp;"'!$E$2:$E$501"),L104))</f>
        <v/>
      </c>
      <c r="J104" s="18" t="str">
        <f ca="1">IF(L104="","",INDEX(INDIRECT("'"&amp;'لوحة التحكم'!$K$6&amp;"'!$U$2:$U$501"),L104))</f>
        <v/>
      </c>
      <c r="L104" s="3" t="str">
        <f ca="1">IF('لوحة التحكم'!$K$12=1,IFERROR(MATCH(88,INDIRECT("'"&amp;'لوحة التحكم'!$K$6&amp;"'!$AF$2:$AF$501"),0),""),"")</f>
        <v/>
      </c>
    </row>
    <row r="105" spans="2:12">
      <c r="B105" s="24" t="str">
        <f ca="1">IF(L105="","",89)</f>
        <v/>
      </c>
      <c r="C105" s="18" t="str">
        <f ca="1">IF(L105="","",INDEX(INDIRECT("'"&amp;'لوحة التحكم'!$K$6&amp;"'!$A$2:$A$501"),L105))</f>
        <v/>
      </c>
      <c r="D105" s="31" t="str">
        <f ca="1">IF(L105="","",INDEX(INDIRECT("'"&amp;'لوحة التحكم'!$K$6&amp;"'!$B$2:$B$501"),L105))</f>
        <v/>
      </c>
      <c r="E105" s="24" t="str">
        <f ca="1">IF(L105="","",INDEX(INDIRECT("'"&amp;'لوحة التحكم'!$K$6&amp;"'!$F$2:$F$501"),L105))</f>
        <v/>
      </c>
      <c r="F105" s="32" t="str">
        <f ca="1">IF(L105="","",INDEX(INDIRECT("'"&amp;'لوحة التحكم'!$K$6&amp;"'!$I$2:$I$501"),L105))</f>
        <v/>
      </c>
      <c r="G105" s="32" t="str">
        <f ca="1">IF(L105="","",INDEX(INDIRECT("'"&amp;'لوحة التحكم'!$K$6&amp;"'!$C$2:$C$501"),L105))</f>
        <v/>
      </c>
      <c r="H105" s="32" t="str">
        <f ca="1">IF(L105="","",INDEX(INDIRECT("'"&amp;'لوحة التحكم'!$K$6&amp;"'!$D$2:$D$501"),L105))</f>
        <v/>
      </c>
      <c r="I105" s="32" t="str">
        <f ca="1">IF(L105="","",INDEX(INDIRECT("'"&amp;'لوحة التحكم'!$K$6&amp;"'!$E$2:$E$501"),L105))</f>
        <v/>
      </c>
      <c r="J105" s="18" t="str">
        <f ca="1">IF(L105="","",INDEX(INDIRECT("'"&amp;'لوحة التحكم'!$K$6&amp;"'!$U$2:$U$501"),L105))</f>
        <v/>
      </c>
      <c r="L105" s="3" t="str">
        <f ca="1">IF('لوحة التحكم'!$K$12=1,IFERROR(MATCH(89,INDIRECT("'"&amp;'لوحة التحكم'!$K$6&amp;"'!$AF$2:$AF$501"),0),""),"")</f>
        <v/>
      </c>
    </row>
    <row r="106" spans="2:12">
      <c r="B106" s="24" t="str">
        <f ca="1">IF(L106="","",90)</f>
        <v/>
      </c>
      <c r="C106" s="18" t="str">
        <f ca="1">IF(L106="","",INDEX(INDIRECT("'"&amp;'لوحة التحكم'!$K$6&amp;"'!$A$2:$A$501"),L106))</f>
        <v/>
      </c>
      <c r="D106" s="31" t="str">
        <f ca="1">IF(L106="","",INDEX(INDIRECT("'"&amp;'لوحة التحكم'!$K$6&amp;"'!$B$2:$B$501"),L106))</f>
        <v/>
      </c>
      <c r="E106" s="24" t="str">
        <f ca="1">IF(L106="","",INDEX(INDIRECT("'"&amp;'لوحة التحكم'!$K$6&amp;"'!$F$2:$F$501"),L106))</f>
        <v/>
      </c>
      <c r="F106" s="32" t="str">
        <f ca="1">IF(L106="","",INDEX(INDIRECT("'"&amp;'لوحة التحكم'!$K$6&amp;"'!$I$2:$I$501"),L106))</f>
        <v/>
      </c>
      <c r="G106" s="32" t="str">
        <f ca="1">IF(L106="","",INDEX(INDIRECT("'"&amp;'لوحة التحكم'!$K$6&amp;"'!$C$2:$C$501"),L106))</f>
        <v/>
      </c>
      <c r="H106" s="32" t="str">
        <f ca="1">IF(L106="","",INDEX(INDIRECT("'"&amp;'لوحة التحكم'!$K$6&amp;"'!$D$2:$D$501"),L106))</f>
        <v/>
      </c>
      <c r="I106" s="32" t="str">
        <f ca="1">IF(L106="","",INDEX(INDIRECT("'"&amp;'لوحة التحكم'!$K$6&amp;"'!$E$2:$E$501"),L106))</f>
        <v/>
      </c>
      <c r="J106" s="18" t="str">
        <f ca="1">IF(L106="","",INDEX(INDIRECT("'"&amp;'لوحة التحكم'!$K$6&amp;"'!$U$2:$U$501"),L106))</f>
        <v/>
      </c>
      <c r="L106" s="3" t="str">
        <f ca="1">IF('لوحة التحكم'!$K$12=1,IFERROR(MATCH(90,INDIRECT("'"&amp;'لوحة التحكم'!$K$6&amp;"'!$AF$2:$AF$501"),0),""),"")</f>
        <v/>
      </c>
    </row>
    <row r="107" spans="2:12">
      <c r="B107" s="24" t="str">
        <f ca="1">IF(L107="","",91)</f>
        <v/>
      </c>
      <c r="C107" s="18" t="str">
        <f ca="1">IF(L107="","",INDEX(INDIRECT("'"&amp;'لوحة التحكم'!$K$6&amp;"'!$A$2:$A$501"),L107))</f>
        <v/>
      </c>
      <c r="D107" s="31" t="str">
        <f ca="1">IF(L107="","",INDEX(INDIRECT("'"&amp;'لوحة التحكم'!$K$6&amp;"'!$B$2:$B$501"),L107))</f>
        <v/>
      </c>
      <c r="E107" s="24" t="str">
        <f ca="1">IF(L107="","",INDEX(INDIRECT("'"&amp;'لوحة التحكم'!$K$6&amp;"'!$F$2:$F$501"),L107))</f>
        <v/>
      </c>
      <c r="F107" s="32" t="str">
        <f ca="1">IF(L107="","",INDEX(INDIRECT("'"&amp;'لوحة التحكم'!$K$6&amp;"'!$I$2:$I$501"),L107))</f>
        <v/>
      </c>
      <c r="G107" s="32" t="str">
        <f ca="1">IF(L107="","",INDEX(INDIRECT("'"&amp;'لوحة التحكم'!$K$6&amp;"'!$C$2:$C$501"),L107))</f>
        <v/>
      </c>
      <c r="H107" s="32" t="str">
        <f ca="1">IF(L107="","",INDEX(INDIRECT("'"&amp;'لوحة التحكم'!$K$6&amp;"'!$D$2:$D$501"),L107))</f>
        <v/>
      </c>
      <c r="I107" s="32" t="str">
        <f ca="1">IF(L107="","",INDEX(INDIRECT("'"&amp;'لوحة التحكم'!$K$6&amp;"'!$E$2:$E$501"),L107))</f>
        <v/>
      </c>
      <c r="J107" s="18" t="str">
        <f ca="1">IF(L107="","",INDEX(INDIRECT("'"&amp;'لوحة التحكم'!$K$6&amp;"'!$U$2:$U$501"),L107))</f>
        <v/>
      </c>
      <c r="L107" s="3" t="str">
        <f ca="1">IF('لوحة التحكم'!$K$12=1,IFERROR(MATCH(91,INDIRECT("'"&amp;'لوحة التحكم'!$K$6&amp;"'!$AF$2:$AF$501"),0),""),"")</f>
        <v/>
      </c>
    </row>
    <row r="108" spans="2:12">
      <c r="B108" s="24" t="str">
        <f ca="1">IF(L108="","",92)</f>
        <v/>
      </c>
      <c r="C108" s="18" t="str">
        <f ca="1">IF(L108="","",INDEX(INDIRECT("'"&amp;'لوحة التحكم'!$K$6&amp;"'!$A$2:$A$501"),L108))</f>
        <v/>
      </c>
      <c r="D108" s="31" t="str">
        <f ca="1">IF(L108="","",INDEX(INDIRECT("'"&amp;'لوحة التحكم'!$K$6&amp;"'!$B$2:$B$501"),L108))</f>
        <v/>
      </c>
      <c r="E108" s="24" t="str">
        <f ca="1">IF(L108="","",INDEX(INDIRECT("'"&amp;'لوحة التحكم'!$K$6&amp;"'!$F$2:$F$501"),L108))</f>
        <v/>
      </c>
      <c r="F108" s="32" t="str">
        <f ca="1">IF(L108="","",INDEX(INDIRECT("'"&amp;'لوحة التحكم'!$K$6&amp;"'!$I$2:$I$501"),L108))</f>
        <v/>
      </c>
      <c r="G108" s="32" t="str">
        <f ca="1">IF(L108="","",INDEX(INDIRECT("'"&amp;'لوحة التحكم'!$K$6&amp;"'!$C$2:$C$501"),L108))</f>
        <v/>
      </c>
      <c r="H108" s="32" t="str">
        <f ca="1">IF(L108="","",INDEX(INDIRECT("'"&amp;'لوحة التحكم'!$K$6&amp;"'!$D$2:$D$501"),L108))</f>
        <v/>
      </c>
      <c r="I108" s="32" t="str">
        <f ca="1">IF(L108="","",INDEX(INDIRECT("'"&amp;'لوحة التحكم'!$K$6&amp;"'!$E$2:$E$501"),L108))</f>
        <v/>
      </c>
      <c r="J108" s="18" t="str">
        <f ca="1">IF(L108="","",INDEX(INDIRECT("'"&amp;'لوحة التحكم'!$K$6&amp;"'!$U$2:$U$501"),L108))</f>
        <v/>
      </c>
      <c r="L108" s="3" t="str">
        <f ca="1">IF('لوحة التحكم'!$K$12=1,IFERROR(MATCH(92,INDIRECT("'"&amp;'لوحة التحكم'!$K$6&amp;"'!$AF$2:$AF$501"),0),""),"")</f>
        <v/>
      </c>
    </row>
    <row r="109" spans="2:12">
      <c r="B109" s="24" t="str">
        <f ca="1">IF(L109="","",93)</f>
        <v/>
      </c>
      <c r="C109" s="18" t="str">
        <f ca="1">IF(L109="","",INDEX(INDIRECT("'"&amp;'لوحة التحكم'!$K$6&amp;"'!$A$2:$A$501"),L109))</f>
        <v/>
      </c>
      <c r="D109" s="31" t="str">
        <f ca="1">IF(L109="","",INDEX(INDIRECT("'"&amp;'لوحة التحكم'!$K$6&amp;"'!$B$2:$B$501"),L109))</f>
        <v/>
      </c>
      <c r="E109" s="24" t="str">
        <f ca="1">IF(L109="","",INDEX(INDIRECT("'"&amp;'لوحة التحكم'!$K$6&amp;"'!$F$2:$F$501"),L109))</f>
        <v/>
      </c>
      <c r="F109" s="32" t="str">
        <f ca="1">IF(L109="","",INDEX(INDIRECT("'"&amp;'لوحة التحكم'!$K$6&amp;"'!$I$2:$I$501"),L109))</f>
        <v/>
      </c>
      <c r="G109" s="32" t="str">
        <f ca="1">IF(L109="","",INDEX(INDIRECT("'"&amp;'لوحة التحكم'!$K$6&amp;"'!$C$2:$C$501"),L109))</f>
        <v/>
      </c>
      <c r="H109" s="32" t="str">
        <f ca="1">IF(L109="","",INDEX(INDIRECT("'"&amp;'لوحة التحكم'!$K$6&amp;"'!$D$2:$D$501"),L109))</f>
        <v/>
      </c>
      <c r="I109" s="32" t="str">
        <f ca="1">IF(L109="","",INDEX(INDIRECT("'"&amp;'لوحة التحكم'!$K$6&amp;"'!$E$2:$E$501"),L109))</f>
        <v/>
      </c>
      <c r="J109" s="18" t="str">
        <f ca="1">IF(L109="","",INDEX(INDIRECT("'"&amp;'لوحة التحكم'!$K$6&amp;"'!$U$2:$U$501"),L109))</f>
        <v/>
      </c>
      <c r="L109" s="3" t="str">
        <f ca="1">IF('لوحة التحكم'!$K$12=1,IFERROR(MATCH(93,INDIRECT("'"&amp;'لوحة التحكم'!$K$6&amp;"'!$AF$2:$AF$501"),0),""),"")</f>
        <v/>
      </c>
    </row>
    <row r="110" spans="2:12">
      <c r="B110" s="24" t="str">
        <f ca="1">IF(L110="","",94)</f>
        <v/>
      </c>
      <c r="C110" s="18" t="str">
        <f ca="1">IF(L110="","",INDEX(INDIRECT("'"&amp;'لوحة التحكم'!$K$6&amp;"'!$A$2:$A$501"),L110))</f>
        <v/>
      </c>
      <c r="D110" s="31" t="str">
        <f ca="1">IF(L110="","",INDEX(INDIRECT("'"&amp;'لوحة التحكم'!$K$6&amp;"'!$B$2:$B$501"),L110))</f>
        <v/>
      </c>
      <c r="E110" s="24" t="str">
        <f ca="1">IF(L110="","",INDEX(INDIRECT("'"&amp;'لوحة التحكم'!$K$6&amp;"'!$F$2:$F$501"),L110))</f>
        <v/>
      </c>
      <c r="F110" s="32" t="str">
        <f ca="1">IF(L110="","",INDEX(INDIRECT("'"&amp;'لوحة التحكم'!$K$6&amp;"'!$I$2:$I$501"),L110))</f>
        <v/>
      </c>
      <c r="G110" s="32" t="str">
        <f ca="1">IF(L110="","",INDEX(INDIRECT("'"&amp;'لوحة التحكم'!$K$6&amp;"'!$C$2:$C$501"),L110))</f>
        <v/>
      </c>
      <c r="H110" s="32" t="str">
        <f ca="1">IF(L110="","",INDEX(INDIRECT("'"&amp;'لوحة التحكم'!$K$6&amp;"'!$D$2:$D$501"),L110))</f>
        <v/>
      </c>
      <c r="I110" s="32" t="str">
        <f ca="1">IF(L110="","",INDEX(INDIRECT("'"&amp;'لوحة التحكم'!$K$6&amp;"'!$E$2:$E$501"),L110))</f>
        <v/>
      </c>
      <c r="J110" s="18" t="str">
        <f ca="1">IF(L110="","",INDEX(INDIRECT("'"&amp;'لوحة التحكم'!$K$6&amp;"'!$U$2:$U$501"),L110))</f>
        <v/>
      </c>
      <c r="L110" s="3" t="str">
        <f ca="1">IF('لوحة التحكم'!$K$12=1,IFERROR(MATCH(94,INDIRECT("'"&amp;'لوحة التحكم'!$K$6&amp;"'!$AF$2:$AF$501"),0),""),"")</f>
        <v/>
      </c>
    </row>
    <row r="111" spans="2:12">
      <c r="B111" s="24" t="str">
        <f ca="1">IF(L111="","",95)</f>
        <v/>
      </c>
      <c r="C111" s="18" t="str">
        <f ca="1">IF(L111="","",INDEX(INDIRECT("'"&amp;'لوحة التحكم'!$K$6&amp;"'!$A$2:$A$501"),L111))</f>
        <v/>
      </c>
      <c r="D111" s="31" t="str">
        <f ca="1">IF(L111="","",INDEX(INDIRECT("'"&amp;'لوحة التحكم'!$K$6&amp;"'!$B$2:$B$501"),L111))</f>
        <v/>
      </c>
      <c r="E111" s="24" t="str">
        <f ca="1">IF(L111="","",INDEX(INDIRECT("'"&amp;'لوحة التحكم'!$K$6&amp;"'!$F$2:$F$501"),L111))</f>
        <v/>
      </c>
      <c r="F111" s="32" t="str">
        <f ca="1">IF(L111="","",INDEX(INDIRECT("'"&amp;'لوحة التحكم'!$K$6&amp;"'!$I$2:$I$501"),L111))</f>
        <v/>
      </c>
      <c r="G111" s="32" t="str">
        <f ca="1">IF(L111="","",INDEX(INDIRECT("'"&amp;'لوحة التحكم'!$K$6&amp;"'!$C$2:$C$501"),L111))</f>
        <v/>
      </c>
      <c r="H111" s="32" t="str">
        <f ca="1">IF(L111="","",INDEX(INDIRECT("'"&amp;'لوحة التحكم'!$K$6&amp;"'!$D$2:$D$501"),L111))</f>
        <v/>
      </c>
      <c r="I111" s="32" t="str">
        <f ca="1">IF(L111="","",INDEX(INDIRECT("'"&amp;'لوحة التحكم'!$K$6&amp;"'!$E$2:$E$501"),L111))</f>
        <v/>
      </c>
      <c r="J111" s="18" t="str">
        <f ca="1">IF(L111="","",INDEX(INDIRECT("'"&amp;'لوحة التحكم'!$K$6&amp;"'!$U$2:$U$501"),L111))</f>
        <v/>
      </c>
      <c r="L111" s="3" t="str">
        <f ca="1">IF('لوحة التحكم'!$K$12=1,IFERROR(MATCH(95,INDIRECT("'"&amp;'لوحة التحكم'!$K$6&amp;"'!$AF$2:$AF$501"),0),""),"")</f>
        <v/>
      </c>
    </row>
    <row r="112" spans="2:12">
      <c r="B112" s="24" t="str">
        <f ca="1">IF(L112="","",96)</f>
        <v/>
      </c>
      <c r="C112" s="18" t="str">
        <f ca="1">IF(L112="","",INDEX(INDIRECT("'"&amp;'لوحة التحكم'!$K$6&amp;"'!$A$2:$A$501"),L112))</f>
        <v/>
      </c>
      <c r="D112" s="31" t="str">
        <f ca="1">IF(L112="","",INDEX(INDIRECT("'"&amp;'لوحة التحكم'!$K$6&amp;"'!$B$2:$B$501"),L112))</f>
        <v/>
      </c>
      <c r="E112" s="24" t="str">
        <f ca="1">IF(L112="","",INDEX(INDIRECT("'"&amp;'لوحة التحكم'!$K$6&amp;"'!$F$2:$F$501"),L112))</f>
        <v/>
      </c>
      <c r="F112" s="32" t="str">
        <f ca="1">IF(L112="","",INDEX(INDIRECT("'"&amp;'لوحة التحكم'!$K$6&amp;"'!$I$2:$I$501"),L112))</f>
        <v/>
      </c>
      <c r="G112" s="32" t="str">
        <f ca="1">IF(L112="","",INDEX(INDIRECT("'"&amp;'لوحة التحكم'!$K$6&amp;"'!$C$2:$C$501"),L112))</f>
        <v/>
      </c>
      <c r="H112" s="32" t="str">
        <f ca="1">IF(L112="","",INDEX(INDIRECT("'"&amp;'لوحة التحكم'!$K$6&amp;"'!$D$2:$D$501"),L112))</f>
        <v/>
      </c>
      <c r="I112" s="32" t="str">
        <f ca="1">IF(L112="","",INDEX(INDIRECT("'"&amp;'لوحة التحكم'!$K$6&amp;"'!$E$2:$E$501"),L112))</f>
        <v/>
      </c>
      <c r="J112" s="18" t="str">
        <f ca="1">IF(L112="","",INDEX(INDIRECT("'"&amp;'لوحة التحكم'!$K$6&amp;"'!$U$2:$U$501"),L112))</f>
        <v/>
      </c>
      <c r="L112" s="3" t="str">
        <f ca="1">IF('لوحة التحكم'!$K$12=1,IFERROR(MATCH(96,INDIRECT("'"&amp;'لوحة التحكم'!$K$6&amp;"'!$AF$2:$AF$501"),0),""),"")</f>
        <v/>
      </c>
    </row>
    <row r="113" spans="2:12">
      <c r="B113" s="24" t="str">
        <f ca="1">IF(L113="","",97)</f>
        <v/>
      </c>
      <c r="C113" s="18" t="str">
        <f ca="1">IF(L113="","",INDEX(INDIRECT("'"&amp;'لوحة التحكم'!$K$6&amp;"'!$A$2:$A$501"),L113))</f>
        <v/>
      </c>
      <c r="D113" s="31" t="str">
        <f ca="1">IF(L113="","",INDEX(INDIRECT("'"&amp;'لوحة التحكم'!$K$6&amp;"'!$B$2:$B$501"),L113))</f>
        <v/>
      </c>
      <c r="E113" s="24" t="str">
        <f ca="1">IF(L113="","",INDEX(INDIRECT("'"&amp;'لوحة التحكم'!$K$6&amp;"'!$F$2:$F$501"),L113))</f>
        <v/>
      </c>
      <c r="F113" s="32" t="str">
        <f ca="1">IF(L113="","",INDEX(INDIRECT("'"&amp;'لوحة التحكم'!$K$6&amp;"'!$I$2:$I$501"),L113))</f>
        <v/>
      </c>
      <c r="G113" s="32" t="str">
        <f ca="1">IF(L113="","",INDEX(INDIRECT("'"&amp;'لوحة التحكم'!$K$6&amp;"'!$C$2:$C$501"),L113))</f>
        <v/>
      </c>
      <c r="H113" s="32" t="str">
        <f ca="1">IF(L113="","",INDEX(INDIRECT("'"&amp;'لوحة التحكم'!$K$6&amp;"'!$D$2:$D$501"),L113))</f>
        <v/>
      </c>
      <c r="I113" s="32" t="str">
        <f ca="1">IF(L113="","",INDEX(INDIRECT("'"&amp;'لوحة التحكم'!$K$6&amp;"'!$E$2:$E$501"),L113))</f>
        <v/>
      </c>
      <c r="J113" s="18" t="str">
        <f ca="1">IF(L113="","",INDEX(INDIRECT("'"&amp;'لوحة التحكم'!$K$6&amp;"'!$U$2:$U$501"),L113))</f>
        <v/>
      </c>
      <c r="L113" s="3" t="str">
        <f ca="1">IF('لوحة التحكم'!$K$12=1,IFERROR(MATCH(97,INDIRECT("'"&amp;'لوحة التحكم'!$K$6&amp;"'!$AF$2:$AF$501"),0),""),"")</f>
        <v/>
      </c>
    </row>
    <row r="114" spans="2:12">
      <c r="B114" s="24" t="str">
        <f ca="1">IF(L114="","",98)</f>
        <v/>
      </c>
      <c r="C114" s="18" t="str">
        <f ca="1">IF(L114="","",INDEX(INDIRECT("'"&amp;'لوحة التحكم'!$K$6&amp;"'!$A$2:$A$501"),L114))</f>
        <v/>
      </c>
      <c r="D114" s="31" t="str">
        <f ca="1">IF(L114="","",INDEX(INDIRECT("'"&amp;'لوحة التحكم'!$K$6&amp;"'!$B$2:$B$501"),L114))</f>
        <v/>
      </c>
      <c r="E114" s="24" t="str">
        <f ca="1">IF(L114="","",INDEX(INDIRECT("'"&amp;'لوحة التحكم'!$K$6&amp;"'!$F$2:$F$501"),L114))</f>
        <v/>
      </c>
      <c r="F114" s="32" t="str">
        <f ca="1">IF(L114="","",INDEX(INDIRECT("'"&amp;'لوحة التحكم'!$K$6&amp;"'!$I$2:$I$501"),L114))</f>
        <v/>
      </c>
      <c r="G114" s="32" t="str">
        <f ca="1">IF(L114="","",INDEX(INDIRECT("'"&amp;'لوحة التحكم'!$K$6&amp;"'!$C$2:$C$501"),L114))</f>
        <v/>
      </c>
      <c r="H114" s="32" t="str">
        <f ca="1">IF(L114="","",INDEX(INDIRECT("'"&amp;'لوحة التحكم'!$K$6&amp;"'!$D$2:$D$501"),L114))</f>
        <v/>
      </c>
      <c r="I114" s="32" t="str">
        <f ca="1">IF(L114="","",INDEX(INDIRECT("'"&amp;'لوحة التحكم'!$K$6&amp;"'!$E$2:$E$501"),L114))</f>
        <v/>
      </c>
      <c r="J114" s="18" t="str">
        <f ca="1">IF(L114="","",INDEX(INDIRECT("'"&amp;'لوحة التحكم'!$K$6&amp;"'!$U$2:$U$501"),L114))</f>
        <v/>
      </c>
      <c r="L114" s="3" t="str">
        <f ca="1">IF('لوحة التحكم'!$K$12=1,IFERROR(MATCH(98,INDIRECT("'"&amp;'لوحة التحكم'!$K$6&amp;"'!$AF$2:$AF$501"),0),""),"")</f>
        <v/>
      </c>
    </row>
    <row r="115" spans="2:12">
      <c r="B115" s="24" t="str">
        <f ca="1">IF(L115="","",99)</f>
        <v/>
      </c>
      <c r="C115" s="18" t="str">
        <f ca="1">IF(L115="","",INDEX(INDIRECT("'"&amp;'لوحة التحكم'!$K$6&amp;"'!$A$2:$A$501"),L115))</f>
        <v/>
      </c>
      <c r="D115" s="31" t="str">
        <f ca="1">IF(L115="","",INDEX(INDIRECT("'"&amp;'لوحة التحكم'!$K$6&amp;"'!$B$2:$B$501"),L115))</f>
        <v/>
      </c>
      <c r="E115" s="24" t="str">
        <f ca="1">IF(L115="","",INDEX(INDIRECT("'"&amp;'لوحة التحكم'!$K$6&amp;"'!$F$2:$F$501"),L115))</f>
        <v/>
      </c>
      <c r="F115" s="32" t="str">
        <f ca="1">IF(L115="","",INDEX(INDIRECT("'"&amp;'لوحة التحكم'!$K$6&amp;"'!$I$2:$I$501"),L115))</f>
        <v/>
      </c>
      <c r="G115" s="32" t="str">
        <f ca="1">IF(L115="","",INDEX(INDIRECT("'"&amp;'لوحة التحكم'!$K$6&amp;"'!$C$2:$C$501"),L115))</f>
        <v/>
      </c>
      <c r="H115" s="32" t="str">
        <f ca="1">IF(L115="","",INDEX(INDIRECT("'"&amp;'لوحة التحكم'!$K$6&amp;"'!$D$2:$D$501"),L115))</f>
        <v/>
      </c>
      <c r="I115" s="32" t="str">
        <f ca="1">IF(L115="","",INDEX(INDIRECT("'"&amp;'لوحة التحكم'!$K$6&amp;"'!$E$2:$E$501"),L115))</f>
        <v/>
      </c>
      <c r="J115" s="18" t="str">
        <f ca="1">IF(L115="","",INDEX(INDIRECT("'"&amp;'لوحة التحكم'!$K$6&amp;"'!$U$2:$U$501"),L115))</f>
        <v/>
      </c>
      <c r="L115" s="3" t="str">
        <f ca="1">IF('لوحة التحكم'!$K$12=1,IFERROR(MATCH(99,INDIRECT("'"&amp;'لوحة التحكم'!$K$6&amp;"'!$AF$2:$AF$501"),0),""),"")</f>
        <v/>
      </c>
    </row>
    <row r="116" spans="2:12">
      <c r="B116" s="24" t="str">
        <f ca="1">IF(L116="","",100)</f>
        <v/>
      </c>
      <c r="C116" s="18" t="str">
        <f ca="1">IF(L116="","",INDEX(INDIRECT("'"&amp;'لوحة التحكم'!$K$6&amp;"'!$A$2:$A$501"),L116))</f>
        <v/>
      </c>
      <c r="D116" s="31" t="str">
        <f ca="1">IF(L116="","",INDEX(INDIRECT("'"&amp;'لوحة التحكم'!$K$6&amp;"'!$B$2:$B$501"),L116))</f>
        <v/>
      </c>
      <c r="E116" s="24" t="str">
        <f ca="1">IF(L116="","",INDEX(INDIRECT("'"&amp;'لوحة التحكم'!$K$6&amp;"'!$F$2:$F$501"),L116))</f>
        <v/>
      </c>
      <c r="F116" s="32" t="str">
        <f ca="1">IF(L116="","",INDEX(INDIRECT("'"&amp;'لوحة التحكم'!$K$6&amp;"'!$I$2:$I$501"),L116))</f>
        <v/>
      </c>
      <c r="G116" s="32" t="str">
        <f ca="1">IF(L116="","",INDEX(INDIRECT("'"&amp;'لوحة التحكم'!$K$6&amp;"'!$C$2:$C$501"),L116))</f>
        <v/>
      </c>
      <c r="H116" s="32" t="str">
        <f ca="1">IF(L116="","",INDEX(INDIRECT("'"&amp;'لوحة التحكم'!$K$6&amp;"'!$D$2:$D$501"),L116))</f>
        <v/>
      </c>
      <c r="I116" s="32" t="str">
        <f ca="1">IF(L116="","",INDEX(INDIRECT("'"&amp;'لوحة التحكم'!$K$6&amp;"'!$E$2:$E$501"),L116))</f>
        <v/>
      </c>
      <c r="J116" s="18" t="str">
        <f ca="1">IF(L116="","",INDEX(INDIRECT("'"&amp;'لوحة التحكم'!$K$6&amp;"'!$U$2:$U$501"),L116))</f>
        <v/>
      </c>
      <c r="L116" s="3" t="str">
        <f ca="1">IF('لوحة التحكم'!$K$12=1,IFERROR(MATCH(100,INDIRECT("'"&amp;'لوحة التحكم'!$K$6&amp;"'!$AF$2:$AF$501"),0),""),"")</f>
        <v/>
      </c>
    </row>
    <row r="117" spans="2:12">
      <c r="B117" s="24" t="str">
        <f ca="1">IF(L117="","",101)</f>
        <v/>
      </c>
      <c r="C117" s="18" t="str">
        <f ca="1">IF(L117="","",INDEX(INDIRECT("'"&amp;'لوحة التحكم'!$K$6&amp;"'!$A$2:$A$501"),L117))</f>
        <v/>
      </c>
      <c r="D117" s="31" t="str">
        <f ca="1">IF(L117="","",INDEX(INDIRECT("'"&amp;'لوحة التحكم'!$K$6&amp;"'!$B$2:$B$501"),L117))</f>
        <v/>
      </c>
      <c r="E117" s="24" t="str">
        <f ca="1">IF(L117="","",INDEX(INDIRECT("'"&amp;'لوحة التحكم'!$K$6&amp;"'!$F$2:$F$501"),L117))</f>
        <v/>
      </c>
      <c r="F117" s="32" t="str">
        <f ca="1">IF(L117="","",INDEX(INDIRECT("'"&amp;'لوحة التحكم'!$K$6&amp;"'!$I$2:$I$501"),L117))</f>
        <v/>
      </c>
      <c r="G117" s="32" t="str">
        <f ca="1">IF(L117="","",INDEX(INDIRECT("'"&amp;'لوحة التحكم'!$K$6&amp;"'!$C$2:$C$501"),L117))</f>
        <v/>
      </c>
      <c r="H117" s="32" t="str">
        <f ca="1">IF(L117="","",INDEX(INDIRECT("'"&amp;'لوحة التحكم'!$K$6&amp;"'!$D$2:$D$501"),L117))</f>
        <v/>
      </c>
      <c r="I117" s="32" t="str">
        <f ca="1">IF(L117="","",INDEX(INDIRECT("'"&amp;'لوحة التحكم'!$K$6&amp;"'!$E$2:$E$501"),L117))</f>
        <v/>
      </c>
      <c r="J117" s="18" t="str">
        <f ca="1">IF(L117="","",INDEX(INDIRECT("'"&amp;'لوحة التحكم'!$K$6&amp;"'!$U$2:$U$501"),L117))</f>
        <v/>
      </c>
      <c r="L117" s="3" t="str">
        <f ca="1">IF('لوحة التحكم'!$K$12=1,IFERROR(MATCH(101,INDIRECT("'"&amp;'لوحة التحكم'!$K$6&amp;"'!$AF$2:$AF$501"),0),""),"")</f>
        <v/>
      </c>
    </row>
    <row r="118" spans="2:12">
      <c r="B118" s="24" t="str">
        <f ca="1">IF(L118="","",102)</f>
        <v/>
      </c>
      <c r="C118" s="18" t="str">
        <f ca="1">IF(L118="","",INDEX(INDIRECT("'"&amp;'لوحة التحكم'!$K$6&amp;"'!$A$2:$A$501"),L118))</f>
        <v/>
      </c>
      <c r="D118" s="31" t="str">
        <f ca="1">IF(L118="","",INDEX(INDIRECT("'"&amp;'لوحة التحكم'!$K$6&amp;"'!$B$2:$B$501"),L118))</f>
        <v/>
      </c>
      <c r="E118" s="24" t="str">
        <f ca="1">IF(L118="","",INDEX(INDIRECT("'"&amp;'لوحة التحكم'!$K$6&amp;"'!$F$2:$F$501"),L118))</f>
        <v/>
      </c>
      <c r="F118" s="32" t="str">
        <f ca="1">IF(L118="","",INDEX(INDIRECT("'"&amp;'لوحة التحكم'!$K$6&amp;"'!$I$2:$I$501"),L118))</f>
        <v/>
      </c>
      <c r="G118" s="32" t="str">
        <f ca="1">IF(L118="","",INDEX(INDIRECT("'"&amp;'لوحة التحكم'!$K$6&amp;"'!$C$2:$C$501"),L118))</f>
        <v/>
      </c>
      <c r="H118" s="32" t="str">
        <f ca="1">IF(L118="","",INDEX(INDIRECT("'"&amp;'لوحة التحكم'!$K$6&amp;"'!$D$2:$D$501"),L118))</f>
        <v/>
      </c>
      <c r="I118" s="32" t="str">
        <f ca="1">IF(L118="","",INDEX(INDIRECT("'"&amp;'لوحة التحكم'!$K$6&amp;"'!$E$2:$E$501"),L118))</f>
        <v/>
      </c>
      <c r="J118" s="18" t="str">
        <f ca="1">IF(L118="","",INDEX(INDIRECT("'"&amp;'لوحة التحكم'!$K$6&amp;"'!$U$2:$U$501"),L118))</f>
        <v/>
      </c>
      <c r="L118" s="3" t="str">
        <f ca="1">IF('لوحة التحكم'!$K$12=1,IFERROR(MATCH(102,INDIRECT("'"&amp;'لوحة التحكم'!$K$6&amp;"'!$AF$2:$AF$501"),0),""),"")</f>
        <v/>
      </c>
    </row>
    <row r="119" spans="2:12">
      <c r="B119" s="24" t="str">
        <f ca="1">IF(L119="","",103)</f>
        <v/>
      </c>
      <c r="C119" s="18" t="str">
        <f ca="1">IF(L119="","",INDEX(INDIRECT("'"&amp;'لوحة التحكم'!$K$6&amp;"'!$A$2:$A$501"),L119))</f>
        <v/>
      </c>
      <c r="D119" s="31" t="str">
        <f ca="1">IF(L119="","",INDEX(INDIRECT("'"&amp;'لوحة التحكم'!$K$6&amp;"'!$B$2:$B$501"),L119))</f>
        <v/>
      </c>
      <c r="E119" s="24" t="str">
        <f ca="1">IF(L119="","",INDEX(INDIRECT("'"&amp;'لوحة التحكم'!$K$6&amp;"'!$F$2:$F$501"),L119))</f>
        <v/>
      </c>
      <c r="F119" s="32" t="str">
        <f ca="1">IF(L119="","",INDEX(INDIRECT("'"&amp;'لوحة التحكم'!$K$6&amp;"'!$I$2:$I$501"),L119))</f>
        <v/>
      </c>
      <c r="G119" s="32" t="str">
        <f ca="1">IF(L119="","",INDEX(INDIRECT("'"&amp;'لوحة التحكم'!$K$6&amp;"'!$C$2:$C$501"),L119))</f>
        <v/>
      </c>
      <c r="H119" s="32" t="str">
        <f ca="1">IF(L119="","",INDEX(INDIRECT("'"&amp;'لوحة التحكم'!$K$6&amp;"'!$D$2:$D$501"),L119))</f>
        <v/>
      </c>
      <c r="I119" s="32" t="str">
        <f ca="1">IF(L119="","",INDEX(INDIRECT("'"&amp;'لوحة التحكم'!$K$6&amp;"'!$E$2:$E$501"),L119))</f>
        <v/>
      </c>
      <c r="J119" s="18" t="str">
        <f ca="1">IF(L119="","",INDEX(INDIRECT("'"&amp;'لوحة التحكم'!$K$6&amp;"'!$U$2:$U$501"),L119))</f>
        <v/>
      </c>
      <c r="L119" s="3" t="str">
        <f ca="1">IF('لوحة التحكم'!$K$12=1,IFERROR(MATCH(103,INDIRECT("'"&amp;'لوحة التحكم'!$K$6&amp;"'!$AF$2:$AF$501"),0),""),"")</f>
        <v/>
      </c>
    </row>
    <row r="120" spans="2:12">
      <c r="B120" s="24" t="str">
        <f ca="1">IF(L120="","",104)</f>
        <v/>
      </c>
      <c r="C120" s="18" t="str">
        <f ca="1">IF(L120="","",INDEX(INDIRECT("'"&amp;'لوحة التحكم'!$K$6&amp;"'!$A$2:$A$501"),L120))</f>
        <v/>
      </c>
      <c r="D120" s="31" t="str">
        <f ca="1">IF(L120="","",INDEX(INDIRECT("'"&amp;'لوحة التحكم'!$K$6&amp;"'!$B$2:$B$501"),L120))</f>
        <v/>
      </c>
      <c r="E120" s="24" t="str">
        <f ca="1">IF(L120="","",INDEX(INDIRECT("'"&amp;'لوحة التحكم'!$K$6&amp;"'!$F$2:$F$501"),L120))</f>
        <v/>
      </c>
      <c r="F120" s="32" t="str">
        <f ca="1">IF(L120="","",INDEX(INDIRECT("'"&amp;'لوحة التحكم'!$K$6&amp;"'!$I$2:$I$501"),L120))</f>
        <v/>
      </c>
      <c r="G120" s="32" t="str">
        <f ca="1">IF(L120="","",INDEX(INDIRECT("'"&amp;'لوحة التحكم'!$K$6&amp;"'!$C$2:$C$501"),L120))</f>
        <v/>
      </c>
      <c r="H120" s="32" t="str">
        <f ca="1">IF(L120="","",INDEX(INDIRECT("'"&amp;'لوحة التحكم'!$K$6&amp;"'!$D$2:$D$501"),L120))</f>
        <v/>
      </c>
      <c r="I120" s="32" t="str">
        <f ca="1">IF(L120="","",INDEX(INDIRECT("'"&amp;'لوحة التحكم'!$K$6&amp;"'!$E$2:$E$501"),L120))</f>
        <v/>
      </c>
      <c r="J120" s="18" t="str">
        <f ca="1">IF(L120="","",INDEX(INDIRECT("'"&amp;'لوحة التحكم'!$K$6&amp;"'!$U$2:$U$501"),L120))</f>
        <v/>
      </c>
      <c r="L120" s="3" t="str">
        <f ca="1">IF('لوحة التحكم'!$K$12=1,IFERROR(MATCH(104,INDIRECT("'"&amp;'لوحة التحكم'!$K$6&amp;"'!$AF$2:$AF$501"),0),""),"")</f>
        <v/>
      </c>
    </row>
    <row r="121" spans="2:12">
      <c r="B121" s="24" t="str">
        <f ca="1">IF(L121="","",105)</f>
        <v/>
      </c>
      <c r="C121" s="18" t="str">
        <f ca="1">IF(L121="","",INDEX(INDIRECT("'"&amp;'لوحة التحكم'!$K$6&amp;"'!$A$2:$A$501"),L121))</f>
        <v/>
      </c>
      <c r="D121" s="31" t="str">
        <f ca="1">IF(L121="","",INDEX(INDIRECT("'"&amp;'لوحة التحكم'!$K$6&amp;"'!$B$2:$B$501"),L121))</f>
        <v/>
      </c>
      <c r="E121" s="24" t="str">
        <f ca="1">IF(L121="","",INDEX(INDIRECT("'"&amp;'لوحة التحكم'!$K$6&amp;"'!$F$2:$F$501"),L121))</f>
        <v/>
      </c>
      <c r="F121" s="32" t="str">
        <f ca="1">IF(L121="","",INDEX(INDIRECT("'"&amp;'لوحة التحكم'!$K$6&amp;"'!$I$2:$I$501"),L121))</f>
        <v/>
      </c>
      <c r="G121" s="32" t="str">
        <f ca="1">IF(L121="","",INDEX(INDIRECT("'"&amp;'لوحة التحكم'!$K$6&amp;"'!$C$2:$C$501"),L121))</f>
        <v/>
      </c>
      <c r="H121" s="32" t="str">
        <f ca="1">IF(L121="","",INDEX(INDIRECT("'"&amp;'لوحة التحكم'!$K$6&amp;"'!$D$2:$D$501"),L121))</f>
        <v/>
      </c>
      <c r="I121" s="32" t="str">
        <f ca="1">IF(L121="","",INDEX(INDIRECT("'"&amp;'لوحة التحكم'!$K$6&amp;"'!$E$2:$E$501"),L121))</f>
        <v/>
      </c>
      <c r="J121" s="18" t="str">
        <f ca="1">IF(L121="","",INDEX(INDIRECT("'"&amp;'لوحة التحكم'!$K$6&amp;"'!$U$2:$U$501"),L121))</f>
        <v/>
      </c>
      <c r="L121" s="3" t="str">
        <f ca="1">IF('لوحة التحكم'!$K$12=1,IFERROR(MATCH(105,INDIRECT("'"&amp;'لوحة التحكم'!$K$6&amp;"'!$AF$2:$AF$501"),0),""),"")</f>
        <v/>
      </c>
    </row>
    <row r="122" spans="2:12">
      <c r="B122" s="24" t="str">
        <f ca="1">IF(L122="","",106)</f>
        <v/>
      </c>
      <c r="C122" s="18" t="str">
        <f ca="1">IF(L122="","",INDEX(INDIRECT("'"&amp;'لوحة التحكم'!$K$6&amp;"'!$A$2:$A$501"),L122))</f>
        <v/>
      </c>
      <c r="D122" s="31" t="str">
        <f ca="1">IF(L122="","",INDEX(INDIRECT("'"&amp;'لوحة التحكم'!$K$6&amp;"'!$B$2:$B$501"),L122))</f>
        <v/>
      </c>
      <c r="E122" s="24" t="str">
        <f ca="1">IF(L122="","",INDEX(INDIRECT("'"&amp;'لوحة التحكم'!$K$6&amp;"'!$F$2:$F$501"),L122))</f>
        <v/>
      </c>
      <c r="F122" s="32" t="str">
        <f ca="1">IF(L122="","",INDEX(INDIRECT("'"&amp;'لوحة التحكم'!$K$6&amp;"'!$I$2:$I$501"),L122))</f>
        <v/>
      </c>
      <c r="G122" s="32" t="str">
        <f ca="1">IF(L122="","",INDEX(INDIRECT("'"&amp;'لوحة التحكم'!$K$6&amp;"'!$C$2:$C$501"),L122))</f>
        <v/>
      </c>
      <c r="H122" s="32" t="str">
        <f ca="1">IF(L122="","",INDEX(INDIRECT("'"&amp;'لوحة التحكم'!$K$6&amp;"'!$D$2:$D$501"),L122))</f>
        <v/>
      </c>
      <c r="I122" s="32" t="str">
        <f ca="1">IF(L122="","",INDEX(INDIRECT("'"&amp;'لوحة التحكم'!$K$6&amp;"'!$E$2:$E$501"),L122))</f>
        <v/>
      </c>
      <c r="J122" s="18" t="str">
        <f ca="1">IF(L122="","",INDEX(INDIRECT("'"&amp;'لوحة التحكم'!$K$6&amp;"'!$U$2:$U$501"),L122))</f>
        <v/>
      </c>
      <c r="L122" s="3" t="str">
        <f ca="1">IF('لوحة التحكم'!$K$12=1,IFERROR(MATCH(106,INDIRECT("'"&amp;'لوحة التحكم'!$K$6&amp;"'!$AF$2:$AF$501"),0),""),"")</f>
        <v/>
      </c>
    </row>
    <row r="123" spans="2:12">
      <c r="B123" s="24" t="str">
        <f ca="1">IF(L123="","",107)</f>
        <v/>
      </c>
      <c r="C123" s="18" t="str">
        <f ca="1">IF(L123="","",INDEX(INDIRECT("'"&amp;'لوحة التحكم'!$K$6&amp;"'!$A$2:$A$501"),L123))</f>
        <v/>
      </c>
      <c r="D123" s="31" t="str">
        <f ca="1">IF(L123="","",INDEX(INDIRECT("'"&amp;'لوحة التحكم'!$K$6&amp;"'!$B$2:$B$501"),L123))</f>
        <v/>
      </c>
      <c r="E123" s="24" t="str">
        <f ca="1">IF(L123="","",INDEX(INDIRECT("'"&amp;'لوحة التحكم'!$K$6&amp;"'!$F$2:$F$501"),L123))</f>
        <v/>
      </c>
      <c r="F123" s="32" t="str">
        <f ca="1">IF(L123="","",INDEX(INDIRECT("'"&amp;'لوحة التحكم'!$K$6&amp;"'!$I$2:$I$501"),L123))</f>
        <v/>
      </c>
      <c r="G123" s="32" t="str">
        <f ca="1">IF(L123="","",INDEX(INDIRECT("'"&amp;'لوحة التحكم'!$K$6&amp;"'!$C$2:$C$501"),L123))</f>
        <v/>
      </c>
      <c r="H123" s="32" t="str">
        <f ca="1">IF(L123="","",INDEX(INDIRECT("'"&amp;'لوحة التحكم'!$K$6&amp;"'!$D$2:$D$501"),L123))</f>
        <v/>
      </c>
      <c r="I123" s="32" t="str">
        <f ca="1">IF(L123="","",INDEX(INDIRECT("'"&amp;'لوحة التحكم'!$K$6&amp;"'!$E$2:$E$501"),L123))</f>
        <v/>
      </c>
      <c r="J123" s="18" t="str">
        <f ca="1">IF(L123="","",INDEX(INDIRECT("'"&amp;'لوحة التحكم'!$K$6&amp;"'!$U$2:$U$501"),L123))</f>
        <v/>
      </c>
      <c r="L123" s="3" t="str">
        <f ca="1">IF('لوحة التحكم'!$K$12=1,IFERROR(MATCH(107,INDIRECT("'"&amp;'لوحة التحكم'!$K$6&amp;"'!$AF$2:$AF$501"),0),""),"")</f>
        <v/>
      </c>
    </row>
    <row r="124" spans="2:12">
      <c r="B124" s="24" t="str">
        <f ca="1">IF(L124="","",108)</f>
        <v/>
      </c>
      <c r="C124" s="18" t="str">
        <f ca="1">IF(L124="","",INDEX(INDIRECT("'"&amp;'لوحة التحكم'!$K$6&amp;"'!$A$2:$A$501"),L124))</f>
        <v/>
      </c>
      <c r="D124" s="31" t="str">
        <f ca="1">IF(L124="","",INDEX(INDIRECT("'"&amp;'لوحة التحكم'!$K$6&amp;"'!$B$2:$B$501"),L124))</f>
        <v/>
      </c>
      <c r="E124" s="24" t="str">
        <f ca="1">IF(L124="","",INDEX(INDIRECT("'"&amp;'لوحة التحكم'!$K$6&amp;"'!$F$2:$F$501"),L124))</f>
        <v/>
      </c>
      <c r="F124" s="32" t="str">
        <f ca="1">IF(L124="","",INDEX(INDIRECT("'"&amp;'لوحة التحكم'!$K$6&amp;"'!$I$2:$I$501"),L124))</f>
        <v/>
      </c>
      <c r="G124" s="32" t="str">
        <f ca="1">IF(L124="","",INDEX(INDIRECT("'"&amp;'لوحة التحكم'!$K$6&amp;"'!$C$2:$C$501"),L124))</f>
        <v/>
      </c>
      <c r="H124" s="32" t="str">
        <f ca="1">IF(L124="","",INDEX(INDIRECT("'"&amp;'لوحة التحكم'!$K$6&amp;"'!$D$2:$D$501"),L124))</f>
        <v/>
      </c>
      <c r="I124" s="32" t="str">
        <f ca="1">IF(L124="","",INDEX(INDIRECT("'"&amp;'لوحة التحكم'!$K$6&amp;"'!$E$2:$E$501"),L124))</f>
        <v/>
      </c>
      <c r="J124" s="18" t="str">
        <f ca="1">IF(L124="","",INDEX(INDIRECT("'"&amp;'لوحة التحكم'!$K$6&amp;"'!$U$2:$U$501"),L124))</f>
        <v/>
      </c>
      <c r="L124" s="3" t="str">
        <f ca="1">IF('لوحة التحكم'!$K$12=1,IFERROR(MATCH(108,INDIRECT("'"&amp;'لوحة التحكم'!$K$6&amp;"'!$AF$2:$AF$501"),0),""),"")</f>
        <v/>
      </c>
    </row>
    <row r="125" spans="2:12">
      <c r="B125" s="24" t="str">
        <f ca="1">IF(L125="","",109)</f>
        <v/>
      </c>
      <c r="C125" s="18" t="str">
        <f ca="1">IF(L125="","",INDEX(INDIRECT("'"&amp;'لوحة التحكم'!$K$6&amp;"'!$A$2:$A$501"),L125))</f>
        <v/>
      </c>
      <c r="D125" s="31" t="str">
        <f ca="1">IF(L125="","",INDEX(INDIRECT("'"&amp;'لوحة التحكم'!$K$6&amp;"'!$B$2:$B$501"),L125))</f>
        <v/>
      </c>
      <c r="E125" s="24" t="str">
        <f ca="1">IF(L125="","",INDEX(INDIRECT("'"&amp;'لوحة التحكم'!$K$6&amp;"'!$F$2:$F$501"),L125))</f>
        <v/>
      </c>
      <c r="F125" s="32" t="str">
        <f ca="1">IF(L125="","",INDEX(INDIRECT("'"&amp;'لوحة التحكم'!$K$6&amp;"'!$I$2:$I$501"),L125))</f>
        <v/>
      </c>
      <c r="G125" s="32" t="str">
        <f ca="1">IF(L125="","",INDEX(INDIRECT("'"&amp;'لوحة التحكم'!$K$6&amp;"'!$C$2:$C$501"),L125))</f>
        <v/>
      </c>
      <c r="H125" s="32" t="str">
        <f ca="1">IF(L125="","",INDEX(INDIRECT("'"&amp;'لوحة التحكم'!$K$6&amp;"'!$D$2:$D$501"),L125))</f>
        <v/>
      </c>
      <c r="I125" s="32" t="str">
        <f ca="1">IF(L125="","",INDEX(INDIRECT("'"&amp;'لوحة التحكم'!$K$6&amp;"'!$E$2:$E$501"),L125))</f>
        <v/>
      </c>
      <c r="J125" s="18" t="str">
        <f ca="1">IF(L125="","",INDEX(INDIRECT("'"&amp;'لوحة التحكم'!$K$6&amp;"'!$U$2:$U$501"),L125))</f>
        <v/>
      </c>
      <c r="L125" s="3" t="str">
        <f ca="1">IF('لوحة التحكم'!$K$12=1,IFERROR(MATCH(109,INDIRECT("'"&amp;'لوحة التحكم'!$K$6&amp;"'!$AF$2:$AF$501"),0),""),"")</f>
        <v/>
      </c>
    </row>
    <row r="126" spans="2:12">
      <c r="B126" s="24" t="str">
        <f ca="1">IF(L126="","",110)</f>
        <v/>
      </c>
      <c r="C126" s="18" t="str">
        <f ca="1">IF(L126="","",INDEX(INDIRECT("'"&amp;'لوحة التحكم'!$K$6&amp;"'!$A$2:$A$501"),L126))</f>
        <v/>
      </c>
      <c r="D126" s="31" t="str">
        <f ca="1">IF(L126="","",INDEX(INDIRECT("'"&amp;'لوحة التحكم'!$K$6&amp;"'!$B$2:$B$501"),L126))</f>
        <v/>
      </c>
      <c r="E126" s="24" t="str">
        <f ca="1">IF(L126="","",INDEX(INDIRECT("'"&amp;'لوحة التحكم'!$K$6&amp;"'!$F$2:$F$501"),L126))</f>
        <v/>
      </c>
      <c r="F126" s="32" t="str">
        <f ca="1">IF(L126="","",INDEX(INDIRECT("'"&amp;'لوحة التحكم'!$K$6&amp;"'!$I$2:$I$501"),L126))</f>
        <v/>
      </c>
      <c r="G126" s="32" t="str">
        <f ca="1">IF(L126="","",INDEX(INDIRECT("'"&amp;'لوحة التحكم'!$K$6&amp;"'!$C$2:$C$501"),L126))</f>
        <v/>
      </c>
      <c r="H126" s="32" t="str">
        <f ca="1">IF(L126="","",INDEX(INDIRECT("'"&amp;'لوحة التحكم'!$K$6&amp;"'!$D$2:$D$501"),L126))</f>
        <v/>
      </c>
      <c r="I126" s="32" t="str">
        <f ca="1">IF(L126="","",INDEX(INDIRECT("'"&amp;'لوحة التحكم'!$K$6&amp;"'!$E$2:$E$501"),L126))</f>
        <v/>
      </c>
      <c r="J126" s="18" t="str">
        <f ca="1">IF(L126="","",INDEX(INDIRECT("'"&amp;'لوحة التحكم'!$K$6&amp;"'!$U$2:$U$501"),L126))</f>
        <v/>
      </c>
      <c r="L126" s="3" t="str">
        <f ca="1">IF('لوحة التحكم'!$K$12=1,IFERROR(MATCH(110,INDIRECT("'"&amp;'لوحة التحكم'!$K$6&amp;"'!$AF$2:$AF$501"),0),""),"")</f>
        <v/>
      </c>
    </row>
    <row r="127" spans="2:12">
      <c r="B127" s="24" t="str">
        <f ca="1">IF(L127="","",111)</f>
        <v/>
      </c>
      <c r="C127" s="18" t="str">
        <f ca="1">IF(L127="","",INDEX(INDIRECT("'"&amp;'لوحة التحكم'!$K$6&amp;"'!$A$2:$A$501"),L127))</f>
        <v/>
      </c>
      <c r="D127" s="31" t="str">
        <f ca="1">IF(L127="","",INDEX(INDIRECT("'"&amp;'لوحة التحكم'!$K$6&amp;"'!$B$2:$B$501"),L127))</f>
        <v/>
      </c>
      <c r="E127" s="24" t="str">
        <f ca="1">IF(L127="","",INDEX(INDIRECT("'"&amp;'لوحة التحكم'!$K$6&amp;"'!$F$2:$F$501"),L127))</f>
        <v/>
      </c>
      <c r="F127" s="32" t="str">
        <f ca="1">IF(L127="","",INDEX(INDIRECT("'"&amp;'لوحة التحكم'!$K$6&amp;"'!$I$2:$I$501"),L127))</f>
        <v/>
      </c>
      <c r="G127" s="32" t="str">
        <f ca="1">IF(L127="","",INDEX(INDIRECT("'"&amp;'لوحة التحكم'!$K$6&amp;"'!$C$2:$C$501"),L127))</f>
        <v/>
      </c>
      <c r="H127" s="32" t="str">
        <f ca="1">IF(L127="","",INDEX(INDIRECT("'"&amp;'لوحة التحكم'!$K$6&amp;"'!$D$2:$D$501"),L127))</f>
        <v/>
      </c>
      <c r="I127" s="32" t="str">
        <f ca="1">IF(L127="","",INDEX(INDIRECT("'"&amp;'لوحة التحكم'!$K$6&amp;"'!$E$2:$E$501"),L127))</f>
        <v/>
      </c>
      <c r="J127" s="18" t="str">
        <f ca="1">IF(L127="","",INDEX(INDIRECT("'"&amp;'لوحة التحكم'!$K$6&amp;"'!$U$2:$U$501"),L127))</f>
        <v/>
      </c>
      <c r="L127" s="3" t="str">
        <f ca="1">IF('لوحة التحكم'!$K$12=1,IFERROR(MATCH(111,INDIRECT("'"&amp;'لوحة التحكم'!$K$6&amp;"'!$AF$2:$AF$501"),0),""),"")</f>
        <v/>
      </c>
    </row>
    <row r="128" spans="2:12">
      <c r="B128" s="24" t="str">
        <f ca="1">IF(L128="","",112)</f>
        <v/>
      </c>
      <c r="C128" s="18" t="str">
        <f ca="1">IF(L128="","",INDEX(INDIRECT("'"&amp;'لوحة التحكم'!$K$6&amp;"'!$A$2:$A$501"),L128))</f>
        <v/>
      </c>
      <c r="D128" s="31" t="str">
        <f ca="1">IF(L128="","",INDEX(INDIRECT("'"&amp;'لوحة التحكم'!$K$6&amp;"'!$B$2:$B$501"),L128))</f>
        <v/>
      </c>
      <c r="E128" s="24" t="str">
        <f ca="1">IF(L128="","",INDEX(INDIRECT("'"&amp;'لوحة التحكم'!$K$6&amp;"'!$F$2:$F$501"),L128))</f>
        <v/>
      </c>
      <c r="F128" s="32" t="str">
        <f ca="1">IF(L128="","",INDEX(INDIRECT("'"&amp;'لوحة التحكم'!$K$6&amp;"'!$I$2:$I$501"),L128))</f>
        <v/>
      </c>
      <c r="G128" s="32" t="str">
        <f ca="1">IF(L128="","",INDEX(INDIRECT("'"&amp;'لوحة التحكم'!$K$6&amp;"'!$C$2:$C$501"),L128))</f>
        <v/>
      </c>
      <c r="H128" s="32" t="str">
        <f ca="1">IF(L128="","",INDEX(INDIRECT("'"&amp;'لوحة التحكم'!$K$6&amp;"'!$D$2:$D$501"),L128))</f>
        <v/>
      </c>
      <c r="I128" s="32" t="str">
        <f ca="1">IF(L128="","",INDEX(INDIRECT("'"&amp;'لوحة التحكم'!$K$6&amp;"'!$E$2:$E$501"),L128))</f>
        <v/>
      </c>
      <c r="J128" s="18" t="str">
        <f ca="1">IF(L128="","",INDEX(INDIRECT("'"&amp;'لوحة التحكم'!$K$6&amp;"'!$U$2:$U$501"),L128))</f>
        <v/>
      </c>
      <c r="L128" s="3" t="str">
        <f ca="1">IF('لوحة التحكم'!$K$12=1,IFERROR(MATCH(112,INDIRECT("'"&amp;'لوحة التحكم'!$K$6&amp;"'!$AF$2:$AF$501"),0),""),"")</f>
        <v/>
      </c>
    </row>
    <row r="129" spans="2:12">
      <c r="B129" s="24" t="str">
        <f ca="1">IF(L129="","",113)</f>
        <v/>
      </c>
      <c r="C129" s="18" t="str">
        <f ca="1">IF(L129="","",INDEX(INDIRECT("'"&amp;'لوحة التحكم'!$K$6&amp;"'!$A$2:$A$501"),L129))</f>
        <v/>
      </c>
      <c r="D129" s="31" t="str">
        <f ca="1">IF(L129="","",INDEX(INDIRECT("'"&amp;'لوحة التحكم'!$K$6&amp;"'!$B$2:$B$501"),L129))</f>
        <v/>
      </c>
      <c r="E129" s="24" t="str">
        <f ca="1">IF(L129="","",INDEX(INDIRECT("'"&amp;'لوحة التحكم'!$K$6&amp;"'!$F$2:$F$501"),L129))</f>
        <v/>
      </c>
      <c r="F129" s="32" t="str">
        <f ca="1">IF(L129="","",INDEX(INDIRECT("'"&amp;'لوحة التحكم'!$K$6&amp;"'!$I$2:$I$501"),L129))</f>
        <v/>
      </c>
      <c r="G129" s="32" t="str">
        <f ca="1">IF(L129="","",INDEX(INDIRECT("'"&amp;'لوحة التحكم'!$K$6&amp;"'!$C$2:$C$501"),L129))</f>
        <v/>
      </c>
      <c r="H129" s="32" t="str">
        <f ca="1">IF(L129="","",INDEX(INDIRECT("'"&amp;'لوحة التحكم'!$K$6&amp;"'!$D$2:$D$501"),L129))</f>
        <v/>
      </c>
      <c r="I129" s="32" t="str">
        <f ca="1">IF(L129="","",INDEX(INDIRECT("'"&amp;'لوحة التحكم'!$K$6&amp;"'!$E$2:$E$501"),L129))</f>
        <v/>
      </c>
      <c r="J129" s="18" t="str">
        <f ca="1">IF(L129="","",INDEX(INDIRECT("'"&amp;'لوحة التحكم'!$K$6&amp;"'!$U$2:$U$501"),L129))</f>
        <v/>
      </c>
      <c r="L129" s="3" t="str">
        <f ca="1">IF('لوحة التحكم'!$K$12=1,IFERROR(MATCH(113,INDIRECT("'"&amp;'لوحة التحكم'!$K$6&amp;"'!$AF$2:$AF$501"),0),""),"")</f>
        <v/>
      </c>
    </row>
    <row r="130" spans="2:12">
      <c r="B130" s="24" t="str">
        <f ca="1">IF(L130="","",114)</f>
        <v/>
      </c>
      <c r="C130" s="18" t="str">
        <f ca="1">IF(L130="","",INDEX(INDIRECT("'"&amp;'لوحة التحكم'!$K$6&amp;"'!$A$2:$A$501"),L130))</f>
        <v/>
      </c>
      <c r="D130" s="31" t="str">
        <f ca="1">IF(L130="","",INDEX(INDIRECT("'"&amp;'لوحة التحكم'!$K$6&amp;"'!$B$2:$B$501"),L130))</f>
        <v/>
      </c>
      <c r="E130" s="24" t="str">
        <f ca="1">IF(L130="","",INDEX(INDIRECT("'"&amp;'لوحة التحكم'!$K$6&amp;"'!$F$2:$F$501"),L130))</f>
        <v/>
      </c>
      <c r="F130" s="32" t="str">
        <f ca="1">IF(L130="","",INDEX(INDIRECT("'"&amp;'لوحة التحكم'!$K$6&amp;"'!$I$2:$I$501"),L130))</f>
        <v/>
      </c>
      <c r="G130" s="32" t="str">
        <f ca="1">IF(L130="","",INDEX(INDIRECT("'"&amp;'لوحة التحكم'!$K$6&amp;"'!$C$2:$C$501"),L130))</f>
        <v/>
      </c>
      <c r="H130" s="32" t="str">
        <f ca="1">IF(L130="","",INDEX(INDIRECT("'"&amp;'لوحة التحكم'!$K$6&amp;"'!$D$2:$D$501"),L130))</f>
        <v/>
      </c>
      <c r="I130" s="32" t="str">
        <f ca="1">IF(L130="","",INDEX(INDIRECT("'"&amp;'لوحة التحكم'!$K$6&amp;"'!$E$2:$E$501"),L130))</f>
        <v/>
      </c>
      <c r="J130" s="18" t="str">
        <f ca="1">IF(L130="","",INDEX(INDIRECT("'"&amp;'لوحة التحكم'!$K$6&amp;"'!$U$2:$U$501"),L130))</f>
        <v/>
      </c>
      <c r="L130" s="3" t="str">
        <f ca="1">IF('لوحة التحكم'!$K$12=1,IFERROR(MATCH(114,INDIRECT("'"&amp;'لوحة التحكم'!$K$6&amp;"'!$AF$2:$AF$501"),0),""),"")</f>
        <v/>
      </c>
    </row>
    <row r="131" spans="2:12">
      <c r="B131" s="24" t="str">
        <f ca="1">IF(L131="","",115)</f>
        <v/>
      </c>
      <c r="C131" s="18" t="str">
        <f ca="1">IF(L131="","",INDEX(INDIRECT("'"&amp;'لوحة التحكم'!$K$6&amp;"'!$A$2:$A$501"),L131))</f>
        <v/>
      </c>
      <c r="D131" s="31" t="str">
        <f ca="1">IF(L131="","",INDEX(INDIRECT("'"&amp;'لوحة التحكم'!$K$6&amp;"'!$B$2:$B$501"),L131))</f>
        <v/>
      </c>
      <c r="E131" s="24" t="str">
        <f ca="1">IF(L131="","",INDEX(INDIRECT("'"&amp;'لوحة التحكم'!$K$6&amp;"'!$F$2:$F$501"),L131))</f>
        <v/>
      </c>
      <c r="F131" s="32" t="str">
        <f ca="1">IF(L131="","",INDEX(INDIRECT("'"&amp;'لوحة التحكم'!$K$6&amp;"'!$I$2:$I$501"),L131))</f>
        <v/>
      </c>
      <c r="G131" s="32" t="str">
        <f ca="1">IF(L131="","",INDEX(INDIRECT("'"&amp;'لوحة التحكم'!$K$6&amp;"'!$C$2:$C$501"),L131))</f>
        <v/>
      </c>
      <c r="H131" s="32" t="str">
        <f ca="1">IF(L131="","",INDEX(INDIRECT("'"&amp;'لوحة التحكم'!$K$6&amp;"'!$D$2:$D$501"),L131))</f>
        <v/>
      </c>
      <c r="I131" s="32" t="str">
        <f ca="1">IF(L131="","",INDEX(INDIRECT("'"&amp;'لوحة التحكم'!$K$6&amp;"'!$E$2:$E$501"),L131))</f>
        <v/>
      </c>
      <c r="J131" s="18" t="str">
        <f ca="1">IF(L131="","",INDEX(INDIRECT("'"&amp;'لوحة التحكم'!$K$6&amp;"'!$U$2:$U$501"),L131))</f>
        <v/>
      </c>
      <c r="L131" s="3" t="str">
        <f ca="1">IF('لوحة التحكم'!$K$12=1,IFERROR(MATCH(115,INDIRECT("'"&amp;'لوحة التحكم'!$K$6&amp;"'!$AF$2:$AF$501"),0),""),"")</f>
        <v/>
      </c>
    </row>
    <row r="132" spans="2:12">
      <c r="B132" s="24" t="str">
        <f ca="1">IF(L132="","",116)</f>
        <v/>
      </c>
      <c r="C132" s="18" t="str">
        <f ca="1">IF(L132="","",INDEX(INDIRECT("'"&amp;'لوحة التحكم'!$K$6&amp;"'!$A$2:$A$501"),L132))</f>
        <v/>
      </c>
      <c r="D132" s="31" t="str">
        <f ca="1">IF(L132="","",INDEX(INDIRECT("'"&amp;'لوحة التحكم'!$K$6&amp;"'!$B$2:$B$501"),L132))</f>
        <v/>
      </c>
      <c r="E132" s="24" t="str">
        <f ca="1">IF(L132="","",INDEX(INDIRECT("'"&amp;'لوحة التحكم'!$K$6&amp;"'!$F$2:$F$501"),L132))</f>
        <v/>
      </c>
      <c r="F132" s="32" t="str">
        <f ca="1">IF(L132="","",INDEX(INDIRECT("'"&amp;'لوحة التحكم'!$K$6&amp;"'!$I$2:$I$501"),L132))</f>
        <v/>
      </c>
      <c r="G132" s="32" t="str">
        <f ca="1">IF(L132="","",INDEX(INDIRECT("'"&amp;'لوحة التحكم'!$K$6&amp;"'!$C$2:$C$501"),L132))</f>
        <v/>
      </c>
      <c r="H132" s="32" t="str">
        <f ca="1">IF(L132="","",INDEX(INDIRECT("'"&amp;'لوحة التحكم'!$K$6&amp;"'!$D$2:$D$501"),L132))</f>
        <v/>
      </c>
      <c r="I132" s="32" t="str">
        <f ca="1">IF(L132="","",INDEX(INDIRECT("'"&amp;'لوحة التحكم'!$K$6&amp;"'!$E$2:$E$501"),L132))</f>
        <v/>
      </c>
      <c r="J132" s="18" t="str">
        <f ca="1">IF(L132="","",INDEX(INDIRECT("'"&amp;'لوحة التحكم'!$K$6&amp;"'!$U$2:$U$501"),L132))</f>
        <v/>
      </c>
      <c r="L132" s="3" t="str">
        <f ca="1">IF('لوحة التحكم'!$K$12=1,IFERROR(MATCH(116,INDIRECT("'"&amp;'لوحة التحكم'!$K$6&amp;"'!$AF$2:$AF$501"),0),""),"")</f>
        <v/>
      </c>
    </row>
    <row r="133" spans="2:12">
      <c r="B133" s="24" t="str">
        <f ca="1">IF(L133="","",117)</f>
        <v/>
      </c>
      <c r="C133" s="18" t="str">
        <f ca="1">IF(L133="","",INDEX(INDIRECT("'"&amp;'لوحة التحكم'!$K$6&amp;"'!$A$2:$A$501"),L133))</f>
        <v/>
      </c>
      <c r="D133" s="31" t="str">
        <f ca="1">IF(L133="","",INDEX(INDIRECT("'"&amp;'لوحة التحكم'!$K$6&amp;"'!$B$2:$B$501"),L133))</f>
        <v/>
      </c>
      <c r="E133" s="24" t="str">
        <f ca="1">IF(L133="","",INDEX(INDIRECT("'"&amp;'لوحة التحكم'!$K$6&amp;"'!$F$2:$F$501"),L133))</f>
        <v/>
      </c>
      <c r="F133" s="32" t="str">
        <f ca="1">IF(L133="","",INDEX(INDIRECT("'"&amp;'لوحة التحكم'!$K$6&amp;"'!$I$2:$I$501"),L133))</f>
        <v/>
      </c>
      <c r="G133" s="32" t="str">
        <f ca="1">IF(L133="","",INDEX(INDIRECT("'"&amp;'لوحة التحكم'!$K$6&amp;"'!$C$2:$C$501"),L133))</f>
        <v/>
      </c>
      <c r="H133" s="32" t="str">
        <f ca="1">IF(L133="","",INDEX(INDIRECT("'"&amp;'لوحة التحكم'!$K$6&amp;"'!$D$2:$D$501"),L133))</f>
        <v/>
      </c>
      <c r="I133" s="32" t="str">
        <f ca="1">IF(L133="","",INDEX(INDIRECT("'"&amp;'لوحة التحكم'!$K$6&amp;"'!$E$2:$E$501"),L133))</f>
        <v/>
      </c>
      <c r="J133" s="18" t="str">
        <f ca="1">IF(L133="","",INDEX(INDIRECT("'"&amp;'لوحة التحكم'!$K$6&amp;"'!$U$2:$U$501"),L133))</f>
        <v/>
      </c>
      <c r="L133" s="3" t="str">
        <f ca="1">IF('لوحة التحكم'!$K$12=1,IFERROR(MATCH(117,INDIRECT("'"&amp;'لوحة التحكم'!$K$6&amp;"'!$AF$2:$AF$501"),0),""),"")</f>
        <v/>
      </c>
    </row>
    <row r="134" spans="2:12">
      <c r="B134" s="24" t="str">
        <f ca="1">IF(L134="","",118)</f>
        <v/>
      </c>
      <c r="C134" s="18" t="str">
        <f ca="1">IF(L134="","",INDEX(INDIRECT("'"&amp;'لوحة التحكم'!$K$6&amp;"'!$A$2:$A$501"),L134))</f>
        <v/>
      </c>
      <c r="D134" s="31" t="str">
        <f ca="1">IF(L134="","",INDEX(INDIRECT("'"&amp;'لوحة التحكم'!$K$6&amp;"'!$B$2:$B$501"),L134))</f>
        <v/>
      </c>
      <c r="E134" s="24" t="str">
        <f ca="1">IF(L134="","",INDEX(INDIRECT("'"&amp;'لوحة التحكم'!$K$6&amp;"'!$F$2:$F$501"),L134))</f>
        <v/>
      </c>
      <c r="F134" s="32" t="str">
        <f ca="1">IF(L134="","",INDEX(INDIRECT("'"&amp;'لوحة التحكم'!$K$6&amp;"'!$I$2:$I$501"),L134))</f>
        <v/>
      </c>
      <c r="G134" s="32" t="str">
        <f ca="1">IF(L134="","",INDEX(INDIRECT("'"&amp;'لوحة التحكم'!$K$6&amp;"'!$C$2:$C$501"),L134))</f>
        <v/>
      </c>
      <c r="H134" s="32" t="str">
        <f ca="1">IF(L134="","",INDEX(INDIRECT("'"&amp;'لوحة التحكم'!$K$6&amp;"'!$D$2:$D$501"),L134))</f>
        <v/>
      </c>
      <c r="I134" s="32" t="str">
        <f ca="1">IF(L134="","",INDEX(INDIRECT("'"&amp;'لوحة التحكم'!$K$6&amp;"'!$E$2:$E$501"),L134))</f>
        <v/>
      </c>
      <c r="J134" s="18" t="str">
        <f ca="1">IF(L134="","",INDEX(INDIRECT("'"&amp;'لوحة التحكم'!$K$6&amp;"'!$U$2:$U$501"),L134))</f>
        <v/>
      </c>
      <c r="L134" s="3" t="str">
        <f ca="1">IF('لوحة التحكم'!$K$12=1,IFERROR(MATCH(118,INDIRECT("'"&amp;'لوحة التحكم'!$K$6&amp;"'!$AF$2:$AF$501"),0),""),"")</f>
        <v/>
      </c>
    </row>
    <row r="135" spans="2:12">
      <c r="B135" s="24" t="str">
        <f ca="1">IF(L135="","",119)</f>
        <v/>
      </c>
      <c r="C135" s="18" t="str">
        <f ca="1">IF(L135="","",INDEX(INDIRECT("'"&amp;'لوحة التحكم'!$K$6&amp;"'!$A$2:$A$501"),L135))</f>
        <v/>
      </c>
      <c r="D135" s="31" t="str">
        <f ca="1">IF(L135="","",INDEX(INDIRECT("'"&amp;'لوحة التحكم'!$K$6&amp;"'!$B$2:$B$501"),L135))</f>
        <v/>
      </c>
      <c r="E135" s="24" t="str">
        <f ca="1">IF(L135="","",INDEX(INDIRECT("'"&amp;'لوحة التحكم'!$K$6&amp;"'!$F$2:$F$501"),L135))</f>
        <v/>
      </c>
      <c r="F135" s="32" t="str">
        <f ca="1">IF(L135="","",INDEX(INDIRECT("'"&amp;'لوحة التحكم'!$K$6&amp;"'!$I$2:$I$501"),L135))</f>
        <v/>
      </c>
      <c r="G135" s="32" t="str">
        <f ca="1">IF(L135="","",INDEX(INDIRECT("'"&amp;'لوحة التحكم'!$K$6&amp;"'!$C$2:$C$501"),L135))</f>
        <v/>
      </c>
      <c r="H135" s="32" t="str">
        <f ca="1">IF(L135="","",INDEX(INDIRECT("'"&amp;'لوحة التحكم'!$K$6&amp;"'!$D$2:$D$501"),L135))</f>
        <v/>
      </c>
      <c r="I135" s="32" t="str">
        <f ca="1">IF(L135="","",INDEX(INDIRECT("'"&amp;'لوحة التحكم'!$K$6&amp;"'!$E$2:$E$501"),L135))</f>
        <v/>
      </c>
      <c r="J135" s="18" t="str">
        <f ca="1">IF(L135="","",INDEX(INDIRECT("'"&amp;'لوحة التحكم'!$K$6&amp;"'!$U$2:$U$501"),L135))</f>
        <v/>
      </c>
      <c r="L135" s="3" t="str">
        <f ca="1">IF('لوحة التحكم'!$K$12=1,IFERROR(MATCH(119,INDIRECT("'"&amp;'لوحة التحكم'!$K$6&amp;"'!$AF$2:$AF$501"),0),""),"")</f>
        <v/>
      </c>
    </row>
    <row r="136" spans="2:12">
      <c r="B136" s="24" t="str">
        <f ca="1">IF(L136="","",120)</f>
        <v/>
      </c>
      <c r="C136" s="18" t="str">
        <f ca="1">IF(L136="","",INDEX(INDIRECT("'"&amp;'لوحة التحكم'!$K$6&amp;"'!$A$2:$A$501"),L136))</f>
        <v/>
      </c>
      <c r="D136" s="31" t="str">
        <f ca="1">IF(L136="","",INDEX(INDIRECT("'"&amp;'لوحة التحكم'!$K$6&amp;"'!$B$2:$B$501"),L136))</f>
        <v/>
      </c>
      <c r="E136" s="24" t="str">
        <f ca="1">IF(L136="","",INDEX(INDIRECT("'"&amp;'لوحة التحكم'!$K$6&amp;"'!$F$2:$F$501"),L136))</f>
        <v/>
      </c>
      <c r="F136" s="32" t="str">
        <f ca="1">IF(L136="","",INDEX(INDIRECT("'"&amp;'لوحة التحكم'!$K$6&amp;"'!$I$2:$I$501"),L136))</f>
        <v/>
      </c>
      <c r="G136" s="32" t="str">
        <f ca="1">IF(L136="","",INDEX(INDIRECT("'"&amp;'لوحة التحكم'!$K$6&amp;"'!$C$2:$C$501"),L136))</f>
        <v/>
      </c>
      <c r="H136" s="32" t="str">
        <f ca="1">IF(L136="","",INDEX(INDIRECT("'"&amp;'لوحة التحكم'!$K$6&amp;"'!$D$2:$D$501"),L136))</f>
        <v/>
      </c>
      <c r="I136" s="32" t="str">
        <f ca="1">IF(L136="","",INDEX(INDIRECT("'"&amp;'لوحة التحكم'!$K$6&amp;"'!$E$2:$E$501"),L136))</f>
        <v/>
      </c>
      <c r="J136" s="18" t="str">
        <f ca="1">IF(L136="","",INDEX(INDIRECT("'"&amp;'لوحة التحكم'!$K$6&amp;"'!$U$2:$U$501"),L136))</f>
        <v/>
      </c>
      <c r="L136" s="3" t="str">
        <f ca="1">IF('لوحة التحكم'!$K$12=1,IFERROR(MATCH(120,INDIRECT("'"&amp;'لوحة التحكم'!$K$6&amp;"'!$AF$2:$AF$501"),0),""),"")</f>
        <v/>
      </c>
    </row>
    <row r="137" spans="2:12">
      <c r="B137" s="24" t="str">
        <f ca="1">IF(L137="","",121)</f>
        <v/>
      </c>
      <c r="C137" s="18" t="str">
        <f ca="1">IF(L137="","",INDEX(INDIRECT("'"&amp;'لوحة التحكم'!$K$6&amp;"'!$A$2:$A$501"),L137))</f>
        <v/>
      </c>
      <c r="D137" s="31" t="str">
        <f ca="1">IF(L137="","",INDEX(INDIRECT("'"&amp;'لوحة التحكم'!$K$6&amp;"'!$B$2:$B$501"),L137))</f>
        <v/>
      </c>
      <c r="E137" s="24" t="str">
        <f ca="1">IF(L137="","",INDEX(INDIRECT("'"&amp;'لوحة التحكم'!$K$6&amp;"'!$F$2:$F$501"),L137))</f>
        <v/>
      </c>
      <c r="F137" s="32" t="str">
        <f ca="1">IF(L137="","",INDEX(INDIRECT("'"&amp;'لوحة التحكم'!$K$6&amp;"'!$I$2:$I$501"),L137))</f>
        <v/>
      </c>
      <c r="G137" s="32" t="str">
        <f ca="1">IF(L137="","",INDEX(INDIRECT("'"&amp;'لوحة التحكم'!$K$6&amp;"'!$C$2:$C$501"),L137))</f>
        <v/>
      </c>
      <c r="H137" s="32" t="str">
        <f ca="1">IF(L137="","",INDEX(INDIRECT("'"&amp;'لوحة التحكم'!$K$6&amp;"'!$D$2:$D$501"),L137))</f>
        <v/>
      </c>
      <c r="I137" s="32" t="str">
        <f ca="1">IF(L137="","",INDEX(INDIRECT("'"&amp;'لوحة التحكم'!$K$6&amp;"'!$E$2:$E$501"),L137))</f>
        <v/>
      </c>
      <c r="J137" s="18" t="str">
        <f ca="1">IF(L137="","",INDEX(INDIRECT("'"&amp;'لوحة التحكم'!$K$6&amp;"'!$U$2:$U$501"),L137))</f>
        <v/>
      </c>
      <c r="L137" s="3" t="str">
        <f ca="1">IF('لوحة التحكم'!$K$12=1,IFERROR(MATCH(121,INDIRECT("'"&amp;'لوحة التحكم'!$K$6&amp;"'!$AF$2:$AF$501"),0),""),"")</f>
        <v/>
      </c>
    </row>
    <row r="138" spans="2:12">
      <c r="B138" s="24" t="str">
        <f ca="1">IF(L138="","",122)</f>
        <v/>
      </c>
      <c r="C138" s="18" t="str">
        <f ca="1">IF(L138="","",INDEX(INDIRECT("'"&amp;'لوحة التحكم'!$K$6&amp;"'!$A$2:$A$501"),L138))</f>
        <v/>
      </c>
      <c r="D138" s="31" t="str">
        <f ca="1">IF(L138="","",INDEX(INDIRECT("'"&amp;'لوحة التحكم'!$K$6&amp;"'!$B$2:$B$501"),L138))</f>
        <v/>
      </c>
      <c r="E138" s="24" t="str">
        <f ca="1">IF(L138="","",INDEX(INDIRECT("'"&amp;'لوحة التحكم'!$K$6&amp;"'!$F$2:$F$501"),L138))</f>
        <v/>
      </c>
      <c r="F138" s="32" t="str">
        <f ca="1">IF(L138="","",INDEX(INDIRECT("'"&amp;'لوحة التحكم'!$K$6&amp;"'!$I$2:$I$501"),L138))</f>
        <v/>
      </c>
      <c r="G138" s="32" t="str">
        <f ca="1">IF(L138="","",INDEX(INDIRECT("'"&amp;'لوحة التحكم'!$K$6&amp;"'!$C$2:$C$501"),L138))</f>
        <v/>
      </c>
      <c r="H138" s="32" t="str">
        <f ca="1">IF(L138="","",INDEX(INDIRECT("'"&amp;'لوحة التحكم'!$K$6&amp;"'!$D$2:$D$501"),L138))</f>
        <v/>
      </c>
      <c r="I138" s="32" t="str">
        <f ca="1">IF(L138="","",INDEX(INDIRECT("'"&amp;'لوحة التحكم'!$K$6&amp;"'!$E$2:$E$501"),L138))</f>
        <v/>
      </c>
      <c r="J138" s="18" t="str">
        <f ca="1">IF(L138="","",INDEX(INDIRECT("'"&amp;'لوحة التحكم'!$K$6&amp;"'!$U$2:$U$501"),L138))</f>
        <v/>
      </c>
      <c r="L138" s="3" t="str">
        <f ca="1">IF('لوحة التحكم'!$K$12=1,IFERROR(MATCH(122,INDIRECT("'"&amp;'لوحة التحكم'!$K$6&amp;"'!$AF$2:$AF$501"),0),""),"")</f>
        <v/>
      </c>
    </row>
    <row r="139" spans="2:12">
      <c r="B139" s="24" t="str">
        <f ca="1">IF(L139="","",123)</f>
        <v/>
      </c>
      <c r="C139" s="18" t="str">
        <f ca="1">IF(L139="","",INDEX(INDIRECT("'"&amp;'لوحة التحكم'!$K$6&amp;"'!$A$2:$A$501"),L139))</f>
        <v/>
      </c>
      <c r="D139" s="31" t="str">
        <f ca="1">IF(L139="","",INDEX(INDIRECT("'"&amp;'لوحة التحكم'!$K$6&amp;"'!$B$2:$B$501"),L139))</f>
        <v/>
      </c>
      <c r="E139" s="24" t="str">
        <f ca="1">IF(L139="","",INDEX(INDIRECT("'"&amp;'لوحة التحكم'!$K$6&amp;"'!$F$2:$F$501"),L139))</f>
        <v/>
      </c>
      <c r="F139" s="32" t="str">
        <f ca="1">IF(L139="","",INDEX(INDIRECT("'"&amp;'لوحة التحكم'!$K$6&amp;"'!$I$2:$I$501"),L139))</f>
        <v/>
      </c>
      <c r="G139" s="32" t="str">
        <f ca="1">IF(L139="","",INDEX(INDIRECT("'"&amp;'لوحة التحكم'!$K$6&amp;"'!$C$2:$C$501"),L139))</f>
        <v/>
      </c>
      <c r="H139" s="32" t="str">
        <f ca="1">IF(L139="","",INDEX(INDIRECT("'"&amp;'لوحة التحكم'!$K$6&amp;"'!$D$2:$D$501"),L139))</f>
        <v/>
      </c>
      <c r="I139" s="32" t="str">
        <f ca="1">IF(L139="","",INDEX(INDIRECT("'"&amp;'لوحة التحكم'!$K$6&amp;"'!$E$2:$E$501"),L139))</f>
        <v/>
      </c>
      <c r="J139" s="18" t="str">
        <f ca="1">IF(L139="","",INDEX(INDIRECT("'"&amp;'لوحة التحكم'!$K$6&amp;"'!$U$2:$U$501"),L139))</f>
        <v/>
      </c>
      <c r="L139" s="3" t="str">
        <f ca="1">IF('لوحة التحكم'!$K$12=1,IFERROR(MATCH(123,INDIRECT("'"&amp;'لوحة التحكم'!$K$6&amp;"'!$AF$2:$AF$501"),0),""),"")</f>
        <v/>
      </c>
    </row>
    <row r="140" spans="2:12">
      <c r="B140" s="24" t="str">
        <f ca="1">IF(L140="","",124)</f>
        <v/>
      </c>
      <c r="C140" s="18" t="str">
        <f ca="1">IF(L140="","",INDEX(INDIRECT("'"&amp;'لوحة التحكم'!$K$6&amp;"'!$A$2:$A$501"),L140))</f>
        <v/>
      </c>
      <c r="D140" s="31" t="str">
        <f ca="1">IF(L140="","",INDEX(INDIRECT("'"&amp;'لوحة التحكم'!$K$6&amp;"'!$B$2:$B$501"),L140))</f>
        <v/>
      </c>
      <c r="E140" s="24" t="str">
        <f ca="1">IF(L140="","",INDEX(INDIRECT("'"&amp;'لوحة التحكم'!$K$6&amp;"'!$F$2:$F$501"),L140))</f>
        <v/>
      </c>
      <c r="F140" s="32" t="str">
        <f ca="1">IF(L140="","",INDEX(INDIRECT("'"&amp;'لوحة التحكم'!$K$6&amp;"'!$I$2:$I$501"),L140))</f>
        <v/>
      </c>
      <c r="G140" s="32" t="str">
        <f ca="1">IF(L140="","",INDEX(INDIRECT("'"&amp;'لوحة التحكم'!$K$6&amp;"'!$C$2:$C$501"),L140))</f>
        <v/>
      </c>
      <c r="H140" s="32" t="str">
        <f ca="1">IF(L140="","",INDEX(INDIRECT("'"&amp;'لوحة التحكم'!$K$6&amp;"'!$D$2:$D$501"),L140))</f>
        <v/>
      </c>
      <c r="I140" s="32" t="str">
        <f ca="1">IF(L140="","",INDEX(INDIRECT("'"&amp;'لوحة التحكم'!$K$6&amp;"'!$E$2:$E$501"),L140))</f>
        <v/>
      </c>
      <c r="J140" s="18" t="str">
        <f ca="1">IF(L140="","",INDEX(INDIRECT("'"&amp;'لوحة التحكم'!$K$6&amp;"'!$U$2:$U$501"),L140))</f>
        <v/>
      </c>
      <c r="L140" s="3" t="str">
        <f ca="1">IF('لوحة التحكم'!$K$12=1,IFERROR(MATCH(124,INDIRECT("'"&amp;'لوحة التحكم'!$K$6&amp;"'!$AF$2:$AF$501"),0),""),"")</f>
        <v/>
      </c>
    </row>
    <row r="141" spans="2:12">
      <c r="B141" s="24" t="str">
        <f ca="1">IF(L141="","",125)</f>
        <v/>
      </c>
      <c r="C141" s="18" t="str">
        <f ca="1">IF(L141="","",INDEX(INDIRECT("'"&amp;'لوحة التحكم'!$K$6&amp;"'!$A$2:$A$501"),L141))</f>
        <v/>
      </c>
      <c r="D141" s="31" t="str">
        <f ca="1">IF(L141="","",INDEX(INDIRECT("'"&amp;'لوحة التحكم'!$K$6&amp;"'!$B$2:$B$501"),L141))</f>
        <v/>
      </c>
      <c r="E141" s="24" t="str">
        <f ca="1">IF(L141="","",INDEX(INDIRECT("'"&amp;'لوحة التحكم'!$K$6&amp;"'!$F$2:$F$501"),L141))</f>
        <v/>
      </c>
      <c r="F141" s="32" t="str">
        <f ca="1">IF(L141="","",INDEX(INDIRECT("'"&amp;'لوحة التحكم'!$K$6&amp;"'!$I$2:$I$501"),L141))</f>
        <v/>
      </c>
      <c r="G141" s="32" t="str">
        <f ca="1">IF(L141="","",INDEX(INDIRECT("'"&amp;'لوحة التحكم'!$K$6&amp;"'!$C$2:$C$501"),L141))</f>
        <v/>
      </c>
      <c r="H141" s="32" t="str">
        <f ca="1">IF(L141="","",INDEX(INDIRECT("'"&amp;'لوحة التحكم'!$K$6&amp;"'!$D$2:$D$501"),L141))</f>
        <v/>
      </c>
      <c r="I141" s="32" t="str">
        <f ca="1">IF(L141="","",INDEX(INDIRECT("'"&amp;'لوحة التحكم'!$K$6&amp;"'!$E$2:$E$501"),L141))</f>
        <v/>
      </c>
      <c r="J141" s="18" t="str">
        <f ca="1">IF(L141="","",INDEX(INDIRECT("'"&amp;'لوحة التحكم'!$K$6&amp;"'!$U$2:$U$501"),L141))</f>
        <v/>
      </c>
      <c r="L141" s="3" t="str">
        <f ca="1">IF('لوحة التحكم'!$K$12=1,IFERROR(MATCH(125,INDIRECT("'"&amp;'لوحة التحكم'!$K$6&amp;"'!$AF$2:$AF$501"),0),""),"")</f>
        <v/>
      </c>
    </row>
    <row r="142" spans="2:12">
      <c r="B142" s="24" t="str">
        <f ca="1">IF(L142="","",126)</f>
        <v/>
      </c>
      <c r="C142" s="18" t="str">
        <f ca="1">IF(L142="","",INDEX(INDIRECT("'"&amp;'لوحة التحكم'!$K$6&amp;"'!$A$2:$A$501"),L142))</f>
        <v/>
      </c>
      <c r="D142" s="31" t="str">
        <f ca="1">IF(L142="","",INDEX(INDIRECT("'"&amp;'لوحة التحكم'!$K$6&amp;"'!$B$2:$B$501"),L142))</f>
        <v/>
      </c>
      <c r="E142" s="24" t="str">
        <f ca="1">IF(L142="","",INDEX(INDIRECT("'"&amp;'لوحة التحكم'!$K$6&amp;"'!$F$2:$F$501"),L142))</f>
        <v/>
      </c>
      <c r="F142" s="32" t="str">
        <f ca="1">IF(L142="","",INDEX(INDIRECT("'"&amp;'لوحة التحكم'!$K$6&amp;"'!$I$2:$I$501"),L142))</f>
        <v/>
      </c>
      <c r="G142" s="32" t="str">
        <f ca="1">IF(L142="","",INDEX(INDIRECT("'"&amp;'لوحة التحكم'!$K$6&amp;"'!$C$2:$C$501"),L142))</f>
        <v/>
      </c>
      <c r="H142" s="32" t="str">
        <f ca="1">IF(L142="","",INDEX(INDIRECT("'"&amp;'لوحة التحكم'!$K$6&amp;"'!$D$2:$D$501"),L142))</f>
        <v/>
      </c>
      <c r="I142" s="32" t="str">
        <f ca="1">IF(L142="","",INDEX(INDIRECT("'"&amp;'لوحة التحكم'!$K$6&amp;"'!$E$2:$E$501"),L142))</f>
        <v/>
      </c>
      <c r="J142" s="18" t="str">
        <f ca="1">IF(L142="","",INDEX(INDIRECT("'"&amp;'لوحة التحكم'!$K$6&amp;"'!$U$2:$U$501"),L142))</f>
        <v/>
      </c>
      <c r="L142" s="3" t="str">
        <f ca="1">IF('لوحة التحكم'!$K$12=1,IFERROR(MATCH(126,INDIRECT("'"&amp;'لوحة التحكم'!$K$6&amp;"'!$AF$2:$AF$501"),0),""),"")</f>
        <v/>
      </c>
    </row>
    <row r="143" spans="2:12">
      <c r="B143" s="24" t="str">
        <f ca="1">IF(L143="","",127)</f>
        <v/>
      </c>
      <c r="C143" s="18" t="str">
        <f ca="1">IF(L143="","",INDEX(INDIRECT("'"&amp;'لوحة التحكم'!$K$6&amp;"'!$A$2:$A$501"),L143))</f>
        <v/>
      </c>
      <c r="D143" s="31" t="str">
        <f ca="1">IF(L143="","",INDEX(INDIRECT("'"&amp;'لوحة التحكم'!$K$6&amp;"'!$B$2:$B$501"),L143))</f>
        <v/>
      </c>
      <c r="E143" s="24" t="str">
        <f ca="1">IF(L143="","",INDEX(INDIRECT("'"&amp;'لوحة التحكم'!$K$6&amp;"'!$F$2:$F$501"),L143))</f>
        <v/>
      </c>
      <c r="F143" s="32" t="str">
        <f ca="1">IF(L143="","",INDEX(INDIRECT("'"&amp;'لوحة التحكم'!$K$6&amp;"'!$I$2:$I$501"),L143))</f>
        <v/>
      </c>
      <c r="G143" s="32" t="str">
        <f ca="1">IF(L143="","",INDEX(INDIRECT("'"&amp;'لوحة التحكم'!$K$6&amp;"'!$C$2:$C$501"),L143))</f>
        <v/>
      </c>
      <c r="H143" s="32" t="str">
        <f ca="1">IF(L143="","",INDEX(INDIRECT("'"&amp;'لوحة التحكم'!$K$6&amp;"'!$D$2:$D$501"),L143))</f>
        <v/>
      </c>
      <c r="I143" s="32" t="str">
        <f ca="1">IF(L143="","",INDEX(INDIRECT("'"&amp;'لوحة التحكم'!$K$6&amp;"'!$E$2:$E$501"),L143))</f>
        <v/>
      </c>
      <c r="J143" s="18" t="str">
        <f ca="1">IF(L143="","",INDEX(INDIRECT("'"&amp;'لوحة التحكم'!$K$6&amp;"'!$U$2:$U$501"),L143))</f>
        <v/>
      </c>
      <c r="L143" s="3" t="str">
        <f ca="1">IF('لوحة التحكم'!$K$12=1,IFERROR(MATCH(127,INDIRECT("'"&amp;'لوحة التحكم'!$K$6&amp;"'!$AF$2:$AF$501"),0),""),"")</f>
        <v/>
      </c>
    </row>
    <row r="144" spans="2:12">
      <c r="B144" s="24" t="str">
        <f ca="1">IF(L144="","",128)</f>
        <v/>
      </c>
      <c r="C144" s="18" t="str">
        <f ca="1">IF(L144="","",INDEX(INDIRECT("'"&amp;'لوحة التحكم'!$K$6&amp;"'!$A$2:$A$501"),L144))</f>
        <v/>
      </c>
      <c r="D144" s="31" t="str">
        <f ca="1">IF(L144="","",INDEX(INDIRECT("'"&amp;'لوحة التحكم'!$K$6&amp;"'!$B$2:$B$501"),L144))</f>
        <v/>
      </c>
      <c r="E144" s="24" t="str">
        <f ca="1">IF(L144="","",INDEX(INDIRECT("'"&amp;'لوحة التحكم'!$K$6&amp;"'!$F$2:$F$501"),L144))</f>
        <v/>
      </c>
      <c r="F144" s="32" t="str">
        <f ca="1">IF(L144="","",INDEX(INDIRECT("'"&amp;'لوحة التحكم'!$K$6&amp;"'!$I$2:$I$501"),L144))</f>
        <v/>
      </c>
      <c r="G144" s="32" t="str">
        <f ca="1">IF(L144="","",INDEX(INDIRECT("'"&amp;'لوحة التحكم'!$K$6&amp;"'!$C$2:$C$501"),L144))</f>
        <v/>
      </c>
      <c r="H144" s="32" t="str">
        <f ca="1">IF(L144="","",INDEX(INDIRECT("'"&amp;'لوحة التحكم'!$K$6&amp;"'!$D$2:$D$501"),L144))</f>
        <v/>
      </c>
      <c r="I144" s="32" t="str">
        <f ca="1">IF(L144="","",INDEX(INDIRECT("'"&amp;'لوحة التحكم'!$K$6&amp;"'!$E$2:$E$501"),L144))</f>
        <v/>
      </c>
      <c r="J144" s="18" t="str">
        <f ca="1">IF(L144="","",INDEX(INDIRECT("'"&amp;'لوحة التحكم'!$K$6&amp;"'!$U$2:$U$501"),L144))</f>
        <v/>
      </c>
      <c r="L144" s="3" t="str">
        <f ca="1">IF('لوحة التحكم'!$K$12=1,IFERROR(MATCH(128,INDIRECT("'"&amp;'لوحة التحكم'!$K$6&amp;"'!$AF$2:$AF$501"),0),""),"")</f>
        <v/>
      </c>
    </row>
    <row r="145" spans="2:12">
      <c r="B145" s="24" t="str">
        <f ca="1">IF(L145="","",129)</f>
        <v/>
      </c>
      <c r="C145" s="18" t="str">
        <f ca="1">IF(L145="","",INDEX(INDIRECT("'"&amp;'لوحة التحكم'!$K$6&amp;"'!$A$2:$A$501"),L145))</f>
        <v/>
      </c>
      <c r="D145" s="31" t="str">
        <f ca="1">IF(L145="","",INDEX(INDIRECT("'"&amp;'لوحة التحكم'!$K$6&amp;"'!$B$2:$B$501"),L145))</f>
        <v/>
      </c>
      <c r="E145" s="24" t="str">
        <f ca="1">IF(L145="","",INDEX(INDIRECT("'"&amp;'لوحة التحكم'!$K$6&amp;"'!$F$2:$F$501"),L145))</f>
        <v/>
      </c>
      <c r="F145" s="32" t="str">
        <f ca="1">IF(L145="","",INDEX(INDIRECT("'"&amp;'لوحة التحكم'!$K$6&amp;"'!$I$2:$I$501"),L145))</f>
        <v/>
      </c>
      <c r="G145" s="32" t="str">
        <f ca="1">IF(L145="","",INDEX(INDIRECT("'"&amp;'لوحة التحكم'!$K$6&amp;"'!$C$2:$C$501"),L145))</f>
        <v/>
      </c>
      <c r="H145" s="32" t="str">
        <f ca="1">IF(L145="","",INDEX(INDIRECT("'"&amp;'لوحة التحكم'!$K$6&amp;"'!$D$2:$D$501"),L145))</f>
        <v/>
      </c>
      <c r="I145" s="32" t="str">
        <f ca="1">IF(L145="","",INDEX(INDIRECT("'"&amp;'لوحة التحكم'!$K$6&amp;"'!$E$2:$E$501"),L145))</f>
        <v/>
      </c>
      <c r="J145" s="18" t="str">
        <f ca="1">IF(L145="","",INDEX(INDIRECT("'"&amp;'لوحة التحكم'!$K$6&amp;"'!$U$2:$U$501"),L145))</f>
        <v/>
      </c>
      <c r="L145" s="3" t="str">
        <f ca="1">IF('لوحة التحكم'!$K$12=1,IFERROR(MATCH(129,INDIRECT("'"&amp;'لوحة التحكم'!$K$6&amp;"'!$AF$2:$AF$501"),0),""),"")</f>
        <v/>
      </c>
    </row>
    <row r="146" spans="2:12">
      <c r="B146" s="24" t="str">
        <f ca="1">IF(L146="","",130)</f>
        <v/>
      </c>
      <c r="C146" s="18" t="str">
        <f ca="1">IF(L146="","",INDEX(INDIRECT("'"&amp;'لوحة التحكم'!$K$6&amp;"'!$A$2:$A$501"),L146))</f>
        <v/>
      </c>
      <c r="D146" s="31" t="str">
        <f ca="1">IF(L146="","",INDEX(INDIRECT("'"&amp;'لوحة التحكم'!$K$6&amp;"'!$B$2:$B$501"),L146))</f>
        <v/>
      </c>
      <c r="E146" s="24" t="str">
        <f ca="1">IF(L146="","",INDEX(INDIRECT("'"&amp;'لوحة التحكم'!$K$6&amp;"'!$F$2:$F$501"),L146))</f>
        <v/>
      </c>
      <c r="F146" s="32" t="str">
        <f ca="1">IF(L146="","",INDEX(INDIRECT("'"&amp;'لوحة التحكم'!$K$6&amp;"'!$I$2:$I$501"),L146))</f>
        <v/>
      </c>
      <c r="G146" s="32" t="str">
        <f ca="1">IF(L146="","",INDEX(INDIRECT("'"&amp;'لوحة التحكم'!$K$6&amp;"'!$C$2:$C$501"),L146))</f>
        <v/>
      </c>
      <c r="H146" s="32" t="str">
        <f ca="1">IF(L146="","",INDEX(INDIRECT("'"&amp;'لوحة التحكم'!$K$6&amp;"'!$D$2:$D$501"),L146))</f>
        <v/>
      </c>
      <c r="I146" s="32" t="str">
        <f ca="1">IF(L146="","",INDEX(INDIRECT("'"&amp;'لوحة التحكم'!$K$6&amp;"'!$E$2:$E$501"),L146))</f>
        <v/>
      </c>
      <c r="J146" s="18" t="str">
        <f ca="1">IF(L146="","",INDEX(INDIRECT("'"&amp;'لوحة التحكم'!$K$6&amp;"'!$U$2:$U$501"),L146))</f>
        <v/>
      </c>
      <c r="L146" s="3" t="str">
        <f ca="1">IF('لوحة التحكم'!$K$12=1,IFERROR(MATCH(130,INDIRECT("'"&amp;'لوحة التحكم'!$K$6&amp;"'!$AF$2:$AF$501"),0),""),"")</f>
        <v/>
      </c>
    </row>
    <row r="147" spans="2:12">
      <c r="B147" s="24" t="str">
        <f ca="1">IF(L147="","",131)</f>
        <v/>
      </c>
      <c r="C147" s="18" t="str">
        <f ca="1">IF(L147="","",INDEX(INDIRECT("'"&amp;'لوحة التحكم'!$K$6&amp;"'!$A$2:$A$501"),L147))</f>
        <v/>
      </c>
      <c r="D147" s="31" t="str">
        <f ca="1">IF(L147="","",INDEX(INDIRECT("'"&amp;'لوحة التحكم'!$K$6&amp;"'!$B$2:$B$501"),L147))</f>
        <v/>
      </c>
      <c r="E147" s="24" t="str">
        <f ca="1">IF(L147="","",INDEX(INDIRECT("'"&amp;'لوحة التحكم'!$K$6&amp;"'!$F$2:$F$501"),L147))</f>
        <v/>
      </c>
      <c r="F147" s="32" t="str">
        <f ca="1">IF(L147="","",INDEX(INDIRECT("'"&amp;'لوحة التحكم'!$K$6&amp;"'!$I$2:$I$501"),L147))</f>
        <v/>
      </c>
      <c r="G147" s="32" t="str">
        <f ca="1">IF(L147="","",INDEX(INDIRECT("'"&amp;'لوحة التحكم'!$K$6&amp;"'!$C$2:$C$501"),L147))</f>
        <v/>
      </c>
      <c r="H147" s="32" t="str">
        <f ca="1">IF(L147="","",INDEX(INDIRECT("'"&amp;'لوحة التحكم'!$K$6&amp;"'!$D$2:$D$501"),L147))</f>
        <v/>
      </c>
      <c r="I147" s="32" t="str">
        <f ca="1">IF(L147="","",INDEX(INDIRECT("'"&amp;'لوحة التحكم'!$K$6&amp;"'!$E$2:$E$501"),L147))</f>
        <v/>
      </c>
      <c r="J147" s="18" t="str">
        <f ca="1">IF(L147="","",INDEX(INDIRECT("'"&amp;'لوحة التحكم'!$K$6&amp;"'!$U$2:$U$501"),L147))</f>
        <v/>
      </c>
      <c r="L147" s="3" t="str">
        <f ca="1">IF('لوحة التحكم'!$K$12=1,IFERROR(MATCH(131,INDIRECT("'"&amp;'لوحة التحكم'!$K$6&amp;"'!$AF$2:$AF$501"),0),""),"")</f>
        <v/>
      </c>
    </row>
    <row r="148" spans="2:12">
      <c r="B148" s="24" t="str">
        <f ca="1">IF(L148="","",132)</f>
        <v/>
      </c>
      <c r="C148" s="18" t="str">
        <f ca="1">IF(L148="","",INDEX(INDIRECT("'"&amp;'لوحة التحكم'!$K$6&amp;"'!$A$2:$A$501"),L148))</f>
        <v/>
      </c>
      <c r="D148" s="31" t="str">
        <f ca="1">IF(L148="","",INDEX(INDIRECT("'"&amp;'لوحة التحكم'!$K$6&amp;"'!$B$2:$B$501"),L148))</f>
        <v/>
      </c>
      <c r="E148" s="24" t="str">
        <f ca="1">IF(L148="","",INDEX(INDIRECT("'"&amp;'لوحة التحكم'!$K$6&amp;"'!$F$2:$F$501"),L148))</f>
        <v/>
      </c>
      <c r="F148" s="32" t="str">
        <f ca="1">IF(L148="","",INDEX(INDIRECT("'"&amp;'لوحة التحكم'!$K$6&amp;"'!$I$2:$I$501"),L148))</f>
        <v/>
      </c>
      <c r="G148" s="32" t="str">
        <f ca="1">IF(L148="","",INDEX(INDIRECT("'"&amp;'لوحة التحكم'!$K$6&amp;"'!$C$2:$C$501"),L148))</f>
        <v/>
      </c>
      <c r="H148" s="32" t="str">
        <f ca="1">IF(L148="","",INDEX(INDIRECT("'"&amp;'لوحة التحكم'!$K$6&amp;"'!$D$2:$D$501"),L148))</f>
        <v/>
      </c>
      <c r="I148" s="32" t="str">
        <f ca="1">IF(L148="","",INDEX(INDIRECT("'"&amp;'لوحة التحكم'!$K$6&amp;"'!$E$2:$E$501"),L148))</f>
        <v/>
      </c>
      <c r="J148" s="18" t="str">
        <f ca="1">IF(L148="","",INDEX(INDIRECT("'"&amp;'لوحة التحكم'!$K$6&amp;"'!$U$2:$U$501"),L148))</f>
        <v/>
      </c>
      <c r="L148" s="3" t="str">
        <f ca="1">IF('لوحة التحكم'!$K$12=1,IFERROR(MATCH(132,INDIRECT("'"&amp;'لوحة التحكم'!$K$6&amp;"'!$AF$2:$AF$501"),0),""),"")</f>
        <v/>
      </c>
    </row>
    <row r="149" spans="2:12">
      <c r="B149" s="24" t="str">
        <f ca="1">IF(L149="","",133)</f>
        <v/>
      </c>
      <c r="C149" s="18" t="str">
        <f ca="1">IF(L149="","",INDEX(INDIRECT("'"&amp;'لوحة التحكم'!$K$6&amp;"'!$A$2:$A$501"),L149))</f>
        <v/>
      </c>
      <c r="D149" s="31" t="str">
        <f ca="1">IF(L149="","",INDEX(INDIRECT("'"&amp;'لوحة التحكم'!$K$6&amp;"'!$B$2:$B$501"),L149))</f>
        <v/>
      </c>
      <c r="E149" s="24" t="str">
        <f ca="1">IF(L149="","",INDEX(INDIRECT("'"&amp;'لوحة التحكم'!$K$6&amp;"'!$F$2:$F$501"),L149))</f>
        <v/>
      </c>
      <c r="F149" s="32" t="str">
        <f ca="1">IF(L149="","",INDEX(INDIRECT("'"&amp;'لوحة التحكم'!$K$6&amp;"'!$I$2:$I$501"),L149))</f>
        <v/>
      </c>
      <c r="G149" s="32" t="str">
        <f ca="1">IF(L149="","",INDEX(INDIRECT("'"&amp;'لوحة التحكم'!$K$6&amp;"'!$C$2:$C$501"),L149))</f>
        <v/>
      </c>
      <c r="H149" s="32" t="str">
        <f ca="1">IF(L149="","",INDEX(INDIRECT("'"&amp;'لوحة التحكم'!$K$6&amp;"'!$D$2:$D$501"),L149))</f>
        <v/>
      </c>
      <c r="I149" s="32" t="str">
        <f ca="1">IF(L149="","",INDEX(INDIRECT("'"&amp;'لوحة التحكم'!$K$6&amp;"'!$E$2:$E$501"),L149))</f>
        <v/>
      </c>
      <c r="J149" s="18" t="str">
        <f ca="1">IF(L149="","",INDEX(INDIRECT("'"&amp;'لوحة التحكم'!$K$6&amp;"'!$U$2:$U$501"),L149))</f>
        <v/>
      </c>
      <c r="L149" s="3" t="str">
        <f ca="1">IF('لوحة التحكم'!$K$12=1,IFERROR(MATCH(133,INDIRECT("'"&amp;'لوحة التحكم'!$K$6&amp;"'!$AF$2:$AF$501"),0),""),"")</f>
        <v/>
      </c>
    </row>
    <row r="150" spans="2:12">
      <c r="B150" s="24" t="str">
        <f ca="1">IF(L150="","",134)</f>
        <v/>
      </c>
      <c r="C150" s="18" t="str">
        <f ca="1">IF(L150="","",INDEX(INDIRECT("'"&amp;'لوحة التحكم'!$K$6&amp;"'!$A$2:$A$501"),L150))</f>
        <v/>
      </c>
      <c r="D150" s="31" t="str">
        <f ca="1">IF(L150="","",INDEX(INDIRECT("'"&amp;'لوحة التحكم'!$K$6&amp;"'!$B$2:$B$501"),L150))</f>
        <v/>
      </c>
      <c r="E150" s="24" t="str">
        <f ca="1">IF(L150="","",INDEX(INDIRECT("'"&amp;'لوحة التحكم'!$K$6&amp;"'!$F$2:$F$501"),L150))</f>
        <v/>
      </c>
      <c r="F150" s="32" t="str">
        <f ca="1">IF(L150="","",INDEX(INDIRECT("'"&amp;'لوحة التحكم'!$K$6&amp;"'!$I$2:$I$501"),L150))</f>
        <v/>
      </c>
      <c r="G150" s="32" t="str">
        <f ca="1">IF(L150="","",INDEX(INDIRECT("'"&amp;'لوحة التحكم'!$K$6&amp;"'!$C$2:$C$501"),L150))</f>
        <v/>
      </c>
      <c r="H150" s="32" t="str">
        <f ca="1">IF(L150="","",INDEX(INDIRECT("'"&amp;'لوحة التحكم'!$K$6&amp;"'!$D$2:$D$501"),L150))</f>
        <v/>
      </c>
      <c r="I150" s="32" t="str">
        <f ca="1">IF(L150="","",INDEX(INDIRECT("'"&amp;'لوحة التحكم'!$K$6&amp;"'!$E$2:$E$501"),L150))</f>
        <v/>
      </c>
      <c r="J150" s="18" t="str">
        <f ca="1">IF(L150="","",INDEX(INDIRECT("'"&amp;'لوحة التحكم'!$K$6&amp;"'!$U$2:$U$501"),L150))</f>
        <v/>
      </c>
      <c r="L150" s="3" t="str">
        <f ca="1">IF('لوحة التحكم'!$K$12=1,IFERROR(MATCH(134,INDIRECT("'"&amp;'لوحة التحكم'!$K$6&amp;"'!$AF$2:$AF$501"),0),""),"")</f>
        <v/>
      </c>
    </row>
    <row r="151" spans="2:12">
      <c r="B151" s="24" t="str">
        <f ca="1">IF(L151="","",135)</f>
        <v/>
      </c>
      <c r="C151" s="18" t="str">
        <f ca="1">IF(L151="","",INDEX(INDIRECT("'"&amp;'لوحة التحكم'!$K$6&amp;"'!$A$2:$A$501"),L151))</f>
        <v/>
      </c>
      <c r="D151" s="31" t="str">
        <f ca="1">IF(L151="","",INDEX(INDIRECT("'"&amp;'لوحة التحكم'!$K$6&amp;"'!$B$2:$B$501"),L151))</f>
        <v/>
      </c>
      <c r="E151" s="24" t="str">
        <f ca="1">IF(L151="","",INDEX(INDIRECT("'"&amp;'لوحة التحكم'!$K$6&amp;"'!$F$2:$F$501"),L151))</f>
        <v/>
      </c>
      <c r="F151" s="32" t="str">
        <f ca="1">IF(L151="","",INDEX(INDIRECT("'"&amp;'لوحة التحكم'!$K$6&amp;"'!$I$2:$I$501"),L151))</f>
        <v/>
      </c>
      <c r="G151" s="32" t="str">
        <f ca="1">IF(L151="","",INDEX(INDIRECT("'"&amp;'لوحة التحكم'!$K$6&amp;"'!$C$2:$C$501"),L151))</f>
        <v/>
      </c>
      <c r="H151" s="32" t="str">
        <f ca="1">IF(L151="","",INDEX(INDIRECT("'"&amp;'لوحة التحكم'!$K$6&amp;"'!$D$2:$D$501"),L151))</f>
        <v/>
      </c>
      <c r="I151" s="32" t="str">
        <f ca="1">IF(L151="","",INDEX(INDIRECT("'"&amp;'لوحة التحكم'!$K$6&amp;"'!$E$2:$E$501"),L151))</f>
        <v/>
      </c>
      <c r="J151" s="18" t="str">
        <f ca="1">IF(L151="","",INDEX(INDIRECT("'"&amp;'لوحة التحكم'!$K$6&amp;"'!$U$2:$U$501"),L151))</f>
        <v/>
      </c>
      <c r="L151" s="3" t="str">
        <f ca="1">IF('لوحة التحكم'!$K$12=1,IFERROR(MATCH(135,INDIRECT("'"&amp;'لوحة التحكم'!$K$6&amp;"'!$AF$2:$AF$501"),0),""),"")</f>
        <v/>
      </c>
    </row>
    <row r="152" spans="2:12">
      <c r="B152" s="24" t="str">
        <f ca="1">IF(L152="","",136)</f>
        <v/>
      </c>
      <c r="C152" s="18" t="str">
        <f ca="1">IF(L152="","",INDEX(INDIRECT("'"&amp;'لوحة التحكم'!$K$6&amp;"'!$A$2:$A$501"),L152))</f>
        <v/>
      </c>
      <c r="D152" s="31" t="str">
        <f ca="1">IF(L152="","",INDEX(INDIRECT("'"&amp;'لوحة التحكم'!$K$6&amp;"'!$B$2:$B$501"),L152))</f>
        <v/>
      </c>
      <c r="E152" s="24" t="str">
        <f ca="1">IF(L152="","",INDEX(INDIRECT("'"&amp;'لوحة التحكم'!$K$6&amp;"'!$F$2:$F$501"),L152))</f>
        <v/>
      </c>
      <c r="F152" s="32" t="str">
        <f ca="1">IF(L152="","",INDEX(INDIRECT("'"&amp;'لوحة التحكم'!$K$6&amp;"'!$I$2:$I$501"),L152))</f>
        <v/>
      </c>
      <c r="G152" s="32" t="str">
        <f ca="1">IF(L152="","",INDEX(INDIRECT("'"&amp;'لوحة التحكم'!$K$6&amp;"'!$C$2:$C$501"),L152))</f>
        <v/>
      </c>
      <c r="H152" s="32" t="str">
        <f ca="1">IF(L152="","",INDEX(INDIRECT("'"&amp;'لوحة التحكم'!$K$6&amp;"'!$D$2:$D$501"),L152))</f>
        <v/>
      </c>
      <c r="I152" s="32" t="str">
        <f ca="1">IF(L152="","",INDEX(INDIRECT("'"&amp;'لوحة التحكم'!$K$6&amp;"'!$E$2:$E$501"),L152))</f>
        <v/>
      </c>
      <c r="J152" s="18" t="str">
        <f ca="1">IF(L152="","",INDEX(INDIRECT("'"&amp;'لوحة التحكم'!$K$6&amp;"'!$U$2:$U$501"),L152))</f>
        <v/>
      </c>
      <c r="L152" s="3" t="str">
        <f ca="1">IF('لوحة التحكم'!$K$12=1,IFERROR(MATCH(136,INDIRECT("'"&amp;'لوحة التحكم'!$K$6&amp;"'!$AF$2:$AF$501"),0),""),"")</f>
        <v/>
      </c>
    </row>
    <row r="153" spans="2:12">
      <c r="B153" s="24" t="str">
        <f ca="1">IF(L153="","",137)</f>
        <v/>
      </c>
      <c r="C153" s="18" t="str">
        <f ca="1">IF(L153="","",INDEX(INDIRECT("'"&amp;'لوحة التحكم'!$K$6&amp;"'!$A$2:$A$501"),L153))</f>
        <v/>
      </c>
      <c r="D153" s="31" t="str">
        <f ca="1">IF(L153="","",INDEX(INDIRECT("'"&amp;'لوحة التحكم'!$K$6&amp;"'!$B$2:$B$501"),L153))</f>
        <v/>
      </c>
      <c r="E153" s="24" t="str">
        <f ca="1">IF(L153="","",INDEX(INDIRECT("'"&amp;'لوحة التحكم'!$K$6&amp;"'!$F$2:$F$501"),L153))</f>
        <v/>
      </c>
      <c r="F153" s="32" t="str">
        <f ca="1">IF(L153="","",INDEX(INDIRECT("'"&amp;'لوحة التحكم'!$K$6&amp;"'!$I$2:$I$501"),L153))</f>
        <v/>
      </c>
      <c r="G153" s="32" t="str">
        <f ca="1">IF(L153="","",INDEX(INDIRECT("'"&amp;'لوحة التحكم'!$K$6&amp;"'!$C$2:$C$501"),L153))</f>
        <v/>
      </c>
      <c r="H153" s="32" t="str">
        <f ca="1">IF(L153="","",INDEX(INDIRECT("'"&amp;'لوحة التحكم'!$K$6&amp;"'!$D$2:$D$501"),L153))</f>
        <v/>
      </c>
      <c r="I153" s="32" t="str">
        <f ca="1">IF(L153="","",INDEX(INDIRECT("'"&amp;'لوحة التحكم'!$K$6&amp;"'!$E$2:$E$501"),L153))</f>
        <v/>
      </c>
      <c r="J153" s="18" t="str">
        <f ca="1">IF(L153="","",INDEX(INDIRECT("'"&amp;'لوحة التحكم'!$K$6&amp;"'!$U$2:$U$501"),L153))</f>
        <v/>
      </c>
      <c r="L153" s="3" t="str">
        <f ca="1">IF('لوحة التحكم'!$K$12=1,IFERROR(MATCH(137,INDIRECT("'"&amp;'لوحة التحكم'!$K$6&amp;"'!$AF$2:$AF$501"),0),""),"")</f>
        <v/>
      </c>
    </row>
    <row r="154" spans="2:12">
      <c r="B154" s="24" t="str">
        <f ca="1">IF(L154="","",138)</f>
        <v/>
      </c>
      <c r="C154" s="18" t="str">
        <f ca="1">IF(L154="","",INDEX(INDIRECT("'"&amp;'لوحة التحكم'!$K$6&amp;"'!$A$2:$A$501"),L154))</f>
        <v/>
      </c>
      <c r="D154" s="31" t="str">
        <f ca="1">IF(L154="","",INDEX(INDIRECT("'"&amp;'لوحة التحكم'!$K$6&amp;"'!$B$2:$B$501"),L154))</f>
        <v/>
      </c>
      <c r="E154" s="24" t="str">
        <f ca="1">IF(L154="","",INDEX(INDIRECT("'"&amp;'لوحة التحكم'!$K$6&amp;"'!$F$2:$F$501"),L154))</f>
        <v/>
      </c>
      <c r="F154" s="32" t="str">
        <f ca="1">IF(L154="","",INDEX(INDIRECT("'"&amp;'لوحة التحكم'!$K$6&amp;"'!$I$2:$I$501"),L154))</f>
        <v/>
      </c>
      <c r="G154" s="32" t="str">
        <f ca="1">IF(L154="","",INDEX(INDIRECT("'"&amp;'لوحة التحكم'!$K$6&amp;"'!$C$2:$C$501"),L154))</f>
        <v/>
      </c>
      <c r="H154" s="32" t="str">
        <f ca="1">IF(L154="","",INDEX(INDIRECT("'"&amp;'لوحة التحكم'!$K$6&amp;"'!$D$2:$D$501"),L154))</f>
        <v/>
      </c>
      <c r="I154" s="32" t="str">
        <f ca="1">IF(L154="","",INDEX(INDIRECT("'"&amp;'لوحة التحكم'!$K$6&amp;"'!$E$2:$E$501"),L154))</f>
        <v/>
      </c>
      <c r="J154" s="18" t="str">
        <f ca="1">IF(L154="","",INDEX(INDIRECT("'"&amp;'لوحة التحكم'!$K$6&amp;"'!$U$2:$U$501"),L154))</f>
        <v/>
      </c>
      <c r="L154" s="3" t="str">
        <f ca="1">IF('لوحة التحكم'!$K$12=1,IFERROR(MATCH(138,INDIRECT("'"&amp;'لوحة التحكم'!$K$6&amp;"'!$AF$2:$AF$501"),0),""),"")</f>
        <v/>
      </c>
    </row>
    <row r="155" spans="2:12">
      <c r="B155" s="24" t="str">
        <f ca="1">IF(L155="","",139)</f>
        <v/>
      </c>
      <c r="C155" s="18" t="str">
        <f ca="1">IF(L155="","",INDEX(INDIRECT("'"&amp;'لوحة التحكم'!$K$6&amp;"'!$A$2:$A$501"),L155))</f>
        <v/>
      </c>
      <c r="D155" s="31" t="str">
        <f ca="1">IF(L155="","",INDEX(INDIRECT("'"&amp;'لوحة التحكم'!$K$6&amp;"'!$B$2:$B$501"),L155))</f>
        <v/>
      </c>
      <c r="E155" s="24" t="str">
        <f ca="1">IF(L155="","",INDEX(INDIRECT("'"&amp;'لوحة التحكم'!$K$6&amp;"'!$F$2:$F$501"),L155))</f>
        <v/>
      </c>
      <c r="F155" s="32" t="str">
        <f ca="1">IF(L155="","",INDEX(INDIRECT("'"&amp;'لوحة التحكم'!$K$6&amp;"'!$I$2:$I$501"),L155))</f>
        <v/>
      </c>
      <c r="G155" s="32" t="str">
        <f ca="1">IF(L155="","",INDEX(INDIRECT("'"&amp;'لوحة التحكم'!$K$6&amp;"'!$C$2:$C$501"),L155))</f>
        <v/>
      </c>
      <c r="H155" s="32" t="str">
        <f ca="1">IF(L155="","",INDEX(INDIRECT("'"&amp;'لوحة التحكم'!$K$6&amp;"'!$D$2:$D$501"),L155))</f>
        <v/>
      </c>
      <c r="I155" s="32" t="str">
        <f ca="1">IF(L155="","",INDEX(INDIRECT("'"&amp;'لوحة التحكم'!$K$6&amp;"'!$E$2:$E$501"),L155))</f>
        <v/>
      </c>
      <c r="J155" s="18" t="str">
        <f ca="1">IF(L155="","",INDEX(INDIRECT("'"&amp;'لوحة التحكم'!$K$6&amp;"'!$U$2:$U$501"),L155))</f>
        <v/>
      </c>
      <c r="L155" s="3" t="str">
        <f ca="1">IF('لوحة التحكم'!$K$12=1,IFERROR(MATCH(139,INDIRECT("'"&amp;'لوحة التحكم'!$K$6&amp;"'!$AF$2:$AF$501"),0),""),"")</f>
        <v/>
      </c>
    </row>
    <row r="156" spans="2:12">
      <c r="B156" s="24" t="str">
        <f ca="1">IF(L156="","",140)</f>
        <v/>
      </c>
      <c r="C156" s="18" t="str">
        <f ca="1">IF(L156="","",INDEX(INDIRECT("'"&amp;'لوحة التحكم'!$K$6&amp;"'!$A$2:$A$501"),L156))</f>
        <v/>
      </c>
      <c r="D156" s="31" t="str">
        <f ca="1">IF(L156="","",INDEX(INDIRECT("'"&amp;'لوحة التحكم'!$K$6&amp;"'!$B$2:$B$501"),L156))</f>
        <v/>
      </c>
      <c r="E156" s="24" t="str">
        <f ca="1">IF(L156="","",INDEX(INDIRECT("'"&amp;'لوحة التحكم'!$K$6&amp;"'!$F$2:$F$501"),L156))</f>
        <v/>
      </c>
      <c r="F156" s="32" t="str">
        <f ca="1">IF(L156="","",INDEX(INDIRECT("'"&amp;'لوحة التحكم'!$K$6&amp;"'!$I$2:$I$501"),L156))</f>
        <v/>
      </c>
      <c r="G156" s="32" t="str">
        <f ca="1">IF(L156="","",INDEX(INDIRECT("'"&amp;'لوحة التحكم'!$K$6&amp;"'!$C$2:$C$501"),L156))</f>
        <v/>
      </c>
      <c r="H156" s="32" t="str">
        <f ca="1">IF(L156="","",INDEX(INDIRECT("'"&amp;'لوحة التحكم'!$K$6&amp;"'!$D$2:$D$501"),L156))</f>
        <v/>
      </c>
      <c r="I156" s="32" t="str">
        <f ca="1">IF(L156="","",INDEX(INDIRECT("'"&amp;'لوحة التحكم'!$K$6&amp;"'!$E$2:$E$501"),L156))</f>
        <v/>
      </c>
      <c r="J156" s="18" t="str">
        <f ca="1">IF(L156="","",INDEX(INDIRECT("'"&amp;'لوحة التحكم'!$K$6&amp;"'!$U$2:$U$501"),L156))</f>
        <v/>
      </c>
      <c r="L156" s="3" t="str">
        <f ca="1">IF('لوحة التحكم'!$K$12=1,IFERROR(MATCH(140,INDIRECT("'"&amp;'لوحة التحكم'!$K$6&amp;"'!$AF$2:$AF$501"),0),""),"")</f>
        <v/>
      </c>
    </row>
    <row r="157" spans="2:12">
      <c r="B157" s="24" t="str">
        <f ca="1">IF(L157="","",141)</f>
        <v/>
      </c>
      <c r="C157" s="18" t="str">
        <f ca="1">IF(L157="","",INDEX(INDIRECT("'"&amp;'لوحة التحكم'!$K$6&amp;"'!$A$2:$A$501"),L157))</f>
        <v/>
      </c>
      <c r="D157" s="31" t="str">
        <f ca="1">IF(L157="","",INDEX(INDIRECT("'"&amp;'لوحة التحكم'!$K$6&amp;"'!$B$2:$B$501"),L157))</f>
        <v/>
      </c>
      <c r="E157" s="24" t="str">
        <f ca="1">IF(L157="","",INDEX(INDIRECT("'"&amp;'لوحة التحكم'!$K$6&amp;"'!$F$2:$F$501"),L157))</f>
        <v/>
      </c>
      <c r="F157" s="32" t="str">
        <f ca="1">IF(L157="","",INDEX(INDIRECT("'"&amp;'لوحة التحكم'!$K$6&amp;"'!$I$2:$I$501"),L157))</f>
        <v/>
      </c>
      <c r="G157" s="32" t="str">
        <f ca="1">IF(L157="","",INDEX(INDIRECT("'"&amp;'لوحة التحكم'!$K$6&amp;"'!$C$2:$C$501"),L157))</f>
        <v/>
      </c>
      <c r="H157" s="32" t="str">
        <f ca="1">IF(L157="","",INDEX(INDIRECT("'"&amp;'لوحة التحكم'!$K$6&amp;"'!$D$2:$D$501"),L157))</f>
        <v/>
      </c>
      <c r="I157" s="32" t="str">
        <f ca="1">IF(L157="","",INDEX(INDIRECT("'"&amp;'لوحة التحكم'!$K$6&amp;"'!$E$2:$E$501"),L157))</f>
        <v/>
      </c>
      <c r="J157" s="18" t="str">
        <f ca="1">IF(L157="","",INDEX(INDIRECT("'"&amp;'لوحة التحكم'!$K$6&amp;"'!$U$2:$U$501"),L157))</f>
        <v/>
      </c>
      <c r="L157" s="3" t="str">
        <f ca="1">IF('لوحة التحكم'!$K$12=1,IFERROR(MATCH(141,INDIRECT("'"&amp;'لوحة التحكم'!$K$6&amp;"'!$AF$2:$AF$501"),0),""),"")</f>
        <v/>
      </c>
    </row>
    <row r="158" spans="2:12">
      <c r="B158" s="24" t="str">
        <f ca="1">IF(L158="","",142)</f>
        <v/>
      </c>
      <c r="C158" s="18" t="str">
        <f ca="1">IF(L158="","",INDEX(INDIRECT("'"&amp;'لوحة التحكم'!$K$6&amp;"'!$A$2:$A$501"),L158))</f>
        <v/>
      </c>
      <c r="D158" s="31" t="str">
        <f ca="1">IF(L158="","",INDEX(INDIRECT("'"&amp;'لوحة التحكم'!$K$6&amp;"'!$B$2:$B$501"),L158))</f>
        <v/>
      </c>
      <c r="E158" s="24" t="str">
        <f ca="1">IF(L158="","",INDEX(INDIRECT("'"&amp;'لوحة التحكم'!$K$6&amp;"'!$F$2:$F$501"),L158))</f>
        <v/>
      </c>
      <c r="F158" s="32" t="str">
        <f ca="1">IF(L158="","",INDEX(INDIRECT("'"&amp;'لوحة التحكم'!$K$6&amp;"'!$I$2:$I$501"),L158))</f>
        <v/>
      </c>
      <c r="G158" s="32" t="str">
        <f ca="1">IF(L158="","",INDEX(INDIRECT("'"&amp;'لوحة التحكم'!$K$6&amp;"'!$C$2:$C$501"),L158))</f>
        <v/>
      </c>
      <c r="H158" s="32" t="str">
        <f ca="1">IF(L158="","",INDEX(INDIRECT("'"&amp;'لوحة التحكم'!$K$6&amp;"'!$D$2:$D$501"),L158))</f>
        <v/>
      </c>
      <c r="I158" s="32" t="str">
        <f ca="1">IF(L158="","",INDEX(INDIRECT("'"&amp;'لوحة التحكم'!$K$6&amp;"'!$E$2:$E$501"),L158))</f>
        <v/>
      </c>
      <c r="J158" s="18" t="str">
        <f ca="1">IF(L158="","",INDEX(INDIRECT("'"&amp;'لوحة التحكم'!$K$6&amp;"'!$U$2:$U$501"),L158))</f>
        <v/>
      </c>
      <c r="L158" s="3" t="str">
        <f ca="1">IF('لوحة التحكم'!$K$12=1,IFERROR(MATCH(142,INDIRECT("'"&amp;'لوحة التحكم'!$K$6&amp;"'!$AF$2:$AF$501"),0),""),"")</f>
        <v/>
      </c>
    </row>
    <row r="159" spans="2:12">
      <c r="B159" s="24" t="str">
        <f ca="1">IF(L159="","",143)</f>
        <v/>
      </c>
      <c r="C159" s="18" t="str">
        <f ca="1">IF(L159="","",INDEX(INDIRECT("'"&amp;'لوحة التحكم'!$K$6&amp;"'!$A$2:$A$501"),L159))</f>
        <v/>
      </c>
      <c r="D159" s="31" t="str">
        <f ca="1">IF(L159="","",INDEX(INDIRECT("'"&amp;'لوحة التحكم'!$K$6&amp;"'!$B$2:$B$501"),L159))</f>
        <v/>
      </c>
      <c r="E159" s="24" t="str">
        <f ca="1">IF(L159="","",INDEX(INDIRECT("'"&amp;'لوحة التحكم'!$K$6&amp;"'!$F$2:$F$501"),L159))</f>
        <v/>
      </c>
      <c r="F159" s="32" t="str">
        <f ca="1">IF(L159="","",INDEX(INDIRECT("'"&amp;'لوحة التحكم'!$K$6&amp;"'!$I$2:$I$501"),L159))</f>
        <v/>
      </c>
      <c r="G159" s="32" t="str">
        <f ca="1">IF(L159="","",INDEX(INDIRECT("'"&amp;'لوحة التحكم'!$K$6&amp;"'!$C$2:$C$501"),L159))</f>
        <v/>
      </c>
      <c r="H159" s="32" t="str">
        <f ca="1">IF(L159="","",INDEX(INDIRECT("'"&amp;'لوحة التحكم'!$K$6&amp;"'!$D$2:$D$501"),L159))</f>
        <v/>
      </c>
      <c r="I159" s="32" t="str">
        <f ca="1">IF(L159="","",INDEX(INDIRECT("'"&amp;'لوحة التحكم'!$K$6&amp;"'!$E$2:$E$501"),L159))</f>
        <v/>
      </c>
      <c r="J159" s="18" t="str">
        <f ca="1">IF(L159="","",INDEX(INDIRECT("'"&amp;'لوحة التحكم'!$K$6&amp;"'!$U$2:$U$501"),L159))</f>
        <v/>
      </c>
      <c r="L159" s="3" t="str">
        <f ca="1">IF('لوحة التحكم'!$K$12=1,IFERROR(MATCH(143,INDIRECT("'"&amp;'لوحة التحكم'!$K$6&amp;"'!$AF$2:$AF$501"),0),""),"")</f>
        <v/>
      </c>
    </row>
    <row r="160" spans="2:12">
      <c r="B160" s="24" t="str">
        <f ca="1">IF(L160="","",144)</f>
        <v/>
      </c>
      <c r="C160" s="18" t="str">
        <f ca="1">IF(L160="","",INDEX(INDIRECT("'"&amp;'لوحة التحكم'!$K$6&amp;"'!$A$2:$A$501"),L160))</f>
        <v/>
      </c>
      <c r="D160" s="31" t="str">
        <f ca="1">IF(L160="","",INDEX(INDIRECT("'"&amp;'لوحة التحكم'!$K$6&amp;"'!$B$2:$B$501"),L160))</f>
        <v/>
      </c>
      <c r="E160" s="24" t="str">
        <f ca="1">IF(L160="","",INDEX(INDIRECT("'"&amp;'لوحة التحكم'!$K$6&amp;"'!$F$2:$F$501"),L160))</f>
        <v/>
      </c>
      <c r="F160" s="32" t="str">
        <f ca="1">IF(L160="","",INDEX(INDIRECT("'"&amp;'لوحة التحكم'!$K$6&amp;"'!$I$2:$I$501"),L160))</f>
        <v/>
      </c>
      <c r="G160" s="32" t="str">
        <f ca="1">IF(L160="","",INDEX(INDIRECT("'"&amp;'لوحة التحكم'!$K$6&amp;"'!$C$2:$C$501"),L160))</f>
        <v/>
      </c>
      <c r="H160" s="32" t="str">
        <f ca="1">IF(L160="","",INDEX(INDIRECT("'"&amp;'لوحة التحكم'!$K$6&amp;"'!$D$2:$D$501"),L160))</f>
        <v/>
      </c>
      <c r="I160" s="32" t="str">
        <f ca="1">IF(L160="","",INDEX(INDIRECT("'"&amp;'لوحة التحكم'!$K$6&amp;"'!$E$2:$E$501"),L160))</f>
        <v/>
      </c>
      <c r="J160" s="18" t="str">
        <f ca="1">IF(L160="","",INDEX(INDIRECT("'"&amp;'لوحة التحكم'!$K$6&amp;"'!$U$2:$U$501"),L160))</f>
        <v/>
      </c>
      <c r="L160" s="3" t="str">
        <f ca="1">IF('لوحة التحكم'!$K$12=1,IFERROR(MATCH(144,INDIRECT("'"&amp;'لوحة التحكم'!$K$6&amp;"'!$AF$2:$AF$501"),0),""),"")</f>
        <v/>
      </c>
    </row>
    <row r="161" spans="2:12">
      <c r="B161" s="24" t="str">
        <f ca="1">IF(L161="","",145)</f>
        <v/>
      </c>
      <c r="C161" s="18" t="str">
        <f ca="1">IF(L161="","",INDEX(INDIRECT("'"&amp;'لوحة التحكم'!$K$6&amp;"'!$A$2:$A$501"),L161))</f>
        <v/>
      </c>
      <c r="D161" s="31" t="str">
        <f ca="1">IF(L161="","",INDEX(INDIRECT("'"&amp;'لوحة التحكم'!$K$6&amp;"'!$B$2:$B$501"),L161))</f>
        <v/>
      </c>
      <c r="E161" s="24" t="str">
        <f ca="1">IF(L161="","",INDEX(INDIRECT("'"&amp;'لوحة التحكم'!$K$6&amp;"'!$F$2:$F$501"),L161))</f>
        <v/>
      </c>
      <c r="F161" s="32" t="str">
        <f ca="1">IF(L161="","",INDEX(INDIRECT("'"&amp;'لوحة التحكم'!$K$6&amp;"'!$I$2:$I$501"),L161))</f>
        <v/>
      </c>
      <c r="G161" s="32" t="str">
        <f ca="1">IF(L161="","",INDEX(INDIRECT("'"&amp;'لوحة التحكم'!$K$6&amp;"'!$C$2:$C$501"),L161))</f>
        <v/>
      </c>
      <c r="H161" s="32" t="str">
        <f ca="1">IF(L161="","",INDEX(INDIRECT("'"&amp;'لوحة التحكم'!$K$6&amp;"'!$D$2:$D$501"),L161))</f>
        <v/>
      </c>
      <c r="I161" s="32" t="str">
        <f ca="1">IF(L161="","",INDEX(INDIRECT("'"&amp;'لوحة التحكم'!$K$6&amp;"'!$E$2:$E$501"),L161))</f>
        <v/>
      </c>
      <c r="J161" s="18" t="str">
        <f ca="1">IF(L161="","",INDEX(INDIRECT("'"&amp;'لوحة التحكم'!$K$6&amp;"'!$U$2:$U$501"),L161))</f>
        <v/>
      </c>
      <c r="L161" s="3" t="str">
        <f ca="1">IF('لوحة التحكم'!$K$12=1,IFERROR(MATCH(145,INDIRECT("'"&amp;'لوحة التحكم'!$K$6&amp;"'!$AF$2:$AF$501"),0),""),"")</f>
        <v/>
      </c>
    </row>
    <row r="162" spans="2:12">
      <c r="B162" s="24" t="str">
        <f ca="1">IF(L162="","",146)</f>
        <v/>
      </c>
      <c r="C162" s="18" t="str">
        <f ca="1">IF(L162="","",INDEX(INDIRECT("'"&amp;'لوحة التحكم'!$K$6&amp;"'!$A$2:$A$501"),L162))</f>
        <v/>
      </c>
      <c r="D162" s="31" t="str">
        <f ca="1">IF(L162="","",INDEX(INDIRECT("'"&amp;'لوحة التحكم'!$K$6&amp;"'!$B$2:$B$501"),L162))</f>
        <v/>
      </c>
      <c r="E162" s="24" t="str">
        <f ca="1">IF(L162="","",INDEX(INDIRECT("'"&amp;'لوحة التحكم'!$K$6&amp;"'!$F$2:$F$501"),L162))</f>
        <v/>
      </c>
      <c r="F162" s="32" t="str">
        <f ca="1">IF(L162="","",INDEX(INDIRECT("'"&amp;'لوحة التحكم'!$K$6&amp;"'!$I$2:$I$501"),L162))</f>
        <v/>
      </c>
      <c r="G162" s="32" t="str">
        <f ca="1">IF(L162="","",INDEX(INDIRECT("'"&amp;'لوحة التحكم'!$K$6&amp;"'!$C$2:$C$501"),L162))</f>
        <v/>
      </c>
      <c r="H162" s="32" t="str">
        <f ca="1">IF(L162="","",INDEX(INDIRECT("'"&amp;'لوحة التحكم'!$K$6&amp;"'!$D$2:$D$501"),L162))</f>
        <v/>
      </c>
      <c r="I162" s="32" t="str">
        <f ca="1">IF(L162="","",INDEX(INDIRECT("'"&amp;'لوحة التحكم'!$K$6&amp;"'!$E$2:$E$501"),L162))</f>
        <v/>
      </c>
      <c r="J162" s="18" t="str">
        <f ca="1">IF(L162="","",INDEX(INDIRECT("'"&amp;'لوحة التحكم'!$K$6&amp;"'!$U$2:$U$501"),L162))</f>
        <v/>
      </c>
      <c r="L162" s="3" t="str">
        <f ca="1">IF('لوحة التحكم'!$K$12=1,IFERROR(MATCH(146,INDIRECT("'"&amp;'لوحة التحكم'!$K$6&amp;"'!$AF$2:$AF$501"),0),""),"")</f>
        <v/>
      </c>
    </row>
    <row r="163" spans="2:12">
      <c r="B163" s="24" t="str">
        <f ca="1">IF(L163="","",147)</f>
        <v/>
      </c>
      <c r="C163" s="18" t="str">
        <f ca="1">IF(L163="","",INDEX(INDIRECT("'"&amp;'لوحة التحكم'!$K$6&amp;"'!$A$2:$A$501"),L163))</f>
        <v/>
      </c>
      <c r="D163" s="31" t="str">
        <f ca="1">IF(L163="","",INDEX(INDIRECT("'"&amp;'لوحة التحكم'!$K$6&amp;"'!$B$2:$B$501"),L163))</f>
        <v/>
      </c>
      <c r="E163" s="24" t="str">
        <f ca="1">IF(L163="","",INDEX(INDIRECT("'"&amp;'لوحة التحكم'!$K$6&amp;"'!$F$2:$F$501"),L163))</f>
        <v/>
      </c>
      <c r="F163" s="32" t="str">
        <f ca="1">IF(L163="","",INDEX(INDIRECT("'"&amp;'لوحة التحكم'!$K$6&amp;"'!$I$2:$I$501"),L163))</f>
        <v/>
      </c>
      <c r="G163" s="32" t="str">
        <f ca="1">IF(L163="","",INDEX(INDIRECT("'"&amp;'لوحة التحكم'!$K$6&amp;"'!$C$2:$C$501"),L163))</f>
        <v/>
      </c>
      <c r="H163" s="32" t="str">
        <f ca="1">IF(L163="","",INDEX(INDIRECT("'"&amp;'لوحة التحكم'!$K$6&amp;"'!$D$2:$D$501"),L163))</f>
        <v/>
      </c>
      <c r="I163" s="32" t="str">
        <f ca="1">IF(L163="","",INDEX(INDIRECT("'"&amp;'لوحة التحكم'!$K$6&amp;"'!$E$2:$E$501"),L163))</f>
        <v/>
      </c>
      <c r="J163" s="18" t="str">
        <f ca="1">IF(L163="","",INDEX(INDIRECT("'"&amp;'لوحة التحكم'!$K$6&amp;"'!$U$2:$U$501"),L163))</f>
        <v/>
      </c>
      <c r="L163" s="3" t="str">
        <f ca="1">IF('لوحة التحكم'!$K$12=1,IFERROR(MATCH(147,INDIRECT("'"&amp;'لوحة التحكم'!$K$6&amp;"'!$AF$2:$AF$501"),0),""),"")</f>
        <v/>
      </c>
    </row>
    <row r="164" spans="2:12">
      <c r="B164" s="24" t="str">
        <f ca="1">IF(L164="","",148)</f>
        <v/>
      </c>
      <c r="C164" s="18" t="str">
        <f ca="1">IF(L164="","",INDEX(INDIRECT("'"&amp;'لوحة التحكم'!$K$6&amp;"'!$A$2:$A$501"),L164))</f>
        <v/>
      </c>
      <c r="D164" s="31" t="str">
        <f ca="1">IF(L164="","",INDEX(INDIRECT("'"&amp;'لوحة التحكم'!$K$6&amp;"'!$B$2:$B$501"),L164))</f>
        <v/>
      </c>
      <c r="E164" s="24" t="str">
        <f ca="1">IF(L164="","",INDEX(INDIRECT("'"&amp;'لوحة التحكم'!$K$6&amp;"'!$F$2:$F$501"),L164))</f>
        <v/>
      </c>
      <c r="F164" s="32" t="str">
        <f ca="1">IF(L164="","",INDEX(INDIRECT("'"&amp;'لوحة التحكم'!$K$6&amp;"'!$I$2:$I$501"),L164))</f>
        <v/>
      </c>
      <c r="G164" s="32" t="str">
        <f ca="1">IF(L164="","",INDEX(INDIRECT("'"&amp;'لوحة التحكم'!$K$6&amp;"'!$C$2:$C$501"),L164))</f>
        <v/>
      </c>
      <c r="H164" s="32" t="str">
        <f ca="1">IF(L164="","",INDEX(INDIRECT("'"&amp;'لوحة التحكم'!$K$6&amp;"'!$D$2:$D$501"),L164))</f>
        <v/>
      </c>
      <c r="I164" s="32" t="str">
        <f ca="1">IF(L164="","",INDEX(INDIRECT("'"&amp;'لوحة التحكم'!$K$6&amp;"'!$E$2:$E$501"),L164))</f>
        <v/>
      </c>
      <c r="J164" s="18" t="str">
        <f ca="1">IF(L164="","",INDEX(INDIRECT("'"&amp;'لوحة التحكم'!$K$6&amp;"'!$U$2:$U$501"),L164))</f>
        <v/>
      </c>
      <c r="L164" s="3" t="str">
        <f ca="1">IF('لوحة التحكم'!$K$12=1,IFERROR(MATCH(148,INDIRECT("'"&amp;'لوحة التحكم'!$K$6&amp;"'!$AF$2:$AF$501"),0),""),"")</f>
        <v/>
      </c>
    </row>
    <row r="165" spans="2:12">
      <c r="B165" s="24" t="str">
        <f ca="1">IF(L165="","",149)</f>
        <v/>
      </c>
      <c r="C165" s="18" t="str">
        <f ca="1">IF(L165="","",INDEX(INDIRECT("'"&amp;'لوحة التحكم'!$K$6&amp;"'!$A$2:$A$501"),L165))</f>
        <v/>
      </c>
      <c r="D165" s="31" t="str">
        <f ca="1">IF(L165="","",INDEX(INDIRECT("'"&amp;'لوحة التحكم'!$K$6&amp;"'!$B$2:$B$501"),L165))</f>
        <v/>
      </c>
      <c r="E165" s="24" t="str">
        <f ca="1">IF(L165="","",INDEX(INDIRECT("'"&amp;'لوحة التحكم'!$K$6&amp;"'!$F$2:$F$501"),L165))</f>
        <v/>
      </c>
      <c r="F165" s="32" t="str">
        <f ca="1">IF(L165="","",INDEX(INDIRECT("'"&amp;'لوحة التحكم'!$K$6&amp;"'!$I$2:$I$501"),L165))</f>
        <v/>
      </c>
      <c r="G165" s="32" t="str">
        <f ca="1">IF(L165="","",INDEX(INDIRECT("'"&amp;'لوحة التحكم'!$K$6&amp;"'!$C$2:$C$501"),L165))</f>
        <v/>
      </c>
      <c r="H165" s="32" t="str">
        <f ca="1">IF(L165="","",INDEX(INDIRECT("'"&amp;'لوحة التحكم'!$K$6&amp;"'!$D$2:$D$501"),L165))</f>
        <v/>
      </c>
      <c r="I165" s="32" t="str">
        <f ca="1">IF(L165="","",INDEX(INDIRECT("'"&amp;'لوحة التحكم'!$K$6&amp;"'!$E$2:$E$501"),L165))</f>
        <v/>
      </c>
      <c r="J165" s="18" t="str">
        <f ca="1">IF(L165="","",INDEX(INDIRECT("'"&amp;'لوحة التحكم'!$K$6&amp;"'!$U$2:$U$501"),L165))</f>
        <v/>
      </c>
      <c r="L165" s="3" t="str">
        <f ca="1">IF('لوحة التحكم'!$K$12=1,IFERROR(MATCH(149,INDIRECT("'"&amp;'لوحة التحكم'!$K$6&amp;"'!$AF$2:$AF$501"),0),""),"")</f>
        <v/>
      </c>
    </row>
    <row r="166" spans="2:12">
      <c r="B166" s="24" t="str">
        <f ca="1">IF(L166="","",150)</f>
        <v/>
      </c>
      <c r="C166" s="18" t="str">
        <f ca="1">IF(L166="","",INDEX(INDIRECT("'"&amp;'لوحة التحكم'!$K$6&amp;"'!$A$2:$A$501"),L166))</f>
        <v/>
      </c>
      <c r="D166" s="31" t="str">
        <f ca="1">IF(L166="","",INDEX(INDIRECT("'"&amp;'لوحة التحكم'!$K$6&amp;"'!$B$2:$B$501"),L166))</f>
        <v/>
      </c>
      <c r="E166" s="24" t="str">
        <f ca="1">IF(L166="","",INDEX(INDIRECT("'"&amp;'لوحة التحكم'!$K$6&amp;"'!$F$2:$F$501"),L166))</f>
        <v/>
      </c>
      <c r="F166" s="32" t="str">
        <f ca="1">IF(L166="","",INDEX(INDIRECT("'"&amp;'لوحة التحكم'!$K$6&amp;"'!$I$2:$I$501"),L166))</f>
        <v/>
      </c>
      <c r="G166" s="32" t="str">
        <f ca="1">IF(L166="","",INDEX(INDIRECT("'"&amp;'لوحة التحكم'!$K$6&amp;"'!$C$2:$C$501"),L166))</f>
        <v/>
      </c>
      <c r="H166" s="32" t="str">
        <f ca="1">IF(L166="","",INDEX(INDIRECT("'"&amp;'لوحة التحكم'!$K$6&amp;"'!$D$2:$D$501"),L166))</f>
        <v/>
      </c>
      <c r="I166" s="32" t="str">
        <f ca="1">IF(L166="","",INDEX(INDIRECT("'"&amp;'لوحة التحكم'!$K$6&amp;"'!$E$2:$E$501"),L166))</f>
        <v/>
      </c>
      <c r="J166" s="18" t="str">
        <f ca="1">IF(L166="","",INDEX(INDIRECT("'"&amp;'لوحة التحكم'!$K$6&amp;"'!$U$2:$U$501"),L166))</f>
        <v/>
      </c>
      <c r="L166" s="3" t="str">
        <f ca="1">IF('لوحة التحكم'!$K$12=1,IFERROR(MATCH(150,INDIRECT("'"&amp;'لوحة التحكم'!$K$6&amp;"'!$AF$2:$AF$501"),0),""),"")</f>
        <v/>
      </c>
    </row>
    <row r="167" spans="2:12">
      <c r="B167" s="24" t="str">
        <f ca="1">IF(L167="","",151)</f>
        <v/>
      </c>
      <c r="C167" s="18" t="str">
        <f ca="1">IF(L167="","",INDEX(INDIRECT("'"&amp;'لوحة التحكم'!$K$6&amp;"'!$A$2:$A$501"),L167))</f>
        <v/>
      </c>
      <c r="D167" s="31" t="str">
        <f ca="1">IF(L167="","",INDEX(INDIRECT("'"&amp;'لوحة التحكم'!$K$6&amp;"'!$B$2:$B$501"),L167))</f>
        <v/>
      </c>
      <c r="E167" s="24" t="str">
        <f ca="1">IF(L167="","",INDEX(INDIRECT("'"&amp;'لوحة التحكم'!$K$6&amp;"'!$F$2:$F$501"),L167))</f>
        <v/>
      </c>
      <c r="F167" s="32" t="str">
        <f ca="1">IF(L167="","",INDEX(INDIRECT("'"&amp;'لوحة التحكم'!$K$6&amp;"'!$I$2:$I$501"),L167))</f>
        <v/>
      </c>
      <c r="G167" s="32" t="str">
        <f ca="1">IF(L167="","",INDEX(INDIRECT("'"&amp;'لوحة التحكم'!$K$6&amp;"'!$C$2:$C$501"),L167))</f>
        <v/>
      </c>
      <c r="H167" s="32" t="str">
        <f ca="1">IF(L167="","",INDEX(INDIRECT("'"&amp;'لوحة التحكم'!$K$6&amp;"'!$D$2:$D$501"),L167))</f>
        <v/>
      </c>
      <c r="I167" s="32" t="str">
        <f ca="1">IF(L167="","",INDEX(INDIRECT("'"&amp;'لوحة التحكم'!$K$6&amp;"'!$E$2:$E$501"),L167))</f>
        <v/>
      </c>
      <c r="J167" s="18" t="str">
        <f ca="1">IF(L167="","",INDEX(INDIRECT("'"&amp;'لوحة التحكم'!$K$6&amp;"'!$U$2:$U$501"),L167))</f>
        <v/>
      </c>
      <c r="L167" s="3" t="str">
        <f ca="1">IF('لوحة التحكم'!$K$12=1,IFERROR(MATCH(151,INDIRECT("'"&amp;'لوحة التحكم'!$K$6&amp;"'!$AF$2:$AF$501"),0),""),"")</f>
        <v/>
      </c>
    </row>
    <row r="168" spans="2:12">
      <c r="B168" s="24" t="str">
        <f ca="1">IF(L168="","",152)</f>
        <v/>
      </c>
      <c r="C168" s="18" t="str">
        <f ca="1">IF(L168="","",INDEX(INDIRECT("'"&amp;'لوحة التحكم'!$K$6&amp;"'!$A$2:$A$501"),L168))</f>
        <v/>
      </c>
      <c r="D168" s="31" t="str">
        <f ca="1">IF(L168="","",INDEX(INDIRECT("'"&amp;'لوحة التحكم'!$K$6&amp;"'!$B$2:$B$501"),L168))</f>
        <v/>
      </c>
      <c r="E168" s="24" t="str">
        <f ca="1">IF(L168="","",INDEX(INDIRECT("'"&amp;'لوحة التحكم'!$K$6&amp;"'!$F$2:$F$501"),L168))</f>
        <v/>
      </c>
      <c r="F168" s="32" t="str">
        <f ca="1">IF(L168="","",INDEX(INDIRECT("'"&amp;'لوحة التحكم'!$K$6&amp;"'!$I$2:$I$501"),L168))</f>
        <v/>
      </c>
      <c r="G168" s="32" t="str">
        <f ca="1">IF(L168="","",INDEX(INDIRECT("'"&amp;'لوحة التحكم'!$K$6&amp;"'!$C$2:$C$501"),L168))</f>
        <v/>
      </c>
      <c r="H168" s="32" t="str">
        <f ca="1">IF(L168="","",INDEX(INDIRECT("'"&amp;'لوحة التحكم'!$K$6&amp;"'!$D$2:$D$501"),L168))</f>
        <v/>
      </c>
      <c r="I168" s="32" t="str">
        <f ca="1">IF(L168="","",INDEX(INDIRECT("'"&amp;'لوحة التحكم'!$K$6&amp;"'!$E$2:$E$501"),L168))</f>
        <v/>
      </c>
      <c r="J168" s="18" t="str">
        <f ca="1">IF(L168="","",INDEX(INDIRECT("'"&amp;'لوحة التحكم'!$K$6&amp;"'!$U$2:$U$501"),L168))</f>
        <v/>
      </c>
      <c r="L168" s="3" t="str">
        <f ca="1">IF('لوحة التحكم'!$K$12=1,IFERROR(MATCH(152,INDIRECT("'"&amp;'لوحة التحكم'!$K$6&amp;"'!$AF$2:$AF$501"),0),""),"")</f>
        <v/>
      </c>
    </row>
    <row r="169" spans="2:12">
      <c r="B169" s="24" t="str">
        <f ca="1">IF(L169="","",153)</f>
        <v/>
      </c>
      <c r="C169" s="18" t="str">
        <f ca="1">IF(L169="","",INDEX(INDIRECT("'"&amp;'لوحة التحكم'!$K$6&amp;"'!$A$2:$A$501"),L169))</f>
        <v/>
      </c>
      <c r="D169" s="31" t="str">
        <f ca="1">IF(L169="","",INDEX(INDIRECT("'"&amp;'لوحة التحكم'!$K$6&amp;"'!$B$2:$B$501"),L169))</f>
        <v/>
      </c>
      <c r="E169" s="24" t="str">
        <f ca="1">IF(L169="","",INDEX(INDIRECT("'"&amp;'لوحة التحكم'!$K$6&amp;"'!$F$2:$F$501"),L169))</f>
        <v/>
      </c>
      <c r="F169" s="32" t="str">
        <f ca="1">IF(L169="","",INDEX(INDIRECT("'"&amp;'لوحة التحكم'!$K$6&amp;"'!$I$2:$I$501"),L169))</f>
        <v/>
      </c>
      <c r="G169" s="32" t="str">
        <f ca="1">IF(L169="","",INDEX(INDIRECT("'"&amp;'لوحة التحكم'!$K$6&amp;"'!$C$2:$C$501"),L169))</f>
        <v/>
      </c>
      <c r="H169" s="32" t="str">
        <f ca="1">IF(L169="","",INDEX(INDIRECT("'"&amp;'لوحة التحكم'!$K$6&amp;"'!$D$2:$D$501"),L169))</f>
        <v/>
      </c>
      <c r="I169" s="32" t="str">
        <f ca="1">IF(L169="","",INDEX(INDIRECT("'"&amp;'لوحة التحكم'!$K$6&amp;"'!$E$2:$E$501"),L169))</f>
        <v/>
      </c>
      <c r="J169" s="18" t="str">
        <f ca="1">IF(L169="","",INDEX(INDIRECT("'"&amp;'لوحة التحكم'!$K$6&amp;"'!$U$2:$U$501"),L169))</f>
        <v/>
      </c>
      <c r="L169" s="3" t="str">
        <f ca="1">IF('لوحة التحكم'!$K$12=1,IFERROR(MATCH(153,INDIRECT("'"&amp;'لوحة التحكم'!$K$6&amp;"'!$AF$2:$AF$501"),0),""),"")</f>
        <v/>
      </c>
    </row>
    <row r="170" spans="2:12">
      <c r="B170" s="24" t="str">
        <f ca="1">IF(L170="","",154)</f>
        <v/>
      </c>
      <c r="C170" s="18" t="str">
        <f ca="1">IF(L170="","",INDEX(INDIRECT("'"&amp;'لوحة التحكم'!$K$6&amp;"'!$A$2:$A$501"),L170))</f>
        <v/>
      </c>
      <c r="D170" s="31" t="str">
        <f ca="1">IF(L170="","",INDEX(INDIRECT("'"&amp;'لوحة التحكم'!$K$6&amp;"'!$B$2:$B$501"),L170))</f>
        <v/>
      </c>
      <c r="E170" s="24" t="str">
        <f ca="1">IF(L170="","",INDEX(INDIRECT("'"&amp;'لوحة التحكم'!$K$6&amp;"'!$F$2:$F$501"),L170))</f>
        <v/>
      </c>
      <c r="F170" s="32" t="str">
        <f ca="1">IF(L170="","",INDEX(INDIRECT("'"&amp;'لوحة التحكم'!$K$6&amp;"'!$I$2:$I$501"),L170))</f>
        <v/>
      </c>
      <c r="G170" s="32" t="str">
        <f ca="1">IF(L170="","",INDEX(INDIRECT("'"&amp;'لوحة التحكم'!$K$6&amp;"'!$C$2:$C$501"),L170))</f>
        <v/>
      </c>
      <c r="H170" s="32" t="str">
        <f ca="1">IF(L170="","",INDEX(INDIRECT("'"&amp;'لوحة التحكم'!$K$6&amp;"'!$D$2:$D$501"),L170))</f>
        <v/>
      </c>
      <c r="I170" s="32" t="str">
        <f ca="1">IF(L170="","",INDEX(INDIRECT("'"&amp;'لوحة التحكم'!$K$6&amp;"'!$E$2:$E$501"),L170))</f>
        <v/>
      </c>
      <c r="J170" s="18" t="str">
        <f ca="1">IF(L170="","",INDEX(INDIRECT("'"&amp;'لوحة التحكم'!$K$6&amp;"'!$U$2:$U$501"),L170))</f>
        <v/>
      </c>
      <c r="L170" s="3" t="str">
        <f ca="1">IF('لوحة التحكم'!$K$12=1,IFERROR(MATCH(154,INDIRECT("'"&amp;'لوحة التحكم'!$K$6&amp;"'!$AF$2:$AF$501"),0),""),"")</f>
        <v/>
      </c>
    </row>
    <row r="171" spans="2:12">
      <c r="B171" s="24" t="str">
        <f ca="1">IF(L171="","",155)</f>
        <v/>
      </c>
      <c r="C171" s="18" t="str">
        <f ca="1">IF(L171="","",INDEX(INDIRECT("'"&amp;'لوحة التحكم'!$K$6&amp;"'!$A$2:$A$501"),L171))</f>
        <v/>
      </c>
      <c r="D171" s="31" t="str">
        <f ca="1">IF(L171="","",INDEX(INDIRECT("'"&amp;'لوحة التحكم'!$K$6&amp;"'!$B$2:$B$501"),L171))</f>
        <v/>
      </c>
      <c r="E171" s="24" t="str">
        <f ca="1">IF(L171="","",INDEX(INDIRECT("'"&amp;'لوحة التحكم'!$K$6&amp;"'!$F$2:$F$501"),L171))</f>
        <v/>
      </c>
      <c r="F171" s="32" t="str">
        <f ca="1">IF(L171="","",INDEX(INDIRECT("'"&amp;'لوحة التحكم'!$K$6&amp;"'!$I$2:$I$501"),L171))</f>
        <v/>
      </c>
      <c r="G171" s="32" t="str">
        <f ca="1">IF(L171="","",INDEX(INDIRECT("'"&amp;'لوحة التحكم'!$K$6&amp;"'!$C$2:$C$501"),L171))</f>
        <v/>
      </c>
      <c r="H171" s="32" t="str">
        <f ca="1">IF(L171="","",INDEX(INDIRECT("'"&amp;'لوحة التحكم'!$K$6&amp;"'!$D$2:$D$501"),L171))</f>
        <v/>
      </c>
      <c r="I171" s="32" t="str">
        <f ca="1">IF(L171="","",INDEX(INDIRECT("'"&amp;'لوحة التحكم'!$K$6&amp;"'!$E$2:$E$501"),L171))</f>
        <v/>
      </c>
      <c r="J171" s="18" t="str">
        <f ca="1">IF(L171="","",INDEX(INDIRECT("'"&amp;'لوحة التحكم'!$K$6&amp;"'!$U$2:$U$501"),L171))</f>
        <v/>
      </c>
      <c r="L171" s="3" t="str">
        <f ca="1">IF('لوحة التحكم'!$K$12=1,IFERROR(MATCH(155,INDIRECT("'"&amp;'لوحة التحكم'!$K$6&amp;"'!$AF$2:$AF$501"),0),""),"")</f>
        <v/>
      </c>
    </row>
    <row r="172" spans="2:12">
      <c r="B172" s="24" t="str">
        <f ca="1">IF(L172="","",156)</f>
        <v/>
      </c>
      <c r="C172" s="18" t="str">
        <f ca="1">IF(L172="","",INDEX(INDIRECT("'"&amp;'لوحة التحكم'!$K$6&amp;"'!$A$2:$A$501"),L172))</f>
        <v/>
      </c>
      <c r="D172" s="31" t="str">
        <f ca="1">IF(L172="","",INDEX(INDIRECT("'"&amp;'لوحة التحكم'!$K$6&amp;"'!$B$2:$B$501"),L172))</f>
        <v/>
      </c>
      <c r="E172" s="24" t="str">
        <f ca="1">IF(L172="","",INDEX(INDIRECT("'"&amp;'لوحة التحكم'!$K$6&amp;"'!$F$2:$F$501"),L172))</f>
        <v/>
      </c>
      <c r="F172" s="32" t="str">
        <f ca="1">IF(L172="","",INDEX(INDIRECT("'"&amp;'لوحة التحكم'!$K$6&amp;"'!$I$2:$I$501"),L172))</f>
        <v/>
      </c>
      <c r="G172" s="32" t="str">
        <f ca="1">IF(L172="","",INDEX(INDIRECT("'"&amp;'لوحة التحكم'!$K$6&amp;"'!$C$2:$C$501"),L172))</f>
        <v/>
      </c>
      <c r="H172" s="32" t="str">
        <f ca="1">IF(L172="","",INDEX(INDIRECT("'"&amp;'لوحة التحكم'!$K$6&amp;"'!$D$2:$D$501"),L172))</f>
        <v/>
      </c>
      <c r="I172" s="32" t="str">
        <f ca="1">IF(L172="","",INDEX(INDIRECT("'"&amp;'لوحة التحكم'!$K$6&amp;"'!$E$2:$E$501"),L172))</f>
        <v/>
      </c>
      <c r="J172" s="18" t="str">
        <f ca="1">IF(L172="","",INDEX(INDIRECT("'"&amp;'لوحة التحكم'!$K$6&amp;"'!$U$2:$U$501"),L172))</f>
        <v/>
      </c>
      <c r="L172" s="3" t="str">
        <f ca="1">IF('لوحة التحكم'!$K$12=1,IFERROR(MATCH(156,INDIRECT("'"&amp;'لوحة التحكم'!$K$6&amp;"'!$AF$2:$AF$501"),0),""),"")</f>
        <v/>
      </c>
    </row>
    <row r="173" spans="2:12">
      <c r="B173" s="24" t="str">
        <f ca="1">IF(L173="","",157)</f>
        <v/>
      </c>
      <c r="C173" s="18" t="str">
        <f ca="1">IF(L173="","",INDEX(INDIRECT("'"&amp;'لوحة التحكم'!$K$6&amp;"'!$A$2:$A$501"),L173))</f>
        <v/>
      </c>
      <c r="D173" s="31" t="str">
        <f ca="1">IF(L173="","",INDEX(INDIRECT("'"&amp;'لوحة التحكم'!$K$6&amp;"'!$B$2:$B$501"),L173))</f>
        <v/>
      </c>
      <c r="E173" s="24" t="str">
        <f ca="1">IF(L173="","",INDEX(INDIRECT("'"&amp;'لوحة التحكم'!$K$6&amp;"'!$F$2:$F$501"),L173))</f>
        <v/>
      </c>
      <c r="F173" s="32" t="str">
        <f ca="1">IF(L173="","",INDEX(INDIRECT("'"&amp;'لوحة التحكم'!$K$6&amp;"'!$I$2:$I$501"),L173))</f>
        <v/>
      </c>
      <c r="G173" s="32" t="str">
        <f ca="1">IF(L173="","",INDEX(INDIRECT("'"&amp;'لوحة التحكم'!$K$6&amp;"'!$C$2:$C$501"),L173))</f>
        <v/>
      </c>
      <c r="H173" s="32" t="str">
        <f ca="1">IF(L173="","",INDEX(INDIRECT("'"&amp;'لوحة التحكم'!$K$6&amp;"'!$D$2:$D$501"),L173))</f>
        <v/>
      </c>
      <c r="I173" s="32" t="str">
        <f ca="1">IF(L173="","",INDEX(INDIRECT("'"&amp;'لوحة التحكم'!$K$6&amp;"'!$E$2:$E$501"),L173))</f>
        <v/>
      </c>
      <c r="J173" s="18" t="str">
        <f ca="1">IF(L173="","",INDEX(INDIRECT("'"&amp;'لوحة التحكم'!$K$6&amp;"'!$U$2:$U$501"),L173))</f>
        <v/>
      </c>
      <c r="L173" s="3" t="str">
        <f ca="1">IF('لوحة التحكم'!$K$12=1,IFERROR(MATCH(157,INDIRECT("'"&amp;'لوحة التحكم'!$K$6&amp;"'!$AF$2:$AF$501"),0),""),"")</f>
        <v/>
      </c>
    </row>
    <row r="174" spans="2:12">
      <c r="B174" s="24" t="str">
        <f ca="1">IF(L174="","",158)</f>
        <v/>
      </c>
      <c r="C174" s="18" t="str">
        <f ca="1">IF(L174="","",INDEX(INDIRECT("'"&amp;'لوحة التحكم'!$K$6&amp;"'!$A$2:$A$501"),L174))</f>
        <v/>
      </c>
      <c r="D174" s="31" t="str">
        <f ca="1">IF(L174="","",INDEX(INDIRECT("'"&amp;'لوحة التحكم'!$K$6&amp;"'!$B$2:$B$501"),L174))</f>
        <v/>
      </c>
      <c r="E174" s="24" t="str">
        <f ca="1">IF(L174="","",INDEX(INDIRECT("'"&amp;'لوحة التحكم'!$K$6&amp;"'!$F$2:$F$501"),L174))</f>
        <v/>
      </c>
      <c r="F174" s="32" t="str">
        <f ca="1">IF(L174="","",INDEX(INDIRECT("'"&amp;'لوحة التحكم'!$K$6&amp;"'!$I$2:$I$501"),L174))</f>
        <v/>
      </c>
      <c r="G174" s="32" t="str">
        <f ca="1">IF(L174="","",INDEX(INDIRECT("'"&amp;'لوحة التحكم'!$K$6&amp;"'!$C$2:$C$501"),L174))</f>
        <v/>
      </c>
      <c r="H174" s="32" t="str">
        <f ca="1">IF(L174="","",INDEX(INDIRECT("'"&amp;'لوحة التحكم'!$K$6&amp;"'!$D$2:$D$501"),L174))</f>
        <v/>
      </c>
      <c r="I174" s="32" t="str">
        <f ca="1">IF(L174="","",INDEX(INDIRECT("'"&amp;'لوحة التحكم'!$K$6&amp;"'!$E$2:$E$501"),L174))</f>
        <v/>
      </c>
      <c r="J174" s="18" t="str">
        <f ca="1">IF(L174="","",INDEX(INDIRECT("'"&amp;'لوحة التحكم'!$K$6&amp;"'!$U$2:$U$501"),L174))</f>
        <v/>
      </c>
      <c r="L174" s="3" t="str">
        <f ca="1">IF('لوحة التحكم'!$K$12=1,IFERROR(MATCH(158,INDIRECT("'"&amp;'لوحة التحكم'!$K$6&amp;"'!$AF$2:$AF$501"),0),""),"")</f>
        <v/>
      </c>
    </row>
    <row r="175" spans="2:12">
      <c r="B175" s="24" t="str">
        <f ca="1">IF(L175="","",159)</f>
        <v/>
      </c>
      <c r="C175" s="18" t="str">
        <f ca="1">IF(L175="","",INDEX(INDIRECT("'"&amp;'لوحة التحكم'!$K$6&amp;"'!$A$2:$A$501"),L175))</f>
        <v/>
      </c>
      <c r="D175" s="31" t="str">
        <f ca="1">IF(L175="","",INDEX(INDIRECT("'"&amp;'لوحة التحكم'!$K$6&amp;"'!$B$2:$B$501"),L175))</f>
        <v/>
      </c>
      <c r="E175" s="24" t="str">
        <f ca="1">IF(L175="","",INDEX(INDIRECT("'"&amp;'لوحة التحكم'!$K$6&amp;"'!$F$2:$F$501"),L175))</f>
        <v/>
      </c>
      <c r="F175" s="32" t="str">
        <f ca="1">IF(L175="","",INDEX(INDIRECT("'"&amp;'لوحة التحكم'!$K$6&amp;"'!$I$2:$I$501"),L175))</f>
        <v/>
      </c>
      <c r="G175" s="32" t="str">
        <f ca="1">IF(L175="","",INDEX(INDIRECT("'"&amp;'لوحة التحكم'!$K$6&amp;"'!$C$2:$C$501"),L175))</f>
        <v/>
      </c>
      <c r="H175" s="32" t="str">
        <f ca="1">IF(L175="","",INDEX(INDIRECT("'"&amp;'لوحة التحكم'!$K$6&amp;"'!$D$2:$D$501"),L175))</f>
        <v/>
      </c>
      <c r="I175" s="32" t="str">
        <f ca="1">IF(L175="","",INDEX(INDIRECT("'"&amp;'لوحة التحكم'!$K$6&amp;"'!$E$2:$E$501"),L175))</f>
        <v/>
      </c>
      <c r="J175" s="18" t="str">
        <f ca="1">IF(L175="","",INDEX(INDIRECT("'"&amp;'لوحة التحكم'!$K$6&amp;"'!$U$2:$U$501"),L175))</f>
        <v/>
      </c>
      <c r="L175" s="3" t="str">
        <f ca="1">IF('لوحة التحكم'!$K$12=1,IFERROR(MATCH(159,INDIRECT("'"&amp;'لوحة التحكم'!$K$6&amp;"'!$AF$2:$AF$501"),0),""),"")</f>
        <v/>
      </c>
    </row>
    <row r="176" spans="2:12">
      <c r="B176" s="24" t="str">
        <f ca="1">IF(L176="","",160)</f>
        <v/>
      </c>
      <c r="C176" s="18" t="str">
        <f ca="1">IF(L176="","",INDEX(INDIRECT("'"&amp;'لوحة التحكم'!$K$6&amp;"'!$A$2:$A$501"),L176))</f>
        <v/>
      </c>
      <c r="D176" s="31" t="str">
        <f ca="1">IF(L176="","",INDEX(INDIRECT("'"&amp;'لوحة التحكم'!$K$6&amp;"'!$B$2:$B$501"),L176))</f>
        <v/>
      </c>
      <c r="E176" s="24" t="str">
        <f ca="1">IF(L176="","",INDEX(INDIRECT("'"&amp;'لوحة التحكم'!$K$6&amp;"'!$F$2:$F$501"),L176))</f>
        <v/>
      </c>
      <c r="F176" s="32" t="str">
        <f ca="1">IF(L176="","",INDEX(INDIRECT("'"&amp;'لوحة التحكم'!$K$6&amp;"'!$I$2:$I$501"),L176))</f>
        <v/>
      </c>
      <c r="G176" s="32" t="str">
        <f ca="1">IF(L176="","",INDEX(INDIRECT("'"&amp;'لوحة التحكم'!$K$6&amp;"'!$C$2:$C$501"),L176))</f>
        <v/>
      </c>
      <c r="H176" s="32" t="str">
        <f ca="1">IF(L176="","",INDEX(INDIRECT("'"&amp;'لوحة التحكم'!$K$6&amp;"'!$D$2:$D$501"),L176))</f>
        <v/>
      </c>
      <c r="I176" s="32" t="str">
        <f ca="1">IF(L176="","",INDEX(INDIRECT("'"&amp;'لوحة التحكم'!$K$6&amp;"'!$E$2:$E$501"),L176))</f>
        <v/>
      </c>
      <c r="J176" s="18" t="str">
        <f ca="1">IF(L176="","",INDEX(INDIRECT("'"&amp;'لوحة التحكم'!$K$6&amp;"'!$U$2:$U$501"),L176))</f>
        <v/>
      </c>
      <c r="L176" s="3" t="str">
        <f ca="1">IF('لوحة التحكم'!$K$12=1,IFERROR(MATCH(160,INDIRECT("'"&amp;'لوحة التحكم'!$K$6&amp;"'!$AF$2:$AF$501"),0),""),"")</f>
        <v/>
      </c>
    </row>
    <row r="177" spans="2:12">
      <c r="B177" s="24" t="str">
        <f ca="1">IF(L177="","",161)</f>
        <v/>
      </c>
      <c r="C177" s="18" t="str">
        <f ca="1">IF(L177="","",INDEX(INDIRECT("'"&amp;'لوحة التحكم'!$K$6&amp;"'!$A$2:$A$501"),L177))</f>
        <v/>
      </c>
      <c r="D177" s="31" t="str">
        <f ca="1">IF(L177="","",INDEX(INDIRECT("'"&amp;'لوحة التحكم'!$K$6&amp;"'!$B$2:$B$501"),L177))</f>
        <v/>
      </c>
      <c r="E177" s="24" t="str">
        <f ca="1">IF(L177="","",INDEX(INDIRECT("'"&amp;'لوحة التحكم'!$K$6&amp;"'!$F$2:$F$501"),L177))</f>
        <v/>
      </c>
      <c r="F177" s="32" t="str">
        <f ca="1">IF(L177="","",INDEX(INDIRECT("'"&amp;'لوحة التحكم'!$K$6&amp;"'!$I$2:$I$501"),L177))</f>
        <v/>
      </c>
      <c r="G177" s="32" t="str">
        <f ca="1">IF(L177="","",INDEX(INDIRECT("'"&amp;'لوحة التحكم'!$K$6&amp;"'!$C$2:$C$501"),L177))</f>
        <v/>
      </c>
      <c r="H177" s="32" t="str">
        <f ca="1">IF(L177="","",INDEX(INDIRECT("'"&amp;'لوحة التحكم'!$K$6&amp;"'!$D$2:$D$501"),L177))</f>
        <v/>
      </c>
      <c r="I177" s="32" t="str">
        <f ca="1">IF(L177="","",INDEX(INDIRECT("'"&amp;'لوحة التحكم'!$K$6&amp;"'!$E$2:$E$501"),L177))</f>
        <v/>
      </c>
      <c r="J177" s="18" t="str">
        <f ca="1">IF(L177="","",INDEX(INDIRECT("'"&amp;'لوحة التحكم'!$K$6&amp;"'!$U$2:$U$501"),L177))</f>
        <v/>
      </c>
      <c r="L177" s="3" t="str">
        <f ca="1">IF('لوحة التحكم'!$K$12=1,IFERROR(MATCH(161,INDIRECT("'"&amp;'لوحة التحكم'!$K$6&amp;"'!$AF$2:$AF$501"),0),""),"")</f>
        <v/>
      </c>
    </row>
    <row r="178" spans="2:12">
      <c r="B178" s="24" t="str">
        <f ca="1">IF(L178="","",162)</f>
        <v/>
      </c>
      <c r="C178" s="18" t="str">
        <f ca="1">IF(L178="","",INDEX(INDIRECT("'"&amp;'لوحة التحكم'!$K$6&amp;"'!$A$2:$A$501"),L178))</f>
        <v/>
      </c>
      <c r="D178" s="31" t="str">
        <f ca="1">IF(L178="","",INDEX(INDIRECT("'"&amp;'لوحة التحكم'!$K$6&amp;"'!$B$2:$B$501"),L178))</f>
        <v/>
      </c>
      <c r="E178" s="24" t="str">
        <f ca="1">IF(L178="","",INDEX(INDIRECT("'"&amp;'لوحة التحكم'!$K$6&amp;"'!$F$2:$F$501"),L178))</f>
        <v/>
      </c>
      <c r="F178" s="32" t="str">
        <f ca="1">IF(L178="","",INDEX(INDIRECT("'"&amp;'لوحة التحكم'!$K$6&amp;"'!$I$2:$I$501"),L178))</f>
        <v/>
      </c>
      <c r="G178" s="32" t="str">
        <f ca="1">IF(L178="","",INDEX(INDIRECT("'"&amp;'لوحة التحكم'!$K$6&amp;"'!$C$2:$C$501"),L178))</f>
        <v/>
      </c>
      <c r="H178" s="32" t="str">
        <f ca="1">IF(L178="","",INDEX(INDIRECT("'"&amp;'لوحة التحكم'!$K$6&amp;"'!$D$2:$D$501"),L178))</f>
        <v/>
      </c>
      <c r="I178" s="32" t="str">
        <f ca="1">IF(L178="","",INDEX(INDIRECT("'"&amp;'لوحة التحكم'!$K$6&amp;"'!$E$2:$E$501"),L178))</f>
        <v/>
      </c>
      <c r="J178" s="18" t="str">
        <f ca="1">IF(L178="","",INDEX(INDIRECT("'"&amp;'لوحة التحكم'!$K$6&amp;"'!$U$2:$U$501"),L178))</f>
        <v/>
      </c>
      <c r="L178" s="3" t="str">
        <f ca="1">IF('لوحة التحكم'!$K$12=1,IFERROR(MATCH(162,INDIRECT("'"&amp;'لوحة التحكم'!$K$6&amp;"'!$AF$2:$AF$501"),0),""),"")</f>
        <v/>
      </c>
    </row>
    <row r="179" spans="2:12">
      <c r="B179" s="24" t="str">
        <f ca="1">IF(L179="","",163)</f>
        <v/>
      </c>
      <c r="C179" s="18" t="str">
        <f ca="1">IF(L179="","",INDEX(INDIRECT("'"&amp;'لوحة التحكم'!$K$6&amp;"'!$A$2:$A$501"),L179))</f>
        <v/>
      </c>
      <c r="D179" s="31" t="str">
        <f ca="1">IF(L179="","",INDEX(INDIRECT("'"&amp;'لوحة التحكم'!$K$6&amp;"'!$B$2:$B$501"),L179))</f>
        <v/>
      </c>
      <c r="E179" s="24" t="str">
        <f ca="1">IF(L179="","",INDEX(INDIRECT("'"&amp;'لوحة التحكم'!$K$6&amp;"'!$F$2:$F$501"),L179))</f>
        <v/>
      </c>
      <c r="F179" s="32" t="str">
        <f ca="1">IF(L179="","",INDEX(INDIRECT("'"&amp;'لوحة التحكم'!$K$6&amp;"'!$I$2:$I$501"),L179))</f>
        <v/>
      </c>
      <c r="G179" s="32" t="str">
        <f ca="1">IF(L179="","",INDEX(INDIRECT("'"&amp;'لوحة التحكم'!$K$6&amp;"'!$C$2:$C$501"),L179))</f>
        <v/>
      </c>
      <c r="H179" s="32" t="str">
        <f ca="1">IF(L179="","",INDEX(INDIRECT("'"&amp;'لوحة التحكم'!$K$6&amp;"'!$D$2:$D$501"),L179))</f>
        <v/>
      </c>
      <c r="I179" s="32" t="str">
        <f ca="1">IF(L179="","",INDEX(INDIRECT("'"&amp;'لوحة التحكم'!$K$6&amp;"'!$E$2:$E$501"),L179))</f>
        <v/>
      </c>
      <c r="J179" s="18" t="str">
        <f ca="1">IF(L179="","",INDEX(INDIRECT("'"&amp;'لوحة التحكم'!$K$6&amp;"'!$U$2:$U$501"),L179))</f>
        <v/>
      </c>
      <c r="L179" s="3" t="str">
        <f ca="1">IF('لوحة التحكم'!$K$12=1,IFERROR(MATCH(163,INDIRECT("'"&amp;'لوحة التحكم'!$K$6&amp;"'!$AF$2:$AF$501"),0),""),"")</f>
        <v/>
      </c>
    </row>
    <row r="180" spans="2:12">
      <c r="B180" s="24" t="str">
        <f ca="1">IF(L180="","",164)</f>
        <v/>
      </c>
      <c r="C180" s="18" t="str">
        <f ca="1">IF(L180="","",INDEX(INDIRECT("'"&amp;'لوحة التحكم'!$K$6&amp;"'!$A$2:$A$501"),L180))</f>
        <v/>
      </c>
      <c r="D180" s="31" t="str">
        <f ca="1">IF(L180="","",INDEX(INDIRECT("'"&amp;'لوحة التحكم'!$K$6&amp;"'!$B$2:$B$501"),L180))</f>
        <v/>
      </c>
      <c r="E180" s="24" t="str">
        <f ca="1">IF(L180="","",INDEX(INDIRECT("'"&amp;'لوحة التحكم'!$K$6&amp;"'!$F$2:$F$501"),L180))</f>
        <v/>
      </c>
      <c r="F180" s="32" t="str">
        <f ca="1">IF(L180="","",INDEX(INDIRECT("'"&amp;'لوحة التحكم'!$K$6&amp;"'!$I$2:$I$501"),L180))</f>
        <v/>
      </c>
      <c r="G180" s="32" t="str">
        <f ca="1">IF(L180="","",INDEX(INDIRECT("'"&amp;'لوحة التحكم'!$K$6&amp;"'!$C$2:$C$501"),L180))</f>
        <v/>
      </c>
      <c r="H180" s="32" t="str">
        <f ca="1">IF(L180="","",INDEX(INDIRECT("'"&amp;'لوحة التحكم'!$K$6&amp;"'!$D$2:$D$501"),L180))</f>
        <v/>
      </c>
      <c r="I180" s="32" t="str">
        <f ca="1">IF(L180="","",INDEX(INDIRECT("'"&amp;'لوحة التحكم'!$K$6&amp;"'!$E$2:$E$501"),L180))</f>
        <v/>
      </c>
      <c r="J180" s="18" t="str">
        <f ca="1">IF(L180="","",INDEX(INDIRECT("'"&amp;'لوحة التحكم'!$K$6&amp;"'!$U$2:$U$501"),L180))</f>
        <v/>
      </c>
      <c r="L180" s="3" t="str">
        <f ca="1">IF('لوحة التحكم'!$K$12=1,IFERROR(MATCH(164,INDIRECT("'"&amp;'لوحة التحكم'!$K$6&amp;"'!$AF$2:$AF$501"),0),""),"")</f>
        <v/>
      </c>
    </row>
    <row r="181" spans="2:12">
      <c r="B181" s="24" t="str">
        <f ca="1">IF(L181="","",165)</f>
        <v/>
      </c>
      <c r="C181" s="18" t="str">
        <f ca="1">IF(L181="","",INDEX(INDIRECT("'"&amp;'لوحة التحكم'!$K$6&amp;"'!$A$2:$A$501"),L181))</f>
        <v/>
      </c>
      <c r="D181" s="31" t="str">
        <f ca="1">IF(L181="","",INDEX(INDIRECT("'"&amp;'لوحة التحكم'!$K$6&amp;"'!$B$2:$B$501"),L181))</f>
        <v/>
      </c>
      <c r="E181" s="24" t="str">
        <f ca="1">IF(L181="","",INDEX(INDIRECT("'"&amp;'لوحة التحكم'!$K$6&amp;"'!$F$2:$F$501"),L181))</f>
        <v/>
      </c>
      <c r="F181" s="32" t="str">
        <f ca="1">IF(L181="","",INDEX(INDIRECT("'"&amp;'لوحة التحكم'!$K$6&amp;"'!$I$2:$I$501"),L181))</f>
        <v/>
      </c>
      <c r="G181" s="32" t="str">
        <f ca="1">IF(L181="","",INDEX(INDIRECT("'"&amp;'لوحة التحكم'!$K$6&amp;"'!$C$2:$C$501"),L181))</f>
        <v/>
      </c>
      <c r="H181" s="32" t="str">
        <f ca="1">IF(L181="","",INDEX(INDIRECT("'"&amp;'لوحة التحكم'!$K$6&amp;"'!$D$2:$D$501"),L181))</f>
        <v/>
      </c>
      <c r="I181" s="32" t="str">
        <f ca="1">IF(L181="","",INDEX(INDIRECT("'"&amp;'لوحة التحكم'!$K$6&amp;"'!$E$2:$E$501"),L181))</f>
        <v/>
      </c>
      <c r="J181" s="18" t="str">
        <f ca="1">IF(L181="","",INDEX(INDIRECT("'"&amp;'لوحة التحكم'!$K$6&amp;"'!$U$2:$U$501"),L181))</f>
        <v/>
      </c>
      <c r="L181" s="3" t="str">
        <f ca="1">IF('لوحة التحكم'!$K$12=1,IFERROR(MATCH(165,INDIRECT("'"&amp;'لوحة التحكم'!$K$6&amp;"'!$AF$2:$AF$501"),0),""),"")</f>
        <v/>
      </c>
    </row>
    <row r="182" spans="2:12">
      <c r="B182" s="24" t="str">
        <f ca="1">IF(L182="","",166)</f>
        <v/>
      </c>
      <c r="C182" s="18" t="str">
        <f ca="1">IF(L182="","",INDEX(INDIRECT("'"&amp;'لوحة التحكم'!$K$6&amp;"'!$A$2:$A$501"),L182))</f>
        <v/>
      </c>
      <c r="D182" s="31" t="str">
        <f ca="1">IF(L182="","",INDEX(INDIRECT("'"&amp;'لوحة التحكم'!$K$6&amp;"'!$B$2:$B$501"),L182))</f>
        <v/>
      </c>
      <c r="E182" s="24" t="str">
        <f ca="1">IF(L182="","",INDEX(INDIRECT("'"&amp;'لوحة التحكم'!$K$6&amp;"'!$F$2:$F$501"),L182))</f>
        <v/>
      </c>
      <c r="F182" s="32" t="str">
        <f ca="1">IF(L182="","",INDEX(INDIRECT("'"&amp;'لوحة التحكم'!$K$6&amp;"'!$I$2:$I$501"),L182))</f>
        <v/>
      </c>
      <c r="G182" s="32" t="str">
        <f ca="1">IF(L182="","",INDEX(INDIRECT("'"&amp;'لوحة التحكم'!$K$6&amp;"'!$C$2:$C$501"),L182))</f>
        <v/>
      </c>
      <c r="H182" s="32" t="str">
        <f ca="1">IF(L182="","",INDEX(INDIRECT("'"&amp;'لوحة التحكم'!$K$6&amp;"'!$D$2:$D$501"),L182))</f>
        <v/>
      </c>
      <c r="I182" s="32" t="str">
        <f ca="1">IF(L182="","",INDEX(INDIRECT("'"&amp;'لوحة التحكم'!$K$6&amp;"'!$E$2:$E$501"),L182))</f>
        <v/>
      </c>
      <c r="J182" s="18" t="str">
        <f ca="1">IF(L182="","",INDEX(INDIRECT("'"&amp;'لوحة التحكم'!$K$6&amp;"'!$U$2:$U$501"),L182))</f>
        <v/>
      </c>
      <c r="L182" s="3" t="str">
        <f ca="1">IF('لوحة التحكم'!$K$12=1,IFERROR(MATCH(166,INDIRECT("'"&amp;'لوحة التحكم'!$K$6&amp;"'!$AF$2:$AF$501"),0),""),"")</f>
        <v/>
      </c>
    </row>
    <row r="183" spans="2:12">
      <c r="B183" s="24" t="str">
        <f ca="1">IF(L183="","",167)</f>
        <v/>
      </c>
      <c r="C183" s="18" t="str">
        <f ca="1">IF(L183="","",INDEX(INDIRECT("'"&amp;'لوحة التحكم'!$K$6&amp;"'!$A$2:$A$501"),L183))</f>
        <v/>
      </c>
      <c r="D183" s="31" t="str">
        <f ca="1">IF(L183="","",INDEX(INDIRECT("'"&amp;'لوحة التحكم'!$K$6&amp;"'!$B$2:$B$501"),L183))</f>
        <v/>
      </c>
      <c r="E183" s="24" t="str">
        <f ca="1">IF(L183="","",INDEX(INDIRECT("'"&amp;'لوحة التحكم'!$K$6&amp;"'!$F$2:$F$501"),L183))</f>
        <v/>
      </c>
      <c r="F183" s="32" t="str">
        <f ca="1">IF(L183="","",INDEX(INDIRECT("'"&amp;'لوحة التحكم'!$K$6&amp;"'!$I$2:$I$501"),L183))</f>
        <v/>
      </c>
      <c r="G183" s="32" t="str">
        <f ca="1">IF(L183="","",INDEX(INDIRECT("'"&amp;'لوحة التحكم'!$K$6&amp;"'!$C$2:$C$501"),L183))</f>
        <v/>
      </c>
      <c r="H183" s="32" t="str">
        <f ca="1">IF(L183="","",INDEX(INDIRECT("'"&amp;'لوحة التحكم'!$K$6&amp;"'!$D$2:$D$501"),L183))</f>
        <v/>
      </c>
      <c r="I183" s="32" t="str">
        <f ca="1">IF(L183="","",INDEX(INDIRECT("'"&amp;'لوحة التحكم'!$K$6&amp;"'!$E$2:$E$501"),L183))</f>
        <v/>
      </c>
      <c r="J183" s="18" t="str">
        <f ca="1">IF(L183="","",INDEX(INDIRECT("'"&amp;'لوحة التحكم'!$K$6&amp;"'!$U$2:$U$501"),L183))</f>
        <v/>
      </c>
      <c r="L183" s="3" t="str">
        <f ca="1">IF('لوحة التحكم'!$K$12=1,IFERROR(MATCH(167,INDIRECT("'"&amp;'لوحة التحكم'!$K$6&amp;"'!$AF$2:$AF$501"),0),""),"")</f>
        <v/>
      </c>
    </row>
    <row r="184" spans="2:12">
      <c r="B184" s="24" t="str">
        <f ca="1">IF(L184="","",168)</f>
        <v/>
      </c>
      <c r="C184" s="18" t="str">
        <f ca="1">IF(L184="","",INDEX(INDIRECT("'"&amp;'لوحة التحكم'!$K$6&amp;"'!$A$2:$A$501"),L184))</f>
        <v/>
      </c>
      <c r="D184" s="31" t="str">
        <f ca="1">IF(L184="","",INDEX(INDIRECT("'"&amp;'لوحة التحكم'!$K$6&amp;"'!$B$2:$B$501"),L184))</f>
        <v/>
      </c>
      <c r="E184" s="24" t="str">
        <f ca="1">IF(L184="","",INDEX(INDIRECT("'"&amp;'لوحة التحكم'!$K$6&amp;"'!$F$2:$F$501"),L184))</f>
        <v/>
      </c>
      <c r="F184" s="32" t="str">
        <f ca="1">IF(L184="","",INDEX(INDIRECT("'"&amp;'لوحة التحكم'!$K$6&amp;"'!$I$2:$I$501"),L184))</f>
        <v/>
      </c>
      <c r="G184" s="32" t="str">
        <f ca="1">IF(L184="","",INDEX(INDIRECT("'"&amp;'لوحة التحكم'!$K$6&amp;"'!$C$2:$C$501"),L184))</f>
        <v/>
      </c>
      <c r="H184" s="32" t="str">
        <f ca="1">IF(L184="","",INDEX(INDIRECT("'"&amp;'لوحة التحكم'!$K$6&amp;"'!$D$2:$D$501"),L184))</f>
        <v/>
      </c>
      <c r="I184" s="32" t="str">
        <f ca="1">IF(L184="","",INDEX(INDIRECT("'"&amp;'لوحة التحكم'!$K$6&amp;"'!$E$2:$E$501"),L184))</f>
        <v/>
      </c>
      <c r="J184" s="18" t="str">
        <f ca="1">IF(L184="","",INDEX(INDIRECT("'"&amp;'لوحة التحكم'!$K$6&amp;"'!$U$2:$U$501"),L184))</f>
        <v/>
      </c>
      <c r="L184" s="3" t="str">
        <f ca="1">IF('لوحة التحكم'!$K$12=1,IFERROR(MATCH(168,INDIRECT("'"&amp;'لوحة التحكم'!$K$6&amp;"'!$AF$2:$AF$501"),0),""),"")</f>
        <v/>
      </c>
    </row>
    <row r="185" spans="2:12">
      <c r="B185" s="24" t="str">
        <f ca="1">IF(L185="","",169)</f>
        <v/>
      </c>
      <c r="C185" s="18" t="str">
        <f ca="1">IF(L185="","",INDEX(INDIRECT("'"&amp;'لوحة التحكم'!$K$6&amp;"'!$A$2:$A$501"),L185))</f>
        <v/>
      </c>
      <c r="D185" s="31" t="str">
        <f ca="1">IF(L185="","",INDEX(INDIRECT("'"&amp;'لوحة التحكم'!$K$6&amp;"'!$B$2:$B$501"),L185))</f>
        <v/>
      </c>
      <c r="E185" s="24" t="str">
        <f ca="1">IF(L185="","",INDEX(INDIRECT("'"&amp;'لوحة التحكم'!$K$6&amp;"'!$F$2:$F$501"),L185))</f>
        <v/>
      </c>
      <c r="F185" s="32" t="str">
        <f ca="1">IF(L185="","",INDEX(INDIRECT("'"&amp;'لوحة التحكم'!$K$6&amp;"'!$I$2:$I$501"),L185))</f>
        <v/>
      </c>
      <c r="G185" s="32" t="str">
        <f ca="1">IF(L185="","",INDEX(INDIRECT("'"&amp;'لوحة التحكم'!$K$6&amp;"'!$C$2:$C$501"),L185))</f>
        <v/>
      </c>
      <c r="H185" s="32" t="str">
        <f ca="1">IF(L185="","",INDEX(INDIRECT("'"&amp;'لوحة التحكم'!$K$6&amp;"'!$D$2:$D$501"),L185))</f>
        <v/>
      </c>
      <c r="I185" s="32" t="str">
        <f ca="1">IF(L185="","",INDEX(INDIRECT("'"&amp;'لوحة التحكم'!$K$6&amp;"'!$E$2:$E$501"),L185))</f>
        <v/>
      </c>
      <c r="J185" s="18" t="str">
        <f ca="1">IF(L185="","",INDEX(INDIRECT("'"&amp;'لوحة التحكم'!$K$6&amp;"'!$U$2:$U$501"),L185))</f>
        <v/>
      </c>
      <c r="L185" s="3" t="str">
        <f ca="1">IF('لوحة التحكم'!$K$12=1,IFERROR(MATCH(169,INDIRECT("'"&amp;'لوحة التحكم'!$K$6&amp;"'!$AF$2:$AF$501"),0),""),"")</f>
        <v/>
      </c>
    </row>
    <row r="186" spans="2:12">
      <c r="B186" s="24" t="str">
        <f ca="1">IF(L186="","",170)</f>
        <v/>
      </c>
      <c r="C186" s="18" t="str">
        <f ca="1">IF(L186="","",INDEX(INDIRECT("'"&amp;'لوحة التحكم'!$K$6&amp;"'!$A$2:$A$501"),L186))</f>
        <v/>
      </c>
      <c r="D186" s="31" t="str">
        <f ca="1">IF(L186="","",INDEX(INDIRECT("'"&amp;'لوحة التحكم'!$K$6&amp;"'!$B$2:$B$501"),L186))</f>
        <v/>
      </c>
      <c r="E186" s="24" t="str">
        <f ca="1">IF(L186="","",INDEX(INDIRECT("'"&amp;'لوحة التحكم'!$K$6&amp;"'!$F$2:$F$501"),L186))</f>
        <v/>
      </c>
      <c r="F186" s="32" t="str">
        <f ca="1">IF(L186="","",INDEX(INDIRECT("'"&amp;'لوحة التحكم'!$K$6&amp;"'!$I$2:$I$501"),L186))</f>
        <v/>
      </c>
      <c r="G186" s="32" t="str">
        <f ca="1">IF(L186="","",INDEX(INDIRECT("'"&amp;'لوحة التحكم'!$K$6&amp;"'!$C$2:$C$501"),L186))</f>
        <v/>
      </c>
      <c r="H186" s="32" t="str">
        <f ca="1">IF(L186="","",INDEX(INDIRECT("'"&amp;'لوحة التحكم'!$K$6&amp;"'!$D$2:$D$501"),L186))</f>
        <v/>
      </c>
      <c r="I186" s="32" t="str">
        <f ca="1">IF(L186="","",INDEX(INDIRECT("'"&amp;'لوحة التحكم'!$K$6&amp;"'!$E$2:$E$501"),L186))</f>
        <v/>
      </c>
      <c r="J186" s="18" t="str">
        <f ca="1">IF(L186="","",INDEX(INDIRECT("'"&amp;'لوحة التحكم'!$K$6&amp;"'!$U$2:$U$501"),L186))</f>
        <v/>
      </c>
      <c r="L186" s="3" t="str">
        <f ca="1">IF('لوحة التحكم'!$K$12=1,IFERROR(MATCH(170,INDIRECT("'"&amp;'لوحة التحكم'!$K$6&amp;"'!$AF$2:$AF$501"),0),""),"")</f>
        <v/>
      </c>
    </row>
    <row r="187" spans="2:12">
      <c r="B187" s="24" t="str">
        <f ca="1">IF(L187="","",171)</f>
        <v/>
      </c>
      <c r="C187" s="18" t="str">
        <f ca="1">IF(L187="","",INDEX(INDIRECT("'"&amp;'لوحة التحكم'!$K$6&amp;"'!$A$2:$A$501"),L187))</f>
        <v/>
      </c>
      <c r="D187" s="31" t="str">
        <f ca="1">IF(L187="","",INDEX(INDIRECT("'"&amp;'لوحة التحكم'!$K$6&amp;"'!$B$2:$B$501"),L187))</f>
        <v/>
      </c>
      <c r="E187" s="24" t="str">
        <f ca="1">IF(L187="","",INDEX(INDIRECT("'"&amp;'لوحة التحكم'!$K$6&amp;"'!$F$2:$F$501"),L187))</f>
        <v/>
      </c>
      <c r="F187" s="32" t="str">
        <f ca="1">IF(L187="","",INDEX(INDIRECT("'"&amp;'لوحة التحكم'!$K$6&amp;"'!$I$2:$I$501"),L187))</f>
        <v/>
      </c>
      <c r="G187" s="32" t="str">
        <f ca="1">IF(L187="","",INDEX(INDIRECT("'"&amp;'لوحة التحكم'!$K$6&amp;"'!$C$2:$C$501"),L187))</f>
        <v/>
      </c>
      <c r="H187" s="32" t="str">
        <f ca="1">IF(L187="","",INDEX(INDIRECT("'"&amp;'لوحة التحكم'!$K$6&amp;"'!$D$2:$D$501"),L187))</f>
        <v/>
      </c>
      <c r="I187" s="32" t="str">
        <f ca="1">IF(L187="","",INDEX(INDIRECT("'"&amp;'لوحة التحكم'!$K$6&amp;"'!$E$2:$E$501"),L187))</f>
        <v/>
      </c>
      <c r="J187" s="18" t="str">
        <f ca="1">IF(L187="","",INDEX(INDIRECT("'"&amp;'لوحة التحكم'!$K$6&amp;"'!$U$2:$U$501"),L187))</f>
        <v/>
      </c>
      <c r="L187" s="3" t="str">
        <f ca="1">IF('لوحة التحكم'!$K$12=1,IFERROR(MATCH(171,INDIRECT("'"&amp;'لوحة التحكم'!$K$6&amp;"'!$AF$2:$AF$501"),0),""),"")</f>
        <v/>
      </c>
    </row>
    <row r="188" spans="2:12">
      <c r="B188" s="24" t="str">
        <f ca="1">IF(L188="","",172)</f>
        <v/>
      </c>
      <c r="C188" s="18" t="str">
        <f ca="1">IF(L188="","",INDEX(INDIRECT("'"&amp;'لوحة التحكم'!$K$6&amp;"'!$A$2:$A$501"),L188))</f>
        <v/>
      </c>
      <c r="D188" s="31" t="str">
        <f ca="1">IF(L188="","",INDEX(INDIRECT("'"&amp;'لوحة التحكم'!$K$6&amp;"'!$B$2:$B$501"),L188))</f>
        <v/>
      </c>
      <c r="E188" s="24" t="str">
        <f ca="1">IF(L188="","",INDEX(INDIRECT("'"&amp;'لوحة التحكم'!$K$6&amp;"'!$F$2:$F$501"),L188))</f>
        <v/>
      </c>
      <c r="F188" s="32" t="str">
        <f ca="1">IF(L188="","",INDEX(INDIRECT("'"&amp;'لوحة التحكم'!$K$6&amp;"'!$I$2:$I$501"),L188))</f>
        <v/>
      </c>
      <c r="G188" s="32" t="str">
        <f ca="1">IF(L188="","",INDEX(INDIRECT("'"&amp;'لوحة التحكم'!$K$6&amp;"'!$C$2:$C$501"),L188))</f>
        <v/>
      </c>
      <c r="H188" s="32" t="str">
        <f ca="1">IF(L188="","",INDEX(INDIRECT("'"&amp;'لوحة التحكم'!$K$6&amp;"'!$D$2:$D$501"),L188))</f>
        <v/>
      </c>
      <c r="I188" s="32" t="str">
        <f ca="1">IF(L188="","",INDEX(INDIRECT("'"&amp;'لوحة التحكم'!$K$6&amp;"'!$E$2:$E$501"),L188))</f>
        <v/>
      </c>
      <c r="J188" s="18" t="str">
        <f ca="1">IF(L188="","",INDEX(INDIRECT("'"&amp;'لوحة التحكم'!$K$6&amp;"'!$U$2:$U$501"),L188))</f>
        <v/>
      </c>
      <c r="L188" s="3" t="str">
        <f ca="1">IF('لوحة التحكم'!$K$12=1,IFERROR(MATCH(172,INDIRECT("'"&amp;'لوحة التحكم'!$K$6&amp;"'!$AF$2:$AF$501"),0),""),"")</f>
        <v/>
      </c>
    </row>
    <row r="189" spans="2:12">
      <c r="B189" s="24" t="str">
        <f ca="1">IF(L189="","",173)</f>
        <v/>
      </c>
      <c r="C189" s="18" t="str">
        <f ca="1">IF(L189="","",INDEX(INDIRECT("'"&amp;'لوحة التحكم'!$K$6&amp;"'!$A$2:$A$501"),L189))</f>
        <v/>
      </c>
      <c r="D189" s="31" t="str">
        <f ca="1">IF(L189="","",INDEX(INDIRECT("'"&amp;'لوحة التحكم'!$K$6&amp;"'!$B$2:$B$501"),L189))</f>
        <v/>
      </c>
      <c r="E189" s="24" t="str">
        <f ca="1">IF(L189="","",INDEX(INDIRECT("'"&amp;'لوحة التحكم'!$K$6&amp;"'!$F$2:$F$501"),L189))</f>
        <v/>
      </c>
      <c r="F189" s="32" t="str">
        <f ca="1">IF(L189="","",INDEX(INDIRECT("'"&amp;'لوحة التحكم'!$K$6&amp;"'!$I$2:$I$501"),L189))</f>
        <v/>
      </c>
      <c r="G189" s="32" t="str">
        <f ca="1">IF(L189="","",INDEX(INDIRECT("'"&amp;'لوحة التحكم'!$K$6&amp;"'!$C$2:$C$501"),L189))</f>
        <v/>
      </c>
      <c r="H189" s="32" t="str">
        <f ca="1">IF(L189="","",INDEX(INDIRECT("'"&amp;'لوحة التحكم'!$K$6&amp;"'!$D$2:$D$501"),L189))</f>
        <v/>
      </c>
      <c r="I189" s="32" t="str">
        <f ca="1">IF(L189="","",INDEX(INDIRECT("'"&amp;'لوحة التحكم'!$K$6&amp;"'!$E$2:$E$501"),L189))</f>
        <v/>
      </c>
      <c r="J189" s="18" t="str">
        <f ca="1">IF(L189="","",INDEX(INDIRECT("'"&amp;'لوحة التحكم'!$K$6&amp;"'!$U$2:$U$501"),L189))</f>
        <v/>
      </c>
      <c r="L189" s="3" t="str">
        <f ca="1">IF('لوحة التحكم'!$K$12=1,IFERROR(MATCH(173,INDIRECT("'"&amp;'لوحة التحكم'!$K$6&amp;"'!$AF$2:$AF$501"),0),""),"")</f>
        <v/>
      </c>
    </row>
    <row r="190" spans="2:12">
      <c r="B190" s="24" t="str">
        <f ca="1">IF(L190="","",174)</f>
        <v/>
      </c>
      <c r="C190" s="18" t="str">
        <f ca="1">IF(L190="","",INDEX(INDIRECT("'"&amp;'لوحة التحكم'!$K$6&amp;"'!$A$2:$A$501"),L190))</f>
        <v/>
      </c>
      <c r="D190" s="31" t="str">
        <f ca="1">IF(L190="","",INDEX(INDIRECT("'"&amp;'لوحة التحكم'!$K$6&amp;"'!$B$2:$B$501"),L190))</f>
        <v/>
      </c>
      <c r="E190" s="24" t="str">
        <f ca="1">IF(L190="","",INDEX(INDIRECT("'"&amp;'لوحة التحكم'!$K$6&amp;"'!$F$2:$F$501"),L190))</f>
        <v/>
      </c>
      <c r="F190" s="32" t="str">
        <f ca="1">IF(L190="","",INDEX(INDIRECT("'"&amp;'لوحة التحكم'!$K$6&amp;"'!$I$2:$I$501"),L190))</f>
        <v/>
      </c>
      <c r="G190" s="32" t="str">
        <f ca="1">IF(L190="","",INDEX(INDIRECT("'"&amp;'لوحة التحكم'!$K$6&amp;"'!$C$2:$C$501"),L190))</f>
        <v/>
      </c>
      <c r="H190" s="32" t="str">
        <f ca="1">IF(L190="","",INDEX(INDIRECT("'"&amp;'لوحة التحكم'!$K$6&amp;"'!$D$2:$D$501"),L190))</f>
        <v/>
      </c>
      <c r="I190" s="32" t="str">
        <f ca="1">IF(L190="","",INDEX(INDIRECT("'"&amp;'لوحة التحكم'!$K$6&amp;"'!$E$2:$E$501"),L190))</f>
        <v/>
      </c>
      <c r="J190" s="18" t="str">
        <f ca="1">IF(L190="","",INDEX(INDIRECT("'"&amp;'لوحة التحكم'!$K$6&amp;"'!$U$2:$U$501"),L190))</f>
        <v/>
      </c>
      <c r="L190" s="3" t="str">
        <f ca="1">IF('لوحة التحكم'!$K$12=1,IFERROR(MATCH(174,INDIRECT("'"&amp;'لوحة التحكم'!$K$6&amp;"'!$AF$2:$AF$501"),0),""),"")</f>
        <v/>
      </c>
    </row>
    <row r="191" spans="2:12">
      <c r="B191" s="24" t="str">
        <f ca="1">IF(L191="","",175)</f>
        <v/>
      </c>
      <c r="C191" s="18" t="str">
        <f ca="1">IF(L191="","",INDEX(INDIRECT("'"&amp;'لوحة التحكم'!$K$6&amp;"'!$A$2:$A$501"),L191))</f>
        <v/>
      </c>
      <c r="D191" s="31" t="str">
        <f ca="1">IF(L191="","",INDEX(INDIRECT("'"&amp;'لوحة التحكم'!$K$6&amp;"'!$B$2:$B$501"),L191))</f>
        <v/>
      </c>
      <c r="E191" s="24" t="str">
        <f ca="1">IF(L191="","",INDEX(INDIRECT("'"&amp;'لوحة التحكم'!$K$6&amp;"'!$F$2:$F$501"),L191))</f>
        <v/>
      </c>
      <c r="F191" s="32" t="str">
        <f ca="1">IF(L191="","",INDEX(INDIRECT("'"&amp;'لوحة التحكم'!$K$6&amp;"'!$I$2:$I$501"),L191))</f>
        <v/>
      </c>
      <c r="G191" s="32" t="str">
        <f ca="1">IF(L191="","",INDEX(INDIRECT("'"&amp;'لوحة التحكم'!$K$6&amp;"'!$C$2:$C$501"),L191))</f>
        <v/>
      </c>
      <c r="H191" s="32" t="str">
        <f ca="1">IF(L191="","",INDEX(INDIRECT("'"&amp;'لوحة التحكم'!$K$6&amp;"'!$D$2:$D$501"),L191))</f>
        <v/>
      </c>
      <c r="I191" s="32" t="str">
        <f ca="1">IF(L191="","",INDEX(INDIRECT("'"&amp;'لوحة التحكم'!$K$6&amp;"'!$E$2:$E$501"),L191))</f>
        <v/>
      </c>
      <c r="J191" s="18" t="str">
        <f ca="1">IF(L191="","",INDEX(INDIRECT("'"&amp;'لوحة التحكم'!$K$6&amp;"'!$U$2:$U$501"),L191))</f>
        <v/>
      </c>
      <c r="L191" s="3" t="str">
        <f ca="1">IF('لوحة التحكم'!$K$12=1,IFERROR(MATCH(175,INDIRECT("'"&amp;'لوحة التحكم'!$K$6&amp;"'!$AF$2:$AF$501"),0),""),"")</f>
        <v/>
      </c>
    </row>
    <row r="192" spans="2:12">
      <c r="B192" s="24" t="str">
        <f ca="1">IF(L192="","",176)</f>
        <v/>
      </c>
      <c r="C192" s="18" t="str">
        <f ca="1">IF(L192="","",INDEX(INDIRECT("'"&amp;'لوحة التحكم'!$K$6&amp;"'!$A$2:$A$501"),L192))</f>
        <v/>
      </c>
      <c r="D192" s="31" t="str">
        <f ca="1">IF(L192="","",INDEX(INDIRECT("'"&amp;'لوحة التحكم'!$K$6&amp;"'!$B$2:$B$501"),L192))</f>
        <v/>
      </c>
      <c r="E192" s="24" t="str">
        <f ca="1">IF(L192="","",INDEX(INDIRECT("'"&amp;'لوحة التحكم'!$K$6&amp;"'!$F$2:$F$501"),L192))</f>
        <v/>
      </c>
      <c r="F192" s="32" t="str">
        <f ca="1">IF(L192="","",INDEX(INDIRECT("'"&amp;'لوحة التحكم'!$K$6&amp;"'!$I$2:$I$501"),L192))</f>
        <v/>
      </c>
      <c r="G192" s="32" t="str">
        <f ca="1">IF(L192="","",INDEX(INDIRECT("'"&amp;'لوحة التحكم'!$K$6&amp;"'!$C$2:$C$501"),L192))</f>
        <v/>
      </c>
      <c r="H192" s="32" t="str">
        <f ca="1">IF(L192="","",INDEX(INDIRECT("'"&amp;'لوحة التحكم'!$K$6&amp;"'!$D$2:$D$501"),L192))</f>
        <v/>
      </c>
      <c r="I192" s="32" t="str">
        <f ca="1">IF(L192="","",INDEX(INDIRECT("'"&amp;'لوحة التحكم'!$K$6&amp;"'!$E$2:$E$501"),L192))</f>
        <v/>
      </c>
      <c r="J192" s="18" t="str">
        <f ca="1">IF(L192="","",INDEX(INDIRECT("'"&amp;'لوحة التحكم'!$K$6&amp;"'!$U$2:$U$501"),L192))</f>
        <v/>
      </c>
      <c r="L192" s="3" t="str">
        <f ca="1">IF('لوحة التحكم'!$K$12=1,IFERROR(MATCH(176,INDIRECT("'"&amp;'لوحة التحكم'!$K$6&amp;"'!$AF$2:$AF$501"),0),""),"")</f>
        <v/>
      </c>
    </row>
    <row r="193" spans="2:12">
      <c r="B193" s="24" t="str">
        <f ca="1">IF(L193="","",177)</f>
        <v/>
      </c>
      <c r="C193" s="18" t="str">
        <f ca="1">IF(L193="","",INDEX(INDIRECT("'"&amp;'لوحة التحكم'!$K$6&amp;"'!$A$2:$A$501"),L193))</f>
        <v/>
      </c>
      <c r="D193" s="31" t="str">
        <f ca="1">IF(L193="","",INDEX(INDIRECT("'"&amp;'لوحة التحكم'!$K$6&amp;"'!$B$2:$B$501"),L193))</f>
        <v/>
      </c>
      <c r="E193" s="24" t="str">
        <f ca="1">IF(L193="","",INDEX(INDIRECT("'"&amp;'لوحة التحكم'!$K$6&amp;"'!$F$2:$F$501"),L193))</f>
        <v/>
      </c>
      <c r="F193" s="32" t="str">
        <f ca="1">IF(L193="","",INDEX(INDIRECT("'"&amp;'لوحة التحكم'!$K$6&amp;"'!$I$2:$I$501"),L193))</f>
        <v/>
      </c>
      <c r="G193" s="32" t="str">
        <f ca="1">IF(L193="","",INDEX(INDIRECT("'"&amp;'لوحة التحكم'!$K$6&amp;"'!$C$2:$C$501"),L193))</f>
        <v/>
      </c>
      <c r="H193" s="32" t="str">
        <f ca="1">IF(L193="","",INDEX(INDIRECT("'"&amp;'لوحة التحكم'!$K$6&amp;"'!$D$2:$D$501"),L193))</f>
        <v/>
      </c>
      <c r="I193" s="32" t="str">
        <f ca="1">IF(L193="","",INDEX(INDIRECT("'"&amp;'لوحة التحكم'!$K$6&amp;"'!$E$2:$E$501"),L193))</f>
        <v/>
      </c>
      <c r="J193" s="18" t="str">
        <f ca="1">IF(L193="","",INDEX(INDIRECT("'"&amp;'لوحة التحكم'!$K$6&amp;"'!$U$2:$U$501"),L193))</f>
        <v/>
      </c>
      <c r="L193" s="3" t="str">
        <f ca="1">IF('لوحة التحكم'!$K$12=1,IFERROR(MATCH(177,INDIRECT("'"&amp;'لوحة التحكم'!$K$6&amp;"'!$AF$2:$AF$501"),0),""),"")</f>
        <v/>
      </c>
    </row>
    <row r="194" spans="2:12">
      <c r="B194" s="24" t="str">
        <f ca="1">IF(L194="","",178)</f>
        <v/>
      </c>
      <c r="C194" s="18" t="str">
        <f ca="1">IF(L194="","",INDEX(INDIRECT("'"&amp;'لوحة التحكم'!$K$6&amp;"'!$A$2:$A$501"),L194))</f>
        <v/>
      </c>
      <c r="D194" s="31" t="str">
        <f ca="1">IF(L194="","",INDEX(INDIRECT("'"&amp;'لوحة التحكم'!$K$6&amp;"'!$B$2:$B$501"),L194))</f>
        <v/>
      </c>
      <c r="E194" s="24" t="str">
        <f ca="1">IF(L194="","",INDEX(INDIRECT("'"&amp;'لوحة التحكم'!$K$6&amp;"'!$F$2:$F$501"),L194))</f>
        <v/>
      </c>
      <c r="F194" s="32" t="str">
        <f ca="1">IF(L194="","",INDEX(INDIRECT("'"&amp;'لوحة التحكم'!$K$6&amp;"'!$I$2:$I$501"),L194))</f>
        <v/>
      </c>
      <c r="G194" s="32" t="str">
        <f ca="1">IF(L194="","",INDEX(INDIRECT("'"&amp;'لوحة التحكم'!$K$6&amp;"'!$C$2:$C$501"),L194))</f>
        <v/>
      </c>
      <c r="H194" s="32" t="str">
        <f ca="1">IF(L194="","",INDEX(INDIRECT("'"&amp;'لوحة التحكم'!$K$6&amp;"'!$D$2:$D$501"),L194))</f>
        <v/>
      </c>
      <c r="I194" s="32" t="str">
        <f ca="1">IF(L194="","",INDEX(INDIRECT("'"&amp;'لوحة التحكم'!$K$6&amp;"'!$E$2:$E$501"),L194))</f>
        <v/>
      </c>
      <c r="J194" s="18" t="str">
        <f ca="1">IF(L194="","",INDEX(INDIRECT("'"&amp;'لوحة التحكم'!$K$6&amp;"'!$U$2:$U$501"),L194))</f>
        <v/>
      </c>
      <c r="L194" s="3" t="str">
        <f ca="1">IF('لوحة التحكم'!$K$12=1,IFERROR(MATCH(178,INDIRECT("'"&amp;'لوحة التحكم'!$K$6&amp;"'!$AF$2:$AF$501"),0),""),"")</f>
        <v/>
      </c>
    </row>
    <row r="195" spans="2:12">
      <c r="B195" s="24" t="str">
        <f ca="1">IF(L195="","",179)</f>
        <v/>
      </c>
      <c r="C195" s="18" t="str">
        <f ca="1">IF(L195="","",INDEX(INDIRECT("'"&amp;'لوحة التحكم'!$K$6&amp;"'!$A$2:$A$501"),L195))</f>
        <v/>
      </c>
      <c r="D195" s="31" t="str">
        <f ca="1">IF(L195="","",INDEX(INDIRECT("'"&amp;'لوحة التحكم'!$K$6&amp;"'!$B$2:$B$501"),L195))</f>
        <v/>
      </c>
      <c r="E195" s="24" t="str">
        <f ca="1">IF(L195="","",INDEX(INDIRECT("'"&amp;'لوحة التحكم'!$K$6&amp;"'!$F$2:$F$501"),L195))</f>
        <v/>
      </c>
      <c r="F195" s="32" t="str">
        <f ca="1">IF(L195="","",INDEX(INDIRECT("'"&amp;'لوحة التحكم'!$K$6&amp;"'!$I$2:$I$501"),L195))</f>
        <v/>
      </c>
      <c r="G195" s="32" t="str">
        <f ca="1">IF(L195="","",INDEX(INDIRECT("'"&amp;'لوحة التحكم'!$K$6&amp;"'!$C$2:$C$501"),L195))</f>
        <v/>
      </c>
      <c r="H195" s="32" t="str">
        <f ca="1">IF(L195="","",INDEX(INDIRECT("'"&amp;'لوحة التحكم'!$K$6&amp;"'!$D$2:$D$501"),L195))</f>
        <v/>
      </c>
      <c r="I195" s="32" t="str">
        <f ca="1">IF(L195="","",INDEX(INDIRECT("'"&amp;'لوحة التحكم'!$K$6&amp;"'!$E$2:$E$501"),L195))</f>
        <v/>
      </c>
      <c r="J195" s="18" t="str">
        <f ca="1">IF(L195="","",INDEX(INDIRECT("'"&amp;'لوحة التحكم'!$K$6&amp;"'!$U$2:$U$501"),L195))</f>
        <v/>
      </c>
      <c r="L195" s="3" t="str">
        <f ca="1">IF('لوحة التحكم'!$K$12=1,IFERROR(MATCH(179,INDIRECT("'"&amp;'لوحة التحكم'!$K$6&amp;"'!$AF$2:$AF$501"),0),""),"")</f>
        <v/>
      </c>
    </row>
    <row r="196" spans="2:12">
      <c r="B196" s="24" t="str">
        <f ca="1">IF(L196="","",180)</f>
        <v/>
      </c>
      <c r="C196" s="18" t="str">
        <f ca="1">IF(L196="","",INDEX(INDIRECT("'"&amp;'لوحة التحكم'!$K$6&amp;"'!$A$2:$A$501"),L196))</f>
        <v/>
      </c>
      <c r="D196" s="31" t="str">
        <f ca="1">IF(L196="","",INDEX(INDIRECT("'"&amp;'لوحة التحكم'!$K$6&amp;"'!$B$2:$B$501"),L196))</f>
        <v/>
      </c>
      <c r="E196" s="24" t="str">
        <f ca="1">IF(L196="","",INDEX(INDIRECT("'"&amp;'لوحة التحكم'!$K$6&amp;"'!$F$2:$F$501"),L196))</f>
        <v/>
      </c>
      <c r="F196" s="32" t="str">
        <f ca="1">IF(L196="","",INDEX(INDIRECT("'"&amp;'لوحة التحكم'!$K$6&amp;"'!$I$2:$I$501"),L196))</f>
        <v/>
      </c>
      <c r="G196" s="32" t="str">
        <f ca="1">IF(L196="","",INDEX(INDIRECT("'"&amp;'لوحة التحكم'!$K$6&amp;"'!$C$2:$C$501"),L196))</f>
        <v/>
      </c>
      <c r="H196" s="32" t="str">
        <f ca="1">IF(L196="","",INDEX(INDIRECT("'"&amp;'لوحة التحكم'!$K$6&amp;"'!$D$2:$D$501"),L196))</f>
        <v/>
      </c>
      <c r="I196" s="32" t="str">
        <f ca="1">IF(L196="","",INDEX(INDIRECT("'"&amp;'لوحة التحكم'!$K$6&amp;"'!$E$2:$E$501"),L196))</f>
        <v/>
      </c>
      <c r="J196" s="18" t="str">
        <f ca="1">IF(L196="","",INDEX(INDIRECT("'"&amp;'لوحة التحكم'!$K$6&amp;"'!$U$2:$U$501"),L196))</f>
        <v/>
      </c>
      <c r="L196" s="3" t="str">
        <f ca="1">IF('لوحة التحكم'!$K$12=1,IFERROR(MATCH(180,INDIRECT("'"&amp;'لوحة التحكم'!$K$6&amp;"'!$AF$2:$AF$501"),0),""),"")</f>
        <v/>
      </c>
    </row>
    <row r="197" spans="2:12">
      <c r="B197" s="24" t="str">
        <f ca="1">IF(L197="","",181)</f>
        <v/>
      </c>
      <c r="C197" s="18" t="str">
        <f ca="1">IF(L197="","",INDEX(INDIRECT("'"&amp;'لوحة التحكم'!$K$6&amp;"'!$A$2:$A$501"),L197))</f>
        <v/>
      </c>
      <c r="D197" s="31" t="str">
        <f ca="1">IF(L197="","",INDEX(INDIRECT("'"&amp;'لوحة التحكم'!$K$6&amp;"'!$B$2:$B$501"),L197))</f>
        <v/>
      </c>
      <c r="E197" s="24" t="str">
        <f ca="1">IF(L197="","",INDEX(INDIRECT("'"&amp;'لوحة التحكم'!$K$6&amp;"'!$F$2:$F$501"),L197))</f>
        <v/>
      </c>
      <c r="F197" s="32" t="str">
        <f ca="1">IF(L197="","",INDEX(INDIRECT("'"&amp;'لوحة التحكم'!$K$6&amp;"'!$I$2:$I$501"),L197))</f>
        <v/>
      </c>
      <c r="G197" s="32" t="str">
        <f ca="1">IF(L197="","",INDEX(INDIRECT("'"&amp;'لوحة التحكم'!$K$6&amp;"'!$C$2:$C$501"),L197))</f>
        <v/>
      </c>
      <c r="H197" s="32" t="str">
        <f ca="1">IF(L197="","",INDEX(INDIRECT("'"&amp;'لوحة التحكم'!$K$6&amp;"'!$D$2:$D$501"),L197))</f>
        <v/>
      </c>
      <c r="I197" s="32" t="str">
        <f ca="1">IF(L197="","",INDEX(INDIRECT("'"&amp;'لوحة التحكم'!$K$6&amp;"'!$E$2:$E$501"),L197))</f>
        <v/>
      </c>
      <c r="J197" s="18" t="str">
        <f ca="1">IF(L197="","",INDEX(INDIRECT("'"&amp;'لوحة التحكم'!$K$6&amp;"'!$U$2:$U$501"),L197))</f>
        <v/>
      </c>
      <c r="L197" s="3" t="str">
        <f ca="1">IF('لوحة التحكم'!$K$12=1,IFERROR(MATCH(181,INDIRECT("'"&amp;'لوحة التحكم'!$K$6&amp;"'!$AF$2:$AF$501"),0),""),"")</f>
        <v/>
      </c>
    </row>
    <row r="198" spans="2:12">
      <c r="B198" s="24" t="str">
        <f ca="1">IF(L198="","",182)</f>
        <v/>
      </c>
      <c r="C198" s="18" t="str">
        <f ca="1">IF(L198="","",INDEX(INDIRECT("'"&amp;'لوحة التحكم'!$K$6&amp;"'!$A$2:$A$501"),L198))</f>
        <v/>
      </c>
      <c r="D198" s="31" t="str">
        <f ca="1">IF(L198="","",INDEX(INDIRECT("'"&amp;'لوحة التحكم'!$K$6&amp;"'!$B$2:$B$501"),L198))</f>
        <v/>
      </c>
      <c r="E198" s="24" t="str">
        <f ca="1">IF(L198="","",INDEX(INDIRECT("'"&amp;'لوحة التحكم'!$K$6&amp;"'!$F$2:$F$501"),L198))</f>
        <v/>
      </c>
      <c r="F198" s="32" t="str">
        <f ca="1">IF(L198="","",INDEX(INDIRECT("'"&amp;'لوحة التحكم'!$K$6&amp;"'!$I$2:$I$501"),L198))</f>
        <v/>
      </c>
      <c r="G198" s="32" t="str">
        <f ca="1">IF(L198="","",INDEX(INDIRECT("'"&amp;'لوحة التحكم'!$K$6&amp;"'!$C$2:$C$501"),L198))</f>
        <v/>
      </c>
      <c r="H198" s="32" t="str">
        <f ca="1">IF(L198="","",INDEX(INDIRECT("'"&amp;'لوحة التحكم'!$K$6&amp;"'!$D$2:$D$501"),L198))</f>
        <v/>
      </c>
      <c r="I198" s="32" t="str">
        <f ca="1">IF(L198="","",INDEX(INDIRECT("'"&amp;'لوحة التحكم'!$K$6&amp;"'!$E$2:$E$501"),L198))</f>
        <v/>
      </c>
      <c r="J198" s="18" t="str">
        <f ca="1">IF(L198="","",INDEX(INDIRECT("'"&amp;'لوحة التحكم'!$K$6&amp;"'!$U$2:$U$501"),L198))</f>
        <v/>
      </c>
      <c r="L198" s="3" t="str">
        <f ca="1">IF('لوحة التحكم'!$K$12=1,IFERROR(MATCH(182,INDIRECT("'"&amp;'لوحة التحكم'!$K$6&amp;"'!$AF$2:$AF$501"),0),""),"")</f>
        <v/>
      </c>
    </row>
    <row r="199" spans="2:12">
      <c r="B199" s="24" t="str">
        <f ca="1">IF(L199="","",183)</f>
        <v/>
      </c>
      <c r="C199" s="18" t="str">
        <f ca="1">IF(L199="","",INDEX(INDIRECT("'"&amp;'لوحة التحكم'!$K$6&amp;"'!$A$2:$A$501"),L199))</f>
        <v/>
      </c>
      <c r="D199" s="31" t="str">
        <f ca="1">IF(L199="","",INDEX(INDIRECT("'"&amp;'لوحة التحكم'!$K$6&amp;"'!$B$2:$B$501"),L199))</f>
        <v/>
      </c>
      <c r="E199" s="24" t="str">
        <f ca="1">IF(L199="","",INDEX(INDIRECT("'"&amp;'لوحة التحكم'!$K$6&amp;"'!$F$2:$F$501"),L199))</f>
        <v/>
      </c>
      <c r="F199" s="32" t="str">
        <f ca="1">IF(L199="","",INDEX(INDIRECT("'"&amp;'لوحة التحكم'!$K$6&amp;"'!$I$2:$I$501"),L199))</f>
        <v/>
      </c>
      <c r="G199" s="32" t="str">
        <f ca="1">IF(L199="","",INDEX(INDIRECT("'"&amp;'لوحة التحكم'!$K$6&amp;"'!$C$2:$C$501"),L199))</f>
        <v/>
      </c>
      <c r="H199" s="32" t="str">
        <f ca="1">IF(L199="","",INDEX(INDIRECT("'"&amp;'لوحة التحكم'!$K$6&amp;"'!$D$2:$D$501"),L199))</f>
        <v/>
      </c>
      <c r="I199" s="32" t="str">
        <f ca="1">IF(L199="","",INDEX(INDIRECT("'"&amp;'لوحة التحكم'!$K$6&amp;"'!$E$2:$E$501"),L199))</f>
        <v/>
      </c>
      <c r="J199" s="18" t="str">
        <f ca="1">IF(L199="","",INDEX(INDIRECT("'"&amp;'لوحة التحكم'!$K$6&amp;"'!$U$2:$U$501"),L199))</f>
        <v/>
      </c>
      <c r="L199" s="3" t="str">
        <f ca="1">IF('لوحة التحكم'!$K$12=1,IFERROR(MATCH(183,INDIRECT("'"&amp;'لوحة التحكم'!$K$6&amp;"'!$AF$2:$AF$501"),0),""),"")</f>
        <v/>
      </c>
    </row>
    <row r="200" spans="2:12">
      <c r="B200" s="24" t="str">
        <f ca="1">IF(L200="","",184)</f>
        <v/>
      </c>
      <c r="C200" s="18" t="str">
        <f ca="1">IF(L200="","",INDEX(INDIRECT("'"&amp;'لوحة التحكم'!$K$6&amp;"'!$A$2:$A$501"),L200))</f>
        <v/>
      </c>
      <c r="D200" s="31" t="str">
        <f ca="1">IF(L200="","",INDEX(INDIRECT("'"&amp;'لوحة التحكم'!$K$6&amp;"'!$B$2:$B$501"),L200))</f>
        <v/>
      </c>
      <c r="E200" s="24" t="str">
        <f ca="1">IF(L200="","",INDEX(INDIRECT("'"&amp;'لوحة التحكم'!$K$6&amp;"'!$F$2:$F$501"),L200))</f>
        <v/>
      </c>
      <c r="F200" s="32" t="str">
        <f ca="1">IF(L200="","",INDEX(INDIRECT("'"&amp;'لوحة التحكم'!$K$6&amp;"'!$I$2:$I$501"),L200))</f>
        <v/>
      </c>
      <c r="G200" s="32" t="str">
        <f ca="1">IF(L200="","",INDEX(INDIRECT("'"&amp;'لوحة التحكم'!$K$6&amp;"'!$C$2:$C$501"),L200))</f>
        <v/>
      </c>
      <c r="H200" s="32" t="str">
        <f ca="1">IF(L200="","",INDEX(INDIRECT("'"&amp;'لوحة التحكم'!$K$6&amp;"'!$D$2:$D$501"),L200))</f>
        <v/>
      </c>
      <c r="I200" s="32" t="str">
        <f ca="1">IF(L200="","",INDEX(INDIRECT("'"&amp;'لوحة التحكم'!$K$6&amp;"'!$E$2:$E$501"),L200))</f>
        <v/>
      </c>
      <c r="J200" s="18" t="str">
        <f ca="1">IF(L200="","",INDEX(INDIRECT("'"&amp;'لوحة التحكم'!$K$6&amp;"'!$U$2:$U$501"),L200))</f>
        <v/>
      </c>
      <c r="L200" s="3" t="str">
        <f ca="1">IF('لوحة التحكم'!$K$12=1,IFERROR(MATCH(184,INDIRECT("'"&amp;'لوحة التحكم'!$K$6&amp;"'!$AF$2:$AF$501"),0),""),"")</f>
        <v/>
      </c>
    </row>
    <row r="201" spans="2:12">
      <c r="B201" s="24" t="str">
        <f ca="1">IF(L201="","",185)</f>
        <v/>
      </c>
      <c r="C201" s="18" t="str">
        <f ca="1">IF(L201="","",INDEX(INDIRECT("'"&amp;'لوحة التحكم'!$K$6&amp;"'!$A$2:$A$501"),L201))</f>
        <v/>
      </c>
      <c r="D201" s="31" t="str">
        <f ca="1">IF(L201="","",INDEX(INDIRECT("'"&amp;'لوحة التحكم'!$K$6&amp;"'!$B$2:$B$501"),L201))</f>
        <v/>
      </c>
      <c r="E201" s="24" t="str">
        <f ca="1">IF(L201="","",INDEX(INDIRECT("'"&amp;'لوحة التحكم'!$K$6&amp;"'!$F$2:$F$501"),L201))</f>
        <v/>
      </c>
      <c r="F201" s="32" t="str">
        <f ca="1">IF(L201="","",INDEX(INDIRECT("'"&amp;'لوحة التحكم'!$K$6&amp;"'!$I$2:$I$501"),L201))</f>
        <v/>
      </c>
      <c r="G201" s="32" t="str">
        <f ca="1">IF(L201="","",INDEX(INDIRECT("'"&amp;'لوحة التحكم'!$K$6&amp;"'!$C$2:$C$501"),L201))</f>
        <v/>
      </c>
      <c r="H201" s="32" t="str">
        <f ca="1">IF(L201="","",INDEX(INDIRECT("'"&amp;'لوحة التحكم'!$K$6&amp;"'!$D$2:$D$501"),L201))</f>
        <v/>
      </c>
      <c r="I201" s="32" t="str">
        <f ca="1">IF(L201="","",INDEX(INDIRECT("'"&amp;'لوحة التحكم'!$K$6&amp;"'!$E$2:$E$501"),L201))</f>
        <v/>
      </c>
      <c r="J201" s="18" t="str">
        <f ca="1">IF(L201="","",INDEX(INDIRECT("'"&amp;'لوحة التحكم'!$K$6&amp;"'!$U$2:$U$501"),L201))</f>
        <v/>
      </c>
      <c r="L201" s="3" t="str">
        <f ca="1">IF('لوحة التحكم'!$K$12=1,IFERROR(MATCH(185,INDIRECT("'"&amp;'لوحة التحكم'!$K$6&amp;"'!$AF$2:$AF$501"),0),""),"")</f>
        <v/>
      </c>
    </row>
    <row r="202" spans="2:12">
      <c r="B202" s="24" t="str">
        <f ca="1">IF(L202="","",186)</f>
        <v/>
      </c>
      <c r="C202" s="18" t="str">
        <f ca="1">IF(L202="","",INDEX(INDIRECT("'"&amp;'لوحة التحكم'!$K$6&amp;"'!$A$2:$A$501"),L202))</f>
        <v/>
      </c>
      <c r="D202" s="31" t="str">
        <f ca="1">IF(L202="","",INDEX(INDIRECT("'"&amp;'لوحة التحكم'!$K$6&amp;"'!$B$2:$B$501"),L202))</f>
        <v/>
      </c>
      <c r="E202" s="24" t="str">
        <f ca="1">IF(L202="","",INDEX(INDIRECT("'"&amp;'لوحة التحكم'!$K$6&amp;"'!$F$2:$F$501"),L202))</f>
        <v/>
      </c>
      <c r="F202" s="32" t="str">
        <f ca="1">IF(L202="","",INDEX(INDIRECT("'"&amp;'لوحة التحكم'!$K$6&amp;"'!$I$2:$I$501"),L202))</f>
        <v/>
      </c>
      <c r="G202" s="32" t="str">
        <f ca="1">IF(L202="","",INDEX(INDIRECT("'"&amp;'لوحة التحكم'!$K$6&amp;"'!$C$2:$C$501"),L202))</f>
        <v/>
      </c>
      <c r="H202" s="32" t="str">
        <f ca="1">IF(L202="","",INDEX(INDIRECT("'"&amp;'لوحة التحكم'!$K$6&amp;"'!$D$2:$D$501"),L202))</f>
        <v/>
      </c>
      <c r="I202" s="32" t="str">
        <f ca="1">IF(L202="","",INDEX(INDIRECT("'"&amp;'لوحة التحكم'!$K$6&amp;"'!$E$2:$E$501"),L202))</f>
        <v/>
      </c>
      <c r="J202" s="18" t="str">
        <f ca="1">IF(L202="","",INDEX(INDIRECT("'"&amp;'لوحة التحكم'!$K$6&amp;"'!$U$2:$U$501"),L202))</f>
        <v/>
      </c>
      <c r="L202" s="3" t="str">
        <f ca="1">IF('لوحة التحكم'!$K$12=1,IFERROR(MATCH(186,INDIRECT("'"&amp;'لوحة التحكم'!$K$6&amp;"'!$AF$2:$AF$501"),0),""),"")</f>
        <v/>
      </c>
    </row>
    <row r="203" spans="2:12">
      <c r="B203" s="24" t="str">
        <f ca="1">IF(L203="","",187)</f>
        <v/>
      </c>
      <c r="C203" s="18" t="str">
        <f ca="1">IF(L203="","",INDEX(INDIRECT("'"&amp;'لوحة التحكم'!$K$6&amp;"'!$A$2:$A$501"),L203))</f>
        <v/>
      </c>
      <c r="D203" s="31" t="str">
        <f ca="1">IF(L203="","",INDEX(INDIRECT("'"&amp;'لوحة التحكم'!$K$6&amp;"'!$B$2:$B$501"),L203))</f>
        <v/>
      </c>
      <c r="E203" s="24" t="str">
        <f ca="1">IF(L203="","",INDEX(INDIRECT("'"&amp;'لوحة التحكم'!$K$6&amp;"'!$F$2:$F$501"),L203))</f>
        <v/>
      </c>
      <c r="F203" s="32" t="str">
        <f ca="1">IF(L203="","",INDEX(INDIRECT("'"&amp;'لوحة التحكم'!$K$6&amp;"'!$I$2:$I$501"),L203))</f>
        <v/>
      </c>
      <c r="G203" s="32" t="str">
        <f ca="1">IF(L203="","",INDEX(INDIRECT("'"&amp;'لوحة التحكم'!$K$6&amp;"'!$C$2:$C$501"),L203))</f>
        <v/>
      </c>
      <c r="H203" s="32" t="str">
        <f ca="1">IF(L203="","",INDEX(INDIRECT("'"&amp;'لوحة التحكم'!$K$6&amp;"'!$D$2:$D$501"),L203))</f>
        <v/>
      </c>
      <c r="I203" s="32" t="str">
        <f ca="1">IF(L203="","",INDEX(INDIRECT("'"&amp;'لوحة التحكم'!$K$6&amp;"'!$E$2:$E$501"),L203))</f>
        <v/>
      </c>
      <c r="J203" s="18" t="str">
        <f ca="1">IF(L203="","",INDEX(INDIRECT("'"&amp;'لوحة التحكم'!$K$6&amp;"'!$U$2:$U$501"),L203))</f>
        <v/>
      </c>
      <c r="L203" s="3" t="str">
        <f ca="1">IF('لوحة التحكم'!$K$12=1,IFERROR(MATCH(187,INDIRECT("'"&amp;'لوحة التحكم'!$K$6&amp;"'!$AF$2:$AF$501"),0),""),"")</f>
        <v/>
      </c>
    </row>
    <row r="204" spans="2:12">
      <c r="B204" s="24" t="str">
        <f ca="1">IF(L204="","",188)</f>
        <v/>
      </c>
      <c r="C204" s="18" t="str">
        <f ca="1">IF(L204="","",INDEX(INDIRECT("'"&amp;'لوحة التحكم'!$K$6&amp;"'!$A$2:$A$501"),L204))</f>
        <v/>
      </c>
      <c r="D204" s="31" t="str">
        <f ca="1">IF(L204="","",INDEX(INDIRECT("'"&amp;'لوحة التحكم'!$K$6&amp;"'!$B$2:$B$501"),L204))</f>
        <v/>
      </c>
      <c r="E204" s="24" t="str">
        <f ca="1">IF(L204="","",INDEX(INDIRECT("'"&amp;'لوحة التحكم'!$K$6&amp;"'!$F$2:$F$501"),L204))</f>
        <v/>
      </c>
      <c r="F204" s="32" t="str">
        <f ca="1">IF(L204="","",INDEX(INDIRECT("'"&amp;'لوحة التحكم'!$K$6&amp;"'!$I$2:$I$501"),L204))</f>
        <v/>
      </c>
      <c r="G204" s="32" t="str">
        <f ca="1">IF(L204="","",INDEX(INDIRECT("'"&amp;'لوحة التحكم'!$K$6&amp;"'!$C$2:$C$501"),L204))</f>
        <v/>
      </c>
      <c r="H204" s="32" t="str">
        <f ca="1">IF(L204="","",INDEX(INDIRECT("'"&amp;'لوحة التحكم'!$K$6&amp;"'!$D$2:$D$501"),L204))</f>
        <v/>
      </c>
      <c r="I204" s="32" t="str">
        <f ca="1">IF(L204="","",INDEX(INDIRECT("'"&amp;'لوحة التحكم'!$K$6&amp;"'!$E$2:$E$501"),L204))</f>
        <v/>
      </c>
      <c r="J204" s="18" t="str">
        <f ca="1">IF(L204="","",INDEX(INDIRECT("'"&amp;'لوحة التحكم'!$K$6&amp;"'!$U$2:$U$501"),L204))</f>
        <v/>
      </c>
      <c r="L204" s="3" t="str">
        <f ca="1">IF('لوحة التحكم'!$K$12=1,IFERROR(MATCH(188,INDIRECT("'"&amp;'لوحة التحكم'!$K$6&amp;"'!$AF$2:$AF$501"),0),""),"")</f>
        <v/>
      </c>
    </row>
    <row r="205" spans="2:12">
      <c r="B205" s="24" t="str">
        <f ca="1">IF(L205="","",189)</f>
        <v/>
      </c>
      <c r="C205" s="18" t="str">
        <f ca="1">IF(L205="","",INDEX(INDIRECT("'"&amp;'لوحة التحكم'!$K$6&amp;"'!$A$2:$A$501"),L205))</f>
        <v/>
      </c>
      <c r="D205" s="31" t="str">
        <f ca="1">IF(L205="","",INDEX(INDIRECT("'"&amp;'لوحة التحكم'!$K$6&amp;"'!$B$2:$B$501"),L205))</f>
        <v/>
      </c>
      <c r="E205" s="24" t="str">
        <f ca="1">IF(L205="","",INDEX(INDIRECT("'"&amp;'لوحة التحكم'!$K$6&amp;"'!$F$2:$F$501"),L205))</f>
        <v/>
      </c>
      <c r="F205" s="32" t="str">
        <f ca="1">IF(L205="","",INDEX(INDIRECT("'"&amp;'لوحة التحكم'!$K$6&amp;"'!$I$2:$I$501"),L205))</f>
        <v/>
      </c>
      <c r="G205" s="32" t="str">
        <f ca="1">IF(L205="","",INDEX(INDIRECT("'"&amp;'لوحة التحكم'!$K$6&amp;"'!$C$2:$C$501"),L205))</f>
        <v/>
      </c>
      <c r="H205" s="32" t="str">
        <f ca="1">IF(L205="","",INDEX(INDIRECT("'"&amp;'لوحة التحكم'!$K$6&amp;"'!$D$2:$D$501"),L205))</f>
        <v/>
      </c>
      <c r="I205" s="32" t="str">
        <f ca="1">IF(L205="","",INDEX(INDIRECT("'"&amp;'لوحة التحكم'!$K$6&amp;"'!$E$2:$E$501"),L205))</f>
        <v/>
      </c>
      <c r="J205" s="18" t="str">
        <f ca="1">IF(L205="","",INDEX(INDIRECT("'"&amp;'لوحة التحكم'!$K$6&amp;"'!$U$2:$U$501"),L205))</f>
        <v/>
      </c>
      <c r="L205" s="3" t="str">
        <f ca="1">IF('لوحة التحكم'!$K$12=1,IFERROR(MATCH(189,INDIRECT("'"&amp;'لوحة التحكم'!$K$6&amp;"'!$AF$2:$AF$501"),0),""),"")</f>
        <v/>
      </c>
    </row>
    <row r="206" spans="2:12">
      <c r="B206" s="24" t="str">
        <f ca="1">IF(L206="","",190)</f>
        <v/>
      </c>
      <c r="C206" s="18" t="str">
        <f ca="1">IF(L206="","",INDEX(INDIRECT("'"&amp;'لوحة التحكم'!$K$6&amp;"'!$A$2:$A$501"),L206))</f>
        <v/>
      </c>
      <c r="D206" s="31" t="str">
        <f ca="1">IF(L206="","",INDEX(INDIRECT("'"&amp;'لوحة التحكم'!$K$6&amp;"'!$B$2:$B$501"),L206))</f>
        <v/>
      </c>
      <c r="E206" s="24" t="str">
        <f ca="1">IF(L206="","",INDEX(INDIRECT("'"&amp;'لوحة التحكم'!$K$6&amp;"'!$F$2:$F$501"),L206))</f>
        <v/>
      </c>
      <c r="F206" s="32" t="str">
        <f ca="1">IF(L206="","",INDEX(INDIRECT("'"&amp;'لوحة التحكم'!$K$6&amp;"'!$I$2:$I$501"),L206))</f>
        <v/>
      </c>
      <c r="G206" s="32" t="str">
        <f ca="1">IF(L206="","",INDEX(INDIRECT("'"&amp;'لوحة التحكم'!$K$6&amp;"'!$C$2:$C$501"),L206))</f>
        <v/>
      </c>
      <c r="H206" s="32" t="str">
        <f ca="1">IF(L206="","",INDEX(INDIRECT("'"&amp;'لوحة التحكم'!$K$6&amp;"'!$D$2:$D$501"),L206))</f>
        <v/>
      </c>
      <c r="I206" s="32" t="str">
        <f ca="1">IF(L206="","",INDEX(INDIRECT("'"&amp;'لوحة التحكم'!$K$6&amp;"'!$E$2:$E$501"),L206))</f>
        <v/>
      </c>
      <c r="J206" s="18" t="str">
        <f ca="1">IF(L206="","",INDEX(INDIRECT("'"&amp;'لوحة التحكم'!$K$6&amp;"'!$U$2:$U$501"),L206))</f>
        <v/>
      </c>
      <c r="L206" s="3" t="str">
        <f ca="1">IF('لوحة التحكم'!$K$12=1,IFERROR(MATCH(190,INDIRECT("'"&amp;'لوحة التحكم'!$K$6&amp;"'!$AF$2:$AF$501"),0),""),"")</f>
        <v/>
      </c>
    </row>
    <row r="207" spans="2:12">
      <c r="B207" s="24" t="str">
        <f ca="1">IF(L207="","",191)</f>
        <v/>
      </c>
      <c r="C207" s="18" t="str">
        <f ca="1">IF(L207="","",INDEX(INDIRECT("'"&amp;'لوحة التحكم'!$K$6&amp;"'!$A$2:$A$501"),L207))</f>
        <v/>
      </c>
      <c r="D207" s="31" t="str">
        <f ca="1">IF(L207="","",INDEX(INDIRECT("'"&amp;'لوحة التحكم'!$K$6&amp;"'!$B$2:$B$501"),L207))</f>
        <v/>
      </c>
      <c r="E207" s="24" t="str">
        <f ca="1">IF(L207="","",INDEX(INDIRECT("'"&amp;'لوحة التحكم'!$K$6&amp;"'!$F$2:$F$501"),L207))</f>
        <v/>
      </c>
      <c r="F207" s="32" t="str">
        <f ca="1">IF(L207="","",INDEX(INDIRECT("'"&amp;'لوحة التحكم'!$K$6&amp;"'!$I$2:$I$501"),L207))</f>
        <v/>
      </c>
      <c r="G207" s="32" t="str">
        <f ca="1">IF(L207="","",INDEX(INDIRECT("'"&amp;'لوحة التحكم'!$K$6&amp;"'!$C$2:$C$501"),L207))</f>
        <v/>
      </c>
      <c r="H207" s="32" t="str">
        <f ca="1">IF(L207="","",INDEX(INDIRECT("'"&amp;'لوحة التحكم'!$K$6&amp;"'!$D$2:$D$501"),L207))</f>
        <v/>
      </c>
      <c r="I207" s="32" t="str">
        <f ca="1">IF(L207="","",INDEX(INDIRECT("'"&amp;'لوحة التحكم'!$K$6&amp;"'!$E$2:$E$501"),L207))</f>
        <v/>
      </c>
      <c r="J207" s="18" t="str">
        <f ca="1">IF(L207="","",INDEX(INDIRECT("'"&amp;'لوحة التحكم'!$K$6&amp;"'!$U$2:$U$501"),L207))</f>
        <v/>
      </c>
      <c r="L207" s="3" t="str">
        <f ca="1">IF('لوحة التحكم'!$K$12=1,IFERROR(MATCH(191,INDIRECT("'"&amp;'لوحة التحكم'!$K$6&amp;"'!$AF$2:$AF$501"),0),""),"")</f>
        <v/>
      </c>
    </row>
    <row r="208" spans="2:12">
      <c r="B208" s="24" t="str">
        <f ca="1">IF(L208="","",192)</f>
        <v/>
      </c>
      <c r="C208" s="18" t="str">
        <f ca="1">IF(L208="","",INDEX(INDIRECT("'"&amp;'لوحة التحكم'!$K$6&amp;"'!$A$2:$A$501"),L208))</f>
        <v/>
      </c>
      <c r="D208" s="31" t="str">
        <f ca="1">IF(L208="","",INDEX(INDIRECT("'"&amp;'لوحة التحكم'!$K$6&amp;"'!$B$2:$B$501"),L208))</f>
        <v/>
      </c>
      <c r="E208" s="24" t="str">
        <f ca="1">IF(L208="","",INDEX(INDIRECT("'"&amp;'لوحة التحكم'!$K$6&amp;"'!$F$2:$F$501"),L208))</f>
        <v/>
      </c>
      <c r="F208" s="32" t="str">
        <f ca="1">IF(L208="","",INDEX(INDIRECT("'"&amp;'لوحة التحكم'!$K$6&amp;"'!$I$2:$I$501"),L208))</f>
        <v/>
      </c>
      <c r="G208" s="32" t="str">
        <f ca="1">IF(L208="","",INDEX(INDIRECT("'"&amp;'لوحة التحكم'!$K$6&amp;"'!$C$2:$C$501"),L208))</f>
        <v/>
      </c>
      <c r="H208" s="32" t="str">
        <f ca="1">IF(L208="","",INDEX(INDIRECT("'"&amp;'لوحة التحكم'!$K$6&amp;"'!$D$2:$D$501"),L208))</f>
        <v/>
      </c>
      <c r="I208" s="32" t="str">
        <f ca="1">IF(L208="","",INDEX(INDIRECT("'"&amp;'لوحة التحكم'!$K$6&amp;"'!$E$2:$E$501"),L208))</f>
        <v/>
      </c>
      <c r="J208" s="18" t="str">
        <f ca="1">IF(L208="","",INDEX(INDIRECT("'"&amp;'لوحة التحكم'!$K$6&amp;"'!$U$2:$U$501"),L208))</f>
        <v/>
      </c>
      <c r="L208" s="3" t="str">
        <f ca="1">IF('لوحة التحكم'!$K$12=1,IFERROR(MATCH(192,INDIRECT("'"&amp;'لوحة التحكم'!$K$6&amp;"'!$AF$2:$AF$501"),0),""),"")</f>
        <v/>
      </c>
    </row>
    <row r="209" spans="2:12">
      <c r="B209" s="24" t="str">
        <f ca="1">IF(L209="","",193)</f>
        <v/>
      </c>
      <c r="C209" s="18" t="str">
        <f ca="1">IF(L209="","",INDEX(INDIRECT("'"&amp;'لوحة التحكم'!$K$6&amp;"'!$A$2:$A$501"),L209))</f>
        <v/>
      </c>
      <c r="D209" s="31" t="str">
        <f ca="1">IF(L209="","",INDEX(INDIRECT("'"&amp;'لوحة التحكم'!$K$6&amp;"'!$B$2:$B$501"),L209))</f>
        <v/>
      </c>
      <c r="E209" s="24" t="str">
        <f ca="1">IF(L209="","",INDEX(INDIRECT("'"&amp;'لوحة التحكم'!$K$6&amp;"'!$F$2:$F$501"),L209))</f>
        <v/>
      </c>
      <c r="F209" s="32" t="str">
        <f ca="1">IF(L209="","",INDEX(INDIRECT("'"&amp;'لوحة التحكم'!$K$6&amp;"'!$I$2:$I$501"),L209))</f>
        <v/>
      </c>
      <c r="G209" s="32" t="str">
        <f ca="1">IF(L209="","",INDEX(INDIRECT("'"&amp;'لوحة التحكم'!$K$6&amp;"'!$C$2:$C$501"),L209))</f>
        <v/>
      </c>
      <c r="H209" s="32" t="str">
        <f ca="1">IF(L209="","",INDEX(INDIRECT("'"&amp;'لوحة التحكم'!$K$6&amp;"'!$D$2:$D$501"),L209))</f>
        <v/>
      </c>
      <c r="I209" s="32" t="str">
        <f ca="1">IF(L209="","",INDEX(INDIRECT("'"&amp;'لوحة التحكم'!$K$6&amp;"'!$E$2:$E$501"),L209))</f>
        <v/>
      </c>
      <c r="J209" s="18" t="str">
        <f ca="1">IF(L209="","",INDEX(INDIRECT("'"&amp;'لوحة التحكم'!$K$6&amp;"'!$U$2:$U$501"),L209))</f>
        <v/>
      </c>
      <c r="L209" s="3" t="str">
        <f ca="1">IF('لوحة التحكم'!$K$12=1,IFERROR(MATCH(193,INDIRECT("'"&amp;'لوحة التحكم'!$K$6&amp;"'!$AF$2:$AF$501"),0),""),"")</f>
        <v/>
      </c>
    </row>
    <row r="210" spans="2:12">
      <c r="B210" s="24" t="str">
        <f ca="1">IF(L210="","",194)</f>
        <v/>
      </c>
      <c r="C210" s="18" t="str">
        <f ca="1">IF(L210="","",INDEX(INDIRECT("'"&amp;'لوحة التحكم'!$K$6&amp;"'!$A$2:$A$501"),L210))</f>
        <v/>
      </c>
      <c r="D210" s="31" t="str">
        <f ca="1">IF(L210="","",INDEX(INDIRECT("'"&amp;'لوحة التحكم'!$K$6&amp;"'!$B$2:$B$501"),L210))</f>
        <v/>
      </c>
      <c r="E210" s="24" t="str">
        <f ca="1">IF(L210="","",INDEX(INDIRECT("'"&amp;'لوحة التحكم'!$K$6&amp;"'!$F$2:$F$501"),L210))</f>
        <v/>
      </c>
      <c r="F210" s="32" t="str">
        <f ca="1">IF(L210="","",INDEX(INDIRECT("'"&amp;'لوحة التحكم'!$K$6&amp;"'!$I$2:$I$501"),L210))</f>
        <v/>
      </c>
      <c r="G210" s="32" t="str">
        <f ca="1">IF(L210="","",INDEX(INDIRECT("'"&amp;'لوحة التحكم'!$K$6&amp;"'!$C$2:$C$501"),L210))</f>
        <v/>
      </c>
      <c r="H210" s="32" t="str">
        <f ca="1">IF(L210="","",INDEX(INDIRECT("'"&amp;'لوحة التحكم'!$K$6&amp;"'!$D$2:$D$501"),L210))</f>
        <v/>
      </c>
      <c r="I210" s="32" t="str">
        <f ca="1">IF(L210="","",INDEX(INDIRECT("'"&amp;'لوحة التحكم'!$K$6&amp;"'!$E$2:$E$501"),L210))</f>
        <v/>
      </c>
      <c r="J210" s="18" t="str">
        <f ca="1">IF(L210="","",INDEX(INDIRECT("'"&amp;'لوحة التحكم'!$K$6&amp;"'!$U$2:$U$501"),L210))</f>
        <v/>
      </c>
      <c r="L210" s="3" t="str">
        <f ca="1">IF('لوحة التحكم'!$K$12=1,IFERROR(MATCH(194,INDIRECT("'"&amp;'لوحة التحكم'!$K$6&amp;"'!$AF$2:$AF$501"),0),""),"")</f>
        <v/>
      </c>
    </row>
    <row r="211" spans="2:12">
      <c r="B211" s="24" t="str">
        <f ca="1">IF(L211="","",195)</f>
        <v/>
      </c>
      <c r="C211" s="18" t="str">
        <f ca="1">IF(L211="","",INDEX(INDIRECT("'"&amp;'لوحة التحكم'!$K$6&amp;"'!$A$2:$A$501"),L211))</f>
        <v/>
      </c>
      <c r="D211" s="31" t="str">
        <f ca="1">IF(L211="","",INDEX(INDIRECT("'"&amp;'لوحة التحكم'!$K$6&amp;"'!$B$2:$B$501"),L211))</f>
        <v/>
      </c>
      <c r="E211" s="24" t="str">
        <f ca="1">IF(L211="","",INDEX(INDIRECT("'"&amp;'لوحة التحكم'!$K$6&amp;"'!$F$2:$F$501"),L211))</f>
        <v/>
      </c>
      <c r="F211" s="32" t="str">
        <f ca="1">IF(L211="","",INDEX(INDIRECT("'"&amp;'لوحة التحكم'!$K$6&amp;"'!$I$2:$I$501"),L211))</f>
        <v/>
      </c>
      <c r="G211" s="32" t="str">
        <f ca="1">IF(L211="","",INDEX(INDIRECT("'"&amp;'لوحة التحكم'!$K$6&amp;"'!$C$2:$C$501"),L211))</f>
        <v/>
      </c>
      <c r="H211" s="32" t="str">
        <f ca="1">IF(L211="","",INDEX(INDIRECT("'"&amp;'لوحة التحكم'!$K$6&amp;"'!$D$2:$D$501"),L211))</f>
        <v/>
      </c>
      <c r="I211" s="32" t="str">
        <f ca="1">IF(L211="","",INDEX(INDIRECT("'"&amp;'لوحة التحكم'!$K$6&amp;"'!$E$2:$E$501"),L211))</f>
        <v/>
      </c>
      <c r="J211" s="18" t="str">
        <f ca="1">IF(L211="","",INDEX(INDIRECT("'"&amp;'لوحة التحكم'!$K$6&amp;"'!$U$2:$U$501"),L211))</f>
        <v/>
      </c>
      <c r="L211" s="3" t="str">
        <f ca="1">IF('لوحة التحكم'!$K$12=1,IFERROR(MATCH(195,INDIRECT("'"&amp;'لوحة التحكم'!$K$6&amp;"'!$AF$2:$AF$501"),0),""),"")</f>
        <v/>
      </c>
    </row>
    <row r="212" spans="2:12">
      <c r="B212" s="24" t="str">
        <f ca="1">IF(L212="","",196)</f>
        <v/>
      </c>
      <c r="C212" s="18" t="str">
        <f ca="1">IF(L212="","",INDEX(INDIRECT("'"&amp;'لوحة التحكم'!$K$6&amp;"'!$A$2:$A$501"),L212))</f>
        <v/>
      </c>
      <c r="D212" s="31" t="str">
        <f ca="1">IF(L212="","",INDEX(INDIRECT("'"&amp;'لوحة التحكم'!$K$6&amp;"'!$B$2:$B$501"),L212))</f>
        <v/>
      </c>
      <c r="E212" s="24" t="str">
        <f ca="1">IF(L212="","",INDEX(INDIRECT("'"&amp;'لوحة التحكم'!$K$6&amp;"'!$F$2:$F$501"),L212))</f>
        <v/>
      </c>
      <c r="F212" s="32" t="str">
        <f ca="1">IF(L212="","",INDEX(INDIRECT("'"&amp;'لوحة التحكم'!$K$6&amp;"'!$I$2:$I$501"),L212))</f>
        <v/>
      </c>
      <c r="G212" s="32" t="str">
        <f ca="1">IF(L212="","",INDEX(INDIRECT("'"&amp;'لوحة التحكم'!$K$6&amp;"'!$C$2:$C$501"),L212))</f>
        <v/>
      </c>
      <c r="H212" s="32" t="str">
        <f ca="1">IF(L212="","",INDEX(INDIRECT("'"&amp;'لوحة التحكم'!$K$6&amp;"'!$D$2:$D$501"),L212))</f>
        <v/>
      </c>
      <c r="I212" s="32" t="str">
        <f ca="1">IF(L212="","",INDEX(INDIRECT("'"&amp;'لوحة التحكم'!$K$6&amp;"'!$E$2:$E$501"),L212))</f>
        <v/>
      </c>
      <c r="J212" s="18" t="str">
        <f ca="1">IF(L212="","",INDEX(INDIRECT("'"&amp;'لوحة التحكم'!$K$6&amp;"'!$U$2:$U$501"),L212))</f>
        <v/>
      </c>
      <c r="L212" s="3" t="str">
        <f ca="1">IF('لوحة التحكم'!$K$12=1,IFERROR(MATCH(196,INDIRECT("'"&amp;'لوحة التحكم'!$K$6&amp;"'!$AF$2:$AF$501"),0),""),"")</f>
        <v/>
      </c>
    </row>
    <row r="213" spans="2:12">
      <c r="B213" s="24" t="str">
        <f ca="1">IF(L213="","",197)</f>
        <v/>
      </c>
      <c r="C213" s="18" t="str">
        <f ca="1">IF(L213="","",INDEX(INDIRECT("'"&amp;'لوحة التحكم'!$K$6&amp;"'!$A$2:$A$501"),L213))</f>
        <v/>
      </c>
      <c r="D213" s="31" t="str">
        <f ca="1">IF(L213="","",INDEX(INDIRECT("'"&amp;'لوحة التحكم'!$K$6&amp;"'!$B$2:$B$501"),L213))</f>
        <v/>
      </c>
      <c r="E213" s="24" t="str">
        <f ca="1">IF(L213="","",INDEX(INDIRECT("'"&amp;'لوحة التحكم'!$K$6&amp;"'!$F$2:$F$501"),L213))</f>
        <v/>
      </c>
      <c r="F213" s="32" t="str">
        <f ca="1">IF(L213="","",INDEX(INDIRECT("'"&amp;'لوحة التحكم'!$K$6&amp;"'!$I$2:$I$501"),L213))</f>
        <v/>
      </c>
      <c r="G213" s="32" t="str">
        <f ca="1">IF(L213="","",INDEX(INDIRECT("'"&amp;'لوحة التحكم'!$K$6&amp;"'!$C$2:$C$501"),L213))</f>
        <v/>
      </c>
      <c r="H213" s="32" t="str">
        <f ca="1">IF(L213="","",INDEX(INDIRECT("'"&amp;'لوحة التحكم'!$K$6&amp;"'!$D$2:$D$501"),L213))</f>
        <v/>
      </c>
      <c r="I213" s="32" t="str">
        <f ca="1">IF(L213="","",INDEX(INDIRECT("'"&amp;'لوحة التحكم'!$K$6&amp;"'!$E$2:$E$501"),L213))</f>
        <v/>
      </c>
      <c r="J213" s="18" t="str">
        <f ca="1">IF(L213="","",INDEX(INDIRECT("'"&amp;'لوحة التحكم'!$K$6&amp;"'!$U$2:$U$501"),L213))</f>
        <v/>
      </c>
      <c r="L213" s="3" t="str">
        <f ca="1">IF('لوحة التحكم'!$K$12=1,IFERROR(MATCH(197,INDIRECT("'"&amp;'لوحة التحكم'!$K$6&amp;"'!$AF$2:$AF$501"),0),""),"")</f>
        <v/>
      </c>
    </row>
    <row r="214" spans="2:12">
      <c r="B214" s="24" t="str">
        <f ca="1">IF(L214="","",198)</f>
        <v/>
      </c>
      <c r="C214" s="18" t="str">
        <f ca="1">IF(L214="","",INDEX(INDIRECT("'"&amp;'لوحة التحكم'!$K$6&amp;"'!$A$2:$A$501"),L214))</f>
        <v/>
      </c>
      <c r="D214" s="31" t="str">
        <f ca="1">IF(L214="","",INDEX(INDIRECT("'"&amp;'لوحة التحكم'!$K$6&amp;"'!$B$2:$B$501"),L214))</f>
        <v/>
      </c>
      <c r="E214" s="24" t="str">
        <f ca="1">IF(L214="","",INDEX(INDIRECT("'"&amp;'لوحة التحكم'!$K$6&amp;"'!$F$2:$F$501"),L214))</f>
        <v/>
      </c>
      <c r="F214" s="32" t="str">
        <f ca="1">IF(L214="","",INDEX(INDIRECT("'"&amp;'لوحة التحكم'!$K$6&amp;"'!$I$2:$I$501"),L214))</f>
        <v/>
      </c>
      <c r="G214" s="32" t="str">
        <f ca="1">IF(L214="","",INDEX(INDIRECT("'"&amp;'لوحة التحكم'!$K$6&amp;"'!$C$2:$C$501"),L214))</f>
        <v/>
      </c>
      <c r="H214" s="32" t="str">
        <f ca="1">IF(L214="","",INDEX(INDIRECT("'"&amp;'لوحة التحكم'!$K$6&amp;"'!$D$2:$D$501"),L214))</f>
        <v/>
      </c>
      <c r="I214" s="32" t="str">
        <f ca="1">IF(L214="","",INDEX(INDIRECT("'"&amp;'لوحة التحكم'!$K$6&amp;"'!$E$2:$E$501"),L214))</f>
        <v/>
      </c>
      <c r="J214" s="18" t="str">
        <f ca="1">IF(L214="","",INDEX(INDIRECT("'"&amp;'لوحة التحكم'!$K$6&amp;"'!$U$2:$U$501"),L214))</f>
        <v/>
      </c>
      <c r="L214" s="3" t="str">
        <f ca="1">IF('لوحة التحكم'!$K$12=1,IFERROR(MATCH(198,INDIRECT("'"&amp;'لوحة التحكم'!$K$6&amp;"'!$AF$2:$AF$501"),0),""),"")</f>
        <v/>
      </c>
    </row>
    <row r="215" spans="2:12">
      <c r="B215" s="24" t="str">
        <f ca="1">IF(L215="","",199)</f>
        <v/>
      </c>
      <c r="C215" s="18" t="str">
        <f ca="1">IF(L215="","",INDEX(INDIRECT("'"&amp;'لوحة التحكم'!$K$6&amp;"'!$A$2:$A$501"),L215))</f>
        <v/>
      </c>
      <c r="D215" s="31" t="str">
        <f ca="1">IF(L215="","",INDEX(INDIRECT("'"&amp;'لوحة التحكم'!$K$6&amp;"'!$B$2:$B$501"),L215))</f>
        <v/>
      </c>
      <c r="E215" s="24" t="str">
        <f ca="1">IF(L215="","",INDEX(INDIRECT("'"&amp;'لوحة التحكم'!$K$6&amp;"'!$F$2:$F$501"),L215))</f>
        <v/>
      </c>
      <c r="F215" s="32" t="str">
        <f ca="1">IF(L215="","",INDEX(INDIRECT("'"&amp;'لوحة التحكم'!$K$6&amp;"'!$I$2:$I$501"),L215))</f>
        <v/>
      </c>
      <c r="G215" s="32" t="str">
        <f ca="1">IF(L215="","",INDEX(INDIRECT("'"&amp;'لوحة التحكم'!$K$6&amp;"'!$C$2:$C$501"),L215))</f>
        <v/>
      </c>
      <c r="H215" s="32" t="str">
        <f ca="1">IF(L215="","",INDEX(INDIRECT("'"&amp;'لوحة التحكم'!$K$6&amp;"'!$D$2:$D$501"),L215))</f>
        <v/>
      </c>
      <c r="I215" s="32" t="str">
        <f ca="1">IF(L215="","",INDEX(INDIRECT("'"&amp;'لوحة التحكم'!$K$6&amp;"'!$E$2:$E$501"),L215))</f>
        <v/>
      </c>
      <c r="J215" s="18" t="str">
        <f ca="1">IF(L215="","",INDEX(INDIRECT("'"&amp;'لوحة التحكم'!$K$6&amp;"'!$U$2:$U$501"),L215))</f>
        <v/>
      </c>
      <c r="L215" s="3" t="str">
        <f ca="1">IF('لوحة التحكم'!$K$12=1,IFERROR(MATCH(199,INDIRECT("'"&amp;'لوحة التحكم'!$K$6&amp;"'!$AF$2:$AF$501"),0),""),"")</f>
        <v/>
      </c>
    </row>
    <row r="216" spans="2:12">
      <c r="B216" s="24" t="str">
        <f ca="1">IF(L216="","",200)</f>
        <v/>
      </c>
      <c r="C216" s="18" t="str">
        <f ca="1">IF(L216="","",INDEX(INDIRECT("'"&amp;'لوحة التحكم'!$K$6&amp;"'!$A$2:$A$501"),L216))</f>
        <v/>
      </c>
      <c r="D216" s="31" t="str">
        <f ca="1">IF(L216="","",INDEX(INDIRECT("'"&amp;'لوحة التحكم'!$K$6&amp;"'!$B$2:$B$501"),L216))</f>
        <v/>
      </c>
      <c r="E216" s="24" t="str">
        <f ca="1">IF(L216="","",INDEX(INDIRECT("'"&amp;'لوحة التحكم'!$K$6&amp;"'!$F$2:$F$501"),L216))</f>
        <v/>
      </c>
      <c r="F216" s="32" t="str">
        <f ca="1">IF(L216="","",INDEX(INDIRECT("'"&amp;'لوحة التحكم'!$K$6&amp;"'!$I$2:$I$501"),L216))</f>
        <v/>
      </c>
      <c r="G216" s="32" t="str">
        <f ca="1">IF(L216="","",INDEX(INDIRECT("'"&amp;'لوحة التحكم'!$K$6&amp;"'!$C$2:$C$501"),L216))</f>
        <v/>
      </c>
      <c r="H216" s="32" t="str">
        <f ca="1">IF(L216="","",INDEX(INDIRECT("'"&amp;'لوحة التحكم'!$K$6&amp;"'!$D$2:$D$501"),L216))</f>
        <v/>
      </c>
      <c r="I216" s="32" t="str">
        <f ca="1">IF(L216="","",INDEX(INDIRECT("'"&amp;'لوحة التحكم'!$K$6&amp;"'!$E$2:$E$501"),L216))</f>
        <v/>
      </c>
      <c r="J216" s="18" t="str">
        <f ca="1">IF(L216="","",INDEX(INDIRECT("'"&amp;'لوحة التحكم'!$K$6&amp;"'!$U$2:$U$501"),L216))</f>
        <v/>
      </c>
      <c r="L216" s="3" t="str">
        <f ca="1">IF('لوحة التحكم'!$K$12=1,IFERROR(MATCH(200,INDIRECT("'"&amp;'لوحة التحكم'!$K$6&amp;"'!$AF$2:$AF$501"),0),""),"")</f>
        <v/>
      </c>
    </row>
  </sheetData>
  <mergeCells count="13">
    <mergeCell ref="B1:J1"/>
    <mergeCell ref="B2:J2"/>
    <mergeCell ref="B4:J4"/>
    <mergeCell ref="D5:J5"/>
    <mergeCell ref="D6:J6"/>
    <mergeCell ref="D12:J12"/>
    <mergeCell ref="D13:J13"/>
    <mergeCell ref="B15:J15"/>
    <mergeCell ref="D7:J7"/>
    <mergeCell ref="D8:J8"/>
    <mergeCell ref="D9:J9"/>
    <mergeCell ref="D10:J10"/>
    <mergeCell ref="D11:J11"/>
  </mergeCells>
  <conditionalFormatting sqref="B2">
    <cfRule type="expression" dxfId="62" priority="2">
      <formula>ISNUMBER(SEARCH("⚠",$B$2))</formula>
    </cfRule>
    <cfRule type="expression" dxfId="61" priority="3">
      <formula>ISNUMBER(SEARCH("✓",$B$2))</formula>
    </cfRule>
  </conditionalFormatting>
  <conditionalFormatting sqref="C6:C13">
    <cfRule type="cellIs" dxfId="6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0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 t="shared" ref="V2:V65" si="11">IF(L2="","",0)</f>
        <v/>
      </c>
      <c r="W2" t="str">
        <f t="shared" ref="W2:W65" si="12">IF(L2="","",IF(AND($AO$1=1,V2=0),"جديد",""))</f>
        <v/>
      </c>
      <c r="X2" s="38" t="str">
        <f t="shared" ref="X2:X65" si="13">IF(L2="","","")</f>
        <v/>
      </c>
      <c r="Y2" s="38" t="str">
        <f t="shared" ref="Y2:Y65" si="14">IF(OR(L2="",X2=""),"",P2-X2)</f>
        <v/>
      </c>
      <c r="Z2" s="39" t="str">
        <f t="shared" ref="Z2:Z65" si="15">IF(L2="","","")</f>
        <v/>
      </c>
      <c r="AA2" s="39" t="str">
        <f t="shared" ref="AA2:AA65" si="16">IF(OR(L2="",Z2=""),"",Q2-Z2)</f>
        <v/>
      </c>
      <c r="AB2" s="40" t="str">
        <f t="shared" ref="AB2:AB65" si="17">IF(L2="","","")</f>
        <v/>
      </c>
      <c r="AC2" t="str">
        <f>IF(L2="","",IF(AND($AO$2=1,ISNA(MATCH(L2,'02-شباط'!$L$2:$L$501,0))),"محذوف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8">IF(AA2="","",ABS(AA2)+ROW()/1000000000)</f>
        <v/>
      </c>
      <c r="AH2" s="39" t="str">
        <f t="shared" ref="AH2:AH65" si="19">IF(L2="","",IF(AND(P2&gt;0,N2&gt;0,N(C2)&gt;0),P2*(M2*N(C2)-N2),0))</f>
        <v/>
      </c>
      <c r="AI2" s="39" t="str">
        <f t="shared" ref="AI2:AI65" si="20">IF(L2="","",IF(AND(P2&gt;0,N2&gt;0,N(D2)&gt;0),P2*(M2*N(D2)-N2),0))</f>
        <v/>
      </c>
      <c r="AJ2" s="39" t="str">
        <f t="shared" ref="AJ2:AJ65" si="21">IF(L2="","",IF(AND(P2&gt;0,N2&gt;0,N(E2)&gt;0),P2*(M2*N(E2)-N2),0))</f>
        <v/>
      </c>
      <c r="AK2" t="str">
        <f t="shared" ref="AK2:AK65" si="22">IF(L2="","",Q2+ROW()/1000000000)</f>
        <v/>
      </c>
      <c r="AL2" t="str">
        <f t="shared" ref="AL2:AL65" si="23">IF(L2="","",T2+ROW()/1000000000)</f>
        <v/>
      </c>
      <c r="AN2" s="3" t="s">
        <v>262</v>
      </c>
      <c r="AO2" s="35">
        <f>IF(COUNTA('02-شباط'!$A$2:$A$501)&gt;0,1,0)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 t="shared" si="11"/>
        <v/>
      </c>
      <c r="W3" t="str">
        <f t="shared" si="12"/>
        <v/>
      </c>
      <c r="X3" s="38" t="str">
        <f t="shared" si="13"/>
        <v/>
      </c>
      <c r="Y3" s="38" t="str">
        <f t="shared" si="14"/>
        <v/>
      </c>
      <c r="Z3" s="39" t="str">
        <f t="shared" si="15"/>
        <v/>
      </c>
      <c r="AA3" s="39" t="str">
        <f t="shared" si="16"/>
        <v/>
      </c>
      <c r="AB3" s="40" t="str">
        <f t="shared" si="17"/>
        <v/>
      </c>
      <c r="AC3" t="str">
        <f>IF(L3="","",IF(AND($AO$2=1,ISNA(MATCH(L3,'02-شباط'!$L$2:$L$501,0))),"محذوف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8"/>
        <v/>
      </c>
      <c r="AH3" s="39" t="str">
        <f t="shared" si="19"/>
        <v/>
      </c>
      <c r="AI3" s="39" t="str">
        <f t="shared" si="20"/>
        <v/>
      </c>
      <c r="AJ3" s="39" t="str">
        <f t="shared" si="21"/>
        <v/>
      </c>
      <c r="AK3" t="str">
        <f t="shared" si="22"/>
        <v/>
      </c>
      <c r="AL3" t="str">
        <f t="shared" si="23"/>
        <v/>
      </c>
      <c r="AN3" s="3" t="s">
        <v>142</v>
      </c>
      <c r="AO3" s="41">
        <f>'لوحة التحكم'!$C$16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 t="shared" si="11"/>
        <v/>
      </c>
      <c r="W4" t="str">
        <f t="shared" si="12"/>
        <v/>
      </c>
      <c r="X4" s="38" t="str">
        <f t="shared" si="13"/>
        <v/>
      </c>
      <c r="Y4" s="38" t="str">
        <f t="shared" si="14"/>
        <v/>
      </c>
      <c r="Z4" s="39" t="str">
        <f t="shared" si="15"/>
        <v/>
      </c>
      <c r="AA4" s="39" t="str">
        <f t="shared" si="16"/>
        <v/>
      </c>
      <c r="AB4" s="40" t="str">
        <f t="shared" si="17"/>
        <v/>
      </c>
      <c r="AC4" t="str">
        <f>IF(L4="","",IF(AND($AO$2=1,ISNA(MATCH(L4,'02-شباط'!$L$2:$L$501,0))),"محذوف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8"/>
        <v/>
      </c>
      <c r="AH4" s="39" t="str">
        <f t="shared" si="19"/>
        <v/>
      </c>
      <c r="AI4" s="39" t="str">
        <f t="shared" si="20"/>
        <v/>
      </c>
      <c r="AJ4" s="39" t="str">
        <f t="shared" si="21"/>
        <v/>
      </c>
      <c r="AK4" t="str">
        <f t="shared" si="22"/>
        <v/>
      </c>
      <c r="AL4" t="str">
        <f t="shared" si="23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 t="shared" si="11"/>
        <v/>
      </c>
      <c r="W5" t="str">
        <f t="shared" si="12"/>
        <v/>
      </c>
      <c r="X5" s="38" t="str">
        <f t="shared" si="13"/>
        <v/>
      </c>
      <c r="Y5" s="38" t="str">
        <f t="shared" si="14"/>
        <v/>
      </c>
      <c r="Z5" s="39" t="str">
        <f t="shared" si="15"/>
        <v/>
      </c>
      <c r="AA5" s="39" t="str">
        <f t="shared" si="16"/>
        <v/>
      </c>
      <c r="AB5" s="40" t="str">
        <f t="shared" si="17"/>
        <v/>
      </c>
      <c r="AC5" t="str">
        <f>IF(L5="","",IF(AND($AO$2=1,ISNA(MATCH(L5,'02-شباط'!$L$2:$L$501,0))),"محذوف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8"/>
        <v/>
      </c>
      <c r="AH5" s="39" t="str">
        <f t="shared" si="19"/>
        <v/>
      </c>
      <c r="AI5" s="39" t="str">
        <f t="shared" si="20"/>
        <v/>
      </c>
      <c r="AJ5" s="39" t="str">
        <f t="shared" si="21"/>
        <v/>
      </c>
      <c r="AK5" t="str">
        <f t="shared" si="22"/>
        <v/>
      </c>
      <c r="AL5" t="str">
        <f t="shared" si="23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 t="shared" si="11"/>
        <v/>
      </c>
      <c r="W6" t="str">
        <f t="shared" si="12"/>
        <v/>
      </c>
      <c r="X6" s="38" t="str">
        <f t="shared" si="13"/>
        <v/>
      </c>
      <c r="Y6" s="38" t="str">
        <f t="shared" si="14"/>
        <v/>
      </c>
      <c r="Z6" s="39" t="str">
        <f t="shared" si="15"/>
        <v/>
      </c>
      <c r="AA6" s="39" t="str">
        <f t="shared" si="16"/>
        <v/>
      </c>
      <c r="AB6" s="40" t="str">
        <f t="shared" si="17"/>
        <v/>
      </c>
      <c r="AC6" t="str">
        <f>IF(L6="","",IF(AND($AO$2=1,ISNA(MATCH(L6,'02-شباط'!$L$2:$L$501,0))),"محذوف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8"/>
        <v/>
      </c>
      <c r="AH6" s="39" t="str">
        <f t="shared" si="19"/>
        <v/>
      </c>
      <c r="AI6" s="39" t="str">
        <f t="shared" si="20"/>
        <v/>
      </c>
      <c r="AJ6" s="39" t="str">
        <f t="shared" si="21"/>
        <v/>
      </c>
      <c r="AK6" t="str">
        <f t="shared" si="22"/>
        <v/>
      </c>
      <c r="AL6" t="str">
        <f t="shared" si="23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 t="shared" si="11"/>
        <v/>
      </c>
      <c r="W7" t="str">
        <f t="shared" si="12"/>
        <v/>
      </c>
      <c r="X7" s="38" t="str">
        <f t="shared" si="13"/>
        <v/>
      </c>
      <c r="Y7" s="38" t="str">
        <f t="shared" si="14"/>
        <v/>
      </c>
      <c r="Z7" s="39" t="str">
        <f t="shared" si="15"/>
        <v/>
      </c>
      <c r="AA7" s="39" t="str">
        <f t="shared" si="16"/>
        <v/>
      </c>
      <c r="AB7" s="40" t="str">
        <f t="shared" si="17"/>
        <v/>
      </c>
      <c r="AC7" t="str">
        <f>IF(L7="","",IF(AND($AO$2=1,ISNA(MATCH(L7,'02-شباط'!$L$2:$L$501,0))),"محذوف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8"/>
        <v/>
      </c>
      <c r="AH7" s="39" t="str">
        <f t="shared" si="19"/>
        <v/>
      </c>
      <c r="AI7" s="39" t="str">
        <f t="shared" si="20"/>
        <v/>
      </c>
      <c r="AJ7" s="39" t="str">
        <f t="shared" si="21"/>
        <v/>
      </c>
      <c r="AK7" t="str">
        <f t="shared" si="22"/>
        <v/>
      </c>
      <c r="AL7" t="str">
        <f t="shared" si="23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 t="shared" si="11"/>
        <v/>
      </c>
      <c r="W8" t="str">
        <f t="shared" si="12"/>
        <v/>
      </c>
      <c r="X8" s="38" t="str">
        <f t="shared" si="13"/>
        <v/>
      </c>
      <c r="Y8" s="38" t="str">
        <f t="shared" si="14"/>
        <v/>
      </c>
      <c r="Z8" s="39" t="str">
        <f t="shared" si="15"/>
        <v/>
      </c>
      <c r="AA8" s="39" t="str">
        <f t="shared" si="16"/>
        <v/>
      </c>
      <c r="AB8" s="40" t="str">
        <f t="shared" si="17"/>
        <v/>
      </c>
      <c r="AC8" t="str">
        <f>IF(L8="","",IF(AND($AO$2=1,ISNA(MATCH(L8,'02-شباط'!$L$2:$L$501,0))),"محذوف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8"/>
        <v/>
      </c>
      <c r="AH8" s="39" t="str">
        <f t="shared" si="19"/>
        <v/>
      </c>
      <c r="AI8" s="39" t="str">
        <f t="shared" si="20"/>
        <v/>
      </c>
      <c r="AJ8" s="39" t="str">
        <f t="shared" si="21"/>
        <v/>
      </c>
      <c r="AK8" t="str">
        <f t="shared" si="22"/>
        <v/>
      </c>
      <c r="AL8" t="str">
        <f t="shared" si="23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 t="shared" si="11"/>
        <v/>
      </c>
      <c r="W9" t="str">
        <f t="shared" si="12"/>
        <v/>
      </c>
      <c r="X9" s="38" t="str">
        <f t="shared" si="13"/>
        <v/>
      </c>
      <c r="Y9" s="38" t="str">
        <f t="shared" si="14"/>
        <v/>
      </c>
      <c r="Z9" s="39" t="str">
        <f t="shared" si="15"/>
        <v/>
      </c>
      <c r="AA9" s="39" t="str">
        <f t="shared" si="16"/>
        <v/>
      </c>
      <c r="AB9" s="40" t="str">
        <f t="shared" si="17"/>
        <v/>
      </c>
      <c r="AC9" t="str">
        <f>IF(L9="","",IF(AND($AO$2=1,ISNA(MATCH(L9,'02-شباط'!$L$2:$L$501,0))),"محذوف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8"/>
        <v/>
      </c>
      <c r="AH9" s="39" t="str">
        <f t="shared" si="19"/>
        <v/>
      </c>
      <c r="AI9" s="39" t="str">
        <f t="shared" si="20"/>
        <v/>
      </c>
      <c r="AJ9" s="39" t="str">
        <f t="shared" si="21"/>
        <v/>
      </c>
      <c r="AK9" t="str">
        <f t="shared" si="22"/>
        <v/>
      </c>
      <c r="AL9" t="str">
        <f t="shared" si="23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 t="shared" si="11"/>
        <v/>
      </c>
      <c r="W10" t="str">
        <f t="shared" si="12"/>
        <v/>
      </c>
      <c r="X10" s="38" t="str">
        <f t="shared" si="13"/>
        <v/>
      </c>
      <c r="Y10" s="38" t="str">
        <f t="shared" si="14"/>
        <v/>
      </c>
      <c r="Z10" s="39" t="str">
        <f t="shared" si="15"/>
        <v/>
      </c>
      <c r="AA10" s="39" t="str">
        <f t="shared" si="16"/>
        <v/>
      </c>
      <c r="AB10" s="40" t="str">
        <f t="shared" si="17"/>
        <v/>
      </c>
      <c r="AC10" t="str">
        <f>IF(L10="","",IF(AND($AO$2=1,ISNA(MATCH(L10,'02-شباط'!$L$2:$L$501,0))),"محذوف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8"/>
        <v/>
      </c>
      <c r="AH10" s="39" t="str">
        <f t="shared" si="19"/>
        <v/>
      </c>
      <c r="AI10" s="39" t="str">
        <f t="shared" si="20"/>
        <v/>
      </c>
      <c r="AJ10" s="39" t="str">
        <f t="shared" si="21"/>
        <v/>
      </c>
      <c r="AK10" t="str">
        <f t="shared" si="22"/>
        <v/>
      </c>
      <c r="AL10" t="str">
        <f t="shared" si="23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 t="shared" si="11"/>
        <v/>
      </c>
      <c r="W11" t="str">
        <f t="shared" si="12"/>
        <v/>
      </c>
      <c r="X11" s="38" t="str">
        <f t="shared" si="13"/>
        <v/>
      </c>
      <c r="Y11" s="38" t="str">
        <f t="shared" si="14"/>
        <v/>
      </c>
      <c r="Z11" s="39" t="str">
        <f t="shared" si="15"/>
        <v/>
      </c>
      <c r="AA11" s="39" t="str">
        <f t="shared" si="16"/>
        <v/>
      </c>
      <c r="AB11" s="40" t="str">
        <f t="shared" si="17"/>
        <v/>
      </c>
      <c r="AC11" t="str">
        <f>IF(L11="","",IF(AND($AO$2=1,ISNA(MATCH(L11,'02-شباط'!$L$2:$L$501,0))),"محذوف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8"/>
        <v/>
      </c>
      <c r="AH11" s="39" t="str">
        <f t="shared" si="19"/>
        <v/>
      </c>
      <c r="AI11" s="39" t="str">
        <f t="shared" si="20"/>
        <v/>
      </c>
      <c r="AJ11" s="39" t="str">
        <f t="shared" si="21"/>
        <v/>
      </c>
      <c r="AK11" t="str">
        <f t="shared" si="22"/>
        <v/>
      </c>
      <c r="AL11" t="str">
        <f t="shared" si="23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 t="shared" si="11"/>
        <v/>
      </c>
      <c r="W12" t="str">
        <f t="shared" si="12"/>
        <v/>
      </c>
      <c r="X12" s="38" t="str">
        <f t="shared" si="13"/>
        <v/>
      </c>
      <c r="Y12" s="38" t="str">
        <f t="shared" si="14"/>
        <v/>
      </c>
      <c r="Z12" s="39" t="str">
        <f t="shared" si="15"/>
        <v/>
      </c>
      <c r="AA12" s="39" t="str">
        <f t="shared" si="16"/>
        <v/>
      </c>
      <c r="AB12" s="40" t="str">
        <f t="shared" si="17"/>
        <v/>
      </c>
      <c r="AC12" t="str">
        <f>IF(L12="","",IF(AND($AO$2=1,ISNA(MATCH(L12,'02-شباط'!$L$2:$L$501,0))),"محذوف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8"/>
        <v/>
      </c>
      <c r="AH12" s="39" t="str">
        <f t="shared" si="19"/>
        <v/>
      </c>
      <c r="AI12" s="39" t="str">
        <f t="shared" si="20"/>
        <v/>
      </c>
      <c r="AJ12" s="39" t="str">
        <f t="shared" si="21"/>
        <v/>
      </c>
      <c r="AK12" t="str">
        <f t="shared" si="22"/>
        <v/>
      </c>
      <c r="AL12" t="str">
        <f t="shared" si="23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 t="shared" si="11"/>
        <v/>
      </c>
      <c r="W13" t="str">
        <f t="shared" si="12"/>
        <v/>
      </c>
      <c r="X13" s="38" t="str">
        <f t="shared" si="13"/>
        <v/>
      </c>
      <c r="Y13" s="38" t="str">
        <f t="shared" si="14"/>
        <v/>
      </c>
      <c r="Z13" s="39" t="str">
        <f t="shared" si="15"/>
        <v/>
      </c>
      <c r="AA13" s="39" t="str">
        <f t="shared" si="16"/>
        <v/>
      </c>
      <c r="AB13" s="40" t="str">
        <f t="shared" si="17"/>
        <v/>
      </c>
      <c r="AC13" t="str">
        <f>IF(L13="","",IF(AND($AO$2=1,ISNA(MATCH(L13,'02-شباط'!$L$2:$L$501,0))),"محذوف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8"/>
        <v/>
      </c>
      <c r="AH13" s="39" t="str">
        <f t="shared" si="19"/>
        <v/>
      </c>
      <c r="AI13" s="39" t="str">
        <f t="shared" si="20"/>
        <v/>
      </c>
      <c r="AJ13" s="39" t="str">
        <f t="shared" si="21"/>
        <v/>
      </c>
      <c r="AK13" t="str">
        <f t="shared" si="22"/>
        <v/>
      </c>
      <c r="AL13" t="str">
        <f t="shared" si="23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 t="shared" si="11"/>
        <v/>
      </c>
      <c r="W14" t="str">
        <f t="shared" si="12"/>
        <v/>
      </c>
      <c r="X14" s="38" t="str">
        <f t="shared" si="13"/>
        <v/>
      </c>
      <c r="Y14" s="38" t="str">
        <f t="shared" si="14"/>
        <v/>
      </c>
      <c r="Z14" s="39" t="str">
        <f t="shared" si="15"/>
        <v/>
      </c>
      <c r="AA14" s="39" t="str">
        <f t="shared" si="16"/>
        <v/>
      </c>
      <c r="AB14" s="40" t="str">
        <f t="shared" si="17"/>
        <v/>
      </c>
      <c r="AC14" t="str">
        <f>IF(L14="","",IF(AND($AO$2=1,ISNA(MATCH(L14,'02-شباط'!$L$2:$L$501,0))),"محذوف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8"/>
        <v/>
      </c>
      <c r="AH14" s="39" t="str">
        <f t="shared" si="19"/>
        <v/>
      </c>
      <c r="AI14" s="39" t="str">
        <f t="shared" si="20"/>
        <v/>
      </c>
      <c r="AJ14" s="39" t="str">
        <f t="shared" si="21"/>
        <v/>
      </c>
      <c r="AK14" t="str">
        <f t="shared" si="22"/>
        <v/>
      </c>
      <c r="AL14" t="str">
        <f t="shared" si="23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 t="shared" si="11"/>
        <v/>
      </c>
      <c r="W15" t="str">
        <f t="shared" si="12"/>
        <v/>
      </c>
      <c r="X15" s="38" t="str">
        <f t="shared" si="13"/>
        <v/>
      </c>
      <c r="Y15" s="38" t="str">
        <f t="shared" si="14"/>
        <v/>
      </c>
      <c r="Z15" s="39" t="str">
        <f t="shared" si="15"/>
        <v/>
      </c>
      <c r="AA15" s="39" t="str">
        <f t="shared" si="16"/>
        <v/>
      </c>
      <c r="AB15" s="40" t="str">
        <f t="shared" si="17"/>
        <v/>
      </c>
      <c r="AC15" t="str">
        <f>IF(L15="","",IF(AND($AO$2=1,ISNA(MATCH(L15,'02-شباط'!$L$2:$L$501,0))),"محذوف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8"/>
        <v/>
      </c>
      <c r="AH15" s="39" t="str">
        <f t="shared" si="19"/>
        <v/>
      </c>
      <c r="AI15" s="39" t="str">
        <f t="shared" si="20"/>
        <v/>
      </c>
      <c r="AJ15" s="39" t="str">
        <f t="shared" si="21"/>
        <v/>
      </c>
      <c r="AK15" t="str">
        <f t="shared" si="22"/>
        <v/>
      </c>
      <c r="AL15" t="str">
        <f t="shared" si="23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 t="shared" si="11"/>
        <v/>
      </c>
      <c r="W16" t="str">
        <f t="shared" si="12"/>
        <v/>
      </c>
      <c r="X16" s="38" t="str">
        <f t="shared" si="13"/>
        <v/>
      </c>
      <c r="Y16" s="38" t="str">
        <f t="shared" si="14"/>
        <v/>
      </c>
      <c r="Z16" s="39" t="str">
        <f t="shared" si="15"/>
        <v/>
      </c>
      <c r="AA16" s="39" t="str">
        <f t="shared" si="16"/>
        <v/>
      </c>
      <c r="AB16" s="40" t="str">
        <f t="shared" si="17"/>
        <v/>
      </c>
      <c r="AC16" t="str">
        <f>IF(L16="","",IF(AND($AO$2=1,ISNA(MATCH(L16,'02-شباط'!$L$2:$L$501,0))),"محذوف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8"/>
        <v/>
      </c>
      <c r="AH16" s="39" t="str">
        <f t="shared" si="19"/>
        <v/>
      </c>
      <c r="AI16" s="39" t="str">
        <f t="shared" si="20"/>
        <v/>
      </c>
      <c r="AJ16" s="39" t="str">
        <f t="shared" si="21"/>
        <v/>
      </c>
      <c r="AK16" t="str">
        <f t="shared" si="22"/>
        <v/>
      </c>
      <c r="AL16" t="str">
        <f t="shared" si="23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 t="shared" si="11"/>
        <v/>
      </c>
      <c r="W17" t="str">
        <f t="shared" si="12"/>
        <v/>
      </c>
      <c r="X17" s="38" t="str">
        <f t="shared" si="13"/>
        <v/>
      </c>
      <c r="Y17" s="38" t="str">
        <f t="shared" si="14"/>
        <v/>
      </c>
      <c r="Z17" s="39" t="str">
        <f t="shared" si="15"/>
        <v/>
      </c>
      <c r="AA17" s="39" t="str">
        <f t="shared" si="16"/>
        <v/>
      </c>
      <c r="AB17" s="40" t="str">
        <f t="shared" si="17"/>
        <v/>
      </c>
      <c r="AC17" t="str">
        <f>IF(L17="","",IF(AND($AO$2=1,ISNA(MATCH(L17,'02-شباط'!$L$2:$L$501,0))),"محذوف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8"/>
        <v/>
      </c>
      <c r="AH17" s="39" t="str">
        <f t="shared" si="19"/>
        <v/>
      </c>
      <c r="AI17" s="39" t="str">
        <f t="shared" si="20"/>
        <v/>
      </c>
      <c r="AJ17" s="39" t="str">
        <f t="shared" si="21"/>
        <v/>
      </c>
      <c r="AK17" t="str">
        <f t="shared" si="22"/>
        <v/>
      </c>
      <c r="AL17" t="str">
        <f t="shared" si="23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 t="shared" si="11"/>
        <v/>
      </c>
      <c r="W18" t="str">
        <f t="shared" si="12"/>
        <v/>
      </c>
      <c r="X18" s="38" t="str">
        <f t="shared" si="13"/>
        <v/>
      </c>
      <c r="Y18" s="38" t="str">
        <f t="shared" si="14"/>
        <v/>
      </c>
      <c r="Z18" s="39" t="str">
        <f t="shared" si="15"/>
        <v/>
      </c>
      <c r="AA18" s="39" t="str">
        <f t="shared" si="16"/>
        <v/>
      </c>
      <c r="AB18" s="40" t="str">
        <f t="shared" si="17"/>
        <v/>
      </c>
      <c r="AC18" t="str">
        <f>IF(L18="","",IF(AND($AO$2=1,ISNA(MATCH(L18,'02-شباط'!$L$2:$L$501,0))),"محذوف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8"/>
        <v/>
      </c>
      <c r="AH18" s="39" t="str">
        <f t="shared" si="19"/>
        <v/>
      </c>
      <c r="AI18" s="39" t="str">
        <f t="shared" si="20"/>
        <v/>
      </c>
      <c r="AJ18" s="39" t="str">
        <f t="shared" si="21"/>
        <v/>
      </c>
      <c r="AK18" t="str">
        <f t="shared" si="22"/>
        <v/>
      </c>
      <c r="AL18" t="str">
        <f t="shared" si="23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 t="shared" si="11"/>
        <v/>
      </c>
      <c r="W19" t="str">
        <f t="shared" si="12"/>
        <v/>
      </c>
      <c r="X19" s="38" t="str">
        <f t="shared" si="13"/>
        <v/>
      </c>
      <c r="Y19" s="38" t="str">
        <f t="shared" si="14"/>
        <v/>
      </c>
      <c r="Z19" s="39" t="str">
        <f t="shared" si="15"/>
        <v/>
      </c>
      <c r="AA19" s="39" t="str">
        <f t="shared" si="16"/>
        <v/>
      </c>
      <c r="AB19" s="40" t="str">
        <f t="shared" si="17"/>
        <v/>
      </c>
      <c r="AC19" t="str">
        <f>IF(L19="","",IF(AND($AO$2=1,ISNA(MATCH(L19,'02-شباط'!$L$2:$L$501,0))),"محذوف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8"/>
        <v/>
      </c>
      <c r="AH19" s="39" t="str">
        <f t="shared" si="19"/>
        <v/>
      </c>
      <c r="AI19" s="39" t="str">
        <f t="shared" si="20"/>
        <v/>
      </c>
      <c r="AJ19" s="39" t="str">
        <f t="shared" si="21"/>
        <v/>
      </c>
      <c r="AK19" t="str">
        <f t="shared" si="22"/>
        <v/>
      </c>
      <c r="AL19" t="str">
        <f t="shared" si="23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 t="shared" si="11"/>
        <v/>
      </c>
      <c r="W20" t="str">
        <f t="shared" si="12"/>
        <v/>
      </c>
      <c r="X20" s="38" t="str">
        <f t="shared" si="13"/>
        <v/>
      </c>
      <c r="Y20" s="38" t="str">
        <f t="shared" si="14"/>
        <v/>
      </c>
      <c r="Z20" s="39" t="str">
        <f t="shared" si="15"/>
        <v/>
      </c>
      <c r="AA20" s="39" t="str">
        <f t="shared" si="16"/>
        <v/>
      </c>
      <c r="AB20" s="40" t="str">
        <f t="shared" si="17"/>
        <v/>
      </c>
      <c r="AC20" t="str">
        <f>IF(L20="","",IF(AND($AO$2=1,ISNA(MATCH(L20,'02-شباط'!$L$2:$L$501,0))),"محذوف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8"/>
        <v/>
      </c>
      <c r="AH20" s="39" t="str">
        <f t="shared" si="19"/>
        <v/>
      </c>
      <c r="AI20" s="39" t="str">
        <f t="shared" si="20"/>
        <v/>
      </c>
      <c r="AJ20" s="39" t="str">
        <f t="shared" si="21"/>
        <v/>
      </c>
      <c r="AK20" t="str">
        <f t="shared" si="22"/>
        <v/>
      </c>
      <c r="AL20" t="str">
        <f t="shared" si="23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 t="shared" si="11"/>
        <v/>
      </c>
      <c r="W21" t="str">
        <f t="shared" si="12"/>
        <v/>
      </c>
      <c r="X21" s="38" t="str">
        <f t="shared" si="13"/>
        <v/>
      </c>
      <c r="Y21" s="38" t="str">
        <f t="shared" si="14"/>
        <v/>
      </c>
      <c r="Z21" s="39" t="str">
        <f t="shared" si="15"/>
        <v/>
      </c>
      <c r="AA21" s="39" t="str">
        <f t="shared" si="16"/>
        <v/>
      </c>
      <c r="AB21" s="40" t="str">
        <f t="shared" si="17"/>
        <v/>
      </c>
      <c r="AC21" t="str">
        <f>IF(L21="","",IF(AND($AO$2=1,ISNA(MATCH(L21,'02-شباط'!$L$2:$L$501,0))),"محذوف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8"/>
        <v/>
      </c>
      <c r="AH21" s="39" t="str">
        <f t="shared" si="19"/>
        <v/>
      </c>
      <c r="AI21" s="39" t="str">
        <f t="shared" si="20"/>
        <v/>
      </c>
      <c r="AJ21" s="39" t="str">
        <f t="shared" si="21"/>
        <v/>
      </c>
      <c r="AK21" t="str">
        <f t="shared" si="22"/>
        <v/>
      </c>
      <c r="AL21" t="str">
        <f t="shared" si="23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 t="shared" si="11"/>
        <v/>
      </c>
      <c r="W22" t="str">
        <f t="shared" si="12"/>
        <v/>
      </c>
      <c r="X22" s="38" t="str">
        <f t="shared" si="13"/>
        <v/>
      </c>
      <c r="Y22" s="38" t="str">
        <f t="shared" si="14"/>
        <v/>
      </c>
      <c r="Z22" s="39" t="str">
        <f t="shared" si="15"/>
        <v/>
      </c>
      <c r="AA22" s="39" t="str">
        <f t="shared" si="16"/>
        <v/>
      </c>
      <c r="AB22" s="40" t="str">
        <f t="shared" si="17"/>
        <v/>
      </c>
      <c r="AC22" t="str">
        <f>IF(L22="","",IF(AND($AO$2=1,ISNA(MATCH(L22,'02-شباط'!$L$2:$L$501,0))),"محذوف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8"/>
        <v/>
      </c>
      <c r="AH22" s="39" t="str">
        <f t="shared" si="19"/>
        <v/>
      </c>
      <c r="AI22" s="39" t="str">
        <f t="shared" si="20"/>
        <v/>
      </c>
      <c r="AJ22" s="39" t="str">
        <f t="shared" si="21"/>
        <v/>
      </c>
      <c r="AK22" t="str">
        <f t="shared" si="22"/>
        <v/>
      </c>
      <c r="AL22" t="str">
        <f t="shared" si="23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 t="shared" si="11"/>
        <v/>
      </c>
      <c r="W23" t="str">
        <f t="shared" si="12"/>
        <v/>
      </c>
      <c r="X23" s="38" t="str">
        <f t="shared" si="13"/>
        <v/>
      </c>
      <c r="Y23" s="38" t="str">
        <f t="shared" si="14"/>
        <v/>
      </c>
      <c r="Z23" s="39" t="str">
        <f t="shared" si="15"/>
        <v/>
      </c>
      <c r="AA23" s="39" t="str">
        <f t="shared" si="16"/>
        <v/>
      </c>
      <c r="AB23" s="40" t="str">
        <f t="shared" si="17"/>
        <v/>
      </c>
      <c r="AC23" t="str">
        <f>IF(L23="","",IF(AND($AO$2=1,ISNA(MATCH(L23,'02-شباط'!$L$2:$L$501,0))),"محذوف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8"/>
        <v/>
      </c>
      <c r="AH23" s="39" t="str">
        <f t="shared" si="19"/>
        <v/>
      </c>
      <c r="AI23" s="39" t="str">
        <f t="shared" si="20"/>
        <v/>
      </c>
      <c r="AJ23" s="39" t="str">
        <f t="shared" si="21"/>
        <v/>
      </c>
      <c r="AK23" t="str">
        <f t="shared" si="22"/>
        <v/>
      </c>
      <c r="AL23" t="str">
        <f t="shared" si="23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 t="shared" si="11"/>
        <v/>
      </c>
      <c r="W24" t="str">
        <f t="shared" si="12"/>
        <v/>
      </c>
      <c r="X24" s="38" t="str">
        <f t="shared" si="13"/>
        <v/>
      </c>
      <c r="Y24" s="38" t="str">
        <f t="shared" si="14"/>
        <v/>
      </c>
      <c r="Z24" s="39" t="str">
        <f t="shared" si="15"/>
        <v/>
      </c>
      <c r="AA24" s="39" t="str">
        <f t="shared" si="16"/>
        <v/>
      </c>
      <c r="AB24" s="40" t="str">
        <f t="shared" si="17"/>
        <v/>
      </c>
      <c r="AC24" t="str">
        <f>IF(L24="","",IF(AND($AO$2=1,ISNA(MATCH(L24,'02-شباط'!$L$2:$L$501,0))),"محذوف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8"/>
        <v/>
      </c>
      <c r="AH24" s="39" t="str">
        <f t="shared" si="19"/>
        <v/>
      </c>
      <c r="AI24" s="39" t="str">
        <f t="shared" si="20"/>
        <v/>
      </c>
      <c r="AJ24" s="39" t="str">
        <f t="shared" si="21"/>
        <v/>
      </c>
      <c r="AK24" t="str">
        <f t="shared" si="22"/>
        <v/>
      </c>
      <c r="AL24" t="str">
        <f t="shared" si="23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 t="shared" si="11"/>
        <v/>
      </c>
      <c r="W25" t="str">
        <f t="shared" si="12"/>
        <v/>
      </c>
      <c r="X25" s="38" t="str">
        <f t="shared" si="13"/>
        <v/>
      </c>
      <c r="Y25" s="38" t="str">
        <f t="shared" si="14"/>
        <v/>
      </c>
      <c r="Z25" s="39" t="str">
        <f t="shared" si="15"/>
        <v/>
      </c>
      <c r="AA25" s="39" t="str">
        <f t="shared" si="16"/>
        <v/>
      </c>
      <c r="AB25" s="40" t="str">
        <f t="shared" si="17"/>
        <v/>
      </c>
      <c r="AC25" t="str">
        <f>IF(L25="","",IF(AND($AO$2=1,ISNA(MATCH(L25,'02-شباط'!$L$2:$L$501,0))),"محذوف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8"/>
        <v/>
      </c>
      <c r="AH25" s="39" t="str">
        <f t="shared" si="19"/>
        <v/>
      </c>
      <c r="AI25" s="39" t="str">
        <f t="shared" si="20"/>
        <v/>
      </c>
      <c r="AJ25" s="39" t="str">
        <f t="shared" si="21"/>
        <v/>
      </c>
      <c r="AK25" t="str">
        <f t="shared" si="22"/>
        <v/>
      </c>
      <c r="AL25" t="str">
        <f t="shared" si="23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 t="shared" si="11"/>
        <v/>
      </c>
      <c r="W26" t="str">
        <f t="shared" si="12"/>
        <v/>
      </c>
      <c r="X26" s="38" t="str">
        <f t="shared" si="13"/>
        <v/>
      </c>
      <c r="Y26" s="38" t="str">
        <f t="shared" si="14"/>
        <v/>
      </c>
      <c r="Z26" s="39" t="str">
        <f t="shared" si="15"/>
        <v/>
      </c>
      <c r="AA26" s="39" t="str">
        <f t="shared" si="16"/>
        <v/>
      </c>
      <c r="AB26" s="40" t="str">
        <f t="shared" si="17"/>
        <v/>
      </c>
      <c r="AC26" t="str">
        <f>IF(L26="","",IF(AND($AO$2=1,ISNA(MATCH(L26,'02-شباط'!$L$2:$L$501,0))),"محذوف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8"/>
        <v/>
      </c>
      <c r="AH26" s="39" t="str">
        <f t="shared" si="19"/>
        <v/>
      </c>
      <c r="AI26" s="39" t="str">
        <f t="shared" si="20"/>
        <v/>
      </c>
      <c r="AJ26" s="39" t="str">
        <f t="shared" si="21"/>
        <v/>
      </c>
      <c r="AK26" t="str">
        <f t="shared" si="22"/>
        <v/>
      </c>
      <c r="AL26" t="str">
        <f t="shared" si="23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 t="shared" si="11"/>
        <v/>
      </c>
      <c r="W27" t="str">
        <f t="shared" si="12"/>
        <v/>
      </c>
      <c r="X27" s="38" t="str">
        <f t="shared" si="13"/>
        <v/>
      </c>
      <c r="Y27" s="38" t="str">
        <f t="shared" si="14"/>
        <v/>
      </c>
      <c r="Z27" s="39" t="str">
        <f t="shared" si="15"/>
        <v/>
      </c>
      <c r="AA27" s="39" t="str">
        <f t="shared" si="16"/>
        <v/>
      </c>
      <c r="AB27" s="40" t="str">
        <f t="shared" si="17"/>
        <v/>
      </c>
      <c r="AC27" t="str">
        <f>IF(L27="","",IF(AND($AO$2=1,ISNA(MATCH(L27,'02-شباط'!$L$2:$L$501,0))),"محذوف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8"/>
        <v/>
      </c>
      <c r="AH27" s="39" t="str">
        <f t="shared" si="19"/>
        <v/>
      </c>
      <c r="AI27" s="39" t="str">
        <f t="shared" si="20"/>
        <v/>
      </c>
      <c r="AJ27" s="39" t="str">
        <f t="shared" si="21"/>
        <v/>
      </c>
      <c r="AK27" t="str">
        <f t="shared" si="22"/>
        <v/>
      </c>
      <c r="AL27" t="str">
        <f t="shared" si="23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 t="shared" si="11"/>
        <v/>
      </c>
      <c r="W28" t="str">
        <f t="shared" si="12"/>
        <v/>
      </c>
      <c r="X28" s="38" t="str">
        <f t="shared" si="13"/>
        <v/>
      </c>
      <c r="Y28" s="38" t="str">
        <f t="shared" si="14"/>
        <v/>
      </c>
      <c r="Z28" s="39" t="str">
        <f t="shared" si="15"/>
        <v/>
      </c>
      <c r="AA28" s="39" t="str">
        <f t="shared" si="16"/>
        <v/>
      </c>
      <c r="AB28" s="40" t="str">
        <f t="shared" si="17"/>
        <v/>
      </c>
      <c r="AC28" t="str">
        <f>IF(L28="","",IF(AND($AO$2=1,ISNA(MATCH(L28,'02-شباط'!$L$2:$L$501,0))),"محذوف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8"/>
        <v/>
      </c>
      <c r="AH28" s="39" t="str">
        <f t="shared" si="19"/>
        <v/>
      </c>
      <c r="AI28" s="39" t="str">
        <f t="shared" si="20"/>
        <v/>
      </c>
      <c r="AJ28" s="39" t="str">
        <f t="shared" si="21"/>
        <v/>
      </c>
      <c r="AK28" t="str">
        <f t="shared" si="22"/>
        <v/>
      </c>
      <c r="AL28" t="str">
        <f t="shared" si="23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 t="shared" si="11"/>
        <v/>
      </c>
      <c r="W29" t="str">
        <f t="shared" si="12"/>
        <v/>
      </c>
      <c r="X29" s="38" t="str">
        <f t="shared" si="13"/>
        <v/>
      </c>
      <c r="Y29" s="38" t="str">
        <f t="shared" si="14"/>
        <v/>
      </c>
      <c r="Z29" s="39" t="str">
        <f t="shared" si="15"/>
        <v/>
      </c>
      <c r="AA29" s="39" t="str">
        <f t="shared" si="16"/>
        <v/>
      </c>
      <c r="AB29" s="40" t="str">
        <f t="shared" si="17"/>
        <v/>
      </c>
      <c r="AC29" t="str">
        <f>IF(L29="","",IF(AND($AO$2=1,ISNA(MATCH(L29,'02-شباط'!$L$2:$L$501,0))),"محذوف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8"/>
        <v/>
      </c>
      <c r="AH29" s="39" t="str">
        <f t="shared" si="19"/>
        <v/>
      </c>
      <c r="AI29" s="39" t="str">
        <f t="shared" si="20"/>
        <v/>
      </c>
      <c r="AJ29" s="39" t="str">
        <f t="shared" si="21"/>
        <v/>
      </c>
      <c r="AK29" t="str">
        <f t="shared" si="22"/>
        <v/>
      </c>
      <c r="AL29" t="str">
        <f t="shared" si="23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 t="shared" si="11"/>
        <v/>
      </c>
      <c r="W30" t="str">
        <f t="shared" si="12"/>
        <v/>
      </c>
      <c r="X30" s="38" t="str">
        <f t="shared" si="13"/>
        <v/>
      </c>
      <c r="Y30" s="38" t="str">
        <f t="shared" si="14"/>
        <v/>
      </c>
      <c r="Z30" s="39" t="str">
        <f t="shared" si="15"/>
        <v/>
      </c>
      <c r="AA30" s="39" t="str">
        <f t="shared" si="16"/>
        <v/>
      </c>
      <c r="AB30" s="40" t="str">
        <f t="shared" si="17"/>
        <v/>
      </c>
      <c r="AC30" t="str">
        <f>IF(L30="","",IF(AND($AO$2=1,ISNA(MATCH(L30,'02-شباط'!$L$2:$L$501,0))),"محذوف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8"/>
        <v/>
      </c>
      <c r="AH30" s="39" t="str">
        <f t="shared" si="19"/>
        <v/>
      </c>
      <c r="AI30" s="39" t="str">
        <f t="shared" si="20"/>
        <v/>
      </c>
      <c r="AJ30" s="39" t="str">
        <f t="shared" si="21"/>
        <v/>
      </c>
      <c r="AK30" t="str">
        <f t="shared" si="22"/>
        <v/>
      </c>
      <c r="AL30" t="str">
        <f t="shared" si="23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 t="shared" si="11"/>
        <v/>
      </c>
      <c r="W31" t="str">
        <f t="shared" si="12"/>
        <v/>
      </c>
      <c r="X31" s="38" t="str">
        <f t="shared" si="13"/>
        <v/>
      </c>
      <c r="Y31" s="38" t="str">
        <f t="shared" si="14"/>
        <v/>
      </c>
      <c r="Z31" s="39" t="str">
        <f t="shared" si="15"/>
        <v/>
      </c>
      <c r="AA31" s="39" t="str">
        <f t="shared" si="16"/>
        <v/>
      </c>
      <c r="AB31" s="40" t="str">
        <f t="shared" si="17"/>
        <v/>
      </c>
      <c r="AC31" t="str">
        <f>IF(L31="","",IF(AND($AO$2=1,ISNA(MATCH(L31,'02-شباط'!$L$2:$L$501,0))),"محذوف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8"/>
        <v/>
      </c>
      <c r="AH31" s="39" t="str">
        <f t="shared" si="19"/>
        <v/>
      </c>
      <c r="AI31" s="39" t="str">
        <f t="shared" si="20"/>
        <v/>
      </c>
      <c r="AJ31" s="39" t="str">
        <f t="shared" si="21"/>
        <v/>
      </c>
      <c r="AK31" t="str">
        <f t="shared" si="22"/>
        <v/>
      </c>
      <c r="AL31" t="str">
        <f t="shared" si="23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 t="shared" si="11"/>
        <v/>
      </c>
      <c r="W32" t="str">
        <f t="shared" si="12"/>
        <v/>
      </c>
      <c r="X32" s="38" t="str">
        <f t="shared" si="13"/>
        <v/>
      </c>
      <c r="Y32" s="38" t="str">
        <f t="shared" si="14"/>
        <v/>
      </c>
      <c r="Z32" s="39" t="str">
        <f t="shared" si="15"/>
        <v/>
      </c>
      <c r="AA32" s="39" t="str">
        <f t="shared" si="16"/>
        <v/>
      </c>
      <c r="AB32" s="40" t="str">
        <f t="shared" si="17"/>
        <v/>
      </c>
      <c r="AC32" t="str">
        <f>IF(L32="","",IF(AND($AO$2=1,ISNA(MATCH(L32,'02-شباط'!$L$2:$L$501,0))),"محذوف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8"/>
        <v/>
      </c>
      <c r="AH32" s="39" t="str">
        <f t="shared" si="19"/>
        <v/>
      </c>
      <c r="AI32" s="39" t="str">
        <f t="shared" si="20"/>
        <v/>
      </c>
      <c r="AJ32" s="39" t="str">
        <f t="shared" si="21"/>
        <v/>
      </c>
      <c r="AK32" t="str">
        <f t="shared" si="22"/>
        <v/>
      </c>
      <c r="AL32" t="str">
        <f t="shared" si="23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 t="shared" si="11"/>
        <v/>
      </c>
      <c r="W33" t="str">
        <f t="shared" si="12"/>
        <v/>
      </c>
      <c r="X33" s="38" t="str">
        <f t="shared" si="13"/>
        <v/>
      </c>
      <c r="Y33" s="38" t="str">
        <f t="shared" si="14"/>
        <v/>
      </c>
      <c r="Z33" s="39" t="str">
        <f t="shared" si="15"/>
        <v/>
      </c>
      <c r="AA33" s="39" t="str">
        <f t="shared" si="16"/>
        <v/>
      </c>
      <c r="AB33" s="40" t="str">
        <f t="shared" si="17"/>
        <v/>
      </c>
      <c r="AC33" t="str">
        <f>IF(L33="","",IF(AND($AO$2=1,ISNA(MATCH(L33,'02-شباط'!$L$2:$L$501,0))),"محذوف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8"/>
        <v/>
      </c>
      <c r="AH33" s="39" t="str">
        <f t="shared" si="19"/>
        <v/>
      </c>
      <c r="AI33" s="39" t="str">
        <f t="shared" si="20"/>
        <v/>
      </c>
      <c r="AJ33" s="39" t="str">
        <f t="shared" si="21"/>
        <v/>
      </c>
      <c r="AK33" t="str">
        <f t="shared" si="22"/>
        <v/>
      </c>
      <c r="AL33" t="str">
        <f t="shared" si="23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 t="shared" si="11"/>
        <v/>
      </c>
      <c r="W34" t="str">
        <f t="shared" si="12"/>
        <v/>
      </c>
      <c r="X34" s="38" t="str">
        <f t="shared" si="13"/>
        <v/>
      </c>
      <c r="Y34" s="38" t="str">
        <f t="shared" si="14"/>
        <v/>
      </c>
      <c r="Z34" s="39" t="str">
        <f t="shared" si="15"/>
        <v/>
      </c>
      <c r="AA34" s="39" t="str">
        <f t="shared" si="16"/>
        <v/>
      </c>
      <c r="AB34" s="40" t="str">
        <f t="shared" si="17"/>
        <v/>
      </c>
      <c r="AC34" t="str">
        <f>IF(L34="","",IF(AND($AO$2=1,ISNA(MATCH(L34,'02-شباط'!$L$2:$L$501,0))),"محذوف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8"/>
        <v/>
      </c>
      <c r="AH34" s="39" t="str">
        <f t="shared" si="19"/>
        <v/>
      </c>
      <c r="AI34" s="39" t="str">
        <f t="shared" si="20"/>
        <v/>
      </c>
      <c r="AJ34" s="39" t="str">
        <f t="shared" si="21"/>
        <v/>
      </c>
      <c r="AK34" t="str">
        <f t="shared" si="22"/>
        <v/>
      </c>
      <c r="AL34" t="str">
        <f t="shared" si="23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 t="shared" si="11"/>
        <v/>
      </c>
      <c r="W35" t="str">
        <f t="shared" si="12"/>
        <v/>
      </c>
      <c r="X35" s="38" t="str">
        <f t="shared" si="13"/>
        <v/>
      </c>
      <c r="Y35" s="38" t="str">
        <f t="shared" si="14"/>
        <v/>
      </c>
      <c r="Z35" s="39" t="str">
        <f t="shared" si="15"/>
        <v/>
      </c>
      <c r="AA35" s="39" t="str">
        <f t="shared" si="16"/>
        <v/>
      </c>
      <c r="AB35" s="40" t="str">
        <f t="shared" si="17"/>
        <v/>
      </c>
      <c r="AC35" t="str">
        <f>IF(L35="","",IF(AND($AO$2=1,ISNA(MATCH(L35,'02-شباط'!$L$2:$L$501,0))),"محذوف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8"/>
        <v/>
      </c>
      <c r="AH35" s="39" t="str">
        <f t="shared" si="19"/>
        <v/>
      </c>
      <c r="AI35" s="39" t="str">
        <f t="shared" si="20"/>
        <v/>
      </c>
      <c r="AJ35" s="39" t="str">
        <f t="shared" si="21"/>
        <v/>
      </c>
      <c r="AK35" t="str">
        <f t="shared" si="22"/>
        <v/>
      </c>
      <c r="AL35" t="str">
        <f t="shared" si="23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 t="shared" si="11"/>
        <v/>
      </c>
      <c r="W36" t="str">
        <f t="shared" si="12"/>
        <v/>
      </c>
      <c r="X36" s="38" t="str">
        <f t="shared" si="13"/>
        <v/>
      </c>
      <c r="Y36" s="38" t="str">
        <f t="shared" si="14"/>
        <v/>
      </c>
      <c r="Z36" s="39" t="str">
        <f t="shared" si="15"/>
        <v/>
      </c>
      <c r="AA36" s="39" t="str">
        <f t="shared" si="16"/>
        <v/>
      </c>
      <c r="AB36" s="40" t="str">
        <f t="shared" si="17"/>
        <v/>
      </c>
      <c r="AC36" t="str">
        <f>IF(L36="","",IF(AND($AO$2=1,ISNA(MATCH(L36,'02-شباط'!$L$2:$L$501,0))),"محذوف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8"/>
        <v/>
      </c>
      <c r="AH36" s="39" t="str">
        <f t="shared" si="19"/>
        <v/>
      </c>
      <c r="AI36" s="39" t="str">
        <f t="shared" si="20"/>
        <v/>
      </c>
      <c r="AJ36" s="39" t="str">
        <f t="shared" si="21"/>
        <v/>
      </c>
      <c r="AK36" t="str">
        <f t="shared" si="22"/>
        <v/>
      </c>
      <c r="AL36" t="str">
        <f t="shared" si="23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 t="shared" si="11"/>
        <v/>
      </c>
      <c r="W37" t="str">
        <f t="shared" si="12"/>
        <v/>
      </c>
      <c r="X37" s="38" t="str">
        <f t="shared" si="13"/>
        <v/>
      </c>
      <c r="Y37" s="38" t="str">
        <f t="shared" si="14"/>
        <v/>
      </c>
      <c r="Z37" s="39" t="str">
        <f t="shared" si="15"/>
        <v/>
      </c>
      <c r="AA37" s="39" t="str">
        <f t="shared" si="16"/>
        <v/>
      </c>
      <c r="AB37" s="40" t="str">
        <f t="shared" si="17"/>
        <v/>
      </c>
      <c r="AC37" t="str">
        <f>IF(L37="","",IF(AND($AO$2=1,ISNA(MATCH(L37,'02-شباط'!$L$2:$L$501,0))),"محذوف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8"/>
        <v/>
      </c>
      <c r="AH37" s="39" t="str">
        <f t="shared" si="19"/>
        <v/>
      </c>
      <c r="AI37" s="39" t="str">
        <f t="shared" si="20"/>
        <v/>
      </c>
      <c r="AJ37" s="39" t="str">
        <f t="shared" si="21"/>
        <v/>
      </c>
      <c r="AK37" t="str">
        <f t="shared" si="22"/>
        <v/>
      </c>
      <c r="AL37" t="str">
        <f t="shared" si="23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 t="shared" si="11"/>
        <v/>
      </c>
      <c r="W38" t="str">
        <f t="shared" si="12"/>
        <v/>
      </c>
      <c r="X38" s="38" t="str">
        <f t="shared" si="13"/>
        <v/>
      </c>
      <c r="Y38" s="38" t="str">
        <f t="shared" si="14"/>
        <v/>
      </c>
      <c r="Z38" s="39" t="str">
        <f t="shared" si="15"/>
        <v/>
      </c>
      <c r="AA38" s="39" t="str">
        <f t="shared" si="16"/>
        <v/>
      </c>
      <c r="AB38" s="40" t="str">
        <f t="shared" si="17"/>
        <v/>
      </c>
      <c r="AC38" t="str">
        <f>IF(L38="","",IF(AND($AO$2=1,ISNA(MATCH(L38,'02-شباط'!$L$2:$L$501,0))),"محذوف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8"/>
        <v/>
      </c>
      <c r="AH38" s="39" t="str">
        <f t="shared" si="19"/>
        <v/>
      </c>
      <c r="AI38" s="39" t="str">
        <f t="shared" si="20"/>
        <v/>
      </c>
      <c r="AJ38" s="39" t="str">
        <f t="shared" si="21"/>
        <v/>
      </c>
      <c r="AK38" t="str">
        <f t="shared" si="22"/>
        <v/>
      </c>
      <c r="AL38" t="str">
        <f t="shared" si="23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 t="shared" si="11"/>
        <v/>
      </c>
      <c r="W39" t="str">
        <f t="shared" si="12"/>
        <v/>
      </c>
      <c r="X39" s="38" t="str">
        <f t="shared" si="13"/>
        <v/>
      </c>
      <c r="Y39" s="38" t="str">
        <f t="shared" si="14"/>
        <v/>
      </c>
      <c r="Z39" s="39" t="str">
        <f t="shared" si="15"/>
        <v/>
      </c>
      <c r="AA39" s="39" t="str">
        <f t="shared" si="16"/>
        <v/>
      </c>
      <c r="AB39" s="40" t="str">
        <f t="shared" si="17"/>
        <v/>
      </c>
      <c r="AC39" t="str">
        <f>IF(L39="","",IF(AND($AO$2=1,ISNA(MATCH(L39,'02-شباط'!$L$2:$L$501,0))),"محذوف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8"/>
        <v/>
      </c>
      <c r="AH39" s="39" t="str">
        <f t="shared" si="19"/>
        <v/>
      </c>
      <c r="AI39" s="39" t="str">
        <f t="shared" si="20"/>
        <v/>
      </c>
      <c r="AJ39" s="39" t="str">
        <f t="shared" si="21"/>
        <v/>
      </c>
      <c r="AK39" t="str">
        <f t="shared" si="22"/>
        <v/>
      </c>
      <c r="AL39" t="str">
        <f t="shared" si="23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 t="shared" si="11"/>
        <v/>
      </c>
      <c r="W40" t="str">
        <f t="shared" si="12"/>
        <v/>
      </c>
      <c r="X40" s="38" t="str">
        <f t="shared" si="13"/>
        <v/>
      </c>
      <c r="Y40" s="38" t="str">
        <f t="shared" si="14"/>
        <v/>
      </c>
      <c r="Z40" s="39" t="str">
        <f t="shared" si="15"/>
        <v/>
      </c>
      <c r="AA40" s="39" t="str">
        <f t="shared" si="16"/>
        <v/>
      </c>
      <c r="AB40" s="40" t="str">
        <f t="shared" si="17"/>
        <v/>
      </c>
      <c r="AC40" t="str">
        <f>IF(L40="","",IF(AND($AO$2=1,ISNA(MATCH(L40,'02-شباط'!$L$2:$L$501,0))),"محذوف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8"/>
        <v/>
      </c>
      <c r="AH40" s="39" t="str">
        <f t="shared" si="19"/>
        <v/>
      </c>
      <c r="AI40" s="39" t="str">
        <f t="shared" si="20"/>
        <v/>
      </c>
      <c r="AJ40" s="39" t="str">
        <f t="shared" si="21"/>
        <v/>
      </c>
      <c r="AK40" t="str">
        <f t="shared" si="22"/>
        <v/>
      </c>
      <c r="AL40" t="str">
        <f t="shared" si="23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 t="shared" si="11"/>
        <v/>
      </c>
      <c r="W41" t="str">
        <f t="shared" si="12"/>
        <v/>
      </c>
      <c r="X41" s="38" t="str">
        <f t="shared" si="13"/>
        <v/>
      </c>
      <c r="Y41" s="38" t="str">
        <f t="shared" si="14"/>
        <v/>
      </c>
      <c r="Z41" s="39" t="str">
        <f t="shared" si="15"/>
        <v/>
      </c>
      <c r="AA41" s="39" t="str">
        <f t="shared" si="16"/>
        <v/>
      </c>
      <c r="AB41" s="40" t="str">
        <f t="shared" si="17"/>
        <v/>
      </c>
      <c r="AC41" t="str">
        <f>IF(L41="","",IF(AND($AO$2=1,ISNA(MATCH(L41,'02-شباط'!$L$2:$L$501,0))),"محذوف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8"/>
        <v/>
      </c>
      <c r="AH41" s="39" t="str">
        <f t="shared" si="19"/>
        <v/>
      </c>
      <c r="AI41" s="39" t="str">
        <f t="shared" si="20"/>
        <v/>
      </c>
      <c r="AJ41" s="39" t="str">
        <f t="shared" si="21"/>
        <v/>
      </c>
      <c r="AK41" t="str">
        <f t="shared" si="22"/>
        <v/>
      </c>
      <c r="AL41" t="str">
        <f t="shared" si="23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 t="shared" si="11"/>
        <v/>
      </c>
      <c r="W42" t="str">
        <f t="shared" si="12"/>
        <v/>
      </c>
      <c r="X42" s="38" t="str">
        <f t="shared" si="13"/>
        <v/>
      </c>
      <c r="Y42" s="38" t="str">
        <f t="shared" si="14"/>
        <v/>
      </c>
      <c r="Z42" s="39" t="str">
        <f t="shared" si="15"/>
        <v/>
      </c>
      <c r="AA42" s="39" t="str">
        <f t="shared" si="16"/>
        <v/>
      </c>
      <c r="AB42" s="40" t="str">
        <f t="shared" si="17"/>
        <v/>
      </c>
      <c r="AC42" t="str">
        <f>IF(L42="","",IF(AND($AO$2=1,ISNA(MATCH(L42,'02-شباط'!$L$2:$L$501,0))),"محذوف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8"/>
        <v/>
      </c>
      <c r="AH42" s="39" t="str">
        <f t="shared" si="19"/>
        <v/>
      </c>
      <c r="AI42" s="39" t="str">
        <f t="shared" si="20"/>
        <v/>
      </c>
      <c r="AJ42" s="39" t="str">
        <f t="shared" si="21"/>
        <v/>
      </c>
      <c r="AK42" t="str">
        <f t="shared" si="22"/>
        <v/>
      </c>
      <c r="AL42" t="str">
        <f t="shared" si="23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 t="shared" si="11"/>
        <v/>
      </c>
      <c r="W43" t="str">
        <f t="shared" si="12"/>
        <v/>
      </c>
      <c r="X43" s="38" t="str">
        <f t="shared" si="13"/>
        <v/>
      </c>
      <c r="Y43" s="38" t="str">
        <f t="shared" si="14"/>
        <v/>
      </c>
      <c r="Z43" s="39" t="str">
        <f t="shared" si="15"/>
        <v/>
      </c>
      <c r="AA43" s="39" t="str">
        <f t="shared" si="16"/>
        <v/>
      </c>
      <c r="AB43" s="40" t="str">
        <f t="shared" si="17"/>
        <v/>
      </c>
      <c r="AC43" t="str">
        <f>IF(L43="","",IF(AND($AO$2=1,ISNA(MATCH(L43,'02-شباط'!$L$2:$L$501,0))),"محذوف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8"/>
        <v/>
      </c>
      <c r="AH43" s="39" t="str">
        <f t="shared" si="19"/>
        <v/>
      </c>
      <c r="AI43" s="39" t="str">
        <f t="shared" si="20"/>
        <v/>
      </c>
      <c r="AJ43" s="39" t="str">
        <f t="shared" si="21"/>
        <v/>
      </c>
      <c r="AK43" t="str">
        <f t="shared" si="22"/>
        <v/>
      </c>
      <c r="AL43" t="str">
        <f t="shared" si="23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 t="shared" si="11"/>
        <v/>
      </c>
      <c r="W44" t="str">
        <f t="shared" si="12"/>
        <v/>
      </c>
      <c r="X44" s="38" t="str">
        <f t="shared" si="13"/>
        <v/>
      </c>
      <c r="Y44" s="38" t="str">
        <f t="shared" si="14"/>
        <v/>
      </c>
      <c r="Z44" s="39" t="str">
        <f t="shared" si="15"/>
        <v/>
      </c>
      <c r="AA44" s="39" t="str">
        <f t="shared" si="16"/>
        <v/>
      </c>
      <c r="AB44" s="40" t="str">
        <f t="shared" si="17"/>
        <v/>
      </c>
      <c r="AC44" t="str">
        <f>IF(L44="","",IF(AND($AO$2=1,ISNA(MATCH(L44,'02-شباط'!$L$2:$L$501,0))),"محذوف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8"/>
        <v/>
      </c>
      <c r="AH44" s="39" t="str">
        <f t="shared" si="19"/>
        <v/>
      </c>
      <c r="AI44" s="39" t="str">
        <f t="shared" si="20"/>
        <v/>
      </c>
      <c r="AJ44" s="39" t="str">
        <f t="shared" si="21"/>
        <v/>
      </c>
      <c r="AK44" t="str">
        <f t="shared" si="22"/>
        <v/>
      </c>
      <c r="AL44" t="str">
        <f t="shared" si="23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 t="shared" si="11"/>
        <v/>
      </c>
      <c r="W45" t="str">
        <f t="shared" si="12"/>
        <v/>
      </c>
      <c r="X45" s="38" t="str">
        <f t="shared" si="13"/>
        <v/>
      </c>
      <c r="Y45" s="38" t="str">
        <f t="shared" si="14"/>
        <v/>
      </c>
      <c r="Z45" s="39" t="str">
        <f t="shared" si="15"/>
        <v/>
      </c>
      <c r="AA45" s="39" t="str">
        <f t="shared" si="16"/>
        <v/>
      </c>
      <c r="AB45" s="40" t="str">
        <f t="shared" si="17"/>
        <v/>
      </c>
      <c r="AC45" t="str">
        <f>IF(L45="","",IF(AND($AO$2=1,ISNA(MATCH(L45,'02-شباط'!$L$2:$L$501,0))),"محذوف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8"/>
        <v/>
      </c>
      <c r="AH45" s="39" t="str">
        <f t="shared" si="19"/>
        <v/>
      </c>
      <c r="AI45" s="39" t="str">
        <f t="shared" si="20"/>
        <v/>
      </c>
      <c r="AJ45" s="39" t="str">
        <f t="shared" si="21"/>
        <v/>
      </c>
      <c r="AK45" t="str">
        <f t="shared" si="22"/>
        <v/>
      </c>
      <c r="AL45" t="str">
        <f t="shared" si="23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 t="shared" si="11"/>
        <v/>
      </c>
      <c r="W46" t="str">
        <f t="shared" si="12"/>
        <v/>
      </c>
      <c r="X46" s="38" t="str">
        <f t="shared" si="13"/>
        <v/>
      </c>
      <c r="Y46" s="38" t="str">
        <f t="shared" si="14"/>
        <v/>
      </c>
      <c r="Z46" s="39" t="str">
        <f t="shared" si="15"/>
        <v/>
      </c>
      <c r="AA46" s="39" t="str">
        <f t="shared" si="16"/>
        <v/>
      </c>
      <c r="AB46" s="40" t="str">
        <f t="shared" si="17"/>
        <v/>
      </c>
      <c r="AC46" t="str">
        <f>IF(L46="","",IF(AND($AO$2=1,ISNA(MATCH(L46,'02-شباط'!$L$2:$L$501,0))),"محذوف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8"/>
        <v/>
      </c>
      <c r="AH46" s="39" t="str">
        <f t="shared" si="19"/>
        <v/>
      </c>
      <c r="AI46" s="39" t="str">
        <f t="shared" si="20"/>
        <v/>
      </c>
      <c r="AJ46" s="39" t="str">
        <f t="shared" si="21"/>
        <v/>
      </c>
      <c r="AK46" t="str">
        <f t="shared" si="22"/>
        <v/>
      </c>
      <c r="AL46" t="str">
        <f t="shared" si="23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 t="shared" si="11"/>
        <v/>
      </c>
      <c r="W47" t="str">
        <f t="shared" si="12"/>
        <v/>
      </c>
      <c r="X47" s="38" t="str">
        <f t="shared" si="13"/>
        <v/>
      </c>
      <c r="Y47" s="38" t="str">
        <f t="shared" si="14"/>
        <v/>
      </c>
      <c r="Z47" s="39" t="str">
        <f t="shared" si="15"/>
        <v/>
      </c>
      <c r="AA47" s="39" t="str">
        <f t="shared" si="16"/>
        <v/>
      </c>
      <c r="AB47" s="40" t="str">
        <f t="shared" si="17"/>
        <v/>
      </c>
      <c r="AC47" t="str">
        <f>IF(L47="","",IF(AND($AO$2=1,ISNA(MATCH(L47,'02-شباط'!$L$2:$L$501,0))),"محذوف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8"/>
        <v/>
      </c>
      <c r="AH47" s="39" t="str">
        <f t="shared" si="19"/>
        <v/>
      </c>
      <c r="AI47" s="39" t="str">
        <f t="shared" si="20"/>
        <v/>
      </c>
      <c r="AJ47" s="39" t="str">
        <f t="shared" si="21"/>
        <v/>
      </c>
      <c r="AK47" t="str">
        <f t="shared" si="22"/>
        <v/>
      </c>
      <c r="AL47" t="str">
        <f t="shared" si="23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 t="shared" si="11"/>
        <v/>
      </c>
      <c r="W48" t="str">
        <f t="shared" si="12"/>
        <v/>
      </c>
      <c r="X48" s="38" t="str">
        <f t="shared" si="13"/>
        <v/>
      </c>
      <c r="Y48" s="38" t="str">
        <f t="shared" si="14"/>
        <v/>
      </c>
      <c r="Z48" s="39" t="str">
        <f t="shared" si="15"/>
        <v/>
      </c>
      <c r="AA48" s="39" t="str">
        <f t="shared" si="16"/>
        <v/>
      </c>
      <c r="AB48" s="40" t="str">
        <f t="shared" si="17"/>
        <v/>
      </c>
      <c r="AC48" t="str">
        <f>IF(L48="","",IF(AND($AO$2=1,ISNA(MATCH(L48,'02-شباط'!$L$2:$L$501,0))),"محذوف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8"/>
        <v/>
      </c>
      <c r="AH48" s="39" t="str">
        <f t="shared" si="19"/>
        <v/>
      </c>
      <c r="AI48" s="39" t="str">
        <f t="shared" si="20"/>
        <v/>
      </c>
      <c r="AJ48" s="39" t="str">
        <f t="shared" si="21"/>
        <v/>
      </c>
      <c r="AK48" t="str">
        <f t="shared" si="22"/>
        <v/>
      </c>
      <c r="AL48" t="str">
        <f t="shared" si="23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 t="shared" si="11"/>
        <v/>
      </c>
      <c r="W49" t="str">
        <f t="shared" si="12"/>
        <v/>
      </c>
      <c r="X49" s="38" t="str">
        <f t="shared" si="13"/>
        <v/>
      </c>
      <c r="Y49" s="38" t="str">
        <f t="shared" si="14"/>
        <v/>
      </c>
      <c r="Z49" s="39" t="str">
        <f t="shared" si="15"/>
        <v/>
      </c>
      <c r="AA49" s="39" t="str">
        <f t="shared" si="16"/>
        <v/>
      </c>
      <c r="AB49" s="40" t="str">
        <f t="shared" si="17"/>
        <v/>
      </c>
      <c r="AC49" t="str">
        <f>IF(L49="","",IF(AND($AO$2=1,ISNA(MATCH(L49,'02-شباط'!$L$2:$L$501,0))),"محذوف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8"/>
        <v/>
      </c>
      <c r="AH49" s="39" t="str">
        <f t="shared" si="19"/>
        <v/>
      </c>
      <c r="AI49" s="39" t="str">
        <f t="shared" si="20"/>
        <v/>
      </c>
      <c r="AJ49" s="39" t="str">
        <f t="shared" si="21"/>
        <v/>
      </c>
      <c r="AK49" t="str">
        <f t="shared" si="22"/>
        <v/>
      </c>
      <c r="AL49" t="str">
        <f t="shared" si="23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 t="shared" si="11"/>
        <v/>
      </c>
      <c r="W50" t="str">
        <f t="shared" si="12"/>
        <v/>
      </c>
      <c r="X50" s="38" t="str">
        <f t="shared" si="13"/>
        <v/>
      </c>
      <c r="Y50" s="38" t="str">
        <f t="shared" si="14"/>
        <v/>
      </c>
      <c r="Z50" s="39" t="str">
        <f t="shared" si="15"/>
        <v/>
      </c>
      <c r="AA50" s="39" t="str">
        <f t="shared" si="16"/>
        <v/>
      </c>
      <c r="AB50" s="40" t="str">
        <f t="shared" si="17"/>
        <v/>
      </c>
      <c r="AC50" t="str">
        <f>IF(L50="","",IF(AND($AO$2=1,ISNA(MATCH(L50,'02-شباط'!$L$2:$L$501,0))),"محذوف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8"/>
        <v/>
      </c>
      <c r="AH50" s="39" t="str">
        <f t="shared" si="19"/>
        <v/>
      </c>
      <c r="AI50" s="39" t="str">
        <f t="shared" si="20"/>
        <v/>
      </c>
      <c r="AJ50" s="39" t="str">
        <f t="shared" si="21"/>
        <v/>
      </c>
      <c r="AK50" t="str">
        <f t="shared" si="22"/>
        <v/>
      </c>
      <c r="AL50" t="str">
        <f t="shared" si="23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 t="shared" si="11"/>
        <v/>
      </c>
      <c r="W51" t="str">
        <f t="shared" si="12"/>
        <v/>
      </c>
      <c r="X51" s="38" t="str">
        <f t="shared" si="13"/>
        <v/>
      </c>
      <c r="Y51" s="38" t="str">
        <f t="shared" si="14"/>
        <v/>
      </c>
      <c r="Z51" s="39" t="str">
        <f t="shared" si="15"/>
        <v/>
      </c>
      <c r="AA51" s="39" t="str">
        <f t="shared" si="16"/>
        <v/>
      </c>
      <c r="AB51" s="40" t="str">
        <f t="shared" si="17"/>
        <v/>
      </c>
      <c r="AC51" t="str">
        <f>IF(L51="","",IF(AND($AO$2=1,ISNA(MATCH(L51,'02-شباط'!$L$2:$L$501,0))),"محذوف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8"/>
        <v/>
      </c>
      <c r="AH51" s="39" t="str">
        <f t="shared" si="19"/>
        <v/>
      </c>
      <c r="AI51" s="39" t="str">
        <f t="shared" si="20"/>
        <v/>
      </c>
      <c r="AJ51" s="39" t="str">
        <f t="shared" si="21"/>
        <v/>
      </c>
      <c r="AK51" t="str">
        <f t="shared" si="22"/>
        <v/>
      </c>
      <c r="AL51" t="str">
        <f t="shared" si="23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 t="shared" si="11"/>
        <v/>
      </c>
      <c r="W52" t="str">
        <f t="shared" si="12"/>
        <v/>
      </c>
      <c r="X52" s="38" t="str">
        <f t="shared" si="13"/>
        <v/>
      </c>
      <c r="Y52" s="38" t="str">
        <f t="shared" si="14"/>
        <v/>
      </c>
      <c r="Z52" s="39" t="str">
        <f t="shared" si="15"/>
        <v/>
      </c>
      <c r="AA52" s="39" t="str">
        <f t="shared" si="16"/>
        <v/>
      </c>
      <c r="AB52" s="40" t="str">
        <f t="shared" si="17"/>
        <v/>
      </c>
      <c r="AC52" t="str">
        <f>IF(L52="","",IF(AND($AO$2=1,ISNA(MATCH(L52,'02-شباط'!$L$2:$L$501,0))),"محذوف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8"/>
        <v/>
      </c>
      <c r="AH52" s="39" t="str">
        <f t="shared" si="19"/>
        <v/>
      </c>
      <c r="AI52" s="39" t="str">
        <f t="shared" si="20"/>
        <v/>
      </c>
      <c r="AJ52" s="39" t="str">
        <f t="shared" si="21"/>
        <v/>
      </c>
      <c r="AK52" t="str">
        <f t="shared" si="22"/>
        <v/>
      </c>
      <c r="AL52" t="str">
        <f t="shared" si="23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 t="shared" si="11"/>
        <v/>
      </c>
      <c r="W53" t="str">
        <f t="shared" si="12"/>
        <v/>
      </c>
      <c r="X53" s="38" t="str">
        <f t="shared" si="13"/>
        <v/>
      </c>
      <c r="Y53" s="38" t="str">
        <f t="shared" si="14"/>
        <v/>
      </c>
      <c r="Z53" s="39" t="str">
        <f t="shared" si="15"/>
        <v/>
      </c>
      <c r="AA53" s="39" t="str">
        <f t="shared" si="16"/>
        <v/>
      </c>
      <c r="AB53" s="40" t="str">
        <f t="shared" si="17"/>
        <v/>
      </c>
      <c r="AC53" t="str">
        <f>IF(L53="","",IF(AND($AO$2=1,ISNA(MATCH(L53,'02-شباط'!$L$2:$L$501,0))),"محذوف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8"/>
        <v/>
      </c>
      <c r="AH53" s="39" t="str">
        <f t="shared" si="19"/>
        <v/>
      </c>
      <c r="AI53" s="39" t="str">
        <f t="shared" si="20"/>
        <v/>
      </c>
      <c r="AJ53" s="39" t="str">
        <f t="shared" si="21"/>
        <v/>
      </c>
      <c r="AK53" t="str">
        <f t="shared" si="22"/>
        <v/>
      </c>
      <c r="AL53" t="str">
        <f t="shared" si="23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 t="shared" si="11"/>
        <v/>
      </c>
      <c r="W54" t="str">
        <f t="shared" si="12"/>
        <v/>
      </c>
      <c r="X54" s="38" t="str">
        <f t="shared" si="13"/>
        <v/>
      </c>
      <c r="Y54" s="38" t="str">
        <f t="shared" si="14"/>
        <v/>
      </c>
      <c r="Z54" s="39" t="str">
        <f t="shared" si="15"/>
        <v/>
      </c>
      <c r="AA54" s="39" t="str">
        <f t="shared" si="16"/>
        <v/>
      </c>
      <c r="AB54" s="40" t="str">
        <f t="shared" si="17"/>
        <v/>
      </c>
      <c r="AC54" t="str">
        <f>IF(L54="","",IF(AND($AO$2=1,ISNA(MATCH(L54,'02-شباط'!$L$2:$L$501,0))),"محذوف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8"/>
        <v/>
      </c>
      <c r="AH54" s="39" t="str">
        <f t="shared" si="19"/>
        <v/>
      </c>
      <c r="AI54" s="39" t="str">
        <f t="shared" si="20"/>
        <v/>
      </c>
      <c r="AJ54" s="39" t="str">
        <f t="shared" si="21"/>
        <v/>
      </c>
      <c r="AK54" t="str">
        <f t="shared" si="22"/>
        <v/>
      </c>
      <c r="AL54" t="str">
        <f t="shared" si="23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 t="shared" si="11"/>
        <v/>
      </c>
      <c r="W55" t="str">
        <f t="shared" si="12"/>
        <v/>
      </c>
      <c r="X55" s="38" t="str">
        <f t="shared" si="13"/>
        <v/>
      </c>
      <c r="Y55" s="38" t="str">
        <f t="shared" si="14"/>
        <v/>
      </c>
      <c r="Z55" s="39" t="str">
        <f t="shared" si="15"/>
        <v/>
      </c>
      <c r="AA55" s="39" t="str">
        <f t="shared" si="16"/>
        <v/>
      </c>
      <c r="AB55" s="40" t="str">
        <f t="shared" si="17"/>
        <v/>
      </c>
      <c r="AC55" t="str">
        <f>IF(L55="","",IF(AND($AO$2=1,ISNA(MATCH(L55,'02-شباط'!$L$2:$L$501,0))),"محذوف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8"/>
        <v/>
      </c>
      <c r="AH55" s="39" t="str">
        <f t="shared" si="19"/>
        <v/>
      </c>
      <c r="AI55" s="39" t="str">
        <f t="shared" si="20"/>
        <v/>
      </c>
      <c r="AJ55" s="39" t="str">
        <f t="shared" si="21"/>
        <v/>
      </c>
      <c r="AK55" t="str">
        <f t="shared" si="22"/>
        <v/>
      </c>
      <c r="AL55" t="str">
        <f t="shared" si="23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 t="shared" si="11"/>
        <v/>
      </c>
      <c r="W56" t="str">
        <f t="shared" si="12"/>
        <v/>
      </c>
      <c r="X56" s="38" t="str">
        <f t="shared" si="13"/>
        <v/>
      </c>
      <c r="Y56" s="38" t="str">
        <f t="shared" si="14"/>
        <v/>
      </c>
      <c r="Z56" s="39" t="str">
        <f t="shared" si="15"/>
        <v/>
      </c>
      <c r="AA56" s="39" t="str">
        <f t="shared" si="16"/>
        <v/>
      </c>
      <c r="AB56" s="40" t="str">
        <f t="shared" si="17"/>
        <v/>
      </c>
      <c r="AC56" t="str">
        <f>IF(L56="","",IF(AND($AO$2=1,ISNA(MATCH(L56,'02-شباط'!$L$2:$L$501,0))),"محذوف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8"/>
        <v/>
      </c>
      <c r="AH56" s="39" t="str">
        <f t="shared" si="19"/>
        <v/>
      </c>
      <c r="AI56" s="39" t="str">
        <f t="shared" si="20"/>
        <v/>
      </c>
      <c r="AJ56" s="39" t="str">
        <f t="shared" si="21"/>
        <v/>
      </c>
      <c r="AK56" t="str">
        <f t="shared" si="22"/>
        <v/>
      </c>
      <c r="AL56" t="str">
        <f t="shared" si="23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 t="shared" si="11"/>
        <v/>
      </c>
      <c r="W57" t="str">
        <f t="shared" si="12"/>
        <v/>
      </c>
      <c r="X57" s="38" t="str">
        <f t="shared" si="13"/>
        <v/>
      </c>
      <c r="Y57" s="38" t="str">
        <f t="shared" si="14"/>
        <v/>
      </c>
      <c r="Z57" s="39" t="str">
        <f t="shared" si="15"/>
        <v/>
      </c>
      <c r="AA57" s="39" t="str">
        <f t="shared" si="16"/>
        <v/>
      </c>
      <c r="AB57" s="40" t="str">
        <f t="shared" si="17"/>
        <v/>
      </c>
      <c r="AC57" t="str">
        <f>IF(L57="","",IF(AND($AO$2=1,ISNA(MATCH(L57,'02-شباط'!$L$2:$L$501,0))),"محذوف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8"/>
        <v/>
      </c>
      <c r="AH57" s="39" t="str">
        <f t="shared" si="19"/>
        <v/>
      </c>
      <c r="AI57" s="39" t="str">
        <f t="shared" si="20"/>
        <v/>
      </c>
      <c r="AJ57" s="39" t="str">
        <f t="shared" si="21"/>
        <v/>
      </c>
      <c r="AK57" t="str">
        <f t="shared" si="22"/>
        <v/>
      </c>
      <c r="AL57" t="str">
        <f t="shared" si="23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 t="shared" si="11"/>
        <v/>
      </c>
      <c r="W58" t="str">
        <f t="shared" si="12"/>
        <v/>
      </c>
      <c r="X58" s="38" t="str">
        <f t="shared" si="13"/>
        <v/>
      </c>
      <c r="Y58" s="38" t="str">
        <f t="shared" si="14"/>
        <v/>
      </c>
      <c r="Z58" s="39" t="str">
        <f t="shared" si="15"/>
        <v/>
      </c>
      <c r="AA58" s="39" t="str">
        <f t="shared" si="16"/>
        <v/>
      </c>
      <c r="AB58" s="40" t="str">
        <f t="shared" si="17"/>
        <v/>
      </c>
      <c r="AC58" t="str">
        <f>IF(L58="","",IF(AND($AO$2=1,ISNA(MATCH(L58,'02-شباط'!$L$2:$L$501,0))),"محذوف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8"/>
        <v/>
      </c>
      <c r="AH58" s="39" t="str">
        <f t="shared" si="19"/>
        <v/>
      </c>
      <c r="AI58" s="39" t="str">
        <f t="shared" si="20"/>
        <v/>
      </c>
      <c r="AJ58" s="39" t="str">
        <f t="shared" si="21"/>
        <v/>
      </c>
      <c r="AK58" t="str">
        <f t="shared" si="22"/>
        <v/>
      </c>
      <c r="AL58" t="str">
        <f t="shared" si="23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 t="shared" si="11"/>
        <v/>
      </c>
      <c r="W59" t="str">
        <f t="shared" si="12"/>
        <v/>
      </c>
      <c r="X59" s="38" t="str">
        <f t="shared" si="13"/>
        <v/>
      </c>
      <c r="Y59" s="38" t="str">
        <f t="shared" si="14"/>
        <v/>
      </c>
      <c r="Z59" s="39" t="str">
        <f t="shared" si="15"/>
        <v/>
      </c>
      <c r="AA59" s="39" t="str">
        <f t="shared" si="16"/>
        <v/>
      </c>
      <c r="AB59" s="40" t="str">
        <f t="shared" si="17"/>
        <v/>
      </c>
      <c r="AC59" t="str">
        <f>IF(L59="","",IF(AND($AO$2=1,ISNA(MATCH(L59,'02-شباط'!$L$2:$L$501,0))),"محذوف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8"/>
        <v/>
      </c>
      <c r="AH59" s="39" t="str">
        <f t="shared" si="19"/>
        <v/>
      </c>
      <c r="AI59" s="39" t="str">
        <f t="shared" si="20"/>
        <v/>
      </c>
      <c r="AJ59" s="39" t="str">
        <f t="shared" si="21"/>
        <v/>
      </c>
      <c r="AK59" t="str">
        <f t="shared" si="22"/>
        <v/>
      </c>
      <c r="AL59" t="str">
        <f t="shared" si="23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 t="shared" si="11"/>
        <v/>
      </c>
      <c r="W60" t="str">
        <f t="shared" si="12"/>
        <v/>
      </c>
      <c r="X60" s="38" t="str">
        <f t="shared" si="13"/>
        <v/>
      </c>
      <c r="Y60" s="38" t="str">
        <f t="shared" si="14"/>
        <v/>
      </c>
      <c r="Z60" s="39" t="str">
        <f t="shared" si="15"/>
        <v/>
      </c>
      <c r="AA60" s="39" t="str">
        <f t="shared" si="16"/>
        <v/>
      </c>
      <c r="AB60" s="40" t="str">
        <f t="shared" si="17"/>
        <v/>
      </c>
      <c r="AC60" t="str">
        <f>IF(L60="","",IF(AND($AO$2=1,ISNA(MATCH(L60,'02-شباط'!$L$2:$L$501,0))),"محذوف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8"/>
        <v/>
      </c>
      <c r="AH60" s="39" t="str">
        <f t="shared" si="19"/>
        <v/>
      </c>
      <c r="AI60" s="39" t="str">
        <f t="shared" si="20"/>
        <v/>
      </c>
      <c r="AJ60" s="39" t="str">
        <f t="shared" si="21"/>
        <v/>
      </c>
      <c r="AK60" t="str">
        <f t="shared" si="22"/>
        <v/>
      </c>
      <c r="AL60" t="str">
        <f t="shared" si="23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 t="shared" si="11"/>
        <v/>
      </c>
      <c r="W61" t="str">
        <f t="shared" si="12"/>
        <v/>
      </c>
      <c r="X61" s="38" t="str">
        <f t="shared" si="13"/>
        <v/>
      </c>
      <c r="Y61" s="38" t="str">
        <f t="shared" si="14"/>
        <v/>
      </c>
      <c r="Z61" s="39" t="str">
        <f t="shared" si="15"/>
        <v/>
      </c>
      <c r="AA61" s="39" t="str">
        <f t="shared" si="16"/>
        <v/>
      </c>
      <c r="AB61" s="40" t="str">
        <f t="shared" si="17"/>
        <v/>
      </c>
      <c r="AC61" t="str">
        <f>IF(L61="","",IF(AND($AO$2=1,ISNA(MATCH(L61,'02-شباط'!$L$2:$L$501,0))),"محذوف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8"/>
        <v/>
      </c>
      <c r="AH61" s="39" t="str">
        <f t="shared" si="19"/>
        <v/>
      </c>
      <c r="AI61" s="39" t="str">
        <f t="shared" si="20"/>
        <v/>
      </c>
      <c r="AJ61" s="39" t="str">
        <f t="shared" si="21"/>
        <v/>
      </c>
      <c r="AK61" t="str">
        <f t="shared" si="22"/>
        <v/>
      </c>
      <c r="AL61" t="str">
        <f t="shared" si="23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 t="shared" si="11"/>
        <v/>
      </c>
      <c r="W62" t="str">
        <f t="shared" si="12"/>
        <v/>
      </c>
      <c r="X62" s="38" t="str">
        <f t="shared" si="13"/>
        <v/>
      </c>
      <c r="Y62" s="38" t="str">
        <f t="shared" si="14"/>
        <v/>
      </c>
      <c r="Z62" s="39" t="str">
        <f t="shared" si="15"/>
        <v/>
      </c>
      <c r="AA62" s="39" t="str">
        <f t="shared" si="16"/>
        <v/>
      </c>
      <c r="AB62" s="40" t="str">
        <f t="shared" si="17"/>
        <v/>
      </c>
      <c r="AC62" t="str">
        <f>IF(L62="","",IF(AND($AO$2=1,ISNA(MATCH(L62,'02-شباط'!$L$2:$L$501,0))),"محذوف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8"/>
        <v/>
      </c>
      <c r="AH62" s="39" t="str">
        <f t="shared" si="19"/>
        <v/>
      </c>
      <c r="AI62" s="39" t="str">
        <f t="shared" si="20"/>
        <v/>
      </c>
      <c r="AJ62" s="39" t="str">
        <f t="shared" si="21"/>
        <v/>
      </c>
      <c r="AK62" t="str">
        <f t="shared" si="22"/>
        <v/>
      </c>
      <c r="AL62" t="str">
        <f t="shared" si="23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 t="shared" si="11"/>
        <v/>
      </c>
      <c r="W63" t="str">
        <f t="shared" si="12"/>
        <v/>
      </c>
      <c r="X63" s="38" t="str">
        <f t="shared" si="13"/>
        <v/>
      </c>
      <c r="Y63" s="38" t="str">
        <f t="shared" si="14"/>
        <v/>
      </c>
      <c r="Z63" s="39" t="str">
        <f t="shared" si="15"/>
        <v/>
      </c>
      <c r="AA63" s="39" t="str">
        <f t="shared" si="16"/>
        <v/>
      </c>
      <c r="AB63" s="40" t="str">
        <f t="shared" si="17"/>
        <v/>
      </c>
      <c r="AC63" t="str">
        <f>IF(L63="","",IF(AND($AO$2=1,ISNA(MATCH(L63,'02-شباط'!$L$2:$L$501,0))),"محذوف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8"/>
        <v/>
      </c>
      <c r="AH63" s="39" t="str">
        <f t="shared" si="19"/>
        <v/>
      </c>
      <c r="AI63" s="39" t="str">
        <f t="shared" si="20"/>
        <v/>
      </c>
      <c r="AJ63" s="39" t="str">
        <f t="shared" si="21"/>
        <v/>
      </c>
      <c r="AK63" t="str">
        <f t="shared" si="22"/>
        <v/>
      </c>
      <c r="AL63" t="str">
        <f t="shared" si="23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 t="shared" si="11"/>
        <v/>
      </c>
      <c r="W64" t="str">
        <f t="shared" si="12"/>
        <v/>
      </c>
      <c r="X64" s="38" t="str">
        <f t="shared" si="13"/>
        <v/>
      </c>
      <c r="Y64" s="38" t="str">
        <f t="shared" si="14"/>
        <v/>
      </c>
      <c r="Z64" s="39" t="str">
        <f t="shared" si="15"/>
        <v/>
      </c>
      <c r="AA64" s="39" t="str">
        <f t="shared" si="16"/>
        <v/>
      </c>
      <c r="AB64" s="40" t="str">
        <f t="shared" si="17"/>
        <v/>
      </c>
      <c r="AC64" t="str">
        <f>IF(L64="","",IF(AND($AO$2=1,ISNA(MATCH(L64,'02-شباط'!$L$2:$L$501,0))),"محذوف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8"/>
        <v/>
      </c>
      <c r="AH64" s="39" t="str">
        <f t="shared" si="19"/>
        <v/>
      </c>
      <c r="AI64" s="39" t="str">
        <f t="shared" si="20"/>
        <v/>
      </c>
      <c r="AJ64" s="39" t="str">
        <f t="shared" si="21"/>
        <v/>
      </c>
      <c r="AK64" t="str">
        <f t="shared" si="22"/>
        <v/>
      </c>
      <c r="AL64" t="str">
        <f t="shared" si="23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 t="shared" si="11"/>
        <v/>
      </c>
      <c r="W65" t="str">
        <f t="shared" si="12"/>
        <v/>
      </c>
      <c r="X65" s="38" t="str">
        <f t="shared" si="13"/>
        <v/>
      </c>
      <c r="Y65" s="38" t="str">
        <f t="shared" si="14"/>
        <v/>
      </c>
      <c r="Z65" s="39" t="str">
        <f t="shared" si="15"/>
        <v/>
      </c>
      <c r="AA65" s="39" t="str">
        <f t="shared" si="16"/>
        <v/>
      </c>
      <c r="AB65" s="40" t="str">
        <f t="shared" si="17"/>
        <v/>
      </c>
      <c r="AC65" t="str">
        <f>IF(L65="","",IF(AND($AO$2=1,ISNA(MATCH(L65,'02-شباط'!$L$2:$L$501,0))),"محذوف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8"/>
        <v/>
      </c>
      <c r="AH65" s="39" t="str">
        <f t="shared" si="19"/>
        <v/>
      </c>
      <c r="AI65" s="39" t="str">
        <f t="shared" si="20"/>
        <v/>
      </c>
      <c r="AJ65" s="39" t="str">
        <f t="shared" si="21"/>
        <v/>
      </c>
      <c r="AK65" t="str">
        <f t="shared" si="22"/>
        <v/>
      </c>
      <c r="AL65" t="str">
        <f t="shared" si="23"/>
        <v/>
      </c>
    </row>
    <row r="66" spans="11:38" ht="15">
      <c r="K66" t="str">
        <f t="shared" ref="K66:K129" si="24">IF(L66="","",IF(U66&lt;&gt;"","⚠",""))</f>
        <v/>
      </c>
      <c r="L66" t="str">
        <f t="shared" ref="L66:L129" si="25">IF(A66="","",TRIM(A66))</f>
        <v/>
      </c>
      <c r="M66" s="36" t="str">
        <f t="shared" ref="M66:M129" si="26">IF(L66="","",IF(ISNUMBER(SEARCH("دولار",F66)),1,IF(ISNUMBER(SEARCH("ليرة",F66)),IF($AO$3&gt;0,1/$AO$3,0),0)))</f>
        <v/>
      </c>
      <c r="N66" s="37" t="str">
        <f t="shared" ref="N66:N129" si="27">IF(L66="","",N(I66)*M66)</f>
        <v/>
      </c>
      <c r="O66" s="37" t="str">
        <f t="shared" ref="O66:O129" si="28">IF(L66="","",M66*CHOOSE($AO$4,N(C66),N(D66),N(E66)))</f>
        <v/>
      </c>
      <c r="P66" s="38" t="str">
        <f t="shared" ref="P66:P129" si="29">IF(L66="","",MAX(N(B66),0))</f>
        <v/>
      </c>
      <c r="Q66" s="39" t="str">
        <f t="shared" ref="Q66:Q129" si="30">IF(L66="","",P66*N66)</f>
        <v/>
      </c>
      <c r="R66" s="39" t="str">
        <f t="shared" ref="R66:R129" si="31">IF(L66="","",P66*O66)</f>
        <v/>
      </c>
      <c r="S66" t="str">
        <f t="shared" ref="S66:S129" si="32">IF(L66="","",IF(AND(P66&gt;0,N66&gt;0,O66&gt;0),1,0))</f>
        <v/>
      </c>
      <c r="T66" s="39" t="str">
        <f t="shared" ref="T66:T129" si="33">IF(L66="","",S66*(R66-Q66))</f>
        <v/>
      </c>
      <c r="U66" t="str">
        <f t="shared" ref="U66:U129" si="34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 t="shared" ref="V66:V129" si="35">IF(L66="","",0)</f>
        <v/>
      </c>
      <c r="W66" t="str">
        <f t="shared" ref="W66:W129" si="36">IF(L66="","",IF(AND($AO$1=1,V66=0),"جديد",""))</f>
        <v/>
      </c>
      <c r="X66" s="38" t="str">
        <f t="shared" ref="X66:X129" si="37">IF(L66="","","")</f>
        <v/>
      </c>
      <c r="Y66" s="38" t="str">
        <f t="shared" ref="Y66:Y129" si="38">IF(OR(L66="",X66=""),"",P66-X66)</f>
        <v/>
      </c>
      <c r="Z66" s="39" t="str">
        <f t="shared" ref="Z66:Z129" si="39">IF(L66="","","")</f>
        <v/>
      </c>
      <c r="AA66" s="39" t="str">
        <f t="shared" ref="AA66:AA129" si="40">IF(OR(L66="",Z66=""),"",Q66-Z66)</f>
        <v/>
      </c>
      <c r="AB66" s="40" t="str">
        <f t="shared" ref="AB66:AB129" si="41">IF(L66="","","")</f>
        <v/>
      </c>
      <c r="AC66" t="str">
        <f>IF(L66="","",IF(AND($AO$2=1,ISNA(MATCH(L66,'02-شباط'!$L$2:$L$501,0))),"محذوف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42">IF(AA66="","",ABS(AA66)+ROW()/1000000000)</f>
        <v/>
      </c>
      <c r="AH66" s="39" t="str">
        <f t="shared" ref="AH66:AH129" si="43">IF(L66="","",IF(AND(P66&gt;0,N66&gt;0,N(C66)&gt;0),P66*(M66*N(C66)-N66),0))</f>
        <v/>
      </c>
      <c r="AI66" s="39" t="str">
        <f t="shared" ref="AI66:AI129" si="44">IF(L66="","",IF(AND(P66&gt;0,N66&gt;0,N(D66)&gt;0),P66*(M66*N(D66)-N66),0))</f>
        <v/>
      </c>
      <c r="AJ66" s="39" t="str">
        <f t="shared" ref="AJ66:AJ129" si="45">IF(L66="","",IF(AND(P66&gt;0,N66&gt;0,N(E66)&gt;0),P66*(M66*N(E66)-N66),0))</f>
        <v/>
      </c>
      <c r="AK66" t="str">
        <f t="shared" ref="AK66:AK129" si="46">IF(L66="","",Q66+ROW()/1000000000)</f>
        <v/>
      </c>
      <c r="AL66" t="str">
        <f t="shared" ref="AL66:AL129" si="47">IF(L66="","",T66+ROW()/1000000000)</f>
        <v/>
      </c>
    </row>
    <row r="67" spans="11:38" ht="15">
      <c r="K67" t="str">
        <f t="shared" si="24"/>
        <v/>
      </c>
      <c r="L67" t="str">
        <f t="shared" si="25"/>
        <v/>
      </c>
      <c r="M67" s="36" t="str">
        <f t="shared" si="26"/>
        <v/>
      </c>
      <c r="N67" s="37" t="str">
        <f t="shared" si="27"/>
        <v/>
      </c>
      <c r="O67" s="37" t="str">
        <f t="shared" si="28"/>
        <v/>
      </c>
      <c r="P67" s="38" t="str">
        <f t="shared" si="29"/>
        <v/>
      </c>
      <c r="Q67" s="39" t="str">
        <f t="shared" si="30"/>
        <v/>
      </c>
      <c r="R67" s="39" t="str">
        <f t="shared" si="31"/>
        <v/>
      </c>
      <c r="S67" t="str">
        <f t="shared" si="32"/>
        <v/>
      </c>
      <c r="T67" s="39" t="str">
        <f t="shared" si="33"/>
        <v/>
      </c>
      <c r="U67" t="str">
        <f t="shared" si="34"/>
        <v/>
      </c>
      <c r="V67" t="str">
        <f t="shared" si="35"/>
        <v/>
      </c>
      <c r="W67" t="str">
        <f t="shared" si="36"/>
        <v/>
      </c>
      <c r="X67" s="38" t="str">
        <f t="shared" si="37"/>
        <v/>
      </c>
      <c r="Y67" s="38" t="str">
        <f t="shared" si="38"/>
        <v/>
      </c>
      <c r="Z67" s="39" t="str">
        <f t="shared" si="39"/>
        <v/>
      </c>
      <c r="AA67" s="39" t="str">
        <f t="shared" si="40"/>
        <v/>
      </c>
      <c r="AB67" s="40" t="str">
        <f t="shared" si="41"/>
        <v/>
      </c>
      <c r="AC67" t="str">
        <f>IF(L67="","",IF(AND($AO$2=1,ISNA(MATCH(L67,'02-شباط'!$L$2:$L$501,0))),"محذوف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42"/>
        <v/>
      </c>
      <c r="AH67" s="39" t="str">
        <f t="shared" si="43"/>
        <v/>
      </c>
      <c r="AI67" s="39" t="str">
        <f t="shared" si="44"/>
        <v/>
      </c>
      <c r="AJ67" s="39" t="str">
        <f t="shared" si="45"/>
        <v/>
      </c>
      <c r="AK67" t="str">
        <f t="shared" si="46"/>
        <v/>
      </c>
      <c r="AL67" t="str">
        <f t="shared" si="47"/>
        <v/>
      </c>
    </row>
    <row r="68" spans="11:38" ht="15">
      <c r="K68" t="str">
        <f t="shared" si="24"/>
        <v/>
      </c>
      <c r="L68" t="str">
        <f t="shared" si="25"/>
        <v/>
      </c>
      <c r="M68" s="36" t="str">
        <f t="shared" si="26"/>
        <v/>
      </c>
      <c r="N68" s="37" t="str">
        <f t="shared" si="27"/>
        <v/>
      </c>
      <c r="O68" s="37" t="str">
        <f t="shared" si="28"/>
        <v/>
      </c>
      <c r="P68" s="38" t="str">
        <f t="shared" si="29"/>
        <v/>
      </c>
      <c r="Q68" s="39" t="str">
        <f t="shared" si="30"/>
        <v/>
      </c>
      <c r="R68" s="39" t="str">
        <f t="shared" si="31"/>
        <v/>
      </c>
      <c r="S68" t="str">
        <f t="shared" si="32"/>
        <v/>
      </c>
      <c r="T68" s="39" t="str">
        <f t="shared" si="33"/>
        <v/>
      </c>
      <c r="U68" t="str">
        <f t="shared" si="34"/>
        <v/>
      </c>
      <c r="V68" t="str">
        <f t="shared" si="35"/>
        <v/>
      </c>
      <c r="W68" t="str">
        <f t="shared" si="36"/>
        <v/>
      </c>
      <c r="X68" s="38" t="str">
        <f t="shared" si="37"/>
        <v/>
      </c>
      <c r="Y68" s="38" t="str">
        <f t="shared" si="38"/>
        <v/>
      </c>
      <c r="Z68" s="39" t="str">
        <f t="shared" si="39"/>
        <v/>
      </c>
      <c r="AA68" s="39" t="str">
        <f t="shared" si="40"/>
        <v/>
      </c>
      <c r="AB68" s="40" t="str">
        <f t="shared" si="41"/>
        <v/>
      </c>
      <c r="AC68" t="str">
        <f>IF(L68="","",IF(AND($AO$2=1,ISNA(MATCH(L68,'02-شباط'!$L$2:$L$501,0))),"محذوف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42"/>
        <v/>
      </c>
      <c r="AH68" s="39" t="str">
        <f t="shared" si="43"/>
        <v/>
      </c>
      <c r="AI68" s="39" t="str">
        <f t="shared" si="44"/>
        <v/>
      </c>
      <c r="AJ68" s="39" t="str">
        <f t="shared" si="45"/>
        <v/>
      </c>
      <c r="AK68" t="str">
        <f t="shared" si="46"/>
        <v/>
      </c>
      <c r="AL68" t="str">
        <f t="shared" si="47"/>
        <v/>
      </c>
    </row>
    <row r="69" spans="11:38" ht="15">
      <c r="K69" t="str">
        <f t="shared" si="24"/>
        <v/>
      </c>
      <c r="L69" t="str">
        <f t="shared" si="25"/>
        <v/>
      </c>
      <c r="M69" s="36" t="str">
        <f t="shared" si="26"/>
        <v/>
      </c>
      <c r="N69" s="37" t="str">
        <f t="shared" si="27"/>
        <v/>
      </c>
      <c r="O69" s="37" t="str">
        <f t="shared" si="28"/>
        <v/>
      </c>
      <c r="P69" s="38" t="str">
        <f t="shared" si="29"/>
        <v/>
      </c>
      <c r="Q69" s="39" t="str">
        <f t="shared" si="30"/>
        <v/>
      </c>
      <c r="R69" s="39" t="str">
        <f t="shared" si="31"/>
        <v/>
      </c>
      <c r="S69" t="str">
        <f t="shared" si="32"/>
        <v/>
      </c>
      <c r="T69" s="39" t="str">
        <f t="shared" si="33"/>
        <v/>
      </c>
      <c r="U69" t="str">
        <f t="shared" si="34"/>
        <v/>
      </c>
      <c r="V69" t="str">
        <f t="shared" si="35"/>
        <v/>
      </c>
      <c r="W69" t="str">
        <f t="shared" si="36"/>
        <v/>
      </c>
      <c r="X69" s="38" t="str">
        <f t="shared" si="37"/>
        <v/>
      </c>
      <c r="Y69" s="38" t="str">
        <f t="shared" si="38"/>
        <v/>
      </c>
      <c r="Z69" s="39" t="str">
        <f t="shared" si="39"/>
        <v/>
      </c>
      <c r="AA69" s="39" t="str">
        <f t="shared" si="40"/>
        <v/>
      </c>
      <c r="AB69" s="40" t="str">
        <f t="shared" si="41"/>
        <v/>
      </c>
      <c r="AC69" t="str">
        <f>IF(L69="","",IF(AND($AO$2=1,ISNA(MATCH(L69,'02-شباط'!$L$2:$L$501,0))),"محذوف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42"/>
        <v/>
      </c>
      <c r="AH69" s="39" t="str">
        <f t="shared" si="43"/>
        <v/>
      </c>
      <c r="AI69" s="39" t="str">
        <f t="shared" si="44"/>
        <v/>
      </c>
      <c r="AJ69" s="39" t="str">
        <f t="shared" si="45"/>
        <v/>
      </c>
      <c r="AK69" t="str">
        <f t="shared" si="46"/>
        <v/>
      </c>
      <c r="AL69" t="str">
        <f t="shared" si="47"/>
        <v/>
      </c>
    </row>
    <row r="70" spans="11:38" ht="15">
      <c r="K70" t="str">
        <f t="shared" si="24"/>
        <v/>
      </c>
      <c r="L70" t="str">
        <f t="shared" si="25"/>
        <v/>
      </c>
      <c r="M70" s="36" t="str">
        <f t="shared" si="26"/>
        <v/>
      </c>
      <c r="N70" s="37" t="str">
        <f t="shared" si="27"/>
        <v/>
      </c>
      <c r="O70" s="37" t="str">
        <f t="shared" si="28"/>
        <v/>
      </c>
      <c r="P70" s="38" t="str">
        <f t="shared" si="29"/>
        <v/>
      </c>
      <c r="Q70" s="39" t="str">
        <f t="shared" si="30"/>
        <v/>
      </c>
      <c r="R70" s="39" t="str">
        <f t="shared" si="31"/>
        <v/>
      </c>
      <c r="S70" t="str">
        <f t="shared" si="32"/>
        <v/>
      </c>
      <c r="T70" s="39" t="str">
        <f t="shared" si="33"/>
        <v/>
      </c>
      <c r="U70" t="str">
        <f t="shared" si="34"/>
        <v/>
      </c>
      <c r="V70" t="str">
        <f t="shared" si="35"/>
        <v/>
      </c>
      <c r="W70" t="str">
        <f t="shared" si="36"/>
        <v/>
      </c>
      <c r="X70" s="38" t="str">
        <f t="shared" si="37"/>
        <v/>
      </c>
      <c r="Y70" s="38" t="str">
        <f t="shared" si="38"/>
        <v/>
      </c>
      <c r="Z70" s="39" t="str">
        <f t="shared" si="39"/>
        <v/>
      </c>
      <c r="AA70" s="39" t="str">
        <f t="shared" si="40"/>
        <v/>
      </c>
      <c r="AB70" s="40" t="str">
        <f t="shared" si="41"/>
        <v/>
      </c>
      <c r="AC70" t="str">
        <f>IF(L70="","",IF(AND($AO$2=1,ISNA(MATCH(L70,'02-شباط'!$L$2:$L$501,0))),"محذوف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42"/>
        <v/>
      </c>
      <c r="AH70" s="39" t="str">
        <f t="shared" si="43"/>
        <v/>
      </c>
      <c r="AI70" s="39" t="str">
        <f t="shared" si="44"/>
        <v/>
      </c>
      <c r="AJ70" s="39" t="str">
        <f t="shared" si="45"/>
        <v/>
      </c>
      <c r="AK70" t="str">
        <f t="shared" si="46"/>
        <v/>
      </c>
      <c r="AL70" t="str">
        <f t="shared" si="47"/>
        <v/>
      </c>
    </row>
    <row r="71" spans="11:38" ht="15">
      <c r="K71" t="str">
        <f t="shared" si="24"/>
        <v/>
      </c>
      <c r="L71" t="str">
        <f t="shared" si="25"/>
        <v/>
      </c>
      <c r="M71" s="36" t="str">
        <f t="shared" si="26"/>
        <v/>
      </c>
      <c r="N71" s="37" t="str">
        <f t="shared" si="27"/>
        <v/>
      </c>
      <c r="O71" s="37" t="str">
        <f t="shared" si="28"/>
        <v/>
      </c>
      <c r="P71" s="38" t="str">
        <f t="shared" si="29"/>
        <v/>
      </c>
      <c r="Q71" s="39" t="str">
        <f t="shared" si="30"/>
        <v/>
      </c>
      <c r="R71" s="39" t="str">
        <f t="shared" si="31"/>
        <v/>
      </c>
      <c r="S71" t="str">
        <f t="shared" si="32"/>
        <v/>
      </c>
      <c r="T71" s="39" t="str">
        <f t="shared" si="33"/>
        <v/>
      </c>
      <c r="U71" t="str">
        <f t="shared" si="34"/>
        <v/>
      </c>
      <c r="V71" t="str">
        <f t="shared" si="35"/>
        <v/>
      </c>
      <c r="W71" t="str">
        <f t="shared" si="36"/>
        <v/>
      </c>
      <c r="X71" s="38" t="str">
        <f t="shared" si="37"/>
        <v/>
      </c>
      <c r="Y71" s="38" t="str">
        <f t="shared" si="38"/>
        <v/>
      </c>
      <c r="Z71" s="39" t="str">
        <f t="shared" si="39"/>
        <v/>
      </c>
      <c r="AA71" s="39" t="str">
        <f t="shared" si="40"/>
        <v/>
      </c>
      <c r="AB71" s="40" t="str">
        <f t="shared" si="41"/>
        <v/>
      </c>
      <c r="AC71" t="str">
        <f>IF(L71="","",IF(AND($AO$2=1,ISNA(MATCH(L71,'02-شباط'!$L$2:$L$501,0))),"محذوف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42"/>
        <v/>
      </c>
      <c r="AH71" s="39" t="str">
        <f t="shared" si="43"/>
        <v/>
      </c>
      <c r="AI71" s="39" t="str">
        <f t="shared" si="44"/>
        <v/>
      </c>
      <c r="AJ71" s="39" t="str">
        <f t="shared" si="45"/>
        <v/>
      </c>
      <c r="AK71" t="str">
        <f t="shared" si="46"/>
        <v/>
      </c>
      <c r="AL71" t="str">
        <f t="shared" si="47"/>
        <v/>
      </c>
    </row>
    <row r="72" spans="11:38" ht="15">
      <c r="K72" t="str">
        <f t="shared" si="24"/>
        <v/>
      </c>
      <c r="L72" t="str">
        <f t="shared" si="25"/>
        <v/>
      </c>
      <c r="M72" s="36" t="str">
        <f t="shared" si="26"/>
        <v/>
      </c>
      <c r="N72" s="37" t="str">
        <f t="shared" si="27"/>
        <v/>
      </c>
      <c r="O72" s="37" t="str">
        <f t="shared" si="28"/>
        <v/>
      </c>
      <c r="P72" s="38" t="str">
        <f t="shared" si="29"/>
        <v/>
      </c>
      <c r="Q72" s="39" t="str">
        <f t="shared" si="30"/>
        <v/>
      </c>
      <c r="R72" s="39" t="str">
        <f t="shared" si="31"/>
        <v/>
      </c>
      <c r="S72" t="str">
        <f t="shared" si="32"/>
        <v/>
      </c>
      <c r="T72" s="39" t="str">
        <f t="shared" si="33"/>
        <v/>
      </c>
      <c r="U72" t="str">
        <f t="shared" si="34"/>
        <v/>
      </c>
      <c r="V72" t="str">
        <f t="shared" si="35"/>
        <v/>
      </c>
      <c r="W72" t="str">
        <f t="shared" si="36"/>
        <v/>
      </c>
      <c r="X72" s="38" t="str">
        <f t="shared" si="37"/>
        <v/>
      </c>
      <c r="Y72" s="38" t="str">
        <f t="shared" si="38"/>
        <v/>
      </c>
      <c r="Z72" s="39" t="str">
        <f t="shared" si="39"/>
        <v/>
      </c>
      <c r="AA72" s="39" t="str">
        <f t="shared" si="40"/>
        <v/>
      </c>
      <c r="AB72" s="40" t="str">
        <f t="shared" si="41"/>
        <v/>
      </c>
      <c r="AC72" t="str">
        <f>IF(L72="","",IF(AND($AO$2=1,ISNA(MATCH(L72,'02-شباط'!$L$2:$L$501,0))),"محذوف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42"/>
        <v/>
      </c>
      <c r="AH72" s="39" t="str">
        <f t="shared" si="43"/>
        <v/>
      </c>
      <c r="AI72" s="39" t="str">
        <f t="shared" si="44"/>
        <v/>
      </c>
      <c r="AJ72" s="39" t="str">
        <f t="shared" si="45"/>
        <v/>
      </c>
      <c r="AK72" t="str">
        <f t="shared" si="46"/>
        <v/>
      </c>
      <c r="AL72" t="str">
        <f t="shared" si="47"/>
        <v/>
      </c>
    </row>
    <row r="73" spans="11:38" ht="15">
      <c r="K73" t="str">
        <f t="shared" si="24"/>
        <v/>
      </c>
      <c r="L73" t="str">
        <f t="shared" si="25"/>
        <v/>
      </c>
      <c r="M73" s="36" t="str">
        <f t="shared" si="26"/>
        <v/>
      </c>
      <c r="N73" s="37" t="str">
        <f t="shared" si="27"/>
        <v/>
      </c>
      <c r="O73" s="37" t="str">
        <f t="shared" si="28"/>
        <v/>
      </c>
      <c r="P73" s="38" t="str">
        <f t="shared" si="29"/>
        <v/>
      </c>
      <c r="Q73" s="39" t="str">
        <f t="shared" si="30"/>
        <v/>
      </c>
      <c r="R73" s="39" t="str">
        <f t="shared" si="31"/>
        <v/>
      </c>
      <c r="S73" t="str">
        <f t="shared" si="32"/>
        <v/>
      </c>
      <c r="T73" s="39" t="str">
        <f t="shared" si="33"/>
        <v/>
      </c>
      <c r="U73" t="str">
        <f t="shared" si="34"/>
        <v/>
      </c>
      <c r="V73" t="str">
        <f t="shared" si="35"/>
        <v/>
      </c>
      <c r="W73" t="str">
        <f t="shared" si="36"/>
        <v/>
      </c>
      <c r="X73" s="38" t="str">
        <f t="shared" si="37"/>
        <v/>
      </c>
      <c r="Y73" s="38" t="str">
        <f t="shared" si="38"/>
        <v/>
      </c>
      <c r="Z73" s="39" t="str">
        <f t="shared" si="39"/>
        <v/>
      </c>
      <c r="AA73" s="39" t="str">
        <f t="shared" si="40"/>
        <v/>
      </c>
      <c r="AB73" s="40" t="str">
        <f t="shared" si="41"/>
        <v/>
      </c>
      <c r="AC73" t="str">
        <f>IF(L73="","",IF(AND($AO$2=1,ISNA(MATCH(L73,'02-شباط'!$L$2:$L$501,0))),"محذوف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42"/>
        <v/>
      </c>
      <c r="AH73" s="39" t="str">
        <f t="shared" si="43"/>
        <v/>
      </c>
      <c r="AI73" s="39" t="str">
        <f t="shared" si="44"/>
        <v/>
      </c>
      <c r="AJ73" s="39" t="str">
        <f t="shared" si="45"/>
        <v/>
      </c>
      <c r="AK73" t="str">
        <f t="shared" si="46"/>
        <v/>
      </c>
      <c r="AL73" t="str">
        <f t="shared" si="47"/>
        <v/>
      </c>
    </row>
    <row r="74" spans="11:38" ht="15">
      <c r="K74" t="str">
        <f t="shared" si="24"/>
        <v/>
      </c>
      <c r="L74" t="str">
        <f t="shared" si="25"/>
        <v/>
      </c>
      <c r="M74" s="36" t="str">
        <f t="shared" si="26"/>
        <v/>
      </c>
      <c r="N74" s="37" t="str">
        <f t="shared" si="27"/>
        <v/>
      </c>
      <c r="O74" s="37" t="str">
        <f t="shared" si="28"/>
        <v/>
      </c>
      <c r="P74" s="38" t="str">
        <f t="shared" si="29"/>
        <v/>
      </c>
      <c r="Q74" s="39" t="str">
        <f t="shared" si="30"/>
        <v/>
      </c>
      <c r="R74" s="39" t="str">
        <f t="shared" si="31"/>
        <v/>
      </c>
      <c r="S74" t="str">
        <f t="shared" si="32"/>
        <v/>
      </c>
      <c r="T74" s="39" t="str">
        <f t="shared" si="33"/>
        <v/>
      </c>
      <c r="U74" t="str">
        <f t="shared" si="34"/>
        <v/>
      </c>
      <c r="V74" t="str">
        <f t="shared" si="35"/>
        <v/>
      </c>
      <c r="W74" t="str">
        <f t="shared" si="36"/>
        <v/>
      </c>
      <c r="X74" s="38" t="str">
        <f t="shared" si="37"/>
        <v/>
      </c>
      <c r="Y74" s="38" t="str">
        <f t="shared" si="38"/>
        <v/>
      </c>
      <c r="Z74" s="39" t="str">
        <f t="shared" si="39"/>
        <v/>
      </c>
      <c r="AA74" s="39" t="str">
        <f t="shared" si="40"/>
        <v/>
      </c>
      <c r="AB74" s="40" t="str">
        <f t="shared" si="41"/>
        <v/>
      </c>
      <c r="AC74" t="str">
        <f>IF(L74="","",IF(AND($AO$2=1,ISNA(MATCH(L74,'02-شباط'!$L$2:$L$501,0))),"محذوف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42"/>
        <v/>
      </c>
      <c r="AH74" s="39" t="str">
        <f t="shared" si="43"/>
        <v/>
      </c>
      <c r="AI74" s="39" t="str">
        <f t="shared" si="44"/>
        <v/>
      </c>
      <c r="AJ74" s="39" t="str">
        <f t="shared" si="45"/>
        <v/>
      </c>
      <c r="AK74" t="str">
        <f t="shared" si="46"/>
        <v/>
      </c>
      <c r="AL74" t="str">
        <f t="shared" si="47"/>
        <v/>
      </c>
    </row>
    <row r="75" spans="11:38" ht="15">
      <c r="K75" t="str">
        <f t="shared" si="24"/>
        <v/>
      </c>
      <c r="L75" t="str">
        <f t="shared" si="25"/>
        <v/>
      </c>
      <c r="M75" s="36" t="str">
        <f t="shared" si="26"/>
        <v/>
      </c>
      <c r="N75" s="37" t="str">
        <f t="shared" si="27"/>
        <v/>
      </c>
      <c r="O75" s="37" t="str">
        <f t="shared" si="28"/>
        <v/>
      </c>
      <c r="P75" s="38" t="str">
        <f t="shared" si="29"/>
        <v/>
      </c>
      <c r="Q75" s="39" t="str">
        <f t="shared" si="30"/>
        <v/>
      </c>
      <c r="R75" s="39" t="str">
        <f t="shared" si="31"/>
        <v/>
      </c>
      <c r="S75" t="str">
        <f t="shared" si="32"/>
        <v/>
      </c>
      <c r="T75" s="39" t="str">
        <f t="shared" si="33"/>
        <v/>
      </c>
      <c r="U75" t="str">
        <f t="shared" si="34"/>
        <v/>
      </c>
      <c r="V75" t="str">
        <f t="shared" si="35"/>
        <v/>
      </c>
      <c r="W75" t="str">
        <f t="shared" si="36"/>
        <v/>
      </c>
      <c r="X75" s="38" t="str">
        <f t="shared" si="37"/>
        <v/>
      </c>
      <c r="Y75" s="38" t="str">
        <f t="shared" si="38"/>
        <v/>
      </c>
      <c r="Z75" s="39" t="str">
        <f t="shared" si="39"/>
        <v/>
      </c>
      <c r="AA75" s="39" t="str">
        <f t="shared" si="40"/>
        <v/>
      </c>
      <c r="AB75" s="40" t="str">
        <f t="shared" si="41"/>
        <v/>
      </c>
      <c r="AC75" t="str">
        <f>IF(L75="","",IF(AND($AO$2=1,ISNA(MATCH(L75,'02-شباط'!$L$2:$L$501,0))),"محذوف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42"/>
        <v/>
      </c>
      <c r="AH75" s="39" t="str">
        <f t="shared" si="43"/>
        <v/>
      </c>
      <c r="AI75" s="39" t="str">
        <f t="shared" si="44"/>
        <v/>
      </c>
      <c r="AJ75" s="39" t="str">
        <f t="shared" si="45"/>
        <v/>
      </c>
      <c r="AK75" t="str">
        <f t="shared" si="46"/>
        <v/>
      </c>
      <c r="AL75" t="str">
        <f t="shared" si="47"/>
        <v/>
      </c>
    </row>
    <row r="76" spans="11:38" ht="15">
      <c r="K76" t="str">
        <f t="shared" si="24"/>
        <v/>
      </c>
      <c r="L76" t="str">
        <f t="shared" si="25"/>
        <v/>
      </c>
      <c r="M76" s="36" t="str">
        <f t="shared" si="26"/>
        <v/>
      </c>
      <c r="N76" s="37" t="str">
        <f t="shared" si="27"/>
        <v/>
      </c>
      <c r="O76" s="37" t="str">
        <f t="shared" si="28"/>
        <v/>
      </c>
      <c r="P76" s="38" t="str">
        <f t="shared" si="29"/>
        <v/>
      </c>
      <c r="Q76" s="39" t="str">
        <f t="shared" si="30"/>
        <v/>
      </c>
      <c r="R76" s="39" t="str">
        <f t="shared" si="31"/>
        <v/>
      </c>
      <c r="S76" t="str">
        <f t="shared" si="32"/>
        <v/>
      </c>
      <c r="T76" s="39" t="str">
        <f t="shared" si="33"/>
        <v/>
      </c>
      <c r="U76" t="str">
        <f t="shared" si="34"/>
        <v/>
      </c>
      <c r="V76" t="str">
        <f t="shared" si="35"/>
        <v/>
      </c>
      <c r="W76" t="str">
        <f t="shared" si="36"/>
        <v/>
      </c>
      <c r="X76" s="38" t="str">
        <f t="shared" si="37"/>
        <v/>
      </c>
      <c r="Y76" s="38" t="str">
        <f t="shared" si="38"/>
        <v/>
      </c>
      <c r="Z76" s="39" t="str">
        <f t="shared" si="39"/>
        <v/>
      </c>
      <c r="AA76" s="39" t="str">
        <f t="shared" si="40"/>
        <v/>
      </c>
      <c r="AB76" s="40" t="str">
        <f t="shared" si="41"/>
        <v/>
      </c>
      <c r="AC76" t="str">
        <f>IF(L76="","",IF(AND($AO$2=1,ISNA(MATCH(L76,'02-شباط'!$L$2:$L$501,0))),"محذوف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42"/>
        <v/>
      </c>
      <c r="AH76" s="39" t="str">
        <f t="shared" si="43"/>
        <v/>
      </c>
      <c r="AI76" s="39" t="str">
        <f t="shared" si="44"/>
        <v/>
      </c>
      <c r="AJ76" s="39" t="str">
        <f t="shared" si="45"/>
        <v/>
      </c>
      <c r="AK76" t="str">
        <f t="shared" si="46"/>
        <v/>
      </c>
      <c r="AL76" t="str">
        <f t="shared" si="47"/>
        <v/>
      </c>
    </row>
    <row r="77" spans="11:38" ht="15">
      <c r="K77" t="str">
        <f t="shared" si="24"/>
        <v/>
      </c>
      <c r="L77" t="str">
        <f t="shared" si="25"/>
        <v/>
      </c>
      <c r="M77" s="36" t="str">
        <f t="shared" si="26"/>
        <v/>
      </c>
      <c r="N77" s="37" t="str">
        <f t="shared" si="27"/>
        <v/>
      </c>
      <c r="O77" s="37" t="str">
        <f t="shared" si="28"/>
        <v/>
      </c>
      <c r="P77" s="38" t="str">
        <f t="shared" si="29"/>
        <v/>
      </c>
      <c r="Q77" s="39" t="str">
        <f t="shared" si="30"/>
        <v/>
      </c>
      <c r="R77" s="39" t="str">
        <f t="shared" si="31"/>
        <v/>
      </c>
      <c r="S77" t="str">
        <f t="shared" si="32"/>
        <v/>
      </c>
      <c r="T77" s="39" t="str">
        <f t="shared" si="33"/>
        <v/>
      </c>
      <c r="U77" t="str">
        <f t="shared" si="34"/>
        <v/>
      </c>
      <c r="V77" t="str">
        <f t="shared" si="35"/>
        <v/>
      </c>
      <c r="W77" t="str">
        <f t="shared" si="36"/>
        <v/>
      </c>
      <c r="X77" s="38" t="str">
        <f t="shared" si="37"/>
        <v/>
      </c>
      <c r="Y77" s="38" t="str">
        <f t="shared" si="38"/>
        <v/>
      </c>
      <c r="Z77" s="39" t="str">
        <f t="shared" si="39"/>
        <v/>
      </c>
      <c r="AA77" s="39" t="str">
        <f t="shared" si="40"/>
        <v/>
      </c>
      <c r="AB77" s="40" t="str">
        <f t="shared" si="41"/>
        <v/>
      </c>
      <c r="AC77" t="str">
        <f>IF(L77="","",IF(AND($AO$2=1,ISNA(MATCH(L77,'02-شباط'!$L$2:$L$501,0))),"محذوف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42"/>
        <v/>
      </c>
      <c r="AH77" s="39" t="str">
        <f t="shared" si="43"/>
        <v/>
      </c>
      <c r="AI77" s="39" t="str">
        <f t="shared" si="44"/>
        <v/>
      </c>
      <c r="AJ77" s="39" t="str">
        <f t="shared" si="45"/>
        <v/>
      </c>
      <c r="AK77" t="str">
        <f t="shared" si="46"/>
        <v/>
      </c>
      <c r="AL77" t="str">
        <f t="shared" si="47"/>
        <v/>
      </c>
    </row>
    <row r="78" spans="11:38" ht="15">
      <c r="K78" t="str">
        <f t="shared" si="24"/>
        <v/>
      </c>
      <c r="L78" t="str">
        <f t="shared" si="25"/>
        <v/>
      </c>
      <c r="M78" s="36" t="str">
        <f t="shared" si="26"/>
        <v/>
      </c>
      <c r="N78" s="37" t="str">
        <f t="shared" si="27"/>
        <v/>
      </c>
      <c r="O78" s="37" t="str">
        <f t="shared" si="28"/>
        <v/>
      </c>
      <c r="P78" s="38" t="str">
        <f t="shared" si="29"/>
        <v/>
      </c>
      <c r="Q78" s="39" t="str">
        <f t="shared" si="30"/>
        <v/>
      </c>
      <c r="R78" s="39" t="str">
        <f t="shared" si="31"/>
        <v/>
      </c>
      <c r="S78" t="str">
        <f t="shared" si="32"/>
        <v/>
      </c>
      <c r="T78" s="39" t="str">
        <f t="shared" si="33"/>
        <v/>
      </c>
      <c r="U78" t="str">
        <f t="shared" si="34"/>
        <v/>
      </c>
      <c r="V78" t="str">
        <f t="shared" si="35"/>
        <v/>
      </c>
      <c r="W78" t="str">
        <f t="shared" si="36"/>
        <v/>
      </c>
      <c r="X78" s="38" t="str">
        <f t="shared" si="37"/>
        <v/>
      </c>
      <c r="Y78" s="38" t="str">
        <f t="shared" si="38"/>
        <v/>
      </c>
      <c r="Z78" s="39" t="str">
        <f t="shared" si="39"/>
        <v/>
      </c>
      <c r="AA78" s="39" t="str">
        <f t="shared" si="40"/>
        <v/>
      </c>
      <c r="AB78" s="40" t="str">
        <f t="shared" si="41"/>
        <v/>
      </c>
      <c r="AC78" t="str">
        <f>IF(L78="","",IF(AND($AO$2=1,ISNA(MATCH(L78,'02-شباط'!$L$2:$L$501,0))),"محذوف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42"/>
        <v/>
      </c>
      <c r="AH78" s="39" t="str">
        <f t="shared" si="43"/>
        <v/>
      </c>
      <c r="AI78" s="39" t="str">
        <f t="shared" si="44"/>
        <v/>
      </c>
      <c r="AJ78" s="39" t="str">
        <f t="shared" si="45"/>
        <v/>
      </c>
      <c r="AK78" t="str">
        <f t="shared" si="46"/>
        <v/>
      </c>
      <c r="AL78" t="str">
        <f t="shared" si="47"/>
        <v/>
      </c>
    </row>
    <row r="79" spans="11:38" ht="15">
      <c r="K79" t="str">
        <f t="shared" si="24"/>
        <v/>
      </c>
      <c r="L79" t="str">
        <f t="shared" si="25"/>
        <v/>
      </c>
      <c r="M79" s="36" t="str">
        <f t="shared" si="26"/>
        <v/>
      </c>
      <c r="N79" s="37" t="str">
        <f t="shared" si="27"/>
        <v/>
      </c>
      <c r="O79" s="37" t="str">
        <f t="shared" si="28"/>
        <v/>
      </c>
      <c r="P79" s="38" t="str">
        <f t="shared" si="29"/>
        <v/>
      </c>
      <c r="Q79" s="39" t="str">
        <f t="shared" si="30"/>
        <v/>
      </c>
      <c r="R79" s="39" t="str">
        <f t="shared" si="31"/>
        <v/>
      </c>
      <c r="S79" t="str">
        <f t="shared" si="32"/>
        <v/>
      </c>
      <c r="T79" s="39" t="str">
        <f t="shared" si="33"/>
        <v/>
      </c>
      <c r="U79" t="str">
        <f t="shared" si="34"/>
        <v/>
      </c>
      <c r="V79" t="str">
        <f t="shared" si="35"/>
        <v/>
      </c>
      <c r="W79" t="str">
        <f t="shared" si="36"/>
        <v/>
      </c>
      <c r="X79" s="38" t="str">
        <f t="shared" si="37"/>
        <v/>
      </c>
      <c r="Y79" s="38" t="str">
        <f t="shared" si="38"/>
        <v/>
      </c>
      <c r="Z79" s="39" t="str">
        <f t="shared" si="39"/>
        <v/>
      </c>
      <c r="AA79" s="39" t="str">
        <f t="shared" si="40"/>
        <v/>
      </c>
      <c r="AB79" s="40" t="str">
        <f t="shared" si="41"/>
        <v/>
      </c>
      <c r="AC79" t="str">
        <f>IF(L79="","",IF(AND($AO$2=1,ISNA(MATCH(L79,'02-شباط'!$L$2:$L$501,0))),"محذوف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42"/>
        <v/>
      </c>
      <c r="AH79" s="39" t="str">
        <f t="shared" si="43"/>
        <v/>
      </c>
      <c r="AI79" s="39" t="str">
        <f t="shared" si="44"/>
        <v/>
      </c>
      <c r="AJ79" s="39" t="str">
        <f t="shared" si="45"/>
        <v/>
      </c>
      <c r="AK79" t="str">
        <f t="shared" si="46"/>
        <v/>
      </c>
      <c r="AL79" t="str">
        <f t="shared" si="47"/>
        <v/>
      </c>
    </row>
    <row r="80" spans="11:38" ht="15">
      <c r="K80" t="str">
        <f t="shared" si="24"/>
        <v/>
      </c>
      <c r="L80" t="str">
        <f t="shared" si="25"/>
        <v/>
      </c>
      <c r="M80" s="36" t="str">
        <f t="shared" si="26"/>
        <v/>
      </c>
      <c r="N80" s="37" t="str">
        <f t="shared" si="27"/>
        <v/>
      </c>
      <c r="O80" s="37" t="str">
        <f t="shared" si="28"/>
        <v/>
      </c>
      <c r="P80" s="38" t="str">
        <f t="shared" si="29"/>
        <v/>
      </c>
      <c r="Q80" s="39" t="str">
        <f t="shared" si="30"/>
        <v/>
      </c>
      <c r="R80" s="39" t="str">
        <f t="shared" si="31"/>
        <v/>
      </c>
      <c r="S80" t="str">
        <f t="shared" si="32"/>
        <v/>
      </c>
      <c r="T80" s="39" t="str">
        <f t="shared" si="33"/>
        <v/>
      </c>
      <c r="U80" t="str">
        <f t="shared" si="34"/>
        <v/>
      </c>
      <c r="V80" t="str">
        <f t="shared" si="35"/>
        <v/>
      </c>
      <c r="W80" t="str">
        <f t="shared" si="36"/>
        <v/>
      </c>
      <c r="X80" s="38" t="str">
        <f t="shared" si="37"/>
        <v/>
      </c>
      <c r="Y80" s="38" t="str">
        <f t="shared" si="38"/>
        <v/>
      </c>
      <c r="Z80" s="39" t="str">
        <f t="shared" si="39"/>
        <v/>
      </c>
      <c r="AA80" s="39" t="str">
        <f t="shared" si="40"/>
        <v/>
      </c>
      <c r="AB80" s="40" t="str">
        <f t="shared" si="41"/>
        <v/>
      </c>
      <c r="AC80" t="str">
        <f>IF(L80="","",IF(AND($AO$2=1,ISNA(MATCH(L80,'02-شباط'!$L$2:$L$501,0))),"محذوف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42"/>
        <v/>
      </c>
      <c r="AH80" s="39" t="str">
        <f t="shared" si="43"/>
        <v/>
      </c>
      <c r="AI80" s="39" t="str">
        <f t="shared" si="44"/>
        <v/>
      </c>
      <c r="AJ80" s="39" t="str">
        <f t="shared" si="45"/>
        <v/>
      </c>
      <c r="AK80" t="str">
        <f t="shared" si="46"/>
        <v/>
      </c>
      <c r="AL80" t="str">
        <f t="shared" si="47"/>
        <v/>
      </c>
    </row>
    <row r="81" spans="11:38" ht="15">
      <c r="K81" t="str">
        <f t="shared" si="24"/>
        <v/>
      </c>
      <c r="L81" t="str">
        <f t="shared" si="25"/>
        <v/>
      </c>
      <c r="M81" s="36" t="str">
        <f t="shared" si="26"/>
        <v/>
      </c>
      <c r="N81" s="37" t="str">
        <f t="shared" si="27"/>
        <v/>
      </c>
      <c r="O81" s="37" t="str">
        <f t="shared" si="28"/>
        <v/>
      </c>
      <c r="P81" s="38" t="str">
        <f t="shared" si="29"/>
        <v/>
      </c>
      <c r="Q81" s="39" t="str">
        <f t="shared" si="30"/>
        <v/>
      </c>
      <c r="R81" s="39" t="str">
        <f t="shared" si="31"/>
        <v/>
      </c>
      <c r="S81" t="str">
        <f t="shared" si="32"/>
        <v/>
      </c>
      <c r="T81" s="39" t="str">
        <f t="shared" si="33"/>
        <v/>
      </c>
      <c r="U81" t="str">
        <f t="shared" si="34"/>
        <v/>
      </c>
      <c r="V81" t="str">
        <f t="shared" si="35"/>
        <v/>
      </c>
      <c r="W81" t="str">
        <f t="shared" si="36"/>
        <v/>
      </c>
      <c r="X81" s="38" t="str">
        <f t="shared" si="37"/>
        <v/>
      </c>
      <c r="Y81" s="38" t="str">
        <f t="shared" si="38"/>
        <v/>
      </c>
      <c r="Z81" s="39" t="str">
        <f t="shared" si="39"/>
        <v/>
      </c>
      <c r="AA81" s="39" t="str">
        <f t="shared" si="40"/>
        <v/>
      </c>
      <c r="AB81" s="40" t="str">
        <f t="shared" si="41"/>
        <v/>
      </c>
      <c r="AC81" t="str">
        <f>IF(L81="","",IF(AND($AO$2=1,ISNA(MATCH(L81,'02-شباط'!$L$2:$L$501,0))),"محذوف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42"/>
        <v/>
      </c>
      <c r="AH81" s="39" t="str">
        <f t="shared" si="43"/>
        <v/>
      </c>
      <c r="AI81" s="39" t="str">
        <f t="shared" si="44"/>
        <v/>
      </c>
      <c r="AJ81" s="39" t="str">
        <f t="shared" si="45"/>
        <v/>
      </c>
      <c r="AK81" t="str">
        <f t="shared" si="46"/>
        <v/>
      </c>
      <c r="AL81" t="str">
        <f t="shared" si="47"/>
        <v/>
      </c>
    </row>
    <row r="82" spans="11:38" ht="15">
      <c r="K82" t="str">
        <f t="shared" si="24"/>
        <v/>
      </c>
      <c r="L82" t="str">
        <f t="shared" si="25"/>
        <v/>
      </c>
      <c r="M82" s="36" t="str">
        <f t="shared" si="26"/>
        <v/>
      </c>
      <c r="N82" s="37" t="str">
        <f t="shared" si="27"/>
        <v/>
      </c>
      <c r="O82" s="37" t="str">
        <f t="shared" si="28"/>
        <v/>
      </c>
      <c r="P82" s="38" t="str">
        <f t="shared" si="29"/>
        <v/>
      </c>
      <c r="Q82" s="39" t="str">
        <f t="shared" si="30"/>
        <v/>
      </c>
      <c r="R82" s="39" t="str">
        <f t="shared" si="31"/>
        <v/>
      </c>
      <c r="S82" t="str">
        <f t="shared" si="32"/>
        <v/>
      </c>
      <c r="T82" s="39" t="str">
        <f t="shared" si="33"/>
        <v/>
      </c>
      <c r="U82" t="str">
        <f t="shared" si="34"/>
        <v/>
      </c>
      <c r="V82" t="str">
        <f t="shared" si="35"/>
        <v/>
      </c>
      <c r="W82" t="str">
        <f t="shared" si="36"/>
        <v/>
      </c>
      <c r="X82" s="38" t="str">
        <f t="shared" si="37"/>
        <v/>
      </c>
      <c r="Y82" s="38" t="str">
        <f t="shared" si="38"/>
        <v/>
      </c>
      <c r="Z82" s="39" t="str">
        <f t="shared" si="39"/>
        <v/>
      </c>
      <c r="AA82" s="39" t="str">
        <f t="shared" si="40"/>
        <v/>
      </c>
      <c r="AB82" s="40" t="str">
        <f t="shared" si="41"/>
        <v/>
      </c>
      <c r="AC82" t="str">
        <f>IF(L82="","",IF(AND($AO$2=1,ISNA(MATCH(L82,'02-شباط'!$L$2:$L$501,0))),"محذوف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42"/>
        <v/>
      </c>
      <c r="AH82" s="39" t="str">
        <f t="shared" si="43"/>
        <v/>
      </c>
      <c r="AI82" s="39" t="str">
        <f t="shared" si="44"/>
        <v/>
      </c>
      <c r="AJ82" s="39" t="str">
        <f t="shared" si="45"/>
        <v/>
      </c>
      <c r="AK82" t="str">
        <f t="shared" si="46"/>
        <v/>
      </c>
      <c r="AL82" t="str">
        <f t="shared" si="47"/>
        <v/>
      </c>
    </row>
    <row r="83" spans="11:38" ht="15">
      <c r="K83" t="str">
        <f t="shared" si="24"/>
        <v/>
      </c>
      <c r="L83" t="str">
        <f t="shared" si="25"/>
        <v/>
      </c>
      <c r="M83" s="36" t="str">
        <f t="shared" si="26"/>
        <v/>
      </c>
      <c r="N83" s="37" t="str">
        <f t="shared" si="27"/>
        <v/>
      </c>
      <c r="O83" s="37" t="str">
        <f t="shared" si="28"/>
        <v/>
      </c>
      <c r="P83" s="38" t="str">
        <f t="shared" si="29"/>
        <v/>
      </c>
      <c r="Q83" s="39" t="str">
        <f t="shared" si="30"/>
        <v/>
      </c>
      <c r="R83" s="39" t="str">
        <f t="shared" si="31"/>
        <v/>
      </c>
      <c r="S83" t="str">
        <f t="shared" si="32"/>
        <v/>
      </c>
      <c r="T83" s="39" t="str">
        <f t="shared" si="33"/>
        <v/>
      </c>
      <c r="U83" t="str">
        <f t="shared" si="34"/>
        <v/>
      </c>
      <c r="V83" t="str">
        <f t="shared" si="35"/>
        <v/>
      </c>
      <c r="W83" t="str">
        <f t="shared" si="36"/>
        <v/>
      </c>
      <c r="X83" s="38" t="str">
        <f t="shared" si="37"/>
        <v/>
      </c>
      <c r="Y83" s="38" t="str">
        <f t="shared" si="38"/>
        <v/>
      </c>
      <c r="Z83" s="39" t="str">
        <f t="shared" si="39"/>
        <v/>
      </c>
      <c r="AA83" s="39" t="str">
        <f t="shared" si="40"/>
        <v/>
      </c>
      <c r="AB83" s="40" t="str">
        <f t="shared" si="41"/>
        <v/>
      </c>
      <c r="AC83" t="str">
        <f>IF(L83="","",IF(AND($AO$2=1,ISNA(MATCH(L83,'02-شباط'!$L$2:$L$501,0))),"محذوف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42"/>
        <v/>
      </c>
      <c r="AH83" s="39" t="str">
        <f t="shared" si="43"/>
        <v/>
      </c>
      <c r="AI83" s="39" t="str">
        <f t="shared" si="44"/>
        <v/>
      </c>
      <c r="AJ83" s="39" t="str">
        <f t="shared" si="45"/>
        <v/>
      </c>
      <c r="AK83" t="str">
        <f t="shared" si="46"/>
        <v/>
      </c>
      <c r="AL83" t="str">
        <f t="shared" si="47"/>
        <v/>
      </c>
    </row>
    <row r="84" spans="11:38" ht="15">
      <c r="K84" t="str">
        <f t="shared" si="24"/>
        <v/>
      </c>
      <c r="L84" t="str">
        <f t="shared" si="25"/>
        <v/>
      </c>
      <c r="M84" s="36" t="str">
        <f t="shared" si="26"/>
        <v/>
      </c>
      <c r="N84" s="37" t="str">
        <f t="shared" si="27"/>
        <v/>
      </c>
      <c r="O84" s="37" t="str">
        <f t="shared" si="28"/>
        <v/>
      </c>
      <c r="P84" s="38" t="str">
        <f t="shared" si="29"/>
        <v/>
      </c>
      <c r="Q84" s="39" t="str">
        <f t="shared" si="30"/>
        <v/>
      </c>
      <c r="R84" s="39" t="str">
        <f t="shared" si="31"/>
        <v/>
      </c>
      <c r="S84" t="str">
        <f t="shared" si="32"/>
        <v/>
      </c>
      <c r="T84" s="39" t="str">
        <f t="shared" si="33"/>
        <v/>
      </c>
      <c r="U84" t="str">
        <f t="shared" si="34"/>
        <v/>
      </c>
      <c r="V84" t="str">
        <f t="shared" si="35"/>
        <v/>
      </c>
      <c r="W84" t="str">
        <f t="shared" si="36"/>
        <v/>
      </c>
      <c r="X84" s="38" t="str">
        <f t="shared" si="37"/>
        <v/>
      </c>
      <c r="Y84" s="38" t="str">
        <f t="shared" si="38"/>
        <v/>
      </c>
      <c r="Z84" s="39" t="str">
        <f t="shared" si="39"/>
        <v/>
      </c>
      <c r="AA84" s="39" t="str">
        <f t="shared" si="40"/>
        <v/>
      </c>
      <c r="AB84" s="40" t="str">
        <f t="shared" si="41"/>
        <v/>
      </c>
      <c r="AC84" t="str">
        <f>IF(L84="","",IF(AND($AO$2=1,ISNA(MATCH(L84,'02-شباط'!$L$2:$L$501,0))),"محذوف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42"/>
        <v/>
      </c>
      <c r="AH84" s="39" t="str">
        <f t="shared" si="43"/>
        <v/>
      </c>
      <c r="AI84" s="39" t="str">
        <f t="shared" si="44"/>
        <v/>
      </c>
      <c r="AJ84" s="39" t="str">
        <f t="shared" si="45"/>
        <v/>
      </c>
      <c r="AK84" t="str">
        <f t="shared" si="46"/>
        <v/>
      </c>
      <c r="AL84" t="str">
        <f t="shared" si="47"/>
        <v/>
      </c>
    </row>
    <row r="85" spans="11:38" ht="15">
      <c r="K85" t="str">
        <f t="shared" si="24"/>
        <v/>
      </c>
      <c r="L85" t="str">
        <f t="shared" si="25"/>
        <v/>
      </c>
      <c r="M85" s="36" t="str">
        <f t="shared" si="26"/>
        <v/>
      </c>
      <c r="N85" s="37" t="str">
        <f t="shared" si="27"/>
        <v/>
      </c>
      <c r="O85" s="37" t="str">
        <f t="shared" si="28"/>
        <v/>
      </c>
      <c r="P85" s="38" t="str">
        <f t="shared" si="29"/>
        <v/>
      </c>
      <c r="Q85" s="39" t="str">
        <f t="shared" si="30"/>
        <v/>
      </c>
      <c r="R85" s="39" t="str">
        <f t="shared" si="31"/>
        <v/>
      </c>
      <c r="S85" t="str">
        <f t="shared" si="32"/>
        <v/>
      </c>
      <c r="T85" s="39" t="str">
        <f t="shared" si="33"/>
        <v/>
      </c>
      <c r="U85" t="str">
        <f t="shared" si="34"/>
        <v/>
      </c>
      <c r="V85" t="str">
        <f t="shared" si="35"/>
        <v/>
      </c>
      <c r="W85" t="str">
        <f t="shared" si="36"/>
        <v/>
      </c>
      <c r="X85" s="38" t="str">
        <f t="shared" si="37"/>
        <v/>
      </c>
      <c r="Y85" s="38" t="str">
        <f t="shared" si="38"/>
        <v/>
      </c>
      <c r="Z85" s="39" t="str">
        <f t="shared" si="39"/>
        <v/>
      </c>
      <c r="AA85" s="39" t="str">
        <f t="shared" si="40"/>
        <v/>
      </c>
      <c r="AB85" s="40" t="str">
        <f t="shared" si="41"/>
        <v/>
      </c>
      <c r="AC85" t="str">
        <f>IF(L85="","",IF(AND($AO$2=1,ISNA(MATCH(L85,'02-شباط'!$L$2:$L$501,0))),"محذوف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42"/>
        <v/>
      </c>
      <c r="AH85" s="39" t="str">
        <f t="shared" si="43"/>
        <v/>
      </c>
      <c r="AI85" s="39" t="str">
        <f t="shared" si="44"/>
        <v/>
      </c>
      <c r="AJ85" s="39" t="str">
        <f t="shared" si="45"/>
        <v/>
      </c>
      <c r="AK85" t="str">
        <f t="shared" si="46"/>
        <v/>
      </c>
      <c r="AL85" t="str">
        <f t="shared" si="47"/>
        <v/>
      </c>
    </row>
    <row r="86" spans="11:38" ht="15">
      <c r="K86" t="str">
        <f t="shared" si="24"/>
        <v/>
      </c>
      <c r="L86" t="str">
        <f t="shared" si="25"/>
        <v/>
      </c>
      <c r="M86" s="36" t="str">
        <f t="shared" si="26"/>
        <v/>
      </c>
      <c r="N86" s="37" t="str">
        <f t="shared" si="27"/>
        <v/>
      </c>
      <c r="O86" s="37" t="str">
        <f t="shared" si="28"/>
        <v/>
      </c>
      <c r="P86" s="38" t="str">
        <f t="shared" si="29"/>
        <v/>
      </c>
      <c r="Q86" s="39" t="str">
        <f t="shared" si="30"/>
        <v/>
      </c>
      <c r="R86" s="39" t="str">
        <f t="shared" si="31"/>
        <v/>
      </c>
      <c r="S86" t="str">
        <f t="shared" si="32"/>
        <v/>
      </c>
      <c r="T86" s="39" t="str">
        <f t="shared" si="33"/>
        <v/>
      </c>
      <c r="U86" t="str">
        <f t="shared" si="34"/>
        <v/>
      </c>
      <c r="V86" t="str">
        <f t="shared" si="35"/>
        <v/>
      </c>
      <c r="W86" t="str">
        <f t="shared" si="36"/>
        <v/>
      </c>
      <c r="X86" s="38" t="str">
        <f t="shared" si="37"/>
        <v/>
      </c>
      <c r="Y86" s="38" t="str">
        <f t="shared" si="38"/>
        <v/>
      </c>
      <c r="Z86" s="39" t="str">
        <f t="shared" si="39"/>
        <v/>
      </c>
      <c r="AA86" s="39" t="str">
        <f t="shared" si="40"/>
        <v/>
      </c>
      <c r="AB86" s="40" t="str">
        <f t="shared" si="41"/>
        <v/>
      </c>
      <c r="AC86" t="str">
        <f>IF(L86="","",IF(AND($AO$2=1,ISNA(MATCH(L86,'02-شباط'!$L$2:$L$501,0))),"محذوف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42"/>
        <v/>
      </c>
      <c r="AH86" s="39" t="str">
        <f t="shared" si="43"/>
        <v/>
      </c>
      <c r="AI86" s="39" t="str">
        <f t="shared" si="44"/>
        <v/>
      </c>
      <c r="AJ86" s="39" t="str">
        <f t="shared" si="45"/>
        <v/>
      </c>
      <c r="AK86" t="str">
        <f t="shared" si="46"/>
        <v/>
      </c>
      <c r="AL86" t="str">
        <f t="shared" si="47"/>
        <v/>
      </c>
    </row>
    <row r="87" spans="11:38" ht="15">
      <c r="K87" t="str">
        <f t="shared" si="24"/>
        <v/>
      </c>
      <c r="L87" t="str">
        <f t="shared" si="25"/>
        <v/>
      </c>
      <c r="M87" s="36" t="str">
        <f t="shared" si="26"/>
        <v/>
      </c>
      <c r="N87" s="37" t="str">
        <f t="shared" si="27"/>
        <v/>
      </c>
      <c r="O87" s="37" t="str">
        <f t="shared" si="28"/>
        <v/>
      </c>
      <c r="P87" s="38" t="str">
        <f t="shared" si="29"/>
        <v/>
      </c>
      <c r="Q87" s="39" t="str">
        <f t="shared" si="30"/>
        <v/>
      </c>
      <c r="R87" s="39" t="str">
        <f t="shared" si="31"/>
        <v/>
      </c>
      <c r="S87" t="str">
        <f t="shared" si="32"/>
        <v/>
      </c>
      <c r="T87" s="39" t="str">
        <f t="shared" si="33"/>
        <v/>
      </c>
      <c r="U87" t="str">
        <f t="shared" si="34"/>
        <v/>
      </c>
      <c r="V87" t="str">
        <f t="shared" si="35"/>
        <v/>
      </c>
      <c r="W87" t="str">
        <f t="shared" si="36"/>
        <v/>
      </c>
      <c r="X87" s="38" t="str">
        <f t="shared" si="37"/>
        <v/>
      </c>
      <c r="Y87" s="38" t="str">
        <f t="shared" si="38"/>
        <v/>
      </c>
      <c r="Z87" s="39" t="str">
        <f t="shared" si="39"/>
        <v/>
      </c>
      <c r="AA87" s="39" t="str">
        <f t="shared" si="40"/>
        <v/>
      </c>
      <c r="AB87" s="40" t="str">
        <f t="shared" si="41"/>
        <v/>
      </c>
      <c r="AC87" t="str">
        <f>IF(L87="","",IF(AND($AO$2=1,ISNA(MATCH(L87,'02-شباط'!$L$2:$L$501,0))),"محذوف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42"/>
        <v/>
      </c>
      <c r="AH87" s="39" t="str">
        <f t="shared" si="43"/>
        <v/>
      </c>
      <c r="AI87" s="39" t="str">
        <f t="shared" si="44"/>
        <v/>
      </c>
      <c r="AJ87" s="39" t="str">
        <f t="shared" si="45"/>
        <v/>
      </c>
      <c r="AK87" t="str">
        <f t="shared" si="46"/>
        <v/>
      </c>
      <c r="AL87" t="str">
        <f t="shared" si="47"/>
        <v/>
      </c>
    </row>
    <row r="88" spans="11:38" ht="15">
      <c r="K88" t="str">
        <f t="shared" si="24"/>
        <v/>
      </c>
      <c r="L88" t="str">
        <f t="shared" si="25"/>
        <v/>
      </c>
      <c r="M88" s="36" t="str">
        <f t="shared" si="26"/>
        <v/>
      </c>
      <c r="N88" s="37" t="str">
        <f t="shared" si="27"/>
        <v/>
      </c>
      <c r="O88" s="37" t="str">
        <f t="shared" si="28"/>
        <v/>
      </c>
      <c r="P88" s="38" t="str">
        <f t="shared" si="29"/>
        <v/>
      </c>
      <c r="Q88" s="39" t="str">
        <f t="shared" si="30"/>
        <v/>
      </c>
      <c r="R88" s="39" t="str">
        <f t="shared" si="31"/>
        <v/>
      </c>
      <c r="S88" t="str">
        <f t="shared" si="32"/>
        <v/>
      </c>
      <c r="T88" s="39" t="str">
        <f t="shared" si="33"/>
        <v/>
      </c>
      <c r="U88" t="str">
        <f t="shared" si="34"/>
        <v/>
      </c>
      <c r="V88" t="str">
        <f t="shared" si="35"/>
        <v/>
      </c>
      <c r="W88" t="str">
        <f t="shared" si="36"/>
        <v/>
      </c>
      <c r="X88" s="38" t="str">
        <f t="shared" si="37"/>
        <v/>
      </c>
      <c r="Y88" s="38" t="str">
        <f t="shared" si="38"/>
        <v/>
      </c>
      <c r="Z88" s="39" t="str">
        <f t="shared" si="39"/>
        <v/>
      </c>
      <c r="AA88" s="39" t="str">
        <f t="shared" si="40"/>
        <v/>
      </c>
      <c r="AB88" s="40" t="str">
        <f t="shared" si="41"/>
        <v/>
      </c>
      <c r="AC88" t="str">
        <f>IF(L88="","",IF(AND($AO$2=1,ISNA(MATCH(L88,'02-شباط'!$L$2:$L$501,0))),"محذوف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42"/>
        <v/>
      </c>
      <c r="AH88" s="39" t="str">
        <f t="shared" si="43"/>
        <v/>
      </c>
      <c r="AI88" s="39" t="str">
        <f t="shared" si="44"/>
        <v/>
      </c>
      <c r="AJ88" s="39" t="str">
        <f t="shared" si="45"/>
        <v/>
      </c>
      <c r="AK88" t="str">
        <f t="shared" si="46"/>
        <v/>
      </c>
      <c r="AL88" t="str">
        <f t="shared" si="47"/>
        <v/>
      </c>
    </row>
    <row r="89" spans="11:38" ht="15">
      <c r="K89" t="str">
        <f t="shared" si="24"/>
        <v/>
      </c>
      <c r="L89" t="str">
        <f t="shared" si="25"/>
        <v/>
      </c>
      <c r="M89" s="36" t="str">
        <f t="shared" si="26"/>
        <v/>
      </c>
      <c r="N89" s="37" t="str">
        <f t="shared" si="27"/>
        <v/>
      </c>
      <c r="O89" s="37" t="str">
        <f t="shared" si="28"/>
        <v/>
      </c>
      <c r="P89" s="38" t="str">
        <f t="shared" si="29"/>
        <v/>
      </c>
      <c r="Q89" s="39" t="str">
        <f t="shared" si="30"/>
        <v/>
      </c>
      <c r="R89" s="39" t="str">
        <f t="shared" si="31"/>
        <v/>
      </c>
      <c r="S89" t="str">
        <f t="shared" si="32"/>
        <v/>
      </c>
      <c r="T89" s="39" t="str">
        <f t="shared" si="33"/>
        <v/>
      </c>
      <c r="U89" t="str">
        <f t="shared" si="34"/>
        <v/>
      </c>
      <c r="V89" t="str">
        <f t="shared" si="35"/>
        <v/>
      </c>
      <c r="W89" t="str">
        <f t="shared" si="36"/>
        <v/>
      </c>
      <c r="X89" s="38" t="str">
        <f t="shared" si="37"/>
        <v/>
      </c>
      <c r="Y89" s="38" t="str">
        <f t="shared" si="38"/>
        <v/>
      </c>
      <c r="Z89" s="39" t="str">
        <f t="shared" si="39"/>
        <v/>
      </c>
      <c r="AA89" s="39" t="str">
        <f t="shared" si="40"/>
        <v/>
      </c>
      <c r="AB89" s="40" t="str">
        <f t="shared" si="41"/>
        <v/>
      </c>
      <c r="AC89" t="str">
        <f>IF(L89="","",IF(AND($AO$2=1,ISNA(MATCH(L89,'02-شباط'!$L$2:$L$501,0))),"محذوف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42"/>
        <v/>
      </c>
      <c r="AH89" s="39" t="str">
        <f t="shared" si="43"/>
        <v/>
      </c>
      <c r="AI89" s="39" t="str">
        <f t="shared" si="44"/>
        <v/>
      </c>
      <c r="AJ89" s="39" t="str">
        <f t="shared" si="45"/>
        <v/>
      </c>
      <c r="AK89" t="str">
        <f t="shared" si="46"/>
        <v/>
      </c>
      <c r="AL89" t="str">
        <f t="shared" si="47"/>
        <v/>
      </c>
    </row>
    <row r="90" spans="11:38" ht="15">
      <c r="K90" t="str">
        <f t="shared" si="24"/>
        <v/>
      </c>
      <c r="L90" t="str">
        <f t="shared" si="25"/>
        <v/>
      </c>
      <c r="M90" s="36" t="str">
        <f t="shared" si="26"/>
        <v/>
      </c>
      <c r="N90" s="37" t="str">
        <f t="shared" si="27"/>
        <v/>
      </c>
      <c r="O90" s="37" t="str">
        <f t="shared" si="28"/>
        <v/>
      </c>
      <c r="P90" s="38" t="str">
        <f t="shared" si="29"/>
        <v/>
      </c>
      <c r="Q90" s="39" t="str">
        <f t="shared" si="30"/>
        <v/>
      </c>
      <c r="R90" s="39" t="str">
        <f t="shared" si="31"/>
        <v/>
      </c>
      <c r="S90" t="str">
        <f t="shared" si="32"/>
        <v/>
      </c>
      <c r="T90" s="39" t="str">
        <f t="shared" si="33"/>
        <v/>
      </c>
      <c r="U90" t="str">
        <f t="shared" si="34"/>
        <v/>
      </c>
      <c r="V90" t="str">
        <f t="shared" si="35"/>
        <v/>
      </c>
      <c r="W90" t="str">
        <f t="shared" si="36"/>
        <v/>
      </c>
      <c r="X90" s="38" t="str">
        <f t="shared" si="37"/>
        <v/>
      </c>
      <c r="Y90" s="38" t="str">
        <f t="shared" si="38"/>
        <v/>
      </c>
      <c r="Z90" s="39" t="str">
        <f t="shared" si="39"/>
        <v/>
      </c>
      <c r="AA90" s="39" t="str">
        <f t="shared" si="40"/>
        <v/>
      </c>
      <c r="AB90" s="40" t="str">
        <f t="shared" si="41"/>
        <v/>
      </c>
      <c r="AC90" t="str">
        <f>IF(L90="","",IF(AND($AO$2=1,ISNA(MATCH(L90,'02-شباط'!$L$2:$L$501,0))),"محذوف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42"/>
        <v/>
      </c>
      <c r="AH90" s="39" t="str">
        <f t="shared" si="43"/>
        <v/>
      </c>
      <c r="AI90" s="39" t="str">
        <f t="shared" si="44"/>
        <v/>
      </c>
      <c r="AJ90" s="39" t="str">
        <f t="shared" si="45"/>
        <v/>
      </c>
      <c r="AK90" t="str">
        <f t="shared" si="46"/>
        <v/>
      </c>
      <c r="AL90" t="str">
        <f t="shared" si="47"/>
        <v/>
      </c>
    </row>
    <row r="91" spans="11:38" ht="15">
      <c r="K91" t="str">
        <f t="shared" si="24"/>
        <v/>
      </c>
      <c r="L91" t="str">
        <f t="shared" si="25"/>
        <v/>
      </c>
      <c r="M91" s="36" t="str">
        <f t="shared" si="26"/>
        <v/>
      </c>
      <c r="N91" s="37" t="str">
        <f t="shared" si="27"/>
        <v/>
      </c>
      <c r="O91" s="37" t="str">
        <f t="shared" si="28"/>
        <v/>
      </c>
      <c r="P91" s="38" t="str">
        <f t="shared" si="29"/>
        <v/>
      </c>
      <c r="Q91" s="39" t="str">
        <f t="shared" si="30"/>
        <v/>
      </c>
      <c r="R91" s="39" t="str">
        <f t="shared" si="31"/>
        <v/>
      </c>
      <c r="S91" t="str">
        <f t="shared" si="32"/>
        <v/>
      </c>
      <c r="T91" s="39" t="str">
        <f t="shared" si="33"/>
        <v/>
      </c>
      <c r="U91" t="str">
        <f t="shared" si="34"/>
        <v/>
      </c>
      <c r="V91" t="str">
        <f t="shared" si="35"/>
        <v/>
      </c>
      <c r="W91" t="str">
        <f t="shared" si="36"/>
        <v/>
      </c>
      <c r="X91" s="38" t="str">
        <f t="shared" si="37"/>
        <v/>
      </c>
      <c r="Y91" s="38" t="str">
        <f t="shared" si="38"/>
        <v/>
      </c>
      <c r="Z91" s="39" t="str">
        <f t="shared" si="39"/>
        <v/>
      </c>
      <c r="AA91" s="39" t="str">
        <f t="shared" si="40"/>
        <v/>
      </c>
      <c r="AB91" s="40" t="str">
        <f t="shared" si="41"/>
        <v/>
      </c>
      <c r="AC91" t="str">
        <f>IF(L91="","",IF(AND($AO$2=1,ISNA(MATCH(L91,'02-شباط'!$L$2:$L$501,0))),"محذوف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42"/>
        <v/>
      </c>
      <c r="AH91" s="39" t="str">
        <f t="shared" si="43"/>
        <v/>
      </c>
      <c r="AI91" s="39" t="str">
        <f t="shared" si="44"/>
        <v/>
      </c>
      <c r="AJ91" s="39" t="str">
        <f t="shared" si="45"/>
        <v/>
      </c>
      <c r="AK91" t="str">
        <f t="shared" si="46"/>
        <v/>
      </c>
      <c r="AL91" t="str">
        <f t="shared" si="47"/>
        <v/>
      </c>
    </row>
    <row r="92" spans="11:38" ht="15">
      <c r="K92" t="str">
        <f t="shared" si="24"/>
        <v/>
      </c>
      <c r="L92" t="str">
        <f t="shared" si="25"/>
        <v/>
      </c>
      <c r="M92" s="36" t="str">
        <f t="shared" si="26"/>
        <v/>
      </c>
      <c r="N92" s="37" t="str">
        <f t="shared" si="27"/>
        <v/>
      </c>
      <c r="O92" s="37" t="str">
        <f t="shared" si="28"/>
        <v/>
      </c>
      <c r="P92" s="38" t="str">
        <f t="shared" si="29"/>
        <v/>
      </c>
      <c r="Q92" s="39" t="str">
        <f t="shared" si="30"/>
        <v/>
      </c>
      <c r="R92" s="39" t="str">
        <f t="shared" si="31"/>
        <v/>
      </c>
      <c r="S92" t="str">
        <f t="shared" si="32"/>
        <v/>
      </c>
      <c r="T92" s="39" t="str">
        <f t="shared" si="33"/>
        <v/>
      </c>
      <c r="U92" t="str">
        <f t="shared" si="34"/>
        <v/>
      </c>
      <c r="V92" t="str">
        <f t="shared" si="35"/>
        <v/>
      </c>
      <c r="W92" t="str">
        <f t="shared" si="36"/>
        <v/>
      </c>
      <c r="X92" s="38" t="str">
        <f t="shared" si="37"/>
        <v/>
      </c>
      <c r="Y92" s="38" t="str">
        <f t="shared" si="38"/>
        <v/>
      </c>
      <c r="Z92" s="39" t="str">
        <f t="shared" si="39"/>
        <v/>
      </c>
      <c r="AA92" s="39" t="str">
        <f t="shared" si="40"/>
        <v/>
      </c>
      <c r="AB92" s="40" t="str">
        <f t="shared" si="41"/>
        <v/>
      </c>
      <c r="AC92" t="str">
        <f>IF(L92="","",IF(AND($AO$2=1,ISNA(MATCH(L92,'02-شباط'!$L$2:$L$501,0))),"محذوف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42"/>
        <v/>
      </c>
      <c r="AH92" s="39" t="str">
        <f t="shared" si="43"/>
        <v/>
      </c>
      <c r="AI92" s="39" t="str">
        <f t="shared" si="44"/>
        <v/>
      </c>
      <c r="AJ92" s="39" t="str">
        <f t="shared" si="45"/>
        <v/>
      </c>
      <c r="AK92" t="str">
        <f t="shared" si="46"/>
        <v/>
      </c>
      <c r="AL92" t="str">
        <f t="shared" si="47"/>
        <v/>
      </c>
    </row>
    <row r="93" spans="11:38" ht="15">
      <c r="K93" t="str">
        <f t="shared" si="24"/>
        <v/>
      </c>
      <c r="L93" t="str">
        <f t="shared" si="25"/>
        <v/>
      </c>
      <c r="M93" s="36" t="str">
        <f t="shared" si="26"/>
        <v/>
      </c>
      <c r="N93" s="37" t="str">
        <f t="shared" si="27"/>
        <v/>
      </c>
      <c r="O93" s="37" t="str">
        <f t="shared" si="28"/>
        <v/>
      </c>
      <c r="P93" s="38" t="str">
        <f t="shared" si="29"/>
        <v/>
      </c>
      <c r="Q93" s="39" t="str">
        <f t="shared" si="30"/>
        <v/>
      </c>
      <c r="R93" s="39" t="str">
        <f t="shared" si="31"/>
        <v/>
      </c>
      <c r="S93" t="str">
        <f t="shared" si="32"/>
        <v/>
      </c>
      <c r="T93" s="39" t="str">
        <f t="shared" si="33"/>
        <v/>
      </c>
      <c r="U93" t="str">
        <f t="shared" si="34"/>
        <v/>
      </c>
      <c r="V93" t="str">
        <f t="shared" si="35"/>
        <v/>
      </c>
      <c r="W93" t="str">
        <f t="shared" si="36"/>
        <v/>
      </c>
      <c r="X93" s="38" t="str">
        <f t="shared" si="37"/>
        <v/>
      </c>
      <c r="Y93" s="38" t="str">
        <f t="shared" si="38"/>
        <v/>
      </c>
      <c r="Z93" s="39" t="str">
        <f t="shared" si="39"/>
        <v/>
      </c>
      <c r="AA93" s="39" t="str">
        <f t="shared" si="40"/>
        <v/>
      </c>
      <c r="AB93" s="40" t="str">
        <f t="shared" si="41"/>
        <v/>
      </c>
      <c r="AC93" t="str">
        <f>IF(L93="","",IF(AND($AO$2=1,ISNA(MATCH(L93,'02-شباط'!$L$2:$L$501,0))),"محذوف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42"/>
        <v/>
      </c>
      <c r="AH93" s="39" t="str">
        <f t="shared" si="43"/>
        <v/>
      </c>
      <c r="AI93" s="39" t="str">
        <f t="shared" si="44"/>
        <v/>
      </c>
      <c r="AJ93" s="39" t="str">
        <f t="shared" si="45"/>
        <v/>
      </c>
      <c r="AK93" t="str">
        <f t="shared" si="46"/>
        <v/>
      </c>
      <c r="AL93" t="str">
        <f t="shared" si="47"/>
        <v/>
      </c>
    </row>
    <row r="94" spans="11:38" ht="15">
      <c r="K94" t="str">
        <f t="shared" si="24"/>
        <v/>
      </c>
      <c r="L94" t="str">
        <f t="shared" si="25"/>
        <v/>
      </c>
      <c r="M94" s="36" t="str">
        <f t="shared" si="26"/>
        <v/>
      </c>
      <c r="N94" s="37" t="str">
        <f t="shared" si="27"/>
        <v/>
      </c>
      <c r="O94" s="37" t="str">
        <f t="shared" si="28"/>
        <v/>
      </c>
      <c r="P94" s="38" t="str">
        <f t="shared" si="29"/>
        <v/>
      </c>
      <c r="Q94" s="39" t="str">
        <f t="shared" si="30"/>
        <v/>
      </c>
      <c r="R94" s="39" t="str">
        <f t="shared" si="31"/>
        <v/>
      </c>
      <c r="S94" t="str">
        <f t="shared" si="32"/>
        <v/>
      </c>
      <c r="T94" s="39" t="str">
        <f t="shared" si="33"/>
        <v/>
      </c>
      <c r="U94" t="str">
        <f t="shared" si="34"/>
        <v/>
      </c>
      <c r="V94" t="str">
        <f t="shared" si="35"/>
        <v/>
      </c>
      <c r="W94" t="str">
        <f t="shared" si="36"/>
        <v/>
      </c>
      <c r="X94" s="38" t="str">
        <f t="shared" si="37"/>
        <v/>
      </c>
      <c r="Y94" s="38" t="str">
        <f t="shared" si="38"/>
        <v/>
      </c>
      <c r="Z94" s="39" t="str">
        <f t="shared" si="39"/>
        <v/>
      </c>
      <c r="AA94" s="39" t="str">
        <f t="shared" si="40"/>
        <v/>
      </c>
      <c r="AB94" s="40" t="str">
        <f t="shared" si="41"/>
        <v/>
      </c>
      <c r="AC94" t="str">
        <f>IF(L94="","",IF(AND($AO$2=1,ISNA(MATCH(L94,'02-شباط'!$L$2:$L$501,0))),"محذوف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42"/>
        <v/>
      </c>
      <c r="AH94" s="39" t="str">
        <f t="shared" si="43"/>
        <v/>
      </c>
      <c r="AI94" s="39" t="str">
        <f t="shared" si="44"/>
        <v/>
      </c>
      <c r="AJ94" s="39" t="str">
        <f t="shared" si="45"/>
        <v/>
      </c>
      <c r="AK94" t="str">
        <f t="shared" si="46"/>
        <v/>
      </c>
      <c r="AL94" t="str">
        <f t="shared" si="47"/>
        <v/>
      </c>
    </row>
    <row r="95" spans="11:38" ht="15">
      <c r="K95" t="str">
        <f t="shared" si="24"/>
        <v/>
      </c>
      <c r="L95" t="str">
        <f t="shared" si="25"/>
        <v/>
      </c>
      <c r="M95" s="36" t="str">
        <f t="shared" si="26"/>
        <v/>
      </c>
      <c r="N95" s="37" t="str">
        <f t="shared" si="27"/>
        <v/>
      </c>
      <c r="O95" s="37" t="str">
        <f t="shared" si="28"/>
        <v/>
      </c>
      <c r="P95" s="38" t="str">
        <f t="shared" si="29"/>
        <v/>
      </c>
      <c r="Q95" s="39" t="str">
        <f t="shared" si="30"/>
        <v/>
      </c>
      <c r="R95" s="39" t="str">
        <f t="shared" si="31"/>
        <v/>
      </c>
      <c r="S95" t="str">
        <f t="shared" si="32"/>
        <v/>
      </c>
      <c r="T95" s="39" t="str">
        <f t="shared" si="33"/>
        <v/>
      </c>
      <c r="U95" t="str">
        <f t="shared" si="34"/>
        <v/>
      </c>
      <c r="V95" t="str">
        <f t="shared" si="35"/>
        <v/>
      </c>
      <c r="W95" t="str">
        <f t="shared" si="36"/>
        <v/>
      </c>
      <c r="X95" s="38" t="str">
        <f t="shared" si="37"/>
        <v/>
      </c>
      <c r="Y95" s="38" t="str">
        <f t="shared" si="38"/>
        <v/>
      </c>
      <c r="Z95" s="39" t="str">
        <f t="shared" si="39"/>
        <v/>
      </c>
      <c r="AA95" s="39" t="str">
        <f t="shared" si="40"/>
        <v/>
      </c>
      <c r="AB95" s="40" t="str">
        <f t="shared" si="41"/>
        <v/>
      </c>
      <c r="AC95" t="str">
        <f>IF(L95="","",IF(AND($AO$2=1,ISNA(MATCH(L95,'02-شباط'!$L$2:$L$501,0))),"محذوف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42"/>
        <v/>
      </c>
      <c r="AH95" s="39" t="str">
        <f t="shared" si="43"/>
        <v/>
      </c>
      <c r="AI95" s="39" t="str">
        <f t="shared" si="44"/>
        <v/>
      </c>
      <c r="AJ95" s="39" t="str">
        <f t="shared" si="45"/>
        <v/>
      </c>
      <c r="AK95" t="str">
        <f t="shared" si="46"/>
        <v/>
      </c>
      <c r="AL95" t="str">
        <f t="shared" si="47"/>
        <v/>
      </c>
    </row>
    <row r="96" spans="11:38" ht="15">
      <c r="K96" t="str">
        <f t="shared" si="24"/>
        <v/>
      </c>
      <c r="L96" t="str">
        <f t="shared" si="25"/>
        <v/>
      </c>
      <c r="M96" s="36" t="str">
        <f t="shared" si="26"/>
        <v/>
      </c>
      <c r="N96" s="37" t="str">
        <f t="shared" si="27"/>
        <v/>
      </c>
      <c r="O96" s="37" t="str">
        <f t="shared" si="28"/>
        <v/>
      </c>
      <c r="P96" s="38" t="str">
        <f t="shared" si="29"/>
        <v/>
      </c>
      <c r="Q96" s="39" t="str">
        <f t="shared" si="30"/>
        <v/>
      </c>
      <c r="R96" s="39" t="str">
        <f t="shared" si="31"/>
        <v/>
      </c>
      <c r="S96" t="str">
        <f t="shared" si="32"/>
        <v/>
      </c>
      <c r="T96" s="39" t="str">
        <f t="shared" si="33"/>
        <v/>
      </c>
      <c r="U96" t="str">
        <f t="shared" si="34"/>
        <v/>
      </c>
      <c r="V96" t="str">
        <f t="shared" si="35"/>
        <v/>
      </c>
      <c r="W96" t="str">
        <f t="shared" si="36"/>
        <v/>
      </c>
      <c r="X96" s="38" t="str">
        <f t="shared" si="37"/>
        <v/>
      </c>
      <c r="Y96" s="38" t="str">
        <f t="shared" si="38"/>
        <v/>
      </c>
      <c r="Z96" s="39" t="str">
        <f t="shared" si="39"/>
        <v/>
      </c>
      <c r="AA96" s="39" t="str">
        <f t="shared" si="40"/>
        <v/>
      </c>
      <c r="AB96" s="40" t="str">
        <f t="shared" si="41"/>
        <v/>
      </c>
      <c r="AC96" t="str">
        <f>IF(L96="","",IF(AND($AO$2=1,ISNA(MATCH(L96,'02-شباط'!$L$2:$L$501,0))),"محذوف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42"/>
        <v/>
      </c>
      <c r="AH96" s="39" t="str">
        <f t="shared" si="43"/>
        <v/>
      </c>
      <c r="AI96" s="39" t="str">
        <f t="shared" si="44"/>
        <v/>
      </c>
      <c r="AJ96" s="39" t="str">
        <f t="shared" si="45"/>
        <v/>
      </c>
      <c r="AK96" t="str">
        <f t="shared" si="46"/>
        <v/>
      </c>
      <c r="AL96" t="str">
        <f t="shared" si="47"/>
        <v/>
      </c>
    </row>
    <row r="97" spans="11:38" ht="15">
      <c r="K97" t="str">
        <f t="shared" si="24"/>
        <v/>
      </c>
      <c r="L97" t="str">
        <f t="shared" si="25"/>
        <v/>
      </c>
      <c r="M97" s="36" t="str">
        <f t="shared" si="26"/>
        <v/>
      </c>
      <c r="N97" s="37" t="str">
        <f t="shared" si="27"/>
        <v/>
      </c>
      <c r="O97" s="37" t="str">
        <f t="shared" si="28"/>
        <v/>
      </c>
      <c r="P97" s="38" t="str">
        <f t="shared" si="29"/>
        <v/>
      </c>
      <c r="Q97" s="39" t="str">
        <f t="shared" si="30"/>
        <v/>
      </c>
      <c r="R97" s="39" t="str">
        <f t="shared" si="31"/>
        <v/>
      </c>
      <c r="S97" t="str">
        <f t="shared" si="32"/>
        <v/>
      </c>
      <c r="T97" s="39" t="str">
        <f t="shared" si="33"/>
        <v/>
      </c>
      <c r="U97" t="str">
        <f t="shared" si="34"/>
        <v/>
      </c>
      <c r="V97" t="str">
        <f t="shared" si="35"/>
        <v/>
      </c>
      <c r="W97" t="str">
        <f t="shared" si="36"/>
        <v/>
      </c>
      <c r="X97" s="38" t="str">
        <f t="shared" si="37"/>
        <v/>
      </c>
      <c r="Y97" s="38" t="str">
        <f t="shared" si="38"/>
        <v/>
      </c>
      <c r="Z97" s="39" t="str">
        <f t="shared" si="39"/>
        <v/>
      </c>
      <c r="AA97" s="39" t="str">
        <f t="shared" si="40"/>
        <v/>
      </c>
      <c r="AB97" s="40" t="str">
        <f t="shared" si="41"/>
        <v/>
      </c>
      <c r="AC97" t="str">
        <f>IF(L97="","",IF(AND($AO$2=1,ISNA(MATCH(L97,'02-شباط'!$L$2:$L$501,0))),"محذوف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42"/>
        <v/>
      </c>
      <c r="AH97" s="39" t="str">
        <f t="shared" si="43"/>
        <v/>
      </c>
      <c r="AI97" s="39" t="str">
        <f t="shared" si="44"/>
        <v/>
      </c>
      <c r="AJ97" s="39" t="str">
        <f t="shared" si="45"/>
        <v/>
      </c>
      <c r="AK97" t="str">
        <f t="shared" si="46"/>
        <v/>
      </c>
      <c r="AL97" t="str">
        <f t="shared" si="47"/>
        <v/>
      </c>
    </row>
    <row r="98" spans="11:38" ht="15">
      <c r="K98" t="str">
        <f t="shared" si="24"/>
        <v/>
      </c>
      <c r="L98" t="str">
        <f t="shared" si="25"/>
        <v/>
      </c>
      <c r="M98" s="36" t="str">
        <f t="shared" si="26"/>
        <v/>
      </c>
      <c r="N98" s="37" t="str">
        <f t="shared" si="27"/>
        <v/>
      </c>
      <c r="O98" s="37" t="str">
        <f t="shared" si="28"/>
        <v/>
      </c>
      <c r="P98" s="38" t="str">
        <f t="shared" si="29"/>
        <v/>
      </c>
      <c r="Q98" s="39" t="str">
        <f t="shared" si="30"/>
        <v/>
      </c>
      <c r="R98" s="39" t="str">
        <f t="shared" si="31"/>
        <v/>
      </c>
      <c r="S98" t="str">
        <f t="shared" si="32"/>
        <v/>
      </c>
      <c r="T98" s="39" t="str">
        <f t="shared" si="33"/>
        <v/>
      </c>
      <c r="U98" t="str">
        <f t="shared" si="34"/>
        <v/>
      </c>
      <c r="V98" t="str">
        <f t="shared" si="35"/>
        <v/>
      </c>
      <c r="W98" t="str">
        <f t="shared" si="36"/>
        <v/>
      </c>
      <c r="X98" s="38" t="str">
        <f t="shared" si="37"/>
        <v/>
      </c>
      <c r="Y98" s="38" t="str">
        <f t="shared" si="38"/>
        <v/>
      </c>
      <c r="Z98" s="39" t="str">
        <f t="shared" si="39"/>
        <v/>
      </c>
      <c r="AA98" s="39" t="str">
        <f t="shared" si="40"/>
        <v/>
      </c>
      <c r="AB98" s="40" t="str">
        <f t="shared" si="41"/>
        <v/>
      </c>
      <c r="AC98" t="str">
        <f>IF(L98="","",IF(AND($AO$2=1,ISNA(MATCH(L98,'02-شباط'!$L$2:$L$501,0))),"محذوف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42"/>
        <v/>
      </c>
      <c r="AH98" s="39" t="str">
        <f t="shared" si="43"/>
        <v/>
      </c>
      <c r="AI98" s="39" t="str">
        <f t="shared" si="44"/>
        <v/>
      </c>
      <c r="AJ98" s="39" t="str">
        <f t="shared" si="45"/>
        <v/>
      </c>
      <c r="AK98" t="str">
        <f t="shared" si="46"/>
        <v/>
      </c>
      <c r="AL98" t="str">
        <f t="shared" si="47"/>
        <v/>
      </c>
    </row>
    <row r="99" spans="11:38" ht="15">
      <c r="K99" t="str">
        <f t="shared" si="24"/>
        <v/>
      </c>
      <c r="L99" t="str">
        <f t="shared" si="25"/>
        <v/>
      </c>
      <c r="M99" s="36" t="str">
        <f t="shared" si="26"/>
        <v/>
      </c>
      <c r="N99" s="37" t="str">
        <f t="shared" si="27"/>
        <v/>
      </c>
      <c r="O99" s="37" t="str">
        <f t="shared" si="28"/>
        <v/>
      </c>
      <c r="P99" s="38" t="str">
        <f t="shared" si="29"/>
        <v/>
      </c>
      <c r="Q99" s="39" t="str">
        <f t="shared" si="30"/>
        <v/>
      </c>
      <c r="R99" s="39" t="str">
        <f t="shared" si="31"/>
        <v/>
      </c>
      <c r="S99" t="str">
        <f t="shared" si="32"/>
        <v/>
      </c>
      <c r="T99" s="39" t="str">
        <f t="shared" si="33"/>
        <v/>
      </c>
      <c r="U99" t="str">
        <f t="shared" si="34"/>
        <v/>
      </c>
      <c r="V99" t="str">
        <f t="shared" si="35"/>
        <v/>
      </c>
      <c r="W99" t="str">
        <f t="shared" si="36"/>
        <v/>
      </c>
      <c r="X99" s="38" t="str">
        <f t="shared" si="37"/>
        <v/>
      </c>
      <c r="Y99" s="38" t="str">
        <f t="shared" si="38"/>
        <v/>
      </c>
      <c r="Z99" s="39" t="str">
        <f t="shared" si="39"/>
        <v/>
      </c>
      <c r="AA99" s="39" t="str">
        <f t="shared" si="40"/>
        <v/>
      </c>
      <c r="AB99" s="40" t="str">
        <f t="shared" si="41"/>
        <v/>
      </c>
      <c r="AC99" t="str">
        <f>IF(L99="","",IF(AND($AO$2=1,ISNA(MATCH(L99,'02-شباط'!$L$2:$L$501,0))),"محذوف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42"/>
        <v/>
      </c>
      <c r="AH99" s="39" t="str">
        <f t="shared" si="43"/>
        <v/>
      </c>
      <c r="AI99" s="39" t="str">
        <f t="shared" si="44"/>
        <v/>
      </c>
      <c r="AJ99" s="39" t="str">
        <f t="shared" si="45"/>
        <v/>
      </c>
      <c r="AK99" t="str">
        <f t="shared" si="46"/>
        <v/>
      </c>
      <c r="AL99" t="str">
        <f t="shared" si="47"/>
        <v/>
      </c>
    </row>
    <row r="100" spans="11:38" ht="15">
      <c r="K100" t="str">
        <f t="shared" si="24"/>
        <v/>
      </c>
      <c r="L100" t="str">
        <f t="shared" si="25"/>
        <v/>
      </c>
      <c r="M100" s="36" t="str">
        <f t="shared" si="26"/>
        <v/>
      </c>
      <c r="N100" s="37" t="str">
        <f t="shared" si="27"/>
        <v/>
      </c>
      <c r="O100" s="37" t="str">
        <f t="shared" si="28"/>
        <v/>
      </c>
      <c r="P100" s="38" t="str">
        <f t="shared" si="29"/>
        <v/>
      </c>
      <c r="Q100" s="39" t="str">
        <f t="shared" si="30"/>
        <v/>
      </c>
      <c r="R100" s="39" t="str">
        <f t="shared" si="31"/>
        <v/>
      </c>
      <c r="S100" t="str">
        <f t="shared" si="32"/>
        <v/>
      </c>
      <c r="T100" s="39" t="str">
        <f t="shared" si="33"/>
        <v/>
      </c>
      <c r="U100" t="str">
        <f t="shared" si="34"/>
        <v/>
      </c>
      <c r="V100" t="str">
        <f t="shared" si="35"/>
        <v/>
      </c>
      <c r="W100" t="str">
        <f t="shared" si="36"/>
        <v/>
      </c>
      <c r="X100" s="38" t="str">
        <f t="shared" si="37"/>
        <v/>
      </c>
      <c r="Y100" s="38" t="str">
        <f t="shared" si="38"/>
        <v/>
      </c>
      <c r="Z100" s="39" t="str">
        <f t="shared" si="39"/>
        <v/>
      </c>
      <c r="AA100" s="39" t="str">
        <f t="shared" si="40"/>
        <v/>
      </c>
      <c r="AB100" s="40" t="str">
        <f t="shared" si="41"/>
        <v/>
      </c>
      <c r="AC100" t="str">
        <f>IF(L100="","",IF(AND($AO$2=1,ISNA(MATCH(L100,'02-شباط'!$L$2:$L$501,0))),"محذوف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42"/>
        <v/>
      </c>
      <c r="AH100" s="39" t="str">
        <f t="shared" si="43"/>
        <v/>
      </c>
      <c r="AI100" s="39" t="str">
        <f t="shared" si="44"/>
        <v/>
      </c>
      <c r="AJ100" s="39" t="str">
        <f t="shared" si="45"/>
        <v/>
      </c>
      <c r="AK100" t="str">
        <f t="shared" si="46"/>
        <v/>
      </c>
      <c r="AL100" t="str">
        <f t="shared" si="47"/>
        <v/>
      </c>
    </row>
    <row r="101" spans="11:38" ht="15">
      <c r="K101" t="str">
        <f t="shared" si="24"/>
        <v/>
      </c>
      <c r="L101" t="str">
        <f t="shared" si="25"/>
        <v/>
      </c>
      <c r="M101" s="36" t="str">
        <f t="shared" si="26"/>
        <v/>
      </c>
      <c r="N101" s="37" t="str">
        <f t="shared" si="27"/>
        <v/>
      </c>
      <c r="O101" s="37" t="str">
        <f t="shared" si="28"/>
        <v/>
      </c>
      <c r="P101" s="38" t="str">
        <f t="shared" si="29"/>
        <v/>
      </c>
      <c r="Q101" s="39" t="str">
        <f t="shared" si="30"/>
        <v/>
      </c>
      <c r="R101" s="39" t="str">
        <f t="shared" si="31"/>
        <v/>
      </c>
      <c r="S101" t="str">
        <f t="shared" si="32"/>
        <v/>
      </c>
      <c r="T101" s="39" t="str">
        <f t="shared" si="33"/>
        <v/>
      </c>
      <c r="U101" t="str">
        <f t="shared" si="34"/>
        <v/>
      </c>
      <c r="V101" t="str">
        <f t="shared" si="35"/>
        <v/>
      </c>
      <c r="W101" t="str">
        <f t="shared" si="36"/>
        <v/>
      </c>
      <c r="X101" s="38" t="str">
        <f t="shared" si="37"/>
        <v/>
      </c>
      <c r="Y101" s="38" t="str">
        <f t="shared" si="38"/>
        <v/>
      </c>
      <c r="Z101" s="39" t="str">
        <f t="shared" si="39"/>
        <v/>
      </c>
      <c r="AA101" s="39" t="str">
        <f t="shared" si="40"/>
        <v/>
      </c>
      <c r="AB101" s="40" t="str">
        <f t="shared" si="41"/>
        <v/>
      </c>
      <c r="AC101" t="str">
        <f>IF(L101="","",IF(AND($AO$2=1,ISNA(MATCH(L101,'02-شباط'!$L$2:$L$501,0))),"محذوف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42"/>
        <v/>
      </c>
      <c r="AH101" s="39" t="str">
        <f t="shared" si="43"/>
        <v/>
      </c>
      <c r="AI101" s="39" t="str">
        <f t="shared" si="44"/>
        <v/>
      </c>
      <c r="AJ101" s="39" t="str">
        <f t="shared" si="45"/>
        <v/>
      </c>
      <c r="AK101" t="str">
        <f t="shared" si="46"/>
        <v/>
      </c>
      <c r="AL101" t="str">
        <f t="shared" si="47"/>
        <v/>
      </c>
    </row>
    <row r="102" spans="11:38" ht="15">
      <c r="K102" t="str">
        <f t="shared" si="24"/>
        <v/>
      </c>
      <c r="L102" t="str">
        <f t="shared" si="25"/>
        <v/>
      </c>
      <c r="M102" s="36" t="str">
        <f t="shared" si="26"/>
        <v/>
      </c>
      <c r="N102" s="37" t="str">
        <f t="shared" si="27"/>
        <v/>
      </c>
      <c r="O102" s="37" t="str">
        <f t="shared" si="28"/>
        <v/>
      </c>
      <c r="P102" s="38" t="str">
        <f t="shared" si="29"/>
        <v/>
      </c>
      <c r="Q102" s="39" t="str">
        <f t="shared" si="30"/>
        <v/>
      </c>
      <c r="R102" s="39" t="str">
        <f t="shared" si="31"/>
        <v/>
      </c>
      <c r="S102" t="str">
        <f t="shared" si="32"/>
        <v/>
      </c>
      <c r="T102" s="39" t="str">
        <f t="shared" si="33"/>
        <v/>
      </c>
      <c r="U102" t="str">
        <f t="shared" si="34"/>
        <v/>
      </c>
      <c r="V102" t="str">
        <f t="shared" si="35"/>
        <v/>
      </c>
      <c r="W102" t="str">
        <f t="shared" si="36"/>
        <v/>
      </c>
      <c r="X102" s="38" t="str">
        <f t="shared" si="37"/>
        <v/>
      </c>
      <c r="Y102" s="38" t="str">
        <f t="shared" si="38"/>
        <v/>
      </c>
      <c r="Z102" s="39" t="str">
        <f t="shared" si="39"/>
        <v/>
      </c>
      <c r="AA102" s="39" t="str">
        <f t="shared" si="40"/>
        <v/>
      </c>
      <c r="AB102" s="40" t="str">
        <f t="shared" si="41"/>
        <v/>
      </c>
      <c r="AC102" t="str">
        <f>IF(L102="","",IF(AND($AO$2=1,ISNA(MATCH(L102,'02-شباط'!$L$2:$L$501,0))),"محذوف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42"/>
        <v/>
      </c>
      <c r="AH102" s="39" t="str">
        <f t="shared" si="43"/>
        <v/>
      </c>
      <c r="AI102" s="39" t="str">
        <f t="shared" si="44"/>
        <v/>
      </c>
      <c r="AJ102" s="39" t="str">
        <f t="shared" si="45"/>
        <v/>
      </c>
      <c r="AK102" t="str">
        <f t="shared" si="46"/>
        <v/>
      </c>
      <c r="AL102" t="str">
        <f t="shared" si="47"/>
        <v/>
      </c>
    </row>
    <row r="103" spans="11:38" ht="15">
      <c r="K103" t="str">
        <f t="shared" si="24"/>
        <v/>
      </c>
      <c r="L103" t="str">
        <f t="shared" si="25"/>
        <v/>
      </c>
      <c r="M103" s="36" t="str">
        <f t="shared" si="26"/>
        <v/>
      </c>
      <c r="N103" s="37" t="str">
        <f t="shared" si="27"/>
        <v/>
      </c>
      <c r="O103" s="37" t="str">
        <f t="shared" si="28"/>
        <v/>
      </c>
      <c r="P103" s="38" t="str">
        <f t="shared" si="29"/>
        <v/>
      </c>
      <c r="Q103" s="39" t="str">
        <f t="shared" si="30"/>
        <v/>
      </c>
      <c r="R103" s="39" t="str">
        <f t="shared" si="31"/>
        <v/>
      </c>
      <c r="S103" t="str">
        <f t="shared" si="32"/>
        <v/>
      </c>
      <c r="T103" s="39" t="str">
        <f t="shared" si="33"/>
        <v/>
      </c>
      <c r="U103" t="str">
        <f t="shared" si="34"/>
        <v/>
      </c>
      <c r="V103" t="str">
        <f t="shared" si="35"/>
        <v/>
      </c>
      <c r="W103" t="str">
        <f t="shared" si="36"/>
        <v/>
      </c>
      <c r="X103" s="38" t="str">
        <f t="shared" si="37"/>
        <v/>
      </c>
      <c r="Y103" s="38" t="str">
        <f t="shared" si="38"/>
        <v/>
      </c>
      <c r="Z103" s="39" t="str">
        <f t="shared" si="39"/>
        <v/>
      </c>
      <c r="AA103" s="39" t="str">
        <f t="shared" si="40"/>
        <v/>
      </c>
      <c r="AB103" s="40" t="str">
        <f t="shared" si="41"/>
        <v/>
      </c>
      <c r="AC103" t="str">
        <f>IF(L103="","",IF(AND($AO$2=1,ISNA(MATCH(L103,'02-شباط'!$L$2:$L$501,0))),"محذوف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42"/>
        <v/>
      </c>
      <c r="AH103" s="39" t="str">
        <f t="shared" si="43"/>
        <v/>
      </c>
      <c r="AI103" s="39" t="str">
        <f t="shared" si="44"/>
        <v/>
      </c>
      <c r="AJ103" s="39" t="str">
        <f t="shared" si="45"/>
        <v/>
      </c>
      <c r="AK103" t="str">
        <f t="shared" si="46"/>
        <v/>
      </c>
      <c r="AL103" t="str">
        <f t="shared" si="47"/>
        <v/>
      </c>
    </row>
    <row r="104" spans="11:38" ht="15">
      <c r="K104" t="str">
        <f t="shared" si="24"/>
        <v/>
      </c>
      <c r="L104" t="str">
        <f t="shared" si="25"/>
        <v/>
      </c>
      <c r="M104" s="36" t="str">
        <f t="shared" si="26"/>
        <v/>
      </c>
      <c r="N104" s="37" t="str">
        <f t="shared" si="27"/>
        <v/>
      </c>
      <c r="O104" s="37" t="str">
        <f t="shared" si="28"/>
        <v/>
      </c>
      <c r="P104" s="38" t="str">
        <f t="shared" si="29"/>
        <v/>
      </c>
      <c r="Q104" s="39" t="str">
        <f t="shared" si="30"/>
        <v/>
      </c>
      <c r="R104" s="39" t="str">
        <f t="shared" si="31"/>
        <v/>
      </c>
      <c r="S104" t="str">
        <f t="shared" si="32"/>
        <v/>
      </c>
      <c r="T104" s="39" t="str">
        <f t="shared" si="33"/>
        <v/>
      </c>
      <c r="U104" t="str">
        <f t="shared" si="34"/>
        <v/>
      </c>
      <c r="V104" t="str">
        <f t="shared" si="35"/>
        <v/>
      </c>
      <c r="W104" t="str">
        <f t="shared" si="36"/>
        <v/>
      </c>
      <c r="X104" s="38" t="str">
        <f t="shared" si="37"/>
        <v/>
      </c>
      <c r="Y104" s="38" t="str">
        <f t="shared" si="38"/>
        <v/>
      </c>
      <c r="Z104" s="39" t="str">
        <f t="shared" si="39"/>
        <v/>
      </c>
      <c r="AA104" s="39" t="str">
        <f t="shared" si="40"/>
        <v/>
      </c>
      <c r="AB104" s="40" t="str">
        <f t="shared" si="41"/>
        <v/>
      </c>
      <c r="AC104" t="str">
        <f>IF(L104="","",IF(AND($AO$2=1,ISNA(MATCH(L104,'02-شباط'!$L$2:$L$501,0))),"محذوف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42"/>
        <v/>
      </c>
      <c r="AH104" s="39" t="str">
        <f t="shared" si="43"/>
        <v/>
      </c>
      <c r="AI104" s="39" t="str">
        <f t="shared" si="44"/>
        <v/>
      </c>
      <c r="AJ104" s="39" t="str">
        <f t="shared" si="45"/>
        <v/>
      </c>
      <c r="AK104" t="str">
        <f t="shared" si="46"/>
        <v/>
      </c>
      <c r="AL104" t="str">
        <f t="shared" si="47"/>
        <v/>
      </c>
    </row>
    <row r="105" spans="11:38" ht="15">
      <c r="K105" t="str">
        <f t="shared" si="24"/>
        <v/>
      </c>
      <c r="L105" t="str">
        <f t="shared" si="25"/>
        <v/>
      </c>
      <c r="M105" s="36" t="str">
        <f t="shared" si="26"/>
        <v/>
      </c>
      <c r="N105" s="37" t="str">
        <f t="shared" si="27"/>
        <v/>
      </c>
      <c r="O105" s="37" t="str">
        <f t="shared" si="28"/>
        <v/>
      </c>
      <c r="P105" s="38" t="str">
        <f t="shared" si="29"/>
        <v/>
      </c>
      <c r="Q105" s="39" t="str">
        <f t="shared" si="30"/>
        <v/>
      </c>
      <c r="R105" s="39" t="str">
        <f t="shared" si="31"/>
        <v/>
      </c>
      <c r="S105" t="str">
        <f t="shared" si="32"/>
        <v/>
      </c>
      <c r="T105" s="39" t="str">
        <f t="shared" si="33"/>
        <v/>
      </c>
      <c r="U105" t="str">
        <f t="shared" si="34"/>
        <v/>
      </c>
      <c r="V105" t="str">
        <f t="shared" si="35"/>
        <v/>
      </c>
      <c r="W105" t="str">
        <f t="shared" si="36"/>
        <v/>
      </c>
      <c r="X105" s="38" t="str">
        <f t="shared" si="37"/>
        <v/>
      </c>
      <c r="Y105" s="38" t="str">
        <f t="shared" si="38"/>
        <v/>
      </c>
      <c r="Z105" s="39" t="str">
        <f t="shared" si="39"/>
        <v/>
      </c>
      <c r="AA105" s="39" t="str">
        <f t="shared" si="40"/>
        <v/>
      </c>
      <c r="AB105" s="40" t="str">
        <f t="shared" si="41"/>
        <v/>
      </c>
      <c r="AC105" t="str">
        <f>IF(L105="","",IF(AND($AO$2=1,ISNA(MATCH(L105,'02-شباط'!$L$2:$L$501,0))),"محذوف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42"/>
        <v/>
      </c>
      <c r="AH105" s="39" t="str">
        <f t="shared" si="43"/>
        <v/>
      </c>
      <c r="AI105" s="39" t="str">
        <f t="shared" si="44"/>
        <v/>
      </c>
      <c r="AJ105" s="39" t="str">
        <f t="shared" si="45"/>
        <v/>
      </c>
      <c r="AK105" t="str">
        <f t="shared" si="46"/>
        <v/>
      </c>
      <c r="AL105" t="str">
        <f t="shared" si="47"/>
        <v/>
      </c>
    </row>
    <row r="106" spans="11:38" ht="15">
      <c r="K106" t="str">
        <f t="shared" si="24"/>
        <v/>
      </c>
      <c r="L106" t="str">
        <f t="shared" si="25"/>
        <v/>
      </c>
      <c r="M106" s="36" t="str">
        <f t="shared" si="26"/>
        <v/>
      </c>
      <c r="N106" s="37" t="str">
        <f t="shared" si="27"/>
        <v/>
      </c>
      <c r="O106" s="37" t="str">
        <f t="shared" si="28"/>
        <v/>
      </c>
      <c r="P106" s="38" t="str">
        <f t="shared" si="29"/>
        <v/>
      </c>
      <c r="Q106" s="39" t="str">
        <f t="shared" si="30"/>
        <v/>
      </c>
      <c r="R106" s="39" t="str">
        <f t="shared" si="31"/>
        <v/>
      </c>
      <c r="S106" t="str">
        <f t="shared" si="32"/>
        <v/>
      </c>
      <c r="T106" s="39" t="str">
        <f t="shared" si="33"/>
        <v/>
      </c>
      <c r="U106" t="str">
        <f t="shared" si="34"/>
        <v/>
      </c>
      <c r="V106" t="str">
        <f t="shared" si="35"/>
        <v/>
      </c>
      <c r="W106" t="str">
        <f t="shared" si="36"/>
        <v/>
      </c>
      <c r="X106" s="38" t="str">
        <f t="shared" si="37"/>
        <v/>
      </c>
      <c r="Y106" s="38" t="str">
        <f t="shared" si="38"/>
        <v/>
      </c>
      <c r="Z106" s="39" t="str">
        <f t="shared" si="39"/>
        <v/>
      </c>
      <c r="AA106" s="39" t="str">
        <f t="shared" si="40"/>
        <v/>
      </c>
      <c r="AB106" s="40" t="str">
        <f t="shared" si="41"/>
        <v/>
      </c>
      <c r="AC106" t="str">
        <f>IF(L106="","",IF(AND($AO$2=1,ISNA(MATCH(L106,'02-شباط'!$L$2:$L$501,0))),"محذوف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42"/>
        <v/>
      </c>
      <c r="AH106" s="39" t="str">
        <f t="shared" si="43"/>
        <v/>
      </c>
      <c r="AI106" s="39" t="str">
        <f t="shared" si="44"/>
        <v/>
      </c>
      <c r="AJ106" s="39" t="str">
        <f t="shared" si="45"/>
        <v/>
      </c>
      <c r="AK106" t="str">
        <f t="shared" si="46"/>
        <v/>
      </c>
      <c r="AL106" t="str">
        <f t="shared" si="47"/>
        <v/>
      </c>
    </row>
    <row r="107" spans="11:38" ht="15">
      <c r="K107" t="str">
        <f t="shared" si="24"/>
        <v/>
      </c>
      <c r="L107" t="str">
        <f t="shared" si="25"/>
        <v/>
      </c>
      <c r="M107" s="36" t="str">
        <f t="shared" si="26"/>
        <v/>
      </c>
      <c r="N107" s="37" t="str">
        <f t="shared" si="27"/>
        <v/>
      </c>
      <c r="O107" s="37" t="str">
        <f t="shared" si="28"/>
        <v/>
      </c>
      <c r="P107" s="38" t="str">
        <f t="shared" si="29"/>
        <v/>
      </c>
      <c r="Q107" s="39" t="str">
        <f t="shared" si="30"/>
        <v/>
      </c>
      <c r="R107" s="39" t="str">
        <f t="shared" si="31"/>
        <v/>
      </c>
      <c r="S107" t="str">
        <f t="shared" si="32"/>
        <v/>
      </c>
      <c r="T107" s="39" t="str">
        <f t="shared" si="33"/>
        <v/>
      </c>
      <c r="U107" t="str">
        <f t="shared" si="34"/>
        <v/>
      </c>
      <c r="V107" t="str">
        <f t="shared" si="35"/>
        <v/>
      </c>
      <c r="W107" t="str">
        <f t="shared" si="36"/>
        <v/>
      </c>
      <c r="X107" s="38" t="str">
        <f t="shared" si="37"/>
        <v/>
      </c>
      <c r="Y107" s="38" t="str">
        <f t="shared" si="38"/>
        <v/>
      </c>
      <c r="Z107" s="39" t="str">
        <f t="shared" si="39"/>
        <v/>
      </c>
      <c r="AA107" s="39" t="str">
        <f t="shared" si="40"/>
        <v/>
      </c>
      <c r="AB107" s="40" t="str">
        <f t="shared" si="41"/>
        <v/>
      </c>
      <c r="AC107" t="str">
        <f>IF(L107="","",IF(AND($AO$2=1,ISNA(MATCH(L107,'02-شباط'!$L$2:$L$501,0))),"محذوف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42"/>
        <v/>
      </c>
      <c r="AH107" s="39" t="str">
        <f t="shared" si="43"/>
        <v/>
      </c>
      <c r="AI107" s="39" t="str">
        <f t="shared" si="44"/>
        <v/>
      </c>
      <c r="AJ107" s="39" t="str">
        <f t="shared" si="45"/>
        <v/>
      </c>
      <c r="AK107" t="str">
        <f t="shared" si="46"/>
        <v/>
      </c>
      <c r="AL107" t="str">
        <f t="shared" si="47"/>
        <v/>
      </c>
    </row>
    <row r="108" spans="11:38" ht="15">
      <c r="K108" t="str">
        <f t="shared" si="24"/>
        <v/>
      </c>
      <c r="L108" t="str">
        <f t="shared" si="25"/>
        <v/>
      </c>
      <c r="M108" s="36" t="str">
        <f t="shared" si="26"/>
        <v/>
      </c>
      <c r="N108" s="37" t="str">
        <f t="shared" si="27"/>
        <v/>
      </c>
      <c r="O108" s="37" t="str">
        <f t="shared" si="28"/>
        <v/>
      </c>
      <c r="P108" s="38" t="str">
        <f t="shared" si="29"/>
        <v/>
      </c>
      <c r="Q108" s="39" t="str">
        <f t="shared" si="30"/>
        <v/>
      </c>
      <c r="R108" s="39" t="str">
        <f t="shared" si="31"/>
        <v/>
      </c>
      <c r="S108" t="str">
        <f t="shared" si="32"/>
        <v/>
      </c>
      <c r="T108" s="39" t="str">
        <f t="shared" si="33"/>
        <v/>
      </c>
      <c r="U108" t="str">
        <f t="shared" si="34"/>
        <v/>
      </c>
      <c r="V108" t="str">
        <f t="shared" si="35"/>
        <v/>
      </c>
      <c r="W108" t="str">
        <f t="shared" si="36"/>
        <v/>
      </c>
      <c r="X108" s="38" t="str">
        <f t="shared" si="37"/>
        <v/>
      </c>
      <c r="Y108" s="38" t="str">
        <f t="shared" si="38"/>
        <v/>
      </c>
      <c r="Z108" s="39" t="str">
        <f t="shared" si="39"/>
        <v/>
      </c>
      <c r="AA108" s="39" t="str">
        <f t="shared" si="40"/>
        <v/>
      </c>
      <c r="AB108" s="40" t="str">
        <f t="shared" si="41"/>
        <v/>
      </c>
      <c r="AC108" t="str">
        <f>IF(L108="","",IF(AND($AO$2=1,ISNA(MATCH(L108,'02-شباط'!$L$2:$L$501,0))),"محذوف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42"/>
        <v/>
      </c>
      <c r="AH108" s="39" t="str">
        <f t="shared" si="43"/>
        <v/>
      </c>
      <c r="AI108" s="39" t="str">
        <f t="shared" si="44"/>
        <v/>
      </c>
      <c r="AJ108" s="39" t="str">
        <f t="shared" si="45"/>
        <v/>
      </c>
      <c r="AK108" t="str">
        <f t="shared" si="46"/>
        <v/>
      </c>
      <c r="AL108" t="str">
        <f t="shared" si="47"/>
        <v/>
      </c>
    </row>
    <row r="109" spans="11:38" ht="15">
      <c r="K109" t="str">
        <f t="shared" si="24"/>
        <v/>
      </c>
      <c r="L109" t="str">
        <f t="shared" si="25"/>
        <v/>
      </c>
      <c r="M109" s="36" t="str">
        <f t="shared" si="26"/>
        <v/>
      </c>
      <c r="N109" s="37" t="str">
        <f t="shared" si="27"/>
        <v/>
      </c>
      <c r="O109" s="37" t="str">
        <f t="shared" si="28"/>
        <v/>
      </c>
      <c r="P109" s="38" t="str">
        <f t="shared" si="29"/>
        <v/>
      </c>
      <c r="Q109" s="39" t="str">
        <f t="shared" si="30"/>
        <v/>
      </c>
      <c r="R109" s="39" t="str">
        <f t="shared" si="31"/>
        <v/>
      </c>
      <c r="S109" t="str">
        <f t="shared" si="32"/>
        <v/>
      </c>
      <c r="T109" s="39" t="str">
        <f t="shared" si="33"/>
        <v/>
      </c>
      <c r="U109" t="str">
        <f t="shared" si="34"/>
        <v/>
      </c>
      <c r="V109" t="str">
        <f t="shared" si="35"/>
        <v/>
      </c>
      <c r="W109" t="str">
        <f t="shared" si="36"/>
        <v/>
      </c>
      <c r="X109" s="38" t="str">
        <f t="shared" si="37"/>
        <v/>
      </c>
      <c r="Y109" s="38" t="str">
        <f t="shared" si="38"/>
        <v/>
      </c>
      <c r="Z109" s="39" t="str">
        <f t="shared" si="39"/>
        <v/>
      </c>
      <c r="AA109" s="39" t="str">
        <f t="shared" si="40"/>
        <v/>
      </c>
      <c r="AB109" s="40" t="str">
        <f t="shared" si="41"/>
        <v/>
      </c>
      <c r="AC109" t="str">
        <f>IF(L109="","",IF(AND($AO$2=1,ISNA(MATCH(L109,'02-شباط'!$L$2:$L$501,0))),"محذوف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42"/>
        <v/>
      </c>
      <c r="AH109" s="39" t="str">
        <f t="shared" si="43"/>
        <v/>
      </c>
      <c r="AI109" s="39" t="str">
        <f t="shared" si="44"/>
        <v/>
      </c>
      <c r="AJ109" s="39" t="str">
        <f t="shared" si="45"/>
        <v/>
      </c>
      <c r="AK109" t="str">
        <f t="shared" si="46"/>
        <v/>
      </c>
      <c r="AL109" t="str">
        <f t="shared" si="47"/>
        <v/>
      </c>
    </row>
    <row r="110" spans="11:38" ht="15">
      <c r="K110" t="str">
        <f t="shared" si="24"/>
        <v/>
      </c>
      <c r="L110" t="str">
        <f t="shared" si="25"/>
        <v/>
      </c>
      <c r="M110" s="36" t="str">
        <f t="shared" si="26"/>
        <v/>
      </c>
      <c r="N110" s="37" t="str">
        <f t="shared" si="27"/>
        <v/>
      </c>
      <c r="O110" s="37" t="str">
        <f t="shared" si="28"/>
        <v/>
      </c>
      <c r="P110" s="38" t="str">
        <f t="shared" si="29"/>
        <v/>
      </c>
      <c r="Q110" s="39" t="str">
        <f t="shared" si="30"/>
        <v/>
      </c>
      <c r="R110" s="39" t="str">
        <f t="shared" si="31"/>
        <v/>
      </c>
      <c r="S110" t="str">
        <f t="shared" si="32"/>
        <v/>
      </c>
      <c r="T110" s="39" t="str">
        <f t="shared" si="33"/>
        <v/>
      </c>
      <c r="U110" t="str">
        <f t="shared" si="34"/>
        <v/>
      </c>
      <c r="V110" t="str">
        <f t="shared" si="35"/>
        <v/>
      </c>
      <c r="W110" t="str">
        <f t="shared" si="36"/>
        <v/>
      </c>
      <c r="X110" s="38" t="str">
        <f t="shared" si="37"/>
        <v/>
      </c>
      <c r="Y110" s="38" t="str">
        <f t="shared" si="38"/>
        <v/>
      </c>
      <c r="Z110" s="39" t="str">
        <f t="shared" si="39"/>
        <v/>
      </c>
      <c r="AA110" s="39" t="str">
        <f t="shared" si="40"/>
        <v/>
      </c>
      <c r="AB110" s="40" t="str">
        <f t="shared" si="41"/>
        <v/>
      </c>
      <c r="AC110" t="str">
        <f>IF(L110="","",IF(AND($AO$2=1,ISNA(MATCH(L110,'02-شباط'!$L$2:$L$501,0))),"محذوف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42"/>
        <v/>
      </c>
      <c r="AH110" s="39" t="str">
        <f t="shared" si="43"/>
        <v/>
      </c>
      <c r="AI110" s="39" t="str">
        <f t="shared" si="44"/>
        <v/>
      </c>
      <c r="AJ110" s="39" t="str">
        <f t="shared" si="45"/>
        <v/>
      </c>
      <c r="AK110" t="str">
        <f t="shared" si="46"/>
        <v/>
      </c>
      <c r="AL110" t="str">
        <f t="shared" si="47"/>
        <v/>
      </c>
    </row>
    <row r="111" spans="11:38" ht="15">
      <c r="K111" t="str">
        <f t="shared" si="24"/>
        <v/>
      </c>
      <c r="L111" t="str">
        <f t="shared" si="25"/>
        <v/>
      </c>
      <c r="M111" s="36" t="str">
        <f t="shared" si="26"/>
        <v/>
      </c>
      <c r="N111" s="37" t="str">
        <f t="shared" si="27"/>
        <v/>
      </c>
      <c r="O111" s="37" t="str">
        <f t="shared" si="28"/>
        <v/>
      </c>
      <c r="P111" s="38" t="str">
        <f t="shared" si="29"/>
        <v/>
      </c>
      <c r="Q111" s="39" t="str">
        <f t="shared" si="30"/>
        <v/>
      </c>
      <c r="R111" s="39" t="str">
        <f t="shared" si="31"/>
        <v/>
      </c>
      <c r="S111" t="str">
        <f t="shared" si="32"/>
        <v/>
      </c>
      <c r="T111" s="39" t="str">
        <f t="shared" si="33"/>
        <v/>
      </c>
      <c r="U111" t="str">
        <f t="shared" si="34"/>
        <v/>
      </c>
      <c r="V111" t="str">
        <f t="shared" si="35"/>
        <v/>
      </c>
      <c r="W111" t="str">
        <f t="shared" si="36"/>
        <v/>
      </c>
      <c r="X111" s="38" t="str">
        <f t="shared" si="37"/>
        <v/>
      </c>
      <c r="Y111" s="38" t="str">
        <f t="shared" si="38"/>
        <v/>
      </c>
      <c r="Z111" s="39" t="str">
        <f t="shared" si="39"/>
        <v/>
      </c>
      <c r="AA111" s="39" t="str">
        <f t="shared" si="40"/>
        <v/>
      </c>
      <c r="AB111" s="40" t="str">
        <f t="shared" si="41"/>
        <v/>
      </c>
      <c r="AC111" t="str">
        <f>IF(L111="","",IF(AND($AO$2=1,ISNA(MATCH(L111,'02-شباط'!$L$2:$L$501,0))),"محذوف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42"/>
        <v/>
      </c>
      <c r="AH111" s="39" t="str">
        <f t="shared" si="43"/>
        <v/>
      </c>
      <c r="AI111" s="39" t="str">
        <f t="shared" si="44"/>
        <v/>
      </c>
      <c r="AJ111" s="39" t="str">
        <f t="shared" si="45"/>
        <v/>
      </c>
      <c r="AK111" t="str">
        <f t="shared" si="46"/>
        <v/>
      </c>
      <c r="AL111" t="str">
        <f t="shared" si="47"/>
        <v/>
      </c>
    </row>
    <row r="112" spans="11:38" ht="15">
      <c r="K112" t="str">
        <f t="shared" si="24"/>
        <v/>
      </c>
      <c r="L112" t="str">
        <f t="shared" si="25"/>
        <v/>
      </c>
      <c r="M112" s="36" t="str">
        <f t="shared" si="26"/>
        <v/>
      </c>
      <c r="N112" s="37" t="str">
        <f t="shared" si="27"/>
        <v/>
      </c>
      <c r="O112" s="37" t="str">
        <f t="shared" si="28"/>
        <v/>
      </c>
      <c r="P112" s="38" t="str">
        <f t="shared" si="29"/>
        <v/>
      </c>
      <c r="Q112" s="39" t="str">
        <f t="shared" si="30"/>
        <v/>
      </c>
      <c r="R112" s="39" t="str">
        <f t="shared" si="31"/>
        <v/>
      </c>
      <c r="S112" t="str">
        <f t="shared" si="32"/>
        <v/>
      </c>
      <c r="T112" s="39" t="str">
        <f t="shared" si="33"/>
        <v/>
      </c>
      <c r="U112" t="str">
        <f t="shared" si="34"/>
        <v/>
      </c>
      <c r="V112" t="str">
        <f t="shared" si="35"/>
        <v/>
      </c>
      <c r="W112" t="str">
        <f t="shared" si="36"/>
        <v/>
      </c>
      <c r="X112" s="38" t="str">
        <f t="shared" si="37"/>
        <v/>
      </c>
      <c r="Y112" s="38" t="str">
        <f t="shared" si="38"/>
        <v/>
      </c>
      <c r="Z112" s="39" t="str">
        <f t="shared" si="39"/>
        <v/>
      </c>
      <c r="AA112" s="39" t="str">
        <f t="shared" si="40"/>
        <v/>
      </c>
      <c r="AB112" s="40" t="str">
        <f t="shared" si="41"/>
        <v/>
      </c>
      <c r="AC112" t="str">
        <f>IF(L112="","",IF(AND($AO$2=1,ISNA(MATCH(L112,'02-شباط'!$L$2:$L$501,0))),"محذوف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42"/>
        <v/>
      </c>
      <c r="AH112" s="39" t="str">
        <f t="shared" si="43"/>
        <v/>
      </c>
      <c r="AI112" s="39" t="str">
        <f t="shared" si="44"/>
        <v/>
      </c>
      <c r="AJ112" s="39" t="str">
        <f t="shared" si="45"/>
        <v/>
      </c>
      <c r="AK112" t="str">
        <f t="shared" si="46"/>
        <v/>
      </c>
      <c r="AL112" t="str">
        <f t="shared" si="47"/>
        <v/>
      </c>
    </row>
    <row r="113" spans="11:38" ht="15">
      <c r="K113" t="str">
        <f t="shared" si="24"/>
        <v/>
      </c>
      <c r="L113" t="str">
        <f t="shared" si="25"/>
        <v/>
      </c>
      <c r="M113" s="36" t="str">
        <f t="shared" si="26"/>
        <v/>
      </c>
      <c r="N113" s="37" t="str">
        <f t="shared" si="27"/>
        <v/>
      </c>
      <c r="O113" s="37" t="str">
        <f t="shared" si="28"/>
        <v/>
      </c>
      <c r="P113" s="38" t="str">
        <f t="shared" si="29"/>
        <v/>
      </c>
      <c r="Q113" s="39" t="str">
        <f t="shared" si="30"/>
        <v/>
      </c>
      <c r="R113" s="39" t="str">
        <f t="shared" si="31"/>
        <v/>
      </c>
      <c r="S113" t="str">
        <f t="shared" si="32"/>
        <v/>
      </c>
      <c r="T113" s="39" t="str">
        <f t="shared" si="33"/>
        <v/>
      </c>
      <c r="U113" t="str">
        <f t="shared" si="34"/>
        <v/>
      </c>
      <c r="V113" t="str">
        <f t="shared" si="35"/>
        <v/>
      </c>
      <c r="W113" t="str">
        <f t="shared" si="36"/>
        <v/>
      </c>
      <c r="X113" s="38" t="str">
        <f t="shared" si="37"/>
        <v/>
      </c>
      <c r="Y113" s="38" t="str">
        <f t="shared" si="38"/>
        <v/>
      </c>
      <c r="Z113" s="39" t="str">
        <f t="shared" si="39"/>
        <v/>
      </c>
      <c r="AA113" s="39" t="str">
        <f t="shared" si="40"/>
        <v/>
      </c>
      <c r="AB113" s="40" t="str">
        <f t="shared" si="41"/>
        <v/>
      </c>
      <c r="AC113" t="str">
        <f>IF(L113="","",IF(AND($AO$2=1,ISNA(MATCH(L113,'02-شباط'!$L$2:$L$501,0))),"محذوف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42"/>
        <v/>
      </c>
      <c r="AH113" s="39" t="str">
        <f t="shared" si="43"/>
        <v/>
      </c>
      <c r="AI113" s="39" t="str">
        <f t="shared" si="44"/>
        <v/>
      </c>
      <c r="AJ113" s="39" t="str">
        <f t="shared" si="45"/>
        <v/>
      </c>
      <c r="AK113" t="str">
        <f t="shared" si="46"/>
        <v/>
      </c>
      <c r="AL113" t="str">
        <f t="shared" si="47"/>
        <v/>
      </c>
    </row>
    <row r="114" spans="11:38" ht="15">
      <c r="K114" t="str">
        <f t="shared" si="24"/>
        <v/>
      </c>
      <c r="L114" t="str">
        <f t="shared" si="25"/>
        <v/>
      </c>
      <c r="M114" s="36" t="str">
        <f t="shared" si="26"/>
        <v/>
      </c>
      <c r="N114" s="37" t="str">
        <f t="shared" si="27"/>
        <v/>
      </c>
      <c r="O114" s="37" t="str">
        <f t="shared" si="28"/>
        <v/>
      </c>
      <c r="P114" s="38" t="str">
        <f t="shared" si="29"/>
        <v/>
      </c>
      <c r="Q114" s="39" t="str">
        <f t="shared" si="30"/>
        <v/>
      </c>
      <c r="R114" s="39" t="str">
        <f t="shared" si="31"/>
        <v/>
      </c>
      <c r="S114" t="str">
        <f t="shared" si="32"/>
        <v/>
      </c>
      <c r="T114" s="39" t="str">
        <f t="shared" si="33"/>
        <v/>
      </c>
      <c r="U114" t="str">
        <f t="shared" si="34"/>
        <v/>
      </c>
      <c r="V114" t="str">
        <f t="shared" si="35"/>
        <v/>
      </c>
      <c r="W114" t="str">
        <f t="shared" si="36"/>
        <v/>
      </c>
      <c r="X114" s="38" t="str">
        <f t="shared" si="37"/>
        <v/>
      </c>
      <c r="Y114" s="38" t="str">
        <f t="shared" si="38"/>
        <v/>
      </c>
      <c r="Z114" s="39" t="str">
        <f t="shared" si="39"/>
        <v/>
      </c>
      <c r="AA114" s="39" t="str">
        <f t="shared" si="40"/>
        <v/>
      </c>
      <c r="AB114" s="40" t="str">
        <f t="shared" si="41"/>
        <v/>
      </c>
      <c r="AC114" t="str">
        <f>IF(L114="","",IF(AND($AO$2=1,ISNA(MATCH(L114,'02-شباط'!$L$2:$L$501,0))),"محذوف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42"/>
        <v/>
      </c>
      <c r="AH114" s="39" t="str">
        <f t="shared" si="43"/>
        <v/>
      </c>
      <c r="AI114" s="39" t="str">
        <f t="shared" si="44"/>
        <v/>
      </c>
      <c r="AJ114" s="39" t="str">
        <f t="shared" si="45"/>
        <v/>
      </c>
      <c r="AK114" t="str">
        <f t="shared" si="46"/>
        <v/>
      </c>
      <c r="AL114" t="str">
        <f t="shared" si="47"/>
        <v/>
      </c>
    </row>
    <row r="115" spans="11:38" ht="15">
      <c r="K115" t="str">
        <f t="shared" si="24"/>
        <v/>
      </c>
      <c r="L115" t="str">
        <f t="shared" si="25"/>
        <v/>
      </c>
      <c r="M115" s="36" t="str">
        <f t="shared" si="26"/>
        <v/>
      </c>
      <c r="N115" s="37" t="str">
        <f t="shared" si="27"/>
        <v/>
      </c>
      <c r="O115" s="37" t="str">
        <f t="shared" si="28"/>
        <v/>
      </c>
      <c r="P115" s="38" t="str">
        <f t="shared" si="29"/>
        <v/>
      </c>
      <c r="Q115" s="39" t="str">
        <f t="shared" si="30"/>
        <v/>
      </c>
      <c r="R115" s="39" t="str">
        <f t="shared" si="31"/>
        <v/>
      </c>
      <c r="S115" t="str">
        <f t="shared" si="32"/>
        <v/>
      </c>
      <c r="T115" s="39" t="str">
        <f t="shared" si="33"/>
        <v/>
      </c>
      <c r="U115" t="str">
        <f t="shared" si="34"/>
        <v/>
      </c>
      <c r="V115" t="str">
        <f t="shared" si="35"/>
        <v/>
      </c>
      <c r="W115" t="str">
        <f t="shared" si="36"/>
        <v/>
      </c>
      <c r="X115" s="38" t="str">
        <f t="shared" si="37"/>
        <v/>
      </c>
      <c r="Y115" s="38" t="str">
        <f t="shared" si="38"/>
        <v/>
      </c>
      <c r="Z115" s="39" t="str">
        <f t="shared" si="39"/>
        <v/>
      </c>
      <c r="AA115" s="39" t="str">
        <f t="shared" si="40"/>
        <v/>
      </c>
      <c r="AB115" s="40" t="str">
        <f t="shared" si="41"/>
        <v/>
      </c>
      <c r="AC115" t="str">
        <f>IF(L115="","",IF(AND($AO$2=1,ISNA(MATCH(L115,'02-شباط'!$L$2:$L$501,0))),"محذوف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42"/>
        <v/>
      </c>
      <c r="AH115" s="39" t="str">
        <f t="shared" si="43"/>
        <v/>
      </c>
      <c r="AI115" s="39" t="str">
        <f t="shared" si="44"/>
        <v/>
      </c>
      <c r="AJ115" s="39" t="str">
        <f t="shared" si="45"/>
        <v/>
      </c>
      <c r="AK115" t="str">
        <f t="shared" si="46"/>
        <v/>
      </c>
      <c r="AL115" t="str">
        <f t="shared" si="47"/>
        <v/>
      </c>
    </row>
    <row r="116" spans="11:38" ht="15">
      <c r="K116" t="str">
        <f t="shared" si="24"/>
        <v/>
      </c>
      <c r="L116" t="str">
        <f t="shared" si="25"/>
        <v/>
      </c>
      <c r="M116" s="36" t="str">
        <f t="shared" si="26"/>
        <v/>
      </c>
      <c r="N116" s="37" t="str">
        <f t="shared" si="27"/>
        <v/>
      </c>
      <c r="O116" s="37" t="str">
        <f t="shared" si="28"/>
        <v/>
      </c>
      <c r="P116" s="38" t="str">
        <f t="shared" si="29"/>
        <v/>
      </c>
      <c r="Q116" s="39" t="str">
        <f t="shared" si="30"/>
        <v/>
      </c>
      <c r="R116" s="39" t="str">
        <f t="shared" si="31"/>
        <v/>
      </c>
      <c r="S116" t="str">
        <f t="shared" si="32"/>
        <v/>
      </c>
      <c r="T116" s="39" t="str">
        <f t="shared" si="33"/>
        <v/>
      </c>
      <c r="U116" t="str">
        <f t="shared" si="34"/>
        <v/>
      </c>
      <c r="V116" t="str">
        <f t="shared" si="35"/>
        <v/>
      </c>
      <c r="W116" t="str">
        <f t="shared" si="36"/>
        <v/>
      </c>
      <c r="X116" s="38" t="str">
        <f t="shared" si="37"/>
        <v/>
      </c>
      <c r="Y116" s="38" t="str">
        <f t="shared" si="38"/>
        <v/>
      </c>
      <c r="Z116" s="39" t="str">
        <f t="shared" si="39"/>
        <v/>
      </c>
      <c r="AA116" s="39" t="str">
        <f t="shared" si="40"/>
        <v/>
      </c>
      <c r="AB116" s="40" t="str">
        <f t="shared" si="41"/>
        <v/>
      </c>
      <c r="AC116" t="str">
        <f>IF(L116="","",IF(AND($AO$2=1,ISNA(MATCH(L116,'02-شباط'!$L$2:$L$501,0))),"محذوف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42"/>
        <v/>
      </c>
      <c r="AH116" s="39" t="str">
        <f t="shared" si="43"/>
        <v/>
      </c>
      <c r="AI116" s="39" t="str">
        <f t="shared" si="44"/>
        <v/>
      </c>
      <c r="AJ116" s="39" t="str">
        <f t="shared" si="45"/>
        <v/>
      </c>
      <c r="AK116" t="str">
        <f t="shared" si="46"/>
        <v/>
      </c>
      <c r="AL116" t="str">
        <f t="shared" si="47"/>
        <v/>
      </c>
    </row>
    <row r="117" spans="11:38" ht="15">
      <c r="K117" t="str">
        <f t="shared" si="24"/>
        <v/>
      </c>
      <c r="L117" t="str">
        <f t="shared" si="25"/>
        <v/>
      </c>
      <c r="M117" s="36" t="str">
        <f t="shared" si="26"/>
        <v/>
      </c>
      <c r="N117" s="37" t="str">
        <f t="shared" si="27"/>
        <v/>
      </c>
      <c r="O117" s="37" t="str">
        <f t="shared" si="28"/>
        <v/>
      </c>
      <c r="P117" s="38" t="str">
        <f t="shared" si="29"/>
        <v/>
      </c>
      <c r="Q117" s="39" t="str">
        <f t="shared" si="30"/>
        <v/>
      </c>
      <c r="R117" s="39" t="str">
        <f t="shared" si="31"/>
        <v/>
      </c>
      <c r="S117" t="str">
        <f t="shared" si="32"/>
        <v/>
      </c>
      <c r="T117" s="39" t="str">
        <f t="shared" si="33"/>
        <v/>
      </c>
      <c r="U117" t="str">
        <f t="shared" si="34"/>
        <v/>
      </c>
      <c r="V117" t="str">
        <f t="shared" si="35"/>
        <v/>
      </c>
      <c r="W117" t="str">
        <f t="shared" si="36"/>
        <v/>
      </c>
      <c r="X117" s="38" t="str">
        <f t="shared" si="37"/>
        <v/>
      </c>
      <c r="Y117" s="38" t="str">
        <f t="shared" si="38"/>
        <v/>
      </c>
      <c r="Z117" s="39" t="str">
        <f t="shared" si="39"/>
        <v/>
      </c>
      <c r="AA117" s="39" t="str">
        <f t="shared" si="40"/>
        <v/>
      </c>
      <c r="AB117" s="40" t="str">
        <f t="shared" si="41"/>
        <v/>
      </c>
      <c r="AC117" t="str">
        <f>IF(L117="","",IF(AND($AO$2=1,ISNA(MATCH(L117,'02-شباط'!$L$2:$L$501,0))),"محذوف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42"/>
        <v/>
      </c>
      <c r="AH117" s="39" t="str">
        <f t="shared" si="43"/>
        <v/>
      </c>
      <c r="AI117" s="39" t="str">
        <f t="shared" si="44"/>
        <v/>
      </c>
      <c r="AJ117" s="39" t="str">
        <f t="shared" si="45"/>
        <v/>
      </c>
      <c r="AK117" t="str">
        <f t="shared" si="46"/>
        <v/>
      </c>
      <c r="AL117" t="str">
        <f t="shared" si="47"/>
        <v/>
      </c>
    </row>
    <row r="118" spans="11:38" ht="15">
      <c r="K118" t="str">
        <f t="shared" si="24"/>
        <v/>
      </c>
      <c r="L118" t="str">
        <f t="shared" si="25"/>
        <v/>
      </c>
      <c r="M118" s="36" t="str">
        <f t="shared" si="26"/>
        <v/>
      </c>
      <c r="N118" s="37" t="str">
        <f t="shared" si="27"/>
        <v/>
      </c>
      <c r="O118" s="37" t="str">
        <f t="shared" si="28"/>
        <v/>
      </c>
      <c r="P118" s="38" t="str">
        <f t="shared" si="29"/>
        <v/>
      </c>
      <c r="Q118" s="39" t="str">
        <f t="shared" si="30"/>
        <v/>
      </c>
      <c r="R118" s="39" t="str">
        <f t="shared" si="31"/>
        <v/>
      </c>
      <c r="S118" t="str">
        <f t="shared" si="32"/>
        <v/>
      </c>
      <c r="T118" s="39" t="str">
        <f t="shared" si="33"/>
        <v/>
      </c>
      <c r="U118" t="str">
        <f t="shared" si="34"/>
        <v/>
      </c>
      <c r="V118" t="str">
        <f t="shared" si="35"/>
        <v/>
      </c>
      <c r="W118" t="str">
        <f t="shared" si="36"/>
        <v/>
      </c>
      <c r="X118" s="38" t="str">
        <f t="shared" si="37"/>
        <v/>
      </c>
      <c r="Y118" s="38" t="str">
        <f t="shared" si="38"/>
        <v/>
      </c>
      <c r="Z118" s="39" t="str">
        <f t="shared" si="39"/>
        <v/>
      </c>
      <c r="AA118" s="39" t="str">
        <f t="shared" si="40"/>
        <v/>
      </c>
      <c r="AB118" s="40" t="str">
        <f t="shared" si="41"/>
        <v/>
      </c>
      <c r="AC118" t="str">
        <f>IF(L118="","",IF(AND($AO$2=1,ISNA(MATCH(L118,'02-شباط'!$L$2:$L$501,0))),"محذوف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42"/>
        <v/>
      </c>
      <c r="AH118" s="39" t="str">
        <f t="shared" si="43"/>
        <v/>
      </c>
      <c r="AI118" s="39" t="str">
        <f t="shared" si="44"/>
        <v/>
      </c>
      <c r="AJ118" s="39" t="str">
        <f t="shared" si="45"/>
        <v/>
      </c>
      <c r="AK118" t="str">
        <f t="shared" si="46"/>
        <v/>
      </c>
      <c r="AL118" t="str">
        <f t="shared" si="47"/>
        <v/>
      </c>
    </row>
    <row r="119" spans="11:38" ht="15">
      <c r="K119" t="str">
        <f t="shared" si="24"/>
        <v/>
      </c>
      <c r="L119" t="str">
        <f t="shared" si="25"/>
        <v/>
      </c>
      <c r="M119" s="36" t="str">
        <f t="shared" si="26"/>
        <v/>
      </c>
      <c r="N119" s="37" t="str">
        <f t="shared" si="27"/>
        <v/>
      </c>
      <c r="O119" s="37" t="str">
        <f t="shared" si="28"/>
        <v/>
      </c>
      <c r="P119" s="38" t="str">
        <f t="shared" si="29"/>
        <v/>
      </c>
      <c r="Q119" s="39" t="str">
        <f t="shared" si="30"/>
        <v/>
      </c>
      <c r="R119" s="39" t="str">
        <f t="shared" si="31"/>
        <v/>
      </c>
      <c r="S119" t="str">
        <f t="shared" si="32"/>
        <v/>
      </c>
      <c r="T119" s="39" t="str">
        <f t="shared" si="33"/>
        <v/>
      </c>
      <c r="U119" t="str">
        <f t="shared" si="34"/>
        <v/>
      </c>
      <c r="V119" t="str">
        <f t="shared" si="35"/>
        <v/>
      </c>
      <c r="W119" t="str">
        <f t="shared" si="36"/>
        <v/>
      </c>
      <c r="X119" s="38" t="str">
        <f t="shared" si="37"/>
        <v/>
      </c>
      <c r="Y119" s="38" t="str">
        <f t="shared" si="38"/>
        <v/>
      </c>
      <c r="Z119" s="39" t="str">
        <f t="shared" si="39"/>
        <v/>
      </c>
      <c r="AA119" s="39" t="str">
        <f t="shared" si="40"/>
        <v/>
      </c>
      <c r="AB119" s="40" t="str">
        <f t="shared" si="41"/>
        <v/>
      </c>
      <c r="AC119" t="str">
        <f>IF(L119="","",IF(AND($AO$2=1,ISNA(MATCH(L119,'02-شباط'!$L$2:$L$501,0))),"محذوف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42"/>
        <v/>
      </c>
      <c r="AH119" s="39" t="str">
        <f t="shared" si="43"/>
        <v/>
      </c>
      <c r="AI119" s="39" t="str">
        <f t="shared" si="44"/>
        <v/>
      </c>
      <c r="AJ119" s="39" t="str">
        <f t="shared" si="45"/>
        <v/>
      </c>
      <c r="AK119" t="str">
        <f t="shared" si="46"/>
        <v/>
      </c>
      <c r="AL119" t="str">
        <f t="shared" si="47"/>
        <v/>
      </c>
    </row>
    <row r="120" spans="11:38" ht="15">
      <c r="K120" t="str">
        <f t="shared" si="24"/>
        <v/>
      </c>
      <c r="L120" t="str">
        <f t="shared" si="25"/>
        <v/>
      </c>
      <c r="M120" s="36" t="str">
        <f t="shared" si="26"/>
        <v/>
      </c>
      <c r="N120" s="37" t="str">
        <f t="shared" si="27"/>
        <v/>
      </c>
      <c r="O120" s="37" t="str">
        <f t="shared" si="28"/>
        <v/>
      </c>
      <c r="P120" s="38" t="str">
        <f t="shared" si="29"/>
        <v/>
      </c>
      <c r="Q120" s="39" t="str">
        <f t="shared" si="30"/>
        <v/>
      </c>
      <c r="R120" s="39" t="str">
        <f t="shared" si="31"/>
        <v/>
      </c>
      <c r="S120" t="str">
        <f t="shared" si="32"/>
        <v/>
      </c>
      <c r="T120" s="39" t="str">
        <f t="shared" si="33"/>
        <v/>
      </c>
      <c r="U120" t="str">
        <f t="shared" si="34"/>
        <v/>
      </c>
      <c r="V120" t="str">
        <f t="shared" si="35"/>
        <v/>
      </c>
      <c r="W120" t="str">
        <f t="shared" si="36"/>
        <v/>
      </c>
      <c r="X120" s="38" t="str">
        <f t="shared" si="37"/>
        <v/>
      </c>
      <c r="Y120" s="38" t="str">
        <f t="shared" si="38"/>
        <v/>
      </c>
      <c r="Z120" s="39" t="str">
        <f t="shared" si="39"/>
        <v/>
      </c>
      <c r="AA120" s="39" t="str">
        <f t="shared" si="40"/>
        <v/>
      </c>
      <c r="AB120" s="40" t="str">
        <f t="shared" si="41"/>
        <v/>
      </c>
      <c r="AC120" t="str">
        <f>IF(L120="","",IF(AND($AO$2=1,ISNA(MATCH(L120,'02-شباط'!$L$2:$L$501,0))),"محذوف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42"/>
        <v/>
      </c>
      <c r="AH120" s="39" t="str">
        <f t="shared" si="43"/>
        <v/>
      </c>
      <c r="AI120" s="39" t="str">
        <f t="shared" si="44"/>
        <v/>
      </c>
      <c r="AJ120" s="39" t="str">
        <f t="shared" si="45"/>
        <v/>
      </c>
      <c r="AK120" t="str">
        <f t="shared" si="46"/>
        <v/>
      </c>
      <c r="AL120" t="str">
        <f t="shared" si="47"/>
        <v/>
      </c>
    </row>
    <row r="121" spans="11:38" ht="15">
      <c r="K121" t="str">
        <f t="shared" si="24"/>
        <v/>
      </c>
      <c r="L121" t="str">
        <f t="shared" si="25"/>
        <v/>
      </c>
      <c r="M121" s="36" t="str">
        <f t="shared" si="26"/>
        <v/>
      </c>
      <c r="N121" s="37" t="str">
        <f t="shared" si="27"/>
        <v/>
      </c>
      <c r="O121" s="37" t="str">
        <f t="shared" si="28"/>
        <v/>
      </c>
      <c r="P121" s="38" t="str">
        <f t="shared" si="29"/>
        <v/>
      </c>
      <c r="Q121" s="39" t="str">
        <f t="shared" si="30"/>
        <v/>
      </c>
      <c r="R121" s="39" t="str">
        <f t="shared" si="31"/>
        <v/>
      </c>
      <c r="S121" t="str">
        <f t="shared" si="32"/>
        <v/>
      </c>
      <c r="T121" s="39" t="str">
        <f t="shared" si="33"/>
        <v/>
      </c>
      <c r="U121" t="str">
        <f t="shared" si="34"/>
        <v/>
      </c>
      <c r="V121" t="str">
        <f t="shared" si="35"/>
        <v/>
      </c>
      <c r="W121" t="str">
        <f t="shared" si="36"/>
        <v/>
      </c>
      <c r="X121" s="38" t="str">
        <f t="shared" si="37"/>
        <v/>
      </c>
      <c r="Y121" s="38" t="str">
        <f t="shared" si="38"/>
        <v/>
      </c>
      <c r="Z121" s="39" t="str">
        <f t="shared" si="39"/>
        <v/>
      </c>
      <c r="AA121" s="39" t="str">
        <f t="shared" si="40"/>
        <v/>
      </c>
      <c r="AB121" s="40" t="str">
        <f t="shared" si="41"/>
        <v/>
      </c>
      <c r="AC121" t="str">
        <f>IF(L121="","",IF(AND($AO$2=1,ISNA(MATCH(L121,'02-شباط'!$L$2:$L$501,0))),"محذوف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42"/>
        <v/>
      </c>
      <c r="AH121" s="39" t="str">
        <f t="shared" si="43"/>
        <v/>
      </c>
      <c r="AI121" s="39" t="str">
        <f t="shared" si="44"/>
        <v/>
      </c>
      <c r="AJ121" s="39" t="str">
        <f t="shared" si="45"/>
        <v/>
      </c>
      <c r="AK121" t="str">
        <f t="shared" si="46"/>
        <v/>
      </c>
      <c r="AL121" t="str">
        <f t="shared" si="47"/>
        <v/>
      </c>
    </row>
    <row r="122" spans="11:38" ht="15">
      <c r="K122" t="str">
        <f t="shared" si="24"/>
        <v/>
      </c>
      <c r="L122" t="str">
        <f t="shared" si="25"/>
        <v/>
      </c>
      <c r="M122" s="36" t="str">
        <f t="shared" si="26"/>
        <v/>
      </c>
      <c r="N122" s="37" t="str">
        <f t="shared" si="27"/>
        <v/>
      </c>
      <c r="O122" s="37" t="str">
        <f t="shared" si="28"/>
        <v/>
      </c>
      <c r="P122" s="38" t="str">
        <f t="shared" si="29"/>
        <v/>
      </c>
      <c r="Q122" s="39" t="str">
        <f t="shared" si="30"/>
        <v/>
      </c>
      <c r="R122" s="39" t="str">
        <f t="shared" si="31"/>
        <v/>
      </c>
      <c r="S122" t="str">
        <f t="shared" si="32"/>
        <v/>
      </c>
      <c r="T122" s="39" t="str">
        <f t="shared" si="33"/>
        <v/>
      </c>
      <c r="U122" t="str">
        <f t="shared" si="34"/>
        <v/>
      </c>
      <c r="V122" t="str">
        <f t="shared" si="35"/>
        <v/>
      </c>
      <c r="W122" t="str">
        <f t="shared" si="36"/>
        <v/>
      </c>
      <c r="X122" s="38" t="str">
        <f t="shared" si="37"/>
        <v/>
      </c>
      <c r="Y122" s="38" t="str">
        <f t="shared" si="38"/>
        <v/>
      </c>
      <c r="Z122" s="39" t="str">
        <f t="shared" si="39"/>
        <v/>
      </c>
      <c r="AA122" s="39" t="str">
        <f t="shared" si="40"/>
        <v/>
      </c>
      <c r="AB122" s="40" t="str">
        <f t="shared" si="41"/>
        <v/>
      </c>
      <c r="AC122" t="str">
        <f>IF(L122="","",IF(AND($AO$2=1,ISNA(MATCH(L122,'02-شباط'!$L$2:$L$501,0))),"محذوف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42"/>
        <v/>
      </c>
      <c r="AH122" s="39" t="str">
        <f t="shared" si="43"/>
        <v/>
      </c>
      <c r="AI122" s="39" t="str">
        <f t="shared" si="44"/>
        <v/>
      </c>
      <c r="AJ122" s="39" t="str">
        <f t="shared" si="45"/>
        <v/>
      </c>
      <c r="AK122" t="str">
        <f t="shared" si="46"/>
        <v/>
      </c>
      <c r="AL122" t="str">
        <f t="shared" si="47"/>
        <v/>
      </c>
    </row>
    <row r="123" spans="11:38" ht="15">
      <c r="K123" t="str">
        <f t="shared" si="24"/>
        <v/>
      </c>
      <c r="L123" t="str">
        <f t="shared" si="25"/>
        <v/>
      </c>
      <c r="M123" s="36" t="str">
        <f t="shared" si="26"/>
        <v/>
      </c>
      <c r="N123" s="37" t="str">
        <f t="shared" si="27"/>
        <v/>
      </c>
      <c r="O123" s="37" t="str">
        <f t="shared" si="28"/>
        <v/>
      </c>
      <c r="P123" s="38" t="str">
        <f t="shared" si="29"/>
        <v/>
      </c>
      <c r="Q123" s="39" t="str">
        <f t="shared" si="30"/>
        <v/>
      </c>
      <c r="R123" s="39" t="str">
        <f t="shared" si="31"/>
        <v/>
      </c>
      <c r="S123" t="str">
        <f t="shared" si="32"/>
        <v/>
      </c>
      <c r="T123" s="39" t="str">
        <f t="shared" si="33"/>
        <v/>
      </c>
      <c r="U123" t="str">
        <f t="shared" si="34"/>
        <v/>
      </c>
      <c r="V123" t="str">
        <f t="shared" si="35"/>
        <v/>
      </c>
      <c r="W123" t="str">
        <f t="shared" si="36"/>
        <v/>
      </c>
      <c r="X123" s="38" t="str">
        <f t="shared" si="37"/>
        <v/>
      </c>
      <c r="Y123" s="38" t="str">
        <f t="shared" si="38"/>
        <v/>
      </c>
      <c r="Z123" s="39" t="str">
        <f t="shared" si="39"/>
        <v/>
      </c>
      <c r="AA123" s="39" t="str">
        <f t="shared" si="40"/>
        <v/>
      </c>
      <c r="AB123" s="40" t="str">
        <f t="shared" si="41"/>
        <v/>
      </c>
      <c r="AC123" t="str">
        <f>IF(L123="","",IF(AND($AO$2=1,ISNA(MATCH(L123,'02-شباط'!$L$2:$L$501,0))),"محذوف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42"/>
        <v/>
      </c>
      <c r="AH123" s="39" t="str">
        <f t="shared" si="43"/>
        <v/>
      </c>
      <c r="AI123" s="39" t="str">
        <f t="shared" si="44"/>
        <v/>
      </c>
      <c r="AJ123" s="39" t="str">
        <f t="shared" si="45"/>
        <v/>
      </c>
      <c r="AK123" t="str">
        <f t="shared" si="46"/>
        <v/>
      </c>
      <c r="AL123" t="str">
        <f t="shared" si="47"/>
        <v/>
      </c>
    </row>
    <row r="124" spans="11:38" ht="15">
      <c r="K124" t="str">
        <f t="shared" si="24"/>
        <v/>
      </c>
      <c r="L124" t="str">
        <f t="shared" si="25"/>
        <v/>
      </c>
      <c r="M124" s="36" t="str">
        <f t="shared" si="26"/>
        <v/>
      </c>
      <c r="N124" s="37" t="str">
        <f t="shared" si="27"/>
        <v/>
      </c>
      <c r="O124" s="37" t="str">
        <f t="shared" si="28"/>
        <v/>
      </c>
      <c r="P124" s="38" t="str">
        <f t="shared" si="29"/>
        <v/>
      </c>
      <c r="Q124" s="39" t="str">
        <f t="shared" si="30"/>
        <v/>
      </c>
      <c r="R124" s="39" t="str">
        <f t="shared" si="31"/>
        <v/>
      </c>
      <c r="S124" t="str">
        <f t="shared" si="32"/>
        <v/>
      </c>
      <c r="T124" s="39" t="str">
        <f t="shared" si="33"/>
        <v/>
      </c>
      <c r="U124" t="str">
        <f t="shared" si="34"/>
        <v/>
      </c>
      <c r="V124" t="str">
        <f t="shared" si="35"/>
        <v/>
      </c>
      <c r="W124" t="str">
        <f t="shared" si="36"/>
        <v/>
      </c>
      <c r="X124" s="38" t="str">
        <f t="shared" si="37"/>
        <v/>
      </c>
      <c r="Y124" s="38" t="str">
        <f t="shared" si="38"/>
        <v/>
      </c>
      <c r="Z124" s="39" t="str">
        <f t="shared" si="39"/>
        <v/>
      </c>
      <c r="AA124" s="39" t="str">
        <f t="shared" si="40"/>
        <v/>
      </c>
      <c r="AB124" s="40" t="str">
        <f t="shared" si="41"/>
        <v/>
      </c>
      <c r="AC124" t="str">
        <f>IF(L124="","",IF(AND($AO$2=1,ISNA(MATCH(L124,'02-شباط'!$L$2:$L$501,0))),"محذوف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42"/>
        <v/>
      </c>
      <c r="AH124" s="39" t="str">
        <f t="shared" si="43"/>
        <v/>
      </c>
      <c r="AI124" s="39" t="str">
        <f t="shared" si="44"/>
        <v/>
      </c>
      <c r="AJ124" s="39" t="str">
        <f t="shared" si="45"/>
        <v/>
      </c>
      <c r="AK124" t="str">
        <f t="shared" si="46"/>
        <v/>
      </c>
      <c r="AL124" t="str">
        <f t="shared" si="47"/>
        <v/>
      </c>
    </row>
    <row r="125" spans="11:38" ht="15">
      <c r="K125" t="str">
        <f t="shared" si="24"/>
        <v/>
      </c>
      <c r="L125" t="str">
        <f t="shared" si="25"/>
        <v/>
      </c>
      <c r="M125" s="36" t="str">
        <f t="shared" si="26"/>
        <v/>
      </c>
      <c r="N125" s="37" t="str">
        <f t="shared" si="27"/>
        <v/>
      </c>
      <c r="O125" s="37" t="str">
        <f t="shared" si="28"/>
        <v/>
      </c>
      <c r="P125" s="38" t="str">
        <f t="shared" si="29"/>
        <v/>
      </c>
      <c r="Q125" s="39" t="str">
        <f t="shared" si="30"/>
        <v/>
      </c>
      <c r="R125" s="39" t="str">
        <f t="shared" si="31"/>
        <v/>
      </c>
      <c r="S125" t="str">
        <f t="shared" si="32"/>
        <v/>
      </c>
      <c r="T125" s="39" t="str">
        <f t="shared" si="33"/>
        <v/>
      </c>
      <c r="U125" t="str">
        <f t="shared" si="34"/>
        <v/>
      </c>
      <c r="V125" t="str">
        <f t="shared" si="35"/>
        <v/>
      </c>
      <c r="W125" t="str">
        <f t="shared" si="36"/>
        <v/>
      </c>
      <c r="X125" s="38" t="str">
        <f t="shared" si="37"/>
        <v/>
      </c>
      <c r="Y125" s="38" t="str">
        <f t="shared" si="38"/>
        <v/>
      </c>
      <c r="Z125" s="39" t="str">
        <f t="shared" si="39"/>
        <v/>
      </c>
      <c r="AA125" s="39" t="str">
        <f t="shared" si="40"/>
        <v/>
      </c>
      <c r="AB125" s="40" t="str">
        <f t="shared" si="41"/>
        <v/>
      </c>
      <c r="AC125" t="str">
        <f>IF(L125="","",IF(AND($AO$2=1,ISNA(MATCH(L125,'02-شباط'!$L$2:$L$501,0))),"محذوف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42"/>
        <v/>
      </c>
      <c r="AH125" s="39" t="str">
        <f t="shared" si="43"/>
        <v/>
      </c>
      <c r="AI125" s="39" t="str">
        <f t="shared" si="44"/>
        <v/>
      </c>
      <c r="AJ125" s="39" t="str">
        <f t="shared" si="45"/>
        <v/>
      </c>
      <c r="AK125" t="str">
        <f t="shared" si="46"/>
        <v/>
      </c>
      <c r="AL125" t="str">
        <f t="shared" si="47"/>
        <v/>
      </c>
    </row>
    <row r="126" spans="11:38" ht="15">
      <c r="K126" t="str">
        <f t="shared" si="24"/>
        <v/>
      </c>
      <c r="L126" t="str">
        <f t="shared" si="25"/>
        <v/>
      </c>
      <c r="M126" s="36" t="str">
        <f t="shared" si="26"/>
        <v/>
      </c>
      <c r="N126" s="37" t="str">
        <f t="shared" si="27"/>
        <v/>
      </c>
      <c r="O126" s="37" t="str">
        <f t="shared" si="28"/>
        <v/>
      </c>
      <c r="P126" s="38" t="str">
        <f t="shared" si="29"/>
        <v/>
      </c>
      <c r="Q126" s="39" t="str">
        <f t="shared" si="30"/>
        <v/>
      </c>
      <c r="R126" s="39" t="str">
        <f t="shared" si="31"/>
        <v/>
      </c>
      <c r="S126" t="str">
        <f t="shared" si="32"/>
        <v/>
      </c>
      <c r="T126" s="39" t="str">
        <f t="shared" si="33"/>
        <v/>
      </c>
      <c r="U126" t="str">
        <f t="shared" si="34"/>
        <v/>
      </c>
      <c r="V126" t="str">
        <f t="shared" si="35"/>
        <v/>
      </c>
      <c r="W126" t="str">
        <f t="shared" si="36"/>
        <v/>
      </c>
      <c r="X126" s="38" t="str">
        <f t="shared" si="37"/>
        <v/>
      </c>
      <c r="Y126" s="38" t="str">
        <f t="shared" si="38"/>
        <v/>
      </c>
      <c r="Z126" s="39" t="str">
        <f t="shared" si="39"/>
        <v/>
      </c>
      <c r="AA126" s="39" t="str">
        <f t="shared" si="40"/>
        <v/>
      </c>
      <c r="AB126" s="40" t="str">
        <f t="shared" si="41"/>
        <v/>
      </c>
      <c r="AC126" t="str">
        <f>IF(L126="","",IF(AND($AO$2=1,ISNA(MATCH(L126,'02-شباط'!$L$2:$L$501,0))),"محذوف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42"/>
        <v/>
      </c>
      <c r="AH126" s="39" t="str">
        <f t="shared" si="43"/>
        <v/>
      </c>
      <c r="AI126" s="39" t="str">
        <f t="shared" si="44"/>
        <v/>
      </c>
      <c r="AJ126" s="39" t="str">
        <f t="shared" si="45"/>
        <v/>
      </c>
      <c r="AK126" t="str">
        <f t="shared" si="46"/>
        <v/>
      </c>
      <c r="AL126" t="str">
        <f t="shared" si="47"/>
        <v/>
      </c>
    </row>
    <row r="127" spans="11:38" ht="15">
      <c r="K127" t="str">
        <f t="shared" si="24"/>
        <v/>
      </c>
      <c r="L127" t="str">
        <f t="shared" si="25"/>
        <v/>
      </c>
      <c r="M127" s="36" t="str">
        <f t="shared" si="26"/>
        <v/>
      </c>
      <c r="N127" s="37" t="str">
        <f t="shared" si="27"/>
        <v/>
      </c>
      <c r="O127" s="37" t="str">
        <f t="shared" si="28"/>
        <v/>
      </c>
      <c r="P127" s="38" t="str">
        <f t="shared" si="29"/>
        <v/>
      </c>
      <c r="Q127" s="39" t="str">
        <f t="shared" si="30"/>
        <v/>
      </c>
      <c r="R127" s="39" t="str">
        <f t="shared" si="31"/>
        <v/>
      </c>
      <c r="S127" t="str">
        <f t="shared" si="32"/>
        <v/>
      </c>
      <c r="T127" s="39" t="str">
        <f t="shared" si="33"/>
        <v/>
      </c>
      <c r="U127" t="str">
        <f t="shared" si="34"/>
        <v/>
      </c>
      <c r="V127" t="str">
        <f t="shared" si="35"/>
        <v/>
      </c>
      <c r="W127" t="str">
        <f t="shared" si="36"/>
        <v/>
      </c>
      <c r="X127" s="38" t="str">
        <f t="shared" si="37"/>
        <v/>
      </c>
      <c r="Y127" s="38" t="str">
        <f t="shared" si="38"/>
        <v/>
      </c>
      <c r="Z127" s="39" t="str">
        <f t="shared" si="39"/>
        <v/>
      </c>
      <c r="AA127" s="39" t="str">
        <f t="shared" si="40"/>
        <v/>
      </c>
      <c r="AB127" s="40" t="str">
        <f t="shared" si="41"/>
        <v/>
      </c>
      <c r="AC127" t="str">
        <f>IF(L127="","",IF(AND($AO$2=1,ISNA(MATCH(L127,'02-شباط'!$L$2:$L$501,0))),"محذوف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42"/>
        <v/>
      </c>
      <c r="AH127" s="39" t="str">
        <f t="shared" si="43"/>
        <v/>
      </c>
      <c r="AI127" s="39" t="str">
        <f t="shared" si="44"/>
        <v/>
      </c>
      <c r="AJ127" s="39" t="str">
        <f t="shared" si="45"/>
        <v/>
      </c>
      <c r="AK127" t="str">
        <f t="shared" si="46"/>
        <v/>
      </c>
      <c r="AL127" t="str">
        <f t="shared" si="47"/>
        <v/>
      </c>
    </row>
    <row r="128" spans="11:38" ht="15">
      <c r="K128" t="str">
        <f t="shared" si="24"/>
        <v/>
      </c>
      <c r="L128" t="str">
        <f t="shared" si="25"/>
        <v/>
      </c>
      <c r="M128" s="36" t="str">
        <f t="shared" si="26"/>
        <v/>
      </c>
      <c r="N128" s="37" t="str">
        <f t="shared" si="27"/>
        <v/>
      </c>
      <c r="O128" s="37" t="str">
        <f t="shared" si="28"/>
        <v/>
      </c>
      <c r="P128" s="38" t="str">
        <f t="shared" si="29"/>
        <v/>
      </c>
      <c r="Q128" s="39" t="str">
        <f t="shared" si="30"/>
        <v/>
      </c>
      <c r="R128" s="39" t="str">
        <f t="shared" si="31"/>
        <v/>
      </c>
      <c r="S128" t="str">
        <f t="shared" si="32"/>
        <v/>
      </c>
      <c r="T128" s="39" t="str">
        <f t="shared" si="33"/>
        <v/>
      </c>
      <c r="U128" t="str">
        <f t="shared" si="34"/>
        <v/>
      </c>
      <c r="V128" t="str">
        <f t="shared" si="35"/>
        <v/>
      </c>
      <c r="W128" t="str">
        <f t="shared" si="36"/>
        <v/>
      </c>
      <c r="X128" s="38" t="str">
        <f t="shared" si="37"/>
        <v/>
      </c>
      <c r="Y128" s="38" t="str">
        <f t="shared" si="38"/>
        <v/>
      </c>
      <c r="Z128" s="39" t="str">
        <f t="shared" si="39"/>
        <v/>
      </c>
      <c r="AA128" s="39" t="str">
        <f t="shared" si="40"/>
        <v/>
      </c>
      <c r="AB128" s="40" t="str">
        <f t="shared" si="41"/>
        <v/>
      </c>
      <c r="AC128" t="str">
        <f>IF(L128="","",IF(AND($AO$2=1,ISNA(MATCH(L128,'02-شباط'!$L$2:$L$501,0))),"محذوف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42"/>
        <v/>
      </c>
      <c r="AH128" s="39" t="str">
        <f t="shared" si="43"/>
        <v/>
      </c>
      <c r="AI128" s="39" t="str">
        <f t="shared" si="44"/>
        <v/>
      </c>
      <c r="AJ128" s="39" t="str">
        <f t="shared" si="45"/>
        <v/>
      </c>
      <c r="AK128" t="str">
        <f t="shared" si="46"/>
        <v/>
      </c>
      <c r="AL128" t="str">
        <f t="shared" si="47"/>
        <v/>
      </c>
    </row>
    <row r="129" spans="11:38" ht="15">
      <c r="K129" t="str">
        <f t="shared" si="24"/>
        <v/>
      </c>
      <c r="L129" t="str">
        <f t="shared" si="25"/>
        <v/>
      </c>
      <c r="M129" s="36" t="str">
        <f t="shared" si="26"/>
        <v/>
      </c>
      <c r="N129" s="37" t="str">
        <f t="shared" si="27"/>
        <v/>
      </c>
      <c r="O129" s="37" t="str">
        <f t="shared" si="28"/>
        <v/>
      </c>
      <c r="P129" s="38" t="str">
        <f t="shared" si="29"/>
        <v/>
      </c>
      <c r="Q129" s="39" t="str">
        <f t="shared" si="30"/>
        <v/>
      </c>
      <c r="R129" s="39" t="str">
        <f t="shared" si="31"/>
        <v/>
      </c>
      <c r="S129" t="str">
        <f t="shared" si="32"/>
        <v/>
      </c>
      <c r="T129" s="39" t="str">
        <f t="shared" si="33"/>
        <v/>
      </c>
      <c r="U129" t="str">
        <f t="shared" si="34"/>
        <v/>
      </c>
      <c r="V129" t="str">
        <f t="shared" si="35"/>
        <v/>
      </c>
      <c r="W129" t="str">
        <f t="shared" si="36"/>
        <v/>
      </c>
      <c r="X129" s="38" t="str">
        <f t="shared" si="37"/>
        <v/>
      </c>
      <c r="Y129" s="38" t="str">
        <f t="shared" si="38"/>
        <v/>
      </c>
      <c r="Z129" s="39" t="str">
        <f t="shared" si="39"/>
        <v/>
      </c>
      <c r="AA129" s="39" t="str">
        <f t="shared" si="40"/>
        <v/>
      </c>
      <c r="AB129" s="40" t="str">
        <f t="shared" si="41"/>
        <v/>
      </c>
      <c r="AC129" t="str">
        <f>IF(L129="","",IF(AND($AO$2=1,ISNA(MATCH(L129,'02-شباط'!$L$2:$L$501,0))),"محذوف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42"/>
        <v/>
      </c>
      <c r="AH129" s="39" t="str">
        <f t="shared" si="43"/>
        <v/>
      </c>
      <c r="AI129" s="39" t="str">
        <f t="shared" si="44"/>
        <v/>
      </c>
      <c r="AJ129" s="39" t="str">
        <f t="shared" si="45"/>
        <v/>
      </c>
      <c r="AK129" t="str">
        <f t="shared" si="46"/>
        <v/>
      </c>
      <c r="AL129" t="str">
        <f t="shared" si="47"/>
        <v/>
      </c>
    </row>
    <row r="130" spans="11:38" ht="15">
      <c r="K130" t="str">
        <f t="shared" ref="K130:K193" si="48">IF(L130="","",IF(U130&lt;&gt;"","⚠",""))</f>
        <v/>
      </c>
      <c r="L130" t="str">
        <f t="shared" ref="L130:L193" si="49">IF(A130="","",TRIM(A130))</f>
        <v/>
      </c>
      <c r="M130" s="36" t="str">
        <f t="shared" ref="M130:M193" si="50">IF(L130="","",IF(ISNUMBER(SEARCH("دولار",F130)),1,IF(ISNUMBER(SEARCH("ليرة",F130)),IF($AO$3&gt;0,1/$AO$3,0),0)))</f>
        <v/>
      </c>
      <c r="N130" s="37" t="str">
        <f t="shared" ref="N130:N193" si="51">IF(L130="","",N(I130)*M130)</f>
        <v/>
      </c>
      <c r="O130" s="37" t="str">
        <f t="shared" ref="O130:O193" si="52">IF(L130="","",M130*CHOOSE($AO$4,N(C130),N(D130),N(E130)))</f>
        <v/>
      </c>
      <c r="P130" s="38" t="str">
        <f t="shared" ref="P130:P193" si="53">IF(L130="","",MAX(N(B130),0))</f>
        <v/>
      </c>
      <c r="Q130" s="39" t="str">
        <f t="shared" ref="Q130:Q193" si="54">IF(L130="","",P130*N130)</f>
        <v/>
      </c>
      <c r="R130" s="39" t="str">
        <f t="shared" ref="R130:R193" si="55">IF(L130="","",P130*O130)</f>
        <v/>
      </c>
      <c r="S130" t="str">
        <f t="shared" ref="S130:S193" si="56">IF(L130="","",IF(AND(P130&gt;0,N130&gt;0,O130&gt;0),1,0))</f>
        <v/>
      </c>
      <c r="T130" s="39" t="str">
        <f t="shared" ref="T130:T193" si="57">IF(L130="","",S130*(R130-Q130))</f>
        <v/>
      </c>
      <c r="U130" t="str">
        <f t="shared" ref="U130:U193" si="58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 t="shared" ref="V130:V193" si="59">IF(L130="","",0)</f>
        <v/>
      </c>
      <c r="W130" t="str">
        <f t="shared" ref="W130:W193" si="60">IF(L130="","",IF(AND($AO$1=1,V130=0),"جديد",""))</f>
        <v/>
      </c>
      <c r="X130" s="38" t="str">
        <f t="shared" ref="X130:X193" si="61">IF(L130="","","")</f>
        <v/>
      </c>
      <c r="Y130" s="38" t="str">
        <f t="shared" ref="Y130:Y193" si="62">IF(OR(L130="",X130=""),"",P130-X130)</f>
        <v/>
      </c>
      <c r="Z130" s="39" t="str">
        <f t="shared" ref="Z130:Z193" si="63">IF(L130="","","")</f>
        <v/>
      </c>
      <c r="AA130" s="39" t="str">
        <f t="shared" ref="AA130:AA193" si="64">IF(OR(L130="",Z130=""),"",Q130-Z130)</f>
        <v/>
      </c>
      <c r="AB130" s="40" t="str">
        <f t="shared" ref="AB130:AB193" si="65">IF(L130="","","")</f>
        <v/>
      </c>
      <c r="AC130" t="str">
        <f>IF(L130="","",IF(AND($AO$2=1,ISNA(MATCH(L130,'02-شباط'!$L$2:$L$501,0))),"محذوف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66">IF(AA130="","",ABS(AA130)+ROW()/1000000000)</f>
        <v/>
      </c>
      <c r="AH130" s="39" t="str">
        <f t="shared" ref="AH130:AH193" si="67">IF(L130="","",IF(AND(P130&gt;0,N130&gt;0,N(C130)&gt;0),P130*(M130*N(C130)-N130),0))</f>
        <v/>
      </c>
      <c r="AI130" s="39" t="str">
        <f t="shared" ref="AI130:AI193" si="68">IF(L130="","",IF(AND(P130&gt;0,N130&gt;0,N(D130)&gt;0),P130*(M130*N(D130)-N130),0))</f>
        <v/>
      </c>
      <c r="AJ130" s="39" t="str">
        <f t="shared" ref="AJ130:AJ193" si="69">IF(L130="","",IF(AND(P130&gt;0,N130&gt;0,N(E130)&gt;0),P130*(M130*N(E130)-N130),0))</f>
        <v/>
      </c>
      <c r="AK130" t="str">
        <f t="shared" ref="AK130:AK193" si="70">IF(L130="","",Q130+ROW()/1000000000)</f>
        <v/>
      </c>
      <c r="AL130" t="str">
        <f t="shared" ref="AL130:AL193" si="71">IF(L130="","",T130+ROW()/1000000000)</f>
        <v/>
      </c>
    </row>
    <row r="131" spans="11:38" ht="15">
      <c r="K131" t="str">
        <f t="shared" si="48"/>
        <v/>
      </c>
      <c r="L131" t="str">
        <f t="shared" si="49"/>
        <v/>
      </c>
      <c r="M131" s="36" t="str">
        <f t="shared" si="50"/>
        <v/>
      </c>
      <c r="N131" s="37" t="str">
        <f t="shared" si="51"/>
        <v/>
      </c>
      <c r="O131" s="37" t="str">
        <f t="shared" si="52"/>
        <v/>
      </c>
      <c r="P131" s="38" t="str">
        <f t="shared" si="53"/>
        <v/>
      </c>
      <c r="Q131" s="39" t="str">
        <f t="shared" si="54"/>
        <v/>
      </c>
      <c r="R131" s="39" t="str">
        <f t="shared" si="55"/>
        <v/>
      </c>
      <c r="S131" t="str">
        <f t="shared" si="56"/>
        <v/>
      </c>
      <c r="T131" s="39" t="str">
        <f t="shared" si="57"/>
        <v/>
      </c>
      <c r="U131" t="str">
        <f t="shared" si="58"/>
        <v/>
      </c>
      <c r="V131" t="str">
        <f t="shared" si="59"/>
        <v/>
      </c>
      <c r="W131" t="str">
        <f t="shared" si="60"/>
        <v/>
      </c>
      <c r="X131" s="38" t="str">
        <f t="shared" si="61"/>
        <v/>
      </c>
      <c r="Y131" s="38" t="str">
        <f t="shared" si="62"/>
        <v/>
      </c>
      <c r="Z131" s="39" t="str">
        <f t="shared" si="63"/>
        <v/>
      </c>
      <c r="AA131" s="39" t="str">
        <f t="shared" si="64"/>
        <v/>
      </c>
      <c r="AB131" s="40" t="str">
        <f t="shared" si="65"/>
        <v/>
      </c>
      <c r="AC131" t="str">
        <f>IF(L131="","",IF(AND($AO$2=1,ISNA(MATCH(L131,'02-شباط'!$L$2:$L$501,0))),"محذوف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66"/>
        <v/>
      </c>
      <c r="AH131" s="39" t="str">
        <f t="shared" si="67"/>
        <v/>
      </c>
      <c r="AI131" s="39" t="str">
        <f t="shared" si="68"/>
        <v/>
      </c>
      <c r="AJ131" s="39" t="str">
        <f t="shared" si="69"/>
        <v/>
      </c>
      <c r="AK131" t="str">
        <f t="shared" si="70"/>
        <v/>
      </c>
      <c r="AL131" t="str">
        <f t="shared" si="71"/>
        <v/>
      </c>
    </row>
    <row r="132" spans="11:38" ht="15">
      <c r="K132" t="str">
        <f t="shared" si="48"/>
        <v/>
      </c>
      <c r="L132" t="str">
        <f t="shared" si="49"/>
        <v/>
      </c>
      <c r="M132" s="36" t="str">
        <f t="shared" si="50"/>
        <v/>
      </c>
      <c r="N132" s="37" t="str">
        <f t="shared" si="51"/>
        <v/>
      </c>
      <c r="O132" s="37" t="str">
        <f t="shared" si="52"/>
        <v/>
      </c>
      <c r="P132" s="38" t="str">
        <f t="shared" si="53"/>
        <v/>
      </c>
      <c r="Q132" s="39" t="str">
        <f t="shared" si="54"/>
        <v/>
      </c>
      <c r="R132" s="39" t="str">
        <f t="shared" si="55"/>
        <v/>
      </c>
      <c r="S132" t="str">
        <f t="shared" si="56"/>
        <v/>
      </c>
      <c r="T132" s="39" t="str">
        <f t="shared" si="57"/>
        <v/>
      </c>
      <c r="U132" t="str">
        <f t="shared" si="58"/>
        <v/>
      </c>
      <c r="V132" t="str">
        <f t="shared" si="59"/>
        <v/>
      </c>
      <c r="W132" t="str">
        <f t="shared" si="60"/>
        <v/>
      </c>
      <c r="X132" s="38" t="str">
        <f t="shared" si="61"/>
        <v/>
      </c>
      <c r="Y132" s="38" t="str">
        <f t="shared" si="62"/>
        <v/>
      </c>
      <c r="Z132" s="39" t="str">
        <f t="shared" si="63"/>
        <v/>
      </c>
      <c r="AA132" s="39" t="str">
        <f t="shared" si="64"/>
        <v/>
      </c>
      <c r="AB132" s="40" t="str">
        <f t="shared" si="65"/>
        <v/>
      </c>
      <c r="AC132" t="str">
        <f>IF(L132="","",IF(AND($AO$2=1,ISNA(MATCH(L132,'02-شباط'!$L$2:$L$501,0))),"محذوف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66"/>
        <v/>
      </c>
      <c r="AH132" s="39" t="str">
        <f t="shared" si="67"/>
        <v/>
      </c>
      <c r="AI132" s="39" t="str">
        <f t="shared" si="68"/>
        <v/>
      </c>
      <c r="AJ132" s="39" t="str">
        <f t="shared" si="69"/>
        <v/>
      </c>
      <c r="AK132" t="str">
        <f t="shared" si="70"/>
        <v/>
      </c>
      <c r="AL132" t="str">
        <f t="shared" si="71"/>
        <v/>
      </c>
    </row>
    <row r="133" spans="11:38" ht="15">
      <c r="K133" t="str">
        <f t="shared" si="48"/>
        <v/>
      </c>
      <c r="L133" t="str">
        <f t="shared" si="49"/>
        <v/>
      </c>
      <c r="M133" s="36" t="str">
        <f t="shared" si="50"/>
        <v/>
      </c>
      <c r="N133" s="37" t="str">
        <f t="shared" si="51"/>
        <v/>
      </c>
      <c r="O133" s="37" t="str">
        <f t="shared" si="52"/>
        <v/>
      </c>
      <c r="P133" s="38" t="str">
        <f t="shared" si="53"/>
        <v/>
      </c>
      <c r="Q133" s="39" t="str">
        <f t="shared" si="54"/>
        <v/>
      </c>
      <c r="R133" s="39" t="str">
        <f t="shared" si="55"/>
        <v/>
      </c>
      <c r="S133" t="str">
        <f t="shared" si="56"/>
        <v/>
      </c>
      <c r="T133" s="39" t="str">
        <f t="shared" si="57"/>
        <v/>
      </c>
      <c r="U133" t="str">
        <f t="shared" si="58"/>
        <v/>
      </c>
      <c r="V133" t="str">
        <f t="shared" si="59"/>
        <v/>
      </c>
      <c r="W133" t="str">
        <f t="shared" si="60"/>
        <v/>
      </c>
      <c r="X133" s="38" t="str">
        <f t="shared" si="61"/>
        <v/>
      </c>
      <c r="Y133" s="38" t="str">
        <f t="shared" si="62"/>
        <v/>
      </c>
      <c r="Z133" s="39" t="str">
        <f t="shared" si="63"/>
        <v/>
      </c>
      <c r="AA133" s="39" t="str">
        <f t="shared" si="64"/>
        <v/>
      </c>
      <c r="AB133" s="40" t="str">
        <f t="shared" si="65"/>
        <v/>
      </c>
      <c r="AC133" t="str">
        <f>IF(L133="","",IF(AND($AO$2=1,ISNA(MATCH(L133,'02-شباط'!$L$2:$L$501,0))),"محذوف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66"/>
        <v/>
      </c>
      <c r="AH133" s="39" t="str">
        <f t="shared" si="67"/>
        <v/>
      </c>
      <c r="AI133" s="39" t="str">
        <f t="shared" si="68"/>
        <v/>
      </c>
      <c r="AJ133" s="39" t="str">
        <f t="shared" si="69"/>
        <v/>
      </c>
      <c r="AK133" t="str">
        <f t="shared" si="70"/>
        <v/>
      </c>
      <c r="AL133" t="str">
        <f t="shared" si="71"/>
        <v/>
      </c>
    </row>
    <row r="134" spans="11:38" ht="15">
      <c r="K134" t="str">
        <f t="shared" si="48"/>
        <v/>
      </c>
      <c r="L134" t="str">
        <f t="shared" si="49"/>
        <v/>
      </c>
      <c r="M134" s="36" t="str">
        <f t="shared" si="50"/>
        <v/>
      </c>
      <c r="N134" s="37" t="str">
        <f t="shared" si="51"/>
        <v/>
      </c>
      <c r="O134" s="37" t="str">
        <f t="shared" si="52"/>
        <v/>
      </c>
      <c r="P134" s="38" t="str">
        <f t="shared" si="53"/>
        <v/>
      </c>
      <c r="Q134" s="39" t="str">
        <f t="shared" si="54"/>
        <v/>
      </c>
      <c r="R134" s="39" t="str">
        <f t="shared" si="55"/>
        <v/>
      </c>
      <c r="S134" t="str">
        <f t="shared" si="56"/>
        <v/>
      </c>
      <c r="T134" s="39" t="str">
        <f t="shared" si="57"/>
        <v/>
      </c>
      <c r="U134" t="str">
        <f t="shared" si="58"/>
        <v/>
      </c>
      <c r="V134" t="str">
        <f t="shared" si="59"/>
        <v/>
      </c>
      <c r="W134" t="str">
        <f t="shared" si="60"/>
        <v/>
      </c>
      <c r="X134" s="38" t="str">
        <f t="shared" si="61"/>
        <v/>
      </c>
      <c r="Y134" s="38" t="str">
        <f t="shared" si="62"/>
        <v/>
      </c>
      <c r="Z134" s="39" t="str">
        <f t="shared" si="63"/>
        <v/>
      </c>
      <c r="AA134" s="39" t="str">
        <f t="shared" si="64"/>
        <v/>
      </c>
      <c r="AB134" s="40" t="str">
        <f t="shared" si="65"/>
        <v/>
      </c>
      <c r="AC134" t="str">
        <f>IF(L134="","",IF(AND($AO$2=1,ISNA(MATCH(L134,'02-شباط'!$L$2:$L$501,0))),"محذوف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66"/>
        <v/>
      </c>
      <c r="AH134" s="39" t="str">
        <f t="shared" si="67"/>
        <v/>
      </c>
      <c r="AI134" s="39" t="str">
        <f t="shared" si="68"/>
        <v/>
      </c>
      <c r="AJ134" s="39" t="str">
        <f t="shared" si="69"/>
        <v/>
      </c>
      <c r="AK134" t="str">
        <f t="shared" si="70"/>
        <v/>
      </c>
      <c r="AL134" t="str">
        <f t="shared" si="71"/>
        <v/>
      </c>
    </row>
    <row r="135" spans="11:38" ht="15">
      <c r="K135" t="str">
        <f t="shared" si="48"/>
        <v/>
      </c>
      <c r="L135" t="str">
        <f t="shared" si="49"/>
        <v/>
      </c>
      <c r="M135" s="36" t="str">
        <f t="shared" si="50"/>
        <v/>
      </c>
      <c r="N135" s="37" t="str">
        <f t="shared" si="51"/>
        <v/>
      </c>
      <c r="O135" s="37" t="str">
        <f t="shared" si="52"/>
        <v/>
      </c>
      <c r="P135" s="38" t="str">
        <f t="shared" si="53"/>
        <v/>
      </c>
      <c r="Q135" s="39" t="str">
        <f t="shared" si="54"/>
        <v/>
      </c>
      <c r="R135" s="39" t="str">
        <f t="shared" si="55"/>
        <v/>
      </c>
      <c r="S135" t="str">
        <f t="shared" si="56"/>
        <v/>
      </c>
      <c r="T135" s="39" t="str">
        <f t="shared" si="57"/>
        <v/>
      </c>
      <c r="U135" t="str">
        <f t="shared" si="58"/>
        <v/>
      </c>
      <c r="V135" t="str">
        <f t="shared" si="59"/>
        <v/>
      </c>
      <c r="W135" t="str">
        <f t="shared" si="60"/>
        <v/>
      </c>
      <c r="X135" s="38" t="str">
        <f t="shared" si="61"/>
        <v/>
      </c>
      <c r="Y135" s="38" t="str">
        <f t="shared" si="62"/>
        <v/>
      </c>
      <c r="Z135" s="39" t="str">
        <f t="shared" si="63"/>
        <v/>
      </c>
      <c r="AA135" s="39" t="str">
        <f t="shared" si="64"/>
        <v/>
      </c>
      <c r="AB135" s="40" t="str">
        <f t="shared" si="65"/>
        <v/>
      </c>
      <c r="AC135" t="str">
        <f>IF(L135="","",IF(AND($AO$2=1,ISNA(MATCH(L135,'02-شباط'!$L$2:$L$501,0))),"محذوف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66"/>
        <v/>
      </c>
      <c r="AH135" s="39" t="str">
        <f t="shared" si="67"/>
        <v/>
      </c>
      <c r="AI135" s="39" t="str">
        <f t="shared" si="68"/>
        <v/>
      </c>
      <c r="AJ135" s="39" t="str">
        <f t="shared" si="69"/>
        <v/>
      </c>
      <c r="AK135" t="str">
        <f t="shared" si="70"/>
        <v/>
      </c>
      <c r="AL135" t="str">
        <f t="shared" si="71"/>
        <v/>
      </c>
    </row>
    <row r="136" spans="11:38" ht="15">
      <c r="K136" t="str">
        <f t="shared" si="48"/>
        <v/>
      </c>
      <c r="L136" t="str">
        <f t="shared" si="49"/>
        <v/>
      </c>
      <c r="M136" s="36" t="str">
        <f t="shared" si="50"/>
        <v/>
      </c>
      <c r="N136" s="37" t="str">
        <f t="shared" si="51"/>
        <v/>
      </c>
      <c r="O136" s="37" t="str">
        <f t="shared" si="52"/>
        <v/>
      </c>
      <c r="P136" s="38" t="str">
        <f t="shared" si="53"/>
        <v/>
      </c>
      <c r="Q136" s="39" t="str">
        <f t="shared" si="54"/>
        <v/>
      </c>
      <c r="R136" s="39" t="str">
        <f t="shared" si="55"/>
        <v/>
      </c>
      <c r="S136" t="str">
        <f t="shared" si="56"/>
        <v/>
      </c>
      <c r="T136" s="39" t="str">
        <f t="shared" si="57"/>
        <v/>
      </c>
      <c r="U136" t="str">
        <f t="shared" si="58"/>
        <v/>
      </c>
      <c r="V136" t="str">
        <f t="shared" si="59"/>
        <v/>
      </c>
      <c r="W136" t="str">
        <f t="shared" si="60"/>
        <v/>
      </c>
      <c r="X136" s="38" t="str">
        <f t="shared" si="61"/>
        <v/>
      </c>
      <c r="Y136" s="38" t="str">
        <f t="shared" si="62"/>
        <v/>
      </c>
      <c r="Z136" s="39" t="str">
        <f t="shared" si="63"/>
        <v/>
      </c>
      <c r="AA136" s="39" t="str">
        <f t="shared" si="64"/>
        <v/>
      </c>
      <c r="AB136" s="40" t="str">
        <f t="shared" si="65"/>
        <v/>
      </c>
      <c r="AC136" t="str">
        <f>IF(L136="","",IF(AND($AO$2=1,ISNA(MATCH(L136,'02-شباط'!$L$2:$L$501,0))),"محذوف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66"/>
        <v/>
      </c>
      <c r="AH136" s="39" t="str">
        <f t="shared" si="67"/>
        <v/>
      </c>
      <c r="AI136" s="39" t="str">
        <f t="shared" si="68"/>
        <v/>
      </c>
      <c r="AJ136" s="39" t="str">
        <f t="shared" si="69"/>
        <v/>
      </c>
      <c r="AK136" t="str">
        <f t="shared" si="70"/>
        <v/>
      </c>
      <c r="AL136" t="str">
        <f t="shared" si="71"/>
        <v/>
      </c>
    </row>
    <row r="137" spans="11:38" ht="15">
      <c r="K137" t="str">
        <f t="shared" si="48"/>
        <v/>
      </c>
      <c r="L137" t="str">
        <f t="shared" si="49"/>
        <v/>
      </c>
      <c r="M137" s="36" t="str">
        <f t="shared" si="50"/>
        <v/>
      </c>
      <c r="N137" s="37" t="str">
        <f t="shared" si="51"/>
        <v/>
      </c>
      <c r="O137" s="37" t="str">
        <f t="shared" si="52"/>
        <v/>
      </c>
      <c r="P137" s="38" t="str">
        <f t="shared" si="53"/>
        <v/>
      </c>
      <c r="Q137" s="39" t="str">
        <f t="shared" si="54"/>
        <v/>
      </c>
      <c r="R137" s="39" t="str">
        <f t="shared" si="55"/>
        <v/>
      </c>
      <c r="S137" t="str">
        <f t="shared" si="56"/>
        <v/>
      </c>
      <c r="T137" s="39" t="str">
        <f t="shared" si="57"/>
        <v/>
      </c>
      <c r="U137" t="str">
        <f t="shared" si="58"/>
        <v/>
      </c>
      <c r="V137" t="str">
        <f t="shared" si="59"/>
        <v/>
      </c>
      <c r="W137" t="str">
        <f t="shared" si="60"/>
        <v/>
      </c>
      <c r="X137" s="38" t="str">
        <f t="shared" si="61"/>
        <v/>
      </c>
      <c r="Y137" s="38" t="str">
        <f t="shared" si="62"/>
        <v/>
      </c>
      <c r="Z137" s="39" t="str">
        <f t="shared" si="63"/>
        <v/>
      </c>
      <c r="AA137" s="39" t="str">
        <f t="shared" si="64"/>
        <v/>
      </c>
      <c r="AB137" s="40" t="str">
        <f t="shared" si="65"/>
        <v/>
      </c>
      <c r="AC137" t="str">
        <f>IF(L137="","",IF(AND($AO$2=1,ISNA(MATCH(L137,'02-شباط'!$L$2:$L$501,0))),"محذوف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66"/>
        <v/>
      </c>
      <c r="AH137" s="39" t="str">
        <f t="shared" si="67"/>
        <v/>
      </c>
      <c r="AI137" s="39" t="str">
        <f t="shared" si="68"/>
        <v/>
      </c>
      <c r="AJ137" s="39" t="str">
        <f t="shared" si="69"/>
        <v/>
      </c>
      <c r="AK137" t="str">
        <f t="shared" si="70"/>
        <v/>
      </c>
      <c r="AL137" t="str">
        <f t="shared" si="71"/>
        <v/>
      </c>
    </row>
    <row r="138" spans="11:38" ht="15">
      <c r="K138" t="str">
        <f t="shared" si="48"/>
        <v/>
      </c>
      <c r="L138" t="str">
        <f t="shared" si="49"/>
        <v/>
      </c>
      <c r="M138" s="36" t="str">
        <f t="shared" si="50"/>
        <v/>
      </c>
      <c r="N138" s="37" t="str">
        <f t="shared" si="51"/>
        <v/>
      </c>
      <c r="O138" s="37" t="str">
        <f t="shared" si="52"/>
        <v/>
      </c>
      <c r="P138" s="38" t="str">
        <f t="shared" si="53"/>
        <v/>
      </c>
      <c r="Q138" s="39" t="str">
        <f t="shared" si="54"/>
        <v/>
      </c>
      <c r="R138" s="39" t="str">
        <f t="shared" si="55"/>
        <v/>
      </c>
      <c r="S138" t="str">
        <f t="shared" si="56"/>
        <v/>
      </c>
      <c r="T138" s="39" t="str">
        <f t="shared" si="57"/>
        <v/>
      </c>
      <c r="U138" t="str">
        <f t="shared" si="58"/>
        <v/>
      </c>
      <c r="V138" t="str">
        <f t="shared" si="59"/>
        <v/>
      </c>
      <c r="W138" t="str">
        <f t="shared" si="60"/>
        <v/>
      </c>
      <c r="X138" s="38" t="str">
        <f t="shared" si="61"/>
        <v/>
      </c>
      <c r="Y138" s="38" t="str">
        <f t="shared" si="62"/>
        <v/>
      </c>
      <c r="Z138" s="39" t="str">
        <f t="shared" si="63"/>
        <v/>
      </c>
      <c r="AA138" s="39" t="str">
        <f t="shared" si="64"/>
        <v/>
      </c>
      <c r="AB138" s="40" t="str">
        <f t="shared" si="65"/>
        <v/>
      </c>
      <c r="AC138" t="str">
        <f>IF(L138="","",IF(AND($AO$2=1,ISNA(MATCH(L138,'02-شباط'!$L$2:$L$501,0))),"محذوف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66"/>
        <v/>
      </c>
      <c r="AH138" s="39" t="str">
        <f t="shared" si="67"/>
        <v/>
      </c>
      <c r="AI138" s="39" t="str">
        <f t="shared" si="68"/>
        <v/>
      </c>
      <c r="AJ138" s="39" t="str">
        <f t="shared" si="69"/>
        <v/>
      </c>
      <c r="AK138" t="str">
        <f t="shared" si="70"/>
        <v/>
      </c>
      <c r="AL138" t="str">
        <f t="shared" si="71"/>
        <v/>
      </c>
    </row>
    <row r="139" spans="11:38" ht="15">
      <c r="K139" t="str">
        <f t="shared" si="48"/>
        <v/>
      </c>
      <c r="L139" t="str">
        <f t="shared" si="49"/>
        <v/>
      </c>
      <c r="M139" s="36" t="str">
        <f t="shared" si="50"/>
        <v/>
      </c>
      <c r="N139" s="37" t="str">
        <f t="shared" si="51"/>
        <v/>
      </c>
      <c r="O139" s="37" t="str">
        <f t="shared" si="52"/>
        <v/>
      </c>
      <c r="P139" s="38" t="str">
        <f t="shared" si="53"/>
        <v/>
      </c>
      <c r="Q139" s="39" t="str">
        <f t="shared" si="54"/>
        <v/>
      </c>
      <c r="R139" s="39" t="str">
        <f t="shared" si="55"/>
        <v/>
      </c>
      <c r="S139" t="str">
        <f t="shared" si="56"/>
        <v/>
      </c>
      <c r="T139" s="39" t="str">
        <f t="shared" si="57"/>
        <v/>
      </c>
      <c r="U139" t="str">
        <f t="shared" si="58"/>
        <v/>
      </c>
      <c r="V139" t="str">
        <f t="shared" si="59"/>
        <v/>
      </c>
      <c r="W139" t="str">
        <f t="shared" si="60"/>
        <v/>
      </c>
      <c r="X139" s="38" t="str">
        <f t="shared" si="61"/>
        <v/>
      </c>
      <c r="Y139" s="38" t="str">
        <f t="shared" si="62"/>
        <v/>
      </c>
      <c r="Z139" s="39" t="str">
        <f t="shared" si="63"/>
        <v/>
      </c>
      <c r="AA139" s="39" t="str">
        <f t="shared" si="64"/>
        <v/>
      </c>
      <c r="AB139" s="40" t="str">
        <f t="shared" si="65"/>
        <v/>
      </c>
      <c r="AC139" t="str">
        <f>IF(L139="","",IF(AND($AO$2=1,ISNA(MATCH(L139,'02-شباط'!$L$2:$L$501,0))),"محذوف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66"/>
        <v/>
      </c>
      <c r="AH139" s="39" t="str">
        <f t="shared" si="67"/>
        <v/>
      </c>
      <c r="AI139" s="39" t="str">
        <f t="shared" si="68"/>
        <v/>
      </c>
      <c r="AJ139" s="39" t="str">
        <f t="shared" si="69"/>
        <v/>
      </c>
      <c r="AK139" t="str">
        <f t="shared" si="70"/>
        <v/>
      </c>
      <c r="AL139" t="str">
        <f t="shared" si="71"/>
        <v/>
      </c>
    </row>
    <row r="140" spans="11:38" ht="15">
      <c r="K140" t="str">
        <f t="shared" si="48"/>
        <v/>
      </c>
      <c r="L140" t="str">
        <f t="shared" si="49"/>
        <v/>
      </c>
      <c r="M140" s="36" t="str">
        <f t="shared" si="50"/>
        <v/>
      </c>
      <c r="N140" s="37" t="str">
        <f t="shared" si="51"/>
        <v/>
      </c>
      <c r="O140" s="37" t="str">
        <f t="shared" si="52"/>
        <v/>
      </c>
      <c r="P140" s="38" t="str">
        <f t="shared" si="53"/>
        <v/>
      </c>
      <c r="Q140" s="39" t="str">
        <f t="shared" si="54"/>
        <v/>
      </c>
      <c r="R140" s="39" t="str">
        <f t="shared" si="55"/>
        <v/>
      </c>
      <c r="S140" t="str">
        <f t="shared" si="56"/>
        <v/>
      </c>
      <c r="T140" s="39" t="str">
        <f t="shared" si="57"/>
        <v/>
      </c>
      <c r="U140" t="str">
        <f t="shared" si="58"/>
        <v/>
      </c>
      <c r="V140" t="str">
        <f t="shared" si="59"/>
        <v/>
      </c>
      <c r="W140" t="str">
        <f t="shared" si="60"/>
        <v/>
      </c>
      <c r="X140" s="38" t="str">
        <f t="shared" si="61"/>
        <v/>
      </c>
      <c r="Y140" s="38" t="str">
        <f t="shared" si="62"/>
        <v/>
      </c>
      <c r="Z140" s="39" t="str">
        <f t="shared" si="63"/>
        <v/>
      </c>
      <c r="AA140" s="39" t="str">
        <f t="shared" si="64"/>
        <v/>
      </c>
      <c r="AB140" s="40" t="str">
        <f t="shared" si="65"/>
        <v/>
      </c>
      <c r="AC140" t="str">
        <f>IF(L140="","",IF(AND($AO$2=1,ISNA(MATCH(L140,'02-شباط'!$L$2:$L$501,0))),"محذوف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66"/>
        <v/>
      </c>
      <c r="AH140" s="39" t="str">
        <f t="shared" si="67"/>
        <v/>
      </c>
      <c r="AI140" s="39" t="str">
        <f t="shared" si="68"/>
        <v/>
      </c>
      <c r="AJ140" s="39" t="str">
        <f t="shared" si="69"/>
        <v/>
      </c>
      <c r="AK140" t="str">
        <f t="shared" si="70"/>
        <v/>
      </c>
      <c r="AL140" t="str">
        <f t="shared" si="71"/>
        <v/>
      </c>
    </row>
    <row r="141" spans="11:38" ht="15">
      <c r="K141" t="str">
        <f t="shared" si="48"/>
        <v/>
      </c>
      <c r="L141" t="str">
        <f t="shared" si="49"/>
        <v/>
      </c>
      <c r="M141" s="36" t="str">
        <f t="shared" si="50"/>
        <v/>
      </c>
      <c r="N141" s="37" t="str">
        <f t="shared" si="51"/>
        <v/>
      </c>
      <c r="O141" s="37" t="str">
        <f t="shared" si="52"/>
        <v/>
      </c>
      <c r="P141" s="38" t="str">
        <f t="shared" si="53"/>
        <v/>
      </c>
      <c r="Q141" s="39" t="str">
        <f t="shared" si="54"/>
        <v/>
      </c>
      <c r="R141" s="39" t="str">
        <f t="shared" si="55"/>
        <v/>
      </c>
      <c r="S141" t="str">
        <f t="shared" si="56"/>
        <v/>
      </c>
      <c r="T141" s="39" t="str">
        <f t="shared" si="57"/>
        <v/>
      </c>
      <c r="U141" t="str">
        <f t="shared" si="58"/>
        <v/>
      </c>
      <c r="V141" t="str">
        <f t="shared" si="59"/>
        <v/>
      </c>
      <c r="W141" t="str">
        <f t="shared" si="60"/>
        <v/>
      </c>
      <c r="X141" s="38" t="str">
        <f t="shared" si="61"/>
        <v/>
      </c>
      <c r="Y141" s="38" t="str">
        <f t="shared" si="62"/>
        <v/>
      </c>
      <c r="Z141" s="39" t="str">
        <f t="shared" si="63"/>
        <v/>
      </c>
      <c r="AA141" s="39" t="str">
        <f t="shared" si="64"/>
        <v/>
      </c>
      <c r="AB141" s="40" t="str">
        <f t="shared" si="65"/>
        <v/>
      </c>
      <c r="AC141" t="str">
        <f>IF(L141="","",IF(AND($AO$2=1,ISNA(MATCH(L141,'02-شباط'!$L$2:$L$501,0))),"محذوف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66"/>
        <v/>
      </c>
      <c r="AH141" s="39" t="str">
        <f t="shared" si="67"/>
        <v/>
      </c>
      <c r="AI141" s="39" t="str">
        <f t="shared" si="68"/>
        <v/>
      </c>
      <c r="AJ141" s="39" t="str">
        <f t="shared" si="69"/>
        <v/>
      </c>
      <c r="AK141" t="str">
        <f t="shared" si="70"/>
        <v/>
      </c>
      <c r="AL141" t="str">
        <f t="shared" si="71"/>
        <v/>
      </c>
    </row>
    <row r="142" spans="11:38" ht="15">
      <c r="K142" t="str">
        <f t="shared" si="48"/>
        <v/>
      </c>
      <c r="L142" t="str">
        <f t="shared" si="49"/>
        <v/>
      </c>
      <c r="M142" s="36" t="str">
        <f t="shared" si="50"/>
        <v/>
      </c>
      <c r="N142" s="37" t="str">
        <f t="shared" si="51"/>
        <v/>
      </c>
      <c r="O142" s="37" t="str">
        <f t="shared" si="52"/>
        <v/>
      </c>
      <c r="P142" s="38" t="str">
        <f t="shared" si="53"/>
        <v/>
      </c>
      <c r="Q142" s="39" t="str">
        <f t="shared" si="54"/>
        <v/>
      </c>
      <c r="R142" s="39" t="str">
        <f t="shared" si="55"/>
        <v/>
      </c>
      <c r="S142" t="str">
        <f t="shared" si="56"/>
        <v/>
      </c>
      <c r="T142" s="39" t="str">
        <f t="shared" si="57"/>
        <v/>
      </c>
      <c r="U142" t="str">
        <f t="shared" si="58"/>
        <v/>
      </c>
      <c r="V142" t="str">
        <f t="shared" si="59"/>
        <v/>
      </c>
      <c r="W142" t="str">
        <f t="shared" si="60"/>
        <v/>
      </c>
      <c r="X142" s="38" t="str">
        <f t="shared" si="61"/>
        <v/>
      </c>
      <c r="Y142" s="38" t="str">
        <f t="shared" si="62"/>
        <v/>
      </c>
      <c r="Z142" s="39" t="str">
        <f t="shared" si="63"/>
        <v/>
      </c>
      <c r="AA142" s="39" t="str">
        <f t="shared" si="64"/>
        <v/>
      </c>
      <c r="AB142" s="40" t="str">
        <f t="shared" si="65"/>
        <v/>
      </c>
      <c r="AC142" t="str">
        <f>IF(L142="","",IF(AND($AO$2=1,ISNA(MATCH(L142,'02-شباط'!$L$2:$L$501,0))),"محذوف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66"/>
        <v/>
      </c>
      <c r="AH142" s="39" t="str">
        <f t="shared" si="67"/>
        <v/>
      </c>
      <c r="AI142" s="39" t="str">
        <f t="shared" si="68"/>
        <v/>
      </c>
      <c r="AJ142" s="39" t="str">
        <f t="shared" si="69"/>
        <v/>
      </c>
      <c r="AK142" t="str">
        <f t="shared" si="70"/>
        <v/>
      </c>
      <c r="AL142" t="str">
        <f t="shared" si="71"/>
        <v/>
      </c>
    </row>
    <row r="143" spans="11:38" ht="15">
      <c r="K143" t="str">
        <f t="shared" si="48"/>
        <v/>
      </c>
      <c r="L143" t="str">
        <f t="shared" si="49"/>
        <v/>
      </c>
      <c r="M143" s="36" t="str">
        <f t="shared" si="50"/>
        <v/>
      </c>
      <c r="N143" s="37" t="str">
        <f t="shared" si="51"/>
        <v/>
      </c>
      <c r="O143" s="37" t="str">
        <f t="shared" si="52"/>
        <v/>
      </c>
      <c r="P143" s="38" t="str">
        <f t="shared" si="53"/>
        <v/>
      </c>
      <c r="Q143" s="39" t="str">
        <f t="shared" si="54"/>
        <v/>
      </c>
      <c r="R143" s="39" t="str">
        <f t="shared" si="55"/>
        <v/>
      </c>
      <c r="S143" t="str">
        <f t="shared" si="56"/>
        <v/>
      </c>
      <c r="T143" s="39" t="str">
        <f t="shared" si="57"/>
        <v/>
      </c>
      <c r="U143" t="str">
        <f t="shared" si="58"/>
        <v/>
      </c>
      <c r="V143" t="str">
        <f t="shared" si="59"/>
        <v/>
      </c>
      <c r="W143" t="str">
        <f t="shared" si="60"/>
        <v/>
      </c>
      <c r="X143" s="38" t="str">
        <f t="shared" si="61"/>
        <v/>
      </c>
      <c r="Y143" s="38" t="str">
        <f t="shared" si="62"/>
        <v/>
      </c>
      <c r="Z143" s="39" t="str">
        <f t="shared" si="63"/>
        <v/>
      </c>
      <c r="AA143" s="39" t="str">
        <f t="shared" si="64"/>
        <v/>
      </c>
      <c r="AB143" s="40" t="str">
        <f t="shared" si="65"/>
        <v/>
      </c>
      <c r="AC143" t="str">
        <f>IF(L143="","",IF(AND($AO$2=1,ISNA(MATCH(L143,'02-شباط'!$L$2:$L$501,0))),"محذوف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66"/>
        <v/>
      </c>
      <c r="AH143" s="39" t="str">
        <f t="shared" si="67"/>
        <v/>
      </c>
      <c r="AI143" s="39" t="str">
        <f t="shared" si="68"/>
        <v/>
      </c>
      <c r="AJ143" s="39" t="str">
        <f t="shared" si="69"/>
        <v/>
      </c>
      <c r="AK143" t="str">
        <f t="shared" si="70"/>
        <v/>
      </c>
      <c r="AL143" t="str">
        <f t="shared" si="71"/>
        <v/>
      </c>
    </row>
    <row r="144" spans="11:38" ht="15">
      <c r="K144" t="str">
        <f t="shared" si="48"/>
        <v/>
      </c>
      <c r="L144" t="str">
        <f t="shared" si="49"/>
        <v/>
      </c>
      <c r="M144" s="36" t="str">
        <f t="shared" si="50"/>
        <v/>
      </c>
      <c r="N144" s="37" t="str">
        <f t="shared" si="51"/>
        <v/>
      </c>
      <c r="O144" s="37" t="str">
        <f t="shared" si="52"/>
        <v/>
      </c>
      <c r="P144" s="38" t="str">
        <f t="shared" si="53"/>
        <v/>
      </c>
      <c r="Q144" s="39" t="str">
        <f t="shared" si="54"/>
        <v/>
      </c>
      <c r="R144" s="39" t="str">
        <f t="shared" si="55"/>
        <v/>
      </c>
      <c r="S144" t="str">
        <f t="shared" si="56"/>
        <v/>
      </c>
      <c r="T144" s="39" t="str">
        <f t="shared" si="57"/>
        <v/>
      </c>
      <c r="U144" t="str">
        <f t="shared" si="58"/>
        <v/>
      </c>
      <c r="V144" t="str">
        <f t="shared" si="59"/>
        <v/>
      </c>
      <c r="W144" t="str">
        <f t="shared" si="60"/>
        <v/>
      </c>
      <c r="X144" s="38" t="str">
        <f t="shared" si="61"/>
        <v/>
      </c>
      <c r="Y144" s="38" t="str">
        <f t="shared" si="62"/>
        <v/>
      </c>
      <c r="Z144" s="39" t="str">
        <f t="shared" si="63"/>
        <v/>
      </c>
      <c r="AA144" s="39" t="str">
        <f t="shared" si="64"/>
        <v/>
      </c>
      <c r="AB144" s="40" t="str">
        <f t="shared" si="65"/>
        <v/>
      </c>
      <c r="AC144" t="str">
        <f>IF(L144="","",IF(AND($AO$2=1,ISNA(MATCH(L144,'02-شباط'!$L$2:$L$501,0))),"محذوف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66"/>
        <v/>
      </c>
      <c r="AH144" s="39" t="str">
        <f t="shared" si="67"/>
        <v/>
      </c>
      <c r="AI144" s="39" t="str">
        <f t="shared" si="68"/>
        <v/>
      </c>
      <c r="AJ144" s="39" t="str">
        <f t="shared" si="69"/>
        <v/>
      </c>
      <c r="AK144" t="str">
        <f t="shared" si="70"/>
        <v/>
      </c>
      <c r="AL144" t="str">
        <f t="shared" si="71"/>
        <v/>
      </c>
    </row>
    <row r="145" spans="11:38" ht="15">
      <c r="K145" t="str">
        <f t="shared" si="48"/>
        <v/>
      </c>
      <c r="L145" t="str">
        <f t="shared" si="49"/>
        <v/>
      </c>
      <c r="M145" s="36" t="str">
        <f t="shared" si="50"/>
        <v/>
      </c>
      <c r="N145" s="37" t="str">
        <f t="shared" si="51"/>
        <v/>
      </c>
      <c r="O145" s="37" t="str">
        <f t="shared" si="52"/>
        <v/>
      </c>
      <c r="P145" s="38" t="str">
        <f t="shared" si="53"/>
        <v/>
      </c>
      <c r="Q145" s="39" t="str">
        <f t="shared" si="54"/>
        <v/>
      </c>
      <c r="R145" s="39" t="str">
        <f t="shared" si="55"/>
        <v/>
      </c>
      <c r="S145" t="str">
        <f t="shared" si="56"/>
        <v/>
      </c>
      <c r="T145" s="39" t="str">
        <f t="shared" si="57"/>
        <v/>
      </c>
      <c r="U145" t="str">
        <f t="shared" si="58"/>
        <v/>
      </c>
      <c r="V145" t="str">
        <f t="shared" si="59"/>
        <v/>
      </c>
      <c r="W145" t="str">
        <f t="shared" si="60"/>
        <v/>
      </c>
      <c r="X145" s="38" t="str">
        <f t="shared" si="61"/>
        <v/>
      </c>
      <c r="Y145" s="38" t="str">
        <f t="shared" si="62"/>
        <v/>
      </c>
      <c r="Z145" s="39" t="str">
        <f t="shared" si="63"/>
        <v/>
      </c>
      <c r="AA145" s="39" t="str">
        <f t="shared" si="64"/>
        <v/>
      </c>
      <c r="AB145" s="40" t="str">
        <f t="shared" si="65"/>
        <v/>
      </c>
      <c r="AC145" t="str">
        <f>IF(L145="","",IF(AND($AO$2=1,ISNA(MATCH(L145,'02-شباط'!$L$2:$L$501,0))),"محذوف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66"/>
        <v/>
      </c>
      <c r="AH145" s="39" t="str">
        <f t="shared" si="67"/>
        <v/>
      </c>
      <c r="AI145" s="39" t="str">
        <f t="shared" si="68"/>
        <v/>
      </c>
      <c r="AJ145" s="39" t="str">
        <f t="shared" si="69"/>
        <v/>
      </c>
      <c r="AK145" t="str">
        <f t="shared" si="70"/>
        <v/>
      </c>
      <c r="AL145" t="str">
        <f t="shared" si="71"/>
        <v/>
      </c>
    </row>
    <row r="146" spans="11:38" ht="15">
      <c r="K146" t="str">
        <f t="shared" si="48"/>
        <v/>
      </c>
      <c r="L146" t="str">
        <f t="shared" si="49"/>
        <v/>
      </c>
      <c r="M146" s="36" t="str">
        <f t="shared" si="50"/>
        <v/>
      </c>
      <c r="N146" s="37" t="str">
        <f t="shared" si="51"/>
        <v/>
      </c>
      <c r="O146" s="37" t="str">
        <f t="shared" si="52"/>
        <v/>
      </c>
      <c r="P146" s="38" t="str">
        <f t="shared" si="53"/>
        <v/>
      </c>
      <c r="Q146" s="39" t="str">
        <f t="shared" si="54"/>
        <v/>
      </c>
      <c r="R146" s="39" t="str">
        <f t="shared" si="55"/>
        <v/>
      </c>
      <c r="S146" t="str">
        <f t="shared" si="56"/>
        <v/>
      </c>
      <c r="T146" s="39" t="str">
        <f t="shared" si="57"/>
        <v/>
      </c>
      <c r="U146" t="str">
        <f t="shared" si="58"/>
        <v/>
      </c>
      <c r="V146" t="str">
        <f t="shared" si="59"/>
        <v/>
      </c>
      <c r="W146" t="str">
        <f t="shared" si="60"/>
        <v/>
      </c>
      <c r="X146" s="38" t="str">
        <f t="shared" si="61"/>
        <v/>
      </c>
      <c r="Y146" s="38" t="str">
        <f t="shared" si="62"/>
        <v/>
      </c>
      <c r="Z146" s="39" t="str">
        <f t="shared" si="63"/>
        <v/>
      </c>
      <c r="AA146" s="39" t="str">
        <f t="shared" si="64"/>
        <v/>
      </c>
      <c r="AB146" s="40" t="str">
        <f t="shared" si="65"/>
        <v/>
      </c>
      <c r="AC146" t="str">
        <f>IF(L146="","",IF(AND($AO$2=1,ISNA(MATCH(L146,'02-شباط'!$L$2:$L$501,0))),"محذوف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66"/>
        <v/>
      </c>
      <c r="AH146" s="39" t="str">
        <f t="shared" si="67"/>
        <v/>
      </c>
      <c r="AI146" s="39" t="str">
        <f t="shared" si="68"/>
        <v/>
      </c>
      <c r="AJ146" s="39" t="str">
        <f t="shared" si="69"/>
        <v/>
      </c>
      <c r="AK146" t="str">
        <f t="shared" si="70"/>
        <v/>
      </c>
      <c r="AL146" t="str">
        <f t="shared" si="71"/>
        <v/>
      </c>
    </row>
    <row r="147" spans="11:38" ht="15">
      <c r="K147" t="str">
        <f t="shared" si="48"/>
        <v/>
      </c>
      <c r="L147" t="str">
        <f t="shared" si="49"/>
        <v/>
      </c>
      <c r="M147" s="36" t="str">
        <f t="shared" si="50"/>
        <v/>
      </c>
      <c r="N147" s="37" t="str">
        <f t="shared" si="51"/>
        <v/>
      </c>
      <c r="O147" s="37" t="str">
        <f t="shared" si="52"/>
        <v/>
      </c>
      <c r="P147" s="38" t="str">
        <f t="shared" si="53"/>
        <v/>
      </c>
      <c r="Q147" s="39" t="str">
        <f t="shared" si="54"/>
        <v/>
      </c>
      <c r="R147" s="39" t="str">
        <f t="shared" si="55"/>
        <v/>
      </c>
      <c r="S147" t="str">
        <f t="shared" si="56"/>
        <v/>
      </c>
      <c r="T147" s="39" t="str">
        <f t="shared" si="57"/>
        <v/>
      </c>
      <c r="U147" t="str">
        <f t="shared" si="58"/>
        <v/>
      </c>
      <c r="V147" t="str">
        <f t="shared" si="59"/>
        <v/>
      </c>
      <c r="W147" t="str">
        <f t="shared" si="60"/>
        <v/>
      </c>
      <c r="X147" s="38" t="str">
        <f t="shared" si="61"/>
        <v/>
      </c>
      <c r="Y147" s="38" t="str">
        <f t="shared" si="62"/>
        <v/>
      </c>
      <c r="Z147" s="39" t="str">
        <f t="shared" si="63"/>
        <v/>
      </c>
      <c r="AA147" s="39" t="str">
        <f t="shared" si="64"/>
        <v/>
      </c>
      <c r="AB147" s="40" t="str">
        <f t="shared" si="65"/>
        <v/>
      </c>
      <c r="AC147" t="str">
        <f>IF(L147="","",IF(AND($AO$2=1,ISNA(MATCH(L147,'02-شباط'!$L$2:$L$501,0))),"محذوف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66"/>
        <v/>
      </c>
      <c r="AH147" s="39" t="str">
        <f t="shared" si="67"/>
        <v/>
      </c>
      <c r="AI147" s="39" t="str">
        <f t="shared" si="68"/>
        <v/>
      </c>
      <c r="AJ147" s="39" t="str">
        <f t="shared" si="69"/>
        <v/>
      </c>
      <c r="AK147" t="str">
        <f t="shared" si="70"/>
        <v/>
      </c>
      <c r="AL147" t="str">
        <f t="shared" si="71"/>
        <v/>
      </c>
    </row>
    <row r="148" spans="11:38" ht="15">
      <c r="K148" t="str">
        <f t="shared" si="48"/>
        <v/>
      </c>
      <c r="L148" t="str">
        <f t="shared" si="49"/>
        <v/>
      </c>
      <c r="M148" s="36" t="str">
        <f t="shared" si="50"/>
        <v/>
      </c>
      <c r="N148" s="37" t="str">
        <f t="shared" si="51"/>
        <v/>
      </c>
      <c r="O148" s="37" t="str">
        <f t="shared" si="52"/>
        <v/>
      </c>
      <c r="P148" s="38" t="str">
        <f t="shared" si="53"/>
        <v/>
      </c>
      <c r="Q148" s="39" t="str">
        <f t="shared" si="54"/>
        <v/>
      </c>
      <c r="R148" s="39" t="str">
        <f t="shared" si="55"/>
        <v/>
      </c>
      <c r="S148" t="str">
        <f t="shared" si="56"/>
        <v/>
      </c>
      <c r="T148" s="39" t="str">
        <f t="shared" si="57"/>
        <v/>
      </c>
      <c r="U148" t="str">
        <f t="shared" si="58"/>
        <v/>
      </c>
      <c r="V148" t="str">
        <f t="shared" si="59"/>
        <v/>
      </c>
      <c r="W148" t="str">
        <f t="shared" si="60"/>
        <v/>
      </c>
      <c r="X148" s="38" t="str">
        <f t="shared" si="61"/>
        <v/>
      </c>
      <c r="Y148" s="38" t="str">
        <f t="shared" si="62"/>
        <v/>
      </c>
      <c r="Z148" s="39" t="str">
        <f t="shared" si="63"/>
        <v/>
      </c>
      <c r="AA148" s="39" t="str">
        <f t="shared" si="64"/>
        <v/>
      </c>
      <c r="AB148" s="40" t="str">
        <f t="shared" si="65"/>
        <v/>
      </c>
      <c r="AC148" t="str">
        <f>IF(L148="","",IF(AND($AO$2=1,ISNA(MATCH(L148,'02-شباط'!$L$2:$L$501,0))),"محذوف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66"/>
        <v/>
      </c>
      <c r="AH148" s="39" t="str">
        <f t="shared" si="67"/>
        <v/>
      </c>
      <c r="AI148" s="39" t="str">
        <f t="shared" si="68"/>
        <v/>
      </c>
      <c r="AJ148" s="39" t="str">
        <f t="shared" si="69"/>
        <v/>
      </c>
      <c r="AK148" t="str">
        <f t="shared" si="70"/>
        <v/>
      </c>
      <c r="AL148" t="str">
        <f t="shared" si="71"/>
        <v/>
      </c>
    </row>
    <row r="149" spans="11:38" ht="15">
      <c r="K149" t="str">
        <f t="shared" si="48"/>
        <v/>
      </c>
      <c r="L149" t="str">
        <f t="shared" si="49"/>
        <v/>
      </c>
      <c r="M149" s="36" t="str">
        <f t="shared" si="50"/>
        <v/>
      </c>
      <c r="N149" s="37" t="str">
        <f t="shared" si="51"/>
        <v/>
      </c>
      <c r="O149" s="37" t="str">
        <f t="shared" si="52"/>
        <v/>
      </c>
      <c r="P149" s="38" t="str">
        <f t="shared" si="53"/>
        <v/>
      </c>
      <c r="Q149" s="39" t="str">
        <f t="shared" si="54"/>
        <v/>
      </c>
      <c r="R149" s="39" t="str">
        <f t="shared" si="55"/>
        <v/>
      </c>
      <c r="S149" t="str">
        <f t="shared" si="56"/>
        <v/>
      </c>
      <c r="T149" s="39" t="str">
        <f t="shared" si="57"/>
        <v/>
      </c>
      <c r="U149" t="str">
        <f t="shared" si="58"/>
        <v/>
      </c>
      <c r="V149" t="str">
        <f t="shared" si="59"/>
        <v/>
      </c>
      <c r="W149" t="str">
        <f t="shared" si="60"/>
        <v/>
      </c>
      <c r="X149" s="38" t="str">
        <f t="shared" si="61"/>
        <v/>
      </c>
      <c r="Y149" s="38" t="str">
        <f t="shared" si="62"/>
        <v/>
      </c>
      <c r="Z149" s="39" t="str">
        <f t="shared" si="63"/>
        <v/>
      </c>
      <c r="AA149" s="39" t="str">
        <f t="shared" si="64"/>
        <v/>
      </c>
      <c r="AB149" s="40" t="str">
        <f t="shared" si="65"/>
        <v/>
      </c>
      <c r="AC149" t="str">
        <f>IF(L149="","",IF(AND($AO$2=1,ISNA(MATCH(L149,'02-شباط'!$L$2:$L$501,0))),"محذوف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66"/>
        <v/>
      </c>
      <c r="AH149" s="39" t="str">
        <f t="shared" si="67"/>
        <v/>
      </c>
      <c r="AI149" s="39" t="str">
        <f t="shared" si="68"/>
        <v/>
      </c>
      <c r="AJ149" s="39" t="str">
        <f t="shared" si="69"/>
        <v/>
      </c>
      <c r="AK149" t="str">
        <f t="shared" si="70"/>
        <v/>
      </c>
      <c r="AL149" t="str">
        <f t="shared" si="71"/>
        <v/>
      </c>
    </row>
    <row r="150" spans="11:38" ht="15">
      <c r="K150" t="str">
        <f t="shared" si="48"/>
        <v/>
      </c>
      <c r="L150" t="str">
        <f t="shared" si="49"/>
        <v/>
      </c>
      <c r="M150" s="36" t="str">
        <f t="shared" si="50"/>
        <v/>
      </c>
      <c r="N150" s="37" t="str">
        <f t="shared" si="51"/>
        <v/>
      </c>
      <c r="O150" s="37" t="str">
        <f t="shared" si="52"/>
        <v/>
      </c>
      <c r="P150" s="38" t="str">
        <f t="shared" si="53"/>
        <v/>
      </c>
      <c r="Q150" s="39" t="str">
        <f t="shared" si="54"/>
        <v/>
      </c>
      <c r="R150" s="39" t="str">
        <f t="shared" si="55"/>
        <v/>
      </c>
      <c r="S150" t="str">
        <f t="shared" si="56"/>
        <v/>
      </c>
      <c r="T150" s="39" t="str">
        <f t="shared" si="57"/>
        <v/>
      </c>
      <c r="U150" t="str">
        <f t="shared" si="58"/>
        <v/>
      </c>
      <c r="V150" t="str">
        <f t="shared" si="59"/>
        <v/>
      </c>
      <c r="W150" t="str">
        <f t="shared" si="60"/>
        <v/>
      </c>
      <c r="X150" s="38" t="str">
        <f t="shared" si="61"/>
        <v/>
      </c>
      <c r="Y150" s="38" t="str">
        <f t="shared" si="62"/>
        <v/>
      </c>
      <c r="Z150" s="39" t="str">
        <f t="shared" si="63"/>
        <v/>
      </c>
      <c r="AA150" s="39" t="str">
        <f t="shared" si="64"/>
        <v/>
      </c>
      <c r="AB150" s="40" t="str">
        <f t="shared" si="65"/>
        <v/>
      </c>
      <c r="AC150" t="str">
        <f>IF(L150="","",IF(AND($AO$2=1,ISNA(MATCH(L150,'02-شباط'!$L$2:$L$501,0))),"محذوف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66"/>
        <v/>
      </c>
      <c r="AH150" s="39" t="str">
        <f t="shared" si="67"/>
        <v/>
      </c>
      <c r="AI150" s="39" t="str">
        <f t="shared" si="68"/>
        <v/>
      </c>
      <c r="AJ150" s="39" t="str">
        <f t="shared" si="69"/>
        <v/>
      </c>
      <c r="AK150" t="str">
        <f t="shared" si="70"/>
        <v/>
      </c>
      <c r="AL150" t="str">
        <f t="shared" si="71"/>
        <v/>
      </c>
    </row>
    <row r="151" spans="11:38" ht="15">
      <c r="K151" t="str">
        <f t="shared" si="48"/>
        <v/>
      </c>
      <c r="L151" t="str">
        <f t="shared" si="49"/>
        <v/>
      </c>
      <c r="M151" s="36" t="str">
        <f t="shared" si="50"/>
        <v/>
      </c>
      <c r="N151" s="37" t="str">
        <f t="shared" si="51"/>
        <v/>
      </c>
      <c r="O151" s="37" t="str">
        <f t="shared" si="52"/>
        <v/>
      </c>
      <c r="P151" s="38" t="str">
        <f t="shared" si="53"/>
        <v/>
      </c>
      <c r="Q151" s="39" t="str">
        <f t="shared" si="54"/>
        <v/>
      </c>
      <c r="R151" s="39" t="str">
        <f t="shared" si="55"/>
        <v/>
      </c>
      <c r="S151" t="str">
        <f t="shared" si="56"/>
        <v/>
      </c>
      <c r="T151" s="39" t="str">
        <f t="shared" si="57"/>
        <v/>
      </c>
      <c r="U151" t="str">
        <f t="shared" si="58"/>
        <v/>
      </c>
      <c r="V151" t="str">
        <f t="shared" si="59"/>
        <v/>
      </c>
      <c r="W151" t="str">
        <f t="shared" si="60"/>
        <v/>
      </c>
      <c r="X151" s="38" t="str">
        <f t="shared" si="61"/>
        <v/>
      </c>
      <c r="Y151" s="38" t="str">
        <f t="shared" si="62"/>
        <v/>
      </c>
      <c r="Z151" s="39" t="str">
        <f t="shared" si="63"/>
        <v/>
      </c>
      <c r="AA151" s="39" t="str">
        <f t="shared" si="64"/>
        <v/>
      </c>
      <c r="AB151" s="40" t="str">
        <f t="shared" si="65"/>
        <v/>
      </c>
      <c r="AC151" t="str">
        <f>IF(L151="","",IF(AND($AO$2=1,ISNA(MATCH(L151,'02-شباط'!$L$2:$L$501,0))),"محذوف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66"/>
        <v/>
      </c>
      <c r="AH151" s="39" t="str">
        <f t="shared" si="67"/>
        <v/>
      </c>
      <c r="AI151" s="39" t="str">
        <f t="shared" si="68"/>
        <v/>
      </c>
      <c r="AJ151" s="39" t="str">
        <f t="shared" si="69"/>
        <v/>
      </c>
      <c r="AK151" t="str">
        <f t="shared" si="70"/>
        <v/>
      </c>
      <c r="AL151" t="str">
        <f t="shared" si="71"/>
        <v/>
      </c>
    </row>
    <row r="152" spans="11:38" ht="15">
      <c r="K152" t="str">
        <f t="shared" si="48"/>
        <v/>
      </c>
      <c r="L152" t="str">
        <f t="shared" si="49"/>
        <v/>
      </c>
      <c r="M152" s="36" t="str">
        <f t="shared" si="50"/>
        <v/>
      </c>
      <c r="N152" s="37" t="str">
        <f t="shared" si="51"/>
        <v/>
      </c>
      <c r="O152" s="37" t="str">
        <f t="shared" si="52"/>
        <v/>
      </c>
      <c r="P152" s="38" t="str">
        <f t="shared" si="53"/>
        <v/>
      </c>
      <c r="Q152" s="39" t="str">
        <f t="shared" si="54"/>
        <v/>
      </c>
      <c r="R152" s="39" t="str">
        <f t="shared" si="55"/>
        <v/>
      </c>
      <c r="S152" t="str">
        <f t="shared" si="56"/>
        <v/>
      </c>
      <c r="T152" s="39" t="str">
        <f t="shared" si="57"/>
        <v/>
      </c>
      <c r="U152" t="str">
        <f t="shared" si="58"/>
        <v/>
      </c>
      <c r="V152" t="str">
        <f t="shared" si="59"/>
        <v/>
      </c>
      <c r="W152" t="str">
        <f t="shared" si="60"/>
        <v/>
      </c>
      <c r="X152" s="38" t="str">
        <f t="shared" si="61"/>
        <v/>
      </c>
      <c r="Y152" s="38" t="str">
        <f t="shared" si="62"/>
        <v/>
      </c>
      <c r="Z152" s="39" t="str">
        <f t="shared" si="63"/>
        <v/>
      </c>
      <c r="AA152" s="39" t="str">
        <f t="shared" si="64"/>
        <v/>
      </c>
      <c r="AB152" s="40" t="str">
        <f t="shared" si="65"/>
        <v/>
      </c>
      <c r="AC152" t="str">
        <f>IF(L152="","",IF(AND($AO$2=1,ISNA(MATCH(L152,'02-شباط'!$L$2:$L$501,0))),"محذوف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66"/>
        <v/>
      </c>
      <c r="AH152" s="39" t="str">
        <f t="shared" si="67"/>
        <v/>
      </c>
      <c r="AI152" s="39" t="str">
        <f t="shared" si="68"/>
        <v/>
      </c>
      <c r="AJ152" s="39" t="str">
        <f t="shared" si="69"/>
        <v/>
      </c>
      <c r="AK152" t="str">
        <f t="shared" si="70"/>
        <v/>
      </c>
      <c r="AL152" t="str">
        <f t="shared" si="71"/>
        <v/>
      </c>
    </row>
    <row r="153" spans="11:38" ht="15">
      <c r="K153" t="str">
        <f t="shared" si="48"/>
        <v/>
      </c>
      <c r="L153" t="str">
        <f t="shared" si="49"/>
        <v/>
      </c>
      <c r="M153" s="36" t="str">
        <f t="shared" si="50"/>
        <v/>
      </c>
      <c r="N153" s="37" t="str">
        <f t="shared" si="51"/>
        <v/>
      </c>
      <c r="O153" s="37" t="str">
        <f t="shared" si="52"/>
        <v/>
      </c>
      <c r="P153" s="38" t="str">
        <f t="shared" si="53"/>
        <v/>
      </c>
      <c r="Q153" s="39" t="str">
        <f t="shared" si="54"/>
        <v/>
      </c>
      <c r="R153" s="39" t="str">
        <f t="shared" si="55"/>
        <v/>
      </c>
      <c r="S153" t="str">
        <f t="shared" si="56"/>
        <v/>
      </c>
      <c r="T153" s="39" t="str">
        <f t="shared" si="57"/>
        <v/>
      </c>
      <c r="U153" t="str">
        <f t="shared" si="58"/>
        <v/>
      </c>
      <c r="V153" t="str">
        <f t="shared" si="59"/>
        <v/>
      </c>
      <c r="W153" t="str">
        <f t="shared" si="60"/>
        <v/>
      </c>
      <c r="X153" s="38" t="str">
        <f t="shared" si="61"/>
        <v/>
      </c>
      <c r="Y153" s="38" t="str">
        <f t="shared" si="62"/>
        <v/>
      </c>
      <c r="Z153" s="39" t="str">
        <f t="shared" si="63"/>
        <v/>
      </c>
      <c r="AA153" s="39" t="str">
        <f t="shared" si="64"/>
        <v/>
      </c>
      <c r="AB153" s="40" t="str">
        <f t="shared" si="65"/>
        <v/>
      </c>
      <c r="AC153" t="str">
        <f>IF(L153="","",IF(AND($AO$2=1,ISNA(MATCH(L153,'02-شباط'!$L$2:$L$501,0))),"محذوف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66"/>
        <v/>
      </c>
      <c r="AH153" s="39" t="str">
        <f t="shared" si="67"/>
        <v/>
      </c>
      <c r="AI153" s="39" t="str">
        <f t="shared" si="68"/>
        <v/>
      </c>
      <c r="AJ153" s="39" t="str">
        <f t="shared" si="69"/>
        <v/>
      </c>
      <c r="AK153" t="str">
        <f t="shared" si="70"/>
        <v/>
      </c>
      <c r="AL153" t="str">
        <f t="shared" si="71"/>
        <v/>
      </c>
    </row>
    <row r="154" spans="11:38" ht="15">
      <c r="K154" t="str">
        <f t="shared" si="48"/>
        <v/>
      </c>
      <c r="L154" t="str">
        <f t="shared" si="49"/>
        <v/>
      </c>
      <c r="M154" s="36" t="str">
        <f t="shared" si="50"/>
        <v/>
      </c>
      <c r="N154" s="37" t="str">
        <f t="shared" si="51"/>
        <v/>
      </c>
      <c r="O154" s="37" t="str">
        <f t="shared" si="52"/>
        <v/>
      </c>
      <c r="P154" s="38" t="str">
        <f t="shared" si="53"/>
        <v/>
      </c>
      <c r="Q154" s="39" t="str">
        <f t="shared" si="54"/>
        <v/>
      </c>
      <c r="R154" s="39" t="str">
        <f t="shared" si="55"/>
        <v/>
      </c>
      <c r="S154" t="str">
        <f t="shared" si="56"/>
        <v/>
      </c>
      <c r="T154" s="39" t="str">
        <f t="shared" si="57"/>
        <v/>
      </c>
      <c r="U154" t="str">
        <f t="shared" si="58"/>
        <v/>
      </c>
      <c r="V154" t="str">
        <f t="shared" si="59"/>
        <v/>
      </c>
      <c r="W154" t="str">
        <f t="shared" si="60"/>
        <v/>
      </c>
      <c r="X154" s="38" t="str">
        <f t="shared" si="61"/>
        <v/>
      </c>
      <c r="Y154" s="38" t="str">
        <f t="shared" si="62"/>
        <v/>
      </c>
      <c r="Z154" s="39" t="str">
        <f t="shared" si="63"/>
        <v/>
      </c>
      <c r="AA154" s="39" t="str">
        <f t="shared" si="64"/>
        <v/>
      </c>
      <c r="AB154" s="40" t="str">
        <f t="shared" si="65"/>
        <v/>
      </c>
      <c r="AC154" t="str">
        <f>IF(L154="","",IF(AND($AO$2=1,ISNA(MATCH(L154,'02-شباط'!$L$2:$L$501,0))),"محذوف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66"/>
        <v/>
      </c>
      <c r="AH154" s="39" t="str">
        <f t="shared" si="67"/>
        <v/>
      </c>
      <c r="AI154" s="39" t="str">
        <f t="shared" si="68"/>
        <v/>
      </c>
      <c r="AJ154" s="39" t="str">
        <f t="shared" si="69"/>
        <v/>
      </c>
      <c r="AK154" t="str">
        <f t="shared" si="70"/>
        <v/>
      </c>
      <c r="AL154" t="str">
        <f t="shared" si="71"/>
        <v/>
      </c>
    </row>
    <row r="155" spans="11:38" ht="15">
      <c r="K155" t="str">
        <f t="shared" si="48"/>
        <v/>
      </c>
      <c r="L155" t="str">
        <f t="shared" si="49"/>
        <v/>
      </c>
      <c r="M155" s="36" t="str">
        <f t="shared" si="50"/>
        <v/>
      </c>
      <c r="N155" s="37" t="str">
        <f t="shared" si="51"/>
        <v/>
      </c>
      <c r="O155" s="37" t="str">
        <f t="shared" si="52"/>
        <v/>
      </c>
      <c r="P155" s="38" t="str">
        <f t="shared" si="53"/>
        <v/>
      </c>
      <c r="Q155" s="39" t="str">
        <f t="shared" si="54"/>
        <v/>
      </c>
      <c r="R155" s="39" t="str">
        <f t="shared" si="55"/>
        <v/>
      </c>
      <c r="S155" t="str">
        <f t="shared" si="56"/>
        <v/>
      </c>
      <c r="T155" s="39" t="str">
        <f t="shared" si="57"/>
        <v/>
      </c>
      <c r="U155" t="str">
        <f t="shared" si="58"/>
        <v/>
      </c>
      <c r="V155" t="str">
        <f t="shared" si="59"/>
        <v/>
      </c>
      <c r="W155" t="str">
        <f t="shared" si="60"/>
        <v/>
      </c>
      <c r="X155" s="38" t="str">
        <f t="shared" si="61"/>
        <v/>
      </c>
      <c r="Y155" s="38" t="str">
        <f t="shared" si="62"/>
        <v/>
      </c>
      <c r="Z155" s="39" t="str">
        <f t="shared" si="63"/>
        <v/>
      </c>
      <c r="AA155" s="39" t="str">
        <f t="shared" si="64"/>
        <v/>
      </c>
      <c r="AB155" s="40" t="str">
        <f t="shared" si="65"/>
        <v/>
      </c>
      <c r="AC155" t="str">
        <f>IF(L155="","",IF(AND($AO$2=1,ISNA(MATCH(L155,'02-شباط'!$L$2:$L$501,0))),"محذوف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66"/>
        <v/>
      </c>
      <c r="AH155" s="39" t="str">
        <f t="shared" si="67"/>
        <v/>
      </c>
      <c r="AI155" s="39" t="str">
        <f t="shared" si="68"/>
        <v/>
      </c>
      <c r="AJ155" s="39" t="str">
        <f t="shared" si="69"/>
        <v/>
      </c>
      <c r="AK155" t="str">
        <f t="shared" si="70"/>
        <v/>
      </c>
      <c r="AL155" t="str">
        <f t="shared" si="71"/>
        <v/>
      </c>
    </row>
    <row r="156" spans="11:38" ht="15">
      <c r="K156" t="str">
        <f t="shared" si="48"/>
        <v/>
      </c>
      <c r="L156" t="str">
        <f t="shared" si="49"/>
        <v/>
      </c>
      <c r="M156" s="36" t="str">
        <f t="shared" si="50"/>
        <v/>
      </c>
      <c r="N156" s="37" t="str">
        <f t="shared" si="51"/>
        <v/>
      </c>
      <c r="O156" s="37" t="str">
        <f t="shared" si="52"/>
        <v/>
      </c>
      <c r="P156" s="38" t="str">
        <f t="shared" si="53"/>
        <v/>
      </c>
      <c r="Q156" s="39" t="str">
        <f t="shared" si="54"/>
        <v/>
      </c>
      <c r="R156" s="39" t="str">
        <f t="shared" si="55"/>
        <v/>
      </c>
      <c r="S156" t="str">
        <f t="shared" si="56"/>
        <v/>
      </c>
      <c r="T156" s="39" t="str">
        <f t="shared" si="57"/>
        <v/>
      </c>
      <c r="U156" t="str">
        <f t="shared" si="58"/>
        <v/>
      </c>
      <c r="V156" t="str">
        <f t="shared" si="59"/>
        <v/>
      </c>
      <c r="W156" t="str">
        <f t="shared" si="60"/>
        <v/>
      </c>
      <c r="X156" s="38" t="str">
        <f t="shared" si="61"/>
        <v/>
      </c>
      <c r="Y156" s="38" t="str">
        <f t="shared" si="62"/>
        <v/>
      </c>
      <c r="Z156" s="39" t="str">
        <f t="shared" si="63"/>
        <v/>
      </c>
      <c r="AA156" s="39" t="str">
        <f t="shared" si="64"/>
        <v/>
      </c>
      <c r="AB156" s="40" t="str">
        <f t="shared" si="65"/>
        <v/>
      </c>
      <c r="AC156" t="str">
        <f>IF(L156="","",IF(AND($AO$2=1,ISNA(MATCH(L156,'02-شباط'!$L$2:$L$501,0))),"محذوف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66"/>
        <v/>
      </c>
      <c r="AH156" s="39" t="str">
        <f t="shared" si="67"/>
        <v/>
      </c>
      <c r="AI156" s="39" t="str">
        <f t="shared" si="68"/>
        <v/>
      </c>
      <c r="AJ156" s="39" t="str">
        <f t="shared" si="69"/>
        <v/>
      </c>
      <c r="AK156" t="str">
        <f t="shared" si="70"/>
        <v/>
      </c>
      <c r="AL156" t="str">
        <f t="shared" si="71"/>
        <v/>
      </c>
    </row>
    <row r="157" spans="11:38" ht="15">
      <c r="K157" t="str">
        <f t="shared" si="48"/>
        <v/>
      </c>
      <c r="L157" t="str">
        <f t="shared" si="49"/>
        <v/>
      </c>
      <c r="M157" s="36" t="str">
        <f t="shared" si="50"/>
        <v/>
      </c>
      <c r="N157" s="37" t="str">
        <f t="shared" si="51"/>
        <v/>
      </c>
      <c r="O157" s="37" t="str">
        <f t="shared" si="52"/>
        <v/>
      </c>
      <c r="P157" s="38" t="str">
        <f t="shared" si="53"/>
        <v/>
      </c>
      <c r="Q157" s="39" t="str">
        <f t="shared" si="54"/>
        <v/>
      </c>
      <c r="R157" s="39" t="str">
        <f t="shared" si="55"/>
        <v/>
      </c>
      <c r="S157" t="str">
        <f t="shared" si="56"/>
        <v/>
      </c>
      <c r="T157" s="39" t="str">
        <f t="shared" si="57"/>
        <v/>
      </c>
      <c r="U157" t="str">
        <f t="shared" si="58"/>
        <v/>
      </c>
      <c r="V157" t="str">
        <f t="shared" si="59"/>
        <v/>
      </c>
      <c r="W157" t="str">
        <f t="shared" si="60"/>
        <v/>
      </c>
      <c r="X157" s="38" t="str">
        <f t="shared" si="61"/>
        <v/>
      </c>
      <c r="Y157" s="38" t="str">
        <f t="shared" si="62"/>
        <v/>
      </c>
      <c r="Z157" s="39" t="str">
        <f t="shared" si="63"/>
        <v/>
      </c>
      <c r="AA157" s="39" t="str">
        <f t="shared" si="64"/>
        <v/>
      </c>
      <c r="AB157" s="40" t="str">
        <f t="shared" si="65"/>
        <v/>
      </c>
      <c r="AC157" t="str">
        <f>IF(L157="","",IF(AND($AO$2=1,ISNA(MATCH(L157,'02-شباط'!$L$2:$L$501,0))),"محذوف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66"/>
        <v/>
      </c>
      <c r="AH157" s="39" t="str">
        <f t="shared" si="67"/>
        <v/>
      </c>
      <c r="AI157" s="39" t="str">
        <f t="shared" si="68"/>
        <v/>
      </c>
      <c r="AJ157" s="39" t="str">
        <f t="shared" si="69"/>
        <v/>
      </c>
      <c r="AK157" t="str">
        <f t="shared" si="70"/>
        <v/>
      </c>
      <c r="AL157" t="str">
        <f t="shared" si="71"/>
        <v/>
      </c>
    </row>
    <row r="158" spans="11:38" ht="15">
      <c r="K158" t="str">
        <f t="shared" si="48"/>
        <v/>
      </c>
      <c r="L158" t="str">
        <f t="shared" si="49"/>
        <v/>
      </c>
      <c r="M158" s="36" t="str">
        <f t="shared" si="50"/>
        <v/>
      </c>
      <c r="N158" s="37" t="str">
        <f t="shared" si="51"/>
        <v/>
      </c>
      <c r="O158" s="37" t="str">
        <f t="shared" si="52"/>
        <v/>
      </c>
      <c r="P158" s="38" t="str">
        <f t="shared" si="53"/>
        <v/>
      </c>
      <c r="Q158" s="39" t="str">
        <f t="shared" si="54"/>
        <v/>
      </c>
      <c r="R158" s="39" t="str">
        <f t="shared" si="55"/>
        <v/>
      </c>
      <c r="S158" t="str">
        <f t="shared" si="56"/>
        <v/>
      </c>
      <c r="T158" s="39" t="str">
        <f t="shared" si="57"/>
        <v/>
      </c>
      <c r="U158" t="str">
        <f t="shared" si="58"/>
        <v/>
      </c>
      <c r="V158" t="str">
        <f t="shared" si="59"/>
        <v/>
      </c>
      <c r="W158" t="str">
        <f t="shared" si="60"/>
        <v/>
      </c>
      <c r="X158" s="38" t="str">
        <f t="shared" si="61"/>
        <v/>
      </c>
      <c r="Y158" s="38" t="str">
        <f t="shared" si="62"/>
        <v/>
      </c>
      <c r="Z158" s="39" t="str">
        <f t="shared" si="63"/>
        <v/>
      </c>
      <c r="AA158" s="39" t="str">
        <f t="shared" si="64"/>
        <v/>
      </c>
      <c r="AB158" s="40" t="str">
        <f t="shared" si="65"/>
        <v/>
      </c>
      <c r="AC158" t="str">
        <f>IF(L158="","",IF(AND($AO$2=1,ISNA(MATCH(L158,'02-شباط'!$L$2:$L$501,0))),"محذوف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66"/>
        <v/>
      </c>
      <c r="AH158" s="39" t="str">
        <f t="shared" si="67"/>
        <v/>
      </c>
      <c r="AI158" s="39" t="str">
        <f t="shared" si="68"/>
        <v/>
      </c>
      <c r="AJ158" s="39" t="str">
        <f t="shared" si="69"/>
        <v/>
      </c>
      <c r="AK158" t="str">
        <f t="shared" si="70"/>
        <v/>
      </c>
      <c r="AL158" t="str">
        <f t="shared" si="71"/>
        <v/>
      </c>
    </row>
    <row r="159" spans="11:38" ht="15">
      <c r="K159" t="str">
        <f t="shared" si="48"/>
        <v/>
      </c>
      <c r="L159" t="str">
        <f t="shared" si="49"/>
        <v/>
      </c>
      <c r="M159" s="36" t="str">
        <f t="shared" si="50"/>
        <v/>
      </c>
      <c r="N159" s="37" t="str">
        <f t="shared" si="51"/>
        <v/>
      </c>
      <c r="O159" s="37" t="str">
        <f t="shared" si="52"/>
        <v/>
      </c>
      <c r="P159" s="38" t="str">
        <f t="shared" si="53"/>
        <v/>
      </c>
      <c r="Q159" s="39" t="str">
        <f t="shared" si="54"/>
        <v/>
      </c>
      <c r="R159" s="39" t="str">
        <f t="shared" si="55"/>
        <v/>
      </c>
      <c r="S159" t="str">
        <f t="shared" si="56"/>
        <v/>
      </c>
      <c r="T159" s="39" t="str">
        <f t="shared" si="57"/>
        <v/>
      </c>
      <c r="U159" t="str">
        <f t="shared" si="58"/>
        <v/>
      </c>
      <c r="V159" t="str">
        <f t="shared" si="59"/>
        <v/>
      </c>
      <c r="W159" t="str">
        <f t="shared" si="60"/>
        <v/>
      </c>
      <c r="X159" s="38" t="str">
        <f t="shared" si="61"/>
        <v/>
      </c>
      <c r="Y159" s="38" t="str">
        <f t="shared" si="62"/>
        <v/>
      </c>
      <c r="Z159" s="39" t="str">
        <f t="shared" si="63"/>
        <v/>
      </c>
      <c r="AA159" s="39" t="str">
        <f t="shared" si="64"/>
        <v/>
      </c>
      <c r="AB159" s="40" t="str">
        <f t="shared" si="65"/>
        <v/>
      </c>
      <c r="AC159" t="str">
        <f>IF(L159="","",IF(AND($AO$2=1,ISNA(MATCH(L159,'02-شباط'!$L$2:$L$501,0))),"محذوف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66"/>
        <v/>
      </c>
      <c r="AH159" s="39" t="str">
        <f t="shared" si="67"/>
        <v/>
      </c>
      <c r="AI159" s="39" t="str">
        <f t="shared" si="68"/>
        <v/>
      </c>
      <c r="AJ159" s="39" t="str">
        <f t="shared" si="69"/>
        <v/>
      </c>
      <c r="AK159" t="str">
        <f t="shared" si="70"/>
        <v/>
      </c>
      <c r="AL159" t="str">
        <f t="shared" si="71"/>
        <v/>
      </c>
    </row>
    <row r="160" spans="11:38" ht="15">
      <c r="K160" t="str">
        <f t="shared" si="48"/>
        <v/>
      </c>
      <c r="L160" t="str">
        <f t="shared" si="49"/>
        <v/>
      </c>
      <c r="M160" s="36" t="str">
        <f t="shared" si="50"/>
        <v/>
      </c>
      <c r="N160" s="37" t="str">
        <f t="shared" si="51"/>
        <v/>
      </c>
      <c r="O160" s="37" t="str">
        <f t="shared" si="52"/>
        <v/>
      </c>
      <c r="P160" s="38" t="str">
        <f t="shared" si="53"/>
        <v/>
      </c>
      <c r="Q160" s="39" t="str">
        <f t="shared" si="54"/>
        <v/>
      </c>
      <c r="R160" s="39" t="str">
        <f t="shared" si="55"/>
        <v/>
      </c>
      <c r="S160" t="str">
        <f t="shared" si="56"/>
        <v/>
      </c>
      <c r="T160" s="39" t="str">
        <f t="shared" si="57"/>
        <v/>
      </c>
      <c r="U160" t="str">
        <f t="shared" si="58"/>
        <v/>
      </c>
      <c r="V160" t="str">
        <f t="shared" si="59"/>
        <v/>
      </c>
      <c r="W160" t="str">
        <f t="shared" si="60"/>
        <v/>
      </c>
      <c r="X160" s="38" t="str">
        <f t="shared" si="61"/>
        <v/>
      </c>
      <c r="Y160" s="38" t="str">
        <f t="shared" si="62"/>
        <v/>
      </c>
      <c r="Z160" s="39" t="str">
        <f t="shared" si="63"/>
        <v/>
      </c>
      <c r="AA160" s="39" t="str">
        <f t="shared" si="64"/>
        <v/>
      </c>
      <c r="AB160" s="40" t="str">
        <f t="shared" si="65"/>
        <v/>
      </c>
      <c r="AC160" t="str">
        <f>IF(L160="","",IF(AND($AO$2=1,ISNA(MATCH(L160,'02-شباط'!$L$2:$L$501,0))),"محذوف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66"/>
        <v/>
      </c>
      <c r="AH160" s="39" t="str">
        <f t="shared" si="67"/>
        <v/>
      </c>
      <c r="AI160" s="39" t="str">
        <f t="shared" si="68"/>
        <v/>
      </c>
      <c r="AJ160" s="39" t="str">
        <f t="shared" si="69"/>
        <v/>
      </c>
      <c r="AK160" t="str">
        <f t="shared" si="70"/>
        <v/>
      </c>
      <c r="AL160" t="str">
        <f t="shared" si="71"/>
        <v/>
      </c>
    </row>
    <row r="161" spans="11:38" ht="15">
      <c r="K161" t="str">
        <f t="shared" si="48"/>
        <v/>
      </c>
      <c r="L161" t="str">
        <f t="shared" si="49"/>
        <v/>
      </c>
      <c r="M161" s="36" t="str">
        <f t="shared" si="50"/>
        <v/>
      </c>
      <c r="N161" s="37" t="str">
        <f t="shared" si="51"/>
        <v/>
      </c>
      <c r="O161" s="37" t="str">
        <f t="shared" si="52"/>
        <v/>
      </c>
      <c r="P161" s="38" t="str">
        <f t="shared" si="53"/>
        <v/>
      </c>
      <c r="Q161" s="39" t="str">
        <f t="shared" si="54"/>
        <v/>
      </c>
      <c r="R161" s="39" t="str">
        <f t="shared" si="55"/>
        <v/>
      </c>
      <c r="S161" t="str">
        <f t="shared" si="56"/>
        <v/>
      </c>
      <c r="T161" s="39" t="str">
        <f t="shared" si="57"/>
        <v/>
      </c>
      <c r="U161" t="str">
        <f t="shared" si="58"/>
        <v/>
      </c>
      <c r="V161" t="str">
        <f t="shared" si="59"/>
        <v/>
      </c>
      <c r="W161" t="str">
        <f t="shared" si="60"/>
        <v/>
      </c>
      <c r="X161" s="38" t="str">
        <f t="shared" si="61"/>
        <v/>
      </c>
      <c r="Y161" s="38" t="str">
        <f t="shared" si="62"/>
        <v/>
      </c>
      <c r="Z161" s="39" t="str">
        <f t="shared" si="63"/>
        <v/>
      </c>
      <c r="AA161" s="39" t="str">
        <f t="shared" si="64"/>
        <v/>
      </c>
      <c r="AB161" s="40" t="str">
        <f t="shared" si="65"/>
        <v/>
      </c>
      <c r="AC161" t="str">
        <f>IF(L161="","",IF(AND($AO$2=1,ISNA(MATCH(L161,'02-شباط'!$L$2:$L$501,0))),"محذوف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66"/>
        <v/>
      </c>
      <c r="AH161" s="39" t="str">
        <f t="shared" si="67"/>
        <v/>
      </c>
      <c r="AI161" s="39" t="str">
        <f t="shared" si="68"/>
        <v/>
      </c>
      <c r="AJ161" s="39" t="str">
        <f t="shared" si="69"/>
        <v/>
      </c>
      <c r="AK161" t="str">
        <f t="shared" si="70"/>
        <v/>
      </c>
      <c r="AL161" t="str">
        <f t="shared" si="71"/>
        <v/>
      </c>
    </row>
    <row r="162" spans="11:38" ht="15">
      <c r="K162" t="str">
        <f t="shared" si="48"/>
        <v/>
      </c>
      <c r="L162" t="str">
        <f t="shared" si="49"/>
        <v/>
      </c>
      <c r="M162" s="36" t="str">
        <f t="shared" si="50"/>
        <v/>
      </c>
      <c r="N162" s="37" t="str">
        <f t="shared" si="51"/>
        <v/>
      </c>
      <c r="O162" s="37" t="str">
        <f t="shared" si="52"/>
        <v/>
      </c>
      <c r="P162" s="38" t="str">
        <f t="shared" si="53"/>
        <v/>
      </c>
      <c r="Q162" s="39" t="str">
        <f t="shared" si="54"/>
        <v/>
      </c>
      <c r="R162" s="39" t="str">
        <f t="shared" si="55"/>
        <v/>
      </c>
      <c r="S162" t="str">
        <f t="shared" si="56"/>
        <v/>
      </c>
      <c r="T162" s="39" t="str">
        <f t="shared" si="57"/>
        <v/>
      </c>
      <c r="U162" t="str">
        <f t="shared" si="58"/>
        <v/>
      </c>
      <c r="V162" t="str">
        <f t="shared" si="59"/>
        <v/>
      </c>
      <c r="W162" t="str">
        <f t="shared" si="60"/>
        <v/>
      </c>
      <c r="X162" s="38" t="str">
        <f t="shared" si="61"/>
        <v/>
      </c>
      <c r="Y162" s="38" t="str">
        <f t="shared" si="62"/>
        <v/>
      </c>
      <c r="Z162" s="39" t="str">
        <f t="shared" si="63"/>
        <v/>
      </c>
      <c r="AA162" s="39" t="str">
        <f t="shared" si="64"/>
        <v/>
      </c>
      <c r="AB162" s="40" t="str">
        <f t="shared" si="65"/>
        <v/>
      </c>
      <c r="AC162" t="str">
        <f>IF(L162="","",IF(AND($AO$2=1,ISNA(MATCH(L162,'02-شباط'!$L$2:$L$501,0))),"محذوف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66"/>
        <v/>
      </c>
      <c r="AH162" s="39" t="str">
        <f t="shared" si="67"/>
        <v/>
      </c>
      <c r="AI162" s="39" t="str">
        <f t="shared" si="68"/>
        <v/>
      </c>
      <c r="AJ162" s="39" t="str">
        <f t="shared" si="69"/>
        <v/>
      </c>
      <c r="AK162" t="str">
        <f t="shared" si="70"/>
        <v/>
      </c>
      <c r="AL162" t="str">
        <f t="shared" si="71"/>
        <v/>
      </c>
    </row>
    <row r="163" spans="11:38" ht="15">
      <c r="K163" t="str">
        <f t="shared" si="48"/>
        <v/>
      </c>
      <c r="L163" t="str">
        <f t="shared" si="49"/>
        <v/>
      </c>
      <c r="M163" s="36" t="str">
        <f t="shared" si="50"/>
        <v/>
      </c>
      <c r="N163" s="37" t="str">
        <f t="shared" si="51"/>
        <v/>
      </c>
      <c r="O163" s="37" t="str">
        <f t="shared" si="52"/>
        <v/>
      </c>
      <c r="P163" s="38" t="str">
        <f t="shared" si="53"/>
        <v/>
      </c>
      <c r="Q163" s="39" t="str">
        <f t="shared" si="54"/>
        <v/>
      </c>
      <c r="R163" s="39" t="str">
        <f t="shared" si="55"/>
        <v/>
      </c>
      <c r="S163" t="str">
        <f t="shared" si="56"/>
        <v/>
      </c>
      <c r="T163" s="39" t="str">
        <f t="shared" si="57"/>
        <v/>
      </c>
      <c r="U163" t="str">
        <f t="shared" si="58"/>
        <v/>
      </c>
      <c r="V163" t="str">
        <f t="shared" si="59"/>
        <v/>
      </c>
      <c r="W163" t="str">
        <f t="shared" si="60"/>
        <v/>
      </c>
      <c r="X163" s="38" t="str">
        <f t="shared" si="61"/>
        <v/>
      </c>
      <c r="Y163" s="38" t="str">
        <f t="shared" si="62"/>
        <v/>
      </c>
      <c r="Z163" s="39" t="str">
        <f t="shared" si="63"/>
        <v/>
      </c>
      <c r="AA163" s="39" t="str">
        <f t="shared" si="64"/>
        <v/>
      </c>
      <c r="AB163" s="40" t="str">
        <f t="shared" si="65"/>
        <v/>
      </c>
      <c r="AC163" t="str">
        <f>IF(L163="","",IF(AND($AO$2=1,ISNA(MATCH(L163,'02-شباط'!$L$2:$L$501,0))),"محذوف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66"/>
        <v/>
      </c>
      <c r="AH163" s="39" t="str">
        <f t="shared" si="67"/>
        <v/>
      </c>
      <c r="AI163" s="39" t="str">
        <f t="shared" si="68"/>
        <v/>
      </c>
      <c r="AJ163" s="39" t="str">
        <f t="shared" si="69"/>
        <v/>
      </c>
      <c r="AK163" t="str">
        <f t="shared" si="70"/>
        <v/>
      </c>
      <c r="AL163" t="str">
        <f t="shared" si="71"/>
        <v/>
      </c>
    </row>
    <row r="164" spans="11:38" ht="15">
      <c r="K164" t="str">
        <f t="shared" si="48"/>
        <v/>
      </c>
      <c r="L164" t="str">
        <f t="shared" si="49"/>
        <v/>
      </c>
      <c r="M164" s="36" t="str">
        <f t="shared" si="50"/>
        <v/>
      </c>
      <c r="N164" s="37" t="str">
        <f t="shared" si="51"/>
        <v/>
      </c>
      <c r="O164" s="37" t="str">
        <f t="shared" si="52"/>
        <v/>
      </c>
      <c r="P164" s="38" t="str">
        <f t="shared" si="53"/>
        <v/>
      </c>
      <c r="Q164" s="39" t="str">
        <f t="shared" si="54"/>
        <v/>
      </c>
      <c r="R164" s="39" t="str">
        <f t="shared" si="55"/>
        <v/>
      </c>
      <c r="S164" t="str">
        <f t="shared" si="56"/>
        <v/>
      </c>
      <c r="T164" s="39" t="str">
        <f t="shared" si="57"/>
        <v/>
      </c>
      <c r="U164" t="str">
        <f t="shared" si="58"/>
        <v/>
      </c>
      <c r="V164" t="str">
        <f t="shared" si="59"/>
        <v/>
      </c>
      <c r="W164" t="str">
        <f t="shared" si="60"/>
        <v/>
      </c>
      <c r="X164" s="38" t="str">
        <f t="shared" si="61"/>
        <v/>
      </c>
      <c r="Y164" s="38" t="str">
        <f t="shared" si="62"/>
        <v/>
      </c>
      <c r="Z164" s="39" t="str">
        <f t="shared" si="63"/>
        <v/>
      </c>
      <c r="AA164" s="39" t="str">
        <f t="shared" si="64"/>
        <v/>
      </c>
      <c r="AB164" s="40" t="str">
        <f t="shared" si="65"/>
        <v/>
      </c>
      <c r="AC164" t="str">
        <f>IF(L164="","",IF(AND($AO$2=1,ISNA(MATCH(L164,'02-شباط'!$L$2:$L$501,0))),"محذوف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66"/>
        <v/>
      </c>
      <c r="AH164" s="39" t="str">
        <f t="shared" si="67"/>
        <v/>
      </c>
      <c r="AI164" s="39" t="str">
        <f t="shared" si="68"/>
        <v/>
      </c>
      <c r="AJ164" s="39" t="str">
        <f t="shared" si="69"/>
        <v/>
      </c>
      <c r="AK164" t="str">
        <f t="shared" si="70"/>
        <v/>
      </c>
      <c r="AL164" t="str">
        <f t="shared" si="71"/>
        <v/>
      </c>
    </row>
    <row r="165" spans="11:38" ht="15">
      <c r="K165" t="str">
        <f t="shared" si="48"/>
        <v/>
      </c>
      <c r="L165" t="str">
        <f t="shared" si="49"/>
        <v/>
      </c>
      <c r="M165" s="36" t="str">
        <f t="shared" si="50"/>
        <v/>
      </c>
      <c r="N165" s="37" t="str">
        <f t="shared" si="51"/>
        <v/>
      </c>
      <c r="O165" s="37" t="str">
        <f t="shared" si="52"/>
        <v/>
      </c>
      <c r="P165" s="38" t="str">
        <f t="shared" si="53"/>
        <v/>
      </c>
      <c r="Q165" s="39" t="str">
        <f t="shared" si="54"/>
        <v/>
      </c>
      <c r="R165" s="39" t="str">
        <f t="shared" si="55"/>
        <v/>
      </c>
      <c r="S165" t="str">
        <f t="shared" si="56"/>
        <v/>
      </c>
      <c r="T165" s="39" t="str">
        <f t="shared" si="57"/>
        <v/>
      </c>
      <c r="U165" t="str">
        <f t="shared" si="58"/>
        <v/>
      </c>
      <c r="V165" t="str">
        <f t="shared" si="59"/>
        <v/>
      </c>
      <c r="W165" t="str">
        <f t="shared" si="60"/>
        <v/>
      </c>
      <c r="X165" s="38" t="str">
        <f t="shared" si="61"/>
        <v/>
      </c>
      <c r="Y165" s="38" t="str">
        <f t="shared" si="62"/>
        <v/>
      </c>
      <c r="Z165" s="39" t="str">
        <f t="shared" si="63"/>
        <v/>
      </c>
      <c r="AA165" s="39" t="str">
        <f t="shared" si="64"/>
        <v/>
      </c>
      <c r="AB165" s="40" t="str">
        <f t="shared" si="65"/>
        <v/>
      </c>
      <c r="AC165" t="str">
        <f>IF(L165="","",IF(AND($AO$2=1,ISNA(MATCH(L165,'02-شباط'!$L$2:$L$501,0))),"محذوف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66"/>
        <v/>
      </c>
      <c r="AH165" s="39" t="str">
        <f t="shared" si="67"/>
        <v/>
      </c>
      <c r="AI165" s="39" t="str">
        <f t="shared" si="68"/>
        <v/>
      </c>
      <c r="AJ165" s="39" t="str">
        <f t="shared" si="69"/>
        <v/>
      </c>
      <c r="AK165" t="str">
        <f t="shared" si="70"/>
        <v/>
      </c>
      <c r="AL165" t="str">
        <f t="shared" si="71"/>
        <v/>
      </c>
    </row>
    <row r="166" spans="11:38" ht="15">
      <c r="K166" t="str">
        <f t="shared" si="48"/>
        <v/>
      </c>
      <c r="L166" t="str">
        <f t="shared" si="49"/>
        <v/>
      </c>
      <c r="M166" s="36" t="str">
        <f t="shared" si="50"/>
        <v/>
      </c>
      <c r="N166" s="37" t="str">
        <f t="shared" si="51"/>
        <v/>
      </c>
      <c r="O166" s="37" t="str">
        <f t="shared" si="52"/>
        <v/>
      </c>
      <c r="P166" s="38" t="str">
        <f t="shared" si="53"/>
        <v/>
      </c>
      <c r="Q166" s="39" t="str">
        <f t="shared" si="54"/>
        <v/>
      </c>
      <c r="R166" s="39" t="str">
        <f t="shared" si="55"/>
        <v/>
      </c>
      <c r="S166" t="str">
        <f t="shared" si="56"/>
        <v/>
      </c>
      <c r="T166" s="39" t="str">
        <f t="shared" si="57"/>
        <v/>
      </c>
      <c r="U166" t="str">
        <f t="shared" si="58"/>
        <v/>
      </c>
      <c r="V166" t="str">
        <f t="shared" si="59"/>
        <v/>
      </c>
      <c r="W166" t="str">
        <f t="shared" si="60"/>
        <v/>
      </c>
      <c r="X166" s="38" t="str">
        <f t="shared" si="61"/>
        <v/>
      </c>
      <c r="Y166" s="38" t="str">
        <f t="shared" si="62"/>
        <v/>
      </c>
      <c r="Z166" s="39" t="str">
        <f t="shared" si="63"/>
        <v/>
      </c>
      <c r="AA166" s="39" t="str">
        <f t="shared" si="64"/>
        <v/>
      </c>
      <c r="AB166" s="40" t="str">
        <f t="shared" si="65"/>
        <v/>
      </c>
      <c r="AC166" t="str">
        <f>IF(L166="","",IF(AND($AO$2=1,ISNA(MATCH(L166,'02-شباط'!$L$2:$L$501,0))),"محذوف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66"/>
        <v/>
      </c>
      <c r="AH166" s="39" t="str">
        <f t="shared" si="67"/>
        <v/>
      </c>
      <c r="AI166" s="39" t="str">
        <f t="shared" si="68"/>
        <v/>
      </c>
      <c r="AJ166" s="39" t="str">
        <f t="shared" si="69"/>
        <v/>
      </c>
      <c r="AK166" t="str">
        <f t="shared" si="70"/>
        <v/>
      </c>
      <c r="AL166" t="str">
        <f t="shared" si="71"/>
        <v/>
      </c>
    </row>
    <row r="167" spans="11:38" ht="15">
      <c r="K167" t="str">
        <f t="shared" si="48"/>
        <v/>
      </c>
      <c r="L167" t="str">
        <f t="shared" si="49"/>
        <v/>
      </c>
      <c r="M167" s="36" t="str">
        <f t="shared" si="50"/>
        <v/>
      </c>
      <c r="N167" s="37" t="str">
        <f t="shared" si="51"/>
        <v/>
      </c>
      <c r="O167" s="37" t="str">
        <f t="shared" si="52"/>
        <v/>
      </c>
      <c r="P167" s="38" t="str">
        <f t="shared" si="53"/>
        <v/>
      </c>
      <c r="Q167" s="39" t="str">
        <f t="shared" si="54"/>
        <v/>
      </c>
      <c r="R167" s="39" t="str">
        <f t="shared" si="55"/>
        <v/>
      </c>
      <c r="S167" t="str">
        <f t="shared" si="56"/>
        <v/>
      </c>
      <c r="T167" s="39" t="str">
        <f t="shared" si="57"/>
        <v/>
      </c>
      <c r="U167" t="str">
        <f t="shared" si="58"/>
        <v/>
      </c>
      <c r="V167" t="str">
        <f t="shared" si="59"/>
        <v/>
      </c>
      <c r="W167" t="str">
        <f t="shared" si="60"/>
        <v/>
      </c>
      <c r="X167" s="38" t="str">
        <f t="shared" si="61"/>
        <v/>
      </c>
      <c r="Y167" s="38" t="str">
        <f t="shared" si="62"/>
        <v/>
      </c>
      <c r="Z167" s="39" t="str">
        <f t="shared" si="63"/>
        <v/>
      </c>
      <c r="AA167" s="39" t="str">
        <f t="shared" si="64"/>
        <v/>
      </c>
      <c r="AB167" s="40" t="str">
        <f t="shared" si="65"/>
        <v/>
      </c>
      <c r="AC167" t="str">
        <f>IF(L167="","",IF(AND($AO$2=1,ISNA(MATCH(L167,'02-شباط'!$L$2:$L$501,0))),"محذوف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66"/>
        <v/>
      </c>
      <c r="AH167" s="39" t="str">
        <f t="shared" si="67"/>
        <v/>
      </c>
      <c r="AI167" s="39" t="str">
        <f t="shared" si="68"/>
        <v/>
      </c>
      <c r="AJ167" s="39" t="str">
        <f t="shared" si="69"/>
        <v/>
      </c>
      <c r="AK167" t="str">
        <f t="shared" si="70"/>
        <v/>
      </c>
      <c r="AL167" t="str">
        <f t="shared" si="71"/>
        <v/>
      </c>
    </row>
    <row r="168" spans="11:38" ht="15">
      <c r="K168" t="str">
        <f t="shared" si="48"/>
        <v/>
      </c>
      <c r="L168" t="str">
        <f t="shared" si="49"/>
        <v/>
      </c>
      <c r="M168" s="36" t="str">
        <f t="shared" si="50"/>
        <v/>
      </c>
      <c r="N168" s="37" t="str">
        <f t="shared" si="51"/>
        <v/>
      </c>
      <c r="O168" s="37" t="str">
        <f t="shared" si="52"/>
        <v/>
      </c>
      <c r="P168" s="38" t="str">
        <f t="shared" si="53"/>
        <v/>
      </c>
      <c r="Q168" s="39" t="str">
        <f t="shared" si="54"/>
        <v/>
      </c>
      <c r="R168" s="39" t="str">
        <f t="shared" si="55"/>
        <v/>
      </c>
      <c r="S168" t="str">
        <f t="shared" si="56"/>
        <v/>
      </c>
      <c r="T168" s="39" t="str">
        <f t="shared" si="57"/>
        <v/>
      </c>
      <c r="U168" t="str">
        <f t="shared" si="58"/>
        <v/>
      </c>
      <c r="V168" t="str">
        <f t="shared" si="59"/>
        <v/>
      </c>
      <c r="W168" t="str">
        <f t="shared" si="60"/>
        <v/>
      </c>
      <c r="X168" s="38" t="str">
        <f t="shared" si="61"/>
        <v/>
      </c>
      <c r="Y168" s="38" t="str">
        <f t="shared" si="62"/>
        <v/>
      </c>
      <c r="Z168" s="39" t="str">
        <f t="shared" si="63"/>
        <v/>
      </c>
      <c r="AA168" s="39" t="str">
        <f t="shared" si="64"/>
        <v/>
      </c>
      <c r="AB168" s="40" t="str">
        <f t="shared" si="65"/>
        <v/>
      </c>
      <c r="AC168" t="str">
        <f>IF(L168="","",IF(AND($AO$2=1,ISNA(MATCH(L168,'02-شباط'!$L$2:$L$501,0))),"محذوف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66"/>
        <v/>
      </c>
      <c r="AH168" s="39" t="str">
        <f t="shared" si="67"/>
        <v/>
      </c>
      <c r="AI168" s="39" t="str">
        <f t="shared" si="68"/>
        <v/>
      </c>
      <c r="AJ168" s="39" t="str">
        <f t="shared" si="69"/>
        <v/>
      </c>
      <c r="AK168" t="str">
        <f t="shared" si="70"/>
        <v/>
      </c>
      <c r="AL168" t="str">
        <f t="shared" si="71"/>
        <v/>
      </c>
    </row>
    <row r="169" spans="11:38" ht="15">
      <c r="K169" t="str">
        <f t="shared" si="48"/>
        <v/>
      </c>
      <c r="L169" t="str">
        <f t="shared" si="49"/>
        <v/>
      </c>
      <c r="M169" s="36" t="str">
        <f t="shared" si="50"/>
        <v/>
      </c>
      <c r="N169" s="37" t="str">
        <f t="shared" si="51"/>
        <v/>
      </c>
      <c r="O169" s="37" t="str">
        <f t="shared" si="52"/>
        <v/>
      </c>
      <c r="P169" s="38" t="str">
        <f t="shared" si="53"/>
        <v/>
      </c>
      <c r="Q169" s="39" t="str">
        <f t="shared" si="54"/>
        <v/>
      </c>
      <c r="R169" s="39" t="str">
        <f t="shared" si="55"/>
        <v/>
      </c>
      <c r="S169" t="str">
        <f t="shared" si="56"/>
        <v/>
      </c>
      <c r="T169" s="39" t="str">
        <f t="shared" si="57"/>
        <v/>
      </c>
      <c r="U169" t="str">
        <f t="shared" si="58"/>
        <v/>
      </c>
      <c r="V169" t="str">
        <f t="shared" si="59"/>
        <v/>
      </c>
      <c r="W169" t="str">
        <f t="shared" si="60"/>
        <v/>
      </c>
      <c r="X169" s="38" t="str">
        <f t="shared" si="61"/>
        <v/>
      </c>
      <c r="Y169" s="38" t="str">
        <f t="shared" si="62"/>
        <v/>
      </c>
      <c r="Z169" s="39" t="str">
        <f t="shared" si="63"/>
        <v/>
      </c>
      <c r="AA169" s="39" t="str">
        <f t="shared" si="64"/>
        <v/>
      </c>
      <c r="AB169" s="40" t="str">
        <f t="shared" si="65"/>
        <v/>
      </c>
      <c r="AC169" t="str">
        <f>IF(L169="","",IF(AND($AO$2=1,ISNA(MATCH(L169,'02-شباط'!$L$2:$L$501,0))),"محذوف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66"/>
        <v/>
      </c>
      <c r="AH169" s="39" t="str">
        <f t="shared" si="67"/>
        <v/>
      </c>
      <c r="AI169" s="39" t="str">
        <f t="shared" si="68"/>
        <v/>
      </c>
      <c r="AJ169" s="39" t="str">
        <f t="shared" si="69"/>
        <v/>
      </c>
      <c r="AK169" t="str">
        <f t="shared" si="70"/>
        <v/>
      </c>
      <c r="AL169" t="str">
        <f t="shared" si="71"/>
        <v/>
      </c>
    </row>
    <row r="170" spans="11:38" ht="15">
      <c r="K170" t="str">
        <f t="shared" si="48"/>
        <v/>
      </c>
      <c r="L170" t="str">
        <f t="shared" si="49"/>
        <v/>
      </c>
      <c r="M170" s="36" t="str">
        <f t="shared" si="50"/>
        <v/>
      </c>
      <c r="N170" s="37" t="str">
        <f t="shared" si="51"/>
        <v/>
      </c>
      <c r="O170" s="37" t="str">
        <f t="shared" si="52"/>
        <v/>
      </c>
      <c r="P170" s="38" t="str">
        <f t="shared" si="53"/>
        <v/>
      </c>
      <c r="Q170" s="39" t="str">
        <f t="shared" si="54"/>
        <v/>
      </c>
      <c r="R170" s="39" t="str">
        <f t="shared" si="55"/>
        <v/>
      </c>
      <c r="S170" t="str">
        <f t="shared" si="56"/>
        <v/>
      </c>
      <c r="T170" s="39" t="str">
        <f t="shared" si="57"/>
        <v/>
      </c>
      <c r="U170" t="str">
        <f t="shared" si="58"/>
        <v/>
      </c>
      <c r="V170" t="str">
        <f t="shared" si="59"/>
        <v/>
      </c>
      <c r="W170" t="str">
        <f t="shared" si="60"/>
        <v/>
      </c>
      <c r="X170" s="38" t="str">
        <f t="shared" si="61"/>
        <v/>
      </c>
      <c r="Y170" s="38" t="str">
        <f t="shared" si="62"/>
        <v/>
      </c>
      <c r="Z170" s="39" t="str">
        <f t="shared" si="63"/>
        <v/>
      </c>
      <c r="AA170" s="39" t="str">
        <f t="shared" si="64"/>
        <v/>
      </c>
      <c r="AB170" s="40" t="str">
        <f t="shared" si="65"/>
        <v/>
      </c>
      <c r="AC170" t="str">
        <f>IF(L170="","",IF(AND($AO$2=1,ISNA(MATCH(L170,'02-شباط'!$L$2:$L$501,0))),"محذوف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66"/>
        <v/>
      </c>
      <c r="AH170" s="39" t="str">
        <f t="shared" si="67"/>
        <v/>
      </c>
      <c r="AI170" s="39" t="str">
        <f t="shared" si="68"/>
        <v/>
      </c>
      <c r="AJ170" s="39" t="str">
        <f t="shared" si="69"/>
        <v/>
      </c>
      <c r="AK170" t="str">
        <f t="shared" si="70"/>
        <v/>
      </c>
      <c r="AL170" t="str">
        <f t="shared" si="71"/>
        <v/>
      </c>
    </row>
    <row r="171" spans="11:38" ht="15">
      <c r="K171" t="str">
        <f t="shared" si="48"/>
        <v/>
      </c>
      <c r="L171" t="str">
        <f t="shared" si="49"/>
        <v/>
      </c>
      <c r="M171" s="36" t="str">
        <f t="shared" si="50"/>
        <v/>
      </c>
      <c r="N171" s="37" t="str">
        <f t="shared" si="51"/>
        <v/>
      </c>
      <c r="O171" s="37" t="str">
        <f t="shared" si="52"/>
        <v/>
      </c>
      <c r="P171" s="38" t="str">
        <f t="shared" si="53"/>
        <v/>
      </c>
      <c r="Q171" s="39" t="str">
        <f t="shared" si="54"/>
        <v/>
      </c>
      <c r="R171" s="39" t="str">
        <f t="shared" si="55"/>
        <v/>
      </c>
      <c r="S171" t="str">
        <f t="shared" si="56"/>
        <v/>
      </c>
      <c r="T171" s="39" t="str">
        <f t="shared" si="57"/>
        <v/>
      </c>
      <c r="U171" t="str">
        <f t="shared" si="58"/>
        <v/>
      </c>
      <c r="V171" t="str">
        <f t="shared" si="59"/>
        <v/>
      </c>
      <c r="W171" t="str">
        <f t="shared" si="60"/>
        <v/>
      </c>
      <c r="X171" s="38" t="str">
        <f t="shared" si="61"/>
        <v/>
      </c>
      <c r="Y171" s="38" t="str">
        <f t="shared" si="62"/>
        <v/>
      </c>
      <c r="Z171" s="39" t="str">
        <f t="shared" si="63"/>
        <v/>
      </c>
      <c r="AA171" s="39" t="str">
        <f t="shared" si="64"/>
        <v/>
      </c>
      <c r="AB171" s="40" t="str">
        <f t="shared" si="65"/>
        <v/>
      </c>
      <c r="AC171" t="str">
        <f>IF(L171="","",IF(AND($AO$2=1,ISNA(MATCH(L171,'02-شباط'!$L$2:$L$501,0))),"محذوف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66"/>
        <v/>
      </c>
      <c r="AH171" s="39" t="str">
        <f t="shared" si="67"/>
        <v/>
      </c>
      <c r="AI171" s="39" t="str">
        <f t="shared" si="68"/>
        <v/>
      </c>
      <c r="AJ171" s="39" t="str">
        <f t="shared" si="69"/>
        <v/>
      </c>
      <c r="AK171" t="str">
        <f t="shared" si="70"/>
        <v/>
      </c>
      <c r="AL171" t="str">
        <f t="shared" si="71"/>
        <v/>
      </c>
    </row>
    <row r="172" spans="11:38" ht="15">
      <c r="K172" t="str">
        <f t="shared" si="48"/>
        <v/>
      </c>
      <c r="L172" t="str">
        <f t="shared" si="49"/>
        <v/>
      </c>
      <c r="M172" s="36" t="str">
        <f t="shared" si="50"/>
        <v/>
      </c>
      <c r="N172" s="37" t="str">
        <f t="shared" si="51"/>
        <v/>
      </c>
      <c r="O172" s="37" t="str">
        <f t="shared" si="52"/>
        <v/>
      </c>
      <c r="P172" s="38" t="str">
        <f t="shared" si="53"/>
        <v/>
      </c>
      <c r="Q172" s="39" t="str">
        <f t="shared" si="54"/>
        <v/>
      </c>
      <c r="R172" s="39" t="str">
        <f t="shared" si="55"/>
        <v/>
      </c>
      <c r="S172" t="str">
        <f t="shared" si="56"/>
        <v/>
      </c>
      <c r="T172" s="39" t="str">
        <f t="shared" si="57"/>
        <v/>
      </c>
      <c r="U172" t="str">
        <f t="shared" si="58"/>
        <v/>
      </c>
      <c r="V172" t="str">
        <f t="shared" si="59"/>
        <v/>
      </c>
      <c r="W172" t="str">
        <f t="shared" si="60"/>
        <v/>
      </c>
      <c r="X172" s="38" t="str">
        <f t="shared" si="61"/>
        <v/>
      </c>
      <c r="Y172" s="38" t="str">
        <f t="shared" si="62"/>
        <v/>
      </c>
      <c r="Z172" s="39" t="str">
        <f t="shared" si="63"/>
        <v/>
      </c>
      <c r="AA172" s="39" t="str">
        <f t="shared" si="64"/>
        <v/>
      </c>
      <c r="AB172" s="40" t="str">
        <f t="shared" si="65"/>
        <v/>
      </c>
      <c r="AC172" t="str">
        <f>IF(L172="","",IF(AND($AO$2=1,ISNA(MATCH(L172,'02-شباط'!$L$2:$L$501,0))),"محذوف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66"/>
        <v/>
      </c>
      <c r="AH172" s="39" t="str">
        <f t="shared" si="67"/>
        <v/>
      </c>
      <c r="AI172" s="39" t="str">
        <f t="shared" si="68"/>
        <v/>
      </c>
      <c r="AJ172" s="39" t="str">
        <f t="shared" si="69"/>
        <v/>
      </c>
      <c r="AK172" t="str">
        <f t="shared" si="70"/>
        <v/>
      </c>
      <c r="AL172" t="str">
        <f t="shared" si="71"/>
        <v/>
      </c>
    </row>
    <row r="173" spans="11:38" ht="15">
      <c r="K173" t="str">
        <f t="shared" si="48"/>
        <v/>
      </c>
      <c r="L173" t="str">
        <f t="shared" si="49"/>
        <v/>
      </c>
      <c r="M173" s="36" t="str">
        <f t="shared" si="50"/>
        <v/>
      </c>
      <c r="N173" s="37" t="str">
        <f t="shared" si="51"/>
        <v/>
      </c>
      <c r="O173" s="37" t="str">
        <f t="shared" si="52"/>
        <v/>
      </c>
      <c r="P173" s="38" t="str">
        <f t="shared" si="53"/>
        <v/>
      </c>
      <c r="Q173" s="39" t="str">
        <f t="shared" si="54"/>
        <v/>
      </c>
      <c r="R173" s="39" t="str">
        <f t="shared" si="55"/>
        <v/>
      </c>
      <c r="S173" t="str">
        <f t="shared" si="56"/>
        <v/>
      </c>
      <c r="T173" s="39" t="str">
        <f t="shared" si="57"/>
        <v/>
      </c>
      <c r="U173" t="str">
        <f t="shared" si="58"/>
        <v/>
      </c>
      <c r="V173" t="str">
        <f t="shared" si="59"/>
        <v/>
      </c>
      <c r="W173" t="str">
        <f t="shared" si="60"/>
        <v/>
      </c>
      <c r="X173" s="38" t="str">
        <f t="shared" si="61"/>
        <v/>
      </c>
      <c r="Y173" s="38" t="str">
        <f t="shared" si="62"/>
        <v/>
      </c>
      <c r="Z173" s="39" t="str">
        <f t="shared" si="63"/>
        <v/>
      </c>
      <c r="AA173" s="39" t="str">
        <f t="shared" si="64"/>
        <v/>
      </c>
      <c r="AB173" s="40" t="str">
        <f t="shared" si="65"/>
        <v/>
      </c>
      <c r="AC173" t="str">
        <f>IF(L173="","",IF(AND($AO$2=1,ISNA(MATCH(L173,'02-شباط'!$L$2:$L$501,0))),"محذوف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66"/>
        <v/>
      </c>
      <c r="AH173" s="39" t="str">
        <f t="shared" si="67"/>
        <v/>
      </c>
      <c r="AI173" s="39" t="str">
        <f t="shared" si="68"/>
        <v/>
      </c>
      <c r="AJ173" s="39" t="str">
        <f t="shared" si="69"/>
        <v/>
      </c>
      <c r="AK173" t="str">
        <f t="shared" si="70"/>
        <v/>
      </c>
      <c r="AL173" t="str">
        <f t="shared" si="71"/>
        <v/>
      </c>
    </row>
    <row r="174" spans="11:38" ht="15">
      <c r="K174" t="str">
        <f t="shared" si="48"/>
        <v/>
      </c>
      <c r="L174" t="str">
        <f t="shared" si="49"/>
        <v/>
      </c>
      <c r="M174" s="36" t="str">
        <f t="shared" si="50"/>
        <v/>
      </c>
      <c r="N174" s="37" t="str">
        <f t="shared" si="51"/>
        <v/>
      </c>
      <c r="O174" s="37" t="str">
        <f t="shared" si="52"/>
        <v/>
      </c>
      <c r="P174" s="38" t="str">
        <f t="shared" si="53"/>
        <v/>
      </c>
      <c r="Q174" s="39" t="str">
        <f t="shared" si="54"/>
        <v/>
      </c>
      <c r="R174" s="39" t="str">
        <f t="shared" si="55"/>
        <v/>
      </c>
      <c r="S174" t="str">
        <f t="shared" si="56"/>
        <v/>
      </c>
      <c r="T174" s="39" t="str">
        <f t="shared" si="57"/>
        <v/>
      </c>
      <c r="U174" t="str">
        <f t="shared" si="58"/>
        <v/>
      </c>
      <c r="V174" t="str">
        <f t="shared" si="59"/>
        <v/>
      </c>
      <c r="W174" t="str">
        <f t="shared" si="60"/>
        <v/>
      </c>
      <c r="X174" s="38" t="str">
        <f t="shared" si="61"/>
        <v/>
      </c>
      <c r="Y174" s="38" t="str">
        <f t="shared" si="62"/>
        <v/>
      </c>
      <c r="Z174" s="39" t="str">
        <f t="shared" si="63"/>
        <v/>
      </c>
      <c r="AA174" s="39" t="str">
        <f t="shared" si="64"/>
        <v/>
      </c>
      <c r="AB174" s="40" t="str">
        <f t="shared" si="65"/>
        <v/>
      </c>
      <c r="AC174" t="str">
        <f>IF(L174="","",IF(AND($AO$2=1,ISNA(MATCH(L174,'02-شباط'!$L$2:$L$501,0))),"محذوف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66"/>
        <v/>
      </c>
      <c r="AH174" s="39" t="str">
        <f t="shared" si="67"/>
        <v/>
      </c>
      <c r="AI174" s="39" t="str">
        <f t="shared" si="68"/>
        <v/>
      </c>
      <c r="AJ174" s="39" t="str">
        <f t="shared" si="69"/>
        <v/>
      </c>
      <c r="AK174" t="str">
        <f t="shared" si="70"/>
        <v/>
      </c>
      <c r="AL174" t="str">
        <f t="shared" si="71"/>
        <v/>
      </c>
    </row>
    <row r="175" spans="11:38" ht="15">
      <c r="K175" t="str">
        <f t="shared" si="48"/>
        <v/>
      </c>
      <c r="L175" t="str">
        <f t="shared" si="49"/>
        <v/>
      </c>
      <c r="M175" s="36" t="str">
        <f t="shared" si="50"/>
        <v/>
      </c>
      <c r="N175" s="37" t="str">
        <f t="shared" si="51"/>
        <v/>
      </c>
      <c r="O175" s="37" t="str">
        <f t="shared" si="52"/>
        <v/>
      </c>
      <c r="P175" s="38" t="str">
        <f t="shared" si="53"/>
        <v/>
      </c>
      <c r="Q175" s="39" t="str">
        <f t="shared" si="54"/>
        <v/>
      </c>
      <c r="R175" s="39" t="str">
        <f t="shared" si="55"/>
        <v/>
      </c>
      <c r="S175" t="str">
        <f t="shared" si="56"/>
        <v/>
      </c>
      <c r="T175" s="39" t="str">
        <f t="shared" si="57"/>
        <v/>
      </c>
      <c r="U175" t="str">
        <f t="shared" si="58"/>
        <v/>
      </c>
      <c r="V175" t="str">
        <f t="shared" si="59"/>
        <v/>
      </c>
      <c r="W175" t="str">
        <f t="shared" si="60"/>
        <v/>
      </c>
      <c r="X175" s="38" t="str">
        <f t="shared" si="61"/>
        <v/>
      </c>
      <c r="Y175" s="38" t="str">
        <f t="shared" si="62"/>
        <v/>
      </c>
      <c r="Z175" s="39" t="str">
        <f t="shared" si="63"/>
        <v/>
      </c>
      <c r="AA175" s="39" t="str">
        <f t="shared" si="64"/>
        <v/>
      </c>
      <c r="AB175" s="40" t="str">
        <f t="shared" si="65"/>
        <v/>
      </c>
      <c r="AC175" t="str">
        <f>IF(L175="","",IF(AND($AO$2=1,ISNA(MATCH(L175,'02-شباط'!$L$2:$L$501,0))),"محذوف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66"/>
        <v/>
      </c>
      <c r="AH175" s="39" t="str">
        <f t="shared" si="67"/>
        <v/>
      </c>
      <c r="AI175" s="39" t="str">
        <f t="shared" si="68"/>
        <v/>
      </c>
      <c r="AJ175" s="39" t="str">
        <f t="shared" si="69"/>
        <v/>
      </c>
      <c r="AK175" t="str">
        <f t="shared" si="70"/>
        <v/>
      </c>
      <c r="AL175" t="str">
        <f t="shared" si="71"/>
        <v/>
      </c>
    </row>
    <row r="176" spans="11:38" ht="15">
      <c r="K176" t="str">
        <f t="shared" si="48"/>
        <v/>
      </c>
      <c r="L176" t="str">
        <f t="shared" si="49"/>
        <v/>
      </c>
      <c r="M176" s="36" t="str">
        <f t="shared" si="50"/>
        <v/>
      </c>
      <c r="N176" s="37" t="str">
        <f t="shared" si="51"/>
        <v/>
      </c>
      <c r="O176" s="37" t="str">
        <f t="shared" si="52"/>
        <v/>
      </c>
      <c r="P176" s="38" t="str">
        <f t="shared" si="53"/>
        <v/>
      </c>
      <c r="Q176" s="39" t="str">
        <f t="shared" si="54"/>
        <v/>
      </c>
      <c r="R176" s="39" t="str">
        <f t="shared" si="55"/>
        <v/>
      </c>
      <c r="S176" t="str">
        <f t="shared" si="56"/>
        <v/>
      </c>
      <c r="T176" s="39" t="str">
        <f t="shared" si="57"/>
        <v/>
      </c>
      <c r="U176" t="str">
        <f t="shared" si="58"/>
        <v/>
      </c>
      <c r="V176" t="str">
        <f t="shared" si="59"/>
        <v/>
      </c>
      <c r="W176" t="str">
        <f t="shared" si="60"/>
        <v/>
      </c>
      <c r="X176" s="38" t="str">
        <f t="shared" si="61"/>
        <v/>
      </c>
      <c r="Y176" s="38" t="str">
        <f t="shared" si="62"/>
        <v/>
      </c>
      <c r="Z176" s="39" t="str">
        <f t="shared" si="63"/>
        <v/>
      </c>
      <c r="AA176" s="39" t="str">
        <f t="shared" si="64"/>
        <v/>
      </c>
      <c r="AB176" s="40" t="str">
        <f t="shared" si="65"/>
        <v/>
      </c>
      <c r="AC176" t="str">
        <f>IF(L176="","",IF(AND($AO$2=1,ISNA(MATCH(L176,'02-شباط'!$L$2:$L$501,0))),"محذوف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66"/>
        <v/>
      </c>
      <c r="AH176" s="39" t="str">
        <f t="shared" si="67"/>
        <v/>
      </c>
      <c r="AI176" s="39" t="str">
        <f t="shared" si="68"/>
        <v/>
      </c>
      <c r="AJ176" s="39" t="str">
        <f t="shared" si="69"/>
        <v/>
      </c>
      <c r="AK176" t="str">
        <f t="shared" si="70"/>
        <v/>
      </c>
      <c r="AL176" t="str">
        <f t="shared" si="71"/>
        <v/>
      </c>
    </row>
    <row r="177" spans="11:38" ht="15">
      <c r="K177" t="str">
        <f t="shared" si="48"/>
        <v/>
      </c>
      <c r="L177" t="str">
        <f t="shared" si="49"/>
        <v/>
      </c>
      <c r="M177" s="36" t="str">
        <f t="shared" si="50"/>
        <v/>
      </c>
      <c r="N177" s="37" t="str">
        <f t="shared" si="51"/>
        <v/>
      </c>
      <c r="O177" s="37" t="str">
        <f t="shared" si="52"/>
        <v/>
      </c>
      <c r="P177" s="38" t="str">
        <f t="shared" si="53"/>
        <v/>
      </c>
      <c r="Q177" s="39" t="str">
        <f t="shared" si="54"/>
        <v/>
      </c>
      <c r="R177" s="39" t="str">
        <f t="shared" si="55"/>
        <v/>
      </c>
      <c r="S177" t="str">
        <f t="shared" si="56"/>
        <v/>
      </c>
      <c r="T177" s="39" t="str">
        <f t="shared" si="57"/>
        <v/>
      </c>
      <c r="U177" t="str">
        <f t="shared" si="58"/>
        <v/>
      </c>
      <c r="V177" t="str">
        <f t="shared" si="59"/>
        <v/>
      </c>
      <c r="W177" t="str">
        <f t="shared" si="60"/>
        <v/>
      </c>
      <c r="X177" s="38" t="str">
        <f t="shared" si="61"/>
        <v/>
      </c>
      <c r="Y177" s="38" t="str">
        <f t="shared" si="62"/>
        <v/>
      </c>
      <c r="Z177" s="39" t="str">
        <f t="shared" si="63"/>
        <v/>
      </c>
      <c r="AA177" s="39" t="str">
        <f t="shared" si="64"/>
        <v/>
      </c>
      <c r="AB177" s="40" t="str">
        <f t="shared" si="65"/>
        <v/>
      </c>
      <c r="AC177" t="str">
        <f>IF(L177="","",IF(AND($AO$2=1,ISNA(MATCH(L177,'02-شباط'!$L$2:$L$501,0))),"محذوف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66"/>
        <v/>
      </c>
      <c r="AH177" s="39" t="str">
        <f t="shared" si="67"/>
        <v/>
      </c>
      <c r="AI177" s="39" t="str">
        <f t="shared" si="68"/>
        <v/>
      </c>
      <c r="AJ177" s="39" t="str">
        <f t="shared" si="69"/>
        <v/>
      </c>
      <c r="AK177" t="str">
        <f t="shared" si="70"/>
        <v/>
      </c>
      <c r="AL177" t="str">
        <f t="shared" si="71"/>
        <v/>
      </c>
    </row>
    <row r="178" spans="11:38" ht="15">
      <c r="K178" t="str">
        <f t="shared" si="48"/>
        <v/>
      </c>
      <c r="L178" t="str">
        <f t="shared" si="49"/>
        <v/>
      </c>
      <c r="M178" s="36" t="str">
        <f t="shared" si="50"/>
        <v/>
      </c>
      <c r="N178" s="37" t="str">
        <f t="shared" si="51"/>
        <v/>
      </c>
      <c r="O178" s="37" t="str">
        <f t="shared" si="52"/>
        <v/>
      </c>
      <c r="P178" s="38" t="str">
        <f t="shared" si="53"/>
        <v/>
      </c>
      <c r="Q178" s="39" t="str">
        <f t="shared" si="54"/>
        <v/>
      </c>
      <c r="R178" s="39" t="str">
        <f t="shared" si="55"/>
        <v/>
      </c>
      <c r="S178" t="str">
        <f t="shared" si="56"/>
        <v/>
      </c>
      <c r="T178" s="39" t="str">
        <f t="shared" si="57"/>
        <v/>
      </c>
      <c r="U178" t="str">
        <f t="shared" si="58"/>
        <v/>
      </c>
      <c r="V178" t="str">
        <f t="shared" si="59"/>
        <v/>
      </c>
      <c r="W178" t="str">
        <f t="shared" si="60"/>
        <v/>
      </c>
      <c r="X178" s="38" t="str">
        <f t="shared" si="61"/>
        <v/>
      </c>
      <c r="Y178" s="38" t="str">
        <f t="shared" si="62"/>
        <v/>
      </c>
      <c r="Z178" s="39" t="str">
        <f t="shared" si="63"/>
        <v/>
      </c>
      <c r="AA178" s="39" t="str">
        <f t="shared" si="64"/>
        <v/>
      </c>
      <c r="AB178" s="40" t="str">
        <f t="shared" si="65"/>
        <v/>
      </c>
      <c r="AC178" t="str">
        <f>IF(L178="","",IF(AND($AO$2=1,ISNA(MATCH(L178,'02-شباط'!$L$2:$L$501,0))),"محذوف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66"/>
        <v/>
      </c>
      <c r="AH178" s="39" t="str">
        <f t="shared" si="67"/>
        <v/>
      </c>
      <c r="AI178" s="39" t="str">
        <f t="shared" si="68"/>
        <v/>
      </c>
      <c r="AJ178" s="39" t="str">
        <f t="shared" si="69"/>
        <v/>
      </c>
      <c r="AK178" t="str">
        <f t="shared" si="70"/>
        <v/>
      </c>
      <c r="AL178" t="str">
        <f t="shared" si="71"/>
        <v/>
      </c>
    </row>
    <row r="179" spans="11:38" ht="15">
      <c r="K179" t="str">
        <f t="shared" si="48"/>
        <v/>
      </c>
      <c r="L179" t="str">
        <f t="shared" si="49"/>
        <v/>
      </c>
      <c r="M179" s="36" t="str">
        <f t="shared" si="50"/>
        <v/>
      </c>
      <c r="N179" s="37" t="str">
        <f t="shared" si="51"/>
        <v/>
      </c>
      <c r="O179" s="37" t="str">
        <f t="shared" si="52"/>
        <v/>
      </c>
      <c r="P179" s="38" t="str">
        <f t="shared" si="53"/>
        <v/>
      </c>
      <c r="Q179" s="39" t="str">
        <f t="shared" si="54"/>
        <v/>
      </c>
      <c r="R179" s="39" t="str">
        <f t="shared" si="55"/>
        <v/>
      </c>
      <c r="S179" t="str">
        <f t="shared" si="56"/>
        <v/>
      </c>
      <c r="T179" s="39" t="str">
        <f t="shared" si="57"/>
        <v/>
      </c>
      <c r="U179" t="str">
        <f t="shared" si="58"/>
        <v/>
      </c>
      <c r="V179" t="str">
        <f t="shared" si="59"/>
        <v/>
      </c>
      <c r="W179" t="str">
        <f t="shared" si="60"/>
        <v/>
      </c>
      <c r="X179" s="38" t="str">
        <f t="shared" si="61"/>
        <v/>
      </c>
      <c r="Y179" s="38" t="str">
        <f t="shared" si="62"/>
        <v/>
      </c>
      <c r="Z179" s="39" t="str">
        <f t="shared" si="63"/>
        <v/>
      </c>
      <c r="AA179" s="39" t="str">
        <f t="shared" si="64"/>
        <v/>
      </c>
      <c r="AB179" s="40" t="str">
        <f t="shared" si="65"/>
        <v/>
      </c>
      <c r="AC179" t="str">
        <f>IF(L179="","",IF(AND($AO$2=1,ISNA(MATCH(L179,'02-شباط'!$L$2:$L$501,0))),"محذوف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66"/>
        <v/>
      </c>
      <c r="AH179" s="39" t="str">
        <f t="shared" si="67"/>
        <v/>
      </c>
      <c r="AI179" s="39" t="str">
        <f t="shared" si="68"/>
        <v/>
      </c>
      <c r="AJ179" s="39" t="str">
        <f t="shared" si="69"/>
        <v/>
      </c>
      <c r="AK179" t="str">
        <f t="shared" si="70"/>
        <v/>
      </c>
      <c r="AL179" t="str">
        <f t="shared" si="71"/>
        <v/>
      </c>
    </row>
    <row r="180" spans="11:38" ht="15">
      <c r="K180" t="str">
        <f t="shared" si="48"/>
        <v/>
      </c>
      <c r="L180" t="str">
        <f t="shared" si="49"/>
        <v/>
      </c>
      <c r="M180" s="36" t="str">
        <f t="shared" si="50"/>
        <v/>
      </c>
      <c r="N180" s="37" t="str">
        <f t="shared" si="51"/>
        <v/>
      </c>
      <c r="O180" s="37" t="str">
        <f t="shared" si="52"/>
        <v/>
      </c>
      <c r="P180" s="38" t="str">
        <f t="shared" si="53"/>
        <v/>
      </c>
      <c r="Q180" s="39" t="str">
        <f t="shared" si="54"/>
        <v/>
      </c>
      <c r="R180" s="39" t="str">
        <f t="shared" si="55"/>
        <v/>
      </c>
      <c r="S180" t="str">
        <f t="shared" si="56"/>
        <v/>
      </c>
      <c r="T180" s="39" t="str">
        <f t="shared" si="57"/>
        <v/>
      </c>
      <c r="U180" t="str">
        <f t="shared" si="58"/>
        <v/>
      </c>
      <c r="V180" t="str">
        <f t="shared" si="59"/>
        <v/>
      </c>
      <c r="W180" t="str">
        <f t="shared" si="60"/>
        <v/>
      </c>
      <c r="X180" s="38" t="str">
        <f t="shared" si="61"/>
        <v/>
      </c>
      <c r="Y180" s="38" t="str">
        <f t="shared" si="62"/>
        <v/>
      </c>
      <c r="Z180" s="39" t="str">
        <f t="shared" si="63"/>
        <v/>
      </c>
      <c r="AA180" s="39" t="str">
        <f t="shared" si="64"/>
        <v/>
      </c>
      <c r="AB180" s="40" t="str">
        <f t="shared" si="65"/>
        <v/>
      </c>
      <c r="AC180" t="str">
        <f>IF(L180="","",IF(AND($AO$2=1,ISNA(MATCH(L180,'02-شباط'!$L$2:$L$501,0))),"محذوف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66"/>
        <v/>
      </c>
      <c r="AH180" s="39" t="str">
        <f t="shared" si="67"/>
        <v/>
      </c>
      <c r="AI180" s="39" t="str">
        <f t="shared" si="68"/>
        <v/>
      </c>
      <c r="AJ180" s="39" t="str">
        <f t="shared" si="69"/>
        <v/>
      </c>
      <c r="AK180" t="str">
        <f t="shared" si="70"/>
        <v/>
      </c>
      <c r="AL180" t="str">
        <f t="shared" si="71"/>
        <v/>
      </c>
    </row>
    <row r="181" spans="11:38" ht="15">
      <c r="K181" t="str">
        <f t="shared" si="48"/>
        <v/>
      </c>
      <c r="L181" t="str">
        <f t="shared" si="49"/>
        <v/>
      </c>
      <c r="M181" s="36" t="str">
        <f t="shared" si="50"/>
        <v/>
      </c>
      <c r="N181" s="37" t="str">
        <f t="shared" si="51"/>
        <v/>
      </c>
      <c r="O181" s="37" t="str">
        <f t="shared" si="52"/>
        <v/>
      </c>
      <c r="P181" s="38" t="str">
        <f t="shared" si="53"/>
        <v/>
      </c>
      <c r="Q181" s="39" t="str">
        <f t="shared" si="54"/>
        <v/>
      </c>
      <c r="R181" s="39" t="str">
        <f t="shared" si="55"/>
        <v/>
      </c>
      <c r="S181" t="str">
        <f t="shared" si="56"/>
        <v/>
      </c>
      <c r="T181" s="39" t="str">
        <f t="shared" si="57"/>
        <v/>
      </c>
      <c r="U181" t="str">
        <f t="shared" si="58"/>
        <v/>
      </c>
      <c r="V181" t="str">
        <f t="shared" si="59"/>
        <v/>
      </c>
      <c r="W181" t="str">
        <f t="shared" si="60"/>
        <v/>
      </c>
      <c r="X181" s="38" t="str">
        <f t="shared" si="61"/>
        <v/>
      </c>
      <c r="Y181" s="38" t="str">
        <f t="shared" si="62"/>
        <v/>
      </c>
      <c r="Z181" s="39" t="str">
        <f t="shared" si="63"/>
        <v/>
      </c>
      <c r="AA181" s="39" t="str">
        <f t="shared" si="64"/>
        <v/>
      </c>
      <c r="AB181" s="40" t="str">
        <f t="shared" si="65"/>
        <v/>
      </c>
      <c r="AC181" t="str">
        <f>IF(L181="","",IF(AND($AO$2=1,ISNA(MATCH(L181,'02-شباط'!$L$2:$L$501,0))),"محذوف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66"/>
        <v/>
      </c>
      <c r="AH181" s="39" t="str">
        <f t="shared" si="67"/>
        <v/>
      </c>
      <c r="AI181" s="39" t="str">
        <f t="shared" si="68"/>
        <v/>
      </c>
      <c r="AJ181" s="39" t="str">
        <f t="shared" si="69"/>
        <v/>
      </c>
      <c r="AK181" t="str">
        <f t="shared" si="70"/>
        <v/>
      </c>
      <c r="AL181" t="str">
        <f t="shared" si="71"/>
        <v/>
      </c>
    </row>
    <row r="182" spans="11:38" ht="15">
      <c r="K182" t="str">
        <f t="shared" si="48"/>
        <v/>
      </c>
      <c r="L182" t="str">
        <f t="shared" si="49"/>
        <v/>
      </c>
      <c r="M182" s="36" t="str">
        <f t="shared" si="50"/>
        <v/>
      </c>
      <c r="N182" s="37" t="str">
        <f t="shared" si="51"/>
        <v/>
      </c>
      <c r="O182" s="37" t="str">
        <f t="shared" si="52"/>
        <v/>
      </c>
      <c r="P182" s="38" t="str">
        <f t="shared" si="53"/>
        <v/>
      </c>
      <c r="Q182" s="39" t="str">
        <f t="shared" si="54"/>
        <v/>
      </c>
      <c r="R182" s="39" t="str">
        <f t="shared" si="55"/>
        <v/>
      </c>
      <c r="S182" t="str">
        <f t="shared" si="56"/>
        <v/>
      </c>
      <c r="T182" s="39" t="str">
        <f t="shared" si="57"/>
        <v/>
      </c>
      <c r="U182" t="str">
        <f t="shared" si="58"/>
        <v/>
      </c>
      <c r="V182" t="str">
        <f t="shared" si="59"/>
        <v/>
      </c>
      <c r="W182" t="str">
        <f t="shared" si="60"/>
        <v/>
      </c>
      <c r="X182" s="38" t="str">
        <f t="shared" si="61"/>
        <v/>
      </c>
      <c r="Y182" s="38" t="str">
        <f t="shared" si="62"/>
        <v/>
      </c>
      <c r="Z182" s="39" t="str">
        <f t="shared" si="63"/>
        <v/>
      </c>
      <c r="AA182" s="39" t="str">
        <f t="shared" si="64"/>
        <v/>
      </c>
      <c r="AB182" s="40" t="str">
        <f t="shared" si="65"/>
        <v/>
      </c>
      <c r="AC182" t="str">
        <f>IF(L182="","",IF(AND($AO$2=1,ISNA(MATCH(L182,'02-شباط'!$L$2:$L$501,0))),"محذوف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66"/>
        <v/>
      </c>
      <c r="AH182" s="39" t="str">
        <f t="shared" si="67"/>
        <v/>
      </c>
      <c r="AI182" s="39" t="str">
        <f t="shared" si="68"/>
        <v/>
      </c>
      <c r="AJ182" s="39" t="str">
        <f t="shared" si="69"/>
        <v/>
      </c>
      <c r="AK182" t="str">
        <f t="shared" si="70"/>
        <v/>
      </c>
      <c r="AL182" t="str">
        <f t="shared" si="71"/>
        <v/>
      </c>
    </row>
    <row r="183" spans="11:38" ht="15">
      <c r="K183" t="str">
        <f t="shared" si="48"/>
        <v/>
      </c>
      <c r="L183" t="str">
        <f t="shared" si="49"/>
        <v/>
      </c>
      <c r="M183" s="36" t="str">
        <f t="shared" si="50"/>
        <v/>
      </c>
      <c r="N183" s="37" t="str">
        <f t="shared" si="51"/>
        <v/>
      </c>
      <c r="O183" s="37" t="str">
        <f t="shared" si="52"/>
        <v/>
      </c>
      <c r="P183" s="38" t="str">
        <f t="shared" si="53"/>
        <v/>
      </c>
      <c r="Q183" s="39" t="str">
        <f t="shared" si="54"/>
        <v/>
      </c>
      <c r="R183" s="39" t="str">
        <f t="shared" si="55"/>
        <v/>
      </c>
      <c r="S183" t="str">
        <f t="shared" si="56"/>
        <v/>
      </c>
      <c r="T183" s="39" t="str">
        <f t="shared" si="57"/>
        <v/>
      </c>
      <c r="U183" t="str">
        <f t="shared" si="58"/>
        <v/>
      </c>
      <c r="V183" t="str">
        <f t="shared" si="59"/>
        <v/>
      </c>
      <c r="W183" t="str">
        <f t="shared" si="60"/>
        <v/>
      </c>
      <c r="X183" s="38" t="str">
        <f t="shared" si="61"/>
        <v/>
      </c>
      <c r="Y183" s="38" t="str">
        <f t="shared" si="62"/>
        <v/>
      </c>
      <c r="Z183" s="39" t="str">
        <f t="shared" si="63"/>
        <v/>
      </c>
      <c r="AA183" s="39" t="str">
        <f t="shared" si="64"/>
        <v/>
      </c>
      <c r="AB183" s="40" t="str">
        <f t="shared" si="65"/>
        <v/>
      </c>
      <c r="AC183" t="str">
        <f>IF(L183="","",IF(AND($AO$2=1,ISNA(MATCH(L183,'02-شباط'!$L$2:$L$501,0))),"محذوف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66"/>
        <v/>
      </c>
      <c r="AH183" s="39" t="str">
        <f t="shared" si="67"/>
        <v/>
      </c>
      <c r="AI183" s="39" t="str">
        <f t="shared" si="68"/>
        <v/>
      </c>
      <c r="AJ183" s="39" t="str">
        <f t="shared" si="69"/>
        <v/>
      </c>
      <c r="AK183" t="str">
        <f t="shared" si="70"/>
        <v/>
      </c>
      <c r="AL183" t="str">
        <f t="shared" si="71"/>
        <v/>
      </c>
    </row>
    <row r="184" spans="11:38" ht="15">
      <c r="K184" t="str">
        <f t="shared" si="48"/>
        <v/>
      </c>
      <c r="L184" t="str">
        <f t="shared" si="49"/>
        <v/>
      </c>
      <c r="M184" s="36" t="str">
        <f t="shared" si="50"/>
        <v/>
      </c>
      <c r="N184" s="37" t="str">
        <f t="shared" si="51"/>
        <v/>
      </c>
      <c r="O184" s="37" t="str">
        <f t="shared" si="52"/>
        <v/>
      </c>
      <c r="P184" s="38" t="str">
        <f t="shared" si="53"/>
        <v/>
      </c>
      <c r="Q184" s="39" t="str">
        <f t="shared" si="54"/>
        <v/>
      </c>
      <c r="R184" s="39" t="str">
        <f t="shared" si="55"/>
        <v/>
      </c>
      <c r="S184" t="str">
        <f t="shared" si="56"/>
        <v/>
      </c>
      <c r="T184" s="39" t="str">
        <f t="shared" si="57"/>
        <v/>
      </c>
      <c r="U184" t="str">
        <f t="shared" si="58"/>
        <v/>
      </c>
      <c r="V184" t="str">
        <f t="shared" si="59"/>
        <v/>
      </c>
      <c r="W184" t="str">
        <f t="shared" si="60"/>
        <v/>
      </c>
      <c r="X184" s="38" t="str">
        <f t="shared" si="61"/>
        <v/>
      </c>
      <c r="Y184" s="38" t="str">
        <f t="shared" si="62"/>
        <v/>
      </c>
      <c r="Z184" s="39" t="str">
        <f t="shared" si="63"/>
        <v/>
      </c>
      <c r="AA184" s="39" t="str">
        <f t="shared" si="64"/>
        <v/>
      </c>
      <c r="AB184" s="40" t="str">
        <f t="shared" si="65"/>
        <v/>
      </c>
      <c r="AC184" t="str">
        <f>IF(L184="","",IF(AND($AO$2=1,ISNA(MATCH(L184,'02-شباط'!$L$2:$L$501,0))),"محذوف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66"/>
        <v/>
      </c>
      <c r="AH184" s="39" t="str">
        <f t="shared" si="67"/>
        <v/>
      </c>
      <c r="AI184" s="39" t="str">
        <f t="shared" si="68"/>
        <v/>
      </c>
      <c r="AJ184" s="39" t="str">
        <f t="shared" si="69"/>
        <v/>
      </c>
      <c r="AK184" t="str">
        <f t="shared" si="70"/>
        <v/>
      </c>
      <c r="AL184" t="str">
        <f t="shared" si="71"/>
        <v/>
      </c>
    </row>
    <row r="185" spans="11:38" ht="15">
      <c r="K185" t="str">
        <f t="shared" si="48"/>
        <v/>
      </c>
      <c r="L185" t="str">
        <f t="shared" si="49"/>
        <v/>
      </c>
      <c r="M185" s="36" t="str">
        <f t="shared" si="50"/>
        <v/>
      </c>
      <c r="N185" s="37" t="str">
        <f t="shared" si="51"/>
        <v/>
      </c>
      <c r="O185" s="37" t="str">
        <f t="shared" si="52"/>
        <v/>
      </c>
      <c r="P185" s="38" t="str">
        <f t="shared" si="53"/>
        <v/>
      </c>
      <c r="Q185" s="39" t="str">
        <f t="shared" si="54"/>
        <v/>
      </c>
      <c r="R185" s="39" t="str">
        <f t="shared" si="55"/>
        <v/>
      </c>
      <c r="S185" t="str">
        <f t="shared" si="56"/>
        <v/>
      </c>
      <c r="T185" s="39" t="str">
        <f t="shared" si="57"/>
        <v/>
      </c>
      <c r="U185" t="str">
        <f t="shared" si="58"/>
        <v/>
      </c>
      <c r="V185" t="str">
        <f t="shared" si="59"/>
        <v/>
      </c>
      <c r="W185" t="str">
        <f t="shared" si="60"/>
        <v/>
      </c>
      <c r="X185" s="38" t="str">
        <f t="shared" si="61"/>
        <v/>
      </c>
      <c r="Y185" s="38" t="str">
        <f t="shared" si="62"/>
        <v/>
      </c>
      <c r="Z185" s="39" t="str">
        <f t="shared" si="63"/>
        <v/>
      </c>
      <c r="AA185" s="39" t="str">
        <f t="shared" si="64"/>
        <v/>
      </c>
      <c r="AB185" s="40" t="str">
        <f t="shared" si="65"/>
        <v/>
      </c>
      <c r="AC185" t="str">
        <f>IF(L185="","",IF(AND($AO$2=1,ISNA(MATCH(L185,'02-شباط'!$L$2:$L$501,0))),"محذوف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66"/>
        <v/>
      </c>
      <c r="AH185" s="39" t="str">
        <f t="shared" si="67"/>
        <v/>
      </c>
      <c r="AI185" s="39" t="str">
        <f t="shared" si="68"/>
        <v/>
      </c>
      <c r="AJ185" s="39" t="str">
        <f t="shared" si="69"/>
        <v/>
      </c>
      <c r="AK185" t="str">
        <f t="shared" si="70"/>
        <v/>
      </c>
      <c r="AL185" t="str">
        <f t="shared" si="71"/>
        <v/>
      </c>
    </row>
    <row r="186" spans="11:38" ht="15">
      <c r="K186" t="str">
        <f t="shared" si="48"/>
        <v/>
      </c>
      <c r="L186" t="str">
        <f t="shared" si="49"/>
        <v/>
      </c>
      <c r="M186" s="36" t="str">
        <f t="shared" si="50"/>
        <v/>
      </c>
      <c r="N186" s="37" t="str">
        <f t="shared" si="51"/>
        <v/>
      </c>
      <c r="O186" s="37" t="str">
        <f t="shared" si="52"/>
        <v/>
      </c>
      <c r="P186" s="38" t="str">
        <f t="shared" si="53"/>
        <v/>
      </c>
      <c r="Q186" s="39" t="str">
        <f t="shared" si="54"/>
        <v/>
      </c>
      <c r="R186" s="39" t="str">
        <f t="shared" si="55"/>
        <v/>
      </c>
      <c r="S186" t="str">
        <f t="shared" si="56"/>
        <v/>
      </c>
      <c r="T186" s="39" t="str">
        <f t="shared" si="57"/>
        <v/>
      </c>
      <c r="U186" t="str">
        <f t="shared" si="58"/>
        <v/>
      </c>
      <c r="V186" t="str">
        <f t="shared" si="59"/>
        <v/>
      </c>
      <c r="W186" t="str">
        <f t="shared" si="60"/>
        <v/>
      </c>
      <c r="X186" s="38" t="str">
        <f t="shared" si="61"/>
        <v/>
      </c>
      <c r="Y186" s="38" t="str">
        <f t="shared" si="62"/>
        <v/>
      </c>
      <c r="Z186" s="39" t="str">
        <f t="shared" si="63"/>
        <v/>
      </c>
      <c r="AA186" s="39" t="str">
        <f t="shared" si="64"/>
        <v/>
      </c>
      <c r="AB186" s="40" t="str">
        <f t="shared" si="65"/>
        <v/>
      </c>
      <c r="AC186" t="str">
        <f>IF(L186="","",IF(AND($AO$2=1,ISNA(MATCH(L186,'02-شباط'!$L$2:$L$501,0))),"محذوف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66"/>
        <v/>
      </c>
      <c r="AH186" s="39" t="str">
        <f t="shared" si="67"/>
        <v/>
      </c>
      <c r="AI186" s="39" t="str">
        <f t="shared" si="68"/>
        <v/>
      </c>
      <c r="AJ186" s="39" t="str">
        <f t="shared" si="69"/>
        <v/>
      </c>
      <c r="AK186" t="str">
        <f t="shared" si="70"/>
        <v/>
      </c>
      <c r="AL186" t="str">
        <f t="shared" si="71"/>
        <v/>
      </c>
    </row>
    <row r="187" spans="11:38" ht="15">
      <c r="K187" t="str">
        <f t="shared" si="48"/>
        <v/>
      </c>
      <c r="L187" t="str">
        <f t="shared" si="49"/>
        <v/>
      </c>
      <c r="M187" s="36" t="str">
        <f t="shared" si="50"/>
        <v/>
      </c>
      <c r="N187" s="37" t="str">
        <f t="shared" si="51"/>
        <v/>
      </c>
      <c r="O187" s="37" t="str">
        <f t="shared" si="52"/>
        <v/>
      </c>
      <c r="P187" s="38" t="str">
        <f t="shared" si="53"/>
        <v/>
      </c>
      <c r="Q187" s="39" t="str">
        <f t="shared" si="54"/>
        <v/>
      </c>
      <c r="R187" s="39" t="str">
        <f t="shared" si="55"/>
        <v/>
      </c>
      <c r="S187" t="str">
        <f t="shared" si="56"/>
        <v/>
      </c>
      <c r="T187" s="39" t="str">
        <f t="shared" si="57"/>
        <v/>
      </c>
      <c r="U187" t="str">
        <f t="shared" si="58"/>
        <v/>
      </c>
      <c r="V187" t="str">
        <f t="shared" si="59"/>
        <v/>
      </c>
      <c r="W187" t="str">
        <f t="shared" si="60"/>
        <v/>
      </c>
      <c r="X187" s="38" t="str">
        <f t="shared" si="61"/>
        <v/>
      </c>
      <c r="Y187" s="38" t="str">
        <f t="shared" si="62"/>
        <v/>
      </c>
      <c r="Z187" s="39" t="str">
        <f t="shared" si="63"/>
        <v/>
      </c>
      <c r="AA187" s="39" t="str">
        <f t="shared" si="64"/>
        <v/>
      </c>
      <c r="AB187" s="40" t="str">
        <f t="shared" si="65"/>
        <v/>
      </c>
      <c r="AC187" t="str">
        <f>IF(L187="","",IF(AND($AO$2=1,ISNA(MATCH(L187,'02-شباط'!$L$2:$L$501,0))),"محذوف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66"/>
        <v/>
      </c>
      <c r="AH187" s="39" t="str">
        <f t="shared" si="67"/>
        <v/>
      </c>
      <c r="AI187" s="39" t="str">
        <f t="shared" si="68"/>
        <v/>
      </c>
      <c r="AJ187" s="39" t="str">
        <f t="shared" si="69"/>
        <v/>
      </c>
      <c r="AK187" t="str">
        <f t="shared" si="70"/>
        <v/>
      </c>
      <c r="AL187" t="str">
        <f t="shared" si="71"/>
        <v/>
      </c>
    </row>
    <row r="188" spans="11:38" ht="15">
      <c r="K188" t="str">
        <f t="shared" si="48"/>
        <v/>
      </c>
      <c r="L188" t="str">
        <f t="shared" si="49"/>
        <v/>
      </c>
      <c r="M188" s="36" t="str">
        <f t="shared" si="50"/>
        <v/>
      </c>
      <c r="N188" s="37" t="str">
        <f t="shared" si="51"/>
        <v/>
      </c>
      <c r="O188" s="37" t="str">
        <f t="shared" si="52"/>
        <v/>
      </c>
      <c r="P188" s="38" t="str">
        <f t="shared" si="53"/>
        <v/>
      </c>
      <c r="Q188" s="39" t="str">
        <f t="shared" si="54"/>
        <v/>
      </c>
      <c r="R188" s="39" t="str">
        <f t="shared" si="55"/>
        <v/>
      </c>
      <c r="S188" t="str">
        <f t="shared" si="56"/>
        <v/>
      </c>
      <c r="T188" s="39" t="str">
        <f t="shared" si="57"/>
        <v/>
      </c>
      <c r="U188" t="str">
        <f t="shared" si="58"/>
        <v/>
      </c>
      <c r="V188" t="str">
        <f t="shared" si="59"/>
        <v/>
      </c>
      <c r="W188" t="str">
        <f t="shared" si="60"/>
        <v/>
      </c>
      <c r="X188" s="38" t="str">
        <f t="shared" si="61"/>
        <v/>
      </c>
      <c r="Y188" s="38" t="str">
        <f t="shared" si="62"/>
        <v/>
      </c>
      <c r="Z188" s="39" t="str">
        <f t="shared" si="63"/>
        <v/>
      </c>
      <c r="AA188" s="39" t="str">
        <f t="shared" si="64"/>
        <v/>
      </c>
      <c r="AB188" s="40" t="str">
        <f t="shared" si="65"/>
        <v/>
      </c>
      <c r="AC188" t="str">
        <f>IF(L188="","",IF(AND($AO$2=1,ISNA(MATCH(L188,'02-شباط'!$L$2:$L$501,0))),"محذوف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66"/>
        <v/>
      </c>
      <c r="AH188" s="39" t="str">
        <f t="shared" si="67"/>
        <v/>
      </c>
      <c r="AI188" s="39" t="str">
        <f t="shared" si="68"/>
        <v/>
      </c>
      <c r="AJ188" s="39" t="str">
        <f t="shared" si="69"/>
        <v/>
      </c>
      <c r="AK188" t="str">
        <f t="shared" si="70"/>
        <v/>
      </c>
      <c r="AL188" t="str">
        <f t="shared" si="71"/>
        <v/>
      </c>
    </row>
    <row r="189" spans="11:38" ht="15">
      <c r="K189" t="str">
        <f t="shared" si="48"/>
        <v/>
      </c>
      <c r="L189" t="str">
        <f t="shared" si="49"/>
        <v/>
      </c>
      <c r="M189" s="36" t="str">
        <f t="shared" si="50"/>
        <v/>
      </c>
      <c r="N189" s="37" t="str">
        <f t="shared" si="51"/>
        <v/>
      </c>
      <c r="O189" s="37" t="str">
        <f t="shared" si="52"/>
        <v/>
      </c>
      <c r="P189" s="38" t="str">
        <f t="shared" si="53"/>
        <v/>
      </c>
      <c r="Q189" s="39" t="str">
        <f t="shared" si="54"/>
        <v/>
      </c>
      <c r="R189" s="39" t="str">
        <f t="shared" si="55"/>
        <v/>
      </c>
      <c r="S189" t="str">
        <f t="shared" si="56"/>
        <v/>
      </c>
      <c r="T189" s="39" t="str">
        <f t="shared" si="57"/>
        <v/>
      </c>
      <c r="U189" t="str">
        <f t="shared" si="58"/>
        <v/>
      </c>
      <c r="V189" t="str">
        <f t="shared" si="59"/>
        <v/>
      </c>
      <c r="W189" t="str">
        <f t="shared" si="60"/>
        <v/>
      </c>
      <c r="X189" s="38" t="str">
        <f t="shared" si="61"/>
        <v/>
      </c>
      <c r="Y189" s="38" t="str">
        <f t="shared" si="62"/>
        <v/>
      </c>
      <c r="Z189" s="39" t="str">
        <f t="shared" si="63"/>
        <v/>
      </c>
      <c r="AA189" s="39" t="str">
        <f t="shared" si="64"/>
        <v/>
      </c>
      <c r="AB189" s="40" t="str">
        <f t="shared" si="65"/>
        <v/>
      </c>
      <c r="AC189" t="str">
        <f>IF(L189="","",IF(AND($AO$2=1,ISNA(MATCH(L189,'02-شباط'!$L$2:$L$501,0))),"محذوف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66"/>
        <v/>
      </c>
      <c r="AH189" s="39" t="str">
        <f t="shared" si="67"/>
        <v/>
      </c>
      <c r="AI189" s="39" t="str">
        <f t="shared" si="68"/>
        <v/>
      </c>
      <c r="AJ189" s="39" t="str">
        <f t="shared" si="69"/>
        <v/>
      </c>
      <c r="AK189" t="str">
        <f t="shared" si="70"/>
        <v/>
      </c>
      <c r="AL189" t="str">
        <f t="shared" si="71"/>
        <v/>
      </c>
    </row>
    <row r="190" spans="11:38" ht="15">
      <c r="K190" t="str">
        <f t="shared" si="48"/>
        <v/>
      </c>
      <c r="L190" t="str">
        <f t="shared" si="49"/>
        <v/>
      </c>
      <c r="M190" s="36" t="str">
        <f t="shared" si="50"/>
        <v/>
      </c>
      <c r="N190" s="37" t="str">
        <f t="shared" si="51"/>
        <v/>
      </c>
      <c r="O190" s="37" t="str">
        <f t="shared" si="52"/>
        <v/>
      </c>
      <c r="P190" s="38" t="str">
        <f t="shared" si="53"/>
        <v/>
      </c>
      <c r="Q190" s="39" t="str">
        <f t="shared" si="54"/>
        <v/>
      </c>
      <c r="R190" s="39" t="str">
        <f t="shared" si="55"/>
        <v/>
      </c>
      <c r="S190" t="str">
        <f t="shared" si="56"/>
        <v/>
      </c>
      <c r="T190" s="39" t="str">
        <f t="shared" si="57"/>
        <v/>
      </c>
      <c r="U190" t="str">
        <f t="shared" si="58"/>
        <v/>
      </c>
      <c r="V190" t="str">
        <f t="shared" si="59"/>
        <v/>
      </c>
      <c r="W190" t="str">
        <f t="shared" si="60"/>
        <v/>
      </c>
      <c r="X190" s="38" t="str">
        <f t="shared" si="61"/>
        <v/>
      </c>
      <c r="Y190" s="38" t="str">
        <f t="shared" si="62"/>
        <v/>
      </c>
      <c r="Z190" s="39" t="str">
        <f t="shared" si="63"/>
        <v/>
      </c>
      <c r="AA190" s="39" t="str">
        <f t="shared" si="64"/>
        <v/>
      </c>
      <c r="AB190" s="40" t="str">
        <f t="shared" si="65"/>
        <v/>
      </c>
      <c r="AC190" t="str">
        <f>IF(L190="","",IF(AND($AO$2=1,ISNA(MATCH(L190,'02-شباط'!$L$2:$L$501,0))),"محذوف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66"/>
        <v/>
      </c>
      <c r="AH190" s="39" t="str">
        <f t="shared" si="67"/>
        <v/>
      </c>
      <c r="AI190" s="39" t="str">
        <f t="shared" si="68"/>
        <v/>
      </c>
      <c r="AJ190" s="39" t="str">
        <f t="shared" si="69"/>
        <v/>
      </c>
      <c r="AK190" t="str">
        <f t="shared" si="70"/>
        <v/>
      </c>
      <c r="AL190" t="str">
        <f t="shared" si="71"/>
        <v/>
      </c>
    </row>
    <row r="191" spans="11:38" ht="15">
      <c r="K191" t="str">
        <f t="shared" si="48"/>
        <v/>
      </c>
      <c r="L191" t="str">
        <f t="shared" si="49"/>
        <v/>
      </c>
      <c r="M191" s="36" t="str">
        <f t="shared" si="50"/>
        <v/>
      </c>
      <c r="N191" s="37" t="str">
        <f t="shared" si="51"/>
        <v/>
      </c>
      <c r="O191" s="37" t="str">
        <f t="shared" si="52"/>
        <v/>
      </c>
      <c r="P191" s="38" t="str">
        <f t="shared" si="53"/>
        <v/>
      </c>
      <c r="Q191" s="39" t="str">
        <f t="shared" si="54"/>
        <v/>
      </c>
      <c r="R191" s="39" t="str">
        <f t="shared" si="55"/>
        <v/>
      </c>
      <c r="S191" t="str">
        <f t="shared" si="56"/>
        <v/>
      </c>
      <c r="T191" s="39" t="str">
        <f t="shared" si="57"/>
        <v/>
      </c>
      <c r="U191" t="str">
        <f t="shared" si="58"/>
        <v/>
      </c>
      <c r="V191" t="str">
        <f t="shared" si="59"/>
        <v/>
      </c>
      <c r="W191" t="str">
        <f t="shared" si="60"/>
        <v/>
      </c>
      <c r="X191" s="38" t="str">
        <f t="shared" si="61"/>
        <v/>
      </c>
      <c r="Y191" s="38" t="str">
        <f t="shared" si="62"/>
        <v/>
      </c>
      <c r="Z191" s="39" t="str">
        <f t="shared" si="63"/>
        <v/>
      </c>
      <c r="AA191" s="39" t="str">
        <f t="shared" si="64"/>
        <v/>
      </c>
      <c r="AB191" s="40" t="str">
        <f t="shared" si="65"/>
        <v/>
      </c>
      <c r="AC191" t="str">
        <f>IF(L191="","",IF(AND($AO$2=1,ISNA(MATCH(L191,'02-شباط'!$L$2:$L$501,0))),"محذوف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66"/>
        <v/>
      </c>
      <c r="AH191" s="39" t="str">
        <f t="shared" si="67"/>
        <v/>
      </c>
      <c r="AI191" s="39" t="str">
        <f t="shared" si="68"/>
        <v/>
      </c>
      <c r="AJ191" s="39" t="str">
        <f t="shared" si="69"/>
        <v/>
      </c>
      <c r="AK191" t="str">
        <f t="shared" si="70"/>
        <v/>
      </c>
      <c r="AL191" t="str">
        <f t="shared" si="71"/>
        <v/>
      </c>
    </row>
    <row r="192" spans="11:38" ht="15">
      <c r="K192" t="str">
        <f t="shared" si="48"/>
        <v/>
      </c>
      <c r="L192" t="str">
        <f t="shared" si="49"/>
        <v/>
      </c>
      <c r="M192" s="36" t="str">
        <f t="shared" si="50"/>
        <v/>
      </c>
      <c r="N192" s="37" t="str">
        <f t="shared" si="51"/>
        <v/>
      </c>
      <c r="O192" s="37" t="str">
        <f t="shared" si="52"/>
        <v/>
      </c>
      <c r="P192" s="38" t="str">
        <f t="shared" si="53"/>
        <v/>
      </c>
      <c r="Q192" s="39" t="str">
        <f t="shared" si="54"/>
        <v/>
      </c>
      <c r="R192" s="39" t="str">
        <f t="shared" si="55"/>
        <v/>
      </c>
      <c r="S192" t="str">
        <f t="shared" si="56"/>
        <v/>
      </c>
      <c r="T192" s="39" t="str">
        <f t="shared" si="57"/>
        <v/>
      </c>
      <c r="U192" t="str">
        <f t="shared" si="58"/>
        <v/>
      </c>
      <c r="V192" t="str">
        <f t="shared" si="59"/>
        <v/>
      </c>
      <c r="W192" t="str">
        <f t="shared" si="60"/>
        <v/>
      </c>
      <c r="X192" s="38" t="str">
        <f t="shared" si="61"/>
        <v/>
      </c>
      <c r="Y192" s="38" t="str">
        <f t="shared" si="62"/>
        <v/>
      </c>
      <c r="Z192" s="39" t="str">
        <f t="shared" si="63"/>
        <v/>
      </c>
      <c r="AA192" s="39" t="str">
        <f t="shared" si="64"/>
        <v/>
      </c>
      <c r="AB192" s="40" t="str">
        <f t="shared" si="65"/>
        <v/>
      </c>
      <c r="AC192" t="str">
        <f>IF(L192="","",IF(AND($AO$2=1,ISNA(MATCH(L192,'02-شباط'!$L$2:$L$501,0))),"محذوف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66"/>
        <v/>
      </c>
      <c r="AH192" s="39" t="str">
        <f t="shared" si="67"/>
        <v/>
      </c>
      <c r="AI192" s="39" t="str">
        <f t="shared" si="68"/>
        <v/>
      </c>
      <c r="AJ192" s="39" t="str">
        <f t="shared" si="69"/>
        <v/>
      </c>
      <c r="AK192" t="str">
        <f t="shared" si="70"/>
        <v/>
      </c>
      <c r="AL192" t="str">
        <f t="shared" si="71"/>
        <v/>
      </c>
    </row>
    <row r="193" spans="11:38" ht="15">
      <c r="K193" t="str">
        <f t="shared" si="48"/>
        <v/>
      </c>
      <c r="L193" t="str">
        <f t="shared" si="49"/>
        <v/>
      </c>
      <c r="M193" s="36" t="str">
        <f t="shared" si="50"/>
        <v/>
      </c>
      <c r="N193" s="37" t="str">
        <f t="shared" si="51"/>
        <v/>
      </c>
      <c r="O193" s="37" t="str">
        <f t="shared" si="52"/>
        <v/>
      </c>
      <c r="P193" s="38" t="str">
        <f t="shared" si="53"/>
        <v/>
      </c>
      <c r="Q193" s="39" t="str">
        <f t="shared" si="54"/>
        <v/>
      </c>
      <c r="R193" s="39" t="str">
        <f t="shared" si="55"/>
        <v/>
      </c>
      <c r="S193" t="str">
        <f t="shared" si="56"/>
        <v/>
      </c>
      <c r="T193" s="39" t="str">
        <f t="shared" si="57"/>
        <v/>
      </c>
      <c r="U193" t="str">
        <f t="shared" si="58"/>
        <v/>
      </c>
      <c r="V193" t="str">
        <f t="shared" si="59"/>
        <v/>
      </c>
      <c r="W193" t="str">
        <f t="shared" si="60"/>
        <v/>
      </c>
      <c r="X193" s="38" t="str">
        <f t="shared" si="61"/>
        <v/>
      </c>
      <c r="Y193" s="38" t="str">
        <f t="shared" si="62"/>
        <v/>
      </c>
      <c r="Z193" s="39" t="str">
        <f t="shared" si="63"/>
        <v/>
      </c>
      <c r="AA193" s="39" t="str">
        <f t="shared" si="64"/>
        <v/>
      </c>
      <c r="AB193" s="40" t="str">
        <f t="shared" si="65"/>
        <v/>
      </c>
      <c r="AC193" t="str">
        <f>IF(L193="","",IF(AND($AO$2=1,ISNA(MATCH(L193,'02-شباط'!$L$2:$L$501,0))),"محذوف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66"/>
        <v/>
      </c>
      <c r="AH193" s="39" t="str">
        <f t="shared" si="67"/>
        <v/>
      </c>
      <c r="AI193" s="39" t="str">
        <f t="shared" si="68"/>
        <v/>
      </c>
      <c r="AJ193" s="39" t="str">
        <f t="shared" si="69"/>
        <v/>
      </c>
      <c r="AK193" t="str">
        <f t="shared" si="70"/>
        <v/>
      </c>
      <c r="AL193" t="str">
        <f t="shared" si="71"/>
        <v/>
      </c>
    </row>
    <row r="194" spans="11:38" ht="15">
      <c r="K194" t="str">
        <f t="shared" ref="K194:K257" si="72">IF(L194="","",IF(U194&lt;&gt;"","⚠",""))</f>
        <v/>
      </c>
      <c r="L194" t="str">
        <f t="shared" ref="L194:L257" si="73">IF(A194="","",TRIM(A194))</f>
        <v/>
      </c>
      <c r="M194" s="36" t="str">
        <f t="shared" ref="M194:M257" si="74">IF(L194="","",IF(ISNUMBER(SEARCH("دولار",F194)),1,IF(ISNUMBER(SEARCH("ليرة",F194)),IF($AO$3&gt;0,1/$AO$3,0),0)))</f>
        <v/>
      </c>
      <c r="N194" s="37" t="str">
        <f t="shared" ref="N194:N257" si="75">IF(L194="","",N(I194)*M194)</f>
        <v/>
      </c>
      <c r="O194" s="37" t="str">
        <f t="shared" ref="O194:O257" si="76">IF(L194="","",M194*CHOOSE($AO$4,N(C194),N(D194),N(E194)))</f>
        <v/>
      </c>
      <c r="P194" s="38" t="str">
        <f t="shared" ref="P194:P257" si="77">IF(L194="","",MAX(N(B194),0))</f>
        <v/>
      </c>
      <c r="Q194" s="39" t="str">
        <f t="shared" ref="Q194:Q257" si="78">IF(L194="","",P194*N194)</f>
        <v/>
      </c>
      <c r="R194" s="39" t="str">
        <f t="shared" ref="R194:R257" si="79">IF(L194="","",P194*O194)</f>
        <v/>
      </c>
      <c r="S194" t="str">
        <f t="shared" ref="S194:S257" si="80">IF(L194="","",IF(AND(P194&gt;0,N194&gt;0,O194&gt;0),1,0))</f>
        <v/>
      </c>
      <c r="T194" s="39" t="str">
        <f t="shared" ref="T194:T257" si="81">IF(L194="","",S194*(R194-Q194))</f>
        <v/>
      </c>
      <c r="U194" t="str">
        <f t="shared" ref="U194:U257" si="82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 t="shared" ref="V194:V257" si="83">IF(L194="","",0)</f>
        <v/>
      </c>
      <c r="W194" t="str">
        <f t="shared" ref="W194:W257" si="84">IF(L194="","",IF(AND($AO$1=1,V194=0),"جديد",""))</f>
        <v/>
      </c>
      <c r="X194" s="38" t="str">
        <f t="shared" ref="X194:X257" si="85">IF(L194="","","")</f>
        <v/>
      </c>
      <c r="Y194" s="38" t="str">
        <f t="shared" ref="Y194:Y257" si="86">IF(OR(L194="",X194=""),"",P194-X194)</f>
        <v/>
      </c>
      <c r="Z194" s="39" t="str">
        <f t="shared" ref="Z194:Z257" si="87">IF(L194="","","")</f>
        <v/>
      </c>
      <c r="AA194" s="39" t="str">
        <f t="shared" ref="AA194:AA257" si="88">IF(OR(L194="",Z194=""),"",Q194-Z194)</f>
        <v/>
      </c>
      <c r="AB194" s="40" t="str">
        <f t="shared" ref="AB194:AB257" si="89">IF(L194="","","")</f>
        <v/>
      </c>
      <c r="AC194" t="str">
        <f>IF(L194="","",IF(AND($AO$2=1,ISNA(MATCH(L194,'02-شباط'!$L$2:$L$501,0))),"محذوف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90">IF(AA194="","",ABS(AA194)+ROW()/1000000000)</f>
        <v/>
      </c>
      <c r="AH194" s="39" t="str">
        <f t="shared" ref="AH194:AH257" si="91">IF(L194="","",IF(AND(P194&gt;0,N194&gt;0,N(C194)&gt;0),P194*(M194*N(C194)-N194),0))</f>
        <v/>
      </c>
      <c r="AI194" s="39" t="str">
        <f t="shared" ref="AI194:AI257" si="92">IF(L194="","",IF(AND(P194&gt;0,N194&gt;0,N(D194)&gt;0),P194*(M194*N(D194)-N194),0))</f>
        <v/>
      </c>
      <c r="AJ194" s="39" t="str">
        <f t="shared" ref="AJ194:AJ257" si="93">IF(L194="","",IF(AND(P194&gt;0,N194&gt;0,N(E194)&gt;0),P194*(M194*N(E194)-N194),0))</f>
        <v/>
      </c>
      <c r="AK194" t="str">
        <f t="shared" ref="AK194:AK257" si="94">IF(L194="","",Q194+ROW()/1000000000)</f>
        <v/>
      </c>
      <c r="AL194" t="str">
        <f t="shared" ref="AL194:AL257" si="95">IF(L194="","",T194+ROW()/1000000000)</f>
        <v/>
      </c>
    </row>
    <row r="195" spans="11:38" ht="15">
      <c r="K195" t="str">
        <f t="shared" si="72"/>
        <v/>
      </c>
      <c r="L195" t="str">
        <f t="shared" si="73"/>
        <v/>
      </c>
      <c r="M195" s="36" t="str">
        <f t="shared" si="74"/>
        <v/>
      </c>
      <c r="N195" s="37" t="str">
        <f t="shared" si="75"/>
        <v/>
      </c>
      <c r="O195" s="37" t="str">
        <f t="shared" si="76"/>
        <v/>
      </c>
      <c r="P195" s="38" t="str">
        <f t="shared" si="77"/>
        <v/>
      </c>
      <c r="Q195" s="39" t="str">
        <f t="shared" si="78"/>
        <v/>
      </c>
      <c r="R195" s="39" t="str">
        <f t="shared" si="79"/>
        <v/>
      </c>
      <c r="S195" t="str">
        <f t="shared" si="80"/>
        <v/>
      </c>
      <c r="T195" s="39" t="str">
        <f t="shared" si="81"/>
        <v/>
      </c>
      <c r="U195" t="str">
        <f t="shared" si="82"/>
        <v/>
      </c>
      <c r="V195" t="str">
        <f t="shared" si="83"/>
        <v/>
      </c>
      <c r="W195" t="str">
        <f t="shared" si="84"/>
        <v/>
      </c>
      <c r="X195" s="38" t="str">
        <f t="shared" si="85"/>
        <v/>
      </c>
      <c r="Y195" s="38" t="str">
        <f t="shared" si="86"/>
        <v/>
      </c>
      <c r="Z195" s="39" t="str">
        <f t="shared" si="87"/>
        <v/>
      </c>
      <c r="AA195" s="39" t="str">
        <f t="shared" si="88"/>
        <v/>
      </c>
      <c r="AB195" s="40" t="str">
        <f t="shared" si="89"/>
        <v/>
      </c>
      <c r="AC195" t="str">
        <f>IF(L195="","",IF(AND($AO$2=1,ISNA(MATCH(L195,'02-شباط'!$L$2:$L$501,0))),"محذوف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90"/>
        <v/>
      </c>
      <c r="AH195" s="39" t="str">
        <f t="shared" si="91"/>
        <v/>
      </c>
      <c r="AI195" s="39" t="str">
        <f t="shared" si="92"/>
        <v/>
      </c>
      <c r="AJ195" s="39" t="str">
        <f t="shared" si="93"/>
        <v/>
      </c>
      <c r="AK195" t="str">
        <f t="shared" si="94"/>
        <v/>
      </c>
      <c r="AL195" t="str">
        <f t="shared" si="95"/>
        <v/>
      </c>
    </row>
    <row r="196" spans="11:38" ht="15">
      <c r="K196" t="str">
        <f t="shared" si="72"/>
        <v/>
      </c>
      <c r="L196" t="str">
        <f t="shared" si="73"/>
        <v/>
      </c>
      <c r="M196" s="36" t="str">
        <f t="shared" si="74"/>
        <v/>
      </c>
      <c r="N196" s="37" t="str">
        <f t="shared" si="75"/>
        <v/>
      </c>
      <c r="O196" s="37" t="str">
        <f t="shared" si="76"/>
        <v/>
      </c>
      <c r="P196" s="38" t="str">
        <f t="shared" si="77"/>
        <v/>
      </c>
      <c r="Q196" s="39" t="str">
        <f t="shared" si="78"/>
        <v/>
      </c>
      <c r="R196" s="39" t="str">
        <f t="shared" si="79"/>
        <v/>
      </c>
      <c r="S196" t="str">
        <f t="shared" si="80"/>
        <v/>
      </c>
      <c r="T196" s="39" t="str">
        <f t="shared" si="81"/>
        <v/>
      </c>
      <c r="U196" t="str">
        <f t="shared" si="82"/>
        <v/>
      </c>
      <c r="V196" t="str">
        <f t="shared" si="83"/>
        <v/>
      </c>
      <c r="W196" t="str">
        <f t="shared" si="84"/>
        <v/>
      </c>
      <c r="X196" s="38" t="str">
        <f t="shared" si="85"/>
        <v/>
      </c>
      <c r="Y196" s="38" t="str">
        <f t="shared" si="86"/>
        <v/>
      </c>
      <c r="Z196" s="39" t="str">
        <f t="shared" si="87"/>
        <v/>
      </c>
      <c r="AA196" s="39" t="str">
        <f t="shared" si="88"/>
        <v/>
      </c>
      <c r="AB196" s="40" t="str">
        <f t="shared" si="89"/>
        <v/>
      </c>
      <c r="AC196" t="str">
        <f>IF(L196="","",IF(AND($AO$2=1,ISNA(MATCH(L196,'02-شباط'!$L$2:$L$501,0))),"محذوف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90"/>
        <v/>
      </c>
      <c r="AH196" s="39" t="str">
        <f t="shared" si="91"/>
        <v/>
      </c>
      <c r="AI196" s="39" t="str">
        <f t="shared" si="92"/>
        <v/>
      </c>
      <c r="AJ196" s="39" t="str">
        <f t="shared" si="93"/>
        <v/>
      </c>
      <c r="AK196" t="str">
        <f t="shared" si="94"/>
        <v/>
      </c>
      <c r="AL196" t="str">
        <f t="shared" si="95"/>
        <v/>
      </c>
    </row>
    <row r="197" spans="11:38" ht="15">
      <c r="K197" t="str">
        <f t="shared" si="72"/>
        <v/>
      </c>
      <c r="L197" t="str">
        <f t="shared" si="73"/>
        <v/>
      </c>
      <c r="M197" s="36" t="str">
        <f t="shared" si="74"/>
        <v/>
      </c>
      <c r="N197" s="37" t="str">
        <f t="shared" si="75"/>
        <v/>
      </c>
      <c r="O197" s="37" t="str">
        <f t="shared" si="76"/>
        <v/>
      </c>
      <c r="P197" s="38" t="str">
        <f t="shared" si="77"/>
        <v/>
      </c>
      <c r="Q197" s="39" t="str">
        <f t="shared" si="78"/>
        <v/>
      </c>
      <c r="R197" s="39" t="str">
        <f t="shared" si="79"/>
        <v/>
      </c>
      <c r="S197" t="str">
        <f t="shared" si="80"/>
        <v/>
      </c>
      <c r="T197" s="39" t="str">
        <f t="shared" si="81"/>
        <v/>
      </c>
      <c r="U197" t="str">
        <f t="shared" si="82"/>
        <v/>
      </c>
      <c r="V197" t="str">
        <f t="shared" si="83"/>
        <v/>
      </c>
      <c r="W197" t="str">
        <f t="shared" si="84"/>
        <v/>
      </c>
      <c r="X197" s="38" t="str">
        <f t="shared" si="85"/>
        <v/>
      </c>
      <c r="Y197" s="38" t="str">
        <f t="shared" si="86"/>
        <v/>
      </c>
      <c r="Z197" s="39" t="str">
        <f t="shared" si="87"/>
        <v/>
      </c>
      <c r="AA197" s="39" t="str">
        <f t="shared" si="88"/>
        <v/>
      </c>
      <c r="AB197" s="40" t="str">
        <f t="shared" si="89"/>
        <v/>
      </c>
      <c r="AC197" t="str">
        <f>IF(L197="","",IF(AND($AO$2=1,ISNA(MATCH(L197,'02-شباط'!$L$2:$L$501,0))),"محذوف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90"/>
        <v/>
      </c>
      <c r="AH197" s="39" t="str">
        <f t="shared" si="91"/>
        <v/>
      </c>
      <c r="AI197" s="39" t="str">
        <f t="shared" si="92"/>
        <v/>
      </c>
      <c r="AJ197" s="39" t="str">
        <f t="shared" si="93"/>
        <v/>
      </c>
      <c r="AK197" t="str">
        <f t="shared" si="94"/>
        <v/>
      </c>
      <c r="AL197" t="str">
        <f t="shared" si="95"/>
        <v/>
      </c>
    </row>
    <row r="198" spans="11:38" ht="15">
      <c r="K198" t="str">
        <f t="shared" si="72"/>
        <v/>
      </c>
      <c r="L198" t="str">
        <f t="shared" si="73"/>
        <v/>
      </c>
      <c r="M198" s="36" t="str">
        <f t="shared" si="74"/>
        <v/>
      </c>
      <c r="N198" s="37" t="str">
        <f t="shared" si="75"/>
        <v/>
      </c>
      <c r="O198" s="37" t="str">
        <f t="shared" si="76"/>
        <v/>
      </c>
      <c r="P198" s="38" t="str">
        <f t="shared" si="77"/>
        <v/>
      </c>
      <c r="Q198" s="39" t="str">
        <f t="shared" si="78"/>
        <v/>
      </c>
      <c r="R198" s="39" t="str">
        <f t="shared" si="79"/>
        <v/>
      </c>
      <c r="S198" t="str">
        <f t="shared" si="80"/>
        <v/>
      </c>
      <c r="T198" s="39" t="str">
        <f t="shared" si="81"/>
        <v/>
      </c>
      <c r="U198" t="str">
        <f t="shared" si="82"/>
        <v/>
      </c>
      <c r="V198" t="str">
        <f t="shared" si="83"/>
        <v/>
      </c>
      <c r="W198" t="str">
        <f t="shared" si="84"/>
        <v/>
      </c>
      <c r="X198" s="38" t="str">
        <f t="shared" si="85"/>
        <v/>
      </c>
      <c r="Y198" s="38" t="str">
        <f t="shared" si="86"/>
        <v/>
      </c>
      <c r="Z198" s="39" t="str">
        <f t="shared" si="87"/>
        <v/>
      </c>
      <c r="AA198" s="39" t="str">
        <f t="shared" si="88"/>
        <v/>
      </c>
      <c r="AB198" s="40" t="str">
        <f t="shared" si="89"/>
        <v/>
      </c>
      <c r="AC198" t="str">
        <f>IF(L198="","",IF(AND($AO$2=1,ISNA(MATCH(L198,'02-شباط'!$L$2:$L$501,0))),"محذوف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90"/>
        <v/>
      </c>
      <c r="AH198" s="39" t="str">
        <f t="shared" si="91"/>
        <v/>
      </c>
      <c r="AI198" s="39" t="str">
        <f t="shared" si="92"/>
        <v/>
      </c>
      <c r="AJ198" s="39" t="str">
        <f t="shared" si="93"/>
        <v/>
      </c>
      <c r="AK198" t="str">
        <f t="shared" si="94"/>
        <v/>
      </c>
      <c r="AL198" t="str">
        <f t="shared" si="95"/>
        <v/>
      </c>
    </row>
    <row r="199" spans="11:38" ht="15">
      <c r="K199" t="str">
        <f t="shared" si="72"/>
        <v/>
      </c>
      <c r="L199" t="str">
        <f t="shared" si="73"/>
        <v/>
      </c>
      <c r="M199" s="36" t="str">
        <f t="shared" si="74"/>
        <v/>
      </c>
      <c r="N199" s="37" t="str">
        <f t="shared" si="75"/>
        <v/>
      </c>
      <c r="O199" s="37" t="str">
        <f t="shared" si="76"/>
        <v/>
      </c>
      <c r="P199" s="38" t="str">
        <f t="shared" si="77"/>
        <v/>
      </c>
      <c r="Q199" s="39" t="str">
        <f t="shared" si="78"/>
        <v/>
      </c>
      <c r="R199" s="39" t="str">
        <f t="shared" si="79"/>
        <v/>
      </c>
      <c r="S199" t="str">
        <f t="shared" si="80"/>
        <v/>
      </c>
      <c r="T199" s="39" t="str">
        <f t="shared" si="81"/>
        <v/>
      </c>
      <c r="U199" t="str">
        <f t="shared" si="82"/>
        <v/>
      </c>
      <c r="V199" t="str">
        <f t="shared" si="83"/>
        <v/>
      </c>
      <c r="W199" t="str">
        <f t="shared" si="84"/>
        <v/>
      </c>
      <c r="X199" s="38" t="str">
        <f t="shared" si="85"/>
        <v/>
      </c>
      <c r="Y199" s="38" t="str">
        <f t="shared" si="86"/>
        <v/>
      </c>
      <c r="Z199" s="39" t="str">
        <f t="shared" si="87"/>
        <v/>
      </c>
      <c r="AA199" s="39" t="str">
        <f t="shared" si="88"/>
        <v/>
      </c>
      <c r="AB199" s="40" t="str">
        <f t="shared" si="89"/>
        <v/>
      </c>
      <c r="AC199" t="str">
        <f>IF(L199="","",IF(AND($AO$2=1,ISNA(MATCH(L199,'02-شباط'!$L$2:$L$501,0))),"محذوف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90"/>
        <v/>
      </c>
      <c r="AH199" s="39" t="str">
        <f t="shared" si="91"/>
        <v/>
      </c>
      <c r="AI199" s="39" t="str">
        <f t="shared" si="92"/>
        <v/>
      </c>
      <c r="AJ199" s="39" t="str">
        <f t="shared" si="93"/>
        <v/>
      </c>
      <c r="AK199" t="str">
        <f t="shared" si="94"/>
        <v/>
      </c>
      <c r="AL199" t="str">
        <f t="shared" si="95"/>
        <v/>
      </c>
    </row>
    <row r="200" spans="11:38" ht="15">
      <c r="K200" t="str">
        <f t="shared" si="72"/>
        <v/>
      </c>
      <c r="L200" t="str">
        <f t="shared" si="73"/>
        <v/>
      </c>
      <c r="M200" s="36" t="str">
        <f t="shared" si="74"/>
        <v/>
      </c>
      <c r="N200" s="37" t="str">
        <f t="shared" si="75"/>
        <v/>
      </c>
      <c r="O200" s="37" t="str">
        <f t="shared" si="76"/>
        <v/>
      </c>
      <c r="P200" s="38" t="str">
        <f t="shared" si="77"/>
        <v/>
      </c>
      <c r="Q200" s="39" t="str">
        <f t="shared" si="78"/>
        <v/>
      </c>
      <c r="R200" s="39" t="str">
        <f t="shared" si="79"/>
        <v/>
      </c>
      <c r="S200" t="str">
        <f t="shared" si="80"/>
        <v/>
      </c>
      <c r="T200" s="39" t="str">
        <f t="shared" si="81"/>
        <v/>
      </c>
      <c r="U200" t="str">
        <f t="shared" si="82"/>
        <v/>
      </c>
      <c r="V200" t="str">
        <f t="shared" si="83"/>
        <v/>
      </c>
      <c r="W200" t="str">
        <f t="shared" si="84"/>
        <v/>
      </c>
      <c r="X200" s="38" t="str">
        <f t="shared" si="85"/>
        <v/>
      </c>
      <c r="Y200" s="38" t="str">
        <f t="shared" si="86"/>
        <v/>
      </c>
      <c r="Z200" s="39" t="str">
        <f t="shared" si="87"/>
        <v/>
      </c>
      <c r="AA200" s="39" t="str">
        <f t="shared" si="88"/>
        <v/>
      </c>
      <c r="AB200" s="40" t="str">
        <f t="shared" si="89"/>
        <v/>
      </c>
      <c r="AC200" t="str">
        <f>IF(L200="","",IF(AND($AO$2=1,ISNA(MATCH(L200,'02-شباط'!$L$2:$L$501,0))),"محذوف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90"/>
        <v/>
      </c>
      <c r="AH200" s="39" t="str">
        <f t="shared" si="91"/>
        <v/>
      </c>
      <c r="AI200" s="39" t="str">
        <f t="shared" si="92"/>
        <v/>
      </c>
      <c r="AJ200" s="39" t="str">
        <f t="shared" si="93"/>
        <v/>
      </c>
      <c r="AK200" t="str">
        <f t="shared" si="94"/>
        <v/>
      </c>
      <c r="AL200" t="str">
        <f t="shared" si="95"/>
        <v/>
      </c>
    </row>
    <row r="201" spans="11:38" ht="15">
      <c r="K201" t="str">
        <f t="shared" si="72"/>
        <v/>
      </c>
      <c r="L201" t="str">
        <f t="shared" si="73"/>
        <v/>
      </c>
      <c r="M201" s="36" t="str">
        <f t="shared" si="74"/>
        <v/>
      </c>
      <c r="N201" s="37" t="str">
        <f t="shared" si="75"/>
        <v/>
      </c>
      <c r="O201" s="37" t="str">
        <f t="shared" si="76"/>
        <v/>
      </c>
      <c r="P201" s="38" t="str">
        <f t="shared" si="77"/>
        <v/>
      </c>
      <c r="Q201" s="39" t="str">
        <f t="shared" si="78"/>
        <v/>
      </c>
      <c r="R201" s="39" t="str">
        <f t="shared" si="79"/>
        <v/>
      </c>
      <c r="S201" t="str">
        <f t="shared" si="80"/>
        <v/>
      </c>
      <c r="T201" s="39" t="str">
        <f t="shared" si="81"/>
        <v/>
      </c>
      <c r="U201" t="str">
        <f t="shared" si="82"/>
        <v/>
      </c>
      <c r="V201" t="str">
        <f t="shared" si="83"/>
        <v/>
      </c>
      <c r="W201" t="str">
        <f t="shared" si="84"/>
        <v/>
      </c>
      <c r="X201" s="38" t="str">
        <f t="shared" si="85"/>
        <v/>
      </c>
      <c r="Y201" s="38" t="str">
        <f t="shared" si="86"/>
        <v/>
      </c>
      <c r="Z201" s="39" t="str">
        <f t="shared" si="87"/>
        <v/>
      </c>
      <c r="AA201" s="39" t="str">
        <f t="shared" si="88"/>
        <v/>
      </c>
      <c r="AB201" s="40" t="str">
        <f t="shared" si="89"/>
        <v/>
      </c>
      <c r="AC201" t="str">
        <f>IF(L201="","",IF(AND($AO$2=1,ISNA(MATCH(L201,'02-شباط'!$L$2:$L$501,0))),"محذوف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90"/>
        <v/>
      </c>
      <c r="AH201" s="39" t="str">
        <f t="shared" si="91"/>
        <v/>
      </c>
      <c r="AI201" s="39" t="str">
        <f t="shared" si="92"/>
        <v/>
      </c>
      <c r="AJ201" s="39" t="str">
        <f t="shared" si="93"/>
        <v/>
      </c>
      <c r="AK201" t="str">
        <f t="shared" si="94"/>
        <v/>
      </c>
      <c r="AL201" t="str">
        <f t="shared" si="95"/>
        <v/>
      </c>
    </row>
    <row r="202" spans="11:38" ht="15">
      <c r="K202" t="str">
        <f t="shared" si="72"/>
        <v/>
      </c>
      <c r="L202" t="str">
        <f t="shared" si="73"/>
        <v/>
      </c>
      <c r="M202" s="36" t="str">
        <f t="shared" si="74"/>
        <v/>
      </c>
      <c r="N202" s="37" t="str">
        <f t="shared" si="75"/>
        <v/>
      </c>
      <c r="O202" s="37" t="str">
        <f t="shared" si="76"/>
        <v/>
      </c>
      <c r="P202" s="38" t="str">
        <f t="shared" si="77"/>
        <v/>
      </c>
      <c r="Q202" s="39" t="str">
        <f t="shared" si="78"/>
        <v/>
      </c>
      <c r="R202" s="39" t="str">
        <f t="shared" si="79"/>
        <v/>
      </c>
      <c r="S202" t="str">
        <f t="shared" si="80"/>
        <v/>
      </c>
      <c r="T202" s="39" t="str">
        <f t="shared" si="81"/>
        <v/>
      </c>
      <c r="U202" t="str">
        <f t="shared" si="82"/>
        <v/>
      </c>
      <c r="V202" t="str">
        <f t="shared" si="83"/>
        <v/>
      </c>
      <c r="W202" t="str">
        <f t="shared" si="84"/>
        <v/>
      </c>
      <c r="X202" s="38" t="str">
        <f t="shared" si="85"/>
        <v/>
      </c>
      <c r="Y202" s="38" t="str">
        <f t="shared" si="86"/>
        <v/>
      </c>
      <c r="Z202" s="39" t="str">
        <f t="shared" si="87"/>
        <v/>
      </c>
      <c r="AA202" s="39" t="str">
        <f t="shared" si="88"/>
        <v/>
      </c>
      <c r="AB202" s="40" t="str">
        <f t="shared" si="89"/>
        <v/>
      </c>
      <c r="AC202" t="str">
        <f>IF(L202="","",IF(AND($AO$2=1,ISNA(MATCH(L202,'02-شباط'!$L$2:$L$501,0))),"محذوف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90"/>
        <v/>
      </c>
      <c r="AH202" s="39" t="str">
        <f t="shared" si="91"/>
        <v/>
      </c>
      <c r="AI202" s="39" t="str">
        <f t="shared" si="92"/>
        <v/>
      </c>
      <c r="AJ202" s="39" t="str">
        <f t="shared" si="93"/>
        <v/>
      </c>
      <c r="AK202" t="str">
        <f t="shared" si="94"/>
        <v/>
      </c>
      <c r="AL202" t="str">
        <f t="shared" si="95"/>
        <v/>
      </c>
    </row>
    <row r="203" spans="11:38" ht="15">
      <c r="K203" t="str">
        <f t="shared" si="72"/>
        <v/>
      </c>
      <c r="L203" t="str">
        <f t="shared" si="73"/>
        <v/>
      </c>
      <c r="M203" s="36" t="str">
        <f t="shared" si="74"/>
        <v/>
      </c>
      <c r="N203" s="37" t="str">
        <f t="shared" si="75"/>
        <v/>
      </c>
      <c r="O203" s="37" t="str">
        <f t="shared" si="76"/>
        <v/>
      </c>
      <c r="P203" s="38" t="str">
        <f t="shared" si="77"/>
        <v/>
      </c>
      <c r="Q203" s="39" t="str">
        <f t="shared" si="78"/>
        <v/>
      </c>
      <c r="R203" s="39" t="str">
        <f t="shared" si="79"/>
        <v/>
      </c>
      <c r="S203" t="str">
        <f t="shared" si="80"/>
        <v/>
      </c>
      <c r="T203" s="39" t="str">
        <f t="shared" si="81"/>
        <v/>
      </c>
      <c r="U203" t="str">
        <f t="shared" si="82"/>
        <v/>
      </c>
      <c r="V203" t="str">
        <f t="shared" si="83"/>
        <v/>
      </c>
      <c r="W203" t="str">
        <f t="shared" si="84"/>
        <v/>
      </c>
      <c r="X203" s="38" t="str">
        <f t="shared" si="85"/>
        <v/>
      </c>
      <c r="Y203" s="38" t="str">
        <f t="shared" si="86"/>
        <v/>
      </c>
      <c r="Z203" s="39" t="str">
        <f t="shared" si="87"/>
        <v/>
      </c>
      <c r="AA203" s="39" t="str">
        <f t="shared" si="88"/>
        <v/>
      </c>
      <c r="AB203" s="40" t="str">
        <f t="shared" si="89"/>
        <v/>
      </c>
      <c r="AC203" t="str">
        <f>IF(L203="","",IF(AND($AO$2=1,ISNA(MATCH(L203,'02-شباط'!$L$2:$L$501,0))),"محذوف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90"/>
        <v/>
      </c>
      <c r="AH203" s="39" t="str">
        <f t="shared" si="91"/>
        <v/>
      </c>
      <c r="AI203" s="39" t="str">
        <f t="shared" si="92"/>
        <v/>
      </c>
      <c r="AJ203" s="39" t="str">
        <f t="shared" si="93"/>
        <v/>
      </c>
      <c r="AK203" t="str">
        <f t="shared" si="94"/>
        <v/>
      </c>
      <c r="AL203" t="str">
        <f t="shared" si="95"/>
        <v/>
      </c>
    </row>
    <row r="204" spans="11:38" ht="15">
      <c r="K204" t="str">
        <f t="shared" si="72"/>
        <v/>
      </c>
      <c r="L204" t="str">
        <f t="shared" si="73"/>
        <v/>
      </c>
      <c r="M204" s="36" t="str">
        <f t="shared" si="74"/>
        <v/>
      </c>
      <c r="N204" s="37" t="str">
        <f t="shared" si="75"/>
        <v/>
      </c>
      <c r="O204" s="37" t="str">
        <f t="shared" si="76"/>
        <v/>
      </c>
      <c r="P204" s="38" t="str">
        <f t="shared" si="77"/>
        <v/>
      </c>
      <c r="Q204" s="39" t="str">
        <f t="shared" si="78"/>
        <v/>
      </c>
      <c r="R204" s="39" t="str">
        <f t="shared" si="79"/>
        <v/>
      </c>
      <c r="S204" t="str">
        <f t="shared" si="80"/>
        <v/>
      </c>
      <c r="T204" s="39" t="str">
        <f t="shared" si="81"/>
        <v/>
      </c>
      <c r="U204" t="str">
        <f t="shared" si="82"/>
        <v/>
      </c>
      <c r="V204" t="str">
        <f t="shared" si="83"/>
        <v/>
      </c>
      <c r="W204" t="str">
        <f t="shared" si="84"/>
        <v/>
      </c>
      <c r="X204" s="38" t="str">
        <f t="shared" si="85"/>
        <v/>
      </c>
      <c r="Y204" s="38" t="str">
        <f t="shared" si="86"/>
        <v/>
      </c>
      <c r="Z204" s="39" t="str">
        <f t="shared" si="87"/>
        <v/>
      </c>
      <c r="AA204" s="39" t="str">
        <f t="shared" si="88"/>
        <v/>
      </c>
      <c r="AB204" s="40" t="str">
        <f t="shared" si="89"/>
        <v/>
      </c>
      <c r="AC204" t="str">
        <f>IF(L204="","",IF(AND($AO$2=1,ISNA(MATCH(L204,'02-شباط'!$L$2:$L$501,0))),"محذوف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90"/>
        <v/>
      </c>
      <c r="AH204" s="39" t="str">
        <f t="shared" si="91"/>
        <v/>
      </c>
      <c r="AI204" s="39" t="str">
        <f t="shared" si="92"/>
        <v/>
      </c>
      <c r="AJ204" s="39" t="str">
        <f t="shared" si="93"/>
        <v/>
      </c>
      <c r="AK204" t="str">
        <f t="shared" si="94"/>
        <v/>
      </c>
      <c r="AL204" t="str">
        <f t="shared" si="95"/>
        <v/>
      </c>
    </row>
    <row r="205" spans="11:38" ht="15">
      <c r="K205" t="str">
        <f t="shared" si="72"/>
        <v/>
      </c>
      <c r="L205" t="str">
        <f t="shared" si="73"/>
        <v/>
      </c>
      <c r="M205" s="36" t="str">
        <f t="shared" si="74"/>
        <v/>
      </c>
      <c r="N205" s="37" t="str">
        <f t="shared" si="75"/>
        <v/>
      </c>
      <c r="O205" s="37" t="str">
        <f t="shared" si="76"/>
        <v/>
      </c>
      <c r="P205" s="38" t="str">
        <f t="shared" si="77"/>
        <v/>
      </c>
      <c r="Q205" s="39" t="str">
        <f t="shared" si="78"/>
        <v/>
      </c>
      <c r="R205" s="39" t="str">
        <f t="shared" si="79"/>
        <v/>
      </c>
      <c r="S205" t="str">
        <f t="shared" si="80"/>
        <v/>
      </c>
      <c r="T205" s="39" t="str">
        <f t="shared" si="81"/>
        <v/>
      </c>
      <c r="U205" t="str">
        <f t="shared" si="82"/>
        <v/>
      </c>
      <c r="V205" t="str">
        <f t="shared" si="83"/>
        <v/>
      </c>
      <c r="W205" t="str">
        <f t="shared" si="84"/>
        <v/>
      </c>
      <c r="X205" s="38" t="str">
        <f t="shared" si="85"/>
        <v/>
      </c>
      <c r="Y205" s="38" t="str">
        <f t="shared" si="86"/>
        <v/>
      </c>
      <c r="Z205" s="39" t="str">
        <f t="shared" si="87"/>
        <v/>
      </c>
      <c r="AA205" s="39" t="str">
        <f t="shared" si="88"/>
        <v/>
      </c>
      <c r="AB205" s="40" t="str">
        <f t="shared" si="89"/>
        <v/>
      </c>
      <c r="AC205" t="str">
        <f>IF(L205="","",IF(AND($AO$2=1,ISNA(MATCH(L205,'02-شباط'!$L$2:$L$501,0))),"محذوف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90"/>
        <v/>
      </c>
      <c r="AH205" s="39" t="str">
        <f t="shared" si="91"/>
        <v/>
      </c>
      <c r="AI205" s="39" t="str">
        <f t="shared" si="92"/>
        <v/>
      </c>
      <c r="AJ205" s="39" t="str">
        <f t="shared" si="93"/>
        <v/>
      </c>
      <c r="AK205" t="str">
        <f t="shared" si="94"/>
        <v/>
      </c>
      <c r="AL205" t="str">
        <f t="shared" si="95"/>
        <v/>
      </c>
    </row>
    <row r="206" spans="11:38" ht="15">
      <c r="K206" t="str">
        <f t="shared" si="72"/>
        <v/>
      </c>
      <c r="L206" t="str">
        <f t="shared" si="73"/>
        <v/>
      </c>
      <c r="M206" s="36" t="str">
        <f t="shared" si="74"/>
        <v/>
      </c>
      <c r="N206" s="37" t="str">
        <f t="shared" si="75"/>
        <v/>
      </c>
      <c r="O206" s="37" t="str">
        <f t="shared" si="76"/>
        <v/>
      </c>
      <c r="P206" s="38" t="str">
        <f t="shared" si="77"/>
        <v/>
      </c>
      <c r="Q206" s="39" t="str">
        <f t="shared" si="78"/>
        <v/>
      </c>
      <c r="R206" s="39" t="str">
        <f t="shared" si="79"/>
        <v/>
      </c>
      <c r="S206" t="str">
        <f t="shared" si="80"/>
        <v/>
      </c>
      <c r="T206" s="39" t="str">
        <f t="shared" si="81"/>
        <v/>
      </c>
      <c r="U206" t="str">
        <f t="shared" si="82"/>
        <v/>
      </c>
      <c r="V206" t="str">
        <f t="shared" si="83"/>
        <v/>
      </c>
      <c r="W206" t="str">
        <f t="shared" si="84"/>
        <v/>
      </c>
      <c r="X206" s="38" t="str">
        <f t="shared" si="85"/>
        <v/>
      </c>
      <c r="Y206" s="38" t="str">
        <f t="shared" si="86"/>
        <v/>
      </c>
      <c r="Z206" s="39" t="str">
        <f t="shared" si="87"/>
        <v/>
      </c>
      <c r="AA206" s="39" t="str">
        <f t="shared" si="88"/>
        <v/>
      </c>
      <c r="AB206" s="40" t="str">
        <f t="shared" si="89"/>
        <v/>
      </c>
      <c r="AC206" t="str">
        <f>IF(L206="","",IF(AND($AO$2=1,ISNA(MATCH(L206,'02-شباط'!$L$2:$L$501,0))),"محذوف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90"/>
        <v/>
      </c>
      <c r="AH206" s="39" t="str">
        <f t="shared" si="91"/>
        <v/>
      </c>
      <c r="AI206" s="39" t="str">
        <f t="shared" si="92"/>
        <v/>
      </c>
      <c r="AJ206" s="39" t="str">
        <f t="shared" si="93"/>
        <v/>
      </c>
      <c r="AK206" t="str">
        <f t="shared" si="94"/>
        <v/>
      </c>
      <c r="AL206" t="str">
        <f t="shared" si="95"/>
        <v/>
      </c>
    </row>
    <row r="207" spans="11:38" ht="15">
      <c r="K207" t="str">
        <f t="shared" si="72"/>
        <v/>
      </c>
      <c r="L207" t="str">
        <f t="shared" si="73"/>
        <v/>
      </c>
      <c r="M207" s="36" t="str">
        <f t="shared" si="74"/>
        <v/>
      </c>
      <c r="N207" s="37" t="str">
        <f t="shared" si="75"/>
        <v/>
      </c>
      <c r="O207" s="37" t="str">
        <f t="shared" si="76"/>
        <v/>
      </c>
      <c r="P207" s="38" t="str">
        <f t="shared" si="77"/>
        <v/>
      </c>
      <c r="Q207" s="39" t="str">
        <f t="shared" si="78"/>
        <v/>
      </c>
      <c r="R207" s="39" t="str">
        <f t="shared" si="79"/>
        <v/>
      </c>
      <c r="S207" t="str">
        <f t="shared" si="80"/>
        <v/>
      </c>
      <c r="T207" s="39" t="str">
        <f t="shared" si="81"/>
        <v/>
      </c>
      <c r="U207" t="str">
        <f t="shared" si="82"/>
        <v/>
      </c>
      <c r="V207" t="str">
        <f t="shared" si="83"/>
        <v/>
      </c>
      <c r="W207" t="str">
        <f t="shared" si="84"/>
        <v/>
      </c>
      <c r="X207" s="38" t="str">
        <f t="shared" si="85"/>
        <v/>
      </c>
      <c r="Y207" s="38" t="str">
        <f t="shared" si="86"/>
        <v/>
      </c>
      <c r="Z207" s="39" t="str">
        <f t="shared" si="87"/>
        <v/>
      </c>
      <c r="AA207" s="39" t="str">
        <f t="shared" si="88"/>
        <v/>
      </c>
      <c r="AB207" s="40" t="str">
        <f t="shared" si="89"/>
        <v/>
      </c>
      <c r="AC207" t="str">
        <f>IF(L207="","",IF(AND($AO$2=1,ISNA(MATCH(L207,'02-شباط'!$L$2:$L$501,0))),"محذوف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90"/>
        <v/>
      </c>
      <c r="AH207" s="39" t="str">
        <f t="shared" si="91"/>
        <v/>
      </c>
      <c r="AI207" s="39" t="str">
        <f t="shared" si="92"/>
        <v/>
      </c>
      <c r="AJ207" s="39" t="str">
        <f t="shared" si="93"/>
        <v/>
      </c>
      <c r="AK207" t="str">
        <f t="shared" si="94"/>
        <v/>
      </c>
      <c r="AL207" t="str">
        <f t="shared" si="95"/>
        <v/>
      </c>
    </row>
    <row r="208" spans="11:38" ht="15">
      <c r="K208" t="str">
        <f t="shared" si="72"/>
        <v/>
      </c>
      <c r="L208" t="str">
        <f t="shared" si="73"/>
        <v/>
      </c>
      <c r="M208" s="36" t="str">
        <f t="shared" si="74"/>
        <v/>
      </c>
      <c r="N208" s="37" t="str">
        <f t="shared" si="75"/>
        <v/>
      </c>
      <c r="O208" s="37" t="str">
        <f t="shared" si="76"/>
        <v/>
      </c>
      <c r="P208" s="38" t="str">
        <f t="shared" si="77"/>
        <v/>
      </c>
      <c r="Q208" s="39" t="str">
        <f t="shared" si="78"/>
        <v/>
      </c>
      <c r="R208" s="39" t="str">
        <f t="shared" si="79"/>
        <v/>
      </c>
      <c r="S208" t="str">
        <f t="shared" si="80"/>
        <v/>
      </c>
      <c r="T208" s="39" t="str">
        <f t="shared" si="81"/>
        <v/>
      </c>
      <c r="U208" t="str">
        <f t="shared" si="82"/>
        <v/>
      </c>
      <c r="V208" t="str">
        <f t="shared" si="83"/>
        <v/>
      </c>
      <c r="W208" t="str">
        <f t="shared" si="84"/>
        <v/>
      </c>
      <c r="X208" s="38" t="str">
        <f t="shared" si="85"/>
        <v/>
      </c>
      <c r="Y208" s="38" t="str">
        <f t="shared" si="86"/>
        <v/>
      </c>
      <c r="Z208" s="39" t="str">
        <f t="shared" si="87"/>
        <v/>
      </c>
      <c r="AA208" s="39" t="str">
        <f t="shared" si="88"/>
        <v/>
      </c>
      <c r="AB208" s="40" t="str">
        <f t="shared" si="89"/>
        <v/>
      </c>
      <c r="AC208" t="str">
        <f>IF(L208="","",IF(AND($AO$2=1,ISNA(MATCH(L208,'02-شباط'!$L$2:$L$501,0))),"محذوف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90"/>
        <v/>
      </c>
      <c r="AH208" s="39" t="str">
        <f t="shared" si="91"/>
        <v/>
      </c>
      <c r="AI208" s="39" t="str">
        <f t="shared" si="92"/>
        <v/>
      </c>
      <c r="AJ208" s="39" t="str">
        <f t="shared" si="93"/>
        <v/>
      </c>
      <c r="AK208" t="str">
        <f t="shared" si="94"/>
        <v/>
      </c>
      <c r="AL208" t="str">
        <f t="shared" si="95"/>
        <v/>
      </c>
    </row>
    <row r="209" spans="11:38" ht="15">
      <c r="K209" t="str">
        <f t="shared" si="72"/>
        <v/>
      </c>
      <c r="L209" t="str">
        <f t="shared" si="73"/>
        <v/>
      </c>
      <c r="M209" s="36" t="str">
        <f t="shared" si="74"/>
        <v/>
      </c>
      <c r="N209" s="37" t="str">
        <f t="shared" si="75"/>
        <v/>
      </c>
      <c r="O209" s="37" t="str">
        <f t="shared" si="76"/>
        <v/>
      </c>
      <c r="P209" s="38" t="str">
        <f t="shared" si="77"/>
        <v/>
      </c>
      <c r="Q209" s="39" t="str">
        <f t="shared" si="78"/>
        <v/>
      </c>
      <c r="R209" s="39" t="str">
        <f t="shared" si="79"/>
        <v/>
      </c>
      <c r="S209" t="str">
        <f t="shared" si="80"/>
        <v/>
      </c>
      <c r="T209" s="39" t="str">
        <f t="shared" si="81"/>
        <v/>
      </c>
      <c r="U209" t="str">
        <f t="shared" si="82"/>
        <v/>
      </c>
      <c r="V209" t="str">
        <f t="shared" si="83"/>
        <v/>
      </c>
      <c r="W209" t="str">
        <f t="shared" si="84"/>
        <v/>
      </c>
      <c r="X209" s="38" t="str">
        <f t="shared" si="85"/>
        <v/>
      </c>
      <c r="Y209" s="38" t="str">
        <f t="shared" si="86"/>
        <v/>
      </c>
      <c r="Z209" s="39" t="str">
        <f t="shared" si="87"/>
        <v/>
      </c>
      <c r="AA209" s="39" t="str">
        <f t="shared" si="88"/>
        <v/>
      </c>
      <c r="AB209" s="40" t="str">
        <f t="shared" si="89"/>
        <v/>
      </c>
      <c r="AC209" t="str">
        <f>IF(L209="","",IF(AND($AO$2=1,ISNA(MATCH(L209,'02-شباط'!$L$2:$L$501,0))),"محذوف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90"/>
        <v/>
      </c>
      <c r="AH209" s="39" t="str">
        <f t="shared" si="91"/>
        <v/>
      </c>
      <c r="AI209" s="39" t="str">
        <f t="shared" si="92"/>
        <v/>
      </c>
      <c r="AJ209" s="39" t="str">
        <f t="shared" si="93"/>
        <v/>
      </c>
      <c r="AK209" t="str">
        <f t="shared" si="94"/>
        <v/>
      </c>
      <c r="AL209" t="str">
        <f t="shared" si="95"/>
        <v/>
      </c>
    </row>
    <row r="210" spans="11:38" ht="15">
      <c r="K210" t="str">
        <f t="shared" si="72"/>
        <v/>
      </c>
      <c r="L210" t="str">
        <f t="shared" si="73"/>
        <v/>
      </c>
      <c r="M210" s="36" t="str">
        <f t="shared" si="74"/>
        <v/>
      </c>
      <c r="N210" s="37" t="str">
        <f t="shared" si="75"/>
        <v/>
      </c>
      <c r="O210" s="37" t="str">
        <f t="shared" si="76"/>
        <v/>
      </c>
      <c r="P210" s="38" t="str">
        <f t="shared" si="77"/>
        <v/>
      </c>
      <c r="Q210" s="39" t="str">
        <f t="shared" si="78"/>
        <v/>
      </c>
      <c r="R210" s="39" t="str">
        <f t="shared" si="79"/>
        <v/>
      </c>
      <c r="S210" t="str">
        <f t="shared" si="80"/>
        <v/>
      </c>
      <c r="T210" s="39" t="str">
        <f t="shared" si="81"/>
        <v/>
      </c>
      <c r="U210" t="str">
        <f t="shared" si="82"/>
        <v/>
      </c>
      <c r="V210" t="str">
        <f t="shared" si="83"/>
        <v/>
      </c>
      <c r="W210" t="str">
        <f t="shared" si="84"/>
        <v/>
      </c>
      <c r="X210" s="38" t="str">
        <f t="shared" si="85"/>
        <v/>
      </c>
      <c r="Y210" s="38" t="str">
        <f t="shared" si="86"/>
        <v/>
      </c>
      <c r="Z210" s="39" t="str">
        <f t="shared" si="87"/>
        <v/>
      </c>
      <c r="AA210" s="39" t="str">
        <f t="shared" si="88"/>
        <v/>
      </c>
      <c r="AB210" s="40" t="str">
        <f t="shared" si="89"/>
        <v/>
      </c>
      <c r="AC210" t="str">
        <f>IF(L210="","",IF(AND($AO$2=1,ISNA(MATCH(L210,'02-شباط'!$L$2:$L$501,0))),"محذوف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90"/>
        <v/>
      </c>
      <c r="AH210" s="39" t="str">
        <f t="shared" si="91"/>
        <v/>
      </c>
      <c r="AI210" s="39" t="str">
        <f t="shared" si="92"/>
        <v/>
      </c>
      <c r="AJ210" s="39" t="str">
        <f t="shared" si="93"/>
        <v/>
      </c>
      <c r="AK210" t="str">
        <f t="shared" si="94"/>
        <v/>
      </c>
      <c r="AL210" t="str">
        <f t="shared" si="95"/>
        <v/>
      </c>
    </row>
    <row r="211" spans="11:38" ht="15">
      <c r="K211" t="str">
        <f t="shared" si="72"/>
        <v/>
      </c>
      <c r="L211" t="str">
        <f t="shared" si="73"/>
        <v/>
      </c>
      <c r="M211" s="36" t="str">
        <f t="shared" si="74"/>
        <v/>
      </c>
      <c r="N211" s="37" t="str">
        <f t="shared" si="75"/>
        <v/>
      </c>
      <c r="O211" s="37" t="str">
        <f t="shared" si="76"/>
        <v/>
      </c>
      <c r="P211" s="38" t="str">
        <f t="shared" si="77"/>
        <v/>
      </c>
      <c r="Q211" s="39" t="str">
        <f t="shared" si="78"/>
        <v/>
      </c>
      <c r="R211" s="39" t="str">
        <f t="shared" si="79"/>
        <v/>
      </c>
      <c r="S211" t="str">
        <f t="shared" si="80"/>
        <v/>
      </c>
      <c r="T211" s="39" t="str">
        <f t="shared" si="81"/>
        <v/>
      </c>
      <c r="U211" t="str">
        <f t="shared" si="82"/>
        <v/>
      </c>
      <c r="V211" t="str">
        <f t="shared" si="83"/>
        <v/>
      </c>
      <c r="W211" t="str">
        <f t="shared" si="84"/>
        <v/>
      </c>
      <c r="X211" s="38" t="str">
        <f t="shared" si="85"/>
        <v/>
      </c>
      <c r="Y211" s="38" t="str">
        <f t="shared" si="86"/>
        <v/>
      </c>
      <c r="Z211" s="39" t="str">
        <f t="shared" si="87"/>
        <v/>
      </c>
      <c r="AA211" s="39" t="str">
        <f t="shared" si="88"/>
        <v/>
      </c>
      <c r="AB211" s="40" t="str">
        <f t="shared" si="89"/>
        <v/>
      </c>
      <c r="AC211" t="str">
        <f>IF(L211="","",IF(AND($AO$2=1,ISNA(MATCH(L211,'02-شباط'!$L$2:$L$501,0))),"محذوف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90"/>
        <v/>
      </c>
      <c r="AH211" s="39" t="str">
        <f t="shared" si="91"/>
        <v/>
      </c>
      <c r="AI211" s="39" t="str">
        <f t="shared" si="92"/>
        <v/>
      </c>
      <c r="AJ211" s="39" t="str">
        <f t="shared" si="93"/>
        <v/>
      </c>
      <c r="AK211" t="str">
        <f t="shared" si="94"/>
        <v/>
      </c>
      <c r="AL211" t="str">
        <f t="shared" si="95"/>
        <v/>
      </c>
    </row>
    <row r="212" spans="11:38" ht="15">
      <c r="K212" t="str">
        <f t="shared" si="72"/>
        <v/>
      </c>
      <c r="L212" t="str">
        <f t="shared" si="73"/>
        <v/>
      </c>
      <c r="M212" s="36" t="str">
        <f t="shared" si="74"/>
        <v/>
      </c>
      <c r="N212" s="37" t="str">
        <f t="shared" si="75"/>
        <v/>
      </c>
      <c r="O212" s="37" t="str">
        <f t="shared" si="76"/>
        <v/>
      </c>
      <c r="P212" s="38" t="str">
        <f t="shared" si="77"/>
        <v/>
      </c>
      <c r="Q212" s="39" t="str">
        <f t="shared" si="78"/>
        <v/>
      </c>
      <c r="R212" s="39" t="str">
        <f t="shared" si="79"/>
        <v/>
      </c>
      <c r="S212" t="str">
        <f t="shared" si="80"/>
        <v/>
      </c>
      <c r="T212" s="39" t="str">
        <f t="shared" si="81"/>
        <v/>
      </c>
      <c r="U212" t="str">
        <f t="shared" si="82"/>
        <v/>
      </c>
      <c r="V212" t="str">
        <f t="shared" si="83"/>
        <v/>
      </c>
      <c r="W212" t="str">
        <f t="shared" si="84"/>
        <v/>
      </c>
      <c r="X212" s="38" t="str">
        <f t="shared" si="85"/>
        <v/>
      </c>
      <c r="Y212" s="38" t="str">
        <f t="shared" si="86"/>
        <v/>
      </c>
      <c r="Z212" s="39" t="str">
        <f t="shared" si="87"/>
        <v/>
      </c>
      <c r="AA212" s="39" t="str">
        <f t="shared" si="88"/>
        <v/>
      </c>
      <c r="AB212" s="40" t="str">
        <f t="shared" si="89"/>
        <v/>
      </c>
      <c r="AC212" t="str">
        <f>IF(L212="","",IF(AND($AO$2=1,ISNA(MATCH(L212,'02-شباط'!$L$2:$L$501,0))),"محذوف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90"/>
        <v/>
      </c>
      <c r="AH212" s="39" t="str">
        <f t="shared" si="91"/>
        <v/>
      </c>
      <c r="AI212" s="39" t="str">
        <f t="shared" si="92"/>
        <v/>
      </c>
      <c r="AJ212" s="39" t="str">
        <f t="shared" si="93"/>
        <v/>
      </c>
      <c r="AK212" t="str">
        <f t="shared" si="94"/>
        <v/>
      </c>
      <c r="AL212" t="str">
        <f t="shared" si="95"/>
        <v/>
      </c>
    </row>
    <row r="213" spans="11:38" ht="15">
      <c r="K213" t="str">
        <f t="shared" si="72"/>
        <v/>
      </c>
      <c r="L213" t="str">
        <f t="shared" si="73"/>
        <v/>
      </c>
      <c r="M213" s="36" t="str">
        <f t="shared" si="74"/>
        <v/>
      </c>
      <c r="N213" s="37" t="str">
        <f t="shared" si="75"/>
        <v/>
      </c>
      <c r="O213" s="37" t="str">
        <f t="shared" si="76"/>
        <v/>
      </c>
      <c r="P213" s="38" t="str">
        <f t="shared" si="77"/>
        <v/>
      </c>
      <c r="Q213" s="39" t="str">
        <f t="shared" si="78"/>
        <v/>
      </c>
      <c r="R213" s="39" t="str">
        <f t="shared" si="79"/>
        <v/>
      </c>
      <c r="S213" t="str">
        <f t="shared" si="80"/>
        <v/>
      </c>
      <c r="T213" s="39" t="str">
        <f t="shared" si="81"/>
        <v/>
      </c>
      <c r="U213" t="str">
        <f t="shared" si="82"/>
        <v/>
      </c>
      <c r="V213" t="str">
        <f t="shared" si="83"/>
        <v/>
      </c>
      <c r="W213" t="str">
        <f t="shared" si="84"/>
        <v/>
      </c>
      <c r="X213" s="38" t="str">
        <f t="shared" si="85"/>
        <v/>
      </c>
      <c r="Y213" s="38" t="str">
        <f t="shared" si="86"/>
        <v/>
      </c>
      <c r="Z213" s="39" t="str">
        <f t="shared" si="87"/>
        <v/>
      </c>
      <c r="AA213" s="39" t="str">
        <f t="shared" si="88"/>
        <v/>
      </c>
      <c r="AB213" s="40" t="str">
        <f t="shared" si="89"/>
        <v/>
      </c>
      <c r="AC213" t="str">
        <f>IF(L213="","",IF(AND($AO$2=1,ISNA(MATCH(L213,'02-شباط'!$L$2:$L$501,0))),"محذوف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90"/>
        <v/>
      </c>
      <c r="AH213" s="39" t="str">
        <f t="shared" si="91"/>
        <v/>
      </c>
      <c r="AI213" s="39" t="str">
        <f t="shared" si="92"/>
        <v/>
      </c>
      <c r="AJ213" s="39" t="str">
        <f t="shared" si="93"/>
        <v/>
      </c>
      <c r="AK213" t="str">
        <f t="shared" si="94"/>
        <v/>
      </c>
      <c r="AL213" t="str">
        <f t="shared" si="95"/>
        <v/>
      </c>
    </row>
    <row r="214" spans="11:38" ht="15">
      <c r="K214" t="str">
        <f t="shared" si="72"/>
        <v/>
      </c>
      <c r="L214" t="str">
        <f t="shared" si="73"/>
        <v/>
      </c>
      <c r="M214" s="36" t="str">
        <f t="shared" si="74"/>
        <v/>
      </c>
      <c r="N214" s="37" t="str">
        <f t="shared" si="75"/>
        <v/>
      </c>
      <c r="O214" s="37" t="str">
        <f t="shared" si="76"/>
        <v/>
      </c>
      <c r="P214" s="38" t="str">
        <f t="shared" si="77"/>
        <v/>
      </c>
      <c r="Q214" s="39" t="str">
        <f t="shared" si="78"/>
        <v/>
      </c>
      <c r="R214" s="39" t="str">
        <f t="shared" si="79"/>
        <v/>
      </c>
      <c r="S214" t="str">
        <f t="shared" si="80"/>
        <v/>
      </c>
      <c r="T214" s="39" t="str">
        <f t="shared" si="81"/>
        <v/>
      </c>
      <c r="U214" t="str">
        <f t="shared" si="82"/>
        <v/>
      </c>
      <c r="V214" t="str">
        <f t="shared" si="83"/>
        <v/>
      </c>
      <c r="W214" t="str">
        <f t="shared" si="84"/>
        <v/>
      </c>
      <c r="X214" s="38" t="str">
        <f t="shared" si="85"/>
        <v/>
      </c>
      <c r="Y214" s="38" t="str">
        <f t="shared" si="86"/>
        <v/>
      </c>
      <c r="Z214" s="39" t="str">
        <f t="shared" si="87"/>
        <v/>
      </c>
      <c r="AA214" s="39" t="str">
        <f t="shared" si="88"/>
        <v/>
      </c>
      <c r="AB214" s="40" t="str">
        <f t="shared" si="89"/>
        <v/>
      </c>
      <c r="AC214" t="str">
        <f>IF(L214="","",IF(AND($AO$2=1,ISNA(MATCH(L214,'02-شباط'!$L$2:$L$501,0))),"محذوف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90"/>
        <v/>
      </c>
      <c r="AH214" s="39" t="str">
        <f t="shared" si="91"/>
        <v/>
      </c>
      <c r="AI214" s="39" t="str">
        <f t="shared" si="92"/>
        <v/>
      </c>
      <c r="AJ214" s="39" t="str">
        <f t="shared" si="93"/>
        <v/>
      </c>
      <c r="AK214" t="str">
        <f t="shared" si="94"/>
        <v/>
      </c>
      <c r="AL214" t="str">
        <f t="shared" si="95"/>
        <v/>
      </c>
    </row>
    <row r="215" spans="11:38" ht="15">
      <c r="K215" t="str">
        <f t="shared" si="72"/>
        <v/>
      </c>
      <c r="L215" t="str">
        <f t="shared" si="73"/>
        <v/>
      </c>
      <c r="M215" s="36" t="str">
        <f t="shared" si="74"/>
        <v/>
      </c>
      <c r="N215" s="37" t="str">
        <f t="shared" si="75"/>
        <v/>
      </c>
      <c r="O215" s="37" t="str">
        <f t="shared" si="76"/>
        <v/>
      </c>
      <c r="P215" s="38" t="str">
        <f t="shared" si="77"/>
        <v/>
      </c>
      <c r="Q215" s="39" t="str">
        <f t="shared" si="78"/>
        <v/>
      </c>
      <c r="R215" s="39" t="str">
        <f t="shared" si="79"/>
        <v/>
      </c>
      <c r="S215" t="str">
        <f t="shared" si="80"/>
        <v/>
      </c>
      <c r="T215" s="39" t="str">
        <f t="shared" si="81"/>
        <v/>
      </c>
      <c r="U215" t="str">
        <f t="shared" si="82"/>
        <v/>
      </c>
      <c r="V215" t="str">
        <f t="shared" si="83"/>
        <v/>
      </c>
      <c r="W215" t="str">
        <f t="shared" si="84"/>
        <v/>
      </c>
      <c r="X215" s="38" t="str">
        <f t="shared" si="85"/>
        <v/>
      </c>
      <c r="Y215" s="38" t="str">
        <f t="shared" si="86"/>
        <v/>
      </c>
      <c r="Z215" s="39" t="str">
        <f t="shared" si="87"/>
        <v/>
      </c>
      <c r="AA215" s="39" t="str">
        <f t="shared" si="88"/>
        <v/>
      </c>
      <c r="AB215" s="40" t="str">
        <f t="shared" si="89"/>
        <v/>
      </c>
      <c r="AC215" t="str">
        <f>IF(L215="","",IF(AND($AO$2=1,ISNA(MATCH(L215,'02-شباط'!$L$2:$L$501,0))),"محذوف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90"/>
        <v/>
      </c>
      <c r="AH215" s="39" t="str">
        <f t="shared" si="91"/>
        <v/>
      </c>
      <c r="AI215" s="39" t="str">
        <f t="shared" si="92"/>
        <v/>
      </c>
      <c r="AJ215" s="39" t="str">
        <f t="shared" si="93"/>
        <v/>
      </c>
      <c r="AK215" t="str">
        <f t="shared" si="94"/>
        <v/>
      </c>
      <c r="AL215" t="str">
        <f t="shared" si="95"/>
        <v/>
      </c>
    </row>
    <row r="216" spans="11:38" ht="15">
      <c r="K216" t="str">
        <f t="shared" si="72"/>
        <v/>
      </c>
      <c r="L216" t="str">
        <f t="shared" si="73"/>
        <v/>
      </c>
      <c r="M216" s="36" t="str">
        <f t="shared" si="74"/>
        <v/>
      </c>
      <c r="N216" s="37" t="str">
        <f t="shared" si="75"/>
        <v/>
      </c>
      <c r="O216" s="37" t="str">
        <f t="shared" si="76"/>
        <v/>
      </c>
      <c r="P216" s="38" t="str">
        <f t="shared" si="77"/>
        <v/>
      </c>
      <c r="Q216" s="39" t="str">
        <f t="shared" si="78"/>
        <v/>
      </c>
      <c r="R216" s="39" t="str">
        <f t="shared" si="79"/>
        <v/>
      </c>
      <c r="S216" t="str">
        <f t="shared" si="80"/>
        <v/>
      </c>
      <c r="T216" s="39" t="str">
        <f t="shared" si="81"/>
        <v/>
      </c>
      <c r="U216" t="str">
        <f t="shared" si="82"/>
        <v/>
      </c>
      <c r="V216" t="str">
        <f t="shared" si="83"/>
        <v/>
      </c>
      <c r="W216" t="str">
        <f t="shared" si="84"/>
        <v/>
      </c>
      <c r="X216" s="38" t="str">
        <f t="shared" si="85"/>
        <v/>
      </c>
      <c r="Y216" s="38" t="str">
        <f t="shared" si="86"/>
        <v/>
      </c>
      <c r="Z216" s="39" t="str">
        <f t="shared" si="87"/>
        <v/>
      </c>
      <c r="AA216" s="39" t="str">
        <f t="shared" si="88"/>
        <v/>
      </c>
      <c r="AB216" s="40" t="str">
        <f t="shared" si="89"/>
        <v/>
      </c>
      <c r="AC216" t="str">
        <f>IF(L216="","",IF(AND($AO$2=1,ISNA(MATCH(L216,'02-شباط'!$L$2:$L$501,0))),"محذوف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90"/>
        <v/>
      </c>
      <c r="AH216" s="39" t="str">
        <f t="shared" si="91"/>
        <v/>
      </c>
      <c r="AI216" s="39" t="str">
        <f t="shared" si="92"/>
        <v/>
      </c>
      <c r="AJ216" s="39" t="str">
        <f t="shared" si="93"/>
        <v/>
      </c>
      <c r="AK216" t="str">
        <f t="shared" si="94"/>
        <v/>
      </c>
      <c r="AL216" t="str">
        <f t="shared" si="95"/>
        <v/>
      </c>
    </row>
    <row r="217" spans="11:38" ht="15">
      <c r="K217" t="str">
        <f t="shared" si="72"/>
        <v/>
      </c>
      <c r="L217" t="str">
        <f t="shared" si="73"/>
        <v/>
      </c>
      <c r="M217" s="36" t="str">
        <f t="shared" si="74"/>
        <v/>
      </c>
      <c r="N217" s="37" t="str">
        <f t="shared" si="75"/>
        <v/>
      </c>
      <c r="O217" s="37" t="str">
        <f t="shared" si="76"/>
        <v/>
      </c>
      <c r="P217" s="38" t="str">
        <f t="shared" si="77"/>
        <v/>
      </c>
      <c r="Q217" s="39" t="str">
        <f t="shared" si="78"/>
        <v/>
      </c>
      <c r="R217" s="39" t="str">
        <f t="shared" si="79"/>
        <v/>
      </c>
      <c r="S217" t="str">
        <f t="shared" si="80"/>
        <v/>
      </c>
      <c r="T217" s="39" t="str">
        <f t="shared" si="81"/>
        <v/>
      </c>
      <c r="U217" t="str">
        <f t="shared" si="82"/>
        <v/>
      </c>
      <c r="V217" t="str">
        <f t="shared" si="83"/>
        <v/>
      </c>
      <c r="W217" t="str">
        <f t="shared" si="84"/>
        <v/>
      </c>
      <c r="X217" s="38" t="str">
        <f t="shared" si="85"/>
        <v/>
      </c>
      <c r="Y217" s="38" t="str">
        <f t="shared" si="86"/>
        <v/>
      </c>
      <c r="Z217" s="39" t="str">
        <f t="shared" si="87"/>
        <v/>
      </c>
      <c r="AA217" s="39" t="str">
        <f t="shared" si="88"/>
        <v/>
      </c>
      <c r="AB217" s="40" t="str">
        <f t="shared" si="89"/>
        <v/>
      </c>
      <c r="AC217" t="str">
        <f>IF(L217="","",IF(AND($AO$2=1,ISNA(MATCH(L217,'02-شباط'!$L$2:$L$501,0))),"محذوف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90"/>
        <v/>
      </c>
      <c r="AH217" s="39" t="str">
        <f t="shared" si="91"/>
        <v/>
      </c>
      <c r="AI217" s="39" t="str">
        <f t="shared" si="92"/>
        <v/>
      </c>
      <c r="AJ217" s="39" t="str">
        <f t="shared" si="93"/>
        <v/>
      </c>
      <c r="AK217" t="str">
        <f t="shared" si="94"/>
        <v/>
      </c>
      <c r="AL217" t="str">
        <f t="shared" si="95"/>
        <v/>
      </c>
    </row>
    <row r="218" spans="11:38" ht="15">
      <c r="K218" t="str">
        <f t="shared" si="72"/>
        <v/>
      </c>
      <c r="L218" t="str">
        <f t="shared" si="73"/>
        <v/>
      </c>
      <c r="M218" s="36" t="str">
        <f t="shared" si="74"/>
        <v/>
      </c>
      <c r="N218" s="37" t="str">
        <f t="shared" si="75"/>
        <v/>
      </c>
      <c r="O218" s="37" t="str">
        <f t="shared" si="76"/>
        <v/>
      </c>
      <c r="P218" s="38" t="str">
        <f t="shared" si="77"/>
        <v/>
      </c>
      <c r="Q218" s="39" t="str">
        <f t="shared" si="78"/>
        <v/>
      </c>
      <c r="R218" s="39" t="str">
        <f t="shared" si="79"/>
        <v/>
      </c>
      <c r="S218" t="str">
        <f t="shared" si="80"/>
        <v/>
      </c>
      <c r="T218" s="39" t="str">
        <f t="shared" si="81"/>
        <v/>
      </c>
      <c r="U218" t="str">
        <f t="shared" si="82"/>
        <v/>
      </c>
      <c r="V218" t="str">
        <f t="shared" si="83"/>
        <v/>
      </c>
      <c r="W218" t="str">
        <f t="shared" si="84"/>
        <v/>
      </c>
      <c r="X218" s="38" t="str">
        <f t="shared" si="85"/>
        <v/>
      </c>
      <c r="Y218" s="38" t="str">
        <f t="shared" si="86"/>
        <v/>
      </c>
      <c r="Z218" s="39" t="str">
        <f t="shared" si="87"/>
        <v/>
      </c>
      <c r="AA218" s="39" t="str">
        <f t="shared" si="88"/>
        <v/>
      </c>
      <c r="AB218" s="40" t="str">
        <f t="shared" si="89"/>
        <v/>
      </c>
      <c r="AC218" t="str">
        <f>IF(L218="","",IF(AND($AO$2=1,ISNA(MATCH(L218,'02-شباط'!$L$2:$L$501,0))),"محذوف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90"/>
        <v/>
      </c>
      <c r="AH218" s="39" t="str">
        <f t="shared" si="91"/>
        <v/>
      </c>
      <c r="AI218" s="39" t="str">
        <f t="shared" si="92"/>
        <v/>
      </c>
      <c r="AJ218" s="39" t="str">
        <f t="shared" si="93"/>
        <v/>
      </c>
      <c r="AK218" t="str">
        <f t="shared" si="94"/>
        <v/>
      </c>
      <c r="AL218" t="str">
        <f t="shared" si="95"/>
        <v/>
      </c>
    </row>
    <row r="219" spans="11:38" ht="15">
      <c r="K219" t="str">
        <f t="shared" si="72"/>
        <v/>
      </c>
      <c r="L219" t="str">
        <f t="shared" si="73"/>
        <v/>
      </c>
      <c r="M219" s="36" t="str">
        <f t="shared" si="74"/>
        <v/>
      </c>
      <c r="N219" s="37" t="str">
        <f t="shared" si="75"/>
        <v/>
      </c>
      <c r="O219" s="37" t="str">
        <f t="shared" si="76"/>
        <v/>
      </c>
      <c r="P219" s="38" t="str">
        <f t="shared" si="77"/>
        <v/>
      </c>
      <c r="Q219" s="39" t="str">
        <f t="shared" si="78"/>
        <v/>
      </c>
      <c r="R219" s="39" t="str">
        <f t="shared" si="79"/>
        <v/>
      </c>
      <c r="S219" t="str">
        <f t="shared" si="80"/>
        <v/>
      </c>
      <c r="T219" s="39" t="str">
        <f t="shared" si="81"/>
        <v/>
      </c>
      <c r="U219" t="str">
        <f t="shared" si="82"/>
        <v/>
      </c>
      <c r="V219" t="str">
        <f t="shared" si="83"/>
        <v/>
      </c>
      <c r="W219" t="str">
        <f t="shared" si="84"/>
        <v/>
      </c>
      <c r="X219" s="38" t="str">
        <f t="shared" si="85"/>
        <v/>
      </c>
      <c r="Y219" s="38" t="str">
        <f t="shared" si="86"/>
        <v/>
      </c>
      <c r="Z219" s="39" t="str">
        <f t="shared" si="87"/>
        <v/>
      </c>
      <c r="AA219" s="39" t="str">
        <f t="shared" si="88"/>
        <v/>
      </c>
      <c r="AB219" s="40" t="str">
        <f t="shared" si="89"/>
        <v/>
      </c>
      <c r="AC219" t="str">
        <f>IF(L219="","",IF(AND($AO$2=1,ISNA(MATCH(L219,'02-شباط'!$L$2:$L$501,0))),"محذوف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90"/>
        <v/>
      </c>
      <c r="AH219" s="39" t="str">
        <f t="shared" si="91"/>
        <v/>
      </c>
      <c r="AI219" s="39" t="str">
        <f t="shared" si="92"/>
        <v/>
      </c>
      <c r="AJ219" s="39" t="str">
        <f t="shared" si="93"/>
        <v/>
      </c>
      <c r="AK219" t="str">
        <f t="shared" si="94"/>
        <v/>
      </c>
      <c r="AL219" t="str">
        <f t="shared" si="95"/>
        <v/>
      </c>
    </row>
    <row r="220" spans="11:38" ht="15">
      <c r="K220" t="str">
        <f t="shared" si="72"/>
        <v/>
      </c>
      <c r="L220" t="str">
        <f t="shared" si="73"/>
        <v/>
      </c>
      <c r="M220" s="36" t="str">
        <f t="shared" si="74"/>
        <v/>
      </c>
      <c r="N220" s="37" t="str">
        <f t="shared" si="75"/>
        <v/>
      </c>
      <c r="O220" s="37" t="str">
        <f t="shared" si="76"/>
        <v/>
      </c>
      <c r="P220" s="38" t="str">
        <f t="shared" si="77"/>
        <v/>
      </c>
      <c r="Q220" s="39" t="str">
        <f t="shared" si="78"/>
        <v/>
      </c>
      <c r="R220" s="39" t="str">
        <f t="shared" si="79"/>
        <v/>
      </c>
      <c r="S220" t="str">
        <f t="shared" si="80"/>
        <v/>
      </c>
      <c r="T220" s="39" t="str">
        <f t="shared" si="81"/>
        <v/>
      </c>
      <c r="U220" t="str">
        <f t="shared" si="82"/>
        <v/>
      </c>
      <c r="V220" t="str">
        <f t="shared" si="83"/>
        <v/>
      </c>
      <c r="W220" t="str">
        <f t="shared" si="84"/>
        <v/>
      </c>
      <c r="X220" s="38" t="str">
        <f t="shared" si="85"/>
        <v/>
      </c>
      <c r="Y220" s="38" t="str">
        <f t="shared" si="86"/>
        <v/>
      </c>
      <c r="Z220" s="39" t="str">
        <f t="shared" si="87"/>
        <v/>
      </c>
      <c r="AA220" s="39" t="str">
        <f t="shared" si="88"/>
        <v/>
      </c>
      <c r="AB220" s="40" t="str">
        <f t="shared" si="89"/>
        <v/>
      </c>
      <c r="AC220" t="str">
        <f>IF(L220="","",IF(AND($AO$2=1,ISNA(MATCH(L220,'02-شباط'!$L$2:$L$501,0))),"محذوف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90"/>
        <v/>
      </c>
      <c r="AH220" s="39" t="str">
        <f t="shared" si="91"/>
        <v/>
      </c>
      <c r="AI220" s="39" t="str">
        <f t="shared" si="92"/>
        <v/>
      </c>
      <c r="AJ220" s="39" t="str">
        <f t="shared" si="93"/>
        <v/>
      </c>
      <c r="AK220" t="str">
        <f t="shared" si="94"/>
        <v/>
      </c>
      <c r="AL220" t="str">
        <f t="shared" si="95"/>
        <v/>
      </c>
    </row>
    <row r="221" spans="11:38" ht="15">
      <c r="K221" t="str">
        <f t="shared" si="72"/>
        <v/>
      </c>
      <c r="L221" t="str">
        <f t="shared" si="73"/>
        <v/>
      </c>
      <c r="M221" s="36" t="str">
        <f t="shared" si="74"/>
        <v/>
      </c>
      <c r="N221" s="37" t="str">
        <f t="shared" si="75"/>
        <v/>
      </c>
      <c r="O221" s="37" t="str">
        <f t="shared" si="76"/>
        <v/>
      </c>
      <c r="P221" s="38" t="str">
        <f t="shared" si="77"/>
        <v/>
      </c>
      <c r="Q221" s="39" t="str">
        <f t="shared" si="78"/>
        <v/>
      </c>
      <c r="R221" s="39" t="str">
        <f t="shared" si="79"/>
        <v/>
      </c>
      <c r="S221" t="str">
        <f t="shared" si="80"/>
        <v/>
      </c>
      <c r="T221" s="39" t="str">
        <f t="shared" si="81"/>
        <v/>
      </c>
      <c r="U221" t="str">
        <f t="shared" si="82"/>
        <v/>
      </c>
      <c r="V221" t="str">
        <f t="shared" si="83"/>
        <v/>
      </c>
      <c r="W221" t="str">
        <f t="shared" si="84"/>
        <v/>
      </c>
      <c r="X221" s="38" t="str">
        <f t="shared" si="85"/>
        <v/>
      </c>
      <c r="Y221" s="38" t="str">
        <f t="shared" si="86"/>
        <v/>
      </c>
      <c r="Z221" s="39" t="str">
        <f t="shared" si="87"/>
        <v/>
      </c>
      <c r="AA221" s="39" t="str">
        <f t="shared" si="88"/>
        <v/>
      </c>
      <c r="AB221" s="40" t="str">
        <f t="shared" si="89"/>
        <v/>
      </c>
      <c r="AC221" t="str">
        <f>IF(L221="","",IF(AND($AO$2=1,ISNA(MATCH(L221,'02-شباط'!$L$2:$L$501,0))),"محذوف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90"/>
        <v/>
      </c>
      <c r="AH221" s="39" t="str">
        <f t="shared" si="91"/>
        <v/>
      </c>
      <c r="AI221" s="39" t="str">
        <f t="shared" si="92"/>
        <v/>
      </c>
      <c r="AJ221" s="39" t="str">
        <f t="shared" si="93"/>
        <v/>
      </c>
      <c r="AK221" t="str">
        <f t="shared" si="94"/>
        <v/>
      </c>
      <c r="AL221" t="str">
        <f t="shared" si="95"/>
        <v/>
      </c>
    </row>
    <row r="222" spans="11:38" ht="15">
      <c r="K222" t="str">
        <f t="shared" si="72"/>
        <v/>
      </c>
      <c r="L222" t="str">
        <f t="shared" si="73"/>
        <v/>
      </c>
      <c r="M222" s="36" t="str">
        <f t="shared" si="74"/>
        <v/>
      </c>
      <c r="N222" s="37" t="str">
        <f t="shared" si="75"/>
        <v/>
      </c>
      <c r="O222" s="37" t="str">
        <f t="shared" si="76"/>
        <v/>
      </c>
      <c r="P222" s="38" t="str">
        <f t="shared" si="77"/>
        <v/>
      </c>
      <c r="Q222" s="39" t="str">
        <f t="shared" si="78"/>
        <v/>
      </c>
      <c r="R222" s="39" t="str">
        <f t="shared" si="79"/>
        <v/>
      </c>
      <c r="S222" t="str">
        <f t="shared" si="80"/>
        <v/>
      </c>
      <c r="T222" s="39" t="str">
        <f t="shared" si="81"/>
        <v/>
      </c>
      <c r="U222" t="str">
        <f t="shared" si="82"/>
        <v/>
      </c>
      <c r="V222" t="str">
        <f t="shared" si="83"/>
        <v/>
      </c>
      <c r="W222" t="str">
        <f t="shared" si="84"/>
        <v/>
      </c>
      <c r="X222" s="38" t="str">
        <f t="shared" si="85"/>
        <v/>
      </c>
      <c r="Y222" s="38" t="str">
        <f t="shared" si="86"/>
        <v/>
      </c>
      <c r="Z222" s="39" t="str">
        <f t="shared" si="87"/>
        <v/>
      </c>
      <c r="AA222" s="39" t="str">
        <f t="shared" si="88"/>
        <v/>
      </c>
      <c r="AB222" s="40" t="str">
        <f t="shared" si="89"/>
        <v/>
      </c>
      <c r="AC222" t="str">
        <f>IF(L222="","",IF(AND($AO$2=1,ISNA(MATCH(L222,'02-شباط'!$L$2:$L$501,0))),"محذوف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90"/>
        <v/>
      </c>
      <c r="AH222" s="39" t="str">
        <f t="shared" si="91"/>
        <v/>
      </c>
      <c r="AI222" s="39" t="str">
        <f t="shared" si="92"/>
        <v/>
      </c>
      <c r="AJ222" s="39" t="str">
        <f t="shared" si="93"/>
        <v/>
      </c>
      <c r="AK222" t="str">
        <f t="shared" si="94"/>
        <v/>
      </c>
      <c r="AL222" t="str">
        <f t="shared" si="95"/>
        <v/>
      </c>
    </row>
    <row r="223" spans="11:38" ht="15">
      <c r="K223" t="str">
        <f t="shared" si="72"/>
        <v/>
      </c>
      <c r="L223" t="str">
        <f t="shared" si="73"/>
        <v/>
      </c>
      <c r="M223" s="36" t="str">
        <f t="shared" si="74"/>
        <v/>
      </c>
      <c r="N223" s="37" t="str">
        <f t="shared" si="75"/>
        <v/>
      </c>
      <c r="O223" s="37" t="str">
        <f t="shared" si="76"/>
        <v/>
      </c>
      <c r="P223" s="38" t="str">
        <f t="shared" si="77"/>
        <v/>
      </c>
      <c r="Q223" s="39" t="str">
        <f t="shared" si="78"/>
        <v/>
      </c>
      <c r="R223" s="39" t="str">
        <f t="shared" si="79"/>
        <v/>
      </c>
      <c r="S223" t="str">
        <f t="shared" si="80"/>
        <v/>
      </c>
      <c r="T223" s="39" t="str">
        <f t="shared" si="81"/>
        <v/>
      </c>
      <c r="U223" t="str">
        <f t="shared" si="82"/>
        <v/>
      </c>
      <c r="V223" t="str">
        <f t="shared" si="83"/>
        <v/>
      </c>
      <c r="W223" t="str">
        <f t="shared" si="84"/>
        <v/>
      </c>
      <c r="X223" s="38" t="str">
        <f t="shared" si="85"/>
        <v/>
      </c>
      <c r="Y223" s="38" t="str">
        <f t="shared" si="86"/>
        <v/>
      </c>
      <c r="Z223" s="39" t="str">
        <f t="shared" si="87"/>
        <v/>
      </c>
      <c r="AA223" s="39" t="str">
        <f t="shared" si="88"/>
        <v/>
      </c>
      <c r="AB223" s="40" t="str">
        <f t="shared" si="89"/>
        <v/>
      </c>
      <c r="AC223" t="str">
        <f>IF(L223="","",IF(AND($AO$2=1,ISNA(MATCH(L223,'02-شباط'!$L$2:$L$501,0))),"محذوف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90"/>
        <v/>
      </c>
      <c r="AH223" s="39" t="str">
        <f t="shared" si="91"/>
        <v/>
      </c>
      <c r="AI223" s="39" t="str">
        <f t="shared" si="92"/>
        <v/>
      </c>
      <c r="AJ223" s="39" t="str">
        <f t="shared" si="93"/>
        <v/>
      </c>
      <c r="AK223" t="str">
        <f t="shared" si="94"/>
        <v/>
      </c>
      <c r="AL223" t="str">
        <f t="shared" si="95"/>
        <v/>
      </c>
    </row>
    <row r="224" spans="11:38" ht="15">
      <c r="K224" t="str">
        <f t="shared" si="72"/>
        <v/>
      </c>
      <c r="L224" t="str">
        <f t="shared" si="73"/>
        <v/>
      </c>
      <c r="M224" s="36" t="str">
        <f t="shared" si="74"/>
        <v/>
      </c>
      <c r="N224" s="37" t="str">
        <f t="shared" si="75"/>
        <v/>
      </c>
      <c r="O224" s="37" t="str">
        <f t="shared" si="76"/>
        <v/>
      </c>
      <c r="P224" s="38" t="str">
        <f t="shared" si="77"/>
        <v/>
      </c>
      <c r="Q224" s="39" t="str">
        <f t="shared" si="78"/>
        <v/>
      </c>
      <c r="R224" s="39" t="str">
        <f t="shared" si="79"/>
        <v/>
      </c>
      <c r="S224" t="str">
        <f t="shared" si="80"/>
        <v/>
      </c>
      <c r="T224" s="39" t="str">
        <f t="shared" si="81"/>
        <v/>
      </c>
      <c r="U224" t="str">
        <f t="shared" si="82"/>
        <v/>
      </c>
      <c r="V224" t="str">
        <f t="shared" si="83"/>
        <v/>
      </c>
      <c r="W224" t="str">
        <f t="shared" si="84"/>
        <v/>
      </c>
      <c r="X224" s="38" t="str">
        <f t="shared" si="85"/>
        <v/>
      </c>
      <c r="Y224" s="38" t="str">
        <f t="shared" si="86"/>
        <v/>
      </c>
      <c r="Z224" s="39" t="str">
        <f t="shared" si="87"/>
        <v/>
      </c>
      <c r="AA224" s="39" t="str">
        <f t="shared" si="88"/>
        <v/>
      </c>
      <c r="AB224" s="40" t="str">
        <f t="shared" si="89"/>
        <v/>
      </c>
      <c r="AC224" t="str">
        <f>IF(L224="","",IF(AND($AO$2=1,ISNA(MATCH(L224,'02-شباط'!$L$2:$L$501,0))),"محذوف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90"/>
        <v/>
      </c>
      <c r="AH224" s="39" t="str">
        <f t="shared" si="91"/>
        <v/>
      </c>
      <c r="AI224" s="39" t="str">
        <f t="shared" si="92"/>
        <v/>
      </c>
      <c r="AJ224" s="39" t="str">
        <f t="shared" si="93"/>
        <v/>
      </c>
      <c r="AK224" t="str">
        <f t="shared" si="94"/>
        <v/>
      </c>
      <c r="AL224" t="str">
        <f t="shared" si="95"/>
        <v/>
      </c>
    </row>
    <row r="225" spans="11:38" ht="15">
      <c r="K225" t="str">
        <f t="shared" si="72"/>
        <v/>
      </c>
      <c r="L225" t="str">
        <f t="shared" si="73"/>
        <v/>
      </c>
      <c r="M225" s="36" t="str">
        <f t="shared" si="74"/>
        <v/>
      </c>
      <c r="N225" s="37" t="str">
        <f t="shared" si="75"/>
        <v/>
      </c>
      <c r="O225" s="37" t="str">
        <f t="shared" si="76"/>
        <v/>
      </c>
      <c r="P225" s="38" t="str">
        <f t="shared" si="77"/>
        <v/>
      </c>
      <c r="Q225" s="39" t="str">
        <f t="shared" si="78"/>
        <v/>
      </c>
      <c r="R225" s="39" t="str">
        <f t="shared" si="79"/>
        <v/>
      </c>
      <c r="S225" t="str">
        <f t="shared" si="80"/>
        <v/>
      </c>
      <c r="T225" s="39" t="str">
        <f t="shared" si="81"/>
        <v/>
      </c>
      <c r="U225" t="str">
        <f t="shared" si="82"/>
        <v/>
      </c>
      <c r="V225" t="str">
        <f t="shared" si="83"/>
        <v/>
      </c>
      <c r="W225" t="str">
        <f t="shared" si="84"/>
        <v/>
      </c>
      <c r="X225" s="38" t="str">
        <f t="shared" si="85"/>
        <v/>
      </c>
      <c r="Y225" s="38" t="str">
        <f t="shared" si="86"/>
        <v/>
      </c>
      <c r="Z225" s="39" t="str">
        <f t="shared" si="87"/>
        <v/>
      </c>
      <c r="AA225" s="39" t="str">
        <f t="shared" si="88"/>
        <v/>
      </c>
      <c r="AB225" s="40" t="str">
        <f t="shared" si="89"/>
        <v/>
      </c>
      <c r="AC225" t="str">
        <f>IF(L225="","",IF(AND($AO$2=1,ISNA(MATCH(L225,'02-شباط'!$L$2:$L$501,0))),"محذوف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90"/>
        <v/>
      </c>
      <c r="AH225" s="39" t="str">
        <f t="shared" si="91"/>
        <v/>
      </c>
      <c r="AI225" s="39" t="str">
        <f t="shared" si="92"/>
        <v/>
      </c>
      <c r="AJ225" s="39" t="str">
        <f t="shared" si="93"/>
        <v/>
      </c>
      <c r="AK225" t="str">
        <f t="shared" si="94"/>
        <v/>
      </c>
      <c r="AL225" t="str">
        <f t="shared" si="95"/>
        <v/>
      </c>
    </row>
    <row r="226" spans="11:38" ht="15">
      <c r="K226" t="str">
        <f t="shared" si="72"/>
        <v/>
      </c>
      <c r="L226" t="str">
        <f t="shared" si="73"/>
        <v/>
      </c>
      <c r="M226" s="36" t="str">
        <f t="shared" si="74"/>
        <v/>
      </c>
      <c r="N226" s="37" t="str">
        <f t="shared" si="75"/>
        <v/>
      </c>
      <c r="O226" s="37" t="str">
        <f t="shared" si="76"/>
        <v/>
      </c>
      <c r="P226" s="38" t="str">
        <f t="shared" si="77"/>
        <v/>
      </c>
      <c r="Q226" s="39" t="str">
        <f t="shared" si="78"/>
        <v/>
      </c>
      <c r="R226" s="39" t="str">
        <f t="shared" si="79"/>
        <v/>
      </c>
      <c r="S226" t="str">
        <f t="shared" si="80"/>
        <v/>
      </c>
      <c r="T226" s="39" t="str">
        <f t="shared" si="81"/>
        <v/>
      </c>
      <c r="U226" t="str">
        <f t="shared" si="82"/>
        <v/>
      </c>
      <c r="V226" t="str">
        <f t="shared" si="83"/>
        <v/>
      </c>
      <c r="W226" t="str">
        <f t="shared" si="84"/>
        <v/>
      </c>
      <c r="X226" s="38" t="str">
        <f t="shared" si="85"/>
        <v/>
      </c>
      <c r="Y226" s="38" t="str">
        <f t="shared" si="86"/>
        <v/>
      </c>
      <c r="Z226" s="39" t="str">
        <f t="shared" si="87"/>
        <v/>
      </c>
      <c r="AA226" s="39" t="str">
        <f t="shared" si="88"/>
        <v/>
      </c>
      <c r="AB226" s="40" t="str">
        <f t="shared" si="89"/>
        <v/>
      </c>
      <c r="AC226" t="str">
        <f>IF(L226="","",IF(AND($AO$2=1,ISNA(MATCH(L226,'02-شباط'!$L$2:$L$501,0))),"محذوف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90"/>
        <v/>
      </c>
      <c r="AH226" s="39" t="str">
        <f t="shared" si="91"/>
        <v/>
      </c>
      <c r="AI226" s="39" t="str">
        <f t="shared" si="92"/>
        <v/>
      </c>
      <c r="AJ226" s="39" t="str">
        <f t="shared" si="93"/>
        <v/>
      </c>
      <c r="AK226" t="str">
        <f t="shared" si="94"/>
        <v/>
      </c>
      <c r="AL226" t="str">
        <f t="shared" si="95"/>
        <v/>
      </c>
    </row>
    <row r="227" spans="11:38" ht="15">
      <c r="K227" t="str">
        <f t="shared" si="72"/>
        <v/>
      </c>
      <c r="L227" t="str">
        <f t="shared" si="73"/>
        <v/>
      </c>
      <c r="M227" s="36" t="str">
        <f t="shared" si="74"/>
        <v/>
      </c>
      <c r="N227" s="37" t="str">
        <f t="shared" si="75"/>
        <v/>
      </c>
      <c r="O227" s="37" t="str">
        <f t="shared" si="76"/>
        <v/>
      </c>
      <c r="P227" s="38" t="str">
        <f t="shared" si="77"/>
        <v/>
      </c>
      <c r="Q227" s="39" t="str">
        <f t="shared" si="78"/>
        <v/>
      </c>
      <c r="R227" s="39" t="str">
        <f t="shared" si="79"/>
        <v/>
      </c>
      <c r="S227" t="str">
        <f t="shared" si="80"/>
        <v/>
      </c>
      <c r="T227" s="39" t="str">
        <f t="shared" si="81"/>
        <v/>
      </c>
      <c r="U227" t="str">
        <f t="shared" si="82"/>
        <v/>
      </c>
      <c r="V227" t="str">
        <f t="shared" si="83"/>
        <v/>
      </c>
      <c r="W227" t="str">
        <f t="shared" si="84"/>
        <v/>
      </c>
      <c r="X227" s="38" t="str">
        <f t="shared" si="85"/>
        <v/>
      </c>
      <c r="Y227" s="38" t="str">
        <f t="shared" si="86"/>
        <v/>
      </c>
      <c r="Z227" s="39" t="str">
        <f t="shared" si="87"/>
        <v/>
      </c>
      <c r="AA227" s="39" t="str">
        <f t="shared" si="88"/>
        <v/>
      </c>
      <c r="AB227" s="40" t="str">
        <f t="shared" si="89"/>
        <v/>
      </c>
      <c r="AC227" t="str">
        <f>IF(L227="","",IF(AND($AO$2=1,ISNA(MATCH(L227,'02-شباط'!$L$2:$L$501,0))),"محذوف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90"/>
        <v/>
      </c>
      <c r="AH227" s="39" t="str">
        <f t="shared" si="91"/>
        <v/>
      </c>
      <c r="AI227" s="39" t="str">
        <f t="shared" si="92"/>
        <v/>
      </c>
      <c r="AJ227" s="39" t="str">
        <f t="shared" si="93"/>
        <v/>
      </c>
      <c r="AK227" t="str">
        <f t="shared" si="94"/>
        <v/>
      </c>
      <c r="AL227" t="str">
        <f t="shared" si="95"/>
        <v/>
      </c>
    </row>
    <row r="228" spans="11:38" ht="15">
      <c r="K228" t="str">
        <f t="shared" si="72"/>
        <v/>
      </c>
      <c r="L228" t="str">
        <f t="shared" si="73"/>
        <v/>
      </c>
      <c r="M228" s="36" t="str">
        <f t="shared" si="74"/>
        <v/>
      </c>
      <c r="N228" s="37" t="str">
        <f t="shared" si="75"/>
        <v/>
      </c>
      <c r="O228" s="37" t="str">
        <f t="shared" si="76"/>
        <v/>
      </c>
      <c r="P228" s="38" t="str">
        <f t="shared" si="77"/>
        <v/>
      </c>
      <c r="Q228" s="39" t="str">
        <f t="shared" si="78"/>
        <v/>
      </c>
      <c r="R228" s="39" t="str">
        <f t="shared" si="79"/>
        <v/>
      </c>
      <c r="S228" t="str">
        <f t="shared" si="80"/>
        <v/>
      </c>
      <c r="T228" s="39" t="str">
        <f t="shared" si="81"/>
        <v/>
      </c>
      <c r="U228" t="str">
        <f t="shared" si="82"/>
        <v/>
      </c>
      <c r="V228" t="str">
        <f t="shared" si="83"/>
        <v/>
      </c>
      <c r="W228" t="str">
        <f t="shared" si="84"/>
        <v/>
      </c>
      <c r="X228" s="38" t="str">
        <f t="shared" si="85"/>
        <v/>
      </c>
      <c r="Y228" s="38" t="str">
        <f t="shared" si="86"/>
        <v/>
      </c>
      <c r="Z228" s="39" t="str">
        <f t="shared" si="87"/>
        <v/>
      </c>
      <c r="AA228" s="39" t="str">
        <f t="shared" si="88"/>
        <v/>
      </c>
      <c r="AB228" s="40" t="str">
        <f t="shared" si="89"/>
        <v/>
      </c>
      <c r="AC228" t="str">
        <f>IF(L228="","",IF(AND($AO$2=1,ISNA(MATCH(L228,'02-شباط'!$L$2:$L$501,0))),"محذوف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90"/>
        <v/>
      </c>
      <c r="AH228" s="39" t="str">
        <f t="shared" si="91"/>
        <v/>
      </c>
      <c r="AI228" s="39" t="str">
        <f t="shared" si="92"/>
        <v/>
      </c>
      <c r="AJ228" s="39" t="str">
        <f t="shared" si="93"/>
        <v/>
      </c>
      <c r="AK228" t="str">
        <f t="shared" si="94"/>
        <v/>
      </c>
      <c r="AL228" t="str">
        <f t="shared" si="95"/>
        <v/>
      </c>
    </row>
    <row r="229" spans="11:38" ht="15">
      <c r="K229" t="str">
        <f t="shared" si="72"/>
        <v/>
      </c>
      <c r="L229" t="str">
        <f t="shared" si="73"/>
        <v/>
      </c>
      <c r="M229" s="36" t="str">
        <f t="shared" si="74"/>
        <v/>
      </c>
      <c r="N229" s="37" t="str">
        <f t="shared" si="75"/>
        <v/>
      </c>
      <c r="O229" s="37" t="str">
        <f t="shared" si="76"/>
        <v/>
      </c>
      <c r="P229" s="38" t="str">
        <f t="shared" si="77"/>
        <v/>
      </c>
      <c r="Q229" s="39" t="str">
        <f t="shared" si="78"/>
        <v/>
      </c>
      <c r="R229" s="39" t="str">
        <f t="shared" si="79"/>
        <v/>
      </c>
      <c r="S229" t="str">
        <f t="shared" si="80"/>
        <v/>
      </c>
      <c r="T229" s="39" t="str">
        <f t="shared" si="81"/>
        <v/>
      </c>
      <c r="U229" t="str">
        <f t="shared" si="82"/>
        <v/>
      </c>
      <c r="V229" t="str">
        <f t="shared" si="83"/>
        <v/>
      </c>
      <c r="W229" t="str">
        <f t="shared" si="84"/>
        <v/>
      </c>
      <c r="X229" s="38" t="str">
        <f t="shared" si="85"/>
        <v/>
      </c>
      <c r="Y229" s="38" t="str">
        <f t="shared" si="86"/>
        <v/>
      </c>
      <c r="Z229" s="39" t="str">
        <f t="shared" si="87"/>
        <v/>
      </c>
      <c r="AA229" s="39" t="str">
        <f t="shared" si="88"/>
        <v/>
      </c>
      <c r="AB229" s="40" t="str">
        <f t="shared" si="89"/>
        <v/>
      </c>
      <c r="AC229" t="str">
        <f>IF(L229="","",IF(AND($AO$2=1,ISNA(MATCH(L229,'02-شباط'!$L$2:$L$501,0))),"محذوف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90"/>
        <v/>
      </c>
      <c r="AH229" s="39" t="str">
        <f t="shared" si="91"/>
        <v/>
      </c>
      <c r="AI229" s="39" t="str">
        <f t="shared" si="92"/>
        <v/>
      </c>
      <c r="AJ229" s="39" t="str">
        <f t="shared" si="93"/>
        <v/>
      </c>
      <c r="AK229" t="str">
        <f t="shared" si="94"/>
        <v/>
      </c>
      <c r="AL229" t="str">
        <f t="shared" si="95"/>
        <v/>
      </c>
    </row>
    <row r="230" spans="11:38" ht="15">
      <c r="K230" t="str">
        <f t="shared" si="72"/>
        <v/>
      </c>
      <c r="L230" t="str">
        <f t="shared" si="73"/>
        <v/>
      </c>
      <c r="M230" s="36" t="str">
        <f t="shared" si="74"/>
        <v/>
      </c>
      <c r="N230" s="37" t="str">
        <f t="shared" si="75"/>
        <v/>
      </c>
      <c r="O230" s="37" t="str">
        <f t="shared" si="76"/>
        <v/>
      </c>
      <c r="P230" s="38" t="str">
        <f t="shared" si="77"/>
        <v/>
      </c>
      <c r="Q230" s="39" t="str">
        <f t="shared" si="78"/>
        <v/>
      </c>
      <c r="R230" s="39" t="str">
        <f t="shared" si="79"/>
        <v/>
      </c>
      <c r="S230" t="str">
        <f t="shared" si="80"/>
        <v/>
      </c>
      <c r="T230" s="39" t="str">
        <f t="shared" si="81"/>
        <v/>
      </c>
      <c r="U230" t="str">
        <f t="shared" si="82"/>
        <v/>
      </c>
      <c r="V230" t="str">
        <f t="shared" si="83"/>
        <v/>
      </c>
      <c r="W230" t="str">
        <f t="shared" si="84"/>
        <v/>
      </c>
      <c r="X230" s="38" t="str">
        <f t="shared" si="85"/>
        <v/>
      </c>
      <c r="Y230" s="38" t="str">
        <f t="shared" si="86"/>
        <v/>
      </c>
      <c r="Z230" s="39" t="str">
        <f t="shared" si="87"/>
        <v/>
      </c>
      <c r="AA230" s="39" t="str">
        <f t="shared" si="88"/>
        <v/>
      </c>
      <c r="AB230" s="40" t="str">
        <f t="shared" si="89"/>
        <v/>
      </c>
      <c r="AC230" t="str">
        <f>IF(L230="","",IF(AND($AO$2=1,ISNA(MATCH(L230,'02-شباط'!$L$2:$L$501,0))),"محذوف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90"/>
        <v/>
      </c>
      <c r="AH230" s="39" t="str">
        <f t="shared" si="91"/>
        <v/>
      </c>
      <c r="AI230" s="39" t="str">
        <f t="shared" si="92"/>
        <v/>
      </c>
      <c r="AJ230" s="39" t="str">
        <f t="shared" si="93"/>
        <v/>
      </c>
      <c r="AK230" t="str">
        <f t="shared" si="94"/>
        <v/>
      </c>
      <c r="AL230" t="str">
        <f t="shared" si="95"/>
        <v/>
      </c>
    </row>
    <row r="231" spans="11:38" ht="15">
      <c r="K231" t="str">
        <f t="shared" si="72"/>
        <v/>
      </c>
      <c r="L231" t="str">
        <f t="shared" si="73"/>
        <v/>
      </c>
      <c r="M231" s="36" t="str">
        <f t="shared" si="74"/>
        <v/>
      </c>
      <c r="N231" s="37" t="str">
        <f t="shared" si="75"/>
        <v/>
      </c>
      <c r="O231" s="37" t="str">
        <f t="shared" si="76"/>
        <v/>
      </c>
      <c r="P231" s="38" t="str">
        <f t="shared" si="77"/>
        <v/>
      </c>
      <c r="Q231" s="39" t="str">
        <f t="shared" si="78"/>
        <v/>
      </c>
      <c r="R231" s="39" t="str">
        <f t="shared" si="79"/>
        <v/>
      </c>
      <c r="S231" t="str">
        <f t="shared" si="80"/>
        <v/>
      </c>
      <c r="T231" s="39" t="str">
        <f t="shared" si="81"/>
        <v/>
      </c>
      <c r="U231" t="str">
        <f t="shared" si="82"/>
        <v/>
      </c>
      <c r="V231" t="str">
        <f t="shared" si="83"/>
        <v/>
      </c>
      <c r="W231" t="str">
        <f t="shared" si="84"/>
        <v/>
      </c>
      <c r="X231" s="38" t="str">
        <f t="shared" si="85"/>
        <v/>
      </c>
      <c r="Y231" s="38" t="str">
        <f t="shared" si="86"/>
        <v/>
      </c>
      <c r="Z231" s="39" t="str">
        <f t="shared" si="87"/>
        <v/>
      </c>
      <c r="AA231" s="39" t="str">
        <f t="shared" si="88"/>
        <v/>
      </c>
      <c r="AB231" s="40" t="str">
        <f t="shared" si="89"/>
        <v/>
      </c>
      <c r="AC231" t="str">
        <f>IF(L231="","",IF(AND($AO$2=1,ISNA(MATCH(L231,'02-شباط'!$L$2:$L$501,0))),"محذوف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90"/>
        <v/>
      </c>
      <c r="AH231" s="39" t="str">
        <f t="shared" si="91"/>
        <v/>
      </c>
      <c r="AI231" s="39" t="str">
        <f t="shared" si="92"/>
        <v/>
      </c>
      <c r="AJ231" s="39" t="str">
        <f t="shared" si="93"/>
        <v/>
      </c>
      <c r="AK231" t="str">
        <f t="shared" si="94"/>
        <v/>
      </c>
      <c r="AL231" t="str">
        <f t="shared" si="95"/>
        <v/>
      </c>
    </row>
    <row r="232" spans="11:38" ht="15">
      <c r="K232" t="str">
        <f t="shared" si="72"/>
        <v/>
      </c>
      <c r="L232" t="str">
        <f t="shared" si="73"/>
        <v/>
      </c>
      <c r="M232" s="36" t="str">
        <f t="shared" si="74"/>
        <v/>
      </c>
      <c r="N232" s="37" t="str">
        <f t="shared" si="75"/>
        <v/>
      </c>
      <c r="O232" s="37" t="str">
        <f t="shared" si="76"/>
        <v/>
      </c>
      <c r="P232" s="38" t="str">
        <f t="shared" si="77"/>
        <v/>
      </c>
      <c r="Q232" s="39" t="str">
        <f t="shared" si="78"/>
        <v/>
      </c>
      <c r="R232" s="39" t="str">
        <f t="shared" si="79"/>
        <v/>
      </c>
      <c r="S232" t="str">
        <f t="shared" si="80"/>
        <v/>
      </c>
      <c r="T232" s="39" t="str">
        <f t="shared" si="81"/>
        <v/>
      </c>
      <c r="U232" t="str">
        <f t="shared" si="82"/>
        <v/>
      </c>
      <c r="V232" t="str">
        <f t="shared" si="83"/>
        <v/>
      </c>
      <c r="W232" t="str">
        <f t="shared" si="84"/>
        <v/>
      </c>
      <c r="X232" s="38" t="str">
        <f t="shared" si="85"/>
        <v/>
      </c>
      <c r="Y232" s="38" t="str">
        <f t="shared" si="86"/>
        <v/>
      </c>
      <c r="Z232" s="39" t="str">
        <f t="shared" si="87"/>
        <v/>
      </c>
      <c r="AA232" s="39" t="str">
        <f t="shared" si="88"/>
        <v/>
      </c>
      <c r="AB232" s="40" t="str">
        <f t="shared" si="89"/>
        <v/>
      </c>
      <c r="AC232" t="str">
        <f>IF(L232="","",IF(AND($AO$2=1,ISNA(MATCH(L232,'02-شباط'!$L$2:$L$501,0))),"محذوف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90"/>
        <v/>
      </c>
      <c r="AH232" s="39" t="str">
        <f t="shared" si="91"/>
        <v/>
      </c>
      <c r="AI232" s="39" t="str">
        <f t="shared" si="92"/>
        <v/>
      </c>
      <c r="AJ232" s="39" t="str">
        <f t="shared" si="93"/>
        <v/>
      </c>
      <c r="AK232" t="str">
        <f t="shared" si="94"/>
        <v/>
      </c>
      <c r="AL232" t="str">
        <f t="shared" si="95"/>
        <v/>
      </c>
    </row>
    <row r="233" spans="11:38" ht="15">
      <c r="K233" t="str">
        <f t="shared" si="72"/>
        <v/>
      </c>
      <c r="L233" t="str">
        <f t="shared" si="73"/>
        <v/>
      </c>
      <c r="M233" s="36" t="str">
        <f t="shared" si="74"/>
        <v/>
      </c>
      <c r="N233" s="37" t="str">
        <f t="shared" si="75"/>
        <v/>
      </c>
      <c r="O233" s="37" t="str">
        <f t="shared" si="76"/>
        <v/>
      </c>
      <c r="P233" s="38" t="str">
        <f t="shared" si="77"/>
        <v/>
      </c>
      <c r="Q233" s="39" t="str">
        <f t="shared" si="78"/>
        <v/>
      </c>
      <c r="R233" s="39" t="str">
        <f t="shared" si="79"/>
        <v/>
      </c>
      <c r="S233" t="str">
        <f t="shared" si="80"/>
        <v/>
      </c>
      <c r="T233" s="39" t="str">
        <f t="shared" si="81"/>
        <v/>
      </c>
      <c r="U233" t="str">
        <f t="shared" si="82"/>
        <v/>
      </c>
      <c r="V233" t="str">
        <f t="shared" si="83"/>
        <v/>
      </c>
      <c r="W233" t="str">
        <f t="shared" si="84"/>
        <v/>
      </c>
      <c r="X233" s="38" t="str">
        <f t="shared" si="85"/>
        <v/>
      </c>
      <c r="Y233" s="38" t="str">
        <f t="shared" si="86"/>
        <v/>
      </c>
      <c r="Z233" s="39" t="str">
        <f t="shared" si="87"/>
        <v/>
      </c>
      <c r="AA233" s="39" t="str">
        <f t="shared" si="88"/>
        <v/>
      </c>
      <c r="AB233" s="40" t="str">
        <f t="shared" si="89"/>
        <v/>
      </c>
      <c r="AC233" t="str">
        <f>IF(L233="","",IF(AND($AO$2=1,ISNA(MATCH(L233,'02-شباط'!$L$2:$L$501,0))),"محذوف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90"/>
        <v/>
      </c>
      <c r="AH233" s="39" t="str">
        <f t="shared" si="91"/>
        <v/>
      </c>
      <c r="AI233" s="39" t="str">
        <f t="shared" si="92"/>
        <v/>
      </c>
      <c r="AJ233" s="39" t="str">
        <f t="shared" si="93"/>
        <v/>
      </c>
      <c r="AK233" t="str">
        <f t="shared" si="94"/>
        <v/>
      </c>
      <c r="AL233" t="str">
        <f t="shared" si="95"/>
        <v/>
      </c>
    </row>
    <row r="234" spans="11:38" ht="15">
      <c r="K234" t="str">
        <f t="shared" si="72"/>
        <v/>
      </c>
      <c r="L234" t="str">
        <f t="shared" si="73"/>
        <v/>
      </c>
      <c r="M234" s="36" t="str">
        <f t="shared" si="74"/>
        <v/>
      </c>
      <c r="N234" s="37" t="str">
        <f t="shared" si="75"/>
        <v/>
      </c>
      <c r="O234" s="37" t="str">
        <f t="shared" si="76"/>
        <v/>
      </c>
      <c r="P234" s="38" t="str">
        <f t="shared" si="77"/>
        <v/>
      </c>
      <c r="Q234" s="39" t="str">
        <f t="shared" si="78"/>
        <v/>
      </c>
      <c r="R234" s="39" t="str">
        <f t="shared" si="79"/>
        <v/>
      </c>
      <c r="S234" t="str">
        <f t="shared" si="80"/>
        <v/>
      </c>
      <c r="T234" s="39" t="str">
        <f t="shared" si="81"/>
        <v/>
      </c>
      <c r="U234" t="str">
        <f t="shared" si="82"/>
        <v/>
      </c>
      <c r="V234" t="str">
        <f t="shared" si="83"/>
        <v/>
      </c>
      <c r="W234" t="str">
        <f t="shared" si="84"/>
        <v/>
      </c>
      <c r="X234" s="38" t="str">
        <f t="shared" si="85"/>
        <v/>
      </c>
      <c r="Y234" s="38" t="str">
        <f t="shared" si="86"/>
        <v/>
      </c>
      <c r="Z234" s="39" t="str">
        <f t="shared" si="87"/>
        <v/>
      </c>
      <c r="AA234" s="39" t="str">
        <f t="shared" si="88"/>
        <v/>
      </c>
      <c r="AB234" s="40" t="str">
        <f t="shared" si="89"/>
        <v/>
      </c>
      <c r="AC234" t="str">
        <f>IF(L234="","",IF(AND($AO$2=1,ISNA(MATCH(L234,'02-شباط'!$L$2:$L$501,0))),"محذوف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90"/>
        <v/>
      </c>
      <c r="AH234" s="39" t="str">
        <f t="shared" si="91"/>
        <v/>
      </c>
      <c r="AI234" s="39" t="str">
        <f t="shared" si="92"/>
        <v/>
      </c>
      <c r="AJ234" s="39" t="str">
        <f t="shared" si="93"/>
        <v/>
      </c>
      <c r="AK234" t="str">
        <f t="shared" si="94"/>
        <v/>
      </c>
      <c r="AL234" t="str">
        <f t="shared" si="95"/>
        <v/>
      </c>
    </row>
    <row r="235" spans="11:38" ht="15">
      <c r="K235" t="str">
        <f t="shared" si="72"/>
        <v/>
      </c>
      <c r="L235" t="str">
        <f t="shared" si="73"/>
        <v/>
      </c>
      <c r="M235" s="36" t="str">
        <f t="shared" si="74"/>
        <v/>
      </c>
      <c r="N235" s="37" t="str">
        <f t="shared" si="75"/>
        <v/>
      </c>
      <c r="O235" s="37" t="str">
        <f t="shared" si="76"/>
        <v/>
      </c>
      <c r="P235" s="38" t="str">
        <f t="shared" si="77"/>
        <v/>
      </c>
      <c r="Q235" s="39" t="str">
        <f t="shared" si="78"/>
        <v/>
      </c>
      <c r="R235" s="39" t="str">
        <f t="shared" si="79"/>
        <v/>
      </c>
      <c r="S235" t="str">
        <f t="shared" si="80"/>
        <v/>
      </c>
      <c r="T235" s="39" t="str">
        <f t="shared" si="81"/>
        <v/>
      </c>
      <c r="U235" t="str">
        <f t="shared" si="82"/>
        <v/>
      </c>
      <c r="V235" t="str">
        <f t="shared" si="83"/>
        <v/>
      </c>
      <c r="W235" t="str">
        <f t="shared" si="84"/>
        <v/>
      </c>
      <c r="X235" s="38" t="str">
        <f t="shared" si="85"/>
        <v/>
      </c>
      <c r="Y235" s="38" t="str">
        <f t="shared" si="86"/>
        <v/>
      </c>
      <c r="Z235" s="39" t="str">
        <f t="shared" si="87"/>
        <v/>
      </c>
      <c r="AA235" s="39" t="str">
        <f t="shared" si="88"/>
        <v/>
      </c>
      <c r="AB235" s="40" t="str">
        <f t="shared" si="89"/>
        <v/>
      </c>
      <c r="AC235" t="str">
        <f>IF(L235="","",IF(AND($AO$2=1,ISNA(MATCH(L235,'02-شباط'!$L$2:$L$501,0))),"محذوف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90"/>
        <v/>
      </c>
      <c r="AH235" s="39" t="str">
        <f t="shared" si="91"/>
        <v/>
      </c>
      <c r="AI235" s="39" t="str">
        <f t="shared" si="92"/>
        <v/>
      </c>
      <c r="AJ235" s="39" t="str">
        <f t="shared" si="93"/>
        <v/>
      </c>
      <c r="AK235" t="str">
        <f t="shared" si="94"/>
        <v/>
      </c>
      <c r="AL235" t="str">
        <f t="shared" si="95"/>
        <v/>
      </c>
    </row>
    <row r="236" spans="11:38" ht="15">
      <c r="K236" t="str">
        <f t="shared" si="72"/>
        <v/>
      </c>
      <c r="L236" t="str">
        <f t="shared" si="73"/>
        <v/>
      </c>
      <c r="M236" s="36" t="str">
        <f t="shared" si="74"/>
        <v/>
      </c>
      <c r="N236" s="37" t="str">
        <f t="shared" si="75"/>
        <v/>
      </c>
      <c r="O236" s="37" t="str">
        <f t="shared" si="76"/>
        <v/>
      </c>
      <c r="P236" s="38" t="str">
        <f t="shared" si="77"/>
        <v/>
      </c>
      <c r="Q236" s="39" t="str">
        <f t="shared" si="78"/>
        <v/>
      </c>
      <c r="R236" s="39" t="str">
        <f t="shared" si="79"/>
        <v/>
      </c>
      <c r="S236" t="str">
        <f t="shared" si="80"/>
        <v/>
      </c>
      <c r="T236" s="39" t="str">
        <f t="shared" si="81"/>
        <v/>
      </c>
      <c r="U236" t="str">
        <f t="shared" si="82"/>
        <v/>
      </c>
      <c r="V236" t="str">
        <f t="shared" si="83"/>
        <v/>
      </c>
      <c r="W236" t="str">
        <f t="shared" si="84"/>
        <v/>
      </c>
      <c r="X236" s="38" t="str">
        <f t="shared" si="85"/>
        <v/>
      </c>
      <c r="Y236" s="38" t="str">
        <f t="shared" si="86"/>
        <v/>
      </c>
      <c r="Z236" s="39" t="str">
        <f t="shared" si="87"/>
        <v/>
      </c>
      <c r="AA236" s="39" t="str">
        <f t="shared" si="88"/>
        <v/>
      </c>
      <c r="AB236" s="40" t="str">
        <f t="shared" si="89"/>
        <v/>
      </c>
      <c r="AC236" t="str">
        <f>IF(L236="","",IF(AND($AO$2=1,ISNA(MATCH(L236,'02-شباط'!$L$2:$L$501,0))),"محذوف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90"/>
        <v/>
      </c>
      <c r="AH236" s="39" t="str">
        <f t="shared" si="91"/>
        <v/>
      </c>
      <c r="AI236" s="39" t="str">
        <f t="shared" si="92"/>
        <v/>
      </c>
      <c r="AJ236" s="39" t="str">
        <f t="shared" si="93"/>
        <v/>
      </c>
      <c r="AK236" t="str">
        <f t="shared" si="94"/>
        <v/>
      </c>
      <c r="AL236" t="str">
        <f t="shared" si="95"/>
        <v/>
      </c>
    </row>
    <row r="237" spans="11:38" ht="15">
      <c r="K237" t="str">
        <f t="shared" si="72"/>
        <v/>
      </c>
      <c r="L237" t="str">
        <f t="shared" si="73"/>
        <v/>
      </c>
      <c r="M237" s="36" t="str">
        <f t="shared" si="74"/>
        <v/>
      </c>
      <c r="N237" s="37" t="str">
        <f t="shared" si="75"/>
        <v/>
      </c>
      <c r="O237" s="37" t="str">
        <f t="shared" si="76"/>
        <v/>
      </c>
      <c r="P237" s="38" t="str">
        <f t="shared" si="77"/>
        <v/>
      </c>
      <c r="Q237" s="39" t="str">
        <f t="shared" si="78"/>
        <v/>
      </c>
      <c r="R237" s="39" t="str">
        <f t="shared" si="79"/>
        <v/>
      </c>
      <c r="S237" t="str">
        <f t="shared" si="80"/>
        <v/>
      </c>
      <c r="T237" s="39" t="str">
        <f t="shared" si="81"/>
        <v/>
      </c>
      <c r="U237" t="str">
        <f t="shared" si="82"/>
        <v/>
      </c>
      <c r="V237" t="str">
        <f t="shared" si="83"/>
        <v/>
      </c>
      <c r="W237" t="str">
        <f t="shared" si="84"/>
        <v/>
      </c>
      <c r="X237" s="38" t="str">
        <f t="shared" si="85"/>
        <v/>
      </c>
      <c r="Y237" s="38" t="str">
        <f t="shared" si="86"/>
        <v/>
      </c>
      <c r="Z237" s="39" t="str">
        <f t="shared" si="87"/>
        <v/>
      </c>
      <c r="AA237" s="39" t="str">
        <f t="shared" si="88"/>
        <v/>
      </c>
      <c r="AB237" s="40" t="str">
        <f t="shared" si="89"/>
        <v/>
      </c>
      <c r="AC237" t="str">
        <f>IF(L237="","",IF(AND($AO$2=1,ISNA(MATCH(L237,'02-شباط'!$L$2:$L$501,0))),"محذوف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90"/>
        <v/>
      </c>
      <c r="AH237" s="39" t="str">
        <f t="shared" si="91"/>
        <v/>
      </c>
      <c r="AI237" s="39" t="str">
        <f t="shared" si="92"/>
        <v/>
      </c>
      <c r="AJ237" s="39" t="str">
        <f t="shared" si="93"/>
        <v/>
      </c>
      <c r="AK237" t="str">
        <f t="shared" si="94"/>
        <v/>
      </c>
      <c r="AL237" t="str">
        <f t="shared" si="95"/>
        <v/>
      </c>
    </row>
    <row r="238" spans="11:38" ht="15">
      <c r="K238" t="str">
        <f t="shared" si="72"/>
        <v/>
      </c>
      <c r="L238" t="str">
        <f t="shared" si="73"/>
        <v/>
      </c>
      <c r="M238" s="36" t="str">
        <f t="shared" si="74"/>
        <v/>
      </c>
      <c r="N238" s="37" t="str">
        <f t="shared" si="75"/>
        <v/>
      </c>
      <c r="O238" s="37" t="str">
        <f t="shared" si="76"/>
        <v/>
      </c>
      <c r="P238" s="38" t="str">
        <f t="shared" si="77"/>
        <v/>
      </c>
      <c r="Q238" s="39" t="str">
        <f t="shared" si="78"/>
        <v/>
      </c>
      <c r="R238" s="39" t="str">
        <f t="shared" si="79"/>
        <v/>
      </c>
      <c r="S238" t="str">
        <f t="shared" si="80"/>
        <v/>
      </c>
      <c r="T238" s="39" t="str">
        <f t="shared" si="81"/>
        <v/>
      </c>
      <c r="U238" t="str">
        <f t="shared" si="82"/>
        <v/>
      </c>
      <c r="V238" t="str">
        <f t="shared" si="83"/>
        <v/>
      </c>
      <c r="W238" t="str">
        <f t="shared" si="84"/>
        <v/>
      </c>
      <c r="X238" s="38" t="str">
        <f t="shared" si="85"/>
        <v/>
      </c>
      <c r="Y238" s="38" t="str">
        <f t="shared" si="86"/>
        <v/>
      </c>
      <c r="Z238" s="39" t="str">
        <f t="shared" si="87"/>
        <v/>
      </c>
      <c r="AA238" s="39" t="str">
        <f t="shared" si="88"/>
        <v/>
      </c>
      <c r="AB238" s="40" t="str">
        <f t="shared" si="89"/>
        <v/>
      </c>
      <c r="AC238" t="str">
        <f>IF(L238="","",IF(AND($AO$2=1,ISNA(MATCH(L238,'02-شباط'!$L$2:$L$501,0))),"محذوف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90"/>
        <v/>
      </c>
      <c r="AH238" s="39" t="str">
        <f t="shared" si="91"/>
        <v/>
      </c>
      <c r="AI238" s="39" t="str">
        <f t="shared" si="92"/>
        <v/>
      </c>
      <c r="AJ238" s="39" t="str">
        <f t="shared" si="93"/>
        <v/>
      </c>
      <c r="AK238" t="str">
        <f t="shared" si="94"/>
        <v/>
      </c>
      <c r="AL238" t="str">
        <f t="shared" si="95"/>
        <v/>
      </c>
    </row>
    <row r="239" spans="11:38" ht="15">
      <c r="K239" t="str">
        <f t="shared" si="72"/>
        <v/>
      </c>
      <c r="L239" t="str">
        <f t="shared" si="73"/>
        <v/>
      </c>
      <c r="M239" s="36" t="str">
        <f t="shared" si="74"/>
        <v/>
      </c>
      <c r="N239" s="37" t="str">
        <f t="shared" si="75"/>
        <v/>
      </c>
      <c r="O239" s="37" t="str">
        <f t="shared" si="76"/>
        <v/>
      </c>
      <c r="P239" s="38" t="str">
        <f t="shared" si="77"/>
        <v/>
      </c>
      <c r="Q239" s="39" t="str">
        <f t="shared" si="78"/>
        <v/>
      </c>
      <c r="R239" s="39" t="str">
        <f t="shared" si="79"/>
        <v/>
      </c>
      <c r="S239" t="str">
        <f t="shared" si="80"/>
        <v/>
      </c>
      <c r="T239" s="39" t="str">
        <f t="shared" si="81"/>
        <v/>
      </c>
      <c r="U239" t="str">
        <f t="shared" si="82"/>
        <v/>
      </c>
      <c r="V239" t="str">
        <f t="shared" si="83"/>
        <v/>
      </c>
      <c r="W239" t="str">
        <f t="shared" si="84"/>
        <v/>
      </c>
      <c r="X239" s="38" t="str">
        <f t="shared" si="85"/>
        <v/>
      </c>
      <c r="Y239" s="38" t="str">
        <f t="shared" si="86"/>
        <v/>
      </c>
      <c r="Z239" s="39" t="str">
        <f t="shared" si="87"/>
        <v/>
      </c>
      <c r="AA239" s="39" t="str">
        <f t="shared" si="88"/>
        <v/>
      </c>
      <c r="AB239" s="40" t="str">
        <f t="shared" si="89"/>
        <v/>
      </c>
      <c r="AC239" t="str">
        <f>IF(L239="","",IF(AND($AO$2=1,ISNA(MATCH(L239,'02-شباط'!$L$2:$L$501,0))),"محذوف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90"/>
        <v/>
      </c>
      <c r="AH239" s="39" t="str">
        <f t="shared" si="91"/>
        <v/>
      </c>
      <c r="AI239" s="39" t="str">
        <f t="shared" si="92"/>
        <v/>
      </c>
      <c r="AJ239" s="39" t="str">
        <f t="shared" si="93"/>
        <v/>
      </c>
      <c r="AK239" t="str">
        <f t="shared" si="94"/>
        <v/>
      </c>
      <c r="AL239" t="str">
        <f t="shared" si="95"/>
        <v/>
      </c>
    </row>
    <row r="240" spans="11:38" ht="15">
      <c r="K240" t="str">
        <f t="shared" si="72"/>
        <v/>
      </c>
      <c r="L240" t="str">
        <f t="shared" si="73"/>
        <v/>
      </c>
      <c r="M240" s="36" t="str">
        <f t="shared" si="74"/>
        <v/>
      </c>
      <c r="N240" s="37" t="str">
        <f t="shared" si="75"/>
        <v/>
      </c>
      <c r="O240" s="37" t="str">
        <f t="shared" si="76"/>
        <v/>
      </c>
      <c r="P240" s="38" t="str">
        <f t="shared" si="77"/>
        <v/>
      </c>
      <c r="Q240" s="39" t="str">
        <f t="shared" si="78"/>
        <v/>
      </c>
      <c r="R240" s="39" t="str">
        <f t="shared" si="79"/>
        <v/>
      </c>
      <c r="S240" t="str">
        <f t="shared" si="80"/>
        <v/>
      </c>
      <c r="T240" s="39" t="str">
        <f t="shared" si="81"/>
        <v/>
      </c>
      <c r="U240" t="str">
        <f t="shared" si="82"/>
        <v/>
      </c>
      <c r="V240" t="str">
        <f t="shared" si="83"/>
        <v/>
      </c>
      <c r="W240" t="str">
        <f t="shared" si="84"/>
        <v/>
      </c>
      <c r="X240" s="38" t="str">
        <f t="shared" si="85"/>
        <v/>
      </c>
      <c r="Y240" s="38" t="str">
        <f t="shared" si="86"/>
        <v/>
      </c>
      <c r="Z240" s="39" t="str">
        <f t="shared" si="87"/>
        <v/>
      </c>
      <c r="AA240" s="39" t="str">
        <f t="shared" si="88"/>
        <v/>
      </c>
      <c r="AB240" s="40" t="str">
        <f t="shared" si="89"/>
        <v/>
      </c>
      <c r="AC240" t="str">
        <f>IF(L240="","",IF(AND($AO$2=1,ISNA(MATCH(L240,'02-شباط'!$L$2:$L$501,0))),"محذوف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90"/>
        <v/>
      </c>
      <c r="AH240" s="39" t="str">
        <f t="shared" si="91"/>
        <v/>
      </c>
      <c r="AI240" s="39" t="str">
        <f t="shared" si="92"/>
        <v/>
      </c>
      <c r="AJ240" s="39" t="str">
        <f t="shared" si="93"/>
        <v/>
      </c>
      <c r="AK240" t="str">
        <f t="shared" si="94"/>
        <v/>
      </c>
      <c r="AL240" t="str">
        <f t="shared" si="95"/>
        <v/>
      </c>
    </row>
    <row r="241" spans="11:38" ht="15">
      <c r="K241" t="str">
        <f t="shared" si="72"/>
        <v/>
      </c>
      <c r="L241" t="str">
        <f t="shared" si="73"/>
        <v/>
      </c>
      <c r="M241" s="36" t="str">
        <f t="shared" si="74"/>
        <v/>
      </c>
      <c r="N241" s="37" t="str">
        <f t="shared" si="75"/>
        <v/>
      </c>
      <c r="O241" s="37" t="str">
        <f t="shared" si="76"/>
        <v/>
      </c>
      <c r="P241" s="38" t="str">
        <f t="shared" si="77"/>
        <v/>
      </c>
      <c r="Q241" s="39" t="str">
        <f t="shared" si="78"/>
        <v/>
      </c>
      <c r="R241" s="39" t="str">
        <f t="shared" si="79"/>
        <v/>
      </c>
      <c r="S241" t="str">
        <f t="shared" si="80"/>
        <v/>
      </c>
      <c r="T241" s="39" t="str">
        <f t="shared" si="81"/>
        <v/>
      </c>
      <c r="U241" t="str">
        <f t="shared" si="82"/>
        <v/>
      </c>
      <c r="V241" t="str">
        <f t="shared" si="83"/>
        <v/>
      </c>
      <c r="W241" t="str">
        <f t="shared" si="84"/>
        <v/>
      </c>
      <c r="X241" s="38" t="str">
        <f t="shared" si="85"/>
        <v/>
      </c>
      <c r="Y241" s="38" t="str">
        <f t="shared" si="86"/>
        <v/>
      </c>
      <c r="Z241" s="39" t="str">
        <f t="shared" si="87"/>
        <v/>
      </c>
      <c r="AA241" s="39" t="str">
        <f t="shared" si="88"/>
        <v/>
      </c>
      <c r="AB241" s="40" t="str">
        <f t="shared" si="89"/>
        <v/>
      </c>
      <c r="AC241" t="str">
        <f>IF(L241="","",IF(AND($AO$2=1,ISNA(MATCH(L241,'02-شباط'!$L$2:$L$501,0))),"محذوف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90"/>
        <v/>
      </c>
      <c r="AH241" s="39" t="str">
        <f t="shared" si="91"/>
        <v/>
      </c>
      <c r="AI241" s="39" t="str">
        <f t="shared" si="92"/>
        <v/>
      </c>
      <c r="AJ241" s="39" t="str">
        <f t="shared" si="93"/>
        <v/>
      </c>
      <c r="AK241" t="str">
        <f t="shared" si="94"/>
        <v/>
      </c>
      <c r="AL241" t="str">
        <f t="shared" si="95"/>
        <v/>
      </c>
    </row>
    <row r="242" spans="11:38" ht="15">
      <c r="K242" t="str">
        <f t="shared" si="72"/>
        <v/>
      </c>
      <c r="L242" t="str">
        <f t="shared" si="73"/>
        <v/>
      </c>
      <c r="M242" s="36" t="str">
        <f t="shared" si="74"/>
        <v/>
      </c>
      <c r="N242" s="37" t="str">
        <f t="shared" si="75"/>
        <v/>
      </c>
      <c r="O242" s="37" t="str">
        <f t="shared" si="76"/>
        <v/>
      </c>
      <c r="P242" s="38" t="str">
        <f t="shared" si="77"/>
        <v/>
      </c>
      <c r="Q242" s="39" t="str">
        <f t="shared" si="78"/>
        <v/>
      </c>
      <c r="R242" s="39" t="str">
        <f t="shared" si="79"/>
        <v/>
      </c>
      <c r="S242" t="str">
        <f t="shared" si="80"/>
        <v/>
      </c>
      <c r="T242" s="39" t="str">
        <f t="shared" si="81"/>
        <v/>
      </c>
      <c r="U242" t="str">
        <f t="shared" si="82"/>
        <v/>
      </c>
      <c r="V242" t="str">
        <f t="shared" si="83"/>
        <v/>
      </c>
      <c r="W242" t="str">
        <f t="shared" si="84"/>
        <v/>
      </c>
      <c r="X242" s="38" t="str">
        <f t="shared" si="85"/>
        <v/>
      </c>
      <c r="Y242" s="38" t="str">
        <f t="shared" si="86"/>
        <v/>
      </c>
      <c r="Z242" s="39" t="str">
        <f t="shared" si="87"/>
        <v/>
      </c>
      <c r="AA242" s="39" t="str">
        <f t="shared" si="88"/>
        <v/>
      </c>
      <c r="AB242" s="40" t="str">
        <f t="shared" si="89"/>
        <v/>
      </c>
      <c r="AC242" t="str">
        <f>IF(L242="","",IF(AND($AO$2=1,ISNA(MATCH(L242,'02-شباط'!$L$2:$L$501,0))),"محذوف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90"/>
        <v/>
      </c>
      <c r="AH242" s="39" t="str">
        <f t="shared" si="91"/>
        <v/>
      </c>
      <c r="AI242" s="39" t="str">
        <f t="shared" si="92"/>
        <v/>
      </c>
      <c r="AJ242" s="39" t="str">
        <f t="shared" si="93"/>
        <v/>
      </c>
      <c r="AK242" t="str">
        <f t="shared" si="94"/>
        <v/>
      </c>
      <c r="AL242" t="str">
        <f t="shared" si="95"/>
        <v/>
      </c>
    </row>
    <row r="243" spans="11:38" ht="15">
      <c r="K243" t="str">
        <f t="shared" si="72"/>
        <v/>
      </c>
      <c r="L243" t="str">
        <f t="shared" si="73"/>
        <v/>
      </c>
      <c r="M243" s="36" t="str">
        <f t="shared" si="74"/>
        <v/>
      </c>
      <c r="N243" s="37" t="str">
        <f t="shared" si="75"/>
        <v/>
      </c>
      <c r="O243" s="37" t="str">
        <f t="shared" si="76"/>
        <v/>
      </c>
      <c r="P243" s="38" t="str">
        <f t="shared" si="77"/>
        <v/>
      </c>
      <c r="Q243" s="39" t="str">
        <f t="shared" si="78"/>
        <v/>
      </c>
      <c r="R243" s="39" t="str">
        <f t="shared" si="79"/>
        <v/>
      </c>
      <c r="S243" t="str">
        <f t="shared" si="80"/>
        <v/>
      </c>
      <c r="T243" s="39" t="str">
        <f t="shared" si="81"/>
        <v/>
      </c>
      <c r="U243" t="str">
        <f t="shared" si="82"/>
        <v/>
      </c>
      <c r="V243" t="str">
        <f t="shared" si="83"/>
        <v/>
      </c>
      <c r="W243" t="str">
        <f t="shared" si="84"/>
        <v/>
      </c>
      <c r="X243" s="38" t="str">
        <f t="shared" si="85"/>
        <v/>
      </c>
      <c r="Y243" s="38" t="str">
        <f t="shared" si="86"/>
        <v/>
      </c>
      <c r="Z243" s="39" t="str">
        <f t="shared" si="87"/>
        <v/>
      </c>
      <c r="AA243" s="39" t="str">
        <f t="shared" si="88"/>
        <v/>
      </c>
      <c r="AB243" s="40" t="str">
        <f t="shared" si="89"/>
        <v/>
      </c>
      <c r="AC243" t="str">
        <f>IF(L243="","",IF(AND($AO$2=1,ISNA(MATCH(L243,'02-شباط'!$L$2:$L$501,0))),"محذوف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90"/>
        <v/>
      </c>
      <c r="AH243" s="39" t="str">
        <f t="shared" si="91"/>
        <v/>
      </c>
      <c r="AI243" s="39" t="str">
        <f t="shared" si="92"/>
        <v/>
      </c>
      <c r="AJ243" s="39" t="str">
        <f t="shared" si="93"/>
        <v/>
      </c>
      <c r="AK243" t="str">
        <f t="shared" si="94"/>
        <v/>
      </c>
      <c r="AL243" t="str">
        <f t="shared" si="95"/>
        <v/>
      </c>
    </row>
    <row r="244" spans="11:38" ht="15">
      <c r="K244" t="str">
        <f t="shared" si="72"/>
        <v/>
      </c>
      <c r="L244" t="str">
        <f t="shared" si="73"/>
        <v/>
      </c>
      <c r="M244" s="36" t="str">
        <f t="shared" si="74"/>
        <v/>
      </c>
      <c r="N244" s="37" t="str">
        <f t="shared" si="75"/>
        <v/>
      </c>
      <c r="O244" s="37" t="str">
        <f t="shared" si="76"/>
        <v/>
      </c>
      <c r="P244" s="38" t="str">
        <f t="shared" si="77"/>
        <v/>
      </c>
      <c r="Q244" s="39" t="str">
        <f t="shared" si="78"/>
        <v/>
      </c>
      <c r="R244" s="39" t="str">
        <f t="shared" si="79"/>
        <v/>
      </c>
      <c r="S244" t="str">
        <f t="shared" si="80"/>
        <v/>
      </c>
      <c r="T244" s="39" t="str">
        <f t="shared" si="81"/>
        <v/>
      </c>
      <c r="U244" t="str">
        <f t="shared" si="82"/>
        <v/>
      </c>
      <c r="V244" t="str">
        <f t="shared" si="83"/>
        <v/>
      </c>
      <c r="W244" t="str">
        <f t="shared" si="84"/>
        <v/>
      </c>
      <c r="X244" s="38" t="str">
        <f t="shared" si="85"/>
        <v/>
      </c>
      <c r="Y244" s="38" t="str">
        <f t="shared" si="86"/>
        <v/>
      </c>
      <c r="Z244" s="39" t="str">
        <f t="shared" si="87"/>
        <v/>
      </c>
      <c r="AA244" s="39" t="str">
        <f t="shared" si="88"/>
        <v/>
      </c>
      <c r="AB244" s="40" t="str">
        <f t="shared" si="89"/>
        <v/>
      </c>
      <c r="AC244" t="str">
        <f>IF(L244="","",IF(AND($AO$2=1,ISNA(MATCH(L244,'02-شباط'!$L$2:$L$501,0))),"محذوف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90"/>
        <v/>
      </c>
      <c r="AH244" s="39" t="str">
        <f t="shared" si="91"/>
        <v/>
      </c>
      <c r="AI244" s="39" t="str">
        <f t="shared" si="92"/>
        <v/>
      </c>
      <c r="AJ244" s="39" t="str">
        <f t="shared" si="93"/>
        <v/>
      </c>
      <c r="AK244" t="str">
        <f t="shared" si="94"/>
        <v/>
      </c>
      <c r="AL244" t="str">
        <f t="shared" si="95"/>
        <v/>
      </c>
    </row>
    <row r="245" spans="11:38" ht="15">
      <c r="K245" t="str">
        <f t="shared" si="72"/>
        <v/>
      </c>
      <c r="L245" t="str">
        <f t="shared" si="73"/>
        <v/>
      </c>
      <c r="M245" s="36" t="str">
        <f t="shared" si="74"/>
        <v/>
      </c>
      <c r="N245" s="37" t="str">
        <f t="shared" si="75"/>
        <v/>
      </c>
      <c r="O245" s="37" t="str">
        <f t="shared" si="76"/>
        <v/>
      </c>
      <c r="P245" s="38" t="str">
        <f t="shared" si="77"/>
        <v/>
      </c>
      <c r="Q245" s="39" t="str">
        <f t="shared" si="78"/>
        <v/>
      </c>
      <c r="R245" s="39" t="str">
        <f t="shared" si="79"/>
        <v/>
      </c>
      <c r="S245" t="str">
        <f t="shared" si="80"/>
        <v/>
      </c>
      <c r="T245" s="39" t="str">
        <f t="shared" si="81"/>
        <v/>
      </c>
      <c r="U245" t="str">
        <f t="shared" si="82"/>
        <v/>
      </c>
      <c r="V245" t="str">
        <f t="shared" si="83"/>
        <v/>
      </c>
      <c r="W245" t="str">
        <f t="shared" si="84"/>
        <v/>
      </c>
      <c r="X245" s="38" t="str">
        <f t="shared" si="85"/>
        <v/>
      </c>
      <c r="Y245" s="38" t="str">
        <f t="shared" si="86"/>
        <v/>
      </c>
      <c r="Z245" s="39" t="str">
        <f t="shared" si="87"/>
        <v/>
      </c>
      <c r="AA245" s="39" t="str">
        <f t="shared" si="88"/>
        <v/>
      </c>
      <c r="AB245" s="40" t="str">
        <f t="shared" si="89"/>
        <v/>
      </c>
      <c r="AC245" t="str">
        <f>IF(L245="","",IF(AND($AO$2=1,ISNA(MATCH(L245,'02-شباط'!$L$2:$L$501,0))),"محذوف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90"/>
        <v/>
      </c>
      <c r="AH245" s="39" t="str">
        <f t="shared" si="91"/>
        <v/>
      </c>
      <c r="AI245" s="39" t="str">
        <f t="shared" si="92"/>
        <v/>
      </c>
      <c r="AJ245" s="39" t="str">
        <f t="shared" si="93"/>
        <v/>
      </c>
      <c r="AK245" t="str">
        <f t="shared" si="94"/>
        <v/>
      </c>
      <c r="AL245" t="str">
        <f t="shared" si="95"/>
        <v/>
      </c>
    </row>
    <row r="246" spans="11:38" ht="15">
      <c r="K246" t="str">
        <f t="shared" si="72"/>
        <v/>
      </c>
      <c r="L246" t="str">
        <f t="shared" si="73"/>
        <v/>
      </c>
      <c r="M246" s="36" t="str">
        <f t="shared" si="74"/>
        <v/>
      </c>
      <c r="N246" s="37" t="str">
        <f t="shared" si="75"/>
        <v/>
      </c>
      <c r="O246" s="37" t="str">
        <f t="shared" si="76"/>
        <v/>
      </c>
      <c r="P246" s="38" t="str">
        <f t="shared" si="77"/>
        <v/>
      </c>
      <c r="Q246" s="39" t="str">
        <f t="shared" si="78"/>
        <v/>
      </c>
      <c r="R246" s="39" t="str">
        <f t="shared" si="79"/>
        <v/>
      </c>
      <c r="S246" t="str">
        <f t="shared" si="80"/>
        <v/>
      </c>
      <c r="T246" s="39" t="str">
        <f t="shared" si="81"/>
        <v/>
      </c>
      <c r="U246" t="str">
        <f t="shared" si="82"/>
        <v/>
      </c>
      <c r="V246" t="str">
        <f t="shared" si="83"/>
        <v/>
      </c>
      <c r="W246" t="str">
        <f t="shared" si="84"/>
        <v/>
      </c>
      <c r="X246" s="38" t="str">
        <f t="shared" si="85"/>
        <v/>
      </c>
      <c r="Y246" s="38" t="str">
        <f t="shared" si="86"/>
        <v/>
      </c>
      <c r="Z246" s="39" t="str">
        <f t="shared" si="87"/>
        <v/>
      </c>
      <c r="AA246" s="39" t="str">
        <f t="shared" si="88"/>
        <v/>
      </c>
      <c r="AB246" s="40" t="str">
        <f t="shared" si="89"/>
        <v/>
      </c>
      <c r="AC246" t="str">
        <f>IF(L246="","",IF(AND($AO$2=1,ISNA(MATCH(L246,'02-شباط'!$L$2:$L$501,0))),"محذوف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90"/>
        <v/>
      </c>
      <c r="AH246" s="39" t="str">
        <f t="shared" si="91"/>
        <v/>
      </c>
      <c r="AI246" s="39" t="str">
        <f t="shared" si="92"/>
        <v/>
      </c>
      <c r="AJ246" s="39" t="str">
        <f t="shared" si="93"/>
        <v/>
      </c>
      <c r="AK246" t="str">
        <f t="shared" si="94"/>
        <v/>
      </c>
      <c r="AL246" t="str">
        <f t="shared" si="95"/>
        <v/>
      </c>
    </row>
    <row r="247" spans="11:38" ht="15">
      <c r="K247" t="str">
        <f t="shared" si="72"/>
        <v/>
      </c>
      <c r="L247" t="str">
        <f t="shared" si="73"/>
        <v/>
      </c>
      <c r="M247" s="36" t="str">
        <f t="shared" si="74"/>
        <v/>
      </c>
      <c r="N247" s="37" t="str">
        <f t="shared" si="75"/>
        <v/>
      </c>
      <c r="O247" s="37" t="str">
        <f t="shared" si="76"/>
        <v/>
      </c>
      <c r="P247" s="38" t="str">
        <f t="shared" si="77"/>
        <v/>
      </c>
      <c r="Q247" s="39" t="str">
        <f t="shared" si="78"/>
        <v/>
      </c>
      <c r="R247" s="39" t="str">
        <f t="shared" si="79"/>
        <v/>
      </c>
      <c r="S247" t="str">
        <f t="shared" si="80"/>
        <v/>
      </c>
      <c r="T247" s="39" t="str">
        <f t="shared" si="81"/>
        <v/>
      </c>
      <c r="U247" t="str">
        <f t="shared" si="82"/>
        <v/>
      </c>
      <c r="V247" t="str">
        <f t="shared" si="83"/>
        <v/>
      </c>
      <c r="W247" t="str">
        <f t="shared" si="84"/>
        <v/>
      </c>
      <c r="X247" s="38" t="str">
        <f t="shared" si="85"/>
        <v/>
      </c>
      <c r="Y247" s="38" t="str">
        <f t="shared" si="86"/>
        <v/>
      </c>
      <c r="Z247" s="39" t="str">
        <f t="shared" si="87"/>
        <v/>
      </c>
      <c r="AA247" s="39" t="str">
        <f t="shared" si="88"/>
        <v/>
      </c>
      <c r="AB247" s="40" t="str">
        <f t="shared" si="89"/>
        <v/>
      </c>
      <c r="AC247" t="str">
        <f>IF(L247="","",IF(AND($AO$2=1,ISNA(MATCH(L247,'02-شباط'!$L$2:$L$501,0))),"محذوف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90"/>
        <v/>
      </c>
      <c r="AH247" s="39" t="str">
        <f t="shared" si="91"/>
        <v/>
      </c>
      <c r="AI247" s="39" t="str">
        <f t="shared" si="92"/>
        <v/>
      </c>
      <c r="AJ247" s="39" t="str">
        <f t="shared" si="93"/>
        <v/>
      </c>
      <c r="AK247" t="str">
        <f t="shared" si="94"/>
        <v/>
      </c>
      <c r="AL247" t="str">
        <f t="shared" si="95"/>
        <v/>
      </c>
    </row>
    <row r="248" spans="11:38" ht="15">
      <c r="K248" t="str">
        <f t="shared" si="72"/>
        <v/>
      </c>
      <c r="L248" t="str">
        <f t="shared" si="73"/>
        <v/>
      </c>
      <c r="M248" s="36" t="str">
        <f t="shared" si="74"/>
        <v/>
      </c>
      <c r="N248" s="37" t="str">
        <f t="shared" si="75"/>
        <v/>
      </c>
      <c r="O248" s="37" t="str">
        <f t="shared" si="76"/>
        <v/>
      </c>
      <c r="P248" s="38" t="str">
        <f t="shared" si="77"/>
        <v/>
      </c>
      <c r="Q248" s="39" t="str">
        <f t="shared" si="78"/>
        <v/>
      </c>
      <c r="R248" s="39" t="str">
        <f t="shared" si="79"/>
        <v/>
      </c>
      <c r="S248" t="str">
        <f t="shared" si="80"/>
        <v/>
      </c>
      <c r="T248" s="39" t="str">
        <f t="shared" si="81"/>
        <v/>
      </c>
      <c r="U248" t="str">
        <f t="shared" si="82"/>
        <v/>
      </c>
      <c r="V248" t="str">
        <f t="shared" si="83"/>
        <v/>
      </c>
      <c r="W248" t="str">
        <f t="shared" si="84"/>
        <v/>
      </c>
      <c r="X248" s="38" t="str">
        <f t="shared" si="85"/>
        <v/>
      </c>
      <c r="Y248" s="38" t="str">
        <f t="shared" si="86"/>
        <v/>
      </c>
      <c r="Z248" s="39" t="str">
        <f t="shared" si="87"/>
        <v/>
      </c>
      <c r="AA248" s="39" t="str">
        <f t="shared" si="88"/>
        <v/>
      </c>
      <c r="AB248" s="40" t="str">
        <f t="shared" si="89"/>
        <v/>
      </c>
      <c r="AC248" t="str">
        <f>IF(L248="","",IF(AND($AO$2=1,ISNA(MATCH(L248,'02-شباط'!$L$2:$L$501,0))),"محذوف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90"/>
        <v/>
      </c>
      <c r="AH248" s="39" t="str">
        <f t="shared" si="91"/>
        <v/>
      </c>
      <c r="AI248" s="39" t="str">
        <f t="shared" si="92"/>
        <v/>
      </c>
      <c r="AJ248" s="39" t="str">
        <f t="shared" si="93"/>
        <v/>
      </c>
      <c r="AK248" t="str">
        <f t="shared" si="94"/>
        <v/>
      </c>
      <c r="AL248" t="str">
        <f t="shared" si="95"/>
        <v/>
      </c>
    </row>
    <row r="249" spans="11:38" ht="15">
      <c r="K249" t="str">
        <f t="shared" si="72"/>
        <v/>
      </c>
      <c r="L249" t="str">
        <f t="shared" si="73"/>
        <v/>
      </c>
      <c r="M249" s="36" t="str">
        <f t="shared" si="74"/>
        <v/>
      </c>
      <c r="N249" s="37" t="str">
        <f t="shared" si="75"/>
        <v/>
      </c>
      <c r="O249" s="37" t="str">
        <f t="shared" si="76"/>
        <v/>
      </c>
      <c r="P249" s="38" t="str">
        <f t="shared" si="77"/>
        <v/>
      </c>
      <c r="Q249" s="39" t="str">
        <f t="shared" si="78"/>
        <v/>
      </c>
      <c r="R249" s="39" t="str">
        <f t="shared" si="79"/>
        <v/>
      </c>
      <c r="S249" t="str">
        <f t="shared" si="80"/>
        <v/>
      </c>
      <c r="T249" s="39" t="str">
        <f t="shared" si="81"/>
        <v/>
      </c>
      <c r="U249" t="str">
        <f t="shared" si="82"/>
        <v/>
      </c>
      <c r="V249" t="str">
        <f t="shared" si="83"/>
        <v/>
      </c>
      <c r="W249" t="str">
        <f t="shared" si="84"/>
        <v/>
      </c>
      <c r="X249" s="38" t="str">
        <f t="shared" si="85"/>
        <v/>
      </c>
      <c r="Y249" s="38" t="str">
        <f t="shared" si="86"/>
        <v/>
      </c>
      <c r="Z249" s="39" t="str">
        <f t="shared" si="87"/>
        <v/>
      </c>
      <c r="AA249" s="39" t="str">
        <f t="shared" si="88"/>
        <v/>
      </c>
      <c r="AB249" s="40" t="str">
        <f t="shared" si="89"/>
        <v/>
      </c>
      <c r="AC249" t="str">
        <f>IF(L249="","",IF(AND($AO$2=1,ISNA(MATCH(L249,'02-شباط'!$L$2:$L$501,0))),"محذوف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90"/>
        <v/>
      </c>
      <c r="AH249" s="39" t="str">
        <f t="shared" si="91"/>
        <v/>
      </c>
      <c r="AI249" s="39" t="str">
        <f t="shared" si="92"/>
        <v/>
      </c>
      <c r="AJ249" s="39" t="str">
        <f t="shared" si="93"/>
        <v/>
      </c>
      <c r="AK249" t="str">
        <f t="shared" si="94"/>
        <v/>
      </c>
      <c r="AL249" t="str">
        <f t="shared" si="95"/>
        <v/>
      </c>
    </row>
    <row r="250" spans="11:38" ht="15">
      <c r="K250" t="str">
        <f t="shared" si="72"/>
        <v/>
      </c>
      <c r="L250" t="str">
        <f t="shared" si="73"/>
        <v/>
      </c>
      <c r="M250" s="36" t="str">
        <f t="shared" si="74"/>
        <v/>
      </c>
      <c r="N250" s="37" t="str">
        <f t="shared" si="75"/>
        <v/>
      </c>
      <c r="O250" s="37" t="str">
        <f t="shared" si="76"/>
        <v/>
      </c>
      <c r="P250" s="38" t="str">
        <f t="shared" si="77"/>
        <v/>
      </c>
      <c r="Q250" s="39" t="str">
        <f t="shared" si="78"/>
        <v/>
      </c>
      <c r="R250" s="39" t="str">
        <f t="shared" si="79"/>
        <v/>
      </c>
      <c r="S250" t="str">
        <f t="shared" si="80"/>
        <v/>
      </c>
      <c r="T250" s="39" t="str">
        <f t="shared" si="81"/>
        <v/>
      </c>
      <c r="U250" t="str">
        <f t="shared" si="82"/>
        <v/>
      </c>
      <c r="V250" t="str">
        <f t="shared" si="83"/>
        <v/>
      </c>
      <c r="W250" t="str">
        <f t="shared" si="84"/>
        <v/>
      </c>
      <c r="X250" s="38" t="str">
        <f t="shared" si="85"/>
        <v/>
      </c>
      <c r="Y250" s="38" t="str">
        <f t="shared" si="86"/>
        <v/>
      </c>
      <c r="Z250" s="39" t="str">
        <f t="shared" si="87"/>
        <v/>
      </c>
      <c r="AA250" s="39" t="str">
        <f t="shared" si="88"/>
        <v/>
      </c>
      <c r="AB250" s="40" t="str">
        <f t="shared" si="89"/>
        <v/>
      </c>
      <c r="AC250" t="str">
        <f>IF(L250="","",IF(AND($AO$2=1,ISNA(MATCH(L250,'02-شباط'!$L$2:$L$501,0))),"محذوف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90"/>
        <v/>
      </c>
      <c r="AH250" s="39" t="str">
        <f t="shared" si="91"/>
        <v/>
      </c>
      <c r="AI250" s="39" t="str">
        <f t="shared" si="92"/>
        <v/>
      </c>
      <c r="AJ250" s="39" t="str">
        <f t="shared" si="93"/>
        <v/>
      </c>
      <c r="AK250" t="str">
        <f t="shared" si="94"/>
        <v/>
      </c>
      <c r="AL250" t="str">
        <f t="shared" si="95"/>
        <v/>
      </c>
    </row>
    <row r="251" spans="11:38" ht="15">
      <c r="K251" t="str">
        <f t="shared" si="72"/>
        <v/>
      </c>
      <c r="L251" t="str">
        <f t="shared" si="73"/>
        <v/>
      </c>
      <c r="M251" s="36" t="str">
        <f t="shared" si="74"/>
        <v/>
      </c>
      <c r="N251" s="37" t="str">
        <f t="shared" si="75"/>
        <v/>
      </c>
      <c r="O251" s="37" t="str">
        <f t="shared" si="76"/>
        <v/>
      </c>
      <c r="P251" s="38" t="str">
        <f t="shared" si="77"/>
        <v/>
      </c>
      <c r="Q251" s="39" t="str">
        <f t="shared" si="78"/>
        <v/>
      </c>
      <c r="R251" s="39" t="str">
        <f t="shared" si="79"/>
        <v/>
      </c>
      <c r="S251" t="str">
        <f t="shared" si="80"/>
        <v/>
      </c>
      <c r="T251" s="39" t="str">
        <f t="shared" si="81"/>
        <v/>
      </c>
      <c r="U251" t="str">
        <f t="shared" si="82"/>
        <v/>
      </c>
      <c r="V251" t="str">
        <f t="shared" si="83"/>
        <v/>
      </c>
      <c r="W251" t="str">
        <f t="shared" si="84"/>
        <v/>
      </c>
      <c r="X251" s="38" t="str">
        <f t="shared" si="85"/>
        <v/>
      </c>
      <c r="Y251" s="38" t="str">
        <f t="shared" si="86"/>
        <v/>
      </c>
      <c r="Z251" s="39" t="str">
        <f t="shared" si="87"/>
        <v/>
      </c>
      <c r="AA251" s="39" t="str">
        <f t="shared" si="88"/>
        <v/>
      </c>
      <c r="AB251" s="40" t="str">
        <f t="shared" si="89"/>
        <v/>
      </c>
      <c r="AC251" t="str">
        <f>IF(L251="","",IF(AND($AO$2=1,ISNA(MATCH(L251,'02-شباط'!$L$2:$L$501,0))),"محذوف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90"/>
        <v/>
      </c>
      <c r="AH251" s="39" t="str">
        <f t="shared" si="91"/>
        <v/>
      </c>
      <c r="AI251" s="39" t="str">
        <f t="shared" si="92"/>
        <v/>
      </c>
      <c r="AJ251" s="39" t="str">
        <f t="shared" si="93"/>
        <v/>
      </c>
      <c r="AK251" t="str">
        <f t="shared" si="94"/>
        <v/>
      </c>
      <c r="AL251" t="str">
        <f t="shared" si="95"/>
        <v/>
      </c>
    </row>
    <row r="252" spans="11:38" ht="15">
      <c r="K252" t="str">
        <f t="shared" si="72"/>
        <v/>
      </c>
      <c r="L252" t="str">
        <f t="shared" si="73"/>
        <v/>
      </c>
      <c r="M252" s="36" t="str">
        <f t="shared" si="74"/>
        <v/>
      </c>
      <c r="N252" s="37" t="str">
        <f t="shared" si="75"/>
        <v/>
      </c>
      <c r="O252" s="37" t="str">
        <f t="shared" si="76"/>
        <v/>
      </c>
      <c r="P252" s="38" t="str">
        <f t="shared" si="77"/>
        <v/>
      </c>
      <c r="Q252" s="39" t="str">
        <f t="shared" si="78"/>
        <v/>
      </c>
      <c r="R252" s="39" t="str">
        <f t="shared" si="79"/>
        <v/>
      </c>
      <c r="S252" t="str">
        <f t="shared" si="80"/>
        <v/>
      </c>
      <c r="T252" s="39" t="str">
        <f t="shared" si="81"/>
        <v/>
      </c>
      <c r="U252" t="str">
        <f t="shared" si="82"/>
        <v/>
      </c>
      <c r="V252" t="str">
        <f t="shared" si="83"/>
        <v/>
      </c>
      <c r="W252" t="str">
        <f t="shared" si="84"/>
        <v/>
      </c>
      <c r="X252" s="38" t="str">
        <f t="shared" si="85"/>
        <v/>
      </c>
      <c r="Y252" s="38" t="str">
        <f t="shared" si="86"/>
        <v/>
      </c>
      <c r="Z252" s="39" t="str">
        <f t="shared" si="87"/>
        <v/>
      </c>
      <c r="AA252" s="39" t="str">
        <f t="shared" si="88"/>
        <v/>
      </c>
      <c r="AB252" s="40" t="str">
        <f t="shared" si="89"/>
        <v/>
      </c>
      <c r="AC252" t="str">
        <f>IF(L252="","",IF(AND($AO$2=1,ISNA(MATCH(L252,'02-شباط'!$L$2:$L$501,0))),"محذوف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90"/>
        <v/>
      </c>
      <c r="AH252" s="39" t="str">
        <f t="shared" si="91"/>
        <v/>
      </c>
      <c r="AI252" s="39" t="str">
        <f t="shared" si="92"/>
        <v/>
      </c>
      <c r="AJ252" s="39" t="str">
        <f t="shared" si="93"/>
        <v/>
      </c>
      <c r="AK252" t="str">
        <f t="shared" si="94"/>
        <v/>
      </c>
      <c r="AL252" t="str">
        <f t="shared" si="95"/>
        <v/>
      </c>
    </row>
    <row r="253" spans="11:38" ht="15">
      <c r="K253" t="str">
        <f t="shared" si="72"/>
        <v/>
      </c>
      <c r="L253" t="str">
        <f t="shared" si="73"/>
        <v/>
      </c>
      <c r="M253" s="36" t="str">
        <f t="shared" si="74"/>
        <v/>
      </c>
      <c r="N253" s="37" t="str">
        <f t="shared" si="75"/>
        <v/>
      </c>
      <c r="O253" s="37" t="str">
        <f t="shared" si="76"/>
        <v/>
      </c>
      <c r="P253" s="38" t="str">
        <f t="shared" si="77"/>
        <v/>
      </c>
      <c r="Q253" s="39" t="str">
        <f t="shared" si="78"/>
        <v/>
      </c>
      <c r="R253" s="39" t="str">
        <f t="shared" si="79"/>
        <v/>
      </c>
      <c r="S253" t="str">
        <f t="shared" si="80"/>
        <v/>
      </c>
      <c r="T253" s="39" t="str">
        <f t="shared" si="81"/>
        <v/>
      </c>
      <c r="U253" t="str">
        <f t="shared" si="82"/>
        <v/>
      </c>
      <c r="V253" t="str">
        <f t="shared" si="83"/>
        <v/>
      </c>
      <c r="W253" t="str">
        <f t="shared" si="84"/>
        <v/>
      </c>
      <c r="X253" s="38" t="str">
        <f t="shared" si="85"/>
        <v/>
      </c>
      <c r="Y253" s="38" t="str">
        <f t="shared" si="86"/>
        <v/>
      </c>
      <c r="Z253" s="39" t="str">
        <f t="shared" si="87"/>
        <v/>
      </c>
      <c r="AA253" s="39" t="str">
        <f t="shared" si="88"/>
        <v/>
      </c>
      <c r="AB253" s="40" t="str">
        <f t="shared" si="89"/>
        <v/>
      </c>
      <c r="AC253" t="str">
        <f>IF(L253="","",IF(AND($AO$2=1,ISNA(MATCH(L253,'02-شباط'!$L$2:$L$501,0))),"محذوف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90"/>
        <v/>
      </c>
      <c r="AH253" s="39" t="str">
        <f t="shared" si="91"/>
        <v/>
      </c>
      <c r="AI253" s="39" t="str">
        <f t="shared" si="92"/>
        <v/>
      </c>
      <c r="AJ253" s="39" t="str">
        <f t="shared" si="93"/>
        <v/>
      </c>
      <c r="AK253" t="str">
        <f t="shared" si="94"/>
        <v/>
      </c>
      <c r="AL253" t="str">
        <f t="shared" si="95"/>
        <v/>
      </c>
    </row>
    <row r="254" spans="11:38" ht="15">
      <c r="K254" t="str">
        <f t="shared" si="72"/>
        <v/>
      </c>
      <c r="L254" t="str">
        <f t="shared" si="73"/>
        <v/>
      </c>
      <c r="M254" s="36" t="str">
        <f t="shared" si="74"/>
        <v/>
      </c>
      <c r="N254" s="37" t="str">
        <f t="shared" si="75"/>
        <v/>
      </c>
      <c r="O254" s="37" t="str">
        <f t="shared" si="76"/>
        <v/>
      </c>
      <c r="P254" s="38" t="str">
        <f t="shared" si="77"/>
        <v/>
      </c>
      <c r="Q254" s="39" t="str">
        <f t="shared" si="78"/>
        <v/>
      </c>
      <c r="R254" s="39" t="str">
        <f t="shared" si="79"/>
        <v/>
      </c>
      <c r="S254" t="str">
        <f t="shared" si="80"/>
        <v/>
      </c>
      <c r="T254" s="39" t="str">
        <f t="shared" si="81"/>
        <v/>
      </c>
      <c r="U254" t="str">
        <f t="shared" si="82"/>
        <v/>
      </c>
      <c r="V254" t="str">
        <f t="shared" si="83"/>
        <v/>
      </c>
      <c r="W254" t="str">
        <f t="shared" si="84"/>
        <v/>
      </c>
      <c r="X254" s="38" t="str">
        <f t="shared" si="85"/>
        <v/>
      </c>
      <c r="Y254" s="38" t="str">
        <f t="shared" si="86"/>
        <v/>
      </c>
      <c r="Z254" s="39" t="str">
        <f t="shared" si="87"/>
        <v/>
      </c>
      <c r="AA254" s="39" t="str">
        <f t="shared" si="88"/>
        <v/>
      </c>
      <c r="AB254" s="40" t="str">
        <f t="shared" si="89"/>
        <v/>
      </c>
      <c r="AC254" t="str">
        <f>IF(L254="","",IF(AND($AO$2=1,ISNA(MATCH(L254,'02-شباط'!$L$2:$L$501,0))),"محذوف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90"/>
        <v/>
      </c>
      <c r="AH254" s="39" t="str">
        <f t="shared" si="91"/>
        <v/>
      </c>
      <c r="AI254" s="39" t="str">
        <f t="shared" si="92"/>
        <v/>
      </c>
      <c r="AJ254" s="39" t="str">
        <f t="shared" si="93"/>
        <v/>
      </c>
      <c r="AK254" t="str">
        <f t="shared" si="94"/>
        <v/>
      </c>
      <c r="AL254" t="str">
        <f t="shared" si="95"/>
        <v/>
      </c>
    </row>
    <row r="255" spans="11:38" ht="15">
      <c r="K255" t="str">
        <f t="shared" si="72"/>
        <v/>
      </c>
      <c r="L255" t="str">
        <f t="shared" si="73"/>
        <v/>
      </c>
      <c r="M255" s="36" t="str">
        <f t="shared" si="74"/>
        <v/>
      </c>
      <c r="N255" s="37" t="str">
        <f t="shared" si="75"/>
        <v/>
      </c>
      <c r="O255" s="37" t="str">
        <f t="shared" si="76"/>
        <v/>
      </c>
      <c r="P255" s="38" t="str">
        <f t="shared" si="77"/>
        <v/>
      </c>
      <c r="Q255" s="39" t="str">
        <f t="shared" si="78"/>
        <v/>
      </c>
      <c r="R255" s="39" t="str">
        <f t="shared" si="79"/>
        <v/>
      </c>
      <c r="S255" t="str">
        <f t="shared" si="80"/>
        <v/>
      </c>
      <c r="T255" s="39" t="str">
        <f t="shared" si="81"/>
        <v/>
      </c>
      <c r="U255" t="str">
        <f t="shared" si="82"/>
        <v/>
      </c>
      <c r="V255" t="str">
        <f t="shared" si="83"/>
        <v/>
      </c>
      <c r="W255" t="str">
        <f t="shared" si="84"/>
        <v/>
      </c>
      <c r="X255" s="38" t="str">
        <f t="shared" si="85"/>
        <v/>
      </c>
      <c r="Y255" s="38" t="str">
        <f t="shared" si="86"/>
        <v/>
      </c>
      <c r="Z255" s="39" t="str">
        <f t="shared" si="87"/>
        <v/>
      </c>
      <c r="AA255" s="39" t="str">
        <f t="shared" si="88"/>
        <v/>
      </c>
      <c r="AB255" s="40" t="str">
        <f t="shared" si="89"/>
        <v/>
      </c>
      <c r="AC255" t="str">
        <f>IF(L255="","",IF(AND($AO$2=1,ISNA(MATCH(L255,'02-شباط'!$L$2:$L$501,0))),"محذوف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90"/>
        <v/>
      </c>
      <c r="AH255" s="39" t="str">
        <f t="shared" si="91"/>
        <v/>
      </c>
      <c r="AI255" s="39" t="str">
        <f t="shared" si="92"/>
        <v/>
      </c>
      <c r="AJ255" s="39" t="str">
        <f t="shared" si="93"/>
        <v/>
      </c>
      <c r="AK255" t="str">
        <f t="shared" si="94"/>
        <v/>
      </c>
      <c r="AL255" t="str">
        <f t="shared" si="95"/>
        <v/>
      </c>
    </row>
    <row r="256" spans="11:38" ht="15">
      <c r="K256" t="str">
        <f t="shared" si="72"/>
        <v/>
      </c>
      <c r="L256" t="str">
        <f t="shared" si="73"/>
        <v/>
      </c>
      <c r="M256" s="36" t="str">
        <f t="shared" si="74"/>
        <v/>
      </c>
      <c r="N256" s="37" t="str">
        <f t="shared" si="75"/>
        <v/>
      </c>
      <c r="O256" s="37" t="str">
        <f t="shared" si="76"/>
        <v/>
      </c>
      <c r="P256" s="38" t="str">
        <f t="shared" si="77"/>
        <v/>
      </c>
      <c r="Q256" s="39" t="str">
        <f t="shared" si="78"/>
        <v/>
      </c>
      <c r="R256" s="39" t="str">
        <f t="shared" si="79"/>
        <v/>
      </c>
      <c r="S256" t="str">
        <f t="shared" si="80"/>
        <v/>
      </c>
      <c r="T256" s="39" t="str">
        <f t="shared" si="81"/>
        <v/>
      </c>
      <c r="U256" t="str">
        <f t="shared" si="82"/>
        <v/>
      </c>
      <c r="V256" t="str">
        <f t="shared" si="83"/>
        <v/>
      </c>
      <c r="W256" t="str">
        <f t="shared" si="84"/>
        <v/>
      </c>
      <c r="X256" s="38" t="str">
        <f t="shared" si="85"/>
        <v/>
      </c>
      <c r="Y256" s="38" t="str">
        <f t="shared" si="86"/>
        <v/>
      </c>
      <c r="Z256" s="39" t="str">
        <f t="shared" si="87"/>
        <v/>
      </c>
      <c r="AA256" s="39" t="str">
        <f t="shared" si="88"/>
        <v/>
      </c>
      <c r="AB256" s="40" t="str">
        <f t="shared" si="89"/>
        <v/>
      </c>
      <c r="AC256" t="str">
        <f>IF(L256="","",IF(AND($AO$2=1,ISNA(MATCH(L256,'02-شباط'!$L$2:$L$501,0))),"محذوف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90"/>
        <v/>
      </c>
      <c r="AH256" s="39" t="str">
        <f t="shared" si="91"/>
        <v/>
      </c>
      <c r="AI256" s="39" t="str">
        <f t="shared" si="92"/>
        <v/>
      </c>
      <c r="AJ256" s="39" t="str">
        <f t="shared" si="93"/>
        <v/>
      </c>
      <c r="AK256" t="str">
        <f t="shared" si="94"/>
        <v/>
      </c>
      <c r="AL256" t="str">
        <f t="shared" si="95"/>
        <v/>
      </c>
    </row>
    <row r="257" spans="11:38" ht="15">
      <c r="K257" t="str">
        <f t="shared" si="72"/>
        <v/>
      </c>
      <c r="L257" t="str">
        <f t="shared" si="73"/>
        <v/>
      </c>
      <c r="M257" s="36" t="str">
        <f t="shared" si="74"/>
        <v/>
      </c>
      <c r="N257" s="37" t="str">
        <f t="shared" si="75"/>
        <v/>
      </c>
      <c r="O257" s="37" t="str">
        <f t="shared" si="76"/>
        <v/>
      </c>
      <c r="P257" s="38" t="str">
        <f t="shared" si="77"/>
        <v/>
      </c>
      <c r="Q257" s="39" t="str">
        <f t="shared" si="78"/>
        <v/>
      </c>
      <c r="R257" s="39" t="str">
        <f t="shared" si="79"/>
        <v/>
      </c>
      <c r="S257" t="str">
        <f t="shared" si="80"/>
        <v/>
      </c>
      <c r="T257" s="39" t="str">
        <f t="shared" si="81"/>
        <v/>
      </c>
      <c r="U257" t="str">
        <f t="shared" si="82"/>
        <v/>
      </c>
      <c r="V257" t="str">
        <f t="shared" si="83"/>
        <v/>
      </c>
      <c r="W257" t="str">
        <f t="shared" si="84"/>
        <v/>
      </c>
      <c r="X257" s="38" t="str">
        <f t="shared" si="85"/>
        <v/>
      </c>
      <c r="Y257" s="38" t="str">
        <f t="shared" si="86"/>
        <v/>
      </c>
      <c r="Z257" s="39" t="str">
        <f t="shared" si="87"/>
        <v/>
      </c>
      <c r="AA257" s="39" t="str">
        <f t="shared" si="88"/>
        <v/>
      </c>
      <c r="AB257" s="40" t="str">
        <f t="shared" si="89"/>
        <v/>
      </c>
      <c r="AC257" t="str">
        <f>IF(L257="","",IF(AND($AO$2=1,ISNA(MATCH(L257,'02-شباط'!$L$2:$L$501,0))),"محذوف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90"/>
        <v/>
      </c>
      <c r="AH257" s="39" t="str">
        <f t="shared" si="91"/>
        <v/>
      </c>
      <c r="AI257" s="39" t="str">
        <f t="shared" si="92"/>
        <v/>
      </c>
      <c r="AJ257" s="39" t="str">
        <f t="shared" si="93"/>
        <v/>
      </c>
      <c r="AK257" t="str">
        <f t="shared" si="94"/>
        <v/>
      </c>
      <c r="AL257" t="str">
        <f t="shared" si="95"/>
        <v/>
      </c>
    </row>
    <row r="258" spans="11:38" ht="15">
      <c r="K258" t="str">
        <f t="shared" ref="K258:K321" si="96">IF(L258="","",IF(U258&lt;&gt;"","⚠",""))</f>
        <v/>
      </c>
      <c r="L258" t="str">
        <f t="shared" ref="L258:L321" si="97">IF(A258="","",TRIM(A258))</f>
        <v/>
      </c>
      <c r="M258" s="36" t="str">
        <f t="shared" ref="M258:M321" si="98">IF(L258="","",IF(ISNUMBER(SEARCH("دولار",F258)),1,IF(ISNUMBER(SEARCH("ليرة",F258)),IF($AO$3&gt;0,1/$AO$3,0),0)))</f>
        <v/>
      </c>
      <c r="N258" s="37" t="str">
        <f t="shared" ref="N258:N321" si="99">IF(L258="","",N(I258)*M258)</f>
        <v/>
      </c>
      <c r="O258" s="37" t="str">
        <f t="shared" ref="O258:O321" si="100">IF(L258="","",M258*CHOOSE($AO$4,N(C258),N(D258),N(E258)))</f>
        <v/>
      </c>
      <c r="P258" s="38" t="str">
        <f t="shared" ref="P258:P321" si="101">IF(L258="","",MAX(N(B258),0))</f>
        <v/>
      </c>
      <c r="Q258" s="39" t="str">
        <f t="shared" ref="Q258:Q321" si="102">IF(L258="","",P258*N258)</f>
        <v/>
      </c>
      <c r="R258" s="39" t="str">
        <f t="shared" ref="R258:R321" si="103">IF(L258="","",P258*O258)</f>
        <v/>
      </c>
      <c r="S258" t="str">
        <f t="shared" ref="S258:S321" si="104">IF(L258="","",IF(AND(P258&gt;0,N258&gt;0,O258&gt;0),1,0))</f>
        <v/>
      </c>
      <c r="T258" s="39" t="str">
        <f t="shared" ref="T258:T321" si="105">IF(L258="","",S258*(R258-Q258))</f>
        <v/>
      </c>
      <c r="U258" t="str">
        <f t="shared" ref="U258:U321" si="106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 t="shared" ref="V258:V321" si="107">IF(L258="","",0)</f>
        <v/>
      </c>
      <c r="W258" t="str">
        <f t="shared" ref="W258:W321" si="108">IF(L258="","",IF(AND($AO$1=1,V258=0),"جديد",""))</f>
        <v/>
      </c>
      <c r="X258" s="38" t="str">
        <f t="shared" ref="X258:X321" si="109">IF(L258="","","")</f>
        <v/>
      </c>
      <c r="Y258" s="38" t="str">
        <f t="shared" ref="Y258:Y321" si="110">IF(OR(L258="",X258=""),"",P258-X258)</f>
        <v/>
      </c>
      <c r="Z258" s="39" t="str">
        <f t="shared" ref="Z258:Z321" si="111">IF(L258="","","")</f>
        <v/>
      </c>
      <c r="AA258" s="39" t="str">
        <f t="shared" ref="AA258:AA321" si="112">IF(OR(L258="",Z258=""),"",Q258-Z258)</f>
        <v/>
      </c>
      <c r="AB258" s="40" t="str">
        <f t="shared" ref="AB258:AB321" si="113">IF(L258="","","")</f>
        <v/>
      </c>
      <c r="AC258" t="str">
        <f>IF(L258="","",IF(AND($AO$2=1,ISNA(MATCH(L258,'02-شباط'!$L$2:$L$501,0))),"محذوف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114">IF(AA258="","",ABS(AA258)+ROW()/1000000000)</f>
        <v/>
      </c>
      <c r="AH258" s="39" t="str">
        <f t="shared" ref="AH258:AH321" si="115">IF(L258="","",IF(AND(P258&gt;0,N258&gt;0,N(C258)&gt;0),P258*(M258*N(C258)-N258),0))</f>
        <v/>
      </c>
      <c r="AI258" s="39" t="str">
        <f t="shared" ref="AI258:AI321" si="116">IF(L258="","",IF(AND(P258&gt;0,N258&gt;0,N(D258)&gt;0),P258*(M258*N(D258)-N258),0))</f>
        <v/>
      </c>
      <c r="AJ258" s="39" t="str">
        <f t="shared" ref="AJ258:AJ321" si="117">IF(L258="","",IF(AND(P258&gt;0,N258&gt;0,N(E258)&gt;0),P258*(M258*N(E258)-N258),0))</f>
        <v/>
      </c>
      <c r="AK258" t="str">
        <f t="shared" ref="AK258:AK321" si="118">IF(L258="","",Q258+ROW()/1000000000)</f>
        <v/>
      </c>
      <c r="AL258" t="str">
        <f t="shared" ref="AL258:AL321" si="119">IF(L258="","",T258+ROW()/1000000000)</f>
        <v/>
      </c>
    </row>
    <row r="259" spans="11:38" ht="15">
      <c r="K259" t="str">
        <f t="shared" si="96"/>
        <v/>
      </c>
      <c r="L259" t="str">
        <f t="shared" si="97"/>
        <v/>
      </c>
      <c r="M259" s="36" t="str">
        <f t="shared" si="98"/>
        <v/>
      </c>
      <c r="N259" s="37" t="str">
        <f t="shared" si="99"/>
        <v/>
      </c>
      <c r="O259" s="37" t="str">
        <f t="shared" si="100"/>
        <v/>
      </c>
      <c r="P259" s="38" t="str">
        <f t="shared" si="101"/>
        <v/>
      </c>
      <c r="Q259" s="39" t="str">
        <f t="shared" si="102"/>
        <v/>
      </c>
      <c r="R259" s="39" t="str">
        <f t="shared" si="103"/>
        <v/>
      </c>
      <c r="S259" t="str">
        <f t="shared" si="104"/>
        <v/>
      </c>
      <c r="T259" s="39" t="str">
        <f t="shared" si="105"/>
        <v/>
      </c>
      <c r="U259" t="str">
        <f t="shared" si="106"/>
        <v/>
      </c>
      <c r="V259" t="str">
        <f t="shared" si="107"/>
        <v/>
      </c>
      <c r="W259" t="str">
        <f t="shared" si="108"/>
        <v/>
      </c>
      <c r="X259" s="38" t="str">
        <f t="shared" si="109"/>
        <v/>
      </c>
      <c r="Y259" s="38" t="str">
        <f t="shared" si="110"/>
        <v/>
      </c>
      <c r="Z259" s="39" t="str">
        <f t="shared" si="111"/>
        <v/>
      </c>
      <c r="AA259" s="39" t="str">
        <f t="shared" si="112"/>
        <v/>
      </c>
      <c r="AB259" s="40" t="str">
        <f t="shared" si="113"/>
        <v/>
      </c>
      <c r="AC259" t="str">
        <f>IF(L259="","",IF(AND($AO$2=1,ISNA(MATCH(L259,'02-شباط'!$L$2:$L$501,0))),"محذوف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114"/>
        <v/>
      </c>
      <c r="AH259" s="39" t="str">
        <f t="shared" si="115"/>
        <v/>
      </c>
      <c r="AI259" s="39" t="str">
        <f t="shared" si="116"/>
        <v/>
      </c>
      <c r="AJ259" s="39" t="str">
        <f t="shared" si="117"/>
        <v/>
      </c>
      <c r="AK259" t="str">
        <f t="shared" si="118"/>
        <v/>
      </c>
      <c r="AL259" t="str">
        <f t="shared" si="119"/>
        <v/>
      </c>
    </row>
    <row r="260" spans="11:38" ht="15">
      <c r="K260" t="str">
        <f t="shared" si="96"/>
        <v/>
      </c>
      <c r="L260" t="str">
        <f t="shared" si="97"/>
        <v/>
      </c>
      <c r="M260" s="36" t="str">
        <f t="shared" si="98"/>
        <v/>
      </c>
      <c r="N260" s="37" t="str">
        <f t="shared" si="99"/>
        <v/>
      </c>
      <c r="O260" s="37" t="str">
        <f t="shared" si="100"/>
        <v/>
      </c>
      <c r="P260" s="38" t="str">
        <f t="shared" si="101"/>
        <v/>
      </c>
      <c r="Q260" s="39" t="str">
        <f t="shared" si="102"/>
        <v/>
      </c>
      <c r="R260" s="39" t="str">
        <f t="shared" si="103"/>
        <v/>
      </c>
      <c r="S260" t="str">
        <f t="shared" si="104"/>
        <v/>
      </c>
      <c r="T260" s="39" t="str">
        <f t="shared" si="105"/>
        <v/>
      </c>
      <c r="U260" t="str">
        <f t="shared" si="106"/>
        <v/>
      </c>
      <c r="V260" t="str">
        <f t="shared" si="107"/>
        <v/>
      </c>
      <c r="W260" t="str">
        <f t="shared" si="108"/>
        <v/>
      </c>
      <c r="X260" s="38" t="str">
        <f t="shared" si="109"/>
        <v/>
      </c>
      <c r="Y260" s="38" t="str">
        <f t="shared" si="110"/>
        <v/>
      </c>
      <c r="Z260" s="39" t="str">
        <f t="shared" si="111"/>
        <v/>
      </c>
      <c r="AA260" s="39" t="str">
        <f t="shared" si="112"/>
        <v/>
      </c>
      <c r="AB260" s="40" t="str">
        <f t="shared" si="113"/>
        <v/>
      </c>
      <c r="AC260" t="str">
        <f>IF(L260="","",IF(AND($AO$2=1,ISNA(MATCH(L260,'02-شباط'!$L$2:$L$501,0))),"محذوف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114"/>
        <v/>
      </c>
      <c r="AH260" s="39" t="str">
        <f t="shared" si="115"/>
        <v/>
      </c>
      <c r="AI260" s="39" t="str">
        <f t="shared" si="116"/>
        <v/>
      </c>
      <c r="AJ260" s="39" t="str">
        <f t="shared" si="117"/>
        <v/>
      </c>
      <c r="AK260" t="str">
        <f t="shared" si="118"/>
        <v/>
      </c>
      <c r="AL260" t="str">
        <f t="shared" si="119"/>
        <v/>
      </c>
    </row>
    <row r="261" spans="11:38" ht="15">
      <c r="K261" t="str">
        <f t="shared" si="96"/>
        <v/>
      </c>
      <c r="L261" t="str">
        <f t="shared" si="97"/>
        <v/>
      </c>
      <c r="M261" s="36" t="str">
        <f t="shared" si="98"/>
        <v/>
      </c>
      <c r="N261" s="37" t="str">
        <f t="shared" si="99"/>
        <v/>
      </c>
      <c r="O261" s="37" t="str">
        <f t="shared" si="100"/>
        <v/>
      </c>
      <c r="P261" s="38" t="str">
        <f t="shared" si="101"/>
        <v/>
      </c>
      <c r="Q261" s="39" t="str">
        <f t="shared" si="102"/>
        <v/>
      </c>
      <c r="R261" s="39" t="str">
        <f t="shared" si="103"/>
        <v/>
      </c>
      <c r="S261" t="str">
        <f t="shared" si="104"/>
        <v/>
      </c>
      <c r="T261" s="39" t="str">
        <f t="shared" si="105"/>
        <v/>
      </c>
      <c r="U261" t="str">
        <f t="shared" si="106"/>
        <v/>
      </c>
      <c r="V261" t="str">
        <f t="shared" si="107"/>
        <v/>
      </c>
      <c r="W261" t="str">
        <f t="shared" si="108"/>
        <v/>
      </c>
      <c r="X261" s="38" t="str">
        <f t="shared" si="109"/>
        <v/>
      </c>
      <c r="Y261" s="38" t="str">
        <f t="shared" si="110"/>
        <v/>
      </c>
      <c r="Z261" s="39" t="str">
        <f t="shared" si="111"/>
        <v/>
      </c>
      <c r="AA261" s="39" t="str">
        <f t="shared" si="112"/>
        <v/>
      </c>
      <c r="AB261" s="40" t="str">
        <f t="shared" si="113"/>
        <v/>
      </c>
      <c r="AC261" t="str">
        <f>IF(L261="","",IF(AND($AO$2=1,ISNA(MATCH(L261,'02-شباط'!$L$2:$L$501,0))),"محذوف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114"/>
        <v/>
      </c>
      <c r="AH261" s="39" t="str">
        <f t="shared" si="115"/>
        <v/>
      </c>
      <c r="AI261" s="39" t="str">
        <f t="shared" si="116"/>
        <v/>
      </c>
      <c r="AJ261" s="39" t="str">
        <f t="shared" si="117"/>
        <v/>
      </c>
      <c r="AK261" t="str">
        <f t="shared" si="118"/>
        <v/>
      </c>
      <c r="AL261" t="str">
        <f t="shared" si="119"/>
        <v/>
      </c>
    </row>
    <row r="262" spans="11:38" ht="15">
      <c r="K262" t="str">
        <f t="shared" si="96"/>
        <v/>
      </c>
      <c r="L262" t="str">
        <f t="shared" si="97"/>
        <v/>
      </c>
      <c r="M262" s="36" t="str">
        <f t="shared" si="98"/>
        <v/>
      </c>
      <c r="N262" s="37" t="str">
        <f t="shared" si="99"/>
        <v/>
      </c>
      <c r="O262" s="37" t="str">
        <f t="shared" si="100"/>
        <v/>
      </c>
      <c r="P262" s="38" t="str">
        <f t="shared" si="101"/>
        <v/>
      </c>
      <c r="Q262" s="39" t="str">
        <f t="shared" si="102"/>
        <v/>
      </c>
      <c r="R262" s="39" t="str">
        <f t="shared" si="103"/>
        <v/>
      </c>
      <c r="S262" t="str">
        <f t="shared" si="104"/>
        <v/>
      </c>
      <c r="T262" s="39" t="str">
        <f t="shared" si="105"/>
        <v/>
      </c>
      <c r="U262" t="str">
        <f t="shared" si="106"/>
        <v/>
      </c>
      <c r="V262" t="str">
        <f t="shared" si="107"/>
        <v/>
      </c>
      <c r="W262" t="str">
        <f t="shared" si="108"/>
        <v/>
      </c>
      <c r="X262" s="38" t="str">
        <f t="shared" si="109"/>
        <v/>
      </c>
      <c r="Y262" s="38" t="str">
        <f t="shared" si="110"/>
        <v/>
      </c>
      <c r="Z262" s="39" t="str">
        <f t="shared" si="111"/>
        <v/>
      </c>
      <c r="AA262" s="39" t="str">
        <f t="shared" si="112"/>
        <v/>
      </c>
      <c r="AB262" s="40" t="str">
        <f t="shared" si="113"/>
        <v/>
      </c>
      <c r="AC262" t="str">
        <f>IF(L262="","",IF(AND($AO$2=1,ISNA(MATCH(L262,'02-شباط'!$L$2:$L$501,0))),"محذوف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114"/>
        <v/>
      </c>
      <c r="AH262" s="39" t="str">
        <f t="shared" si="115"/>
        <v/>
      </c>
      <c r="AI262" s="39" t="str">
        <f t="shared" si="116"/>
        <v/>
      </c>
      <c r="AJ262" s="39" t="str">
        <f t="shared" si="117"/>
        <v/>
      </c>
      <c r="AK262" t="str">
        <f t="shared" si="118"/>
        <v/>
      </c>
      <c r="AL262" t="str">
        <f t="shared" si="119"/>
        <v/>
      </c>
    </row>
    <row r="263" spans="11:38" ht="15">
      <c r="K263" t="str">
        <f t="shared" si="96"/>
        <v/>
      </c>
      <c r="L263" t="str">
        <f t="shared" si="97"/>
        <v/>
      </c>
      <c r="M263" s="36" t="str">
        <f t="shared" si="98"/>
        <v/>
      </c>
      <c r="N263" s="37" t="str">
        <f t="shared" si="99"/>
        <v/>
      </c>
      <c r="O263" s="37" t="str">
        <f t="shared" si="100"/>
        <v/>
      </c>
      <c r="P263" s="38" t="str">
        <f t="shared" si="101"/>
        <v/>
      </c>
      <c r="Q263" s="39" t="str">
        <f t="shared" si="102"/>
        <v/>
      </c>
      <c r="R263" s="39" t="str">
        <f t="shared" si="103"/>
        <v/>
      </c>
      <c r="S263" t="str">
        <f t="shared" si="104"/>
        <v/>
      </c>
      <c r="T263" s="39" t="str">
        <f t="shared" si="105"/>
        <v/>
      </c>
      <c r="U263" t="str">
        <f t="shared" si="106"/>
        <v/>
      </c>
      <c r="V263" t="str">
        <f t="shared" si="107"/>
        <v/>
      </c>
      <c r="W263" t="str">
        <f t="shared" si="108"/>
        <v/>
      </c>
      <c r="X263" s="38" t="str">
        <f t="shared" si="109"/>
        <v/>
      </c>
      <c r="Y263" s="38" t="str">
        <f t="shared" si="110"/>
        <v/>
      </c>
      <c r="Z263" s="39" t="str">
        <f t="shared" si="111"/>
        <v/>
      </c>
      <c r="AA263" s="39" t="str">
        <f t="shared" si="112"/>
        <v/>
      </c>
      <c r="AB263" s="40" t="str">
        <f t="shared" si="113"/>
        <v/>
      </c>
      <c r="AC263" t="str">
        <f>IF(L263="","",IF(AND($AO$2=1,ISNA(MATCH(L263,'02-شباط'!$L$2:$L$501,0))),"محذوف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114"/>
        <v/>
      </c>
      <c r="AH263" s="39" t="str">
        <f t="shared" si="115"/>
        <v/>
      </c>
      <c r="AI263" s="39" t="str">
        <f t="shared" si="116"/>
        <v/>
      </c>
      <c r="AJ263" s="39" t="str">
        <f t="shared" si="117"/>
        <v/>
      </c>
      <c r="AK263" t="str">
        <f t="shared" si="118"/>
        <v/>
      </c>
      <c r="AL263" t="str">
        <f t="shared" si="119"/>
        <v/>
      </c>
    </row>
    <row r="264" spans="11:38" ht="15">
      <c r="K264" t="str">
        <f t="shared" si="96"/>
        <v/>
      </c>
      <c r="L264" t="str">
        <f t="shared" si="97"/>
        <v/>
      </c>
      <c r="M264" s="36" t="str">
        <f t="shared" si="98"/>
        <v/>
      </c>
      <c r="N264" s="37" t="str">
        <f t="shared" si="99"/>
        <v/>
      </c>
      <c r="O264" s="37" t="str">
        <f t="shared" si="100"/>
        <v/>
      </c>
      <c r="P264" s="38" t="str">
        <f t="shared" si="101"/>
        <v/>
      </c>
      <c r="Q264" s="39" t="str">
        <f t="shared" si="102"/>
        <v/>
      </c>
      <c r="R264" s="39" t="str">
        <f t="shared" si="103"/>
        <v/>
      </c>
      <c r="S264" t="str">
        <f t="shared" si="104"/>
        <v/>
      </c>
      <c r="T264" s="39" t="str">
        <f t="shared" si="105"/>
        <v/>
      </c>
      <c r="U264" t="str">
        <f t="shared" si="106"/>
        <v/>
      </c>
      <c r="V264" t="str">
        <f t="shared" si="107"/>
        <v/>
      </c>
      <c r="W264" t="str">
        <f t="shared" si="108"/>
        <v/>
      </c>
      <c r="X264" s="38" t="str">
        <f t="shared" si="109"/>
        <v/>
      </c>
      <c r="Y264" s="38" t="str">
        <f t="shared" si="110"/>
        <v/>
      </c>
      <c r="Z264" s="39" t="str">
        <f t="shared" si="111"/>
        <v/>
      </c>
      <c r="AA264" s="39" t="str">
        <f t="shared" si="112"/>
        <v/>
      </c>
      <c r="AB264" s="40" t="str">
        <f t="shared" si="113"/>
        <v/>
      </c>
      <c r="AC264" t="str">
        <f>IF(L264="","",IF(AND($AO$2=1,ISNA(MATCH(L264,'02-شباط'!$L$2:$L$501,0))),"محذوف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114"/>
        <v/>
      </c>
      <c r="AH264" s="39" t="str">
        <f t="shared" si="115"/>
        <v/>
      </c>
      <c r="AI264" s="39" t="str">
        <f t="shared" si="116"/>
        <v/>
      </c>
      <c r="AJ264" s="39" t="str">
        <f t="shared" si="117"/>
        <v/>
      </c>
      <c r="AK264" t="str">
        <f t="shared" si="118"/>
        <v/>
      </c>
      <c r="AL264" t="str">
        <f t="shared" si="119"/>
        <v/>
      </c>
    </row>
    <row r="265" spans="11:38" ht="15">
      <c r="K265" t="str">
        <f t="shared" si="96"/>
        <v/>
      </c>
      <c r="L265" t="str">
        <f t="shared" si="97"/>
        <v/>
      </c>
      <c r="M265" s="36" t="str">
        <f t="shared" si="98"/>
        <v/>
      </c>
      <c r="N265" s="37" t="str">
        <f t="shared" si="99"/>
        <v/>
      </c>
      <c r="O265" s="37" t="str">
        <f t="shared" si="100"/>
        <v/>
      </c>
      <c r="P265" s="38" t="str">
        <f t="shared" si="101"/>
        <v/>
      </c>
      <c r="Q265" s="39" t="str">
        <f t="shared" si="102"/>
        <v/>
      </c>
      <c r="R265" s="39" t="str">
        <f t="shared" si="103"/>
        <v/>
      </c>
      <c r="S265" t="str">
        <f t="shared" si="104"/>
        <v/>
      </c>
      <c r="T265" s="39" t="str">
        <f t="shared" si="105"/>
        <v/>
      </c>
      <c r="U265" t="str">
        <f t="shared" si="106"/>
        <v/>
      </c>
      <c r="V265" t="str">
        <f t="shared" si="107"/>
        <v/>
      </c>
      <c r="W265" t="str">
        <f t="shared" si="108"/>
        <v/>
      </c>
      <c r="X265" s="38" t="str">
        <f t="shared" si="109"/>
        <v/>
      </c>
      <c r="Y265" s="38" t="str">
        <f t="shared" si="110"/>
        <v/>
      </c>
      <c r="Z265" s="39" t="str">
        <f t="shared" si="111"/>
        <v/>
      </c>
      <c r="AA265" s="39" t="str">
        <f t="shared" si="112"/>
        <v/>
      </c>
      <c r="AB265" s="40" t="str">
        <f t="shared" si="113"/>
        <v/>
      </c>
      <c r="AC265" t="str">
        <f>IF(L265="","",IF(AND($AO$2=1,ISNA(MATCH(L265,'02-شباط'!$L$2:$L$501,0))),"محذوف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114"/>
        <v/>
      </c>
      <c r="AH265" s="39" t="str">
        <f t="shared" si="115"/>
        <v/>
      </c>
      <c r="AI265" s="39" t="str">
        <f t="shared" si="116"/>
        <v/>
      </c>
      <c r="AJ265" s="39" t="str">
        <f t="shared" si="117"/>
        <v/>
      </c>
      <c r="AK265" t="str">
        <f t="shared" si="118"/>
        <v/>
      </c>
      <c r="AL265" t="str">
        <f t="shared" si="119"/>
        <v/>
      </c>
    </row>
    <row r="266" spans="11:38" ht="15">
      <c r="K266" t="str">
        <f t="shared" si="96"/>
        <v/>
      </c>
      <c r="L266" t="str">
        <f t="shared" si="97"/>
        <v/>
      </c>
      <c r="M266" s="36" t="str">
        <f t="shared" si="98"/>
        <v/>
      </c>
      <c r="N266" s="37" t="str">
        <f t="shared" si="99"/>
        <v/>
      </c>
      <c r="O266" s="37" t="str">
        <f t="shared" si="100"/>
        <v/>
      </c>
      <c r="P266" s="38" t="str">
        <f t="shared" si="101"/>
        <v/>
      </c>
      <c r="Q266" s="39" t="str">
        <f t="shared" si="102"/>
        <v/>
      </c>
      <c r="R266" s="39" t="str">
        <f t="shared" si="103"/>
        <v/>
      </c>
      <c r="S266" t="str">
        <f t="shared" si="104"/>
        <v/>
      </c>
      <c r="T266" s="39" t="str">
        <f t="shared" si="105"/>
        <v/>
      </c>
      <c r="U266" t="str">
        <f t="shared" si="106"/>
        <v/>
      </c>
      <c r="V266" t="str">
        <f t="shared" si="107"/>
        <v/>
      </c>
      <c r="W266" t="str">
        <f t="shared" si="108"/>
        <v/>
      </c>
      <c r="X266" s="38" t="str">
        <f t="shared" si="109"/>
        <v/>
      </c>
      <c r="Y266" s="38" t="str">
        <f t="shared" si="110"/>
        <v/>
      </c>
      <c r="Z266" s="39" t="str">
        <f t="shared" si="111"/>
        <v/>
      </c>
      <c r="AA266" s="39" t="str">
        <f t="shared" si="112"/>
        <v/>
      </c>
      <c r="AB266" s="40" t="str">
        <f t="shared" si="113"/>
        <v/>
      </c>
      <c r="AC266" t="str">
        <f>IF(L266="","",IF(AND($AO$2=1,ISNA(MATCH(L266,'02-شباط'!$L$2:$L$501,0))),"محذوف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114"/>
        <v/>
      </c>
      <c r="AH266" s="39" t="str">
        <f t="shared" si="115"/>
        <v/>
      </c>
      <c r="AI266" s="39" t="str">
        <f t="shared" si="116"/>
        <v/>
      </c>
      <c r="AJ266" s="39" t="str">
        <f t="shared" si="117"/>
        <v/>
      </c>
      <c r="AK266" t="str">
        <f t="shared" si="118"/>
        <v/>
      </c>
      <c r="AL266" t="str">
        <f t="shared" si="119"/>
        <v/>
      </c>
    </row>
    <row r="267" spans="11:38" ht="15">
      <c r="K267" t="str">
        <f t="shared" si="96"/>
        <v/>
      </c>
      <c r="L267" t="str">
        <f t="shared" si="97"/>
        <v/>
      </c>
      <c r="M267" s="36" t="str">
        <f t="shared" si="98"/>
        <v/>
      </c>
      <c r="N267" s="37" t="str">
        <f t="shared" si="99"/>
        <v/>
      </c>
      <c r="O267" s="37" t="str">
        <f t="shared" si="100"/>
        <v/>
      </c>
      <c r="P267" s="38" t="str">
        <f t="shared" si="101"/>
        <v/>
      </c>
      <c r="Q267" s="39" t="str">
        <f t="shared" si="102"/>
        <v/>
      </c>
      <c r="R267" s="39" t="str">
        <f t="shared" si="103"/>
        <v/>
      </c>
      <c r="S267" t="str">
        <f t="shared" si="104"/>
        <v/>
      </c>
      <c r="T267" s="39" t="str">
        <f t="shared" si="105"/>
        <v/>
      </c>
      <c r="U267" t="str">
        <f t="shared" si="106"/>
        <v/>
      </c>
      <c r="V267" t="str">
        <f t="shared" si="107"/>
        <v/>
      </c>
      <c r="W267" t="str">
        <f t="shared" si="108"/>
        <v/>
      </c>
      <c r="X267" s="38" t="str">
        <f t="shared" si="109"/>
        <v/>
      </c>
      <c r="Y267" s="38" t="str">
        <f t="shared" si="110"/>
        <v/>
      </c>
      <c r="Z267" s="39" t="str">
        <f t="shared" si="111"/>
        <v/>
      </c>
      <c r="AA267" s="39" t="str">
        <f t="shared" si="112"/>
        <v/>
      </c>
      <c r="AB267" s="40" t="str">
        <f t="shared" si="113"/>
        <v/>
      </c>
      <c r="AC267" t="str">
        <f>IF(L267="","",IF(AND($AO$2=1,ISNA(MATCH(L267,'02-شباط'!$L$2:$L$501,0))),"محذوف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114"/>
        <v/>
      </c>
      <c r="AH267" s="39" t="str">
        <f t="shared" si="115"/>
        <v/>
      </c>
      <c r="AI267" s="39" t="str">
        <f t="shared" si="116"/>
        <v/>
      </c>
      <c r="AJ267" s="39" t="str">
        <f t="shared" si="117"/>
        <v/>
      </c>
      <c r="AK267" t="str">
        <f t="shared" si="118"/>
        <v/>
      </c>
      <c r="AL267" t="str">
        <f t="shared" si="119"/>
        <v/>
      </c>
    </row>
    <row r="268" spans="11:38" ht="15">
      <c r="K268" t="str">
        <f t="shared" si="96"/>
        <v/>
      </c>
      <c r="L268" t="str">
        <f t="shared" si="97"/>
        <v/>
      </c>
      <c r="M268" s="36" t="str">
        <f t="shared" si="98"/>
        <v/>
      </c>
      <c r="N268" s="37" t="str">
        <f t="shared" si="99"/>
        <v/>
      </c>
      <c r="O268" s="37" t="str">
        <f t="shared" si="100"/>
        <v/>
      </c>
      <c r="P268" s="38" t="str">
        <f t="shared" si="101"/>
        <v/>
      </c>
      <c r="Q268" s="39" t="str">
        <f t="shared" si="102"/>
        <v/>
      </c>
      <c r="R268" s="39" t="str">
        <f t="shared" si="103"/>
        <v/>
      </c>
      <c r="S268" t="str">
        <f t="shared" si="104"/>
        <v/>
      </c>
      <c r="T268" s="39" t="str">
        <f t="shared" si="105"/>
        <v/>
      </c>
      <c r="U268" t="str">
        <f t="shared" si="106"/>
        <v/>
      </c>
      <c r="V268" t="str">
        <f t="shared" si="107"/>
        <v/>
      </c>
      <c r="W268" t="str">
        <f t="shared" si="108"/>
        <v/>
      </c>
      <c r="X268" s="38" t="str">
        <f t="shared" si="109"/>
        <v/>
      </c>
      <c r="Y268" s="38" t="str">
        <f t="shared" si="110"/>
        <v/>
      </c>
      <c r="Z268" s="39" t="str">
        <f t="shared" si="111"/>
        <v/>
      </c>
      <c r="AA268" s="39" t="str">
        <f t="shared" si="112"/>
        <v/>
      </c>
      <c r="AB268" s="40" t="str">
        <f t="shared" si="113"/>
        <v/>
      </c>
      <c r="AC268" t="str">
        <f>IF(L268="","",IF(AND($AO$2=1,ISNA(MATCH(L268,'02-شباط'!$L$2:$L$501,0))),"محذوف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114"/>
        <v/>
      </c>
      <c r="AH268" s="39" t="str">
        <f t="shared" si="115"/>
        <v/>
      </c>
      <c r="AI268" s="39" t="str">
        <f t="shared" si="116"/>
        <v/>
      </c>
      <c r="AJ268" s="39" t="str">
        <f t="shared" si="117"/>
        <v/>
      </c>
      <c r="AK268" t="str">
        <f t="shared" si="118"/>
        <v/>
      </c>
      <c r="AL268" t="str">
        <f t="shared" si="119"/>
        <v/>
      </c>
    </row>
    <row r="269" spans="11:38" ht="15">
      <c r="K269" t="str">
        <f t="shared" si="96"/>
        <v/>
      </c>
      <c r="L269" t="str">
        <f t="shared" si="97"/>
        <v/>
      </c>
      <c r="M269" s="36" t="str">
        <f t="shared" si="98"/>
        <v/>
      </c>
      <c r="N269" s="37" t="str">
        <f t="shared" si="99"/>
        <v/>
      </c>
      <c r="O269" s="37" t="str">
        <f t="shared" si="100"/>
        <v/>
      </c>
      <c r="P269" s="38" t="str">
        <f t="shared" si="101"/>
        <v/>
      </c>
      <c r="Q269" s="39" t="str">
        <f t="shared" si="102"/>
        <v/>
      </c>
      <c r="R269" s="39" t="str">
        <f t="shared" si="103"/>
        <v/>
      </c>
      <c r="S269" t="str">
        <f t="shared" si="104"/>
        <v/>
      </c>
      <c r="T269" s="39" t="str">
        <f t="shared" si="105"/>
        <v/>
      </c>
      <c r="U269" t="str">
        <f t="shared" si="106"/>
        <v/>
      </c>
      <c r="V269" t="str">
        <f t="shared" si="107"/>
        <v/>
      </c>
      <c r="W269" t="str">
        <f t="shared" si="108"/>
        <v/>
      </c>
      <c r="X269" s="38" t="str">
        <f t="shared" si="109"/>
        <v/>
      </c>
      <c r="Y269" s="38" t="str">
        <f t="shared" si="110"/>
        <v/>
      </c>
      <c r="Z269" s="39" t="str">
        <f t="shared" si="111"/>
        <v/>
      </c>
      <c r="AA269" s="39" t="str">
        <f t="shared" si="112"/>
        <v/>
      </c>
      <c r="AB269" s="40" t="str">
        <f t="shared" si="113"/>
        <v/>
      </c>
      <c r="AC269" t="str">
        <f>IF(L269="","",IF(AND($AO$2=1,ISNA(MATCH(L269,'02-شباط'!$L$2:$L$501,0))),"محذوف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114"/>
        <v/>
      </c>
      <c r="AH269" s="39" t="str">
        <f t="shared" si="115"/>
        <v/>
      </c>
      <c r="AI269" s="39" t="str">
        <f t="shared" si="116"/>
        <v/>
      </c>
      <c r="AJ269" s="39" t="str">
        <f t="shared" si="117"/>
        <v/>
      </c>
      <c r="AK269" t="str">
        <f t="shared" si="118"/>
        <v/>
      </c>
      <c r="AL269" t="str">
        <f t="shared" si="119"/>
        <v/>
      </c>
    </row>
    <row r="270" spans="11:38" ht="15">
      <c r="K270" t="str">
        <f t="shared" si="96"/>
        <v/>
      </c>
      <c r="L270" t="str">
        <f t="shared" si="97"/>
        <v/>
      </c>
      <c r="M270" s="36" t="str">
        <f t="shared" si="98"/>
        <v/>
      </c>
      <c r="N270" s="37" t="str">
        <f t="shared" si="99"/>
        <v/>
      </c>
      <c r="O270" s="37" t="str">
        <f t="shared" si="100"/>
        <v/>
      </c>
      <c r="P270" s="38" t="str">
        <f t="shared" si="101"/>
        <v/>
      </c>
      <c r="Q270" s="39" t="str">
        <f t="shared" si="102"/>
        <v/>
      </c>
      <c r="R270" s="39" t="str">
        <f t="shared" si="103"/>
        <v/>
      </c>
      <c r="S270" t="str">
        <f t="shared" si="104"/>
        <v/>
      </c>
      <c r="T270" s="39" t="str">
        <f t="shared" si="105"/>
        <v/>
      </c>
      <c r="U270" t="str">
        <f t="shared" si="106"/>
        <v/>
      </c>
      <c r="V270" t="str">
        <f t="shared" si="107"/>
        <v/>
      </c>
      <c r="W270" t="str">
        <f t="shared" si="108"/>
        <v/>
      </c>
      <c r="X270" s="38" t="str">
        <f t="shared" si="109"/>
        <v/>
      </c>
      <c r="Y270" s="38" t="str">
        <f t="shared" si="110"/>
        <v/>
      </c>
      <c r="Z270" s="39" t="str">
        <f t="shared" si="111"/>
        <v/>
      </c>
      <c r="AA270" s="39" t="str">
        <f t="shared" si="112"/>
        <v/>
      </c>
      <c r="AB270" s="40" t="str">
        <f t="shared" si="113"/>
        <v/>
      </c>
      <c r="AC270" t="str">
        <f>IF(L270="","",IF(AND($AO$2=1,ISNA(MATCH(L270,'02-شباط'!$L$2:$L$501,0))),"محذوف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114"/>
        <v/>
      </c>
      <c r="AH270" s="39" t="str">
        <f t="shared" si="115"/>
        <v/>
      </c>
      <c r="AI270" s="39" t="str">
        <f t="shared" si="116"/>
        <v/>
      </c>
      <c r="AJ270" s="39" t="str">
        <f t="shared" si="117"/>
        <v/>
      </c>
      <c r="AK270" t="str">
        <f t="shared" si="118"/>
        <v/>
      </c>
      <c r="AL270" t="str">
        <f t="shared" si="119"/>
        <v/>
      </c>
    </row>
    <row r="271" spans="11:38" ht="15">
      <c r="K271" t="str">
        <f t="shared" si="96"/>
        <v/>
      </c>
      <c r="L271" t="str">
        <f t="shared" si="97"/>
        <v/>
      </c>
      <c r="M271" s="36" t="str">
        <f t="shared" si="98"/>
        <v/>
      </c>
      <c r="N271" s="37" t="str">
        <f t="shared" si="99"/>
        <v/>
      </c>
      <c r="O271" s="37" t="str">
        <f t="shared" si="100"/>
        <v/>
      </c>
      <c r="P271" s="38" t="str">
        <f t="shared" si="101"/>
        <v/>
      </c>
      <c r="Q271" s="39" t="str">
        <f t="shared" si="102"/>
        <v/>
      </c>
      <c r="R271" s="39" t="str">
        <f t="shared" si="103"/>
        <v/>
      </c>
      <c r="S271" t="str">
        <f t="shared" si="104"/>
        <v/>
      </c>
      <c r="T271" s="39" t="str">
        <f t="shared" si="105"/>
        <v/>
      </c>
      <c r="U271" t="str">
        <f t="shared" si="106"/>
        <v/>
      </c>
      <c r="V271" t="str">
        <f t="shared" si="107"/>
        <v/>
      </c>
      <c r="W271" t="str">
        <f t="shared" si="108"/>
        <v/>
      </c>
      <c r="X271" s="38" t="str">
        <f t="shared" si="109"/>
        <v/>
      </c>
      <c r="Y271" s="38" t="str">
        <f t="shared" si="110"/>
        <v/>
      </c>
      <c r="Z271" s="39" t="str">
        <f t="shared" si="111"/>
        <v/>
      </c>
      <c r="AA271" s="39" t="str">
        <f t="shared" si="112"/>
        <v/>
      </c>
      <c r="AB271" s="40" t="str">
        <f t="shared" si="113"/>
        <v/>
      </c>
      <c r="AC271" t="str">
        <f>IF(L271="","",IF(AND($AO$2=1,ISNA(MATCH(L271,'02-شباط'!$L$2:$L$501,0))),"محذوف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114"/>
        <v/>
      </c>
      <c r="AH271" s="39" t="str">
        <f t="shared" si="115"/>
        <v/>
      </c>
      <c r="AI271" s="39" t="str">
        <f t="shared" si="116"/>
        <v/>
      </c>
      <c r="AJ271" s="39" t="str">
        <f t="shared" si="117"/>
        <v/>
      </c>
      <c r="AK271" t="str">
        <f t="shared" si="118"/>
        <v/>
      </c>
      <c r="AL271" t="str">
        <f t="shared" si="119"/>
        <v/>
      </c>
    </row>
    <row r="272" spans="11:38" ht="15">
      <c r="K272" t="str">
        <f t="shared" si="96"/>
        <v/>
      </c>
      <c r="L272" t="str">
        <f t="shared" si="97"/>
        <v/>
      </c>
      <c r="M272" s="36" t="str">
        <f t="shared" si="98"/>
        <v/>
      </c>
      <c r="N272" s="37" t="str">
        <f t="shared" si="99"/>
        <v/>
      </c>
      <c r="O272" s="37" t="str">
        <f t="shared" si="100"/>
        <v/>
      </c>
      <c r="P272" s="38" t="str">
        <f t="shared" si="101"/>
        <v/>
      </c>
      <c r="Q272" s="39" t="str">
        <f t="shared" si="102"/>
        <v/>
      </c>
      <c r="R272" s="39" t="str">
        <f t="shared" si="103"/>
        <v/>
      </c>
      <c r="S272" t="str">
        <f t="shared" si="104"/>
        <v/>
      </c>
      <c r="T272" s="39" t="str">
        <f t="shared" si="105"/>
        <v/>
      </c>
      <c r="U272" t="str">
        <f t="shared" si="106"/>
        <v/>
      </c>
      <c r="V272" t="str">
        <f t="shared" si="107"/>
        <v/>
      </c>
      <c r="W272" t="str">
        <f t="shared" si="108"/>
        <v/>
      </c>
      <c r="X272" s="38" t="str">
        <f t="shared" si="109"/>
        <v/>
      </c>
      <c r="Y272" s="38" t="str">
        <f t="shared" si="110"/>
        <v/>
      </c>
      <c r="Z272" s="39" t="str">
        <f t="shared" si="111"/>
        <v/>
      </c>
      <c r="AA272" s="39" t="str">
        <f t="shared" si="112"/>
        <v/>
      </c>
      <c r="AB272" s="40" t="str">
        <f t="shared" si="113"/>
        <v/>
      </c>
      <c r="AC272" t="str">
        <f>IF(L272="","",IF(AND($AO$2=1,ISNA(MATCH(L272,'02-شباط'!$L$2:$L$501,0))),"محذوف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114"/>
        <v/>
      </c>
      <c r="AH272" s="39" t="str">
        <f t="shared" si="115"/>
        <v/>
      </c>
      <c r="AI272" s="39" t="str">
        <f t="shared" si="116"/>
        <v/>
      </c>
      <c r="AJ272" s="39" t="str">
        <f t="shared" si="117"/>
        <v/>
      </c>
      <c r="AK272" t="str">
        <f t="shared" si="118"/>
        <v/>
      </c>
      <c r="AL272" t="str">
        <f t="shared" si="119"/>
        <v/>
      </c>
    </row>
    <row r="273" spans="11:38" ht="15">
      <c r="K273" t="str">
        <f t="shared" si="96"/>
        <v/>
      </c>
      <c r="L273" t="str">
        <f t="shared" si="97"/>
        <v/>
      </c>
      <c r="M273" s="36" t="str">
        <f t="shared" si="98"/>
        <v/>
      </c>
      <c r="N273" s="37" t="str">
        <f t="shared" si="99"/>
        <v/>
      </c>
      <c r="O273" s="37" t="str">
        <f t="shared" si="100"/>
        <v/>
      </c>
      <c r="P273" s="38" t="str">
        <f t="shared" si="101"/>
        <v/>
      </c>
      <c r="Q273" s="39" t="str">
        <f t="shared" si="102"/>
        <v/>
      </c>
      <c r="R273" s="39" t="str">
        <f t="shared" si="103"/>
        <v/>
      </c>
      <c r="S273" t="str">
        <f t="shared" si="104"/>
        <v/>
      </c>
      <c r="T273" s="39" t="str">
        <f t="shared" si="105"/>
        <v/>
      </c>
      <c r="U273" t="str">
        <f t="shared" si="106"/>
        <v/>
      </c>
      <c r="V273" t="str">
        <f t="shared" si="107"/>
        <v/>
      </c>
      <c r="W273" t="str">
        <f t="shared" si="108"/>
        <v/>
      </c>
      <c r="X273" s="38" t="str">
        <f t="shared" si="109"/>
        <v/>
      </c>
      <c r="Y273" s="38" t="str">
        <f t="shared" si="110"/>
        <v/>
      </c>
      <c r="Z273" s="39" t="str">
        <f t="shared" si="111"/>
        <v/>
      </c>
      <c r="AA273" s="39" t="str">
        <f t="shared" si="112"/>
        <v/>
      </c>
      <c r="AB273" s="40" t="str">
        <f t="shared" si="113"/>
        <v/>
      </c>
      <c r="AC273" t="str">
        <f>IF(L273="","",IF(AND($AO$2=1,ISNA(MATCH(L273,'02-شباط'!$L$2:$L$501,0))),"محذوف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114"/>
        <v/>
      </c>
      <c r="AH273" s="39" t="str">
        <f t="shared" si="115"/>
        <v/>
      </c>
      <c r="AI273" s="39" t="str">
        <f t="shared" si="116"/>
        <v/>
      </c>
      <c r="AJ273" s="39" t="str">
        <f t="shared" si="117"/>
        <v/>
      </c>
      <c r="AK273" t="str">
        <f t="shared" si="118"/>
        <v/>
      </c>
      <c r="AL273" t="str">
        <f t="shared" si="119"/>
        <v/>
      </c>
    </row>
    <row r="274" spans="11:38" ht="15">
      <c r="K274" t="str">
        <f t="shared" si="96"/>
        <v/>
      </c>
      <c r="L274" t="str">
        <f t="shared" si="97"/>
        <v/>
      </c>
      <c r="M274" s="36" t="str">
        <f t="shared" si="98"/>
        <v/>
      </c>
      <c r="N274" s="37" t="str">
        <f t="shared" si="99"/>
        <v/>
      </c>
      <c r="O274" s="37" t="str">
        <f t="shared" si="100"/>
        <v/>
      </c>
      <c r="P274" s="38" t="str">
        <f t="shared" si="101"/>
        <v/>
      </c>
      <c r="Q274" s="39" t="str">
        <f t="shared" si="102"/>
        <v/>
      </c>
      <c r="R274" s="39" t="str">
        <f t="shared" si="103"/>
        <v/>
      </c>
      <c r="S274" t="str">
        <f t="shared" si="104"/>
        <v/>
      </c>
      <c r="T274" s="39" t="str">
        <f t="shared" si="105"/>
        <v/>
      </c>
      <c r="U274" t="str">
        <f t="shared" si="106"/>
        <v/>
      </c>
      <c r="V274" t="str">
        <f t="shared" si="107"/>
        <v/>
      </c>
      <c r="W274" t="str">
        <f t="shared" si="108"/>
        <v/>
      </c>
      <c r="X274" s="38" t="str">
        <f t="shared" si="109"/>
        <v/>
      </c>
      <c r="Y274" s="38" t="str">
        <f t="shared" si="110"/>
        <v/>
      </c>
      <c r="Z274" s="39" t="str">
        <f t="shared" si="111"/>
        <v/>
      </c>
      <c r="AA274" s="39" t="str">
        <f t="shared" si="112"/>
        <v/>
      </c>
      <c r="AB274" s="40" t="str">
        <f t="shared" si="113"/>
        <v/>
      </c>
      <c r="AC274" t="str">
        <f>IF(L274="","",IF(AND($AO$2=1,ISNA(MATCH(L274,'02-شباط'!$L$2:$L$501,0))),"محذوف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114"/>
        <v/>
      </c>
      <c r="AH274" s="39" t="str">
        <f t="shared" si="115"/>
        <v/>
      </c>
      <c r="AI274" s="39" t="str">
        <f t="shared" si="116"/>
        <v/>
      </c>
      <c r="AJ274" s="39" t="str">
        <f t="shared" si="117"/>
        <v/>
      </c>
      <c r="AK274" t="str">
        <f t="shared" si="118"/>
        <v/>
      </c>
      <c r="AL274" t="str">
        <f t="shared" si="119"/>
        <v/>
      </c>
    </row>
    <row r="275" spans="11:38" ht="15">
      <c r="K275" t="str">
        <f t="shared" si="96"/>
        <v/>
      </c>
      <c r="L275" t="str">
        <f t="shared" si="97"/>
        <v/>
      </c>
      <c r="M275" s="36" t="str">
        <f t="shared" si="98"/>
        <v/>
      </c>
      <c r="N275" s="37" t="str">
        <f t="shared" si="99"/>
        <v/>
      </c>
      <c r="O275" s="37" t="str">
        <f t="shared" si="100"/>
        <v/>
      </c>
      <c r="P275" s="38" t="str">
        <f t="shared" si="101"/>
        <v/>
      </c>
      <c r="Q275" s="39" t="str">
        <f t="shared" si="102"/>
        <v/>
      </c>
      <c r="R275" s="39" t="str">
        <f t="shared" si="103"/>
        <v/>
      </c>
      <c r="S275" t="str">
        <f t="shared" si="104"/>
        <v/>
      </c>
      <c r="T275" s="39" t="str">
        <f t="shared" si="105"/>
        <v/>
      </c>
      <c r="U275" t="str">
        <f t="shared" si="106"/>
        <v/>
      </c>
      <c r="V275" t="str">
        <f t="shared" si="107"/>
        <v/>
      </c>
      <c r="W275" t="str">
        <f t="shared" si="108"/>
        <v/>
      </c>
      <c r="X275" s="38" t="str">
        <f t="shared" si="109"/>
        <v/>
      </c>
      <c r="Y275" s="38" t="str">
        <f t="shared" si="110"/>
        <v/>
      </c>
      <c r="Z275" s="39" t="str">
        <f t="shared" si="111"/>
        <v/>
      </c>
      <c r="AA275" s="39" t="str">
        <f t="shared" si="112"/>
        <v/>
      </c>
      <c r="AB275" s="40" t="str">
        <f t="shared" si="113"/>
        <v/>
      </c>
      <c r="AC275" t="str">
        <f>IF(L275="","",IF(AND($AO$2=1,ISNA(MATCH(L275,'02-شباط'!$L$2:$L$501,0))),"محذوف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114"/>
        <v/>
      </c>
      <c r="AH275" s="39" t="str">
        <f t="shared" si="115"/>
        <v/>
      </c>
      <c r="AI275" s="39" t="str">
        <f t="shared" si="116"/>
        <v/>
      </c>
      <c r="AJ275" s="39" t="str">
        <f t="shared" si="117"/>
        <v/>
      </c>
      <c r="AK275" t="str">
        <f t="shared" si="118"/>
        <v/>
      </c>
      <c r="AL275" t="str">
        <f t="shared" si="119"/>
        <v/>
      </c>
    </row>
    <row r="276" spans="11:38" ht="15">
      <c r="K276" t="str">
        <f t="shared" si="96"/>
        <v/>
      </c>
      <c r="L276" t="str">
        <f t="shared" si="97"/>
        <v/>
      </c>
      <c r="M276" s="36" t="str">
        <f t="shared" si="98"/>
        <v/>
      </c>
      <c r="N276" s="37" t="str">
        <f t="shared" si="99"/>
        <v/>
      </c>
      <c r="O276" s="37" t="str">
        <f t="shared" si="100"/>
        <v/>
      </c>
      <c r="P276" s="38" t="str">
        <f t="shared" si="101"/>
        <v/>
      </c>
      <c r="Q276" s="39" t="str">
        <f t="shared" si="102"/>
        <v/>
      </c>
      <c r="R276" s="39" t="str">
        <f t="shared" si="103"/>
        <v/>
      </c>
      <c r="S276" t="str">
        <f t="shared" si="104"/>
        <v/>
      </c>
      <c r="T276" s="39" t="str">
        <f t="shared" si="105"/>
        <v/>
      </c>
      <c r="U276" t="str">
        <f t="shared" si="106"/>
        <v/>
      </c>
      <c r="V276" t="str">
        <f t="shared" si="107"/>
        <v/>
      </c>
      <c r="W276" t="str">
        <f t="shared" si="108"/>
        <v/>
      </c>
      <c r="X276" s="38" t="str">
        <f t="shared" si="109"/>
        <v/>
      </c>
      <c r="Y276" s="38" t="str">
        <f t="shared" si="110"/>
        <v/>
      </c>
      <c r="Z276" s="39" t="str">
        <f t="shared" si="111"/>
        <v/>
      </c>
      <c r="AA276" s="39" t="str">
        <f t="shared" si="112"/>
        <v/>
      </c>
      <c r="AB276" s="40" t="str">
        <f t="shared" si="113"/>
        <v/>
      </c>
      <c r="AC276" t="str">
        <f>IF(L276="","",IF(AND($AO$2=1,ISNA(MATCH(L276,'02-شباط'!$L$2:$L$501,0))),"محذوف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114"/>
        <v/>
      </c>
      <c r="AH276" s="39" t="str">
        <f t="shared" si="115"/>
        <v/>
      </c>
      <c r="AI276" s="39" t="str">
        <f t="shared" si="116"/>
        <v/>
      </c>
      <c r="AJ276" s="39" t="str">
        <f t="shared" si="117"/>
        <v/>
      </c>
      <c r="AK276" t="str">
        <f t="shared" si="118"/>
        <v/>
      </c>
      <c r="AL276" t="str">
        <f t="shared" si="119"/>
        <v/>
      </c>
    </row>
    <row r="277" spans="11:38" ht="15">
      <c r="K277" t="str">
        <f t="shared" si="96"/>
        <v/>
      </c>
      <c r="L277" t="str">
        <f t="shared" si="97"/>
        <v/>
      </c>
      <c r="M277" s="36" t="str">
        <f t="shared" si="98"/>
        <v/>
      </c>
      <c r="N277" s="37" t="str">
        <f t="shared" si="99"/>
        <v/>
      </c>
      <c r="O277" s="37" t="str">
        <f t="shared" si="100"/>
        <v/>
      </c>
      <c r="P277" s="38" t="str">
        <f t="shared" si="101"/>
        <v/>
      </c>
      <c r="Q277" s="39" t="str">
        <f t="shared" si="102"/>
        <v/>
      </c>
      <c r="R277" s="39" t="str">
        <f t="shared" si="103"/>
        <v/>
      </c>
      <c r="S277" t="str">
        <f t="shared" si="104"/>
        <v/>
      </c>
      <c r="T277" s="39" t="str">
        <f t="shared" si="105"/>
        <v/>
      </c>
      <c r="U277" t="str">
        <f t="shared" si="106"/>
        <v/>
      </c>
      <c r="V277" t="str">
        <f t="shared" si="107"/>
        <v/>
      </c>
      <c r="W277" t="str">
        <f t="shared" si="108"/>
        <v/>
      </c>
      <c r="X277" s="38" t="str">
        <f t="shared" si="109"/>
        <v/>
      </c>
      <c r="Y277" s="38" t="str">
        <f t="shared" si="110"/>
        <v/>
      </c>
      <c r="Z277" s="39" t="str">
        <f t="shared" si="111"/>
        <v/>
      </c>
      <c r="AA277" s="39" t="str">
        <f t="shared" si="112"/>
        <v/>
      </c>
      <c r="AB277" s="40" t="str">
        <f t="shared" si="113"/>
        <v/>
      </c>
      <c r="AC277" t="str">
        <f>IF(L277="","",IF(AND($AO$2=1,ISNA(MATCH(L277,'02-شباط'!$L$2:$L$501,0))),"محذوف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114"/>
        <v/>
      </c>
      <c r="AH277" s="39" t="str">
        <f t="shared" si="115"/>
        <v/>
      </c>
      <c r="AI277" s="39" t="str">
        <f t="shared" si="116"/>
        <v/>
      </c>
      <c r="AJ277" s="39" t="str">
        <f t="shared" si="117"/>
        <v/>
      </c>
      <c r="AK277" t="str">
        <f t="shared" si="118"/>
        <v/>
      </c>
      <c r="AL277" t="str">
        <f t="shared" si="119"/>
        <v/>
      </c>
    </row>
    <row r="278" spans="11:38" ht="15">
      <c r="K278" t="str">
        <f t="shared" si="96"/>
        <v/>
      </c>
      <c r="L278" t="str">
        <f t="shared" si="97"/>
        <v/>
      </c>
      <c r="M278" s="36" t="str">
        <f t="shared" si="98"/>
        <v/>
      </c>
      <c r="N278" s="37" t="str">
        <f t="shared" si="99"/>
        <v/>
      </c>
      <c r="O278" s="37" t="str">
        <f t="shared" si="100"/>
        <v/>
      </c>
      <c r="P278" s="38" t="str">
        <f t="shared" si="101"/>
        <v/>
      </c>
      <c r="Q278" s="39" t="str">
        <f t="shared" si="102"/>
        <v/>
      </c>
      <c r="R278" s="39" t="str">
        <f t="shared" si="103"/>
        <v/>
      </c>
      <c r="S278" t="str">
        <f t="shared" si="104"/>
        <v/>
      </c>
      <c r="T278" s="39" t="str">
        <f t="shared" si="105"/>
        <v/>
      </c>
      <c r="U278" t="str">
        <f t="shared" si="106"/>
        <v/>
      </c>
      <c r="V278" t="str">
        <f t="shared" si="107"/>
        <v/>
      </c>
      <c r="W278" t="str">
        <f t="shared" si="108"/>
        <v/>
      </c>
      <c r="X278" s="38" t="str">
        <f t="shared" si="109"/>
        <v/>
      </c>
      <c r="Y278" s="38" t="str">
        <f t="shared" si="110"/>
        <v/>
      </c>
      <c r="Z278" s="39" t="str">
        <f t="shared" si="111"/>
        <v/>
      </c>
      <c r="AA278" s="39" t="str">
        <f t="shared" si="112"/>
        <v/>
      </c>
      <c r="AB278" s="40" t="str">
        <f t="shared" si="113"/>
        <v/>
      </c>
      <c r="AC278" t="str">
        <f>IF(L278="","",IF(AND($AO$2=1,ISNA(MATCH(L278,'02-شباط'!$L$2:$L$501,0))),"محذوف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114"/>
        <v/>
      </c>
      <c r="AH278" s="39" t="str">
        <f t="shared" si="115"/>
        <v/>
      </c>
      <c r="AI278" s="39" t="str">
        <f t="shared" si="116"/>
        <v/>
      </c>
      <c r="AJ278" s="39" t="str">
        <f t="shared" si="117"/>
        <v/>
      </c>
      <c r="AK278" t="str">
        <f t="shared" si="118"/>
        <v/>
      </c>
      <c r="AL278" t="str">
        <f t="shared" si="119"/>
        <v/>
      </c>
    </row>
    <row r="279" spans="11:38" ht="15">
      <c r="K279" t="str">
        <f t="shared" si="96"/>
        <v/>
      </c>
      <c r="L279" t="str">
        <f t="shared" si="97"/>
        <v/>
      </c>
      <c r="M279" s="36" t="str">
        <f t="shared" si="98"/>
        <v/>
      </c>
      <c r="N279" s="37" t="str">
        <f t="shared" si="99"/>
        <v/>
      </c>
      <c r="O279" s="37" t="str">
        <f t="shared" si="100"/>
        <v/>
      </c>
      <c r="P279" s="38" t="str">
        <f t="shared" si="101"/>
        <v/>
      </c>
      <c r="Q279" s="39" t="str">
        <f t="shared" si="102"/>
        <v/>
      </c>
      <c r="R279" s="39" t="str">
        <f t="shared" si="103"/>
        <v/>
      </c>
      <c r="S279" t="str">
        <f t="shared" si="104"/>
        <v/>
      </c>
      <c r="T279" s="39" t="str">
        <f t="shared" si="105"/>
        <v/>
      </c>
      <c r="U279" t="str">
        <f t="shared" si="106"/>
        <v/>
      </c>
      <c r="V279" t="str">
        <f t="shared" si="107"/>
        <v/>
      </c>
      <c r="W279" t="str">
        <f t="shared" si="108"/>
        <v/>
      </c>
      <c r="X279" s="38" t="str">
        <f t="shared" si="109"/>
        <v/>
      </c>
      <c r="Y279" s="38" t="str">
        <f t="shared" si="110"/>
        <v/>
      </c>
      <c r="Z279" s="39" t="str">
        <f t="shared" si="111"/>
        <v/>
      </c>
      <c r="AA279" s="39" t="str">
        <f t="shared" si="112"/>
        <v/>
      </c>
      <c r="AB279" s="40" t="str">
        <f t="shared" si="113"/>
        <v/>
      </c>
      <c r="AC279" t="str">
        <f>IF(L279="","",IF(AND($AO$2=1,ISNA(MATCH(L279,'02-شباط'!$L$2:$L$501,0))),"محذوف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114"/>
        <v/>
      </c>
      <c r="AH279" s="39" t="str">
        <f t="shared" si="115"/>
        <v/>
      </c>
      <c r="AI279" s="39" t="str">
        <f t="shared" si="116"/>
        <v/>
      </c>
      <c r="AJ279" s="39" t="str">
        <f t="shared" si="117"/>
        <v/>
      </c>
      <c r="AK279" t="str">
        <f t="shared" si="118"/>
        <v/>
      </c>
      <c r="AL279" t="str">
        <f t="shared" si="119"/>
        <v/>
      </c>
    </row>
    <row r="280" spans="11:38" ht="15">
      <c r="K280" t="str">
        <f t="shared" si="96"/>
        <v/>
      </c>
      <c r="L280" t="str">
        <f t="shared" si="97"/>
        <v/>
      </c>
      <c r="M280" s="36" t="str">
        <f t="shared" si="98"/>
        <v/>
      </c>
      <c r="N280" s="37" t="str">
        <f t="shared" si="99"/>
        <v/>
      </c>
      <c r="O280" s="37" t="str">
        <f t="shared" si="100"/>
        <v/>
      </c>
      <c r="P280" s="38" t="str">
        <f t="shared" si="101"/>
        <v/>
      </c>
      <c r="Q280" s="39" t="str">
        <f t="shared" si="102"/>
        <v/>
      </c>
      <c r="R280" s="39" t="str">
        <f t="shared" si="103"/>
        <v/>
      </c>
      <c r="S280" t="str">
        <f t="shared" si="104"/>
        <v/>
      </c>
      <c r="T280" s="39" t="str">
        <f t="shared" si="105"/>
        <v/>
      </c>
      <c r="U280" t="str">
        <f t="shared" si="106"/>
        <v/>
      </c>
      <c r="V280" t="str">
        <f t="shared" si="107"/>
        <v/>
      </c>
      <c r="W280" t="str">
        <f t="shared" si="108"/>
        <v/>
      </c>
      <c r="X280" s="38" t="str">
        <f t="shared" si="109"/>
        <v/>
      </c>
      <c r="Y280" s="38" t="str">
        <f t="shared" si="110"/>
        <v/>
      </c>
      <c r="Z280" s="39" t="str">
        <f t="shared" si="111"/>
        <v/>
      </c>
      <c r="AA280" s="39" t="str">
        <f t="shared" si="112"/>
        <v/>
      </c>
      <c r="AB280" s="40" t="str">
        <f t="shared" si="113"/>
        <v/>
      </c>
      <c r="AC280" t="str">
        <f>IF(L280="","",IF(AND($AO$2=1,ISNA(MATCH(L280,'02-شباط'!$L$2:$L$501,0))),"محذوف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114"/>
        <v/>
      </c>
      <c r="AH280" s="39" t="str">
        <f t="shared" si="115"/>
        <v/>
      </c>
      <c r="AI280" s="39" t="str">
        <f t="shared" si="116"/>
        <v/>
      </c>
      <c r="AJ280" s="39" t="str">
        <f t="shared" si="117"/>
        <v/>
      </c>
      <c r="AK280" t="str">
        <f t="shared" si="118"/>
        <v/>
      </c>
      <c r="AL280" t="str">
        <f t="shared" si="119"/>
        <v/>
      </c>
    </row>
    <row r="281" spans="11:38" ht="15">
      <c r="K281" t="str">
        <f t="shared" si="96"/>
        <v/>
      </c>
      <c r="L281" t="str">
        <f t="shared" si="97"/>
        <v/>
      </c>
      <c r="M281" s="36" t="str">
        <f t="shared" si="98"/>
        <v/>
      </c>
      <c r="N281" s="37" t="str">
        <f t="shared" si="99"/>
        <v/>
      </c>
      <c r="O281" s="37" t="str">
        <f t="shared" si="100"/>
        <v/>
      </c>
      <c r="P281" s="38" t="str">
        <f t="shared" si="101"/>
        <v/>
      </c>
      <c r="Q281" s="39" t="str">
        <f t="shared" si="102"/>
        <v/>
      </c>
      <c r="R281" s="39" t="str">
        <f t="shared" si="103"/>
        <v/>
      </c>
      <c r="S281" t="str">
        <f t="shared" si="104"/>
        <v/>
      </c>
      <c r="T281" s="39" t="str">
        <f t="shared" si="105"/>
        <v/>
      </c>
      <c r="U281" t="str">
        <f t="shared" si="106"/>
        <v/>
      </c>
      <c r="V281" t="str">
        <f t="shared" si="107"/>
        <v/>
      </c>
      <c r="W281" t="str">
        <f t="shared" si="108"/>
        <v/>
      </c>
      <c r="X281" s="38" t="str">
        <f t="shared" si="109"/>
        <v/>
      </c>
      <c r="Y281" s="38" t="str">
        <f t="shared" si="110"/>
        <v/>
      </c>
      <c r="Z281" s="39" t="str">
        <f t="shared" si="111"/>
        <v/>
      </c>
      <c r="AA281" s="39" t="str">
        <f t="shared" si="112"/>
        <v/>
      </c>
      <c r="AB281" s="40" t="str">
        <f t="shared" si="113"/>
        <v/>
      </c>
      <c r="AC281" t="str">
        <f>IF(L281="","",IF(AND($AO$2=1,ISNA(MATCH(L281,'02-شباط'!$L$2:$L$501,0))),"محذوف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114"/>
        <v/>
      </c>
      <c r="AH281" s="39" t="str">
        <f t="shared" si="115"/>
        <v/>
      </c>
      <c r="AI281" s="39" t="str">
        <f t="shared" si="116"/>
        <v/>
      </c>
      <c r="AJ281" s="39" t="str">
        <f t="shared" si="117"/>
        <v/>
      </c>
      <c r="AK281" t="str">
        <f t="shared" si="118"/>
        <v/>
      </c>
      <c r="AL281" t="str">
        <f t="shared" si="119"/>
        <v/>
      </c>
    </row>
    <row r="282" spans="11:38" ht="15">
      <c r="K282" t="str">
        <f t="shared" si="96"/>
        <v/>
      </c>
      <c r="L282" t="str">
        <f t="shared" si="97"/>
        <v/>
      </c>
      <c r="M282" s="36" t="str">
        <f t="shared" si="98"/>
        <v/>
      </c>
      <c r="N282" s="37" t="str">
        <f t="shared" si="99"/>
        <v/>
      </c>
      <c r="O282" s="37" t="str">
        <f t="shared" si="100"/>
        <v/>
      </c>
      <c r="P282" s="38" t="str">
        <f t="shared" si="101"/>
        <v/>
      </c>
      <c r="Q282" s="39" t="str">
        <f t="shared" si="102"/>
        <v/>
      </c>
      <c r="R282" s="39" t="str">
        <f t="shared" si="103"/>
        <v/>
      </c>
      <c r="S282" t="str">
        <f t="shared" si="104"/>
        <v/>
      </c>
      <c r="T282" s="39" t="str">
        <f t="shared" si="105"/>
        <v/>
      </c>
      <c r="U282" t="str">
        <f t="shared" si="106"/>
        <v/>
      </c>
      <c r="V282" t="str">
        <f t="shared" si="107"/>
        <v/>
      </c>
      <c r="W282" t="str">
        <f t="shared" si="108"/>
        <v/>
      </c>
      <c r="X282" s="38" t="str">
        <f t="shared" si="109"/>
        <v/>
      </c>
      <c r="Y282" s="38" t="str">
        <f t="shared" si="110"/>
        <v/>
      </c>
      <c r="Z282" s="39" t="str">
        <f t="shared" si="111"/>
        <v/>
      </c>
      <c r="AA282" s="39" t="str">
        <f t="shared" si="112"/>
        <v/>
      </c>
      <c r="AB282" s="40" t="str">
        <f t="shared" si="113"/>
        <v/>
      </c>
      <c r="AC282" t="str">
        <f>IF(L282="","",IF(AND($AO$2=1,ISNA(MATCH(L282,'02-شباط'!$L$2:$L$501,0))),"محذوف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114"/>
        <v/>
      </c>
      <c r="AH282" s="39" t="str">
        <f t="shared" si="115"/>
        <v/>
      </c>
      <c r="AI282" s="39" t="str">
        <f t="shared" si="116"/>
        <v/>
      </c>
      <c r="AJ282" s="39" t="str">
        <f t="shared" si="117"/>
        <v/>
      </c>
      <c r="AK282" t="str">
        <f t="shared" si="118"/>
        <v/>
      </c>
      <c r="AL282" t="str">
        <f t="shared" si="119"/>
        <v/>
      </c>
    </row>
    <row r="283" spans="11:38" ht="15">
      <c r="K283" t="str">
        <f t="shared" si="96"/>
        <v/>
      </c>
      <c r="L283" t="str">
        <f t="shared" si="97"/>
        <v/>
      </c>
      <c r="M283" s="36" t="str">
        <f t="shared" si="98"/>
        <v/>
      </c>
      <c r="N283" s="37" t="str">
        <f t="shared" si="99"/>
        <v/>
      </c>
      <c r="O283" s="37" t="str">
        <f t="shared" si="100"/>
        <v/>
      </c>
      <c r="P283" s="38" t="str">
        <f t="shared" si="101"/>
        <v/>
      </c>
      <c r="Q283" s="39" t="str">
        <f t="shared" si="102"/>
        <v/>
      </c>
      <c r="R283" s="39" t="str">
        <f t="shared" si="103"/>
        <v/>
      </c>
      <c r="S283" t="str">
        <f t="shared" si="104"/>
        <v/>
      </c>
      <c r="T283" s="39" t="str">
        <f t="shared" si="105"/>
        <v/>
      </c>
      <c r="U283" t="str">
        <f t="shared" si="106"/>
        <v/>
      </c>
      <c r="V283" t="str">
        <f t="shared" si="107"/>
        <v/>
      </c>
      <c r="W283" t="str">
        <f t="shared" si="108"/>
        <v/>
      </c>
      <c r="X283" s="38" t="str">
        <f t="shared" si="109"/>
        <v/>
      </c>
      <c r="Y283" s="38" t="str">
        <f t="shared" si="110"/>
        <v/>
      </c>
      <c r="Z283" s="39" t="str">
        <f t="shared" si="111"/>
        <v/>
      </c>
      <c r="AA283" s="39" t="str">
        <f t="shared" si="112"/>
        <v/>
      </c>
      <c r="AB283" s="40" t="str">
        <f t="shared" si="113"/>
        <v/>
      </c>
      <c r="AC283" t="str">
        <f>IF(L283="","",IF(AND($AO$2=1,ISNA(MATCH(L283,'02-شباط'!$L$2:$L$501,0))),"محذوف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114"/>
        <v/>
      </c>
      <c r="AH283" s="39" t="str">
        <f t="shared" si="115"/>
        <v/>
      </c>
      <c r="AI283" s="39" t="str">
        <f t="shared" si="116"/>
        <v/>
      </c>
      <c r="AJ283" s="39" t="str">
        <f t="shared" si="117"/>
        <v/>
      </c>
      <c r="AK283" t="str">
        <f t="shared" si="118"/>
        <v/>
      </c>
      <c r="AL283" t="str">
        <f t="shared" si="119"/>
        <v/>
      </c>
    </row>
    <row r="284" spans="11:38" ht="15">
      <c r="K284" t="str">
        <f t="shared" si="96"/>
        <v/>
      </c>
      <c r="L284" t="str">
        <f t="shared" si="97"/>
        <v/>
      </c>
      <c r="M284" s="36" t="str">
        <f t="shared" si="98"/>
        <v/>
      </c>
      <c r="N284" s="37" t="str">
        <f t="shared" si="99"/>
        <v/>
      </c>
      <c r="O284" s="37" t="str">
        <f t="shared" si="100"/>
        <v/>
      </c>
      <c r="P284" s="38" t="str">
        <f t="shared" si="101"/>
        <v/>
      </c>
      <c r="Q284" s="39" t="str">
        <f t="shared" si="102"/>
        <v/>
      </c>
      <c r="R284" s="39" t="str">
        <f t="shared" si="103"/>
        <v/>
      </c>
      <c r="S284" t="str">
        <f t="shared" si="104"/>
        <v/>
      </c>
      <c r="T284" s="39" t="str">
        <f t="shared" si="105"/>
        <v/>
      </c>
      <c r="U284" t="str">
        <f t="shared" si="106"/>
        <v/>
      </c>
      <c r="V284" t="str">
        <f t="shared" si="107"/>
        <v/>
      </c>
      <c r="W284" t="str">
        <f t="shared" si="108"/>
        <v/>
      </c>
      <c r="X284" s="38" t="str">
        <f t="shared" si="109"/>
        <v/>
      </c>
      <c r="Y284" s="38" t="str">
        <f t="shared" si="110"/>
        <v/>
      </c>
      <c r="Z284" s="39" t="str">
        <f t="shared" si="111"/>
        <v/>
      </c>
      <c r="AA284" s="39" t="str">
        <f t="shared" si="112"/>
        <v/>
      </c>
      <c r="AB284" s="40" t="str">
        <f t="shared" si="113"/>
        <v/>
      </c>
      <c r="AC284" t="str">
        <f>IF(L284="","",IF(AND($AO$2=1,ISNA(MATCH(L284,'02-شباط'!$L$2:$L$501,0))),"محذوف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114"/>
        <v/>
      </c>
      <c r="AH284" s="39" t="str">
        <f t="shared" si="115"/>
        <v/>
      </c>
      <c r="AI284" s="39" t="str">
        <f t="shared" si="116"/>
        <v/>
      </c>
      <c r="AJ284" s="39" t="str">
        <f t="shared" si="117"/>
        <v/>
      </c>
      <c r="AK284" t="str">
        <f t="shared" si="118"/>
        <v/>
      </c>
      <c r="AL284" t="str">
        <f t="shared" si="119"/>
        <v/>
      </c>
    </row>
    <row r="285" spans="11:38" ht="15">
      <c r="K285" t="str">
        <f t="shared" si="96"/>
        <v/>
      </c>
      <c r="L285" t="str">
        <f t="shared" si="97"/>
        <v/>
      </c>
      <c r="M285" s="36" t="str">
        <f t="shared" si="98"/>
        <v/>
      </c>
      <c r="N285" s="37" t="str">
        <f t="shared" si="99"/>
        <v/>
      </c>
      <c r="O285" s="37" t="str">
        <f t="shared" si="100"/>
        <v/>
      </c>
      <c r="P285" s="38" t="str">
        <f t="shared" si="101"/>
        <v/>
      </c>
      <c r="Q285" s="39" t="str">
        <f t="shared" si="102"/>
        <v/>
      </c>
      <c r="R285" s="39" t="str">
        <f t="shared" si="103"/>
        <v/>
      </c>
      <c r="S285" t="str">
        <f t="shared" si="104"/>
        <v/>
      </c>
      <c r="T285" s="39" t="str">
        <f t="shared" si="105"/>
        <v/>
      </c>
      <c r="U285" t="str">
        <f t="shared" si="106"/>
        <v/>
      </c>
      <c r="V285" t="str">
        <f t="shared" si="107"/>
        <v/>
      </c>
      <c r="W285" t="str">
        <f t="shared" si="108"/>
        <v/>
      </c>
      <c r="X285" s="38" t="str">
        <f t="shared" si="109"/>
        <v/>
      </c>
      <c r="Y285" s="38" t="str">
        <f t="shared" si="110"/>
        <v/>
      </c>
      <c r="Z285" s="39" t="str">
        <f t="shared" si="111"/>
        <v/>
      </c>
      <c r="AA285" s="39" t="str">
        <f t="shared" si="112"/>
        <v/>
      </c>
      <c r="AB285" s="40" t="str">
        <f t="shared" si="113"/>
        <v/>
      </c>
      <c r="AC285" t="str">
        <f>IF(L285="","",IF(AND($AO$2=1,ISNA(MATCH(L285,'02-شباط'!$L$2:$L$501,0))),"محذوف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114"/>
        <v/>
      </c>
      <c r="AH285" s="39" t="str">
        <f t="shared" si="115"/>
        <v/>
      </c>
      <c r="AI285" s="39" t="str">
        <f t="shared" si="116"/>
        <v/>
      </c>
      <c r="AJ285" s="39" t="str">
        <f t="shared" si="117"/>
        <v/>
      </c>
      <c r="AK285" t="str">
        <f t="shared" si="118"/>
        <v/>
      </c>
      <c r="AL285" t="str">
        <f t="shared" si="119"/>
        <v/>
      </c>
    </row>
    <row r="286" spans="11:38" ht="15">
      <c r="K286" t="str">
        <f t="shared" si="96"/>
        <v/>
      </c>
      <c r="L286" t="str">
        <f t="shared" si="97"/>
        <v/>
      </c>
      <c r="M286" s="36" t="str">
        <f t="shared" si="98"/>
        <v/>
      </c>
      <c r="N286" s="37" t="str">
        <f t="shared" si="99"/>
        <v/>
      </c>
      <c r="O286" s="37" t="str">
        <f t="shared" si="100"/>
        <v/>
      </c>
      <c r="P286" s="38" t="str">
        <f t="shared" si="101"/>
        <v/>
      </c>
      <c r="Q286" s="39" t="str">
        <f t="shared" si="102"/>
        <v/>
      </c>
      <c r="R286" s="39" t="str">
        <f t="shared" si="103"/>
        <v/>
      </c>
      <c r="S286" t="str">
        <f t="shared" si="104"/>
        <v/>
      </c>
      <c r="T286" s="39" t="str">
        <f t="shared" si="105"/>
        <v/>
      </c>
      <c r="U286" t="str">
        <f t="shared" si="106"/>
        <v/>
      </c>
      <c r="V286" t="str">
        <f t="shared" si="107"/>
        <v/>
      </c>
      <c r="W286" t="str">
        <f t="shared" si="108"/>
        <v/>
      </c>
      <c r="X286" s="38" t="str">
        <f t="shared" si="109"/>
        <v/>
      </c>
      <c r="Y286" s="38" t="str">
        <f t="shared" si="110"/>
        <v/>
      </c>
      <c r="Z286" s="39" t="str">
        <f t="shared" si="111"/>
        <v/>
      </c>
      <c r="AA286" s="39" t="str">
        <f t="shared" si="112"/>
        <v/>
      </c>
      <c r="AB286" s="40" t="str">
        <f t="shared" si="113"/>
        <v/>
      </c>
      <c r="AC286" t="str">
        <f>IF(L286="","",IF(AND($AO$2=1,ISNA(MATCH(L286,'02-شباط'!$L$2:$L$501,0))),"محذوف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114"/>
        <v/>
      </c>
      <c r="AH286" s="39" t="str">
        <f t="shared" si="115"/>
        <v/>
      </c>
      <c r="AI286" s="39" t="str">
        <f t="shared" si="116"/>
        <v/>
      </c>
      <c r="AJ286" s="39" t="str">
        <f t="shared" si="117"/>
        <v/>
      </c>
      <c r="AK286" t="str">
        <f t="shared" si="118"/>
        <v/>
      </c>
      <c r="AL286" t="str">
        <f t="shared" si="119"/>
        <v/>
      </c>
    </row>
    <row r="287" spans="11:38" ht="15">
      <c r="K287" t="str">
        <f t="shared" si="96"/>
        <v/>
      </c>
      <c r="L287" t="str">
        <f t="shared" si="97"/>
        <v/>
      </c>
      <c r="M287" s="36" t="str">
        <f t="shared" si="98"/>
        <v/>
      </c>
      <c r="N287" s="37" t="str">
        <f t="shared" si="99"/>
        <v/>
      </c>
      <c r="O287" s="37" t="str">
        <f t="shared" si="100"/>
        <v/>
      </c>
      <c r="P287" s="38" t="str">
        <f t="shared" si="101"/>
        <v/>
      </c>
      <c r="Q287" s="39" t="str">
        <f t="shared" si="102"/>
        <v/>
      </c>
      <c r="R287" s="39" t="str">
        <f t="shared" si="103"/>
        <v/>
      </c>
      <c r="S287" t="str">
        <f t="shared" si="104"/>
        <v/>
      </c>
      <c r="T287" s="39" t="str">
        <f t="shared" si="105"/>
        <v/>
      </c>
      <c r="U287" t="str">
        <f t="shared" si="106"/>
        <v/>
      </c>
      <c r="V287" t="str">
        <f t="shared" si="107"/>
        <v/>
      </c>
      <c r="W287" t="str">
        <f t="shared" si="108"/>
        <v/>
      </c>
      <c r="X287" s="38" t="str">
        <f t="shared" si="109"/>
        <v/>
      </c>
      <c r="Y287" s="38" t="str">
        <f t="shared" si="110"/>
        <v/>
      </c>
      <c r="Z287" s="39" t="str">
        <f t="shared" si="111"/>
        <v/>
      </c>
      <c r="AA287" s="39" t="str">
        <f t="shared" si="112"/>
        <v/>
      </c>
      <c r="AB287" s="40" t="str">
        <f t="shared" si="113"/>
        <v/>
      </c>
      <c r="AC287" t="str">
        <f>IF(L287="","",IF(AND($AO$2=1,ISNA(MATCH(L287,'02-شباط'!$L$2:$L$501,0))),"محذوف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114"/>
        <v/>
      </c>
      <c r="AH287" s="39" t="str">
        <f t="shared" si="115"/>
        <v/>
      </c>
      <c r="AI287" s="39" t="str">
        <f t="shared" si="116"/>
        <v/>
      </c>
      <c r="AJ287" s="39" t="str">
        <f t="shared" si="117"/>
        <v/>
      </c>
      <c r="AK287" t="str">
        <f t="shared" si="118"/>
        <v/>
      </c>
      <c r="AL287" t="str">
        <f t="shared" si="119"/>
        <v/>
      </c>
    </row>
    <row r="288" spans="11:38" ht="15">
      <c r="K288" t="str">
        <f t="shared" si="96"/>
        <v/>
      </c>
      <c r="L288" t="str">
        <f t="shared" si="97"/>
        <v/>
      </c>
      <c r="M288" s="36" t="str">
        <f t="shared" si="98"/>
        <v/>
      </c>
      <c r="N288" s="37" t="str">
        <f t="shared" si="99"/>
        <v/>
      </c>
      <c r="O288" s="37" t="str">
        <f t="shared" si="100"/>
        <v/>
      </c>
      <c r="P288" s="38" t="str">
        <f t="shared" si="101"/>
        <v/>
      </c>
      <c r="Q288" s="39" t="str">
        <f t="shared" si="102"/>
        <v/>
      </c>
      <c r="R288" s="39" t="str">
        <f t="shared" si="103"/>
        <v/>
      </c>
      <c r="S288" t="str">
        <f t="shared" si="104"/>
        <v/>
      </c>
      <c r="T288" s="39" t="str">
        <f t="shared" si="105"/>
        <v/>
      </c>
      <c r="U288" t="str">
        <f t="shared" si="106"/>
        <v/>
      </c>
      <c r="V288" t="str">
        <f t="shared" si="107"/>
        <v/>
      </c>
      <c r="W288" t="str">
        <f t="shared" si="108"/>
        <v/>
      </c>
      <c r="X288" s="38" t="str">
        <f t="shared" si="109"/>
        <v/>
      </c>
      <c r="Y288" s="38" t="str">
        <f t="shared" si="110"/>
        <v/>
      </c>
      <c r="Z288" s="39" t="str">
        <f t="shared" si="111"/>
        <v/>
      </c>
      <c r="AA288" s="39" t="str">
        <f t="shared" si="112"/>
        <v/>
      </c>
      <c r="AB288" s="40" t="str">
        <f t="shared" si="113"/>
        <v/>
      </c>
      <c r="AC288" t="str">
        <f>IF(L288="","",IF(AND($AO$2=1,ISNA(MATCH(L288,'02-شباط'!$L$2:$L$501,0))),"محذوف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114"/>
        <v/>
      </c>
      <c r="AH288" s="39" t="str">
        <f t="shared" si="115"/>
        <v/>
      </c>
      <c r="AI288" s="39" t="str">
        <f t="shared" si="116"/>
        <v/>
      </c>
      <c r="AJ288" s="39" t="str">
        <f t="shared" si="117"/>
        <v/>
      </c>
      <c r="AK288" t="str">
        <f t="shared" si="118"/>
        <v/>
      </c>
      <c r="AL288" t="str">
        <f t="shared" si="119"/>
        <v/>
      </c>
    </row>
    <row r="289" spans="11:38" ht="15">
      <c r="K289" t="str">
        <f t="shared" si="96"/>
        <v/>
      </c>
      <c r="L289" t="str">
        <f t="shared" si="97"/>
        <v/>
      </c>
      <c r="M289" s="36" t="str">
        <f t="shared" si="98"/>
        <v/>
      </c>
      <c r="N289" s="37" t="str">
        <f t="shared" si="99"/>
        <v/>
      </c>
      <c r="O289" s="37" t="str">
        <f t="shared" si="100"/>
        <v/>
      </c>
      <c r="P289" s="38" t="str">
        <f t="shared" si="101"/>
        <v/>
      </c>
      <c r="Q289" s="39" t="str">
        <f t="shared" si="102"/>
        <v/>
      </c>
      <c r="R289" s="39" t="str">
        <f t="shared" si="103"/>
        <v/>
      </c>
      <c r="S289" t="str">
        <f t="shared" si="104"/>
        <v/>
      </c>
      <c r="T289" s="39" t="str">
        <f t="shared" si="105"/>
        <v/>
      </c>
      <c r="U289" t="str">
        <f t="shared" si="106"/>
        <v/>
      </c>
      <c r="V289" t="str">
        <f t="shared" si="107"/>
        <v/>
      </c>
      <c r="W289" t="str">
        <f t="shared" si="108"/>
        <v/>
      </c>
      <c r="X289" s="38" t="str">
        <f t="shared" si="109"/>
        <v/>
      </c>
      <c r="Y289" s="38" t="str">
        <f t="shared" si="110"/>
        <v/>
      </c>
      <c r="Z289" s="39" t="str">
        <f t="shared" si="111"/>
        <v/>
      </c>
      <c r="AA289" s="39" t="str">
        <f t="shared" si="112"/>
        <v/>
      </c>
      <c r="AB289" s="40" t="str">
        <f t="shared" si="113"/>
        <v/>
      </c>
      <c r="AC289" t="str">
        <f>IF(L289="","",IF(AND($AO$2=1,ISNA(MATCH(L289,'02-شباط'!$L$2:$L$501,0))),"محذوف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114"/>
        <v/>
      </c>
      <c r="AH289" s="39" t="str">
        <f t="shared" si="115"/>
        <v/>
      </c>
      <c r="AI289" s="39" t="str">
        <f t="shared" si="116"/>
        <v/>
      </c>
      <c r="AJ289" s="39" t="str">
        <f t="shared" si="117"/>
        <v/>
      </c>
      <c r="AK289" t="str">
        <f t="shared" si="118"/>
        <v/>
      </c>
      <c r="AL289" t="str">
        <f t="shared" si="119"/>
        <v/>
      </c>
    </row>
    <row r="290" spans="11:38" ht="15">
      <c r="K290" t="str">
        <f t="shared" si="96"/>
        <v/>
      </c>
      <c r="L290" t="str">
        <f t="shared" si="97"/>
        <v/>
      </c>
      <c r="M290" s="36" t="str">
        <f t="shared" si="98"/>
        <v/>
      </c>
      <c r="N290" s="37" t="str">
        <f t="shared" si="99"/>
        <v/>
      </c>
      <c r="O290" s="37" t="str">
        <f t="shared" si="100"/>
        <v/>
      </c>
      <c r="P290" s="38" t="str">
        <f t="shared" si="101"/>
        <v/>
      </c>
      <c r="Q290" s="39" t="str">
        <f t="shared" si="102"/>
        <v/>
      </c>
      <c r="R290" s="39" t="str">
        <f t="shared" si="103"/>
        <v/>
      </c>
      <c r="S290" t="str">
        <f t="shared" si="104"/>
        <v/>
      </c>
      <c r="T290" s="39" t="str">
        <f t="shared" si="105"/>
        <v/>
      </c>
      <c r="U290" t="str">
        <f t="shared" si="106"/>
        <v/>
      </c>
      <c r="V290" t="str">
        <f t="shared" si="107"/>
        <v/>
      </c>
      <c r="W290" t="str">
        <f t="shared" si="108"/>
        <v/>
      </c>
      <c r="X290" s="38" t="str">
        <f t="shared" si="109"/>
        <v/>
      </c>
      <c r="Y290" s="38" t="str">
        <f t="shared" si="110"/>
        <v/>
      </c>
      <c r="Z290" s="39" t="str">
        <f t="shared" si="111"/>
        <v/>
      </c>
      <c r="AA290" s="39" t="str">
        <f t="shared" si="112"/>
        <v/>
      </c>
      <c r="AB290" s="40" t="str">
        <f t="shared" si="113"/>
        <v/>
      </c>
      <c r="AC290" t="str">
        <f>IF(L290="","",IF(AND($AO$2=1,ISNA(MATCH(L290,'02-شباط'!$L$2:$L$501,0))),"محذوف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114"/>
        <v/>
      </c>
      <c r="AH290" s="39" t="str">
        <f t="shared" si="115"/>
        <v/>
      </c>
      <c r="AI290" s="39" t="str">
        <f t="shared" si="116"/>
        <v/>
      </c>
      <c r="AJ290" s="39" t="str">
        <f t="shared" si="117"/>
        <v/>
      </c>
      <c r="AK290" t="str">
        <f t="shared" si="118"/>
        <v/>
      </c>
      <c r="AL290" t="str">
        <f t="shared" si="119"/>
        <v/>
      </c>
    </row>
    <row r="291" spans="11:38" ht="15">
      <c r="K291" t="str">
        <f t="shared" si="96"/>
        <v/>
      </c>
      <c r="L291" t="str">
        <f t="shared" si="97"/>
        <v/>
      </c>
      <c r="M291" s="36" t="str">
        <f t="shared" si="98"/>
        <v/>
      </c>
      <c r="N291" s="37" t="str">
        <f t="shared" si="99"/>
        <v/>
      </c>
      <c r="O291" s="37" t="str">
        <f t="shared" si="100"/>
        <v/>
      </c>
      <c r="P291" s="38" t="str">
        <f t="shared" si="101"/>
        <v/>
      </c>
      <c r="Q291" s="39" t="str">
        <f t="shared" si="102"/>
        <v/>
      </c>
      <c r="R291" s="39" t="str">
        <f t="shared" si="103"/>
        <v/>
      </c>
      <c r="S291" t="str">
        <f t="shared" si="104"/>
        <v/>
      </c>
      <c r="T291" s="39" t="str">
        <f t="shared" si="105"/>
        <v/>
      </c>
      <c r="U291" t="str">
        <f t="shared" si="106"/>
        <v/>
      </c>
      <c r="V291" t="str">
        <f t="shared" si="107"/>
        <v/>
      </c>
      <c r="W291" t="str">
        <f t="shared" si="108"/>
        <v/>
      </c>
      <c r="X291" s="38" t="str">
        <f t="shared" si="109"/>
        <v/>
      </c>
      <c r="Y291" s="38" t="str">
        <f t="shared" si="110"/>
        <v/>
      </c>
      <c r="Z291" s="39" t="str">
        <f t="shared" si="111"/>
        <v/>
      </c>
      <c r="AA291" s="39" t="str">
        <f t="shared" si="112"/>
        <v/>
      </c>
      <c r="AB291" s="40" t="str">
        <f t="shared" si="113"/>
        <v/>
      </c>
      <c r="AC291" t="str">
        <f>IF(L291="","",IF(AND($AO$2=1,ISNA(MATCH(L291,'02-شباط'!$L$2:$L$501,0))),"محذوف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114"/>
        <v/>
      </c>
      <c r="AH291" s="39" t="str">
        <f t="shared" si="115"/>
        <v/>
      </c>
      <c r="AI291" s="39" t="str">
        <f t="shared" si="116"/>
        <v/>
      </c>
      <c r="AJ291" s="39" t="str">
        <f t="shared" si="117"/>
        <v/>
      </c>
      <c r="AK291" t="str">
        <f t="shared" si="118"/>
        <v/>
      </c>
      <c r="AL291" t="str">
        <f t="shared" si="119"/>
        <v/>
      </c>
    </row>
    <row r="292" spans="11:38" ht="15">
      <c r="K292" t="str">
        <f t="shared" si="96"/>
        <v/>
      </c>
      <c r="L292" t="str">
        <f t="shared" si="97"/>
        <v/>
      </c>
      <c r="M292" s="36" t="str">
        <f t="shared" si="98"/>
        <v/>
      </c>
      <c r="N292" s="37" t="str">
        <f t="shared" si="99"/>
        <v/>
      </c>
      <c r="O292" s="37" t="str">
        <f t="shared" si="100"/>
        <v/>
      </c>
      <c r="P292" s="38" t="str">
        <f t="shared" si="101"/>
        <v/>
      </c>
      <c r="Q292" s="39" t="str">
        <f t="shared" si="102"/>
        <v/>
      </c>
      <c r="R292" s="39" t="str">
        <f t="shared" si="103"/>
        <v/>
      </c>
      <c r="S292" t="str">
        <f t="shared" si="104"/>
        <v/>
      </c>
      <c r="T292" s="39" t="str">
        <f t="shared" si="105"/>
        <v/>
      </c>
      <c r="U292" t="str">
        <f t="shared" si="106"/>
        <v/>
      </c>
      <c r="V292" t="str">
        <f t="shared" si="107"/>
        <v/>
      </c>
      <c r="W292" t="str">
        <f t="shared" si="108"/>
        <v/>
      </c>
      <c r="X292" s="38" t="str">
        <f t="shared" si="109"/>
        <v/>
      </c>
      <c r="Y292" s="38" t="str">
        <f t="shared" si="110"/>
        <v/>
      </c>
      <c r="Z292" s="39" t="str">
        <f t="shared" si="111"/>
        <v/>
      </c>
      <c r="AA292" s="39" t="str">
        <f t="shared" si="112"/>
        <v/>
      </c>
      <c r="AB292" s="40" t="str">
        <f t="shared" si="113"/>
        <v/>
      </c>
      <c r="AC292" t="str">
        <f>IF(L292="","",IF(AND($AO$2=1,ISNA(MATCH(L292,'02-شباط'!$L$2:$L$501,0))),"محذوف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114"/>
        <v/>
      </c>
      <c r="AH292" s="39" t="str">
        <f t="shared" si="115"/>
        <v/>
      </c>
      <c r="AI292" s="39" t="str">
        <f t="shared" si="116"/>
        <v/>
      </c>
      <c r="AJ292" s="39" t="str">
        <f t="shared" si="117"/>
        <v/>
      </c>
      <c r="AK292" t="str">
        <f t="shared" si="118"/>
        <v/>
      </c>
      <c r="AL292" t="str">
        <f t="shared" si="119"/>
        <v/>
      </c>
    </row>
    <row r="293" spans="11:38" ht="15">
      <c r="K293" t="str">
        <f t="shared" si="96"/>
        <v/>
      </c>
      <c r="L293" t="str">
        <f t="shared" si="97"/>
        <v/>
      </c>
      <c r="M293" s="36" t="str">
        <f t="shared" si="98"/>
        <v/>
      </c>
      <c r="N293" s="37" t="str">
        <f t="shared" si="99"/>
        <v/>
      </c>
      <c r="O293" s="37" t="str">
        <f t="shared" si="100"/>
        <v/>
      </c>
      <c r="P293" s="38" t="str">
        <f t="shared" si="101"/>
        <v/>
      </c>
      <c r="Q293" s="39" t="str">
        <f t="shared" si="102"/>
        <v/>
      </c>
      <c r="R293" s="39" t="str">
        <f t="shared" si="103"/>
        <v/>
      </c>
      <c r="S293" t="str">
        <f t="shared" si="104"/>
        <v/>
      </c>
      <c r="T293" s="39" t="str">
        <f t="shared" si="105"/>
        <v/>
      </c>
      <c r="U293" t="str">
        <f t="shared" si="106"/>
        <v/>
      </c>
      <c r="V293" t="str">
        <f t="shared" si="107"/>
        <v/>
      </c>
      <c r="W293" t="str">
        <f t="shared" si="108"/>
        <v/>
      </c>
      <c r="X293" s="38" t="str">
        <f t="shared" si="109"/>
        <v/>
      </c>
      <c r="Y293" s="38" t="str">
        <f t="shared" si="110"/>
        <v/>
      </c>
      <c r="Z293" s="39" t="str">
        <f t="shared" si="111"/>
        <v/>
      </c>
      <c r="AA293" s="39" t="str">
        <f t="shared" si="112"/>
        <v/>
      </c>
      <c r="AB293" s="40" t="str">
        <f t="shared" si="113"/>
        <v/>
      </c>
      <c r="AC293" t="str">
        <f>IF(L293="","",IF(AND($AO$2=1,ISNA(MATCH(L293,'02-شباط'!$L$2:$L$501,0))),"محذوف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114"/>
        <v/>
      </c>
      <c r="AH293" s="39" t="str">
        <f t="shared" si="115"/>
        <v/>
      </c>
      <c r="AI293" s="39" t="str">
        <f t="shared" si="116"/>
        <v/>
      </c>
      <c r="AJ293" s="39" t="str">
        <f t="shared" si="117"/>
        <v/>
      </c>
      <c r="AK293" t="str">
        <f t="shared" si="118"/>
        <v/>
      </c>
      <c r="AL293" t="str">
        <f t="shared" si="119"/>
        <v/>
      </c>
    </row>
    <row r="294" spans="11:38" ht="15">
      <c r="K294" t="str">
        <f t="shared" si="96"/>
        <v/>
      </c>
      <c r="L294" t="str">
        <f t="shared" si="97"/>
        <v/>
      </c>
      <c r="M294" s="36" t="str">
        <f t="shared" si="98"/>
        <v/>
      </c>
      <c r="N294" s="37" t="str">
        <f t="shared" si="99"/>
        <v/>
      </c>
      <c r="O294" s="37" t="str">
        <f t="shared" si="100"/>
        <v/>
      </c>
      <c r="P294" s="38" t="str">
        <f t="shared" si="101"/>
        <v/>
      </c>
      <c r="Q294" s="39" t="str">
        <f t="shared" si="102"/>
        <v/>
      </c>
      <c r="R294" s="39" t="str">
        <f t="shared" si="103"/>
        <v/>
      </c>
      <c r="S294" t="str">
        <f t="shared" si="104"/>
        <v/>
      </c>
      <c r="T294" s="39" t="str">
        <f t="shared" si="105"/>
        <v/>
      </c>
      <c r="U294" t="str">
        <f t="shared" si="106"/>
        <v/>
      </c>
      <c r="V294" t="str">
        <f t="shared" si="107"/>
        <v/>
      </c>
      <c r="W294" t="str">
        <f t="shared" si="108"/>
        <v/>
      </c>
      <c r="X294" s="38" t="str">
        <f t="shared" si="109"/>
        <v/>
      </c>
      <c r="Y294" s="38" t="str">
        <f t="shared" si="110"/>
        <v/>
      </c>
      <c r="Z294" s="39" t="str">
        <f t="shared" si="111"/>
        <v/>
      </c>
      <c r="AA294" s="39" t="str">
        <f t="shared" si="112"/>
        <v/>
      </c>
      <c r="AB294" s="40" t="str">
        <f t="shared" si="113"/>
        <v/>
      </c>
      <c r="AC294" t="str">
        <f>IF(L294="","",IF(AND($AO$2=1,ISNA(MATCH(L294,'02-شباط'!$L$2:$L$501,0))),"محذوف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114"/>
        <v/>
      </c>
      <c r="AH294" s="39" t="str">
        <f t="shared" si="115"/>
        <v/>
      </c>
      <c r="AI294" s="39" t="str">
        <f t="shared" si="116"/>
        <v/>
      </c>
      <c r="AJ294" s="39" t="str">
        <f t="shared" si="117"/>
        <v/>
      </c>
      <c r="AK294" t="str">
        <f t="shared" si="118"/>
        <v/>
      </c>
      <c r="AL294" t="str">
        <f t="shared" si="119"/>
        <v/>
      </c>
    </row>
    <row r="295" spans="11:38" ht="15">
      <c r="K295" t="str">
        <f t="shared" si="96"/>
        <v/>
      </c>
      <c r="L295" t="str">
        <f t="shared" si="97"/>
        <v/>
      </c>
      <c r="M295" s="36" t="str">
        <f t="shared" si="98"/>
        <v/>
      </c>
      <c r="N295" s="37" t="str">
        <f t="shared" si="99"/>
        <v/>
      </c>
      <c r="O295" s="37" t="str">
        <f t="shared" si="100"/>
        <v/>
      </c>
      <c r="P295" s="38" t="str">
        <f t="shared" si="101"/>
        <v/>
      </c>
      <c r="Q295" s="39" t="str">
        <f t="shared" si="102"/>
        <v/>
      </c>
      <c r="R295" s="39" t="str">
        <f t="shared" si="103"/>
        <v/>
      </c>
      <c r="S295" t="str">
        <f t="shared" si="104"/>
        <v/>
      </c>
      <c r="T295" s="39" t="str">
        <f t="shared" si="105"/>
        <v/>
      </c>
      <c r="U295" t="str">
        <f t="shared" si="106"/>
        <v/>
      </c>
      <c r="V295" t="str">
        <f t="shared" si="107"/>
        <v/>
      </c>
      <c r="W295" t="str">
        <f t="shared" si="108"/>
        <v/>
      </c>
      <c r="X295" s="38" t="str">
        <f t="shared" si="109"/>
        <v/>
      </c>
      <c r="Y295" s="38" t="str">
        <f t="shared" si="110"/>
        <v/>
      </c>
      <c r="Z295" s="39" t="str">
        <f t="shared" si="111"/>
        <v/>
      </c>
      <c r="AA295" s="39" t="str">
        <f t="shared" si="112"/>
        <v/>
      </c>
      <c r="AB295" s="40" t="str">
        <f t="shared" si="113"/>
        <v/>
      </c>
      <c r="AC295" t="str">
        <f>IF(L295="","",IF(AND($AO$2=1,ISNA(MATCH(L295,'02-شباط'!$L$2:$L$501,0))),"محذوف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114"/>
        <v/>
      </c>
      <c r="AH295" s="39" t="str">
        <f t="shared" si="115"/>
        <v/>
      </c>
      <c r="AI295" s="39" t="str">
        <f t="shared" si="116"/>
        <v/>
      </c>
      <c r="AJ295" s="39" t="str">
        <f t="shared" si="117"/>
        <v/>
      </c>
      <c r="AK295" t="str">
        <f t="shared" si="118"/>
        <v/>
      </c>
      <c r="AL295" t="str">
        <f t="shared" si="119"/>
        <v/>
      </c>
    </row>
    <row r="296" spans="11:38" ht="15">
      <c r="K296" t="str">
        <f t="shared" si="96"/>
        <v/>
      </c>
      <c r="L296" t="str">
        <f t="shared" si="97"/>
        <v/>
      </c>
      <c r="M296" s="36" t="str">
        <f t="shared" si="98"/>
        <v/>
      </c>
      <c r="N296" s="37" t="str">
        <f t="shared" si="99"/>
        <v/>
      </c>
      <c r="O296" s="37" t="str">
        <f t="shared" si="100"/>
        <v/>
      </c>
      <c r="P296" s="38" t="str">
        <f t="shared" si="101"/>
        <v/>
      </c>
      <c r="Q296" s="39" t="str">
        <f t="shared" si="102"/>
        <v/>
      </c>
      <c r="R296" s="39" t="str">
        <f t="shared" si="103"/>
        <v/>
      </c>
      <c r="S296" t="str">
        <f t="shared" si="104"/>
        <v/>
      </c>
      <c r="T296" s="39" t="str">
        <f t="shared" si="105"/>
        <v/>
      </c>
      <c r="U296" t="str">
        <f t="shared" si="106"/>
        <v/>
      </c>
      <c r="V296" t="str">
        <f t="shared" si="107"/>
        <v/>
      </c>
      <c r="W296" t="str">
        <f t="shared" si="108"/>
        <v/>
      </c>
      <c r="X296" s="38" t="str">
        <f t="shared" si="109"/>
        <v/>
      </c>
      <c r="Y296" s="38" t="str">
        <f t="shared" si="110"/>
        <v/>
      </c>
      <c r="Z296" s="39" t="str">
        <f t="shared" si="111"/>
        <v/>
      </c>
      <c r="AA296" s="39" t="str">
        <f t="shared" si="112"/>
        <v/>
      </c>
      <c r="AB296" s="40" t="str">
        <f t="shared" si="113"/>
        <v/>
      </c>
      <c r="AC296" t="str">
        <f>IF(L296="","",IF(AND($AO$2=1,ISNA(MATCH(L296,'02-شباط'!$L$2:$L$501,0))),"محذوف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114"/>
        <v/>
      </c>
      <c r="AH296" s="39" t="str">
        <f t="shared" si="115"/>
        <v/>
      </c>
      <c r="AI296" s="39" t="str">
        <f t="shared" si="116"/>
        <v/>
      </c>
      <c r="AJ296" s="39" t="str">
        <f t="shared" si="117"/>
        <v/>
      </c>
      <c r="AK296" t="str">
        <f t="shared" si="118"/>
        <v/>
      </c>
      <c r="AL296" t="str">
        <f t="shared" si="119"/>
        <v/>
      </c>
    </row>
    <row r="297" spans="11:38" ht="15">
      <c r="K297" t="str">
        <f t="shared" si="96"/>
        <v/>
      </c>
      <c r="L297" t="str">
        <f t="shared" si="97"/>
        <v/>
      </c>
      <c r="M297" s="36" t="str">
        <f t="shared" si="98"/>
        <v/>
      </c>
      <c r="N297" s="37" t="str">
        <f t="shared" si="99"/>
        <v/>
      </c>
      <c r="O297" s="37" t="str">
        <f t="shared" si="100"/>
        <v/>
      </c>
      <c r="P297" s="38" t="str">
        <f t="shared" si="101"/>
        <v/>
      </c>
      <c r="Q297" s="39" t="str">
        <f t="shared" si="102"/>
        <v/>
      </c>
      <c r="R297" s="39" t="str">
        <f t="shared" si="103"/>
        <v/>
      </c>
      <c r="S297" t="str">
        <f t="shared" si="104"/>
        <v/>
      </c>
      <c r="T297" s="39" t="str">
        <f t="shared" si="105"/>
        <v/>
      </c>
      <c r="U297" t="str">
        <f t="shared" si="106"/>
        <v/>
      </c>
      <c r="V297" t="str">
        <f t="shared" si="107"/>
        <v/>
      </c>
      <c r="W297" t="str">
        <f t="shared" si="108"/>
        <v/>
      </c>
      <c r="X297" s="38" t="str">
        <f t="shared" si="109"/>
        <v/>
      </c>
      <c r="Y297" s="38" t="str">
        <f t="shared" si="110"/>
        <v/>
      </c>
      <c r="Z297" s="39" t="str">
        <f t="shared" si="111"/>
        <v/>
      </c>
      <c r="AA297" s="39" t="str">
        <f t="shared" si="112"/>
        <v/>
      </c>
      <c r="AB297" s="40" t="str">
        <f t="shared" si="113"/>
        <v/>
      </c>
      <c r="AC297" t="str">
        <f>IF(L297="","",IF(AND($AO$2=1,ISNA(MATCH(L297,'02-شباط'!$L$2:$L$501,0))),"محذوف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114"/>
        <v/>
      </c>
      <c r="AH297" s="39" t="str">
        <f t="shared" si="115"/>
        <v/>
      </c>
      <c r="AI297" s="39" t="str">
        <f t="shared" si="116"/>
        <v/>
      </c>
      <c r="AJ297" s="39" t="str">
        <f t="shared" si="117"/>
        <v/>
      </c>
      <c r="AK297" t="str">
        <f t="shared" si="118"/>
        <v/>
      </c>
      <c r="AL297" t="str">
        <f t="shared" si="119"/>
        <v/>
      </c>
    </row>
    <row r="298" spans="11:38" ht="15">
      <c r="K298" t="str">
        <f t="shared" si="96"/>
        <v/>
      </c>
      <c r="L298" t="str">
        <f t="shared" si="97"/>
        <v/>
      </c>
      <c r="M298" s="36" t="str">
        <f t="shared" si="98"/>
        <v/>
      </c>
      <c r="N298" s="37" t="str">
        <f t="shared" si="99"/>
        <v/>
      </c>
      <c r="O298" s="37" t="str">
        <f t="shared" si="100"/>
        <v/>
      </c>
      <c r="P298" s="38" t="str">
        <f t="shared" si="101"/>
        <v/>
      </c>
      <c r="Q298" s="39" t="str">
        <f t="shared" si="102"/>
        <v/>
      </c>
      <c r="R298" s="39" t="str">
        <f t="shared" si="103"/>
        <v/>
      </c>
      <c r="S298" t="str">
        <f t="shared" si="104"/>
        <v/>
      </c>
      <c r="T298" s="39" t="str">
        <f t="shared" si="105"/>
        <v/>
      </c>
      <c r="U298" t="str">
        <f t="shared" si="106"/>
        <v/>
      </c>
      <c r="V298" t="str">
        <f t="shared" si="107"/>
        <v/>
      </c>
      <c r="W298" t="str">
        <f t="shared" si="108"/>
        <v/>
      </c>
      <c r="X298" s="38" t="str">
        <f t="shared" si="109"/>
        <v/>
      </c>
      <c r="Y298" s="38" t="str">
        <f t="shared" si="110"/>
        <v/>
      </c>
      <c r="Z298" s="39" t="str">
        <f t="shared" si="111"/>
        <v/>
      </c>
      <c r="AA298" s="39" t="str">
        <f t="shared" si="112"/>
        <v/>
      </c>
      <c r="AB298" s="40" t="str">
        <f t="shared" si="113"/>
        <v/>
      </c>
      <c r="AC298" t="str">
        <f>IF(L298="","",IF(AND($AO$2=1,ISNA(MATCH(L298,'02-شباط'!$L$2:$L$501,0))),"محذوف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114"/>
        <v/>
      </c>
      <c r="AH298" s="39" t="str">
        <f t="shared" si="115"/>
        <v/>
      </c>
      <c r="AI298" s="39" t="str">
        <f t="shared" si="116"/>
        <v/>
      </c>
      <c r="AJ298" s="39" t="str">
        <f t="shared" si="117"/>
        <v/>
      </c>
      <c r="AK298" t="str">
        <f t="shared" si="118"/>
        <v/>
      </c>
      <c r="AL298" t="str">
        <f t="shared" si="119"/>
        <v/>
      </c>
    </row>
    <row r="299" spans="11:38" ht="15">
      <c r="K299" t="str">
        <f t="shared" si="96"/>
        <v/>
      </c>
      <c r="L299" t="str">
        <f t="shared" si="97"/>
        <v/>
      </c>
      <c r="M299" s="36" t="str">
        <f t="shared" si="98"/>
        <v/>
      </c>
      <c r="N299" s="37" t="str">
        <f t="shared" si="99"/>
        <v/>
      </c>
      <c r="O299" s="37" t="str">
        <f t="shared" si="100"/>
        <v/>
      </c>
      <c r="P299" s="38" t="str">
        <f t="shared" si="101"/>
        <v/>
      </c>
      <c r="Q299" s="39" t="str">
        <f t="shared" si="102"/>
        <v/>
      </c>
      <c r="R299" s="39" t="str">
        <f t="shared" si="103"/>
        <v/>
      </c>
      <c r="S299" t="str">
        <f t="shared" si="104"/>
        <v/>
      </c>
      <c r="T299" s="39" t="str">
        <f t="shared" si="105"/>
        <v/>
      </c>
      <c r="U299" t="str">
        <f t="shared" si="106"/>
        <v/>
      </c>
      <c r="V299" t="str">
        <f t="shared" si="107"/>
        <v/>
      </c>
      <c r="W299" t="str">
        <f t="shared" si="108"/>
        <v/>
      </c>
      <c r="X299" s="38" t="str">
        <f t="shared" si="109"/>
        <v/>
      </c>
      <c r="Y299" s="38" t="str">
        <f t="shared" si="110"/>
        <v/>
      </c>
      <c r="Z299" s="39" t="str">
        <f t="shared" si="111"/>
        <v/>
      </c>
      <c r="AA299" s="39" t="str">
        <f t="shared" si="112"/>
        <v/>
      </c>
      <c r="AB299" s="40" t="str">
        <f t="shared" si="113"/>
        <v/>
      </c>
      <c r="AC299" t="str">
        <f>IF(L299="","",IF(AND($AO$2=1,ISNA(MATCH(L299,'02-شباط'!$L$2:$L$501,0))),"محذوف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114"/>
        <v/>
      </c>
      <c r="AH299" s="39" t="str">
        <f t="shared" si="115"/>
        <v/>
      </c>
      <c r="AI299" s="39" t="str">
        <f t="shared" si="116"/>
        <v/>
      </c>
      <c r="AJ299" s="39" t="str">
        <f t="shared" si="117"/>
        <v/>
      </c>
      <c r="AK299" t="str">
        <f t="shared" si="118"/>
        <v/>
      </c>
      <c r="AL299" t="str">
        <f t="shared" si="119"/>
        <v/>
      </c>
    </row>
    <row r="300" spans="11:38" ht="15">
      <c r="K300" t="str">
        <f t="shared" si="96"/>
        <v/>
      </c>
      <c r="L300" t="str">
        <f t="shared" si="97"/>
        <v/>
      </c>
      <c r="M300" s="36" t="str">
        <f t="shared" si="98"/>
        <v/>
      </c>
      <c r="N300" s="37" t="str">
        <f t="shared" si="99"/>
        <v/>
      </c>
      <c r="O300" s="37" t="str">
        <f t="shared" si="100"/>
        <v/>
      </c>
      <c r="P300" s="38" t="str">
        <f t="shared" si="101"/>
        <v/>
      </c>
      <c r="Q300" s="39" t="str">
        <f t="shared" si="102"/>
        <v/>
      </c>
      <c r="R300" s="39" t="str">
        <f t="shared" si="103"/>
        <v/>
      </c>
      <c r="S300" t="str">
        <f t="shared" si="104"/>
        <v/>
      </c>
      <c r="T300" s="39" t="str">
        <f t="shared" si="105"/>
        <v/>
      </c>
      <c r="U300" t="str">
        <f t="shared" si="106"/>
        <v/>
      </c>
      <c r="V300" t="str">
        <f t="shared" si="107"/>
        <v/>
      </c>
      <c r="W300" t="str">
        <f t="shared" si="108"/>
        <v/>
      </c>
      <c r="X300" s="38" t="str">
        <f t="shared" si="109"/>
        <v/>
      </c>
      <c r="Y300" s="38" t="str">
        <f t="shared" si="110"/>
        <v/>
      </c>
      <c r="Z300" s="39" t="str">
        <f t="shared" si="111"/>
        <v/>
      </c>
      <c r="AA300" s="39" t="str">
        <f t="shared" si="112"/>
        <v/>
      </c>
      <c r="AB300" s="40" t="str">
        <f t="shared" si="113"/>
        <v/>
      </c>
      <c r="AC300" t="str">
        <f>IF(L300="","",IF(AND($AO$2=1,ISNA(MATCH(L300,'02-شباط'!$L$2:$L$501,0))),"محذوف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114"/>
        <v/>
      </c>
      <c r="AH300" s="39" t="str">
        <f t="shared" si="115"/>
        <v/>
      </c>
      <c r="AI300" s="39" t="str">
        <f t="shared" si="116"/>
        <v/>
      </c>
      <c r="AJ300" s="39" t="str">
        <f t="shared" si="117"/>
        <v/>
      </c>
      <c r="AK300" t="str">
        <f t="shared" si="118"/>
        <v/>
      </c>
      <c r="AL300" t="str">
        <f t="shared" si="119"/>
        <v/>
      </c>
    </row>
    <row r="301" spans="11:38" ht="15">
      <c r="K301" t="str">
        <f t="shared" si="96"/>
        <v/>
      </c>
      <c r="L301" t="str">
        <f t="shared" si="97"/>
        <v/>
      </c>
      <c r="M301" s="36" t="str">
        <f t="shared" si="98"/>
        <v/>
      </c>
      <c r="N301" s="37" t="str">
        <f t="shared" si="99"/>
        <v/>
      </c>
      <c r="O301" s="37" t="str">
        <f t="shared" si="100"/>
        <v/>
      </c>
      <c r="P301" s="38" t="str">
        <f t="shared" si="101"/>
        <v/>
      </c>
      <c r="Q301" s="39" t="str">
        <f t="shared" si="102"/>
        <v/>
      </c>
      <c r="R301" s="39" t="str">
        <f t="shared" si="103"/>
        <v/>
      </c>
      <c r="S301" t="str">
        <f t="shared" si="104"/>
        <v/>
      </c>
      <c r="T301" s="39" t="str">
        <f t="shared" si="105"/>
        <v/>
      </c>
      <c r="U301" t="str">
        <f t="shared" si="106"/>
        <v/>
      </c>
      <c r="V301" t="str">
        <f t="shared" si="107"/>
        <v/>
      </c>
      <c r="W301" t="str">
        <f t="shared" si="108"/>
        <v/>
      </c>
      <c r="X301" s="38" t="str">
        <f t="shared" si="109"/>
        <v/>
      </c>
      <c r="Y301" s="38" t="str">
        <f t="shared" si="110"/>
        <v/>
      </c>
      <c r="Z301" s="39" t="str">
        <f t="shared" si="111"/>
        <v/>
      </c>
      <c r="AA301" s="39" t="str">
        <f t="shared" si="112"/>
        <v/>
      </c>
      <c r="AB301" s="40" t="str">
        <f t="shared" si="113"/>
        <v/>
      </c>
      <c r="AC301" t="str">
        <f>IF(L301="","",IF(AND($AO$2=1,ISNA(MATCH(L301,'02-شباط'!$L$2:$L$501,0))),"محذوف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114"/>
        <v/>
      </c>
      <c r="AH301" s="39" t="str">
        <f t="shared" si="115"/>
        <v/>
      </c>
      <c r="AI301" s="39" t="str">
        <f t="shared" si="116"/>
        <v/>
      </c>
      <c r="AJ301" s="39" t="str">
        <f t="shared" si="117"/>
        <v/>
      </c>
      <c r="AK301" t="str">
        <f t="shared" si="118"/>
        <v/>
      </c>
      <c r="AL301" t="str">
        <f t="shared" si="119"/>
        <v/>
      </c>
    </row>
    <row r="302" spans="11:38" ht="15">
      <c r="K302" t="str">
        <f t="shared" si="96"/>
        <v/>
      </c>
      <c r="L302" t="str">
        <f t="shared" si="97"/>
        <v/>
      </c>
      <c r="M302" s="36" t="str">
        <f t="shared" si="98"/>
        <v/>
      </c>
      <c r="N302" s="37" t="str">
        <f t="shared" si="99"/>
        <v/>
      </c>
      <c r="O302" s="37" t="str">
        <f t="shared" si="100"/>
        <v/>
      </c>
      <c r="P302" s="38" t="str">
        <f t="shared" si="101"/>
        <v/>
      </c>
      <c r="Q302" s="39" t="str">
        <f t="shared" si="102"/>
        <v/>
      </c>
      <c r="R302" s="39" t="str">
        <f t="shared" si="103"/>
        <v/>
      </c>
      <c r="S302" t="str">
        <f t="shared" si="104"/>
        <v/>
      </c>
      <c r="T302" s="39" t="str">
        <f t="shared" si="105"/>
        <v/>
      </c>
      <c r="U302" t="str">
        <f t="shared" si="106"/>
        <v/>
      </c>
      <c r="V302" t="str">
        <f t="shared" si="107"/>
        <v/>
      </c>
      <c r="W302" t="str">
        <f t="shared" si="108"/>
        <v/>
      </c>
      <c r="X302" s="38" t="str">
        <f t="shared" si="109"/>
        <v/>
      </c>
      <c r="Y302" s="38" t="str">
        <f t="shared" si="110"/>
        <v/>
      </c>
      <c r="Z302" s="39" t="str">
        <f t="shared" si="111"/>
        <v/>
      </c>
      <c r="AA302" s="39" t="str">
        <f t="shared" si="112"/>
        <v/>
      </c>
      <c r="AB302" s="40" t="str">
        <f t="shared" si="113"/>
        <v/>
      </c>
      <c r="AC302" t="str">
        <f>IF(L302="","",IF(AND($AO$2=1,ISNA(MATCH(L302,'02-شباط'!$L$2:$L$501,0))),"محذوف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114"/>
        <v/>
      </c>
      <c r="AH302" s="39" t="str">
        <f t="shared" si="115"/>
        <v/>
      </c>
      <c r="AI302" s="39" t="str">
        <f t="shared" si="116"/>
        <v/>
      </c>
      <c r="AJ302" s="39" t="str">
        <f t="shared" si="117"/>
        <v/>
      </c>
      <c r="AK302" t="str">
        <f t="shared" si="118"/>
        <v/>
      </c>
      <c r="AL302" t="str">
        <f t="shared" si="119"/>
        <v/>
      </c>
    </row>
    <row r="303" spans="11:38" ht="15">
      <c r="K303" t="str">
        <f t="shared" si="96"/>
        <v/>
      </c>
      <c r="L303" t="str">
        <f t="shared" si="97"/>
        <v/>
      </c>
      <c r="M303" s="36" t="str">
        <f t="shared" si="98"/>
        <v/>
      </c>
      <c r="N303" s="37" t="str">
        <f t="shared" si="99"/>
        <v/>
      </c>
      <c r="O303" s="37" t="str">
        <f t="shared" si="100"/>
        <v/>
      </c>
      <c r="P303" s="38" t="str">
        <f t="shared" si="101"/>
        <v/>
      </c>
      <c r="Q303" s="39" t="str">
        <f t="shared" si="102"/>
        <v/>
      </c>
      <c r="R303" s="39" t="str">
        <f t="shared" si="103"/>
        <v/>
      </c>
      <c r="S303" t="str">
        <f t="shared" si="104"/>
        <v/>
      </c>
      <c r="T303" s="39" t="str">
        <f t="shared" si="105"/>
        <v/>
      </c>
      <c r="U303" t="str">
        <f t="shared" si="106"/>
        <v/>
      </c>
      <c r="V303" t="str">
        <f t="shared" si="107"/>
        <v/>
      </c>
      <c r="W303" t="str">
        <f t="shared" si="108"/>
        <v/>
      </c>
      <c r="X303" s="38" t="str">
        <f t="shared" si="109"/>
        <v/>
      </c>
      <c r="Y303" s="38" t="str">
        <f t="shared" si="110"/>
        <v/>
      </c>
      <c r="Z303" s="39" t="str">
        <f t="shared" si="111"/>
        <v/>
      </c>
      <c r="AA303" s="39" t="str">
        <f t="shared" si="112"/>
        <v/>
      </c>
      <c r="AB303" s="40" t="str">
        <f t="shared" si="113"/>
        <v/>
      </c>
      <c r="AC303" t="str">
        <f>IF(L303="","",IF(AND($AO$2=1,ISNA(MATCH(L303,'02-شباط'!$L$2:$L$501,0))),"محذوف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114"/>
        <v/>
      </c>
      <c r="AH303" s="39" t="str">
        <f t="shared" si="115"/>
        <v/>
      </c>
      <c r="AI303" s="39" t="str">
        <f t="shared" si="116"/>
        <v/>
      </c>
      <c r="AJ303" s="39" t="str">
        <f t="shared" si="117"/>
        <v/>
      </c>
      <c r="AK303" t="str">
        <f t="shared" si="118"/>
        <v/>
      </c>
      <c r="AL303" t="str">
        <f t="shared" si="119"/>
        <v/>
      </c>
    </row>
    <row r="304" spans="11:38" ht="15">
      <c r="K304" t="str">
        <f t="shared" si="96"/>
        <v/>
      </c>
      <c r="L304" t="str">
        <f t="shared" si="97"/>
        <v/>
      </c>
      <c r="M304" s="36" t="str">
        <f t="shared" si="98"/>
        <v/>
      </c>
      <c r="N304" s="37" t="str">
        <f t="shared" si="99"/>
        <v/>
      </c>
      <c r="O304" s="37" t="str">
        <f t="shared" si="100"/>
        <v/>
      </c>
      <c r="P304" s="38" t="str">
        <f t="shared" si="101"/>
        <v/>
      </c>
      <c r="Q304" s="39" t="str">
        <f t="shared" si="102"/>
        <v/>
      </c>
      <c r="R304" s="39" t="str">
        <f t="shared" si="103"/>
        <v/>
      </c>
      <c r="S304" t="str">
        <f t="shared" si="104"/>
        <v/>
      </c>
      <c r="T304" s="39" t="str">
        <f t="shared" si="105"/>
        <v/>
      </c>
      <c r="U304" t="str">
        <f t="shared" si="106"/>
        <v/>
      </c>
      <c r="V304" t="str">
        <f t="shared" si="107"/>
        <v/>
      </c>
      <c r="W304" t="str">
        <f t="shared" si="108"/>
        <v/>
      </c>
      <c r="X304" s="38" t="str">
        <f t="shared" si="109"/>
        <v/>
      </c>
      <c r="Y304" s="38" t="str">
        <f t="shared" si="110"/>
        <v/>
      </c>
      <c r="Z304" s="39" t="str">
        <f t="shared" si="111"/>
        <v/>
      </c>
      <c r="AA304" s="39" t="str">
        <f t="shared" si="112"/>
        <v/>
      </c>
      <c r="AB304" s="40" t="str">
        <f t="shared" si="113"/>
        <v/>
      </c>
      <c r="AC304" t="str">
        <f>IF(L304="","",IF(AND($AO$2=1,ISNA(MATCH(L304,'02-شباط'!$L$2:$L$501,0))),"محذوف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114"/>
        <v/>
      </c>
      <c r="AH304" s="39" t="str">
        <f t="shared" si="115"/>
        <v/>
      </c>
      <c r="AI304" s="39" t="str">
        <f t="shared" si="116"/>
        <v/>
      </c>
      <c r="AJ304" s="39" t="str">
        <f t="shared" si="117"/>
        <v/>
      </c>
      <c r="AK304" t="str">
        <f t="shared" si="118"/>
        <v/>
      </c>
      <c r="AL304" t="str">
        <f t="shared" si="119"/>
        <v/>
      </c>
    </row>
    <row r="305" spans="11:38" ht="15">
      <c r="K305" t="str">
        <f t="shared" si="96"/>
        <v/>
      </c>
      <c r="L305" t="str">
        <f t="shared" si="97"/>
        <v/>
      </c>
      <c r="M305" s="36" t="str">
        <f t="shared" si="98"/>
        <v/>
      </c>
      <c r="N305" s="37" t="str">
        <f t="shared" si="99"/>
        <v/>
      </c>
      <c r="O305" s="37" t="str">
        <f t="shared" si="100"/>
        <v/>
      </c>
      <c r="P305" s="38" t="str">
        <f t="shared" si="101"/>
        <v/>
      </c>
      <c r="Q305" s="39" t="str">
        <f t="shared" si="102"/>
        <v/>
      </c>
      <c r="R305" s="39" t="str">
        <f t="shared" si="103"/>
        <v/>
      </c>
      <c r="S305" t="str">
        <f t="shared" si="104"/>
        <v/>
      </c>
      <c r="T305" s="39" t="str">
        <f t="shared" si="105"/>
        <v/>
      </c>
      <c r="U305" t="str">
        <f t="shared" si="106"/>
        <v/>
      </c>
      <c r="V305" t="str">
        <f t="shared" si="107"/>
        <v/>
      </c>
      <c r="W305" t="str">
        <f t="shared" si="108"/>
        <v/>
      </c>
      <c r="X305" s="38" t="str">
        <f t="shared" si="109"/>
        <v/>
      </c>
      <c r="Y305" s="38" t="str">
        <f t="shared" si="110"/>
        <v/>
      </c>
      <c r="Z305" s="39" t="str">
        <f t="shared" si="111"/>
        <v/>
      </c>
      <c r="AA305" s="39" t="str">
        <f t="shared" si="112"/>
        <v/>
      </c>
      <c r="AB305" s="40" t="str">
        <f t="shared" si="113"/>
        <v/>
      </c>
      <c r="AC305" t="str">
        <f>IF(L305="","",IF(AND($AO$2=1,ISNA(MATCH(L305,'02-شباط'!$L$2:$L$501,0))),"محذوف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114"/>
        <v/>
      </c>
      <c r="AH305" s="39" t="str">
        <f t="shared" si="115"/>
        <v/>
      </c>
      <c r="AI305" s="39" t="str">
        <f t="shared" si="116"/>
        <v/>
      </c>
      <c r="AJ305" s="39" t="str">
        <f t="shared" si="117"/>
        <v/>
      </c>
      <c r="AK305" t="str">
        <f t="shared" si="118"/>
        <v/>
      </c>
      <c r="AL305" t="str">
        <f t="shared" si="119"/>
        <v/>
      </c>
    </row>
    <row r="306" spans="11:38" ht="15">
      <c r="K306" t="str">
        <f t="shared" si="96"/>
        <v/>
      </c>
      <c r="L306" t="str">
        <f t="shared" si="97"/>
        <v/>
      </c>
      <c r="M306" s="36" t="str">
        <f t="shared" si="98"/>
        <v/>
      </c>
      <c r="N306" s="37" t="str">
        <f t="shared" si="99"/>
        <v/>
      </c>
      <c r="O306" s="37" t="str">
        <f t="shared" si="100"/>
        <v/>
      </c>
      <c r="P306" s="38" t="str">
        <f t="shared" si="101"/>
        <v/>
      </c>
      <c r="Q306" s="39" t="str">
        <f t="shared" si="102"/>
        <v/>
      </c>
      <c r="R306" s="39" t="str">
        <f t="shared" si="103"/>
        <v/>
      </c>
      <c r="S306" t="str">
        <f t="shared" si="104"/>
        <v/>
      </c>
      <c r="T306" s="39" t="str">
        <f t="shared" si="105"/>
        <v/>
      </c>
      <c r="U306" t="str">
        <f t="shared" si="106"/>
        <v/>
      </c>
      <c r="V306" t="str">
        <f t="shared" si="107"/>
        <v/>
      </c>
      <c r="W306" t="str">
        <f t="shared" si="108"/>
        <v/>
      </c>
      <c r="X306" s="38" t="str">
        <f t="shared" si="109"/>
        <v/>
      </c>
      <c r="Y306" s="38" t="str">
        <f t="shared" si="110"/>
        <v/>
      </c>
      <c r="Z306" s="39" t="str">
        <f t="shared" si="111"/>
        <v/>
      </c>
      <c r="AA306" s="39" t="str">
        <f t="shared" si="112"/>
        <v/>
      </c>
      <c r="AB306" s="40" t="str">
        <f t="shared" si="113"/>
        <v/>
      </c>
      <c r="AC306" t="str">
        <f>IF(L306="","",IF(AND($AO$2=1,ISNA(MATCH(L306,'02-شباط'!$L$2:$L$501,0))),"محذوف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114"/>
        <v/>
      </c>
      <c r="AH306" s="39" t="str">
        <f t="shared" si="115"/>
        <v/>
      </c>
      <c r="AI306" s="39" t="str">
        <f t="shared" si="116"/>
        <v/>
      </c>
      <c r="AJ306" s="39" t="str">
        <f t="shared" si="117"/>
        <v/>
      </c>
      <c r="AK306" t="str">
        <f t="shared" si="118"/>
        <v/>
      </c>
      <c r="AL306" t="str">
        <f t="shared" si="119"/>
        <v/>
      </c>
    </row>
    <row r="307" spans="11:38" ht="15">
      <c r="K307" t="str">
        <f t="shared" si="96"/>
        <v/>
      </c>
      <c r="L307" t="str">
        <f t="shared" si="97"/>
        <v/>
      </c>
      <c r="M307" s="36" t="str">
        <f t="shared" si="98"/>
        <v/>
      </c>
      <c r="N307" s="37" t="str">
        <f t="shared" si="99"/>
        <v/>
      </c>
      <c r="O307" s="37" t="str">
        <f t="shared" si="100"/>
        <v/>
      </c>
      <c r="P307" s="38" t="str">
        <f t="shared" si="101"/>
        <v/>
      </c>
      <c r="Q307" s="39" t="str">
        <f t="shared" si="102"/>
        <v/>
      </c>
      <c r="R307" s="39" t="str">
        <f t="shared" si="103"/>
        <v/>
      </c>
      <c r="S307" t="str">
        <f t="shared" si="104"/>
        <v/>
      </c>
      <c r="T307" s="39" t="str">
        <f t="shared" si="105"/>
        <v/>
      </c>
      <c r="U307" t="str">
        <f t="shared" si="106"/>
        <v/>
      </c>
      <c r="V307" t="str">
        <f t="shared" si="107"/>
        <v/>
      </c>
      <c r="W307" t="str">
        <f t="shared" si="108"/>
        <v/>
      </c>
      <c r="X307" s="38" t="str">
        <f t="shared" si="109"/>
        <v/>
      </c>
      <c r="Y307" s="38" t="str">
        <f t="shared" si="110"/>
        <v/>
      </c>
      <c r="Z307" s="39" t="str">
        <f t="shared" si="111"/>
        <v/>
      </c>
      <c r="AA307" s="39" t="str">
        <f t="shared" si="112"/>
        <v/>
      </c>
      <c r="AB307" s="40" t="str">
        <f t="shared" si="113"/>
        <v/>
      </c>
      <c r="AC307" t="str">
        <f>IF(L307="","",IF(AND($AO$2=1,ISNA(MATCH(L307,'02-شباط'!$L$2:$L$501,0))),"محذوف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114"/>
        <v/>
      </c>
      <c r="AH307" s="39" t="str">
        <f t="shared" si="115"/>
        <v/>
      </c>
      <c r="AI307" s="39" t="str">
        <f t="shared" si="116"/>
        <v/>
      </c>
      <c r="AJ307" s="39" t="str">
        <f t="shared" si="117"/>
        <v/>
      </c>
      <c r="AK307" t="str">
        <f t="shared" si="118"/>
        <v/>
      </c>
      <c r="AL307" t="str">
        <f t="shared" si="119"/>
        <v/>
      </c>
    </row>
    <row r="308" spans="11:38" ht="15">
      <c r="K308" t="str">
        <f t="shared" si="96"/>
        <v/>
      </c>
      <c r="L308" t="str">
        <f t="shared" si="97"/>
        <v/>
      </c>
      <c r="M308" s="36" t="str">
        <f t="shared" si="98"/>
        <v/>
      </c>
      <c r="N308" s="37" t="str">
        <f t="shared" si="99"/>
        <v/>
      </c>
      <c r="O308" s="37" t="str">
        <f t="shared" si="100"/>
        <v/>
      </c>
      <c r="P308" s="38" t="str">
        <f t="shared" si="101"/>
        <v/>
      </c>
      <c r="Q308" s="39" t="str">
        <f t="shared" si="102"/>
        <v/>
      </c>
      <c r="R308" s="39" t="str">
        <f t="shared" si="103"/>
        <v/>
      </c>
      <c r="S308" t="str">
        <f t="shared" si="104"/>
        <v/>
      </c>
      <c r="T308" s="39" t="str">
        <f t="shared" si="105"/>
        <v/>
      </c>
      <c r="U308" t="str">
        <f t="shared" si="106"/>
        <v/>
      </c>
      <c r="V308" t="str">
        <f t="shared" si="107"/>
        <v/>
      </c>
      <c r="W308" t="str">
        <f t="shared" si="108"/>
        <v/>
      </c>
      <c r="X308" s="38" t="str">
        <f t="shared" si="109"/>
        <v/>
      </c>
      <c r="Y308" s="38" t="str">
        <f t="shared" si="110"/>
        <v/>
      </c>
      <c r="Z308" s="39" t="str">
        <f t="shared" si="111"/>
        <v/>
      </c>
      <c r="AA308" s="39" t="str">
        <f t="shared" si="112"/>
        <v/>
      </c>
      <c r="AB308" s="40" t="str">
        <f t="shared" si="113"/>
        <v/>
      </c>
      <c r="AC308" t="str">
        <f>IF(L308="","",IF(AND($AO$2=1,ISNA(MATCH(L308,'02-شباط'!$L$2:$L$501,0))),"محذوف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114"/>
        <v/>
      </c>
      <c r="AH308" s="39" t="str">
        <f t="shared" si="115"/>
        <v/>
      </c>
      <c r="AI308" s="39" t="str">
        <f t="shared" si="116"/>
        <v/>
      </c>
      <c r="AJ308" s="39" t="str">
        <f t="shared" si="117"/>
        <v/>
      </c>
      <c r="AK308" t="str">
        <f t="shared" si="118"/>
        <v/>
      </c>
      <c r="AL308" t="str">
        <f t="shared" si="119"/>
        <v/>
      </c>
    </row>
    <row r="309" spans="11:38" ht="15">
      <c r="K309" t="str">
        <f t="shared" si="96"/>
        <v/>
      </c>
      <c r="L309" t="str">
        <f t="shared" si="97"/>
        <v/>
      </c>
      <c r="M309" s="36" t="str">
        <f t="shared" si="98"/>
        <v/>
      </c>
      <c r="N309" s="37" t="str">
        <f t="shared" si="99"/>
        <v/>
      </c>
      <c r="O309" s="37" t="str">
        <f t="shared" si="100"/>
        <v/>
      </c>
      <c r="P309" s="38" t="str">
        <f t="shared" si="101"/>
        <v/>
      </c>
      <c r="Q309" s="39" t="str">
        <f t="shared" si="102"/>
        <v/>
      </c>
      <c r="R309" s="39" t="str">
        <f t="shared" si="103"/>
        <v/>
      </c>
      <c r="S309" t="str">
        <f t="shared" si="104"/>
        <v/>
      </c>
      <c r="T309" s="39" t="str">
        <f t="shared" si="105"/>
        <v/>
      </c>
      <c r="U309" t="str">
        <f t="shared" si="106"/>
        <v/>
      </c>
      <c r="V309" t="str">
        <f t="shared" si="107"/>
        <v/>
      </c>
      <c r="W309" t="str">
        <f t="shared" si="108"/>
        <v/>
      </c>
      <c r="X309" s="38" t="str">
        <f t="shared" si="109"/>
        <v/>
      </c>
      <c r="Y309" s="38" t="str">
        <f t="shared" si="110"/>
        <v/>
      </c>
      <c r="Z309" s="39" t="str">
        <f t="shared" si="111"/>
        <v/>
      </c>
      <c r="AA309" s="39" t="str">
        <f t="shared" si="112"/>
        <v/>
      </c>
      <c r="AB309" s="40" t="str">
        <f t="shared" si="113"/>
        <v/>
      </c>
      <c r="AC309" t="str">
        <f>IF(L309="","",IF(AND($AO$2=1,ISNA(MATCH(L309,'02-شباط'!$L$2:$L$501,0))),"محذوف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114"/>
        <v/>
      </c>
      <c r="AH309" s="39" t="str">
        <f t="shared" si="115"/>
        <v/>
      </c>
      <c r="AI309" s="39" t="str">
        <f t="shared" si="116"/>
        <v/>
      </c>
      <c r="AJ309" s="39" t="str">
        <f t="shared" si="117"/>
        <v/>
      </c>
      <c r="AK309" t="str">
        <f t="shared" si="118"/>
        <v/>
      </c>
      <c r="AL309" t="str">
        <f t="shared" si="119"/>
        <v/>
      </c>
    </row>
    <row r="310" spans="11:38" ht="15">
      <c r="K310" t="str">
        <f t="shared" si="96"/>
        <v/>
      </c>
      <c r="L310" t="str">
        <f t="shared" si="97"/>
        <v/>
      </c>
      <c r="M310" s="36" t="str">
        <f t="shared" si="98"/>
        <v/>
      </c>
      <c r="N310" s="37" t="str">
        <f t="shared" si="99"/>
        <v/>
      </c>
      <c r="O310" s="37" t="str">
        <f t="shared" si="100"/>
        <v/>
      </c>
      <c r="P310" s="38" t="str">
        <f t="shared" si="101"/>
        <v/>
      </c>
      <c r="Q310" s="39" t="str">
        <f t="shared" si="102"/>
        <v/>
      </c>
      <c r="R310" s="39" t="str">
        <f t="shared" si="103"/>
        <v/>
      </c>
      <c r="S310" t="str">
        <f t="shared" si="104"/>
        <v/>
      </c>
      <c r="T310" s="39" t="str">
        <f t="shared" si="105"/>
        <v/>
      </c>
      <c r="U310" t="str">
        <f t="shared" si="106"/>
        <v/>
      </c>
      <c r="V310" t="str">
        <f t="shared" si="107"/>
        <v/>
      </c>
      <c r="W310" t="str">
        <f t="shared" si="108"/>
        <v/>
      </c>
      <c r="X310" s="38" t="str">
        <f t="shared" si="109"/>
        <v/>
      </c>
      <c r="Y310" s="38" t="str">
        <f t="shared" si="110"/>
        <v/>
      </c>
      <c r="Z310" s="39" t="str">
        <f t="shared" si="111"/>
        <v/>
      </c>
      <c r="AA310" s="39" t="str">
        <f t="shared" si="112"/>
        <v/>
      </c>
      <c r="AB310" s="40" t="str">
        <f t="shared" si="113"/>
        <v/>
      </c>
      <c r="AC310" t="str">
        <f>IF(L310="","",IF(AND($AO$2=1,ISNA(MATCH(L310,'02-شباط'!$L$2:$L$501,0))),"محذوف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114"/>
        <v/>
      </c>
      <c r="AH310" s="39" t="str">
        <f t="shared" si="115"/>
        <v/>
      </c>
      <c r="AI310" s="39" t="str">
        <f t="shared" si="116"/>
        <v/>
      </c>
      <c r="AJ310" s="39" t="str">
        <f t="shared" si="117"/>
        <v/>
      </c>
      <c r="AK310" t="str">
        <f t="shared" si="118"/>
        <v/>
      </c>
      <c r="AL310" t="str">
        <f t="shared" si="119"/>
        <v/>
      </c>
    </row>
    <row r="311" spans="11:38" ht="15">
      <c r="K311" t="str">
        <f t="shared" si="96"/>
        <v/>
      </c>
      <c r="L311" t="str">
        <f t="shared" si="97"/>
        <v/>
      </c>
      <c r="M311" s="36" t="str">
        <f t="shared" si="98"/>
        <v/>
      </c>
      <c r="N311" s="37" t="str">
        <f t="shared" si="99"/>
        <v/>
      </c>
      <c r="O311" s="37" t="str">
        <f t="shared" si="100"/>
        <v/>
      </c>
      <c r="P311" s="38" t="str">
        <f t="shared" si="101"/>
        <v/>
      </c>
      <c r="Q311" s="39" t="str">
        <f t="shared" si="102"/>
        <v/>
      </c>
      <c r="R311" s="39" t="str">
        <f t="shared" si="103"/>
        <v/>
      </c>
      <c r="S311" t="str">
        <f t="shared" si="104"/>
        <v/>
      </c>
      <c r="T311" s="39" t="str">
        <f t="shared" si="105"/>
        <v/>
      </c>
      <c r="U311" t="str">
        <f t="shared" si="106"/>
        <v/>
      </c>
      <c r="V311" t="str">
        <f t="shared" si="107"/>
        <v/>
      </c>
      <c r="W311" t="str">
        <f t="shared" si="108"/>
        <v/>
      </c>
      <c r="X311" s="38" t="str">
        <f t="shared" si="109"/>
        <v/>
      </c>
      <c r="Y311" s="38" t="str">
        <f t="shared" si="110"/>
        <v/>
      </c>
      <c r="Z311" s="39" t="str">
        <f t="shared" si="111"/>
        <v/>
      </c>
      <c r="AA311" s="39" t="str">
        <f t="shared" si="112"/>
        <v/>
      </c>
      <c r="AB311" s="40" t="str">
        <f t="shared" si="113"/>
        <v/>
      </c>
      <c r="AC311" t="str">
        <f>IF(L311="","",IF(AND($AO$2=1,ISNA(MATCH(L311,'02-شباط'!$L$2:$L$501,0))),"محذوف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114"/>
        <v/>
      </c>
      <c r="AH311" s="39" t="str">
        <f t="shared" si="115"/>
        <v/>
      </c>
      <c r="AI311" s="39" t="str">
        <f t="shared" si="116"/>
        <v/>
      </c>
      <c r="AJ311" s="39" t="str">
        <f t="shared" si="117"/>
        <v/>
      </c>
      <c r="AK311" t="str">
        <f t="shared" si="118"/>
        <v/>
      </c>
      <c r="AL311" t="str">
        <f t="shared" si="119"/>
        <v/>
      </c>
    </row>
    <row r="312" spans="11:38" ht="15">
      <c r="K312" t="str">
        <f t="shared" si="96"/>
        <v/>
      </c>
      <c r="L312" t="str">
        <f t="shared" si="97"/>
        <v/>
      </c>
      <c r="M312" s="36" t="str">
        <f t="shared" si="98"/>
        <v/>
      </c>
      <c r="N312" s="37" t="str">
        <f t="shared" si="99"/>
        <v/>
      </c>
      <c r="O312" s="37" t="str">
        <f t="shared" si="100"/>
        <v/>
      </c>
      <c r="P312" s="38" t="str">
        <f t="shared" si="101"/>
        <v/>
      </c>
      <c r="Q312" s="39" t="str">
        <f t="shared" si="102"/>
        <v/>
      </c>
      <c r="R312" s="39" t="str">
        <f t="shared" si="103"/>
        <v/>
      </c>
      <c r="S312" t="str">
        <f t="shared" si="104"/>
        <v/>
      </c>
      <c r="T312" s="39" t="str">
        <f t="shared" si="105"/>
        <v/>
      </c>
      <c r="U312" t="str">
        <f t="shared" si="106"/>
        <v/>
      </c>
      <c r="V312" t="str">
        <f t="shared" si="107"/>
        <v/>
      </c>
      <c r="W312" t="str">
        <f t="shared" si="108"/>
        <v/>
      </c>
      <c r="X312" s="38" t="str">
        <f t="shared" si="109"/>
        <v/>
      </c>
      <c r="Y312" s="38" t="str">
        <f t="shared" si="110"/>
        <v/>
      </c>
      <c r="Z312" s="39" t="str">
        <f t="shared" si="111"/>
        <v/>
      </c>
      <c r="AA312" s="39" t="str">
        <f t="shared" si="112"/>
        <v/>
      </c>
      <c r="AB312" s="40" t="str">
        <f t="shared" si="113"/>
        <v/>
      </c>
      <c r="AC312" t="str">
        <f>IF(L312="","",IF(AND($AO$2=1,ISNA(MATCH(L312,'02-شباط'!$L$2:$L$501,0))),"محذوف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114"/>
        <v/>
      </c>
      <c r="AH312" s="39" t="str">
        <f t="shared" si="115"/>
        <v/>
      </c>
      <c r="AI312" s="39" t="str">
        <f t="shared" si="116"/>
        <v/>
      </c>
      <c r="AJ312" s="39" t="str">
        <f t="shared" si="117"/>
        <v/>
      </c>
      <c r="AK312" t="str">
        <f t="shared" si="118"/>
        <v/>
      </c>
      <c r="AL312" t="str">
        <f t="shared" si="119"/>
        <v/>
      </c>
    </row>
    <row r="313" spans="11:38" ht="15">
      <c r="K313" t="str">
        <f t="shared" si="96"/>
        <v/>
      </c>
      <c r="L313" t="str">
        <f t="shared" si="97"/>
        <v/>
      </c>
      <c r="M313" s="36" t="str">
        <f t="shared" si="98"/>
        <v/>
      </c>
      <c r="N313" s="37" t="str">
        <f t="shared" si="99"/>
        <v/>
      </c>
      <c r="O313" s="37" t="str">
        <f t="shared" si="100"/>
        <v/>
      </c>
      <c r="P313" s="38" t="str">
        <f t="shared" si="101"/>
        <v/>
      </c>
      <c r="Q313" s="39" t="str">
        <f t="shared" si="102"/>
        <v/>
      </c>
      <c r="R313" s="39" t="str">
        <f t="shared" si="103"/>
        <v/>
      </c>
      <c r="S313" t="str">
        <f t="shared" si="104"/>
        <v/>
      </c>
      <c r="T313" s="39" t="str">
        <f t="shared" si="105"/>
        <v/>
      </c>
      <c r="U313" t="str">
        <f t="shared" si="106"/>
        <v/>
      </c>
      <c r="V313" t="str">
        <f t="shared" si="107"/>
        <v/>
      </c>
      <c r="W313" t="str">
        <f t="shared" si="108"/>
        <v/>
      </c>
      <c r="X313" s="38" t="str">
        <f t="shared" si="109"/>
        <v/>
      </c>
      <c r="Y313" s="38" t="str">
        <f t="shared" si="110"/>
        <v/>
      </c>
      <c r="Z313" s="39" t="str">
        <f t="shared" si="111"/>
        <v/>
      </c>
      <c r="AA313" s="39" t="str">
        <f t="shared" si="112"/>
        <v/>
      </c>
      <c r="AB313" s="40" t="str">
        <f t="shared" si="113"/>
        <v/>
      </c>
      <c r="AC313" t="str">
        <f>IF(L313="","",IF(AND($AO$2=1,ISNA(MATCH(L313,'02-شباط'!$L$2:$L$501,0))),"محذوف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114"/>
        <v/>
      </c>
      <c r="AH313" s="39" t="str">
        <f t="shared" si="115"/>
        <v/>
      </c>
      <c r="AI313" s="39" t="str">
        <f t="shared" si="116"/>
        <v/>
      </c>
      <c r="AJ313" s="39" t="str">
        <f t="shared" si="117"/>
        <v/>
      </c>
      <c r="AK313" t="str">
        <f t="shared" si="118"/>
        <v/>
      </c>
      <c r="AL313" t="str">
        <f t="shared" si="119"/>
        <v/>
      </c>
    </row>
    <row r="314" spans="11:38" ht="15">
      <c r="K314" t="str">
        <f t="shared" si="96"/>
        <v/>
      </c>
      <c r="L314" t="str">
        <f t="shared" si="97"/>
        <v/>
      </c>
      <c r="M314" s="36" t="str">
        <f t="shared" si="98"/>
        <v/>
      </c>
      <c r="N314" s="37" t="str">
        <f t="shared" si="99"/>
        <v/>
      </c>
      <c r="O314" s="37" t="str">
        <f t="shared" si="100"/>
        <v/>
      </c>
      <c r="P314" s="38" t="str">
        <f t="shared" si="101"/>
        <v/>
      </c>
      <c r="Q314" s="39" t="str">
        <f t="shared" si="102"/>
        <v/>
      </c>
      <c r="R314" s="39" t="str">
        <f t="shared" si="103"/>
        <v/>
      </c>
      <c r="S314" t="str">
        <f t="shared" si="104"/>
        <v/>
      </c>
      <c r="T314" s="39" t="str">
        <f t="shared" si="105"/>
        <v/>
      </c>
      <c r="U314" t="str">
        <f t="shared" si="106"/>
        <v/>
      </c>
      <c r="V314" t="str">
        <f t="shared" si="107"/>
        <v/>
      </c>
      <c r="W314" t="str">
        <f t="shared" si="108"/>
        <v/>
      </c>
      <c r="X314" s="38" t="str">
        <f t="shared" si="109"/>
        <v/>
      </c>
      <c r="Y314" s="38" t="str">
        <f t="shared" si="110"/>
        <v/>
      </c>
      <c r="Z314" s="39" t="str">
        <f t="shared" si="111"/>
        <v/>
      </c>
      <c r="AA314" s="39" t="str">
        <f t="shared" si="112"/>
        <v/>
      </c>
      <c r="AB314" s="40" t="str">
        <f t="shared" si="113"/>
        <v/>
      </c>
      <c r="AC314" t="str">
        <f>IF(L314="","",IF(AND($AO$2=1,ISNA(MATCH(L314,'02-شباط'!$L$2:$L$501,0))),"محذوف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114"/>
        <v/>
      </c>
      <c r="AH314" s="39" t="str">
        <f t="shared" si="115"/>
        <v/>
      </c>
      <c r="AI314" s="39" t="str">
        <f t="shared" si="116"/>
        <v/>
      </c>
      <c r="AJ314" s="39" t="str">
        <f t="shared" si="117"/>
        <v/>
      </c>
      <c r="AK314" t="str">
        <f t="shared" si="118"/>
        <v/>
      </c>
      <c r="AL314" t="str">
        <f t="shared" si="119"/>
        <v/>
      </c>
    </row>
    <row r="315" spans="11:38" ht="15">
      <c r="K315" t="str">
        <f t="shared" si="96"/>
        <v/>
      </c>
      <c r="L315" t="str">
        <f t="shared" si="97"/>
        <v/>
      </c>
      <c r="M315" s="36" t="str">
        <f t="shared" si="98"/>
        <v/>
      </c>
      <c r="N315" s="37" t="str">
        <f t="shared" si="99"/>
        <v/>
      </c>
      <c r="O315" s="37" t="str">
        <f t="shared" si="100"/>
        <v/>
      </c>
      <c r="P315" s="38" t="str">
        <f t="shared" si="101"/>
        <v/>
      </c>
      <c r="Q315" s="39" t="str">
        <f t="shared" si="102"/>
        <v/>
      </c>
      <c r="R315" s="39" t="str">
        <f t="shared" si="103"/>
        <v/>
      </c>
      <c r="S315" t="str">
        <f t="shared" si="104"/>
        <v/>
      </c>
      <c r="T315" s="39" t="str">
        <f t="shared" si="105"/>
        <v/>
      </c>
      <c r="U315" t="str">
        <f t="shared" si="106"/>
        <v/>
      </c>
      <c r="V315" t="str">
        <f t="shared" si="107"/>
        <v/>
      </c>
      <c r="W315" t="str">
        <f t="shared" si="108"/>
        <v/>
      </c>
      <c r="X315" s="38" t="str">
        <f t="shared" si="109"/>
        <v/>
      </c>
      <c r="Y315" s="38" t="str">
        <f t="shared" si="110"/>
        <v/>
      </c>
      <c r="Z315" s="39" t="str">
        <f t="shared" si="111"/>
        <v/>
      </c>
      <c r="AA315" s="39" t="str">
        <f t="shared" si="112"/>
        <v/>
      </c>
      <c r="AB315" s="40" t="str">
        <f t="shared" si="113"/>
        <v/>
      </c>
      <c r="AC315" t="str">
        <f>IF(L315="","",IF(AND($AO$2=1,ISNA(MATCH(L315,'02-شباط'!$L$2:$L$501,0))),"محذوف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114"/>
        <v/>
      </c>
      <c r="AH315" s="39" t="str">
        <f t="shared" si="115"/>
        <v/>
      </c>
      <c r="AI315" s="39" t="str">
        <f t="shared" si="116"/>
        <v/>
      </c>
      <c r="AJ315" s="39" t="str">
        <f t="shared" si="117"/>
        <v/>
      </c>
      <c r="AK315" t="str">
        <f t="shared" si="118"/>
        <v/>
      </c>
      <c r="AL315" t="str">
        <f t="shared" si="119"/>
        <v/>
      </c>
    </row>
    <row r="316" spans="11:38" ht="15">
      <c r="K316" t="str">
        <f t="shared" si="96"/>
        <v/>
      </c>
      <c r="L316" t="str">
        <f t="shared" si="97"/>
        <v/>
      </c>
      <c r="M316" s="36" t="str">
        <f t="shared" si="98"/>
        <v/>
      </c>
      <c r="N316" s="37" t="str">
        <f t="shared" si="99"/>
        <v/>
      </c>
      <c r="O316" s="37" t="str">
        <f t="shared" si="100"/>
        <v/>
      </c>
      <c r="P316" s="38" t="str">
        <f t="shared" si="101"/>
        <v/>
      </c>
      <c r="Q316" s="39" t="str">
        <f t="shared" si="102"/>
        <v/>
      </c>
      <c r="R316" s="39" t="str">
        <f t="shared" si="103"/>
        <v/>
      </c>
      <c r="S316" t="str">
        <f t="shared" si="104"/>
        <v/>
      </c>
      <c r="T316" s="39" t="str">
        <f t="shared" si="105"/>
        <v/>
      </c>
      <c r="U316" t="str">
        <f t="shared" si="106"/>
        <v/>
      </c>
      <c r="V316" t="str">
        <f t="shared" si="107"/>
        <v/>
      </c>
      <c r="W316" t="str">
        <f t="shared" si="108"/>
        <v/>
      </c>
      <c r="X316" s="38" t="str">
        <f t="shared" si="109"/>
        <v/>
      </c>
      <c r="Y316" s="38" t="str">
        <f t="shared" si="110"/>
        <v/>
      </c>
      <c r="Z316" s="39" t="str">
        <f t="shared" si="111"/>
        <v/>
      </c>
      <c r="AA316" s="39" t="str">
        <f t="shared" si="112"/>
        <v/>
      </c>
      <c r="AB316" s="40" t="str">
        <f t="shared" si="113"/>
        <v/>
      </c>
      <c r="AC316" t="str">
        <f>IF(L316="","",IF(AND($AO$2=1,ISNA(MATCH(L316,'02-شباط'!$L$2:$L$501,0))),"محذوف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114"/>
        <v/>
      </c>
      <c r="AH316" s="39" t="str">
        <f t="shared" si="115"/>
        <v/>
      </c>
      <c r="AI316" s="39" t="str">
        <f t="shared" si="116"/>
        <v/>
      </c>
      <c r="AJ316" s="39" t="str">
        <f t="shared" si="117"/>
        <v/>
      </c>
      <c r="AK316" t="str">
        <f t="shared" si="118"/>
        <v/>
      </c>
      <c r="AL316" t="str">
        <f t="shared" si="119"/>
        <v/>
      </c>
    </row>
    <row r="317" spans="11:38" ht="15">
      <c r="K317" t="str">
        <f t="shared" si="96"/>
        <v/>
      </c>
      <c r="L317" t="str">
        <f t="shared" si="97"/>
        <v/>
      </c>
      <c r="M317" s="36" t="str">
        <f t="shared" si="98"/>
        <v/>
      </c>
      <c r="N317" s="37" t="str">
        <f t="shared" si="99"/>
        <v/>
      </c>
      <c r="O317" s="37" t="str">
        <f t="shared" si="100"/>
        <v/>
      </c>
      <c r="P317" s="38" t="str">
        <f t="shared" si="101"/>
        <v/>
      </c>
      <c r="Q317" s="39" t="str">
        <f t="shared" si="102"/>
        <v/>
      </c>
      <c r="R317" s="39" t="str">
        <f t="shared" si="103"/>
        <v/>
      </c>
      <c r="S317" t="str">
        <f t="shared" si="104"/>
        <v/>
      </c>
      <c r="T317" s="39" t="str">
        <f t="shared" si="105"/>
        <v/>
      </c>
      <c r="U317" t="str">
        <f t="shared" si="106"/>
        <v/>
      </c>
      <c r="V317" t="str">
        <f t="shared" si="107"/>
        <v/>
      </c>
      <c r="W317" t="str">
        <f t="shared" si="108"/>
        <v/>
      </c>
      <c r="X317" s="38" t="str">
        <f t="shared" si="109"/>
        <v/>
      </c>
      <c r="Y317" s="38" t="str">
        <f t="shared" si="110"/>
        <v/>
      </c>
      <c r="Z317" s="39" t="str">
        <f t="shared" si="111"/>
        <v/>
      </c>
      <c r="AA317" s="39" t="str">
        <f t="shared" si="112"/>
        <v/>
      </c>
      <c r="AB317" s="40" t="str">
        <f t="shared" si="113"/>
        <v/>
      </c>
      <c r="AC317" t="str">
        <f>IF(L317="","",IF(AND($AO$2=1,ISNA(MATCH(L317,'02-شباط'!$L$2:$L$501,0))),"محذوف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114"/>
        <v/>
      </c>
      <c r="AH317" s="39" t="str">
        <f t="shared" si="115"/>
        <v/>
      </c>
      <c r="AI317" s="39" t="str">
        <f t="shared" si="116"/>
        <v/>
      </c>
      <c r="AJ317" s="39" t="str">
        <f t="shared" si="117"/>
        <v/>
      </c>
      <c r="AK317" t="str">
        <f t="shared" si="118"/>
        <v/>
      </c>
      <c r="AL317" t="str">
        <f t="shared" si="119"/>
        <v/>
      </c>
    </row>
    <row r="318" spans="11:38" ht="15">
      <c r="K318" t="str">
        <f t="shared" si="96"/>
        <v/>
      </c>
      <c r="L318" t="str">
        <f t="shared" si="97"/>
        <v/>
      </c>
      <c r="M318" s="36" t="str">
        <f t="shared" si="98"/>
        <v/>
      </c>
      <c r="N318" s="37" t="str">
        <f t="shared" si="99"/>
        <v/>
      </c>
      <c r="O318" s="37" t="str">
        <f t="shared" si="100"/>
        <v/>
      </c>
      <c r="P318" s="38" t="str">
        <f t="shared" si="101"/>
        <v/>
      </c>
      <c r="Q318" s="39" t="str">
        <f t="shared" si="102"/>
        <v/>
      </c>
      <c r="R318" s="39" t="str">
        <f t="shared" si="103"/>
        <v/>
      </c>
      <c r="S318" t="str">
        <f t="shared" si="104"/>
        <v/>
      </c>
      <c r="T318" s="39" t="str">
        <f t="shared" si="105"/>
        <v/>
      </c>
      <c r="U318" t="str">
        <f t="shared" si="106"/>
        <v/>
      </c>
      <c r="V318" t="str">
        <f t="shared" si="107"/>
        <v/>
      </c>
      <c r="W318" t="str">
        <f t="shared" si="108"/>
        <v/>
      </c>
      <c r="X318" s="38" t="str">
        <f t="shared" si="109"/>
        <v/>
      </c>
      <c r="Y318" s="38" t="str">
        <f t="shared" si="110"/>
        <v/>
      </c>
      <c r="Z318" s="39" t="str">
        <f t="shared" si="111"/>
        <v/>
      </c>
      <c r="AA318" s="39" t="str">
        <f t="shared" si="112"/>
        <v/>
      </c>
      <c r="AB318" s="40" t="str">
        <f t="shared" si="113"/>
        <v/>
      </c>
      <c r="AC318" t="str">
        <f>IF(L318="","",IF(AND($AO$2=1,ISNA(MATCH(L318,'02-شباط'!$L$2:$L$501,0))),"محذوف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114"/>
        <v/>
      </c>
      <c r="AH318" s="39" t="str">
        <f t="shared" si="115"/>
        <v/>
      </c>
      <c r="AI318" s="39" t="str">
        <f t="shared" si="116"/>
        <v/>
      </c>
      <c r="AJ318" s="39" t="str">
        <f t="shared" si="117"/>
        <v/>
      </c>
      <c r="AK318" t="str">
        <f t="shared" si="118"/>
        <v/>
      </c>
      <c r="AL318" t="str">
        <f t="shared" si="119"/>
        <v/>
      </c>
    </row>
    <row r="319" spans="11:38" ht="15">
      <c r="K319" t="str">
        <f t="shared" si="96"/>
        <v/>
      </c>
      <c r="L319" t="str">
        <f t="shared" si="97"/>
        <v/>
      </c>
      <c r="M319" s="36" t="str">
        <f t="shared" si="98"/>
        <v/>
      </c>
      <c r="N319" s="37" t="str">
        <f t="shared" si="99"/>
        <v/>
      </c>
      <c r="O319" s="37" t="str">
        <f t="shared" si="100"/>
        <v/>
      </c>
      <c r="P319" s="38" t="str">
        <f t="shared" si="101"/>
        <v/>
      </c>
      <c r="Q319" s="39" t="str">
        <f t="shared" si="102"/>
        <v/>
      </c>
      <c r="R319" s="39" t="str">
        <f t="shared" si="103"/>
        <v/>
      </c>
      <c r="S319" t="str">
        <f t="shared" si="104"/>
        <v/>
      </c>
      <c r="T319" s="39" t="str">
        <f t="shared" si="105"/>
        <v/>
      </c>
      <c r="U319" t="str">
        <f t="shared" si="106"/>
        <v/>
      </c>
      <c r="V319" t="str">
        <f t="shared" si="107"/>
        <v/>
      </c>
      <c r="W319" t="str">
        <f t="shared" si="108"/>
        <v/>
      </c>
      <c r="X319" s="38" t="str">
        <f t="shared" si="109"/>
        <v/>
      </c>
      <c r="Y319" s="38" t="str">
        <f t="shared" si="110"/>
        <v/>
      </c>
      <c r="Z319" s="39" t="str">
        <f t="shared" si="111"/>
        <v/>
      </c>
      <c r="AA319" s="39" t="str">
        <f t="shared" si="112"/>
        <v/>
      </c>
      <c r="AB319" s="40" t="str">
        <f t="shared" si="113"/>
        <v/>
      </c>
      <c r="AC319" t="str">
        <f>IF(L319="","",IF(AND($AO$2=1,ISNA(MATCH(L319,'02-شباط'!$L$2:$L$501,0))),"محذوف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114"/>
        <v/>
      </c>
      <c r="AH319" s="39" t="str">
        <f t="shared" si="115"/>
        <v/>
      </c>
      <c r="AI319" s="39" t="str">
        <f t="shared" si="116"/>
        <v/>
      </c>
      <c r="AJ319" s="39" t="str">
        <f t="shared" si="117"/>
        <v/>
      </c>
      <c r="AK319" t="str">
        <f t="shared" si="118"/>
        <v/>
      </c>
      <c r="AL319" t="str">
        <f t="shared" si="119"/>
        <v/>
      </c>
    </row>
    <row r="320" spans="11:38" ht="15">
      <c r="K320" t="str">
        <f t="shared" si="96"/>
        <v/>
      </c>
      <c r="L320" t="str">
        <f t="shared" si="97"/>
        <v/>
      </c>
      <c r="M320" s="36" t="str">
        <f t="shared" si="98"/>
        <v/>
      </c>
      <c r="N320" s="37" t="str">
        <f t="shared" si="99"/>
        <v/>
      </c>
      <c r="O320" s="37" t="str">
        <f t="shared" si="100"/>
        <v/>
      </c>
      <c r="P320" s="38" t="str">
        <f t="shared" si="101"/>
        <v/>
      </c>
      <c r="Q320" s="39" t="str">
        <f t="shared" si="102"/>
        <v/>
      </c>
      <c r="R320" s="39" t="str">
        <f t="shared" si="103"/>
        <v/>
      </c>
      <c r="S320" t="str">
        <f t="shared" si="104"/>
        <v/>
      </c>
      <c r="T320" s="39" t="str">
        <f t="shared" si="105"/>
        <v/>
      </c>
      <c r="U320" t="str">
        <f t="shared" si="106"/>
        <v/>
      </c>
      <c r="V320" t="str">
        <f t="shared" si="107"/>
        <v/>
      </c>
      <c r="W320" t="str">
        <f t="shared" si="108"/>
        <v/>
      </c>
      <c r="X320" s="38" t="str">
        <f t="shared" si="109"/>
        <v/>
      </c>
      <c r="Y320" s="38" t="str">
        <f t="shared" si="110"/>
        <v/>
      </c>
      <c r="Z320" s="39" t="str">
        <f t="shared" si="111"/>
        <v/>
      </c>
      <c r="AA320" s="39" t="str">
        <f t="shared" si="112"/>
        <v/>
      </c>
      <c r="AB320" s="40" t="str">
        <f t="shared" si="113"/>
        <v/>
      </c>
      <c r="AC320" t="str">
        <f>IF(L320="","",IF(AND($AO$2=1,ISNA(MATCH(L320,'02-شباط'!$L$2:$L$501,0))),"محذوف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114"/>
        <v/>
      </c>
      <c r="AH320" s="39" t="str">
        <f t="shared" si="115"/>
        <v/>
      </c>
      <c r="AI320" s="39" t="str">
        <f t="shared" si="116"/>
        <v/>
      </c>
      <c r="AJ320" s="39" t="str">
        <f t="shared" si="117"/>
        <v/>
      </c>
      <c r="AK320" t="str">
        <f t="shared" si="118"/>
        <v/>
      </c>
      <c r="AL320" t="str">
        <f t="shared" si="119"/>
        <v/>
      </c>
    </row>
    <row r="321" spans="11:38" ht="15">
      <c r="K321" t="str">
        <f t="shared" si="96"/>
        <v/>
      </c>
      <c r="L321" t="str">
        <f t="shared" si="97"/>
        <v/>
      </c>
      <c r="M321" s="36" t="str">
        <f t="shared" si="98"/>
        <v/>
      </c>
      <c r="N321" s="37" t="str">
        <f t="shared" si="99"/>
        <v/>
      </c>
      <c r="O321" s="37" t="str">
        <f t="shared" si="100"/>
        <v/>
      </c>
      <c r="P321" s="38" t="str">
        <f t="shared" si="101"/>
        <v/>
      </c>
      <c r="Q321" s="39" t="str">
        <f t="shared" si="102"/>
        <v/>
      </c>
      <c r="R321" s="39" t="str">
        <f t="shared" si="103"/>
        <v/>
      </c>
      <c r="S321" t="str">
        <f t="shared" si="104"/>
        <v/>
      </c>
      <c r="T321" s="39" t="str">
        <f t="shared" si="105"/>
        <v/>
      </c>
      <c r="U321" t="str">
        <f t="shared" si="106"/>
        <v/>
      </c>
      <c r="V321" t="str">
        <f t="shared" si="107"/>
        <v/>
      </c>
      <c r="W321" t="str">
        <f t="shared" si="108"/>
        <v/>
      </c>
      <c r="X321" s="38" t="str">
        <f t="shared" si="109"/>
        <v/>
      </c>
      <c r="Y321" s="38" t="str">
        <f t="shared" si="110"/>
        <v/>
      </c>
      <c r="Z321" s="39" t="str">
        <f t="shared" si="111"/>
        <v/>
      </c>
      <c r="AA321" s="39" t="str">
        <f t="shared" si="112"/>
        <v/>
      </c>
      <c r="AB321" s="40" t="str">
        <f t="shared" si="113"/>
        <v/>
      </c>
      <c r="AC321" t="str">
        <f>IF(L321="","",IF(AND($AO$2=1,ISNA(MATCH(L321,'02-شباط'!$L$2:$L$501,0))),"محذوف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114"/>
        <v/>
      </c>
      <c r="AH321" s="39" t="str">
        <f t="shared" si="115"/>
        <v/>
      </c>
      <c r="AI321" s="39" t="str">
        <f t="shared" si="116"/>
        <v/>
      </c>
      <c r="AJ321" s="39" t="str">
        <f t="shared" si="117"/>
        <v/>
      </c>
      <c r="AK321" t="str">
        <f t="shared" si="118"/>
        <v/>
      </c>
      <c r="AL321" t="str">
        <f t="shared" si="119"/>
        <v/>
      </c>
    </row>
    <row r="322" spans="11:38" ht="15">
      <c r="K322" t="str">
        <f t="shared" ref="K322:K385" si="120">IF(L322="","",IF(U322&lt;&gt;"","⚠",""))</f>
        <v/>
      </c>
      <c r="L322" t="str">
        <f t="shared" ref="L322:L385" si="121">IF(A322="","",TRIM(A322))</f>
        <v/>
      </c>
      <c r="M322" s="36" t="str">
        <f t="shared" ref="M322:M385" si="122">IF(L322="","",IF(ISNUMBER(SEARCH("دولار",F322)),1,IF(ISNUMBER(SEARCH("ليرة",F322)),IF($AO$3&gt;0,1/$AO$3,0),0)))</f>
        <v/>
      </c>
      <c r="N322" s="37" t="str">
        <f t="shared" ref="N322:N385" si="123">IF(L322="","",N(I322)*M322)</f>
        <v/>
      </c>
      <c r="O322" s="37" t="str">
        <f t="shared" ref="O322:O385" si="124">IF(L322="","",M322*CHOOSE($AO$4,N(C322),N(D322),N(E322)))</f>
        <v/>
      </c>
      <c r="P322" s="38" t="str">
        <f t="shared" ref="P322:P385" si="125">IF(L322="","",MAX(N(B322),0))</f>
        <v/>
      </c>
      <c r="Q322" s="39" t="str">
        <f t="shared" ref="Q322:Q385" si="126">IF(L322="","",P322*N322)</f>
        <v/>
      </c>
      <c r="R322" s="39" t="str">
        <f t="shared" ref="R322:R385" si="127">IF(L322="","",P322*O322)</f>
        <v/>
      </c>
      <c r="S322" t="str">
        <f t="shared" ref="S322:S385" si="128">IF(L322="","",IF(AND(P322&gt;0,N322&gt;0,O322&gt;0),1,0))</f>
        <v/>
      </c>
      <c r="T322" s="39" t="str">
        <f t="shared" ref="T322:T385" si="129">IF(L322="","",S322*(R322-Q322))</f>
        <v/>
      </c>
      <c r="U322" t="str">
        <f t="shared" ref="U322:U385" si="13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 t="shared" ref="V322:V385" si="131">IF(L322="","",0)</f>
        <v/>
      </c>
      <c r="W322" t="str">
        <f t="shared" ref="W322:W385" si="132">IF(L322="","",IF(AND($AO$1=1,V322=0),"جديد",""))</f>
        <v/>
      </c>
      <c r="X322" s="38" t="str">
        <f t="shared" ref="X322:X385" si="133">IF(L322="","","")</f>
        <v/>
      </c>
      <c r="Y322" s="38" t="str">
        <f t="shared" ref="Y322:Y385" si="134">IF(OR(L322="",X322=""),"",P322-X322)</f>
        <v/>
      </c>
      <c r="Z322" s="39" t="str">
        <f t="shared" ref="Z322:Z385" si="135">IF(L322="","","")</f>
        <v/>
      </c>
      <c r="AA322" s="39" t="str">
        <f t="shared" ref="AA322:AA385" si="136">IF(OR(L322="",Z322=""),"",Q322-Z322)</f>
        <v/>
      </c>
      <c r="AB322" s="40" t="str">
        <f t="shared" ref="AB322:AB385" si="137">IF(L322="","","")</f>
        <v/>
      </c>
      <c r="AC322" t="str">
        <f>IF(L322="","",IF(AND($AO$2=1,ISNA(MATCH(L322,'02-شباط'!$L$2:$L$501,0))),"محذوف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38">IF(AA322="","",ABS(AA322)+ROW()/1000000000)</f>
        <v/>
      </c>
      <c r="AH322" s="39" t="str">
        <f t="shared" ref="AH322:AH385" si="139">IF(L322="","",IF(AND(P322&gt;0,N322&gt;0,N(C322)&gt;0),P322*(M322*N(C322)-N322),0))</f>
        <v/>
      </c>
      <c r="AI322" s="39" t="str">
        <f t="shared" ref="AI322:AI385" si="140">IF(L322="","",IF(AND(P322&gt;0,N322&gt;0,N(D322)&gt;0),P322*(M322*N(D322)-N322),0))</f>
        <v/>
      </c>
      <c r="AJ322" s="39" t="str">
        <f t="shared" ref="AJ322:AJ385" si="141">IF(L322="","",IF(AND(P322&gt;0,N322&gt;0,N(E322)&gt;0),P322*(M322*N(E322)-N322),0))</f>
        <v/>
      </c>
      <c r="AK322" t="str">
        <f t="shared" ref="AK322:AK385" si="142">IF(L322="","",Q322+ROW()/1000000000)</f>
        <v/>
      </c>
      <c r="AL322" t="str">
        <f t="shared" ref="AL322:AL385" si="143">IF(L322="","",T322+ROW()/1000000000)</f>
        <v/>
      </c>
    </row>
    <row r="323" spans="11:38" ht="15">
      <c r="K323" t="str">
        <f t="shared" si="120"/>
        <v/>
      </c>
      <c r="L323" t="str">
        <f t="shared" si="121"/>
        <v/>
      </c>
      <c r="M323" s="36" t="str">
        <f t="shared" si="122"/>
        <v/>
      </c>
      <c r="N323" s="37" t="str">
        <f t="shared" si="123"/>
        <v/>
      </c>
      <c r="O323" s="37" t="str">
        <f t="shared" si="124"/>
        <v/>
      </c>
      <c r="P323" s="38" t="str">
        <f t="shared" si="125"/>
        <v/>
      </c>
      <c r="Q323" s="39" t="str">
        <f t="shared" si="126"/>
        <v/>
      </c>
      <c r="R323" s="39" t="str">
        <f t="shared" si="127"/>
        <v/>
      </c>
      <c r="S323" t="str">
        <f t="shared" si="128"/>
        <v/>
      </c>
      <c r="T323" s="39" t="str">
        <f t="shared" si="129"/>
        <v/>
      </c>
      <c r="U323" t="str">
        <f t="shared" si="130"/>
        <v/>
      </c>
      <c r="V323" t="str">
        <f t="shared" si="131"/>
        <v/>
      </c>
      <c r="W323" t="str">
        <f t="shared" si="132"/>
        <v/>
      </c>
      <c r="X323" s="38" t="str">
        <f t="shared" si="133"/>
        <v/>
      </c>
      <c r="Y323" s="38" t="str">
        <f t="shared" si="134"/>
        <v/>
      </c>
      <c r="Z323" s="39" t="str">
        <f t="shared" si="135"/>
        <v/>
      </c>
      <c r="AA323" s="39" t="str">
        <f t="shared" si="136"/>
        <v/>
      </c>
      <c r="AB323" s="40" t="str">
        <f t="shared" si="137"/>
        <v/>
      </c>
      <c r="AC323" t="str">
        <f>IF(L323="","",IF(AND($AO$2=1,ISNA(MATCH(L323,'02-شباط'!$L$2:$L$501,0))),"محذوف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38"/>
        <v/>
      </c>
      <c r="AH323" s="39" t="str">
        <f t="shared" si="139"/>
        <v/>
      </c>
      <c r="AI323" s="39" t="str">
        <f t="shared" si="140"/>
        <v/>
      </c>
      <c r="AJ323" s="39" t="str">
        <f t="shared" si="141"/>
        <v/>
      </c>
      <c r="AK323" t="str">
        <f t="shared" si="142"/>
        <v/>
      </c>
      <c r="AL323" t="str">
        <f t="shared" si="143"/>
        <v/>
      </c>
    </row>
    <row r="324" spans="11:38" ht="15">
      <c r="K324" t="str">
        <f t="shared" si="120"/>
        <v/>
      </c>
      <c r="L324" t="str">
        <f t="shared" si="121"/>
        <v/>
      </c>
      <c r="M324" s="36" t="str">
        <f t="shared" si="122"/>
        <v/>
      </c>
      <c r="N324" s="37" t="str">
        <f t="shared" si="123"/>
        <v/>
      </c>
      <c r="O324" s="37" t="str">
        <f t="shared" si="124"/>
        <v/>
      </c>
      <c r="P324" s="38" t="str">
        <f t="shared" si="125"/>
        <v/>
      </c>
      <c r="Q324" s="39" t="str">
        <f t="shared" si="126"/>
        <v/>
      </c>
      <c r="R324" s="39" t="str">
        <f t="shared" si="127"/>
        <v/>
      </c>
      <c r="S324" t="str">
        <f t="shared" si="128"/>
        <v/>
      </c>
      <c r="T324" s="39" t="str">
        <f t="shared" si="129"/>
        <v/>
      </c>
      <c r="U324" t="str">
        <f t="shared" si="130"/>
        <v/>
      </c>
      <c r="V324" t="str">
        <f t="shared" si="131"/>
        <v/>
      </c>
      <c r="W324" t="str">
        <f t="shared" si="132"/>
        <v/>
      </c>
      <c r="X324" s="38" t="str">
        <f t="shared" si="133"/>
        <v/>
      </c>
      <c r="Y324" s="38" t="str">
        <f t="shared" si="134"/>
        <v/>
      </c>
      <c r="Z324" s="39" t="str">
        <f t="shared" si="135"/>
        <v/>
      </c>
      <c r="AA324" s="39" t="str">
        <f t="shared" si="136"/>
        <v/>
      </c>
      <c r="AB324" s="40" t="str">
        <f t="shared" si="137"/>
        <v/>
      </c>
      <c r="AC324" t="str">
        <f>IF(L324="","",IF(AND($AO$2=1,ISNA(MATCH(L324,'02-شباط'!$L$2:$L$501,0))),"محذوف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38"/>
        <v/>
      </c>
      <c r="AH324" s="39" t="str">
        <f t="shared" si="139"/>
        <v/>
      </c>
      <c r="AI324" s="39" t="str">
        <f t="shared" si="140"/>
        <v/>
      </c>
      <c r="AJ324" s="39" t="str">
        <f t="shared" si="141"/>
        <v/>
      </c>
      <c r="AK324" t="str">
        <f t="shared" si="142"/>
        <v/>
      </c>
      <c r="AL324" t="str">
        <f t="shared" si="143"/>
        <v/>
      </c>
    </row>
    <row r="325" spans="11:38" ht="15">
      <c r="K325" t="str">
        <f t="shared" si="120"/>
        <v/>
      </c>
      <c r="L325" t="str">
        <f t="shared" si="121"/>
        <v/>
      </c>
      <c r="M325" s="36" t="str">
        <f t="shared" si="122"/>
        <v/>
      </c>
      <c r="N325" s="37" t="str">
        <f t="shared" si="123"/>
        <v/>
      </c>
      <c r="O325" s="37" t="str">
        <f t="shared" si="124"/>
        <v/>
      </c>
      <c r="P325" s="38" t="str">
        <f t="shared" si="125"/>
        <v/>
      </c>
      <c r="Q325" s="39" t="str">
        <f t="shared" si="126"/>
        <v/>
      </c>
      <c r="R325" s="39" t="str">
        <f t="shared" si="127"/>
        <v/>
      </c>
      <c r="S325" t="str">
        <f t="shared" si="128"/>
        <v/>
      </c>
      <c r="T325" s="39" t="str">
        <f t="shared" si="129"/>
        <v/>
      </c>
      <c r="U325" t="str">
        <f t="shared" si="130"/>
        <v/>
      </c>
      <c r="V325" t="str">
        <f t="shared" si="131"/>
        <v/>
      </c>
      <c r="W325" t="str">
        <f t="shared" si="132"/>
        <v/>
      </c>
      <c r="X325" s="38" t="str">
        <f t="shared" si="133"/>
        <v/>
      </c>
      <c r="Y325" s="38" t="str">
        <f t="shared" si="134"/>
        <v/>
      </c>
      <c r="Z325" s="39" t="str">
        <f t="shared" si="135"/>
        <v/>
      </c>
      <c r="AA325" s="39" t="str">
        <f t="shared" si="136"/>
        <v/>
      </c>
      <c r="AB325" s="40" t="str">
        <f t="shared" si="137"/>
        <v/>
      </c>
      <c r="AC325" t="str">
        <f>IF(L325="","",IF(AND($AO$2=1,ISNA(MATCH(L325,'02-شباط'!$L$2:$L$501,0))),"محذوف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38"/>
        <v/>
      </c>
      <c r="AH325" s="39" t="str">
        <f t="shared" si="139"/>
        <v/>
      </c>
      <c r="AI325" s="39" t="str">
        <f t="shared" si="140"/>
        <v/>
      </c>
      <c r="AJ325" s="39" t="str">
        <f t="shared" si="141"/>
        <v/>
      </c>
      <c r="AK325" t="str">
        <f t="shared" si="142"/>
        <v/>
      </c>
      <c r="AL325" t="str">
        <f t="shared" si="143"/>
        <v/>
      </c>
    </row>
    <row r="326" spans="11:38" ht="15">
      <c r="K326" t="str">
        <f t="shared" si="120"/>
        <v/>
      </c>
      <c r="L326" t="str">
        <f t="shared" si="121"/>
        <v/>
      </c>
      <c r="M326" s="36" t="str">
        <f t="shared" si="122"/>
        <v/>
      </c>
      <c r="N326" s="37" t="str">
        <f t="shared" si="123"/>
        <v/>
      </c>
      <c r="O326" s="37" t="str">
        <f t="shared" si="124"/>
        <v/>
      </c>
      <c r="P326" s="38" t="str">
        <f t="shared" si="125"/>
        <v/>
      </c>
      <c r="Q326" s="39" t="str">
        <f t="shared" si="126"/>
        <v/>
      </c>
      <c r="R326" s="39" t="str">
        <f t="shared" si="127"/>
        <v/>
      </c>
      <c r="S326" t="str">
        <f t="shared" si="128"/>
        <v/>
      </c>
      <c r="T326" s="39" t="str">
        <f t="shared" si="129"/>
        <v/>
      </c>
      <c r="U326" t="str">
        <f t="shared" si="130"/>
        <v/>
      </c>
      <c r="V326" t="str">
        <f t="shared" si="131"/>
        <v/>
      </c>
      <c r="W326" t="str">
        <f t="shared" si="132"/>
        <v/>
      </c>
      <c r="X326" s="38" t="str">
        <f t="shared" si="133"/>
        <v/>
      </c>
      <c r="Y326" s="38" t="str">
        <f t="shared" si="134"/>
        <v/>
      </c>
      <c r="Z326" s="39" t="str">
        <f t="shared" si="135"/>
        <v/>
      </c>
      <c r="AA326" s="39" t="str">
        <f t="shared" si="136"/>
        <v/>
      </c>
      <c r="AB326" s="40" t="str">
        <f t="shared" si="137"/>
        <v/>
      </c>
      <c r="AC326" t="str">
        <f>IF(L326="","",IF(AND($AO$2=1,ISNA(MATCH(L326,'02-شباط'!$L$2:$L$501,0))),"محذوف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38"/>
        <v/>
      </c>
      <c r="AH326" s="39" t="str">
        <f t="shared" si="139"/>
        <v/>
      </c>
      <c r="AI326" s="39" t="str">
        <f t="shared" si="140"/>
        <v/>
      </c>
      <c r="AJ326" s="39" t="str">
        <f t="shared" si="141"/>
        <v/>
      </c>
      <c r="AK326" t="str">
        <f t="shared" si="142"/>
        <v/>
      </c>
      <c r="AL326" t="str">
        <f t="shared" si="143"/>
        <v/>
      </c>
    </row>
    <row r="327" spans="11:38" ht="15">
      <c r="K327" t="str">
        <f t="shared" si="120"/>
        <v/>
      </c>
      <c r="L327" t="str">
        <f t="shared" si="121"/>
        <v/>
      </c>
      <c r="M327" s="36" t="str">
        <f t="shared" si="122"/>
        <v/>
      </c>
      <c r="N327" s="37" t="str">
        <f t="shared" si="123"/>
        <v/>
      </c>
      <c r="O327" s="37" t="str">
        <f t="shared" si="124"/>
        <v/>
      </c>
      <c r="P327" s="38" t="str">
        <f t="shared" si="125"/>
        <v/>
      </c>
      <c r="Q327" s="39" t="str">
        <f t="shared" si="126"/>
        <v/>
      </c>
      <c r="R327" s="39" t="str">
        <f t="shared" si="127"/>
        <v/>
      </c>
      <c r="S327" t="str">
        <f t="shared" si="128"/>
        <v/>
      </c>
      <c r="T327" s="39" t="str">
        <f t="shared" si="129"/>
        <v/>
      </c>
      <c r="U327" t="str">
        <f t="shared" si="130"/>
        <v/>
      </c>
      <c r="V327" t="str">
        <f t="shared" si="131"/>
        <v/>
      </c>
      <c r="W327" t="str">
        <f t="shared" si="132"/>
        <v/>
      </c>
      <c r="X327" s="38" t="str">
        <f t="shared" si="133"/>
        <v/>
      </c>
      <c r="Y327" s="38" t="str">
        <f t="shared" si="134"/>
        <v/>
      </c>
      <c r="Z327" s="39" t="str">
        <f t="shared" si="135"/>
        <v/>
      </c>
      <c r="AA327" s="39" t="str">
        <f t="shared" si="136"/>
        <v/>
      </c>
      <c r="AB327" s="40" t="str">
        <f t="shared" si="137"/>
        <v/>
      </c>
      <c r="AC327" t="str">
        <f>IF(L327="","",IF(AND($AO$2=1,ISNA(MATCH(L327,'02-شباط'!$L$2:$L$501,0))),"محذوف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38"/>
        <v/>
      </c>
      <c r="AH327" s="39" t="str">
        <f t="shared" si="139"/>
        <v/>
      </c>
      <c r="AI327" s="39" t="str">
        <f t="shared" si="140"/>
        <v/>
      </c>
      <c r="AJ327" s="39" t="str">
        <f t="shared" si="141"/>
        <v/>
      </c>
      <c r="AK327" t="str">
        <f t="shared" si="142"/>
        <v/>
      </c>
      <c r="AL327" t="str">
        <f t="shared" si="143"/>
        <v/>
      </c>
    </row>
    <row r="328" spans="11:38" ht="15">
      <c r="K328" t="str">
        <f t="shared" si="120"/>
        <v/>
      </c>
      <c r="L328" t="str">
        <f t="shared" si="121"/>
        <v/>
      </c>
      <c r="M328" s="36" t="str">
        <f t="shared" si="122"/>
        <v/>
      </c>
      <c r="N328" s="37" t="str">
        <f t="shared" si="123"/>
        <v/>
      </c>
      <c r="O328" s="37" t="str">
        <f t="shared" si="124"/>
        <v/>
      </c>
      <c r="P328" s="38" t="str">
        <f t="shared" si="125"/>
        <v/>
      </c>
      <c r="Q328" s="39" t="str">
        <f t="shared" si="126"/>
        <v/>
      </c>
      <c r="R328" s="39" t="str">
        <f t="shared" si="127"/>
        <v/>
      </c>
      <c r="S328" t="str">
        <f t="shared" si="128"/>
        <v/>
      </c>
      <c r="T328" s="39" t="str">
        <f t="shared" si="129"/>
        <v/>
      </c>
      <c r="U328" t="str">
        <f t="shared" si="130"/>
        <v/>
      </c>
      <c r="V328" t="str">
        <f t="shared" si="131"/>
        <v/>
      </c>
      <c r="W328" t="str">
        <f t="shared" si="132"/>
        <v/>
      </c>
      <c r="X328" s="38" t="str">
        <f t="shared" si="133"/>
        <v/>
      </c>
      <c r="Y328" s="38" t="str">
        <f t="shared" si="134"/>
        <v/>
      </c>
      <c r="Z328" s="39" t="str">
        <f t="shared" si="135"/>
        <v/>
      </c>
      <c r="AA328" s="39" t="str">
        <f t="shared" si="136"/>
        <v/>
      </c>
      <c r="AB328" s="40" t="str">
        <f t="shared" si="137"/>
        <v/>
      </c>
      <c r="AC328" t="str">
        <f>IF(L328="","",IF(AND($AO$2=1,ISNA(MATCH(L328,'02-شباط'!$L$2:$L$501,0))),"محذوف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38"/>
        <v/>
      </c>
      <c r="AH328" s="39" t="str">
        <f t="shared" si="139"/>
        <v/>
      </c>
      <c r="AI328" s="39" t="str">
        <f t="shared" si="140"/>
        <v/>
      </c>
      <c r="AJ328" s="39" t="str">
        <f t="shared" si="141"/>
        <v/>
      </c>
      <c r="AK328" t="str">
        <f t="shared" si="142"/>
        <v/>
      </c>
      <c r="AL328" t="str">
        <f t="shared" si="143"/>
        <v/>
      </c>
    </row>
    <row r="329" spans="11:38" ht="15">
      <c r="K329" t="str">
        <f t="shared" si="120"/>
        <v/>
      </c>
      <c r="L329" t="str">
        <f t="shared" si="121"/>
        <v/>
      </c>
      <c r="M329" s="36" t="str">
        <f t="shared" si="122"/>
        <v/>
      </c>
      <c r="N329" s="37" t="str">
        <f t="shared" si="123"/>
        <v/>
      </c>
      <c r="O329" s="37" t="str">
        <f t="shared" si="124"/>
        <v/>
      </c>
      <c r="P329" s="38" t="str">
        <f t="shared" si="125"/>
        <v/>
      </c>
      <c r="Q329" s="39" t="str">
        <f t="shared" si="126"/>
        <v/>
      </c>
      <c r="R329" s="39" t="str">
        <f t="shared" si="127"/>
        <v/>
      </c>
      <c r="S329" t="str">
        <f t="shared" si="128"/>
        <v/>
      </c>
      <c r="T329" s="39" t="str">
        <f t="shared" si="129"/>
        <v/>
      </c>
      <c r="U329" t="str">
        <f t="shared" si="130"/>
        <v/>
      </c>
      <c r="V329" t="str">
        <f t="shared" si="131"/>
        <v/>
      </c>
      <c r="W329" t="str">
        <f t="shared" si="132"/>
        <v/>
      </c>
      <c r="X329" s="38" t="str">
        <f t="shared" si="133"/>
        <v/>
      </c>
      <c r="Y329" s="38" t="str">
        <f t="shared" si="134"/>
        <v/>
      </c>
      <c r="Z329" s="39" t="str">
        <f t="shared" si="135"/>
        <v/>
      </c>
      <c r="AA329" s="39" t="str">
        <f t="shared" si="136"/>
        <v/>
      </c>
      <c r="AB329" s="40" t="str">
        <f t="shared" si="137"/>
        <v/>
      </c>
      <c r="AC329" t="str">
        <f>IF(L329="","",IF(AND($AO$2=1,ISNA(MATCH(L329,'02-شباط'!$L$2:$L$501,0))),"محذوف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38"/>
        <v/>
      </c>
      <c r="AH329" s="39" t="str">
        <f t="shared" si="139"/>
        <v/>
      </c>
      <c r="AI329" s="39" t="str">
        <f t="shared" si="140"/>
        <v/>
      </c>
      <c r="AJ329" s="39" t="str">
        <f t="shared" si="141"/>
        <v/>
      </c>
      <c r="AK329" t="str">
        <f t="shared" si="142"/>
        <v/>
      </c>
      <c r="AL329" t="str">
        <f t="shared" si="143"/>
        <v/>
      </c>
    </row>
    <row r="330" spans="11:38" ht="15">
      <c r="K330" t="str">
        <f t="shared" si="120"/>
        <v/>
      </c>
      <c r="L330" t="str">
        <f t="shared" si="121"/>
        <v/>
      </c>
      <c r="M330" s="36" t="str">
        <f t="shared" si="122"/>
        <v/>
      </c>
      <c r="N330" s="37" t="str">
        <f t="shared" si="123"/>
        <v/>
      </c>
      <c r="O330" s="37" t="str">
        <f t="shared" si="124"/>
        <v/>
      </c>
      <c r="P330" s="38" t="str">
        <f t="shared" si="125"/>
        <v/>
      </c>
      <c r="Q330" s="39" t="str">
        <f t="shared" si="126"/>
        <v/>
      </c>
      <c r="R330" s="39" t="str">
        <f t="shared" si="127"/>
        <v/>
      </c>
      <c r="S330" t="str">
        <f t="shared" si="128"/>
        <v/>
      </c>
      <c r="T330" s="39" t="str">
        <f t="shared" si="129"/>
        <v/>
      </c>
      <c r="U330" t="str">
        <f t="shared" si="130"/>
        <v/>
      </c>
      <c r="V330" t="str">
        <f t="shared" si="131"/>
        <v/>
      </c>
      <c r="W330" t="str">
        <f t="shared" si="132"/>
        <v/>
      </c>
      <c r="X330" s="38" t="str">
        <f t="shared" si="133"/>
        <v/>
      </c>
      <c r="Y330" s="38" t="str">
        <f t="shared" si="134"/>
        <v/>
      </c>
      <c r="Z330" s="39" t="str">
        <f t="shared" si="135"/>
        <v/>
      </c>
      <c r="AA330" s="39" t="str">
        <f t="shared" si="136"/>
        <v/>
      </c>
      <c r="AB330" s="40" t="str">
        <f t="shared" si="137"/>
        <v/>
      </c>
      <c r="AC330" t="str">
        <f>IF(L330="","",IF(AND($AO$2=1,ISNA(MATCH(L330,'02-شباط'!$L$2:$L$501,0))),"محذوف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38"/>
        <v/>
      </c>
      <c r="AH330" s="39" t="str">
        <f t="shared" si="139"/>
        <v/>
      </c>
      <c r="AI330" s="39" t="str">
        <f t="shared" si="140"/>
        <v/>
      </c>
      <c r="AJ330" s="39" t="str">
        <f t="shared" si="141"/>
        <v/>
      </c>
      <c r="AK330" t="str">
        <f t="shared" si="142"/>
        <v/>
      </c>
      <c r="AL330" t="str">
        <f t="shared" si="143"/>
        <v/>
      </c>
    </row>
    <row r="331" spans="11:38" ht="15">
      <c r="K331" t="str">
        <f t="shared" si="120"/>
        <v/>
      </c>
      <c r="L331" t="str">
        <f t="shared" si="121"/>
        <v/>
      </c>
      <c r="M331" s="36" t="str">
        <f t="shared" si="122"/>
        <v/>
      </c>
      <c r="N331" s="37" t="str">
        <f t="shared" si="123"/>
        <v/>
      </c>
      <c r="O331" s="37" t="str">
        <f t="shared" si="124"/>
        <v/>
      </c>
      <c r="P331" s="38" t="str">
        <f t="shared" si="125"/>
        <v/>
      </c>
      <c r="Q331" s="39" t="str">
        <f t="shared" si="126"/>
        <v/>
      </c>
      <c r="R331" s="39" t="str">
        <f t="shared" si="127"/>
        <v/>
      </c>
      <c r="S331" t="str">
        <f t="shared" si="128"/>
        <v/>
      </c>
      <c r="T331" s="39" t="str">
        <f t="shared" si="129"/>
        <v/>
      </c>
      <c r="U331" t="str">
        <f t="shared" si="130"/>
        <v/>
      </c>
      <c r="V331" t="str">
        <f t="shared" si="131"/>
        <v/>
      </c>
      <c r="W331" t="str">
        <f t="shared" si="132"/>
        <v/>
      </c>
      <c r="X331" s="38" t="str">
        <f t="shared" si="133"/>
        <v/>
      </c>
      <c r="Y331" s="38" t="str">
        <f t="shared" si="134"/>
        <v/>
      </c>
      <c r="Z331" s="39" t="str">
        <f t="shared" si="135"/>
        <v/>
      </c>
      <c r="AA331" s="39" t="str">
        <f t="shared" si="136"/>
        <v/>
      </c>
      <c r="AB331" s="40" t="str">
        <f t="shared" si="137"/>
        <v/>
      </c>
      <c r="AC331" t="str">
        <f>IF(L331="","",IF(AND($AO$2=1,ISNA(MATCH(L331,'02-شباط'!$L$2:$L$501,0))),"محذوف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38"/>
        <v/>
      </c>
      <c r="AH331" s="39" t="str">
        <f t="shared" si="139"/>
        <v/>
      </c>
      <c r="AI331" s="39" t="str">
        <f t="shared" si="140"/>
        <v/>
      </c>
      <c r="AJ331" s="39" t="str">
        <f t="shared" si="141"/>
        <v/>
      </c>
      <c r="AK331" t="str">
        <f t="shared" si="142"/>
        <v/>
      </c>
      <c r="AL331" t="str">
        <f t="shared" si="143"/>
        <v/>
      </c>
    </row>
    <row r="332" spans="11:38" ht="15">
      <c r="K332" t="str">
        <f t="shared" si="120"/>
        <v/>
      </c>
      <c r="L332" t="str">
        <f t="shared" si="121"/>
        <v/>
      </c>
      <c r="M332" s="36" t="str">
        <f t="shared" si="122"/>
        <v/>
      </c>
      <c r="N332" s="37" t="str">
        <f t="shared" si="123"/>
        <v/>
      </c>
      <c r="O332" s="37" t="str">
        <f t="shared" si="124"/>
        <v/>
      </c>
      <c r="P332" s="38" t="str">
        <f t="shared" si="125"/>
        <v/>
      </c>
      <c r="Q332" s="39" t="str">
        <f t="shared" si="126"/>
        <v/>
      </c>
      <c r="R332" s="39" t="str">
        <f t="shared" si="127"/>
        <v/>
      </c>
      <c r="S332" t="str">
        <f t="shared" si="128"/>
        <v/>
      </c>
      <c r="T332" s="39" t="str">
        <f t="shared" si="129"/>
        <v/>
      </c>
      <c r="U332" t="str">
        <f t="shared" si="130"/>
        <v/>
      </c>
      <c r="V332" t="str">
        <f t="shared" si="131"/>
        <v/>
      </c>
      <c r="W332" t="str">
        <f t="shared" si="132"/>
        <v/>
      </c>
      <c r="X332" s="38" t="str">
        <f t="shared" si="133"/>
        <v/>
      </c>
      <c r="Y332" s="38" t="str">
        <f t="shared" si="134"/>
        <v/>
      </c>
      <c r="Z332" s="39" t="str">
        <f t="shared" si="135"/>
        <v/>
      </c>
      <c r="AA332" s="39" t="str">
        <f t="shared" si="136"/>
        <v/>
      </c>
      <c r="AB332" s="40" t="str">
        <f t="shared" si="137"/>
        <v/>
      </c>
      <c r="AC332" t="str">
        <f>IF(L332="","",IF(AND($AO$2=1,ISNA(MATCH(L332,'02-شباط'!$L$2:$L$501,0))),"محذوف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38"/>
        <v/>
      </c>
      <c r="AH332" s="39" t="str">
        <f t="shared" si="139"/>
        <v/>
      </c>
      <c r="AI332" s="39" t="str">
        <f t="shared" si="140"/>
        <v/>
      </c>
      <c r="AJ332" s="39" t="str">
        <f t="shared" si="141"/>
        <v/>
      </c>
      <c r="AK332" t="str">
        <f t="shared" si="142"/>
        <v/>
      </c>
      <c r="AL332" t="str">
        <f t="shared" si="143"/>
        <v/>
      </c>
    </row>
    <row r="333" spans="11:38" ht="15">
      <c r="K333" t="str">
        <f t="shared" si="120"/>
        <v/>
      </c>
      <c r="L333" t="str">
        <f t="shared" si="121"/>
        <v/>
      </c>
      <c r="M333" s="36" t="str">
        <f t="shared" si="122"/>
        <v/>
      </c>
      <c r="N333" s="37" t="str">
        <f t="shared" si="123"/>
        <v/>
      </c>
      <c r="O333" s="37" t="str">
        <f t="shared" si="124"/>
        <v/>
      </c>
      <c r="P333" s="38" t="str">
        <f t="shared" si="125"/>
        <v/>
      </c>
      <c r="Q333" s="39" t="str">
        <f t="shared" si="126"/>
        <v/>
      </c>
      <c r="R333" s="39" t="str">
        <f t="shared" si="127"/>
        <v/>
      </c>
      <c r="S333" t="str">
        <f t="shared" si="128"/>
        <v/>
      </c>
      <c r="T333" s="39" t="str">
        <f t="shared" si="129"/>
        <v/>
      </c>
      <c r="U333" t="str">
        <f t="shared" si="130"/>
        <v/>
      </c>
      <c r="V333" t="str">
        <f t="shared" si="131"/>
        <v/>
      </c>
      <c r="W333" t="str">
        <f t="shared" si="132"/>
        <v/>
      </c>
      <c r="X333" s="38" t="str">
        <f t="shared" si="133"/>
        <v/>
      </c>
      <c r="Y333" s="38" t="str">
        <f t="shared" si="134"/>
        <v/>
      </c>
      <c r="Z333" s="39" t="str">
        <f t="shared" si="135"/>
        <v/>
      </c>
      <c r="AA333" s="39" t="str">
        <f t="shared" si="136"/>
        <v/>
      </c>
      <c r="AB333" s="40" t="str">
        <f t="shared" si="137"/>
        <v/>
      </c>
      <c r="AC333" t="str">
        <f>IF(L333="","",IF(AND($AO$2=1,ISNA(MATCH(L333,'02-شباط'!$L$2:$L$501,0))),"محذوف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38"/>
        <v/>
      </c>
      <c r="AH333" s="39" t="str">
        <f t="shared" si="139"/>
        <v/>
      </c>
      <c r="AI333" s="39" t="str">
        <f t="shared" si="140"/>
        <v/>
      </c>
      <c r="AJ333" s="39" t="str">
        <f t="shared" si="141"/>
        <v/>
      </c>
      <c r="AK333" t="str">
        <f t="shared" si="142"/>
        <v/>
      </c>
      <c r="AL333" t="str">
        <f t="shared" si="143"/>
        <v/>
      </c>
    </row>
    <row r="334" spans="11:38" ht="15">
      <c r="K334" t="str">
        <f t="shared" si="120"/>
        <v/>
      </c>
      <c r="L334" t="str">
        <f t="shared" si="121"/>
        <v/>
      </c>
      <c r="M334" s="36" t="str">
        <f t="shared" si="122"/>
        <v/>
      </c>
      <c r="N334" s="37" t="str">
        <f t="shared" si="123"/>
        <v/>
      </c>
      <c r="O334" s="37" t="str">
        <f t="shared" si="124"/>
        <v/>
      </c>
      <c r="P334" s="38" t="str">
        <f t="shared" si="125"/>
        <v/>
      </c>
      <c r="Q334" s="39" t="str">
        <f t="shared" si="126"/>
        <v/>
      </c>
      <c r="R334" s="39" t="str">
        <f t="shared" si="127"/>
        <v/>
      </c>
      <c r="S334" t="str">
        <f t="shared" si="128"/>
        <v/>
      </c>
      <c r="T334" s="39" t="str">
        <f t="shared" si="129"/>
        <v/>
      </c>
      <c r="U334" t="str">
        <f t="shared" si="130"/>
        <v/>
      </c>
      <c r="V334" t="str">
        <f t="shared" si="131"/>
        <v/>
      </c>
      <c r="W334" t="str">
        <f t="shared" si="132"/>
        <v/>
      </c>
      <c r="X334" s="38" t="str">
        <f t="shared" si="133"/>
        <v/>
      </c>
      <c r="Y334" s="38" t="str">
        <f t="shared" si="134"/>
        <v/>
      </c>
      <c r="Z334" s="39" t="str">
        <f t="shared" si="135"/>
        <v/>
      </c>
      <c r="AA334" s="39" t="str">
        <f t="shared" si="136"/>
        <v/>
      </c>
      <c r="AB334" s="40" t="str">
        <f t="shared" si="137"/>
        <v/>
      </c>
      <c r="AC334" t="str">
        <f>IF(L334="","",IF(AND($AO$2=1,ISNA(MATCH(L334,'02-شباط'!$L$2:$L$501,0))),"محذوف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38"/>
        <v/>
      </c>
      <c r="AH334" s="39" t="str">
        <f t="shared" si="139"/>
        <v/>
      </c>
      <c r="AI334" s="39" t="str">
        <f t="shared" si="140"/>
        <v/>
      </c>
      <c r="AJ334" s="39" t="str">
        <f t="shared" si="141"/>
        <v/>
      </c>
      <c r="AK334" t="str">
        <f t="shared" si="142"/>
        <v/>
      </c>
      <c r="AL334" t="str">
        <f t="shared" si="143"/>
        <v/>
      </c>
    </row>
    <row r="335" spans="11:38" ht="15">
      <c r="K335" t="str">
        <f t="shared" si="120"/>
        <v/>
      </c>
      <c r="L335" t="str">
        <f t="shared" si="121"/>
        <v/>
      </c>
      <c r="M335" s="36" t="str">
        <f t="shared" si="122"/>
        <v/>
      </c>
      <c r="N335" s="37" t="str">
        <f t="shared" si="123"/>
        <v/>
      </c>
      <c r="O335" s="37" t="str">
        <f t="shared" si="124"/>
        <v/>
      </c>
      <c r="P335" s="38" t="str">
        <f t="shared" si="125"/>
        <v/>
      </c>
      <c r="Q335" s="39" t="str">
        <f t="shared" si="126"/>
        <v/>
      </c>
      <c r="R335" s="39" t="str">
        <f t="shared" si="127"/>
        <v/>
      </c>
      <c r="S335" t="str">
        <f t="shared" si="128"/>
        <v/>
      </c>
      <c r="T335" s="39" t="str">
        <f t="shared" si="129"/>
        <v/>
      </c>
      <c r="U335" t="str">
        <f t="shared" si="130"/>
        <v/>
      </c>
      <c r="V335" t="str">
        <f t="shared" si="131"/>
        <v/>
      </c>
      <c r="W335" t="str">
        <f t="shared" si="132"/>
        <v/>
      </c>
      <c r="X335" s="38" t="str">
        <f t="shared" si="133"/>
        <v/>
      </c>
      <c r="Y335" s="38" t="str">
        <f t="shared" si="134"/>
        <v/>
      </c>
      <c r="Z335" s="39" t="str">
        <f t="shared" si="135"/>
        <v/>
      </c>
      <c r="AA335" s="39" t="str">
        <f t="shared" si="136"/>
        <v/>
      </c>
      <c r="AB335" s="40" t="str">
        <f t="shared" si="137"/>
        <v/>
      </c>
      <c r="AC335" t="str">
        <f>IF(L335="","",IF(AND($AO$2=1,ISNA(MATCH(L335,'02-شباط'!$L$2:$L$501,0))),"محذوف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38"/>
        <v/>
      </c>
      <c r="AH335" s="39" t="str">
        <f t="shared" si="139"/>
        <v/>
      </c>
      <c r="AI335" s="39" t="str">
        <f t="shared" si="140"/>
        <v/>
      </c>
      <c r="AJ335" s="39" t="str">
        <f t="shared" si="141"/>
        <v/>
      </c>
      <c r="AK335" t="str">
        <f t="shared" si="142"/>
        <v/>
      </c>
      <c r="AL335" t="str">
        <f t="shared" si="143"/>
        <v/>
      </c>
    </row>
    <row r="336" spans="11:38" ht="15">
      <c r="K336" t="str">
        <f t="shared" si="120"/>
        <v/>
      </c>
      <c r="L336" t="str">
        <f t="shared" si="121"/>
        <v/>
      </c>
      <c r="M336" s="36" t="str">
        <f t="shared" si="122"/>
        <v/>
      </c>
      <c r="N336" s="37" t="str">
        <f t="shared" si="123"/>
        <v/>
      </c>
      <c r="O336" s="37" t="str">
        <f t="shared" si="124"/>
        <v/>
      </c>
      <c r="P336" s="38" t="str">
        <f t="shared" si="125"/>
        <v/>
      </c>
      <c r="Q336" s="39" t="str">
        <f t="shared" si="126"/>
        <v/>
      </c>
      <c r="R336" s="39" t="str">
        <f t="shared" si="127"/>
        <v/>
      </c>
      <c r="S336" t="str">
        <f t="shared" si="128"/>
        <v/>
      </c>
      <c r="T336" s="39" t="str">
        <f t="shared" si="129"/>
        <v/>
      </c>
      <c r="U336" t="str">
        <f t="shared" si="130"/>
        <v/>
      </c>
      <c r="V336" t="str">
        <f t="shared" si="131"/>
        <v/>
      </c>
      <c r="W336" t="str">
        <f t="shared" si="132"/>
        <v/>
      </c>
      <c r="X336" s="38" t="str">
        <f t="shared" si="133"/>
        <v/>
      </c>
      <c r="Y336" s="38" t="str">
        <f t="shared" si="134"/>
        <v/>
      </c>
      <c r="Z336" s="39" t="str">
        <f t="shared" si="135"/>
        <v/>
      </c>
      <c r="AA336" s="39" t="str">
        <f t="shared" si="136"/>
        <v/>
      </c>
      <c r="AB336" s="40" t="str">
        <f t="shared" si="137"/>
        <v/>
      </c>
      <c r="AC336" t="str">
        <f>IF(L336="","",IF(AND($AO$2=1,ISNA(MATCH(L336,'02-شباط'!$L$2:$L$501,0))),"محذوف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38"/>
        <v/>
      </c>
      <c r="AH336" s="39" t="str">
        <f t="shared" si="139"/>
        <v/>
      </c>
      <c r="AI336" s="39" t="str">
        <f t="shared" si="140"/>
        <v/>
      </c>
      <c r="AJ336" s="39" t="str">
        <f t="shared" si="141"/>
        <v/>
      </c>
      <c r="AK336" t="str">
        <f t="shared" si="142"/>
        <v/>
      </c>
      <c r="AL336" t="str">
        <f t="shared" si="143"/>
        <v/>
      </c>
    </row>
    <row r="337" spans="11:38" ht="15">
      <c r="K337" t="str">
        <f t="shared" si="120"/>
        <v/>
      </c>
      <c r="L337" t="str">
        <f t="shared" si="121"/>
        <v/>
      </c>
      <c r="M337" s="36" t="str">
        <f t="shared" si="122"/>
        <v/>
      </c>
      <c r="N337" s="37" t="str">
        <f t="shared" si="123"/>
        <v/>
      </c>
      <c r="O337" s="37" t="str">
        <f t="shared" si="124"/>
        <v/>
      </c>
      <c r="P337" s="38" t="str">
        <f t="shared" si="125"/>
        <v/>
      </c>
      <c r="Q337" s="39" t="str">
        <f t="shared" si="126"/>
        <v/>
      </c>
      <c r="R337" s="39" t="str">
        <f t="shared" si="127"/>
        <v/>
      </c>
      <c r="S337" t="str">
        <f t="shared" si="128"/>
        <v/>
      </c>
      <c r="T337" s="39" t="str">
        <f t="shared" si="129"/>
        <v/>
      </c>
      <c r="U337" t="str">
        <f t="shared" si="130"/>
        <v/>
      </c>
      <c r="V337" t="str">
        <f t="shared" si="131"/>
        <v/>
      </c>
      <c r="W337" t="str">
        <f t="shared" si="132"/>
        <v/>
      </c>
      <c r="X337" s="38" t="str">
        <f t="shared" si="133"/>
        <v/>
      </c>
      <c r="Y337" s="38" t="str">
        <f t="shared" si="134"/>
        <v/>
      </c>
      <c r="Z337" s="39" t="str">
        <f t="shared" si="135"/>
        <v/>
      </c>
      <c r="AA337" s="39" t="str">
        <f t="shared" si="136"/>
        <v/>
      </c>
      <c r="AB337" s="40" t="str">
        <f t="shared" si="137"/>
        <v/>
      </c>
      <c r="AC337" t="str">
        <f>IF(L337="","",IF(AND($AO$2=1,ISNA(MATCH(L337,'02-شباط'!$L$2:$L$501,0))),"محذوف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38"/>
        <v/>
      </c>
      <c r="AH337" s="39" t="str">
        <f t="shared" si="139"/>
        <v/>
      </c>
      <c r="AI337" s="39" t="str">
        <f t="shared" si="140"/>
        <v/>
      </c>
      <c r="AJ337" s="39" t="str">
        <f t="shared" si="141"/>
        <v/>
      </c>
      <c r="AK337" t="str">
        <f t="shared" si="142"/>
        <v/>
      </c>
      <c r="AL337" t="str">
        <f t="shared" si="143"/>
        <v/>
      </c>
    </row>
    <row r="338" spans="11:38" ht="15">
      <c r="K338" t="str">
        <f t="shared" si="120"/>
        <v/>
      </c>
      <c r="L338" t="str">
        <f t="shared" si="121"/>
        <v/>
      </c>
      <c r="M338" s="36" t="str">
        <f t="shared" si="122"/>
        <v/>
      </c>
      <c r="N338" s="37" t="str">
        <f t="shared" si="123"/>
        <v/>
      </c>
      <c r="O338" s="37" t="str">
        <f t="shared" si="124"/>
        <v/>
      </c>
      <c r="P338" s="38" t="str">
        <f t="shared" si="125"/>
        <v/>
      </c>
      <c r="Q338" s="39" t="str">
        <f t="shared" si="126"/>
        <v/>
      </c>
      <c r="R338" s="39" t="str">
        <f t="shared" si="127"/>
        <v/>
      </c>
      <c r="S338" t="str">
        <f t="shared" si="128"/>
        <v/>
      </c>
      <c r="T338" s="39" t="str">
        <f t="shared" si="129"/>
        <v/>
      </c>
      <c r="U338" t="str">
        <f t="shared" si="130"/>
        <v/>
      </c>
      <c r="V338" t="str">
        <f t="shared" si="131"/>
        <v/>
      </c>
      <c r="W338" t="str">
        <f t="shared" si="132"/>
        <v/>
      </c>
      <c r="X338" s="38" t="str">
        <f t="shared" si="133"/>
        <v/>
      </c>
      <c r="Y338" s="38" t="str">
        <f t="shared" si="134"/>
        <v/>
      </c>
      <c r="Z338" s="39" t="str">
        <f t="shared" si="135"/>
        <v/>
      </c>
      <c r="AA338" s="39" t="str">
        <f t="shared" si="136"/>
        <v/>
      </c>
      <c r="AB338" s="40" t="str">
        <f t="shared" si="137"/>
        <v/>
      </c>
      <c r="AC338" t="str">
        <f>IF(L338="","",IF(AND($AO$2=1,ISNA(MATCH(L338,'02-شباط'!$L$2:$L$501,0))),"محذوف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38"/>
        <v/>
      </c>
      <c r="AH338" s="39" t="str">
        <f t="shared" si="139"/>
        <v/>
      </c>
      <c r="AI338" s="39" t="str">
        <f t="shared" si="140"/>
        <v/>
      </c>
      <c r="AJ338" s="39" t="str">
        <f t="shared" si="141"/>
        <v/>
      </c>
      <c r="AK338" t="str">
        <f t="shared" si="142"/>
        <v/>
      </c>
      <c r="AL338" t="str">
        <f t="shared" si="143"/>
        <v/>
      </c>
    </row>
    <row r="339" spans="11:38" ht="15">
      <c r="K339" t="str">
        <f t="shared" si="120"/>
        <v/>
      </c>
      <c r="L339" t="str">
        <f t="shared" si="121"/>
        <v/>
      </c>
      <c r="M339" s="36" t="str">
        <f t="shared" si="122"/>
        <v/>
      </c>
      <c r="N339" s="37" t="str">
        <f t="shared" si="123"/>
        <v/>
      </c>
      <c r="O339" s="37" t="str">
        <f t="shared" si="124"/>
        <v/>
      </c>
      <c r="P339" s="38" t="str">
        <f t="shared" si="125"/>
        <v/>
      </c>
      <c r="Q339" s="39" t="str">
        <f t="shared" si="126"/>
        <v/>
      </c>
      <c r="R339" s="39" t="str">
        <f t="shared" si="127"/>
        <v/>
      </c>
      <c r="S339" t="str">
        <f t="shared" si="128"/>
        <v/>
      </c>
      <c r="T339" s="39" t="str">
        <f t="shared" si="129"/>
        <v/>
      </c>
      <c r="U339" t="str">
        <f t="shared" si="130"/>
        <v/>
      </c>
      <c r="V339" t="str">
        <f t="shared" si="131"/>
        <v/>
      </c>
      <c r="W339" t="str">
        <f t="shared" si="132"/>
        <v/>
      </c>
      <c r="X339" s="38" t="str">
        <f t="shared" si="133"/>
        <v/>
      </c>
      <c r="Y339" s="38" t="str">
        <f t="shared" si="134"/>
        <v/>
      </c>
      <c r="Z339" s="39" t="str">
        <f t="shared" si="135"/>
        <v/>
      </c>
      <c r="AA339" s="39" t="str">
        <f t="shared" si="136"/>
        <v/>
      </c>
      <c r="AB339" s="40" t="str">
        <f t="shared" si="137"/>
        <v/>
      </c>
      <c r="AC339" t="str">
        <f>IF(L339="","",IF(AND($AO$2=1,ISNA(MATCH(L339,'02-شباط'!$L$2:$L$501,0))),"محذوف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38"/>
        <v/>
      </c>
      <c r="AH339" s="39" t="str">
        <f t="shared" si="139"/>
        <v/>
      </c>
      <c r="AI339" s="39" t="str">
        <f t="shared" si="140"/>
        <v/>
      </c>
      <c r="AJ339" s="39" t="str">
        <f t="shared" si="141"/>
        <v/>
      </c>
      <c r="AK339" t="str">
        <f t="shared" si="142"/>
        <v/>
      </c>
      <c r="AL339" t="str">
        <f t="shared" si="143"/>
        <v/>
      </c>
    </row>
    <row r="340" spans="11:38" ht="15">
      <c r="K340" t="str">
        <f t="shared" si="120"/>
        <v/>
      </c>
      <c r="L340" t="str">
        <f t="shared" si="121"/>
        <v/>
      </c>
      <c r="M340" s="36" t="str">
        <f t="shared" si="122"/>
        <v/>
      </c>
      <c r="N340" s="37" t="str">
        <f t="shared" si="123"/>
        <v/>
      </c>
      <c r="O340" s="37" t="str">
        <f t="shared" si="124"/>
        <v/>
      </c>
      <c r="P340" s="38" t="str">
        <f t="shared" si="125"/>
        <v/>
      </c>
      <c r="Q340" s="39" t="str">
        <f t="shared" si="126"/>
        <v/>
      </c>
      <c r="R340" s="39" t="str">
        <f t="shared" si="127"/>
        <v/>
      </c>
      <c r="S340" t="str">
        <f t="shared" si="128"/>
        <v/>
      </c>
      <c r="T340" s="39" t="str">
        <f t="shared" si="129"/>
        <v/>
      </c>
      <c r="U340" t="str">
        <f t="shared" si="130"/>
        <v/>
      </c>
      <c r="V340" t="str">
        <f t="shared" si="131"/>
        <v/>
      </c>
      <c r="W340" t="str">
        <f t="shared" si="132"/>
        <v/>
      </c>
      <c r="X340" s="38" t="str">
        <f t="shared" si="133"/>
        <v/>
      </c>
      <c r="Y340" s="38" t="str">
        <f t="shared" si="134"/>
        <v/>
      </c>
      <c r="Z340" s="39" t="str">
        <f t="shared" si="135"/>
        <v/>
      </c>
      <c r="AA340" s="39" t="str">
        <f t="shared" si="136"/>
        <v/>
      </c>
      <c r="AB340" s="40" t="str">
        <f t="shared" si="137"/>
        <v/>
      </c>
      <c r="AC340" t="str">
        <f>IF(L340="","",IF(AND($AO$2=1,ISNA(MATCH(L340,'02-شباط'!$L$2:$L$501,0))),"محذوف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38"/>
        <v/>
      </c>
      <c r="AH340" s="39" t="str">
        <f t="shared" si="139"/>
        <v/>
      </c>
      <c r="AI340" s="39" t="str">
        <f t="shared" si="140"/>
        <v/>
      </c>
      <c r="AJ340" s="39" t="str">
        <f t="shared" si="141"/>
        <v/>
      </c>
      <c r="AK340" t="str">
        <f t="shared" si="142"/>
        <v/>
      </c>
      <c r="AL340" t="str">
        <f t="shared" si="143"/>
        <v/>
      </c>
    </row>
    <row r="341" spans="11:38" ht="15">
      <c r="K341" t="str">
        <f t="shared" si="120"/>
        <v/>
      </c>
      <c r="L341" t="str">
        <f t="shared" si="121"/>
        <v/>
      </c>
      <c r="M341" s="36" t="str">
        <f t="shared" si="122"/>
        <v/>
      </c>
      <c r="N341" s="37" t="str">
        <f t="shared" si="123"/>
        <v/>
      </c>
      <c r="O341" s="37" t="str">
        <f t="shared" si="124"/>
        <v/>
      </c>
      <c r="P341" s="38" t="str">
        <f t="shared" si="125"/>
        <v/>
      </c>
      <c r="Q341" s="39" t="str">
        <f t="shared" si="126"/>
        <v/>
      </c>
      <c r="R341" s="39" t="str">
        <f t="shared" si="127"/>
        <v/>
      </c>
      <c r="S341" t="str">
        <f t="shared" si="128"/>
        <v/>
      </c>
      <c r="T341" s="39" t="str">
        <f t="shared" si="129"/>
        <v/>
      </c>
      <c r="U341" t="str">
        <f t="shared" si="130"/>
        <v/>
      </c>
      <c r="V341" t="str">
        <f t="shared" si="131"/>
        <v/>
      </c>
      <c r="W341" t="str">
        <f t="shared" si="132"/>
        <v/>
      </c>
      <c r="X341" s="38" t="str">
        <f t="shared" si="133"/>
        <v/>
      </c>
      <c r="Y341" s="38" t="str">
        <f t="shared" si="134"/>
        <v/>
      </c>
      <c r="Z341" s="39" t="str">
        <f t="shared" si="135"/>
        <v/>
      </c>
      <c r="AA341" s="39" t="str">
        <f t="shared" si="136"/>
        <v/>
      </c>
      <c r="AB341" s="40" t="str">
        <f t="shared" si="137"/>
        <v/>
      </c>
      <c r="AC341" t="str">
        <f>IF(L341="","",IF(AND($AO$2=1,ISNA(MATCH(L341,'02-شباط'!$L$2:$L$501,0))),"محذوف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38"/>
        <v/>
      </c>
      <c r="AH341" s="39" t="str">
        <f t="shared" si="139"/>
        <v/>
      </c>
      <c r="AI341" s="39" t="str">
        <f t="shared" si="140"/>
        <v/>
      </c>
      <c r="AJ341" s="39" t="str">
        <f t="shared" si="141"/>
        <v/>
      </c>
      <c r="AK341" t="str">
        <f t="shared" si="142"/>
        <v/>
      </c>
      <c r="AL341" t="str">
        <f t="shared" si="143"/>
        <v/>
      </c>
    </row>
    <row r="342" spans="11:38" ht="15">
      <c r="K342" t="str">
        <f t="shared" si="120"/>
        <v/>
      </c>
      <c r="L342" t="str">
        <f t="shared" si="121"/>
        <v/>
      </c>
      <c r="M342" s="36" t="str">
        <f t="shared" si="122"/>
        <v/>
      </c>
      <c r="N342" s="37" t="str">
        <f t="shared" si="123"/>
        <v/>
      </c>
      <c r="O342" s="37" t="str">
        <f t="shared" si="124"/>
        <v/>
      </c>
      <c r="P342" s="38" t="str">
        <f t="shared" si="125"/>
        <v/>
      </c>
      <c r="Q342" s="39" t="str">
        <f t="shared" si="126"/>
        <v/>
      </c>
      <c r="R342" s="39" t="str">
        <f t="shared" si="127"/>
        <v/>
      </c>
      <c r="S342" t="str">
        <f t="shared" si="128"/>
        <v/>
      </c>
      <c r="T342" s="39" t="str">
        <f t="shared" si="129"/>
        <v/>
      </c>
      <c r="U342" t="str">
        <f t="shared" si="130"/>
        <v/>
      </c>
      <c r="V342" t="str">
        <f t="shared" si="131"/>
        <v/>
      </c>
      <c r="W342" t="str">
        <f t="shared" si="132"/>
        <v/>
      </c>
      <c r="X342" s="38" t="str">
        <f t="shared" si="133"/>
        <v/>
      </c>
      <c r="Y342" s="38" t="str">
        <f t="shared" si="134"/>
        <v/>
      </c>
      <c r="Z342" s="39" t="str">
        <f t="shared" si="135"/>
        <v/>
      </c>
      <c r="AA342" s="39" t="str">
        <f t="shared" si="136"/>
        <v/>
      </c>
      <c r="AB342" s="40" t="str">
        <f t="shared" si="137"/>
        <v/>
      </c>
      <c r="AC342" t="str">
        <f>IF(L342="","",IF(AND($AO$2=1,ISNA(MATCH(L342,'02-شباط'!$L$2:$L$501,0))),"محذوف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38"/>
        <v/>
      </c>
      <c r="AH342" s="39" t="str">
        <f t="shared" si="139"/>
        <v/>
      </c>
      <c r="AI342" s="39" t="str">
        <f t="shared" si="140"/>
        <v/>
      </c>
      <c r="AJ342" s="39" t="str">
        <f t="shared" si="141"/>
        <v/>
      </c>
      <c r="AK342" t="str">
        <f t="shared" si="142"/>
        <v/>
      </c>
      <c r="AL342" t="str">
        <f t="shared" si="143"/>
        <v/>
      </c>
    </row>
    <row r="343" spans="11:38" ht="15">
      <c r="K343" t="str">
        <f t="shared" si="120"/>
        <v/>
      </c>
      <c r="L343" t="str">
        <f t="shared" si="121"/>
        <v/>
      </c>
      <c r="M343" s="36" t="str">
        <f t="shared" si="122"/>
        <v/>
      </c>
      <c r="N343" s="37" t="str">
        <f t="shared" si="123"/>
        <v/>
      </c>
      <c r="O343" s="37" t="str">
        <f t="shared" si="124"/>
        <v/>
      </c>
      <c r="P343" s="38" t="str">
        <f t="shared" si="125"/>
        <v/>
      </c>
      <c r="Q343" s="39" t="str">
        <f t="shared" si="126"/>
        <v/>
      </c>
      <c r="R343" s="39" t="str">
        <f t="shared" si="127"/>
        <v/>
      </c>
      <c r="S343" t="str">
        <f t="shared" si="128"/>
        <v/>
      </c>
      <c r="T343" s="39" t="str">
        <f t="shared" si="129"/>
        <v/>
      </c>
      <c r="U343" t="str">
        <f t="shared" si="130"/>
        <v/>
      </c>
      <c r="V343" t="str">
        <f t="shared" si="131"/>
        <v/>
      </c>
      <c r="W343" t="str">
        <f t="shared" si="132"/>
        <v/>
      </c>
      <c r="X343" s="38" t="str">
        <f t="shared" si="133"/>
        <v/>
      </c>
      <c r="Y343" s="38" t="str">
        <f t="shared" si="134"/>
        <v/>
      </c>
      <c r="Z343" s="39" t="str">
        <f t="shared" si="135"/>
        <v/>
      </c>
      <c r="AA343" s="39" t="str">
        <f t="shared" si="136"/>
        <v/>
      </c>
      <c r="AB343" s="40" t="str">
        <f t="shared" si="137"/>
        <v/>
      </c>
      <c r="AC343" t="str">
        <f>IF(L343="","",IF(AND($AO$2=1,ISNA(MATCH(L343,'02-شباط'!$L$2:$L$501,0))),"محذوف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38"/>
        <v/>
      </c>
      <c r="AH343" s="39" t="str">
        <f t="shared" si="139"/>
        <v/>
      </c>
      <c r="AI343" s="39" t="str">
        <f t="shared" si="140"/>
        <v/>
      </c>
      <c r="AJ343" s="39" t="str">
        <f t="shared" si="141"/>
        <v/>
      </c>
      <c r="AK343" t="str">
        <f t="shared" si="142"/>
        <v/>
      </c>
      <c r="AL343" t="str">
        <f t="shared" si="143"/>
        <v/>
      </c>
    </row>
    <row r="344" spans="11:38" ht="15">
      <c r="K344" t="str">
        <f t="shared" si="120"/>
        <v/>
      </c>
      <c r="L344" t="str">
        <f t="shared" si="121"/>
        <v/>
      </c>
      <c r="M344" s="36" t="str">
        <f t="shared" si="122"/>
        <v/>
      </c>
      <c r="N344" s="37" t="str">
        <f t="shared" si="123"/>
        <v/>
      </c>
      <c r="O344" s="37" t="str">
        <f t="shared" si="124"/>
        <v/>
      </c>
      <c r="P344" s="38" t="str">
        <f t="shared" si="125"/>
        <v/>
      </c>
      <c r="Q344" s="39" t="str">
        <f t="shared" si="126"/>
        <v/>
      </c>
      <c r="R344" s="39" t="str">
        <f t="shared" si="127"/>
        <v/>
      </c>
      <c r="S344" t="str">
        <f t="shared" si="128"/>
        <v/>
      </c>
      <c r="T344" s="39" t="str">
        <f t="shared" si="129"/>
        <v/>
      </c>
      <c r="U344" t="str">
        <f t="shared" si="130"/>
        <v/>
      </c>
      <c r="V344" t="str">
        <f t="shared" si="131"/>
        <v/>
      </c>
      <c r="W344" t="str">
        <f t="shared" si="132"/>
        <v/>
      </c>
      <c r="X344" s="38" t="str">
        <f t="shared" si="133"/>
        <v/>
      </c>
      <c r="Y344" s="38" t="str">
        <f t="shared" si="134"/>
        <v/>
      </c>
      <c r="Z344" s="39" t="str">
        <f t="shared" si="135"/>
        <v/>
      </c>
      <c r="AA344" s="39" t="str">
        <f t="shared" si="136"/>
        <v/>
      </c>
      <c r="AB344" s="40" t="str">
        <f t="shared" si="137"/>
        <v/>
      </c>
      <c r="AC344" t="str">
        <f>IF(L344="","",IF(AND($AO$2=1,ISNA(MATCH(L344,'02-شباط'!$L$2:$L$501,0))),"محذوف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38"/>
        <v/>
      </c>
      <c r="AH344" s="39" t="str">
        <f t="shared" si="139"/>
        <v/>
      </c>
      <c r="AI344" s="39" t="str">
        <f t="shared" si="140"/>
        <v/>
      </c>
      <c r="AJ344" s="39" t="str">
        <f t="shared" si="141"/>
        <v/>
      </c>
      <c r="AK344" t="str">
        <f t="shared" si="142"/>
        <v/>
      </c>
      <c r="AL344" t="str">
        <f t="shared" si="143"/>
        <v/>
      </c>
    </row>
    <row r="345" spans="11:38" ht="15">
      <c r="K345" t="str">
        <f t="shared" si="120"/>
        <v/>
      </c>
      <c r="L345" t="str">
        <f t="shared" si="121"/>
        <v/>
      </c>
      <c r="M345" s="36" t="str">
        <f t="shared" si="122"/>
        <v/>
      </c>
      <c r="N345" s="37" t="str">
        <f t="shared" si="123"/>
        <v/>
      </c>
      <c r="O345" s="37" t="str">
        <f t="shared" si="124"/>
        <v/>
      </c>
      <c r="P345" s="38" t="str">
        <f t="shared" si="125"/>
        <v/>
      </c>
      <c r="Q345" s="39" t="str">
        <f t="shared" si="126"/>
        <v/>
      </c>
      <c r="R345" s="39" t="str">
        <f t="shared" si="127"/>
        <v/>
      </c>
      <c r="S345" t="str">
        <f t="shared" si="128"/>
        <v/>
      </c>
      <c r="T345" s="39" t="str">
        <f t="shared" si="129"/>
        <v/>
      </c>
      <c r="U345" t="str">
        <f t="shared" si="130"/>
        <v/>
      </c>
      <c r="V345" t="str">
        <f t="shared" si="131"/>
        <v/>
      </c>
      <c r="W345" t="str">
        <f t="shared" si="132"/>
        <v/>
      </c>
      <c r="X345" s="38" t="str">
        <f t="shared" si="133"/>
        <v/>
      </c>
      <c r="Y345" s="38" t="str">
        <f t="shared" si="134"/>
        <v/>
      </c>
      <c r="Z345" s="39" t="str">
        <f t="shared" si="135"/>
        <v/>
      </c>
      <c r="AA345" s="39" t="str">
        <f t="shared" si="136"/>
        <v/>
      </c>
      <c r="AB345" s="40" t="str">
        <f t="shared" si="137"/>
        <v/>
      </c>
      <c r="AC345" t="str">
        <f>IF(L345="","",IF(AND($AO$2=1,ISNA(MATCH(L345,'02-شباط'!$L$2:$L$501,0))),"محذوف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38"/>
        <v/>
      </c>
      <c r="AH345" s="39" t="str">
        <f t="shared" si="139"/>
        <v/>
      </c>
      <c r="AI345" s="39" t="str">
        <f t="shared" si="140"/>
        <v/>
      </c>
      <c r="AJ345" s="39" t="str">
        <f t="shared" si="141"/>
        <v/>
      </c>
      <c r="AK345" t="str">
        <f t="shared" si="142"/>
        <v/>
      </c>
      <c r="AL345" t="str">
        <f t="shared" si="143"/>
        <v/>
      </c>
    </row>
    <row r="346" spans="11:38" ht="15">
      <c r="K346" t="str">
        <f t="shared" si="120"/>
        <v/>
      </c>
      <c r="L346" t="str">
        <f t="shared" si="121"/>
        <v/>
      </c>
      <c r="M346" s="36" t="str">
        <f t="shared" si="122"/>
        <v/>
      </c>
      <c r="N346" s="37" t="str">
        <f t="shared" si="123"/>
        <v/>
      </c>
      <c r="O346" s="37" t="str">
        <f t="shared" si="124"/>
        <v/>
      </c>
      <c r="P346" s="38" t="str">
        <f t="shared" si="125"/>
        <v/>
      </c>
      <c r="Q346" s="39" t="str">
        <f t="shared" si="126"/>
        <v/>
      </c>
      <c r="R346" s="39" t="str">
        <f t="shared" si="127"/>
        <v/>
      </c>
      <c r="S346" t="str">
        <f t="shared" si="128"/>
        <v/>
      </c>
      <c r="T346" s="39" t="str">
        <f t="shared" si="129"/>
        <v/>
      </c>
      <c r="U346" t="str">
        <f t="shared" si="130"/>
        <v/>
      </c>
      <c r="V346" t="str">
        <f t="shared" si="131"/>
        <v/>
      </c>
      <c r="W346" t="str">
        <f t="shared" si="132"/>
        <v/>
      </c>
      <c r="X346" s="38" t="str">
        <f t="shared" si="133"/>
        <v/>
      </c>
      <c r="Y346" s="38" t="str">
        <f t="shared" si="134"/>
        <v/>
      </c>
      <c r="Z346" s="39" t="str">
        <f t="shared" si="135"/>
        <v/>
      </c>
      <c r="AA346" s="39" t="str">
        <f t="shared" si="136"/>
        <v/>
      </c>
      <c r="AB346" s="40" t="str">
        <f t="shared" si="137"/>
        <v/>
      </c>
      <c r="AC346" t="str">
        <f>IF(L346="","",IF(AND($AO$2=1,ISNA(MATCH(L346,'02-شباط'!$L$2:$L$501,0))),"محذوف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38"/>
        <v/>
      </c>
      <c r="AH346" s="39" t="str">
        <f t="shared" si="139"/>
        <v/>
      </c>
      <c r="AI346" s="39" t="str">
        <f t="shared" si="140"/>
        <v/>
      </c>
      <c r="AJ346" s="39" t="str">
        <f t="shared" si="141"/>
        <v/>
      </c>
      <c r="AK346" t="str">
        <f t="shared" si="142"/>
        <v/>
      </c>
      <c r="AL346" t="str">
        <f t="shared" si="143"/>
        <v/>
      </c>
    </row>
    <row r="347" spans="11:38" ht="15">
      <c r="K347" t="str">
        <f t="shared" si="120"/>
        <v/>
      </c>
      <c r="L347" t="str">
        <f t="shared" si="121"/>
        <v/>
      </c>
      <c r="M347" s="36" t="str">
        <f t="shared" si="122"/>
        <v/>
      </c>
      <c r="N347" s="37" t="str">
        <f t="shared" si="123"/>
        <v/>
      </c>
      <c r="O347" s="37" t="str">
        <f t="shared" si="124"/>
        <v/>
      </c>
      <c r="P347" s="38" t="str">
        <f t="shared" si="125"/>
        <v/>
      </c>
      <c r="Q347" s="39" t="str">
        <f t="shared" si="126"/>
        <v/>
      </c>
      <c r="R347" s="39" t="str">
        <f t="shared" si="127"/>
        <v/>
      </c>
      <c r="S347" t="str">
        <f t="shared" si="128"/>
        <v/>
      </c>
      <c r="T347" s="39" t="str">
        <f t="shared" si="129"/>
        <v/>
      </c>
      <c r="U347" t="str">
        <f t="shared" si="130"/>
        <v/>
      </c>
      <c r="V347" t="str">
        <f t="shared" si="131"/>
        <v/>
      </c>
      <c r="W347" t="str">
        <f t="shared" si="132"/>
        <v/>
      </c>
      <c r="X347" s="38" t="str">
        <f t="shared" si="133"/>
        <v/>
      </c>
      <c r="Y347" s="38" t="str">
        <f t="shared" si="134"/>
        <v/>
      </c>
      <c r="Z347" s="39" t="str">
        <f t="shared" si="135"/>
        <v/>
      </c>
      <c r="AA347" s="39" t="str">
        <f t="shared" si="136"/>
        <v/>
      </c>
      <c r="AB347" s="40" t="str">
        <f t="shared" si="137"/>
        <v/>
      </c>
      <c r="AC347" t="str">
        <f>IF(L347="","",IF(AND($AO$2=1,ISNA(MATCH(L347,'02-شباط'!$L$2:$L$501,0))),"محذوف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38"/>
        <v/>
      </c>
      <c r="AH347" s="39" t="str">
        <f t="shared" si="139"/>
        <v/>
      </c>
      <c r="AI347" s="39" t="str">
        <f t="shared" si="140"/>
        <v/>
      </c>
      <c r="AJ347" s="39" t="str">
        <f t="shared" si="141"/>
        <v/>
      </c>
      <c r="AK347" t="str">
        <f t="shared" si="142"/>
        <v/>
      </c>
      <c r="AL347" t="str">
        <f t="shared" si="143"/>
        <v/>
      </c>
    </row>
    <row r="348" spans="11:38" ht="15">
      <c r="K348" t="str">
        <f t="shared" si="120"/>
        <v/>
      </c>
      <c r="L348" t="str">
        <f t="shared" si="121"/>
        <v/>
      </c>
      <c r="M348" s="36" t="str">
        <f t="shared" si="122"/>
        <v/>
      </c>
      <c r="N348" s="37" t="str">
        <f t="shared" si="123"/>
        <v/>
      </c>
      <c r="O348" s="37" t="str">
        <f t="shared" si="124"/>
        <v/>
      </c>
      <c r="P348" s="38" t="str">
        <f t="shared" si="125"/>
        <v/>
      </c>
      <c r="Q348" s="39" t="str">
        <f t="shared" si="126"/>
        <v/>
      </c>
      <c r="R348" s="39" t="str">
        <f t="shared" si="127"/>
        <v/>
      </c>
      <c r="S348" t="str">
        <f t="shared" si="128"/>
        <v/>
      </c>
      <c r="T348" s="39" t="str">
        <f t="shared" si="129"/>
        <v/>
      </c>
      <c r="U348" t="str">
        <f t="shared" si="130"/>
        <v/>
      </c>
      <c r="V348" t="str">
        <f t="shared" si="131"/>
        <v/>
      </c>
      <c r="W348" t="str">
        <f t="shared" si="132"/>
        <v/>
      </c>
      <c r="X348" s="38" t="str">
        <f t="shared" si="133"/>
        <v/>
      </c>
      <c r="Y348" s="38" t="str">
        <f t="shared" si="134"/>
        <v/>
      </c>
      <c r="Z348" s="39" t="str">
        <f t="shared" si="135"/>
        <v/>
      </c>
      <c r="AA348" s="39" t="str">
        <f t="shared" si="136"/>
        <v/>
      </c>
      <c r="AB348" s="40" t="str">
        <f t="shared" si="137"/>
        <v/>
      </c>
      <c r="AC348" t="str">
        <f>IF(L348="","",IF(AND($AO$2=1,ISNA(MATCH(L348,'02-شباط'!$L$2:$L$501,0))),"محذوف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38"/>
        <v/>
      </c>
      <c r="AH348" s="39" t="str">
        <f t="shared" si="139"/>
        <v/>
      </c>
      <c r="AI348" s="39" t="str">
        <f t="shared" si="140"/>
        <v/>
      </c>
      <c r="AJ348" s="39" t="str">
        <f t="shared" si="141"/>
        <v/>
      </c>
      <c r="AK348" t="str">
        <f t="shared" si="142"/>
        <v/>
      </c>
      <c r="AL348" t="str">
        <f t="shared" si="143"/>
        <v/>
      </c>
    </row>
    <row r="349" spans="11:38" ht="15">
      <c r="K349" t="str">
        <f t="shared" si="120"/>
        <v/>
      </c>
      <c r="L349" t="str">
        <f t="shared" si="121"/>
        <v/>
      </c>
      <c r="M349" s="36" t="str">
        <f t="shared" si="122"/>
        <v/>
      </c>
      <c r="N349" s="37" t="str">
        <f t="shared" si="123"/>
        <v/>
      </c>
      <c r="O349" s="37" t="str">
        <f t="shared" si="124"/>
        <v/>
      </c>
      <c r="P349" s="38" t="str">
        <f t="shared" si="125"/>
        <v/>
      </c>
      <c r="Q349" s="39" t="str">
        <f t="shared" si="126"/>
        <v/>
      </c>
      <c r="R349" s="39" t="str">
        <f t="shared" si="127"/>
        <v/>
      </c>
      <c r="S349" t="str">
        <f t="shared" si="128"/>
        <v/>
      </c>
      <c r="T349" s="39" t="str">
        <f t="shared" si="129"/>
        <v/>
      </c>
      <c r="U349" t="str">
        <f t="shared" si="130"/>
        <v/>
      </c>
      <c r="V349" t="str">
        <f t="shared" si="131"/>
        <v/>
      </c>
      <c r="W349" t="str">
        <f t="shared" si="132"/>
        <v/>
      </c>
      <c r="X349" s="38" t="str">
        <f t="shared" si="133"/>
        <v/>
      </c>
      <c r="Y349" s="38" t="str">
        <f t="shared" si="134"/>
        <v/>
      </c>
      <c r="Z349" s="39" t="str">
        <f t="shared" si="135"/>
        <v/>
      </c>
      <c r="AA349" s="39" t="str">
        <f t="shared" si="136"/>
        <v/>
      </c>
      <c r="AB349" s="40" t="str">
        <f t="shared" si="137"/>
        <v/>
      </c>
      <c r="AC349" t="str">
        <f>IF(L349="","",IF(AND($AO$2=1,ISNA(MATCH(L349,'02-شباط'!$L$2:$L$501,0))),"محذوف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38"/>
        <v/>
      </c>
      <c r="AH349" s="39" t="str">
        <f t="shared" si="139"/>
        <v/>
      </c>
      <c r="AI349" s="39" t="str">
        <f t="shared" si="140"/>
        <v/>
      </c>
      <c r="AJ349" s="39" t="str">
        <f t="shared" si="141"/>
        <v/>
      </c>
      <c r="AK349" t="str">
        <f t="shared" si="142"/>
        <v/>
      </c>
      <c r="AL349" t="str">
        <f t="shared" si="143"/>
        <v/>
      </c>
    </row>
    <row r="350" spans="11:38" ht="15">
      <c r="K350" t="str">
        <f t="shared" si="120"/>
        <v/>
      </c>
      <c r="L350" t="str">
        <f t="shared" si="121"/>
        <v/>
      </c>
      <c r="M350" s="36" t="str">
        <f t="shared" si="122"/>
        <v/>
      </c>
      <c r="N350" s="37" t="str">
        <f t="shared" si="123"/>
        <v/>
      </c>
      <c r="O350" s="37" t="str">
        <f t="shared" si="124"/>
        <v/>
      </c>
      <c r="P350" s="38" t="str">
        <f t="shared" si="125"/>
        <v/>
      </c>
      <c r="Q350" s="39" t="str">
        <f t="shared" si="126"/>
        <v/>
      </c>
      <c r="R350" s="39" t="str">
        <f t="shared" si="127"/>
        <v/>
      </c>
      <c r="S350" t="str">
        <f t="shared" si="128"/>
        <v/>
      </c>
      <c r="T350" s="39" t="str">
        <f t="shared" si="129"/>
        <v/>
      </c>
      <c r="U350" t="str">
        <f t="shared" si="130"/>
        <v/>
      </c>
      <c r="V350" t="str">
        <f t="shared" si="131"/>
        <v/>
      </c>
      <c r="W350" t="str">
        <f t="shared" si="132"/>
        <v/>
      </c>
      <c r="X350" s="38" t="str">
        <f t="shared" si="133"/>
        <v/>
      </c>
      <c r="Y350" s="38" t="str">
        <f t="shared" si="134"/>
        <v/>
      </c>
      <c r="Z350" s="39" t="str">
        <f t="shared" si="135"/>
        <v/>
      </c>
      <c r="AA350" s="39" t="str">
        <f t="shared" si="136"/>
        <v/>
      </c>
      <c r="AB350" s="40" t="str">
        <f t="shared" si="137"/>
        <v/>
      </c>
      <c r="AC350" t="str">
        <f>IF(L350="","",IF(AND($AO$2=1,ISNA(MATCH(L350,'02-شباط'!$L$2:$L$501,0))),"محذوف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38"/>
        <v/>
      </c>
      <c r="AH350" s="39" t="str">
        <f t="shared" si="139"/>
        <v/>
      </c>
      <c r="AI350" s="39" t="str">
        <f t="shared" si="140"/>
        <v/>
      </c>
      <c r="AJ350" s="39" t="str">
        <f t="shared" si="141"/>
        <v/>
      </c>
      <c r="AK350" t="str">
        <f t="shared" si="142"/>
        <v/>
      </c>
      <c r="AL350" t="str">
        <f t="shared" si="143"/>
        <v/>
      </c>
    </row>
    <row r="351" spans="11:38" ht="15">
      <c r="K351" t="str">
        <f t="shared" si="120"/>
        <v/>
      </c>
      <c r="L351" t="str">
        <f t="shared" si="121"/>
        <v/>
      </c>
      <c r="M351" s="36" t="str">
        <f t="shared" si="122"/>
        <v/>
      </c>
      <c r="N351" s="37" t="str">
        <f t="shared" si="123"/>
        <v/>
      </c>
      <c r="O351" s="37" t="str">
        <f t="shared" si="124"/>
        <v/>
      </c>
      <c r="P351" s="38" t="str">
        <f t="shared" si="125"/>
        <v/>
      </c>
      <c r="Q351" s="39" t="str">
        <f t="shared" si="126"/>
        <v/>
      </c>
      <c r="R351" s="39" t="str">
        <f t="shared" si="127"/>
        <v/>
      </c>
      <c r="S351" t="str">
        <f t="shared" si="128"/>
        <v/>
      </c>
      <c r="T351" s="39" t="str">
        <f t="shared" si="129"/>
        <v/>
      </c>
      <c r="U351" t="str">
        <f t="shared" si="130"/>
        <v/>
      </c>
      <c r="V351" t="str">
        <f t="shared" si="131"/>
        <v/>
      </c>
      <c r="W351" t="str">
        <f t="shared" si="132"/>
        <v/>
      </c>
      <c r="X351" s="38" t="str">
        <f t="shared" si="133"/>
        <v/>
      </c>
      <c r="Y351" s="38" t="str">
        <f t="shared" si="134"/>
        <v/>
      </c>
      <c r="Z351" s="39" t="str">
        <f t="shared" si="135"/>
        <v/>
      </c>
      <c r="AA351" s="39" t="str">
        <f t="shared" si="136"/>
        <v/>
      </c>
      <c r="AB351" s="40" t="str">
        <f t="shared" si="137"/>
        <v/>
      </c>
      <c r="AC351" t="str">
        <f>IF(L351="","",IF(AND($AO$2=1,ISNA(MATCH(L351,'02-شباط'!$L$2:$L$501,0))),"محذوف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38"/>
        <v/>
      </c>
      <c r="AH351" s="39" t="str">
        <f t="shared" si="139"/>
        <v/>
      </c>
      <c r="AI351" s="39" t="str">
        <f t="shared" si="140"/>
        <v/>
      </c>
      <c r="AJ351" s="39" t="str">
        <f t="shared" si="141"/>
        <v/>
      </c>
      <c r="AK351" t="str">
        <f t="shared" si="142"/>
        <v/>
      </c>
      <c r="AL351" t="str">
        <f t="shared" si="143"/>
        <v/>
      </c>
    </row>
    <row r="352" spans="11:38" ht="15">
      <c r="K352" t="str">
        <f t="shared" si="120"/>
        <v/>
      </c>
      <c r="L352" t="str">
        <f t="shared" si="121"/>
        <v/>
      </c>
      <c r="M352" s="36" t="str">
        <f t="shared" si="122"/>
        <v/>
      </c>
      <c r="N352" s="37" t="str">
        <f t="shared" si="123"/>
        <v/>
      </c>
      <c r="O352" s="37" t="str">
        <f t="shared" si="124"/>
        <v/>
      </c>
      <c r="P352" s="38" t="str">
        <f t="shared" si="125"/>
        <v/>
      </c>
      <c r="Q352" s="39" t="str">
        <f t="shared" si="126"/>
        <v/>
      </c>
      <c r="R352" s="39" t="str">
        <f t="shared" si="127"/>
        <v/>
      </c>
      <c r="S352" t="str">
        <f t="shared" si="128"/>
        <v/>
      </c>
      <c r="T352" s="39" t="str">
        <f t="shared" si="129"/>
        <v/>
      </c>
      <c r="U352" t="str">
        <f t="shared" si="130"/>
        <v/>
      </c>
      <c r="V352" t="str">
        <f t="shared" si="131"/>
        <v/>
      </c>
      <c r="W352" t="str">
        <f t="shared" si="132"/>
        <v/>
      </c>
      <c r="X352" s="38" t="str">
        <f t="shared" si="133"/>
        <v/>
      </c>
      <c r="Y352" s="38" t="str">
        <f t="shared" si="134"/>
        <v/>
      </c>
      <c r="Z352" s="39" t="str">
        <f t="shared" si="135"/>
        <v/>
      </c>
      <c r="AA352" s="39" t="str">
        <f t="shared" si="136"/>
        <v/>
      </c>
      <c r="AB352" s="40" t="str">
        <f t="shared" si="137"/>
        <v/>
      </c>
      <c r="AC352" t="str">
        <f>IF(L352="","",IF(AND($AO$2=1,ISNA(MATCH(L352,'02-شباط'!$L$2:$L$501,0))),"محذوف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38"/>
        <v/>
      </c>
      <c r="AH352" s="39" t="str">
        <f t="shared" si="139"/>
        <v/>
      </c>
      <c r="AI352" s="39" t="str">
        <f t="shared" si="140"/>
        <v/>
      </c>
      <c r="AJ352" s="39" t="str">
        <f t="shared" si="141"/>
        <v/>
      </c>
      <c r="AK352" t="str">
        <f t="shared" si="142"/>
        <v/>
      </c>
      <c r="AL352" t="str">
        <f t="shared" si="143"/>
        <v/>
      </c>
    </row>
    <row r="353" spans="11:38" ht="15">
      <c r="K353" t="str">
        <f t="shared" si="120"/>
        <v/>
      </c>
      <c r="L353" t="str">
        <f t="shared" si="121"/>
        <v/>
      </c>
      <c r="M353" s="36" t="str">
        <f t="shared" si="122"/>
        <v/>
      </c>
      <c r="N353" s="37" t="str">
        <f t="shared" si="123"/>
        <v/>
      </c>
      <c r="O353" s="37" t="str">
        <f t="shared" si="124"/>
        <v/>
      </c>
      <c r="P353" s="38" t="str">
        <f t="shared" si="125"/>
        <v/>
      </c>
      <c r="Q353" s="39" t="str">
        <f t="shared" si="126"/>
        <v/>
      </c>
      <c r="R353" s="39" t="str">
        <f t="shared" si="127"/>
        <v/>
      </c>
      <c r="S353" t="str">
        <f t="shared" si="128"/>
        <v/>
      </c>
      <c r="T353" s="39" t="str">
        <f t="shared" si="129"/>
        <v/>
      </c>
      <c r="U353" t="str">
        <f t="shared" si="130"/>
        <v/>
      </c>
      <c r="V353" t="str">
        <f t="shared" si="131"/>
        <v/>
      </c>
      <c r="W353" t="str">
        <f t="shared" si="132"/>
        <v/>
      </c>
      <c r="X353" s="38" t="str">
        <f t="shared" si="133"/>
        <v/>
      </c>
      <c r="Y353" s="38" t="str">
        <f t="shared" si="134"/>
        <v/>
      </c>
      <c r="Z353" s="39" t="str">
        <f t="shared" si="135"/>
        <v/>
      </c>
      <c r="AA353" s="39" t="str">
        <f t="shared" si="136"/>
        <v/>
      </c>
      <c r="AB353" s="40" t="str">
        <f t="shared" si="137"/>
        <v/>
      </c>
      <c r="AC353" t="str">
        <f>IF(L353="","",IF(AND($AO$2=1,ISNA(MATCH(L353,'02-شباط'!$L$2:$L$501,0))),"محذوف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38"/>
        <v/>
      </c>
      <c r="AH353" s="39" t="str">
        <f t="shared" si="139"/>
        <v/>
      </c>
      <c r="AI353" s="39" t="str">
        <f t="shared" si="140"/>
        <v/>
      </c>
      <c r="AJ353" s="39" t="str">
        <f t="shared" si="141"/>
        <v/>
      </c>
      <c r="AK353" t="str">
        <f t="shared" si="142"/>
        <v/>
      </c>
      <c r="AL353" t="str">
        <f t="shared" si="143"/>
        <v/>
      </c>
    </row>
    <row r="354" spans="11:38" ht="15">
      <c r="K354" t="str">
        <f t="shared" si="120"/>
        <v/>
      </c>
      <c r="L354" t="str">
        <f t="shared" si="121"/>
        <v/>
      </c>
      <c r="M354" s="36" t="str">
        <f t="shared" si="122"/>
        <v/>
      </c>
      <c r="N354" s="37" t="str">
        <f t="shared" si="123"/>
        <v/>
      </c>
      <c r="O354" s="37" t="str">
        <f t="shared" si="124"/>
        <v/>
      </c>
      <c r="P354" s="38" t="str">
        <f t="shared" si="125"/>
        <v/>
      </c>
      <c r="Q354" s="39" t="str">
        <f t="shared" si="126"/>
        <v/>
      </c>
      <c r="R354" s="39" t="str">
        <f t="shared" si="127"/>
        <v/>
      </c>
      <c r="S354" t="str">
        <f t="shared" si="128"/>
        <v/>
      </c>
      <c r="T354" s="39" t="str">
        <f t="shared" si="129"/>
        <v/>
      </c>
      <c r="U354" t="str">
        <f t="shared" si="130"/>
        <v/>
      </c>
      <c r="V354" t="str">
        <f t="shared" si="131"/>
        <v/>
      </c>
      <c r="W354" t="str">
        <f t="shared" si="132"/>
        <v/>
      </c>
      <c r="X354" s="38" t="str">
        <f t="shared" si="133"/>
        <v/>
      </c>
      <c r="Y354" s="38" t="str">
        <f t="shared" si="134"/>
        <v/>
      </c>
      <c r="Z354" s="39" t="str">
        <f t="shared" si="135"/>
        <v/>
      </c>
      <c r="AA354" s="39" t="str">
        <f t="shared" si="136"/>
        <v/>
      </c>
      <c r="AB354" s="40" t="str">
        <f t="shared" si="137"/>
        <v/>
      </c>
      <c r="AC354" t="str">
        <f>IF(L354="","",IF(AND($AO$2=1,ISNA(MATCH(L354,'02-شباط'!$L$2:$L$501,0))),"محذوف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38"/>
        <v/>
      </c>
      <c r="AH354" s="39" t="str">
        <f t="shared" si="139"/>
        <v/>
      </c>
      <c r="AI354" s="39" t="str">
        <f t="shared" si="140"/>
        <v/>
      </c>
      <c r="AJ354" s="39" t="str">
        <f t="shared" si="141"/>
        <v/>
      </c>
      <c r="AK354" t="str">
        <f t="shared" si="142"/>
        <v/>
      </c>
      <c r="AL354" t="str">
        <f t="shared" si="143"/>
        <v/>
      </c>
    </row>
    <row r="355" spans="11:38" ht="15">
      <c r="K355" t="str">
        <f t="shared" si="120"/>
        <v/>
      </c>
      <c r="L355" t="str">
        <f t="shared" si="121"/>
        <v/>
      </c>
      <c r="M355" s="36" t="str">
        <f t="shared" si="122"/>
        <v/>
      </c>
      <c r="N355" s="37" t="str">
        <f t="shared" si="123"/>
        <v/>
      </c>
      <c r="O355" s="37" t="str">
        <f t="shared" si="124"/>
        <v/>
      </c>
      <c r="P355" s="38" t="str">
        <f t="shared" si="125"/>
        <v/>
      </c>
      <c r="Q355" s="39" t="str">
        <f t="shared" si="126"/>
        <v/>
      </c>
      <c r="R355" s="39" t="str">
        <f t="shared" si="127"/>
        <v/>
      </c>
      <c r="S355" t="str">
        <f t="shared" si="128"/>
        <v/>
      </c>
      <c r="T355" s="39" t="str">
        <f t="shared" si="129"/>
        <v/>
      </c>
      <c r="U355" t="str">
        <f t="shared" si="130"/>
        <v/>
      </c>
      <c r="V355" t="str">
        <f t="shared" si="131"/>
        <v/>
      </c>
      <c r="W355" t="str">
        <f t="shared" si="132"/>
        <v/>
      </c>
      <c r="X355" s="38" t="str">
        <f t="shared" si="133"/>
        <v/>
      </c>
      <c r="Y355" s="38" t="str">
        <f t="shared" si="134"/>
        <v/>
      </c>
      <c r="Z355" s="39" t="str">
        <f t="shared" si="135"/>
        <v/>
      </c>
      <c r="AA355" s="39" t="str">
        <f t="shared" si="136"/>
        <v/>
      </c>
      <c r="AB355" s="40" t="str">
        <f t="shared" si="137"/>
        <v/>
      </c>
      <c r="AC355" t="str">
        <f>IF(L355="","",IF(AND($AO$2=1,ISNA(MATCH(L355,'02-شباط'!$L$2:$L$501,0))),"محذوف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38"/>
        <v/>
      </c>
      <c r="AH355" s="39" t="str">
        <f t="shared" si="139"/>
        <v/>
      </c>
      <c r="AI355" s="39" t="str">
        <f t="shared" si="140"/>
        <v/>
      </c>
      <c r="AJ355" s="39" t="str">
        <f t="shared" si="141"/>
        <v/>
      </c>
      <c r="AK355" t="str">
        <f t="shared" si="142"/>
        <v/>
      </c>
      <c r="AL355" t="str">
        <f t="shared" si="143"/>
        <v/>
      </c>
    </row>
    <row r="356" spans="11:38" ht="15">
      <c r="K356" t="str">
        <f t="shared" si="120"/>
        <v/>
      </c>
      <c r="L356" t="str">
        <f t="shared" si="121"/>
        <v/>
      </c>
      <c r="M356" s="36" t="str">
        <f t="shared" si="122"/>
        <v/>
      </c>
      <c r="N356" s="37" t="str">
        <f t="shared" si="123"/>
        <v/>
      </c>
      <c r="O356" s="37" t="str">
        <f t="shared" si="124"/>
        <v/>
      </c>
      <c r="P356" s="38" t="str">
        <f t="shared" si="125"/>
        <v/>
      </c>
      <c r="Q356" s="39" t="str">
        <f t="shared" si="126"/>
        <v/>
      </c>
      <c r="R356" s="39" t="str">
        <f t="shared" si="127"/>
        <v/>
      </c>
      <c r="S356" t="str">
        <f t="shared" si="128"/>
        <v/>
      </c>
      <c r="T356" s="39" t="str">
        <f t="shared" si="129"/>
        <v/>
      </c>
      <c r="U356" t="str">
        <f t="shared" si="130"/>
        <v/>
      </c>
      <c r="V356" t="str">
        <f t="shared" si="131"/>
        <v/>
      </c>
      <c r="W356" t="str">
        <f t="shared" si="132"/>
        <v/>
      </c>
      <c r="X356" s="38" t="str">
        <f t="shared" si="133"/>
        <v/>
      </c>
      <c r="Y356" s="38" t="str">
        <f t="shared" si="134"/>
        <v/>
      </c>
      <c r="Z356" s="39" t="str">
        <f t="shared" si="135"/>
        <v/>
      </c>
      <c r="AA356" s="39" t="str">
        <f t="shared" si="136"/>
        <v/>
      </c>
      <c r="AB356" s="40" t="str">
        <f t="shared" si="137"/>
        <v/>
      </c>
      <c r="AC356" t="str">
        <f>IF(L356="","",IF(AND($AO$2=1,ISNA(MATCH(L356,'02-شباط'!$L$2:$L$501,0))),"محذوف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38"/>
        <v/>
      </c>
      <c r="AH356" s="39" t="str">
        <f t="shared" si="139"/>
        <v/>
      </c>
      <c r="AI356" s="39" t="str">
        <f t="shared" si="140"/>
        <v/>
      </c>
      <c r="AJ356" s="39" t="str">
        <f t="shared" si="141"/>
        <v/>
      </c>
      <c r="AK356" t="str">
        <f t="shared" si="142"/>
        <v/>
      </c>
      <c r="AL356" t="str">
        <f t="shared" si="143"/>
        <v/>
      </c>
    </row>
    <row r="357" spans="11:38" ht="15">
      <c r="K357" t="str">
        <f t="shared" si="120"/>
        <v/>
      </c>
      <c r="L357" t="str">
        <f t="shared" si="121"/>
        <v/>
      </c>
      <c r="M357" s="36" t="str">
        <f t="shared" si="122"/>
        <v/>
      </c>
      <c r="N357" s="37" t="str">
        <f t="shared" si="123"/>
        <v/>
      </c>
      <c r="O357" s="37" t="str">
        <f t="shared" si="124"/>
        <v/>
      </c>
      <c r="P357" s="38" t="str">
        <f t="shared" si="125"/>
        <v/>
      </c>
      <c r="Q357" s="39" t="str">
        <f t="shared" si="126"/>
        <v/>
      </c>
      <c r="R357" s="39" t="str">
        <f t="shared" si="127"/>
        <v/>
      </c>
      <c r="S357" t="str">
        <f t="shared" si="128"/>
        <v/>
      </c>
      <c r="T357" s="39" t="str">
        <f t="shared" si="129"/>
        <v/>
      </c>
      <c r="U357" t="str">
        <f t="shared" si="130"/>
        <v/>
      </c>
      <c r="V357" t="str">
        <f t="shared" si="131"/>
        <v/>
      </c>
      <c r="W357" t="str">
        <f t="shared" si="132"/>
        <v/>
      </c>
      <c r="X357" s="38" t="str">
        <f t="shared" si="133"/>
        <v/>
      </c>
      <c r="Y357" s="38" t="str">
        <f t="shared" si="134"/>
        <v/>
      </c>
      <c r="Z357" s="39" t="str">
        <f t="shared" si="135"/>
        <v/>
      </c>
      <c r="AA357" s="39" t="str">
        <f t="shared" si="136"/>
        <v/>
      </c>
      <c r="AB357" s="40" t="str">
        <f t="shared" si="137"/>
        <v/>
      </c>
      <c r="AC357" t="str">
        <f>IF(L357="","",IF(AND($AO$2=1,ISNA(MATCH(L357,'02-شباط'!$L$2:$L$501,0))),"محذوف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38"/>
        <v/>
      </c>
      <c r="AH357" s="39" t="str">
        <f t="shared" si="139"/>
        <v/>
      </c>
      <c r="AI357" s="39" t="str">
        <f t="shared" si="140"/>
        <v/>
      </c>
      <c r="AJ357" s="39" t="str">
        <f t="shared" si="141"/>
        <v/>
      </c>
      <c r="AK357" t="str">
        <f t="shared" si="142"/>
        <v/>
      </c>
      <c r="AL357" t="str">
        <f t="shared" si="143"/>
        <v/>
      </c>
    </row>
    <row r="358" spans="11:38" ht="15">
      <c r="K358" t="str">
        <f t="shared" si="120"/>
        <v/>
      </c>
      <c r="L358" t="str">
        <f t="shared" si="121"/>
        <v/>
      </c>
      <c r="M358" s="36" t="str">
        <f t="shared" si="122"/>
        <v/>
      </c>
      <c r="N358" s="37" t="str">
        <f t="shared" si="123"/>
        <v/>
      </c>
      <c r="O358" s="37" t="str">
        <f t="shared" si="124"/>
        <v/>
      </c>
      <c r="P358" s="38" t="str">
        <f t="shared" si="125"/>
        <v/>
      </c>
      <c r="Q358" s="39" t="str">
        <f t="shared" si="126"/>
        <v/>
      </c>
      <c r="R358" s="39" t="str">
        <f t="shared" si="127"/>
        <v/>
      </c>
      <c r="S358" t="str">
        <f t="shared" si="128"/>
        <v/>
      </c>
      <c r="T358" s="39" t="str">
        <f t="shared" si="129"/>
        <v/>
      </c>
      <c r="U358" t="str">
        <f t="shared" si="130"/>
        <v/>
      </c>
      <c r="V358" t="str">
        <f t="shared" si="131"/>
        <v/>
      </c>
      <c r="W358" t="str">
        <f t="shared" si="132"/>
        <v/>
      </c>
      <c r="X358" s="38" t="str">
        <f t="shared" si="133"/>
        <v/>
      </c>
      <c r="Y358" s="38" t="str">
        <f t="shared" si="134"/>
        <v/>
      </c>
      <c r="Z358" s="39" t="str">
        <f t="shared" si="135"/>
        <v/>
      </c>
      <c r="AA358" s="39" t="str">
        <f t="shared" si="136"/>
        <v/>
      </c>
      <c r="AB358" s="40" t="str">
        <f t="shared" si="137"/>
        <v/>
      </c>
      <c r="AC358" t="str">
        <f>IF(L358="","",IF(AND($AO$2=1,ISNA(MATCH(L358,'02-شباط'!$L$2:$L$501,0))),"محذوف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38"/>
        <v/>
      </c>
      <c r="AH358" s="39" t="str">
        <f t="shared" si="139"/>
        <v/>
      </c>
      <c r="AI358" s="39" t="str">
        <f t="shared" si="140"/>
        <v/>
      </c>
      <c r="AJ358" s="39" t="str">
        <f t="shared" si="141"/>
        <v/>
      </c>
      <c r="AK358" t="str">
        <f t="shared" si="142"/>
        <v/>
      </c>
      <c r="AL358" t="str">
        <f t="shared" si="143"/>
        <v/>
      </c>
    </row>
    <row r="359" spans="11:38" ht="15">
      <c r="K359" t="str">
        <f t="shared" si="120"/>
        <v/>
      </c>
      <c r="L359" t="str">
        <f t="shared" si="121"/>
        <v/>
      </c>
      <c r="M359" s="36" t="str">
        <f t="shared" si="122"/>
        <v/>
      </c>
      <c r="N359" s="37" t="str">
        <f t="shared" si="123"/>
        <v/>
      </c>
      <c r="O359" s="37" t="str">
        <f t="shared" si="124"/>
        <v/>
      </c>
      <c r="P359" s="38" t="str">
        <f t="shared" si="125"/>
        <v/>
      </c>
      <c r="Q359" s="39" t="str">
        <f t="shared" si="126"/>
        <v/>
      </c>
      <c r="R359" s="39" t="str">
        <f t="shared" si="127"/>
        <v/>
      </c>
      <c r="S359" t="str">
        <f t="shared" si="128"/>
        <v/>
      </c>
      <c r="T359" s="39" t="str">
        <f t="shared" si="129"/>
        <v/>
      </c>
      <c r="U359" t="str">
        <f t="shared" si="130"/>
        <v/>
      </c>
      <c r="V359" t="str">
        <f t="shared" si="131"/>
        <v/>
      </c>
      <c r="W359" t="str">
        <f t="shared" si="132"/>
        <v/>
      </c>
      <c r="X359" s="38" t="str">
        <f t="shared" si="133"/>
        <v/>
      </c>
      <c r="Y359" s="38" t="str">
        <f t="shared" si="134"/>
        <v/>
      </c>
      <c r="Z359" s="39" t="str">
        <f t="shared" si="135"/>
        <v/>
      </c>
      <c r="AA359" s="39" t="str">
        <f t="shared" si="136"/>
        <v/>
      </c>
      <c r="AB359" s="40" t="str">
        <f t="shared" si="137"/>
        <v/>
      </c>
      <c r="AC359" t="str">
        <f>IF(L359="","",IF(AND($AO$2=1,ISNA(MATCH(L359,'02-شباط'!$L$2:$L$501,0))),"محذوف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38"/>
        <v/>
      </c>
      <c r="AH359" s="39" t="str">
        <f t="shared" si="139"/>
        <v/>
      </c>
      <c r="AI359" s="39" t="str">
        <f t="shared" si="140"/>
        <v/>
      </c>
      <c r="AJ359" s="39" t="str">
        <f t="shared" si="141"/>
        <v/>
      </c>
      <c r="AK359" t="str">
        <f t="shared" si="142"/>
        <v/>
      </c>
      <c r="AL359" t="str">
        <f t="shared" si="143"/>
        <v/>
      </c>
    </row>
    <row r="360" spans="11:38" ht="15">
      <c r="K360" t="str">
        <f t="shared" si="120"/>
        <v/>
      </c>
      <c r="L360" t="str">
        <f t="shared" si="121"/>
        <v/>
      </c>
      <c r="M360" s="36" t="str">
        <f t="shared" si="122"/>
        <v/>
      </c>
      <c r="N360" s="37" t="str">
        <f t="shared" si="123"/>
        <v/>
      </c>
      <c r="O360" s="37" t="str">
        <f t="shared" si="124"/>
        <v/>
      </c>
      <c r="P360" s="38" t="str">
        <f t="shared" si="125"/>
        <v/>
      </c>
      <c r="Q360" s="39" t="str">
        <f t="shared" si="126"/>
        <v/>
      </c>
      <c r="R360" s="39" t="str">
        <f t="shared" si="127"/>
        <v/>
      </c>
      <c r="S360" t="str">
        <f t="shared" si="128"/>
        <v/>
      </c>
      <c r="T360" s="39" t="str">
        <f t="shared" si="129"/>
        <v/>
      </c>
      <c r="U360" t="str">
        <f t="shared" si="130"/>
        <v/>
      </c>
      <c r="V360" t="str">
        <f t="shared" si="131"/>
        <v/>
      </c>
      <c r="W360" t="str">
        <f t="shared" si="132"/>
        <v/>
      </c>
      <c r="X360" s="38" t="str">
        <f t="shared" si="133"/>
        <v/>
      </c>
      <c r="Y360" s="38" t="str">
        <f t="shared" si="134"/>
        <v/>
      </c>
      <c r="Z360" s="39" t="str">
        <f t="shared" si="135"/>
        <v/>
      </c>
      <c r="AA360" s="39" t="str">
        <f t="shared" si="136"/>
        <v/>
      </c>
      <c r="AB360" s="40" t="str">
        <f t="shared" si="137"/>
        <v/>
      </c>
      <c r="AC360" t="str">
        <f>IF(L360="","",IF(AND($AO$2=1,ISNA(MATCH(L360,'02-شباط'!$L$2:$L$501,0))),"محذوف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38"/>
        <v/>
      </c>
      <c r="AH360" s="39" t="str">
        <f t="shared" si="139"/>
        <v/>
      </c>
      <c r="AI360" s="39" t="str">
        <f t="shared" si="140"/>
        <v/>
      </c>
      <c r="AJ360" s="39" t="str">
        <f t="shared" si="141"/>
        <v/>
      </c>
      <c r="AK360" t="str">
        <f t="shared" si="142"/>
        <v/>
      </c>
      <c r="AL360" t="str">
        <f t="shared" si="143"/>
        <v/>
      </c>
    </row>
    <row r="361" spans="11:38" ht="15">
      <c r="K361" t="str">
        <f t="shared" si="120"/>
        <v/>
      </c>
      <c r="L361" t="str">
        <f t="shared" si="121"/>
        <v/>
      </c>
      <c r="M361" s="36" t="str">
        <f t="shared" si="122"/>
        <v/>
      </c>
      <c r="N361" s="37" t="str">
        <f t="shared" si="123"/>
        <v/>
      </c>
      <c r="O361" s="37" t="str">
        <f t="shared" si="124"/>
        <v/>
      </c>
      <c r="P361" s="38" t="str">
        <f t="shared" si="125"/>
        <v/>
      </c>
      <c r="Q361" s="39" t="str">
        <f t="shared" si="126"/>
        <v/>
      </c>
      <c r="R361" s="39" t="str">
        <f t="shared" si="127"/>
        <v/>
      </c>
      <c r="S361" t="str">
        <f t="shared" si="128"/>
        <v/>
      </c>
      <c r="T361" s="39" t="str">
        <f t="shared" si="129"/>
        <v/>
      </c>
      <c r="U361" t="str">
        <f t="shared" si="130"/>
        <v/>
      </c>
      <c r="V361" t="str">
        <f t="shared" si="131"/>
        <v/>
      </c>
      <c r="W361" t="str">
        <f t="shared" si="132"/>
        <v/>
      </c>
      <c r="X361" s="38" t="str">
        <f t="shared" si="133"/>
        <v/>
      </c>
      <c r="Y361" s="38" t="str">
        <f t="shared" si="134"/>
        <v/>
      </c>
      <c r="Z361" s="39" t="str">
        <f t="shared" si="135"/>
        <v/>
      </c>
      <c r="AA361" s="39" t="str">
        <f t="shared" si="136"/>
        <v/>
      </c>
      <c r="AB361" s="40" t="str">
        <f t="shared" si="137"/>
        <v/>
      </c>
      <c r="AC361" t="str">
        <f>IF(L361="","",IF(AND($AO$2=1,ISNA(MATCH(L361,'02-شباط'!$L$2:$L$501,0))),"محذوف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38"/>
        <v/>
      </c>
      <c r="AH361" s="39" t="str">
        <f t="shared" si="139"/>
        <v/>
      </c>
      <c r="AI361" s="39" t="str">
        <f t="shared" si="140"/>
        <v/>
      </c>
      <c r="AJ361" s="39" t="str">
        <f t="shared" si="141"/>
        <v/>
      </c>
      <c r="AK361" t="str">
        <f t="shared" si="142"/>
        <v/>
      </c>
      <c r="AL361" t="str">
        <f t="shared" si="143"/>
        <v/>
      </c>
    </row>
    <row r="362" spans="11:38" ht="15">
      <c r="K362" t="str">
        <f t="shared" si="120"/>
        <v/>
      </c>
      <c r="L362" t="str">
        <f t="shared" si="121"/>
        <v/>
      </c>
      <c r="M362" s="36" t="str">
        <f t="shared" si="122"/>
        <v/>
      </c>
      <c r="N362" s="37" t="str">
        <f t="shared" si="123"/>
        <v/>
      </c>
      <c r="O362" s="37" t="str">
        <f t="shared" si="124"/>
        <v/>
      </c>
      <c r="P362" s="38" t="str">
        <f t="shared" si="125"/>
        <v/>
      </c>
      <c r="Q362" s="39" t="str">
        <f t="shared" si="126"/>
        <v/>
      </c>
      <c r="R362" s="39" t="str">
        <f t="shared" si="127"/>
        <v/>
      </c>
      <c r="S362" t="str">
        <f t="shared" si="128"/>
        <v/>
      </c>
      <c r="T362" s="39" t="str">
        <f t="shared" si="129"/>
        <v/>
      </c>
      <c r="U362" t="str">
        <f t="shared" si="130"/>
        <v/>
      </c>
      <c r="V362" t="str">
        <f t="shared" si="131"/>
        <v/>
      </c>
      <c r="W362" t="str">
        <f t="shared" si="132"/>
        <v/>
      </c>
      <c r="X362" s="38" t="str">
        <f t="shared" si="133"/>
        <v/>
      </c>
      <c r="Y362" s="38" t="str">
        <f t="shared" si="134"/>
        <v/>
      </c>
      <c r="Z362" s="39" t="str">
        <f t="shared" si="135"/>
        <v/>
      </c>
      <c r="AA362" s="39" t="str">
        <f t="shared" si="136"/>
        <v/>
      </c>
      <c r="AB362" s="40" t="str">
        <f t="shared" si="137"/>
        <v/>
      </c>
      <c r="AC362" t="str">
        <f>IF(L362="","",IF(AND($AO$2=1,ISNA(MATCH(L362,'02-شباط'!$L$2:$L$501,0))),"محذوف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38"/>
        <v/>
      </c>
      <c r="AH362" s="39" t="str">
        <f t="shared" si="139"/>
        <v/>
      </c>
      <c r="AI362" s="39" t="str">
        <f t="shared" si="140"/>
        <v/>
      </c>
      <c r="AJ362" s="39" t="str">
        <f t="shared" si="141"/>
        <v/>
      </c>
      <c r="AK362" t="str">
        <f t="shared" si="142"/>
        <v/>
      </c>
      <c r="AL362" t="str">
        <f t="shared" si="143"/>
        <v/>
      </c>
    </row>
    <row r="363" spans="11:38" ht="15">
      <c r="K363" t="str">
        <f t="shared" si="120"/>
        <v/>
      </c>
      <c r="L363" t="str">
        <f t="shared" si="121"/>
        <v/>
      </c>
      <c r="M363" s="36" t="str">
        <f t="shared" si="122"/>
        <v/>
      </c>
      <c r="N363" s="37" t="str">
        <f t="shared" si="123"/>
        <v/>
      </c>
      <c r="O363" s="37" t="str">
        <f t="shared" si="124"/>
        <v/>
      </c>
      <c r="P363" s="38" t="str">
        <f t="shared" si="125"/>
        <v/>
      </c>
      <c r="Q363" s="39" t="str">
        <f t="shared" si="126"/>
        <v/>
      </c>
      <c r="R363" s="39" t="str">
        <f t="shared" si="127"/>
        <v/>
      </c>
      <c r="S363" t="str">
        <f t="shared" si="128"/>
        <v/>
      </c>
      <c r="T363" s="39" t="str">
        <f t="shared" si="129"/>
        <v/>
      </c>
      <c r="U363" t="str">
        <f t="shared" si="130"/>
        <v/>
      </c>
      <c r="V363" t="str">
        <f t="shared" si="131"/>
        <v/>
      </c>
      <c r="W363" t="str">
        <f t="shared" si="132"/>
        <v/>
      </c>
      <c r="X363" s="38" t="str">
        <f t="shared" si="133"/>
        <v/>
      </c>
      <c r="Y363" s="38" t="str">
        <f t="shared" si="134"/>
        <v/>
      </c>
      <c r="Z363" s="39" t="str">
        <f t="shared" si="135"/>
        <v/>
      </c>
      <c r="AA363" s="39" t="str">
        <f t="shared" si="136"/>
        <v/>
      </c>
      <c r="AB363" s="40" t="str">
        <f t="shared" si="137"/>
        <v/>
      </c>
      <c r="AC363" t="str">
        <f>IF(L363="","",IF(AND($AO$2=1,ISNA(MATCH(L363,'02-شباط'!$L$2:$L$501,0))),"محذوف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38"/>
        <v/>
      </c>
      <c r="AH363" s="39" t="str">
        <f t="shared" si="139"/>
        <v/>
      </c>
      <c r="AI363" s="39" t="str">
        <f t="shared" si="140"/>
        <v/>
      </c>
      <c r="AJ363" s="39" t="str">
        <f t="shared" si="141"/>
        <v/>
      </c>
      <c r="AK363" t="str">
        <f t="shared" si="142"/>
        <v/>
      </c>
      <c r="AL363" t="str">
        <f t="shared" si="143"/>
        <v/>
      </c>
    </row>
    <row r="364" spans="11:38" ht="15">
      <c r="K364" t="str">
        <f t="shared" si="120"/>
        <v/>
      </c>
      <c r="L364" t="str">
        <f t="shared" si="121"/>
        <v/>
      </c>
      <c r="M364" s="36" t="str">
        <f t="shared" si="122"/>
        <v/>
      </c>
      <c r="N364" s="37" t="str">
        <f t="shared" si="123"/>
        <v/>
      </c>
      <c r="O364" s="37" t="str">
        <f t="shared" si="124"/>
        <v/>
      </c>
      <c r="P364" s="38" t="str">
        <f t="shared" si="125"/>
        <v/>
      </c>
      <c r="Q364" s="39" t="str">
        <f t="shared" si="126"/>
        <v/>
      </c>
      <c r="R364" s="39" t="str">
        <f t="shared" si="127"/>
        <v/>
      </c>
      <c r="S364" t="str">
        <f t="shared" si="128"/>
        <v/>
      </c>
      <c r="T364" s="39" t="str">
        <f t="shared" si="129"/>
        <v/>
      </c>
      <c r="U364" t="str">
        <f t="shared" si="130"/>
        <v/>
      </c>
      <c r="V364" t="str">
        <f t="shared" si="131"/>
        <v/>
      </c>
      <c r="W364" t="str">
        <f t="shared" si="132"/>
        <v/>
      </c>
      <c r="X364" s="38" t="str">
        <f t="shared" si="133"/>
        <v/>
      </c>
      <c r="Y364" s="38" t="str">
        <f t="shared" si="134"/>
        <v/>
      </c>
      <c r="Z364" s="39" t="str">
        <f t="shared" si="135"/>
        <v/>
      </c>
      <c r="AA364" s="39" t="str">
        <f t="shared" si="136"/>
        <v/>
      </c>
      <c r="AB364" s="40" t="str">
        <f t="shared" si="137"/>
        <v/>
      </c>
      <c r="AC364" t="str">
        <f>IF(L364="","",IF(AND($AO$2=1,ISNA(MATCH(L364,'02-شباط'!$L$2:$L$501,0))),"محذوف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38"/>
        <v/>
      </c>
      <c r="AH364" s="39" t="str">
        <f t="shared" si="139"/>
        <v/>
      </c>
      <c r="AI364" s="39" t="str">
        <f t="shared" si="140"/>
        <v/>
      </c>
      <c r="AJ364" s="39" t="str">
        <f t="shared" si="141"/>
        <v/>
      </c>
      <c r="AK364" t="str">
        <f t="shared" si="142"/>
        <v/>
      </c>
      <c r="AL364" t="str">
        <f t="shared" si="143"/>
        <v/>
      </c>
    </row>
    <row r="365" spans="11:38" ht="15">
      <c r="K365" t="str">
        <f t="shared" si="120"/>
        <v/>
      </c>
      <c r="L365" t="str">
        <f t="shared" si="121"/>
        <v/>
      </c>
      <c r="M365" s="36" t="str">
        <f t="shared" si="122"/>
        <v/>
      </c>
      <c r="N365" s="37" t="str">
        <f t="shared" si="123"/>
        <v/>
      </c>
      <c r="O365" s="37" t="str">
        <f t="shared" si="124"/>
        <v/>
      </c>
      <c r="P365" s="38" t="str">
        <f t="shared" si="125"/>
        <v/>
      </c>
      <c r="Q365" s="39" t="str">
        <f t="shared" si="126"/>
        <v/>
      </c>
      <c r="R365" s="39" t="str">
        <f t="shared" si="127"/>
        <v/>
      </c>
      <c r="S365" t="str">
        <f t="shared" si="128"/>
        <v/>
      </c>
      <c r="T365" s="39" t="str">
        <f t="shared" si="129"/>
        <v/>
      </c>
      <c r="U365" t="str">
        <f t="shared" si="130"/>
        <v/>
      </c>
      <c r="V365" t="str">
        <f t="shared" si="131"/>
        <v/>
      </c>
      <c r="W365" t="str">
        <f t="shared" si="132"/>
        <v/>
      </c>
      <c r="X365" s="38" t="str">
        <f t="shared" si="133"/>
        <v/>
      </c>
      <c r="Y365" s="38" t="str">
        <f t="shared" si="134"/>
        <v/>
      </c>
      <c r="Z365" s="39" t="str">
        <f t="shared" si="135"/>
        <v/>
      </c>
      <c r="AA365" s="39" t="str">
        <f t="shared" si="136"/>
        <v/>
      </c>
      <c r="AB365" s="40" t="str">
        <f t="shared" si="137"/>
        <v/>
      </c>
      <c r="AC365" t="str">
        <f>IF(L365="","",IF(AND($AO$2=1,ISNA(MATCH(L365,'02-شباط'!$L$2:$L$501,0))),"محذوف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38"/>
        <v/>
      </c>
      <c r="AH365" s="39" t="str">
        <f t="shared" si="139"/>
        <v/>
      </c>
      <c r="AI365" s="39" t="str">
        <f t="shared" si="140"/>
        <v/>
      </c>
      <c r="AJ365" s="39" t="str">
        <f t="shared" si="141"/>
        <v/>
      </c>
      <c r="AK365" t="str">
        <f t="shared" si="142"/>
        <v/>
      </c>
      <c r="AL365" t="str">
        <f t="shared" si="143"/>
        <v/>
      </c>
    </row>
    <row r="366" spans="11:38" ht="15">
      <c r="K366" t="str">
        <f t="shared" si="120"/>
        <v/>
      </c>
      <c r="L366" t="str">
        <f t="shared" si="121"/>
        <v/>
      </c>
      <c r="M366" s="36" t="str">
        <f t="shared" si="122"/>
        <v/>
      </c>
      <c r="N366" s="37" t="str">
        <f t="shared" si="123"/>
        <v/>
      </c>
      <c r="O366" s="37" t="str">
        <f t="shared" si="124"/>
        <v/>
      </c>
      <c r="P366" s="38" t="str">
        <f t="shared" si="125"/>
        <v/>
      </c>
      <c r="Q366" s="39" t="str">
        <f t="shared" si="126"/>
        <v/>
      </c>
      <c r="R366" s="39" t="str">
        <f t="shared" si="127"/>
        <v/>
      </c>
      <c r="S366" t="str">
        <f t="shared" si="128"/>
        <v/>
      </c>
      <c r="T366" s="39" t="str">
        <f t="shared" si="129"/>
        <v/>
      </c>
      <c r="U366" t="str">
        <f t="shared" si="130"/>
        <v/>
      </c>
      <c r="V366" t="str">
        <f t="shared" si="131"/>
        <v/>
      </c>
      <c r="W366" t="str">
        <f t="shared" si="132"/>
        <v/>
      </c>
      <c r="X366" s="38" t="str">
        <f t="shared" si="133"/>
        <v/>
      </c>
      <c r="Y366" s="38" t="str">
        <f t="shared" si="134"/>
        <v/>
      </c>
      <c r="Z366" s="39" t="str">
        <f t="shared" si="135"/>
        <v/>
      </c>
      <c r="AA366" s="39" t="str">
        <f t="shared" si="136"/>
        <v/>
      </c>
      <c r="AB366" s="40" t="str">
        <f t="shared" si="137"/>
        <v/>
      </c>
      <c r="AC366" t="str">
        <f>IF(L366="","",IF(AND($AO$2=1,ISNA(MATCH(L366,'02-شباط'!$L$2:$L$501,0))),"محذوف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38"/>
        <v/>
      </c>
      <c r="AH366" s="39" t="str">
        <f t="shared" si="139"/>
        <v/>
      </c>
      <c r="AI366" s="39" t="str">
        <f t="shared" si="140"/>
        <v/>
      </c>
      <c r="AJ366" s="39" t="str">
        <f t="shared" si="141"/>
        <v/>
      </c>
      <c r="AK366" t="str">
        <f t="shared" si="142"/>
        <v/>
      </c>
      <c r="AL366" t="str">
        <f t="shared" si="143"/>
        <v/>
      </c>
    </row>
    <row r="367" spans="11:38" ht="15">
      <c r="K367" t="str">
        <f t="shared" si="120"/>
        <v/>
      </c>
      <c r="L367" t="str">
        <f t="shared" si="121"/>
        <v/>
      </c>
      <c r="M367" s="36" t="str">
        <f t="shared" si="122"/>
        <v/>
      </c>
      <c r="N367" s="37" t="str">
        <f t="shared" si="123"/>
        <v/>
      </c>
      <c r="O367" s="37" t="str">
        <f t="shared" si="124"/>
        <v/>
      </c>
      <c r="P367" s="38" t="str">
        <f t="shared" si="125"/>
        <v/>
      </c>
      <c r="Q367" s="39" t="str">
        <f t="shared" si="126"/>
        <v/>
      </c>
      <c r="R367" s="39" t="str">
        <f t="shared" si="127"/>
        <v/>
      </c>
      <c r="S367" t="str">
        <f t="shared" si="128"/>
        <v/>
      </c>
      <c r="T367" s="39" t="str">
        <f t="shared" si="129"/>
        <v/>
      </c>
      <c r="U367" t="str">
        <f t="shared" si="130"/>
        <v/>
      </c>
      <c r="V367" t="str">
        <f t="shared" si="131"/>
        <v/>
      </c>
      <c r="W367" t="str">
        <f t="shared" si="132"/>
        <v/>
      </c>
      <c r="X367" s="38" t="str">
        <f t="shared" si="133"/>
        <v/>
      </c>
      <c r="Y367" s="38" t="str">
        <f t="shared" si="134"/>
        <v/>
      </c>
      <c r="Z367" s="39" t="str">
        <f t="shared" si="135"/>
        <v/>
      </c>
      <c r="AA367" s="39" t="str">
        <f t="shared" si="136"/>
        <v/>
      </c>
      <c r="AB367" s="40" t="str">
        <f t="shared" si="137"/>
        <v/>
      </c>
      <c r="AC367" t="str">
        <f>IF(L367="","",IF(AND($AO$2=1,ISNA(MATCH(L367,'02-شباط'!$L$2:$L$501,0))),"محذوف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38"/>
        <v/>
      </c>
      <c r="AH367" s="39" t="str">
        <f t="shared" si="139"/>
        <v/>
      </c>
      <c r="AI367" s="39" t="str">
        <f t="shared" si="140"/>
        <v/>
      </c>
      <c r="AJ367" s="39" t="str">
        <f t="shared" si="141"/>
        <v/>
      </c>
      <c r="AK367" t="str">
        <f t="shared" si="142"/>
        <v/>
      </c>
      <c r="AL367" t="str">
        <f t="shared" si="143"/>
        <v/>
      </c>
    </row>
    <row r="368" spans="11:38" ht="15">
      <c r="K368" t="str">
        <f t="shared" si="120"/>
        <v/>
      </c>
      <c r="L368" t="str">
        <f t="shared" si="121"/>
        <v/>
      </c>
      <c r="M368" s="36" t="str">
        <f t="shared" si="122"/>
        <v/>
      </c>
      <c r="N368" s="37" t="str">
        <f t="shared" si="123"/>
        <v/>
      </c>
      <c r="O368" s="37" t="str">
        <f t="shared" si="124"/>
        <v/>
      </c>
      <c r="P368" s="38" t="str">
        <f t="shared" si="125"/>
        <v/>
      </c>
      <c r="Q368" s="39" t="str">
        <f t="shared" si="126"/>
        <v/>
      </c>
      <c r="R368" s="39" t="str">
        <f t="shared" si="127"/>
        <v/>
      </c>
      <c r="S368" t="str">
        <f t="shared" si="128"/>
        <v/>
      </c>
      <c r="T368" s="39" t="str">
        <f t="shared" si="129"/>
        <v/>
      </c>
      <c r="U368" t="str">
        <f t="shared" si="130"/>
        <v/>
      </c>
      <c r="V368" t="str">
        <f t="shared" si="131"/>
        <v/>
      </c>
      <c r="W368" t="str">
        <f t="shared" si="132"/>
        <v/>
      </c>
      <c r="X368" s="38" t="str">
        <f t="shared" si="133"/>
        <v/>
      </c>
      <c r="Y368" s="38" t="str">
        <f t="shared" si="134"/>
        <v/>
      </c>
      <c r="Z368" s="39" t="str">
        <f t="shared" si="135"/>
        <v/>
      </c>
      <c r="AA368" s="39" t="str">
        <f t="shared" si="136"/>
        <v/>
      </c>
      <c r="AB368" s="40" t="str">
        <f t="shared" si="137"/>
        <v/>
      </c>
      <c r="AC368" t="str">
        <f>IF(L368="","",IF(AND($AO$2=1,ISNA(MATCH(L368,'02-شباط'!$L$2:$L$501,0))),"محذوف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38"/>
        <v/>
      </c>
      <c r="AH368" s="39" t="str">
        <f t="shared" si="139"/>
        <v/>
      </c>
      <c r="AI368" s="39" t="str">
        <f t="shared" si="140"/>
        <v/>
      </c>
      <c r="AJ368" s="39" t="str">
        <f t="shared" si="141"/>
        <v/>
      </c>
      <c r="AK368" t="str">
        <f t="shared" si="142"/>
        <v/>
      </c>
      <c r="AL368" t="str">
        <f t="shared" si="143"/>
        <v/>
      </c>
    </row>
    <row r="369" spans="11:38" ht="15">
      <c r="K369" t="str">
        <f t="shared" si="120"/>
        <v/>
      </c>
      <c r="L369" t="str">
        <f t="shared" si="121"/>
        <v/>
      </c>
      <c r="M369" s="36" t="str">
        <f t="shared" si="122"/>
        <v/>
      </c>
      <c r="N369" s="37" t="str">
        <f t="shared" si="123"/>
        <v/>
      </c>
      <c r="O369" s="37" t="str">
        <f t="shared" si="124"/>
        <v/>
      </c>
      <c r="P369" s="38" t="str">
        <f t="shared" si="125"/>
        <v/>
      </c>
      <c r="Q369" s="39" t="str">
        <f t="shared" si="126"/>
        <v/>
      </c>
      <c r="R369" s="39" t="str">
        <f t="shared" si="127"/>
        <v/>
      </c>
      <c r="S369" t="str">
        <f t="shared" si="128"/>
        <v/>
      </c>
      <c r="T369" s="39" t="str">
        <f t="shared" si="129"/>
        <v/>
      </c>
      <c r="U369" t="str">
        <f t="shared" si="130"/>
        <v/>
      </c>
      <c r="V369" t="str">
        <f t="shared" si="131"/>
        <v/>
      </c>
      <c r="W369" t="str">
        <f t="shared" si="132"/>
        <v/>
      </c>
      <c r="X369" s="38" t="str">
        <f t="shared" si="133"/>
        <v/>
      </c>
      <c r="Y369" s="38" t="str">
        <f t="shared" si="134"/>
        <v/>
      </c>
      <c r="Z369" s="39" t="str">
        <f t="shared" si="135"/>
        <v/>
      </c>
      <c r="AA369" s="39" t="str">
        <f t="shared" si="136"/>
        <v/>
      </c>
      <c r="AB369" s="40" t="str">
        <f t="shared" si="137"/>
        <v/>
      </c>
      <c r="AC369" t="str">
        <f>IF(L369="","",IF(AND($AO$2=1,ISNA(MATCH(L369,'02-شباط'!$L$2:$L$501,0))),"محذوف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38"/>
        <v/>
      </c>
      <c r="AH369" s="39" t="str">
        <f t="shared" si="139"/>
        <v/>
      </c>
      <c r="AI369" s="39" t="str">
        <f t="shared" si="140"/>
        <v/>
      </c>
      <c r="AJ369" s="39" t="str">
        <f t="shared" si="141"/>
        <v/>
      </c>
      <c r="AK369" t="str">
        <f t="shared" si="142"/>
        <v/>
      </c>
      <c r="AL369" t="str">
        <f t="shared" si="143"/>
        <v/>
      </c>
    </row>
    <row r="370" spans="11:38" ht="15">
      <c r="K370" t="str">
        <f t="shared" si="120"/>
        <v/>
      </c>
      <c r="L370" t="str">
        <f t="shared" si="121"/>
        <v/>
      </c>
      <c r="M370" s="36" t="str">
        <f t="shared" si="122"/>
        <v/>
      </c>
      <c r="N370" s="37" t="str">
        <f t="shared" si="123"/>
        <v/>
      </c>
      <c r="O370" s="37" t="str">
        <f t="shared" si="124"/>
        <v/>
      </c>
      <c r="P370" s="38" t="str">
        <f t="shared" si="125"/>
        <v/>
      </c>
      <c r="Q370" s="39" t="str">
        <f t="shared" si="126"/>
        <v/>
      </c>
      <c r="R370" s="39" t="str">
        <f t="shared" si="127"/>
        <v/>
      </c>
      <c r="S370" t="str">
        <f t="shared" si="128"/>
        <v/>
      </c>
      <c r="T370" s="39" t="str">
        <f t="shared" si="129"/>
        <v/>
      </c>
      <c r="U370" t="str">
        <f t="shared" si="130"/>
        <v/>
      </c>
      <c r="V370" t="str">
        <f t="shared" si="131"/>
        <v/>
      </c>
      <c r="W370" t="str">
        <f t="shared" si="132"/>
        <v/>
      </c>
      <c r="X370" s="38" t="str">
        <f t="shared" si="133"/>
        <v/>
      </c>
      <c r="Y370" s="38" t="str">
        <f t="shared" si="134"/>
        <v/>
      </c>
      <c r="Z370" s="39" t="str">
        <f t="shared" si="135"/>
        <v/>
      </c>
      <c r="AA370" s="39" t="str">
        <f t="shared" si="136"/>
        <v/>
      </c>
      <c r="AB370" s="40" t="str">
        <f t="shared" si="137"/>
        <v/>
      </c>
      <c r="AC370" t="str">
        <f>IF(L370="","",IF(AND($AO$2=1,ISNA(MATCH(L370,'02-شباط'!$L$2:$L$501,0))),"محذوف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38"/>
        <v/>
      </c>
      <c r="AH370" s="39" t="str">
        <f t="shared" si="139"/>
        <v/>
      </c>
      <c r="AI370" s="39" t="str">
        <f t="shared" si="140"/>
        <v/>
      </c>
      <c r="AJ370" s="39" t="str">
        <f t="shared" si="141"/>
        <v/>
      </c>
      <c r="AK370" t="str">
        <f t="shared" si="142"/>
        <v/>
      </c>
      <c r="AL370" t="str">
        <f t="shared" si="143"/>
        <v/>
      </c>
    </row>
    <row r="371" spans="11:38" ht="15">
      <c r="K371" t="str">
        <f t="shared" si="120"/>
        <v/>
      </c>
      <c r="L371" t="str">
        <f t="shared" si="121"/>
        <v/>
      </c>
      <c r="M371" s="36" t="str">
        <f t="shared" si="122"/>
        <v/>
      </c>
      <c r="N371" s="37" t="str">
        <f t="shared" si="123"/>
        <v/>
      </c>
      <c r="O371" s="37" t="str">
        <f t="shared" si="124"/>
        <v/>
      </c>
      <c r="P371" s="38" t="str">
        <f t="shared" si="125"/>
        <v/>
      </c>
      <c r="Q371" s="39" t="str">
        <f t="shared" si="126"/>
        <v/>
      </c>
      <c r="R371" s="39" t="str">
        <f t="shared" si="127"/>
        <v/>
      </c>
      <c r="S371" t="str">
        <f t="shared" si="128"/>
        <v/>
      </c>
      <c r="T371" s="39" t="str">
        <f t="shared" si="129"/>
        <v/>
      </c>
      <c r="U371" t="str">
        <f t="shared" si="130"/>
        <v/>
      </c>
      <c r="V371" t="str">
        <f t="shared" si="131"/>
        <v/>
      </c>
      <c r="W371" t="str">
        <f t="shared" si="132"/>
        <v/>
      </c>
      <c r="X371" s="38" t="str">
        <f t="shared" si="133"/>
        <v/>
      </c>
      <c r="Y371" s="38" t="str">
        <f t="shared" si="134"/>
        <v/>
      </c>
      <c r="Z371" s="39" t="str">
        <f t="shared" si="135"/>
        <v/>
      </c>
      <c r="AA371" s="39" t="str">
        <f t="shared" si="136"/>
        <v/>
      </c>
      <c r="AB371" s="40" t="str">
        <f t="shared" si="137"/>
        <v/>
      </c>
      <c r="AC371" t="str">
        <f>IF(L371="","",IF(AND($AO$2=1,ISNA(MATCH(L371,'02-شباط'!$L$2:$L$501,0))),"محذوف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38"/>
        <v/>
      </c>
      <c r="AH371" s="39" t="str">
        <f t="shared" si="139"/>
        <v/>
      </c>
      <c r="AI371" s="39" t="str">
        <f t="shared" si="140"/>
        <v/>
      </c>
      <c r="AJ371" s="39" t="str">
        <f t="shared" si="141"/>
        <v/>
      </c>
      <c r="AK371" t="str">
        <f t="shared" si="142"/>
        <v/>
      </c>
      <c r="AL371" t="str">
        <f t="shared" si="143"/>
        <v/>
      </c>
    </row>
    <row r="372" spans="11:38" ht="15">
      <c r="K372" t="str">
        <f t="shared" si="120"/>
        <v/>
      </c>
      <c r="L372" t="str">
        <f t="shared" si="121"/>
        <v/>
      </c>
      <c r="M372" s="36" t="str">
        <f t="shared" si="122"/>
        <v/>
      </c>
      <c r="N372" s="37" t="str">
        <f t="shared" si="123"/>
        <v/>
      </c>
      <c r="O372" s="37" t="str">
        <f t="shared" si="124"/>
        <v/>
      </c>
      <c r="P372" s="38" t="str">
        <f t="shared" si="125"/>
        <v/>
      </c>
      <c r="Q372" s="39" t="str">
        <f t="shared" si="126"/>
        <v/>
      </c>
      <c r="R372" s="39" t="str">
        <f t="shared" si="127"/>
        <v/>
      </c>
      <c r="S372" t="str">
        <f t="shared" si="128"/>
        <v/>
      </c>
      <c r="T372" s="39" t="str">
        <f t="shared" si="129"/>
        <v/>
      </c>
      <c r="U372" t="str">
        <f t="shared" si="130"/>
        <v/>
      </c>
      <c r="V372" t="str">
        <f t="shared" si="131"/>
        <v/>
      </c>
      <c r="W372" t="str">
        <f t="shared" si="132"/>
        <v/>
      </c>
      <c r="X372" s="38" t="str">
        <f t="shared" si="133"/>
        <v/>
      </c>
      <c r="Y372" s="38" t="str">
        <f t="shared" si="134"/>
        <v/>
      </c>
      <c r="Z372" s="39" t="str">
        <f t="shared" si="135"/>
        <v/>
      </c>
      <c r="AA372" s="39" t="str">
        <f t="shared" si="136"/>
        <v/>
      </c>
      <c r="AB372" s="40" t="str">
        <f t="shared" si="137"/>
        <v/>
      </c>
      <c r="AC372" t="str">
        <f>IF(L372="","",IF(AND($AO$2=1,ISNA(MATCH(L372,'02-شباط'!$L$2:$L$501,0))),"محذوف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38"/>
        <v/>
      </c>
      <c r="AH372" s="39" t="str">
        <f t="shared" si="139"/>
        <v/>
      </c>
      <c r="AI372" s="39" t="str">
        <f t="shared" si="140"/>
        <v/>
      </c>
      <c r="AJ372" s="39" t="str">
        <f t="shared" si="141"/>
        <v/>
      </c>
      <c r="AK372" t="str">
        <f t="shared" si="142"/>
        <v/>
      </c>
      <c r="AL372" t="str">
        <f t="shared" si="143"/>
        <v/>
      </c>
    </row>
    <row r="373" spans="11:38" ht="15">
      <c r="K373" t="str">
        <f t="shared" si="120"/>
        <v/>
      </c>
      <c r="L373" t="str">
        <f t="shared" si="121"/>
        <v/>
      </c>
      <c r="M373" s="36" t="str">
        <f t="shared" si="122"/>
        <v/>
      </c>
      <c r="N373" s="37" t="str">
        <f t="shared" si="123"/>
        <v/>
      </c>
      <c r="O373" s="37" t="str">
        <f t="shared" si="124"/>
        <v/>
      </c>
      <c r="P373" s="38" t="str">
        <f t="shared" si="125"/>
        <v/>
      </c>
      <c r="Q373" s="39" t="str">
        <f t="shared" si="126"/>
        <v/>
      </c>
      <c r="R373" s="39" t="str">
        <f t="shared" si="127"/>
        <v/>
      </c>
      <c r="S373" t="str">
        <f t="shared" si="128"/>
        <v/>
      </c>
      <c r="T373" s="39" t="str">
        <f t="shared" si="129"/>
        <v/>
      </c>
      <c r="U373" t="str">
        <f t="shared" si="130"/>
        <v/>
      </c>
      <c r="V373" t="str">
        <f t="shared" si="131"/>
        <v/>
      </c>
      <c r="W373" t="str">
        <f t="shared" si="132"/>
        <v/>
      </c>
      <c r="X373" s="38" t="str">
        <f t="shared" si="133"/>
        <v/>
      </c>
      <c r="Y373" s="38" t="str">
        <f t="shared" si="134"/>
        <v/>
      </c>
      <c r="Z373" s="39" t="str">
        <f t="shared" si="135"/>
        <v/>
      </c>
      <c r="AA373" s="39" t="str">
        <f t="shared" si="136"/>
        <v/>
      </c>
      <c r="AB373" s="40" t="str">
        <f t="shared" si="137"/>
        <v/>
      </c>
      <c r="AC373" t="str">
        <f>IF(L373="","",IF(AND($AO$2=1,ISNA(MATCH(L373,'02-شباط'!$L$2:$L$501,0))),"محذوف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38"/>
        <v/>
      </c>
      <c r="AH373" s="39" t="str">
        <f t="shared" si="139"/>
        <v/>
      </c>
      <c r="AI373" s="39" t="str">
        <f t="shared" si="140"/>
        <v/>
      </c>
      <c r="AJ373" s="39" t="str">
        <f t="shared" si="141"/>
        <v/>
      </c>
      <c r="AK373" t="str">
        <f t="shared" si="142"/>
        <v/>
      </c>
      <c r="AL373" t="str">
        <f t="shared" si="143"/>
        <v/>
      </c>
    </row>
    <row r="374" spans="11:38" ht="15">
      <c r="K374" t="str">
        <f t="shared" si="120"/>
        <v/>
      </c>
      <c r="L374" t="str">
        <f t="shared" si="121"/>
        <v/>
      </c>
      <c r="M374" s="36" t="str">
        <f t="shared" si="122"/>
        <v/>
      </c>
      <c r="N374" s="37" t="str">
        <f t="shared" si="123"/>
        <v/>
      </c>
      <c r="O374" s="37" t="str">
        <f t="shared" si="124"/>
        <v/>
      </c>
      <c r="P374" s="38" t="str">
        <f t="shared" si="125"/>
        <v/>
      </c>
      <c r="Q374" s="39" t="str">
        <f t="shared" si="126"/>
        <v/>
      </c>
      <c r="R374" s="39" t="str">
        <f t="shared" si="127"/>
        <v/>
      </c>
      <c r="S374" t="str">
        <f t="shared" si="128"/>
        <v/>
      </c>
      <c r="T374" s="39" t="str">
        <f t="shared" si="129"/>
        <v/>
      </c>
      <c r="U374" t="str">
        <f t="shared" si="130"/>
        <v/>
      </c>
      <c r="V374" t="str">
        <f t="shared" si="131"/>
        <v/>
      </c>
      <c r="W374" t="str">
        <f t="shared" si="132"/>
        <v/>
      </c>
      <c r="X374" s="38" t="str">
        <f t="shared" si="133"/>
        <v/>
      </c>
      <c r="Y374" s="38" t="str">
        <f t="shared" si="134"/>
        <v/>
      </c>
      <c r="Z374" s="39" t="str">
        <f t="shared" si="135"/>
        <v/>
      </c>
      <c r="AA374" s="39" t="str">
        <f t="shared" si="136"/>
        <v/>
      </c>
      <c r="AB374" s="40" t="str">
        <f t="shared" si="137"/>
        <v/>
      </c>
      <c r="AC374" t="str">
        <f>IF(L374="","",IF(AND($AO$2=1,ISNA(MATCH(L374,'02-شباط'!$L$2:$L$501,0))),"محذوف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38"/>
        <v/>
      </c>
      <c r="AH374" s="39" t="str">
        <f t="shared" si="139"/>
        <v/>
      </c>
      <c r="AI374" s="39" t="str">
        <f t="shared" si="140"/>
        <v/>
      </c>
      <c r="AJ374" s="39" t="str">
        <f t="shared" si="141"/>
        <v/>
      </c>
      <c r="AK374" t="str">
        <f t="shared" si="142"/>
        <v/>
      </c>
      <c r="AL374" t="str">
        <f t="shared" si="143"/>
        <v/>
      </c>
    </row>
    <row r="375" spans="11:38" ht="15">
      <c r="K375" t="str">
        <f t="shared" si="120"/>
        <v/>
      </c>
      <c r="L375" t="str">
        <f t="shared" si="121"/>
        <v/>
      </c>
      <c r="M375" s="36" t="str">
        <f t="shared" si="122"/>
        <v/>
      </c>
      <c r="N375" s="37" t="str">
        <f t="shared" si="123"/>
        <v/>
      </c>
      <c r="O375" s="37" t="str">
        <f t="shared" si="124"/>
        <v/>
      </c>
      <c r="P375" s="38" t="str">
        <f t="shared" si="125"/>
        <v/>
      </c>
      <c r="Q375" s="39" t="str">
        <f t="shared" si="126"/>
        <v/>
      </c>
      <c r="R375" s="39" t="str">
        <f t="shared" si="127"/>
        <v/>
      </c>
      <c r="S375" t="str">
        <f t="shared" si="128"/>
        <v/>
      </c>
      <c r="T375" s="39" t="str">
        <f t="shared" si="129"/>
        <v/>
      </c>
      <c r="U375" t="str">
        <f t="shared" si="130"/>
        <v/>
      </c>
      <c r="V375" t="str">
        <f t="shared" si="131"/>
        <v/>
      </c>
      <c r="W375" t="str">
        <f t="shared" si="132"/>
        <v/>
      </c>
      <c r="X375" s="38" t="str">
        <f t="shared" si="133"/>
        <v/>
      </c>
      <c r="Y375" s="38" t="str">
        <f t="shared" si="134"/>
        <v/>
      </c>
      <c r="Z375" s="39" t="str">
        <f t="shared" si="135"/>
        <v/>
      </c>
      <c r="AA375" s="39" t="str">
        <f t="shared" si="136"/>
        <v/>
      </c>
      <c r="AB375" s="40" t="str">
        <f t="shared" si="137"/>
        <v/>
      </c>
      <c r="AC375" t="str">
        <f>IF(L375="","",IF(AND($AO$2=1,ISNA(MATCH(L375,'02-شباط'!$L$2:$L$501,0))),"محذوف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38"/>
        <v/>
      </c>
      <c r="AH375" s="39" t="str">
        <f t="shared" si="139"/>
        <v/>
      </c>
      <c r="AI375" s="39" t="str">
        <f t="shared" si="140"/>
        <v/>
      </c>
      <c r="AJ375" s="39" t="str">
        <f t="shared" si="141"/>
        <v/>
      </c>
      <c r="AK375" t="str">
        <f t="shared" si="142"/>
        <v/>
      </c>
      <c r="AL375" t="str">
        <f t="shared" si="143"/>
        <v/>
      </c>
    </row>
    <row r="376" spans="11:38" ht="15">
      <c r="K376" t="str">
        <f t="shared" si="120"/>
        <v/>
      </c>
      <c r="L376" t="str">
        <f t="shared" si="121"/>
        <v/>
      </c>
      <c r="M376" s="36" t="str">
        <f t="shared" si="122"/>
        <v/>
      </c>
      <c r="N376" s="37" t="str">
        <f t="shared" si="123"/>
        <v/>
      </c>
      <c r="O376" s="37" t="str">
        <f t="shared" si="124"/>
        <v/>
      </c>
      <c r="P376" s="38" t="str">
        <f t="shared" si="125"/>
        <v/>
      </c>
      <c r="Q376" s="39" t="str">
        <f t="shared" si="126"/>
        <v/>
      </c>
      <c r="R376" s="39" t="str">
        <f t="shared" si="127"/>
        <v/>
      </c>
      <c r="S376" t="str">
        <f t="shared" si="128"/>
        <v/>
      </c>
      <c r="T376" s="39" t="str">
        <f t="shared" si="129"/>
        <v/>
      </c>
      <c r="U376" t="str">
        <f t="shared" si="130"/>
        <v/>
      </c>
      <c r="V376" t="str">
        <f t="shared" si="131"/>
        <v/>
      </c>
      <c r="W376" t="str">
        <f t="shared" si="132"/>
        <v/>
      </c>
      <c r="X376" s="38" t="str">
        <f t="shared" si="133"/>
        <v/>
      </c>
      <c r="Y376" s="38" t="str">
        <f t="shared" si="134"/>
        <v/>
      </c>
      <c r="Z376" s="39" t="str">
        <f t="shared" si="135"/>
        <v/>
      </c>
      <c r="AA376" s="39" t="str">
        <f t="shared" si="136"/>
        <v/>
      </c>
      <c r="AB376" s="40" t="str">
        <f t="shared" si="137"/>
        <v/>
      </c>
      <c r="AC376" t="str">
        <f>IF(L376="","",IF(AND($AO$2=1,ISNA(MATCH(L376,'02-شباط'!$L$2:$L$501,0))),"محذوف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38"/>
        <v/>
      </c>
      <c r="AH376" s="39" t="str">
        <f t="shared" si="139"/>
        <v/>
      </c>
      <c r="AI376" s="39" t="str">
        <f t="shared" si="140"/>
        <v/>
      </c>
      <c r="AJ376" s="39" t="str">
        <f t="shared" si="141"/>
        <v/>
      </c>
      <c r="AK376" t="str">
        <f t="shared" si="142"/>
        <v/>
      </c>
      <c r="AL376" t="str">
        <f t="shared" si="143"/>
        <v/>
      </c>
    </row>
    <row r="377" spans="11:38" ht="15">
      <c r="K377" t="str">
        <f t="shared" si="120"/>
        <v/>
      </c>
      <c r="L377" t="str">
        <f t="shared" si="121"/>
        <v/>
      </c>
      <c r="M377" s="36" t="str">
        <f t="shared" si="122"/>
        <v/>
      </c>
      <c r="N377" s="37" t="str">
        <f t="shared" si="123"/>
        <v/>
      </c>
      <c r="O377" s="37" t="str">
        <f t="shared" si="124"/>
        <v/>
      </c>
      <c r="P377" s="38" t="str">
        <f t="shared" si="125"/>
        <v/>
      </c>
      <c r="Q377" s="39" t="str">
        <f t="shared" si="126"/>
        <v/>
      </c>
      <c r="R377" s="39" t="str">
        <f t="shared" si="127"/>
        <v/>
      </c>
      <c r="S377" t="str">
        <f t="shared" si="128"/>
        <v/>
      </c>
      <c r="T377" s="39" t="str">
        <f t="shared" si="129"/>
        <v/>
      </c>
      <c r="U377" t="str">
        <f t="shared" si="130"/>
        <v/>
      </c>
      <c r="V377" t="str">
        <f t="shared" si="131"/>
        <v/>
      </c>
      <c r="W377" t="str">
        <f t="shared" si="132"/>
        <v/>
      </c>
      <c r="X377" s="38" t="str">
        <f t="shared" si="133"/>
        <v/>
      </c>
      <c r="Y377" s="38" t="str">
        <f t="shared" si="134"/>
        <v/>
      </c>
      <c r="Z377" s="39" t="str">
        <f t="shared" si="135"/>
        <v/>
      </c>
      <c r="AA377" s="39" t="str">
        <f t="shared" si="136"/>
        <v/>
      </c>
      <c r="AB377" s="40" t="str">
        <f t="shared" si="137"/>
        <v/>
      </c>
      <c r="AC377" t="str">
        <f>IF(L377="","",IF(AND($AO$2=1,ISNA(MATCH(L377,'02-شباط'!$L$2:$L$501,0))),"محذوف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38"/>
        <v/>
      </c>
      <c r="AH377" s="39" t="str">
        <f t="shared" si="139"/>
        <v/>
      </c>
      <c r="AI377" s="39" t="str">
        <f t="shared" si="140"/>
        <v/>
      </c>
      <c r="AJ377" s="39" t="str">
        <f t="shared" si="141"/>
        <v/>
      </c>
      <c r="AK377" t="str">
        <f t="shared" si="142"/>
        <v/>
      </c>
      <c r="AL377" t="str">
        <f t="shared" si="143"/>
        <v/>
      </c>
    </row>
    <row r="378" spans="11:38" ht="15">
      <c r="K378" t="str">
        <f t="shared" si="120"/>
        <v/>
      </c>
      <c r="L378" t="str">
        <f t="shared" si="121"/>
        <v/>
      </c>
      <c r="M378" s="36" t="str">
        <f t="shared" si="122"/>
        <v/>
      </c>
      <c r="N378" s="37" t="str">
        <f t="shared" si="123"/>
        <v/>
      </c>
      <c r="O378" s="37" t="str">
        <f t="shared" si="124"/>
        <v/>
      </c>
      <c r="P378" s="38" t="str">
        <f t="shared" si="125"/>
        <v/>
      </c>
      <c r="Q378" s="39" t="str">
        <f t="shared" si="126"/>
        <v/>
      </c>
      <c r="R378" s="39" t="str">
        <f t="shared" si="127"/>
        <v/>
      </c>
      <c r="S378" t="str">
        <f t="shared" si="128"/>
        <v/>
      </c>
      <c r="T378" s="39" t="str">
        <f t="shared" si="129"/>
        <v/>
      </c>
      <c r="U378" t="str">
        <f t="shared" si="130"/>
        <v/>
      </c>
      <c r="V378" t="str">
        <f t="shared" si="131"/>
        <v/>
      </c>
      <c r="W378" t="str">
        <f t="shared" si="132"/>
        <v/>
      </c>
      <c r="X378" s="38" t="str">
        <f t="shared" si="133"/>
        <v/>
      </c>
      <c r="Y378" s="38" t="str">
        <f t="shared" si="134"/>
        <v/>
      </c>
      <c r="Z378" s="39" t="str">
        <f t="shared" si="135"/>
        <v/>
      </c>
      <c r="AA378" s="39" t="str">
        <f t="shared" si="136"/>
        <v/>
      </c>
      <c r="AB378" s="40" t="str">
        <f t="shared" si="137"/>
        <v/>
      </c>
      <c r="AC378" t="str">
        <f>IF(L378="","",IF(AND($AO$2=1,ISNA(MATCH(L378,'02-شباط'!$L$2:$L$501,0))),"محذوف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38"/>
        <v/>
      </c>
      <c r="AH378" s="39" t="str">
        <f t="shared" si="139"/>
        <v/>
      </c>
      <c r="AI378" s="39" t="str">
        <f t="shared" si="140"/>
        <v/>
      </c>
      <c r="AJ378" s="39" t="str">
        <f t="shared" si="141"/>
        <v/>
      </c>
      <c r="AK378" t="str">
        <f t="shared" si="142"/>
        <v/>
      </c>
      <c r="AL378" t="str">
        <f t="shared" si="143"/>
        <v/>
      </c>
    </row>
    <row r="379" spans="11:38" ht="15">
      <c r="K379" t="str">
        <f t="shared" si="120"/>
        <v/>
      </c>
      <c r="L379" t="str">
        <f t="shared" si="121"/>
        <v/>
      </c>
      <c r="M379" s="36" t="str">
        <f t="shared" si="122"/>
        <v/>
      </c>
      <c r="N379" s="37" t="str">
        <f t="shared" si="123"/>
        <v/>
      </c>
      <c r="O379" s="37" t="str">
        <f t="shared" si="124"/>
        <v/>
      </c>
      <c r="P379" s="38" t="str">
        <f t="shared" si="125"/>
        <v/>
      </c>
      <c r="Q379" s="39" t="str">
        <f t="shared" si="126"/>
        <v/>
      </c>
      <c r="R379" s="39" t="str">
        <f t="shared" si="127"/>
        <v/>
      </c>
      <c r="S379" t="str">
        <f t="shared" si="128"/>
        <v/>
      </c>
      <c r="T379" s="39" t="str">
        <f t="shared" si="129"/>
        <v/>
      </c>
      <c r="U379" t="str">
        <f t="shared" si="130"/>
        <v/>
      </c>
      <c r="V379" t="str">
        <f t="shared" si="131"/>
        <v/>
      </c>
      <c r="W379" t="str">
        <f t="shared" si="132"/>
        <v/>
      </c>
      <c r="X379" s="38" t="str">
        <f t="shared" si="133"/>
        <v/>
      </c>
      <c r="Y379" s="38" t="str">
        <f t="shared" si="134"/>
        <v/>
      </c>
      <c r="Z379" s="39" t="str">
        <f t="shared" si="135"/>
        <v/>
      </c>
      <c r="AA379" s="39" t="str">
        <f t="shared" si="136"/>
        <v/>
      </c>
      <c r="AB379" s="40" t="str">
        <f t="shared" si="137"/>
        <v/>
      </c>
      <c r="AC379" t="str">
        <f>IF(L379="","",IF(AND($AO$2=1,ISNA(MATCH(L379,'02-شباط'!$L$2:$L$501,0))),"محذوف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38"/>
        <v/>
      </c>
      <c r="AH379" s="39" t="str">
        <f t="shared" si="139"/>
        <v/>
      </c>
      <c r="AI379" s="39" t="str">
        <f t="shared" si="140"/>
        <v/>
      </c>
      <c r="AJ379" s="39" t="str">
        <f t="shared" si="141"/>
        <v/>
      </c>
      <c r="AK379" t="str">
        <f t="shared" si="142"/>
        <v/>
      </c>
      <c r="AL379" t="str">
        <f t="shared" si="143"/>
        <v/>
      </c>
    </row>
    <row r="380" spans="11:38" ht="15">
      <c r="K380" t="str">
        <f t="shared" si="120"/>
        <v/>
      </c>
      <c r="L380" t="str">
        <f t="shared" si="121"/>
        <v/>
      </c>
      <c r="M380" s="36" t="str">
        <f t="shared" si="122"/>
        <v/>
      </c>
      <c r="N380" s="37" t="str">
        <f t="shared" si="123"/>
        <v/>
      </c>
      <c r="O380" s="37" t="str">
        <f t="shared" si="124"/>
        <v/>
      </c>
      <c r="P380" s="38" t="str">
        <f t="shared" si="125"/>
        <v/>
      </c>
      <c r="Q380" s="39" t="str">
        <f t="shared" si="126"/>
        <v/>
      </c>
      <c r="R380" s="39" t="str">
        <f t="shared" si="127"/>
        <v/>
      </c>
      <c r="S380" t="str">
        <f t="shared" si="128"/>
        <v/>
      </c>
      <c r="T380" s="39" t="str">
        <f t="shared" si="129"/>
        <v/>
      </c>
      <c r="U380" t="str">
        <f t="shared" si="130"/>
        <v/>
      </c>
      <c r="V380" t="str">
        <f t="shared" si="131"/>
        <v/>
      </c>
      <c r="W380" t="str">
        <f t="shared" si="132"/>
        <v/>
      </c>
      <c r="X380" s="38" t="str">
        <f t="shared" si="133"/>
        <v/>
      </c>
      <c r="Y380" s="38" t="str">
        <f t="shared" si="134"/>
        <v/>
      </c>
      <c r="Z380" s="39" t="str">
        <f t="shared" si="135"/>
        <v/>
      </c>
      <c r="AA380" s="39" t="str">
        <f t="shared" si="136"/>
        <v/>
      </c>
      <c r="AB380" s="40" t="str">
        <f t="shared" si="137"/>
        <v/>
      </c>
      <c r="AC380" t="str">
        <f>IF(L380="","",IF(AND($AO$2=1,ISNA(MATCH(L380,'02-شباط'!$L$2:$L$501,0))),"محذوف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38"/>
        <v/>
      </c>
      <c r="AH380" s="39" t="str">
        <f t="shared" si="139"/>
        <v/>
      </c>
      <c r="AI380" s="39" t="str">
        <f t="shared" si="140"/>
        <v/>
      </c>
      <c r="AJ380" s="39" t="str">
        <f t="shared" si="141"/>
        <v/>
      </c>
      <c r="AK380" t="str">
        <f t="shared" si="142"/>
        <v/>
      </c>
      <c r="AL380" t="str">
        <f t="shared" si="143"/>
        <v/>
      </c>
    </row>
    <row r="381" spans="11:38" ht="15">
      <c r="K381" t="str">
        <f t="shared" si="120"/>
        <v/>
      </c>
      <c r="L381" t="str">
        <f t="shared" si="121"/>
        <v/>
      </c>
      <c r="M381" s="36" t="str">
        <f t="shared" si="122"/>
        <v/>
      </c>
      <c r="N381" s="37" t="str">
        <f t="shared" si="123"/>
        <v/>
      </c>
      <c r="O381" s="37" t="str">
        <f t="shared" si="124"/>
        <v/>
      </c>
      <c r="P381" s="38" t="str">
        <f t="shared" si="125"/>
        <v/>
      </c>
      <c r="Q381" s="39" t="str">
        <f t="shared" si="126"/>
        <v/>
      </c>
      <c r="R381" s="39" t="str">
        <f t="shared" si="127"/>
        <v/>
      </c>
      <c r="S381" t="str">
        <f t="shared" si="128"/>
        <v/>
      </c>
      <c r="T381" s="39" t="str">
        <f t="shared" si="129"/>
        <v/>
      </c>
      <c r="U381" t="str">
        <f t="shared" si="130"/>
        <v/>
      </c>
      <c r="V381" t="str">
        <f t="shared" si="131"/>
        <v/>
      </c>
      <c r="W381" t="str">
        <f t="shared" si="132"/>
        <v/>
      </c>
      <c r="X381" s="38" t="str">
        <f t="shared" si="133"/>
        <v/>
      </c>
      <c r="Y381" s="38" t="str">
        <f t="shared" si="134"/>
        <v/>
      </c>
      <c r="Z381" s="39" t="str">
        <f t="shared" si="135"/>
        <v/>
      </c>
      <c r="AA381" s="39" t="str">
        <f t="shared" si="136"/>
        <v/>
      </c>
      <c r="AB381" s="40" t="str">
        <f t="shared" si="137"/>
        <v/>
      </c>
      <c r="AC381" t="str">
        <f>IF(L381="","",IF(AND($AO$2=1,ISNA(MATCH(L381,'02-شباط'!$L$2:$L$501,0))),"محذوف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38"/>
        <v/>
      </c>
      <c r="AH381" s="39" t="str">
        <f t="shared" si="139"/>
        <v/>
      </c>
      <c r="AI381" s="39" t="str">
        <f t="shared" si="140"/>
        <v/>
      </c>
      <c r="AJ381" s="39" t="str">
        <f t="shared" si="141"/>
        <v/>
      </c>
      <c r="AK381" t="str">
        <f t="shared" si="142"/>
        <v/>
      </c>
      <c r="AL381" t="str">
        <f t="shared" si="143"/>
        <v/>
      </c>
    </row>
    <row r="382" spans="11:38" ht="15">
      <c r="K382" t="str">
        <f t="shared" si="120"/>
        <v/>
      </c>
      <c r="L382" t="str">
        <f t="shared" si="121"/>
        <v/>
      </c>
      <c r="M382" s="36" t="str">
        <f t="shared" si="122"/>
        <v/>
      </c>
      <c r="N382" s="37" t="str">
        <f t="shared" si="123"/>
        <v/>
      </c>
      <c r="O382" s="37" t="str">
        <f t="shared" si="124"/>
        <v/>
      </c>
      <c r="P382" s="38" t="str">
        <f t="shared" si="125"/>
        <v/>
      </c>
      <c r="Q382" s="39" t="str">
        <f t="shared" si="126"/>
        <v/>
      </c>
      <c r="R382" s="39" t="str">
        <f t="shared" si="127"/>
        <v/>
      </c>
      <c r="S382" t="str">
        <f t="shared" si="128"/>
        <v/>
      </c>
      <c r="T382" s="39" t="str">
        <f t="shared" si="129"/>
        <v/>
      </c>
      <c r="U382" t="str">
        <f t="shared" si="130"/>
        <v/>
      </c>
      <c r="V382" t="str">
        <f t="shared" si="131"/>
        <v/>
      </c>
      <c r="W382" t="str">
        <f t="shared" si="132"/>
        <v/>
      </c>
      <c r="X382" s="38" t="str">
        <f t="shared" si="133"/>
        <v/>
      </c>
      <c r="Y382" s="38" t="str">
        <f t="shared" si="134"/>
        <v/>
      </c>
      <c r="Z382" s="39" t="str">
        <f t="shared" si="135"/>
        <v/>
      </c>
      <c r="AA382" s="39" t="str">
        <f t="shared" si="136"/>
        <v/>
      </c>
      <c r="AB382" s="40" t="str">
        <f t="shared" si="137"/>
        <v/>
      </c>
      <c r="AC382" t="str">
        <f>IF(L382="","",IF(AND($AO$2=1,ISNA(MATCH(L382,'02-شباط'!$L$2:$L$501,0))),"محذوف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38"/>
        <v/>
      </c>
      <c r="AH382" s="39" t="str">
        <f t="shared" si="139"/>
        <v/>
      </c>
      <c r="AI382" s="39" t="str">
        <f t="shared" si="140"/>
        <v/>
      </c>
      <c r="AJ382" s="39" t="str">
        <f t="shared" si="141"/>
        <v/>
      </c>
      <c r="AK382" t="str">
        <f t="shared" si="142"/>
        <v/>
      </c>
      <c r="AL382" t="str">
        <f t="shared" si="143"/>
        <v/>
      </c>
    </row>
    <row r="383" spans="11:38" ht="15">
      <c r="K383" t="str">
        <f t="shared" si="120"/>
        <v/>
      </c>
      <c r="L383" t="str">
        <f t="shared" si="121"/>
        <v/>
      </c>
      <c r="M383" s="36" t="str">
        <f t="shared" si="122"/>
        <v/>
      </c>
      <c r="N383" s="37" t="str">
        <f t="shared" si="123"/>
        <v/>
      </c>
      <c r="O383" s="37" t="str">
        <f t="shared" si="124"/>
        <v/>
      </c>
      <c r="P383" s="38" t="str">
        <f t="shared" si="125"/>
        <v/>
      </c>
      <c r="Q383" s="39" t="str">
        <f t="shared" si="126"/>
        <v/>
      </c>
      <c r="R383" s="39" t="str">
        <f t="shared" si="127"/>
        <v/>
      </c>
      <c r="S383" t="str">
        <f t="shared" si="128"/>
        <v/>
      </c>
      <c r="T383" s="39" t="str">
        <f t="shared" si="129"/>
        <v/>
      </c>
      <c r="U383" t="str">
        <f t="shared" si="130"/>
        <v/>
      </c>
      <c r="V383" t="str">
        <f t="shared" si="131"/>
        <v/>
      </c>
      <c r="W383" t="str">
        <f t="shared" si="132"/>
        <v/>
      </c>
      <c r="X383" s="38" t="str">
        <f t="shared" si="133"/>
        <v/>
      </c>
      <c r="Y383" s="38" t="str">
        <f t="shared" si="134"/>
        <v/>
      </c>
      <c r="Z383" s="39" t="str">
        <f t="shared" si="135"/>
        <v/>
      </c>
      <c r="AA383" s="39" t="str">
        <f t="shared" si="136"/>
        <v/>
      </c>
      <c r="AB383" s="40" t="str">
        <f t="shared" si="137"/>
        <v/>
      </c>
      <c r="AC383" t="str">
        <f>IF(L383="","",IF(AND($AO$2=1,ISNA(MATCH(L383,'02-شباط'!$L$2:$L$501,0))),"محذوف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38"/>
        <v/>
      </c>
      <c r="AH383" s="39" t="str">
        <f t="shared" si="139"/>
        <v/>
      </c>
      <c r="AI383" s="39" t="str">
        <f t="shared" si="140"/>
        <v/>
      </c>
      <c r="AJ383" s="39" t="str">
        <f t="shared" si="141"/>
        <v/>
      </c>
      <c r="AK383" t="str">
        <f t="shared" si="142"/>
        <v/>
      </c>
      <c r="AL383" t="str">
        <f t="shared" si="143"/>
        <v/>
      </c>
    </row>
    <row r="384" spans="11:38" ht="15">
      <c r="K384" t="str">
        <f t="shared" si="120"/>
        <v/>
      </c>
      <c r="L384" t="str">
        <f t="shared" si="121"/>
        <v/>
      </c>
      <c r="M384" s="36" t="str">
        <f t="shared" si="122"/>
        <v/>
      </c>
      <c r="N384" s="37" t="str">
        <f t="shared" si="123"/>
        <v/>
      </c>
      <c r="O384" s="37" t="str">
        <f t="shared" si="124"/>
        <v/>
      </c>
      <c r="P384" s="38" t="str">
        <f t="shared" si="125"/>
        <v/>
      </c>
      <c r="Q384" s="39" t="str">
        <f t="shared" si="126"/>
        <v/>
      </c>
      <c r="R384" s="39" t="str">
        <f t="shared" si="127"/>
        <v/>
      </c>
      <c r="S384" t="str">
        <f t="shared" si="128"/>
        <v/>
      </c>
      <c r="T384" s="39" t="str">
        <f t="shared" si="129"/>
        <v/>
      </c>
      <c r="U384" t="str">
        <f t="shared" si="130"/>
        <v/>
      </c>
      <c r="V384" t="str">
        <f t="shared" si="131"/>
        <v/>
      </c>
      <c r="W384" t="str">
        <f t="shared" si="132"/>
        <v/>
      </c>
      <c r="X384" s="38" t="str">
        <f t="shared" si="133"/>
        <v/>
      </c>
      <c r="Y384" s="38" t="str">
        <f t="shared" si="134"/>
        <v/>
      </c>
      <c r="Z384" s="39" t="str">
        <f t="shared" si="135"/>
        <v/>
      </c>
      <c r="AA384" s="39" t="str">
        <f t="shared" si="136"/>
        <v/>
      </c>
      <c r="AB384" s="40" t="str">
        <f t="shared" si="137"/>
        <v/>
      </c>
      <c r="AC384" t="str">
        <f>IF(L384="","",IF(AND($AO$2=1,ISNA(MATCH(L384,'02-شباط'!$L$2:$L$501,0))),"محذوف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38"/>
        <v/>
      </c>
      <c r="AH384" s="39" t="str">
        <f t="shared" si="139"/>
        <v/>
      </c>
      <c r="AI384" s="39" t="str">
        <f t="shared" si="140"/>
        <v/>
      </c>
      <c r="AJ384" s="39" t="str">
        <f t="shared" si="141"/>
        <v/>
      </c>
      <c r="AK384" t="str">
        <f t="shared" si="142"/>
        <v/>
      </c>
      <c r="AL384" t="str">
        <f t="shared" si="143"/>
        <v/>
      </c>
    </row>
    <row r="385" spans="11:38" ht="15">
      <c r="K385" t="str">
        <f t="shared" si="120"/>
        <v/>
      </c>
      <c r="L385" t="str">
        <f t="shared" si="121"/>
        <v/>
      </c>
      <c r="M385" s="36" t="str">
        <f t="shared" si="122"/>
        <v/>
      </c>
      <c r="N385" s="37" t="str">
        <f t="shared" si="123"/>
        <v/>
      </c>
      <c r="O385" s="37" t="str">
        <f t="shared" si="124"/>
        <v/>
      </c>
      <c r="P385" s="38" t="str">
        <f t="shared" si="125"/>
        <v/>
      </c>
      <c r="Q385" s="39" t="str">
        <f t="shared" si="126"/>
        <v/>
      </c>
      <c r="R385" s="39" t="str">
        <f t="shared" si="127"/>
        <v/>
      </c>
      <c r="S385" t="str">
        <f t="shared" si="128"/>
        <v/>
      </c>
      <c r="T385" s="39" t="str">
        <f t="shared" si="129"/>
        <v/>
      </c>
      <c r="U385" t="str">
        <f t="shared" si="130"/>
        <v/>
      </c>
      <c r="V385" t="str">
        <f t="shared" si="131"/>
        <v/>
      </c>
      <c r="W385" t="str">
        <f t="shared" si="132"/>
        <v/>
      </c>
      <c r="X385" s="38" t="str">
        <f t="shared" si="133"/>
        <v/>
      </c>
      <c r="Y385" s="38" t="str">
        <f t="shared" si="134"/>
        <v/>
      </c>
      <c r="Z385" s="39" t="str">
        <f t="shared" si="135"/>
        <v/>
      </c>
      <c r="AA385" s="39" t="str">
        <f t="shared" si="136"/>
        <v/>
      </c>
      <c r="AB385" s="40" t="str">
        <f t="shared" si="137"/>
        <v/>
      </c>
      <c r="AC385" t="str">
        <f>IF(L385="","",IF(AND($AO$2=1,ISNA(MATCH(L385,'02-شباط'!$L$2:$L$501,0))),"محذوف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38"/>
        <v/>
      </c>
      <c r="AH385" s="39" t="str">
        <f t="shared" si="139"/>
        <v/>
      </c>
      <c r="AI385" s="39" t="str">
        <f t="shared" si="140"/>
        <v/>
      </c>
      <c r="AJ385" s="39" t="str">
        <f t="shared" si="141"/>
        <v/>
      </c>
      <c r="AK385" t="str">
        <f t="shared" si="142"/>
        <v/>
      </c>
      <c r="AL385" t="str">
        <f t="shared" si="143"/>
        <v/>
      </c>
    </row>
    <row r="386" spans="11:38" ht="15">
      <c r="K386" t="str">
        <f t="shared" ref="K386:K449" si="144">IF(L386="","",IF(U386&lt;&gt;"","⚠",""))</f>
        <v/>
      </c>
      <c r="L386" t="str">
        <f t="shared" ref="L386:L449" si="145">IF(A386="","",TRIM(A386))</f>
        <v/>
      </c>
      <c r="M386" s="36" t="str">
        <f t="shared" ref="M386:M449" si="146">IF(L386="","",IF(ISNUMBER(SEARCH("دولار",F386)),1,IF(ISNUMBER(SEARCH("ليرة",F386)),IF($AO$3&gt;0,1/$AO$3,0),0)))</f>
        <v/>
      </c>
      <c r="N386" s="37" t="str">
        <f t="shared" ref="N386:N449" si="147">IF(L386="","",N(I386)*M386)</f>
        <v/>
      </c>
      <c r="O386" s="37" t="str">
        <f t="shared" ref="O386:O449" si="148">IF(L386="","",M386*CHOOSE($AO$4,N(C386),N(D386),N(E386)))</f>
        <v/>
      </c>
      <c r="P386" s="38" t="str">
        <f t="shared" ref="P386:P449" si="149">IF(L386="","",MAX(N(B386),0))</f>
        <v/>
      </c>
      <c r="Q386" s="39" t="str">
        <f t="shared" ref="Q386:Q449" si="150">IF(L386="","",P386*N386)</f>
        <v/>
      </c>
      <c r="R386" s="39" t="str">
        <f t="shared" ref="R386:R449" si="151">IF(L386="","",P386*O386)</f>
        <v/>
      </c>
      <c r="S386" t="str">
        <f t="shared" ref="S386:S449" si="152">IF(L386="","",IF(AND(P386&gt;0,N386&gt;0,O386&gt;0),1,0))</f>
        <v/>
      </c>
      <c r="T386" s="39" t="str">
        <f t="shared" ref="T386:T449" si="153">IF(L386="","",S386*(R386-Q386))</f>
        <v/>
      </c>
      <c r="U386" t="str">
        <f t="shared" ref="U386:U449" si="154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 t="shared" ref="V386:V449" si="155">IF(L386="","",0)</f>
        <v/>
      </c>
      <c r="W386" t="str">
        <f t="shared" ref="W386:W449" si="156">IF(L386="","",IF(AND($AO$1=1,V386=0),"جديد",""))</f>
        <v/>
      </c>
      <c r="X386" s="38" t="str">
        <f t="shared" ref="X386:X449" si="157">IF(L386="","","")</f>
        <v/>
      </c>
      <c r="Y386" s="38" t="str">
        <f t="shared" ref="Y386:Y449" si="158">IF(OR(L386="",X386=""),"",P386-X386)</f>
        <v/>
      </c>
      <c r="Z386" s="39" t="str">
        <f t="shared" ref="Z386:Z449" si="159">IF(L386="","","")</f>
        <v/>
      </c>
      <c r="AA386" s="39" t="str">
        <f t="shared" ref="AA386:AA449" si="160">IF(OR(L386="",Z386=""),"",Q386-Z386)</f>
        <v/>
      </c>
      <c r="AB386" s="40" t="str">
        <f t="shared" ref="AB386:AB449" si="161">IF(L386="","","")</f>
        <v/>
      </c>
      <c r="AC386" t="str">
        <f>IF(L386="","",IF(AND($AO$2=1,ISNA(MATCH(L386,'02-شباط'!$L$2:$L$501,0))),"محذوف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62">IF(AA386="","",ABS(AA386)+ROW()/1000000000)</f>
        <v/>
      </c>
      <c r="AH386" s="39" t="str">
        <f t="shared" ref="AH386:AH449" si="163">IF(L386="","",IF(AND(P386&gt;0,N386&gt;0,N(C386)&gt;0),P386*(M386*N(C386)-N386),0))</f>
        <v/>
      </c>
      <c r="AI386" s="39" t="str">
        <f t="shared" ref="AI386:AI449" si="164">IF(L386="","",IF(AND(P386&gt;0,N386&gt;0,N(D386)&gt;0),P386*(M386*N(D386)-N386),0))</f>
        <v/>
      </c>
      <c r="AJ386" s="39" t="str">
        <f t="shared" ref="AJ386:AJ449" si="165">IF(L386="","",IF(AND(P386&gt;0,N386&gt;0,N(E386)&gt;0),P386*(M386*N(E386)-N386),0))</f>
        <v/>
      </c>
      <c r="AK386" t="str">
        <f t="shared" ref="AK386:AK449" si="166">IF(L386="","",Q386+ROW()/1000000000)</f>
        <v/>
      </c>
      <c r="AL386" t="str">
        <f t="shared" ref="AL386:AL449" si="167">IF(L386="","",T386+ROW()/1000000000)</f>
        <v/>
      </c>
    </row>
    <row r="387" spans="11:38" ht="15">
      <c r="K387" t="str">
        <f t="shared" si="144"/>
        <v/>
      </c>
      <c r="L387" t="str">
        <f t="shared" si="145"/>
        <v/>
      </c>
      <c r="M387" s="36" t="str">
        <f t="shared" si="146"/>
        <v/>
      </c>
      <c r="N387" s="37" t="str">
        <f t="shared" si="147"/>
        <v/>
      </c>
      <c r="O387" s="37" t="str">
        <f t="shared" si="148"/>
        <v/>
      </c>
      <c r="P387" s="38" t="str">
        <f t="shared" si="149"/>
        <v/>
      </c>
      <c r="Q387" s="39" t="str">
        <f t="shared" si="150"/>
        <v/>
      </c>
      <c r="R387" s="39" t="str">
        <f t="shared" si="151"/>
        <v/>
      </c>
      <c r="S387" t="str">
        <f t="shared" si="152"/>
        <v/>
      </c>
      <c r="T387" s="39" t="str">
        <f t="shared" si="153"/>
        <v/>
      </c>
      <c r="U387" t="str">
        <f t="shared" si="154"/>
        <v/>
      </c>
      <c r="V387" t="str">
        <f t="shared" si="155"/>
        <v/>
      </c>
      <c r="W387" t="str">
        <f t="shared" si="156"/>
        <v/>
      </c>
      <c r="X387" s="38" t="str">
        <f t="shared" si="157"/>
        <v/>
      </c>
      <c r="Y387" s="38" t="str">
        <f t="shared" si="158"/>
        <v/>
      </c>
      <c r="Z387" s="39" t="str">
        <f t="shared" si="159"/>
        <v/>
      </c>
      <c r="AA387" s="39" t="str">
        <f t="shared" si="160"/>
        <v/>
      </c>
      <c r="AB387" s="40" t="str">
        <f t="shared" si="161"/>
        <v/>
      </c>
      <c r="AC387" t="str">
        <f>IF(L387="","",IF(AND($AO$2=1,ISNA(MATCH(L387,'02-شباط'!$L$2:$L$501,0))),"محذوف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62"/>
        <v/>
      </c>
      <c r="AH387" s="39" t="str">
        <f t="shared" si="163"/>
        <v/>
      </c>
      <c r="AI387" s="39" t="str">
        <f t="shared" si="164"/>
        <v/>
      </c>
      <c r="AJ387" s="39" t="str">
        <f t="shared" si="165"/>
        <v/>
      </c>
      <c r="AK387" t="str">
        <f t="shared" si="166"/>
        <v/>
      </c>
      <c r="AL387" t="str">
        <f t="shared" si="167"/>
        <v/>
      </c>
    </row>
    <row r="388" spans="11:38" ht="15">
      <c r="K388" t="str">
        <f t="shared" si="144"/>
        <v/>
      </c>
      <c r="L388" t="str">
        <f t="shared" si="145"/>
        <v/>
      </c>
      <c r="M388" s="36" t="str">
        <f t="shared" si="146"/>
        <v/>
      </c>
      <c r="N388" s="37" t="str">
        <f t="shared" si="147"/>
        <v/>
      </c>
      <c r="O388" s="37" t="str">
        <f t="shared" si="148"/>
        <v/>
      </c>
      <c r="P388" s="38" t="str">
        <f t="shared" si="149"/>
        <v/>
      </c>
      <c r="Q388" s="39" t="str">
        <f t="shared" si="150"/>
        <v/>
      </c>
      <c r="R388" s="39" t="str">
        <f t="shared" si="151"/>
        <v/>
      </c>
      <c r="S388" t="str">
        <f t="shared" si="152"/>
        <v/>
      </c>
      <c r="T388" s="39" t="str">
        <f t="shared" si="153"/>
        <v/>
      </c>
      <c r="U388" t="str">
        <f t="shared" si="154"/>
        <v/>
      </c>
      <c r="V388" t="str">
        <f t="shared" si="155"/>
        <v/>
      </c>
      <c r="W388" t="str">
        <f t="shared" si="156"/>
        <v/>
      </c>
      <c r="X388" s="38" t="str">
        <f t="shared" si="157"/>
        <v/>
      </c>
      <c r="Y388" s="38" t="str">
        <f t="shared" si="158"/>
        <v/>
      </c>
      <c r="Z388" s="39" t="str">
        <f t="shared" si="159"/>
        <v/>
      </c>
      <c r="AA388" s="39" t="str">
        <f t="shared" si="160"/>
        <v/>
      </c>
      <c r="AB388" s="40" t="str">
        <f t="shared" si="161"/>
        <v/>
      </c>
      <c r="AC388" t="str">
        <f>IF(L388="","",IF(AND($AO$2=1,ISNA(MATCH(L388,'02-شباط'!$L$2:$L$501,0))),"محذوف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62"/>
        <v/>
      </c>
      <c r="AH388" s="39" t="str">
        <f t="shared" si="163"/>
        <v/>
      </c>
      <c r="AI388" s="39" t="str">
        <f t="shared" si="164"/>
        <v/>
      </c>
      <c r="AJ388" s="39" t="str">
        <f t="shared" si="165"/>
        <v/>
      </c>
      <c r="AK388" t="str">
        <f t="shared" si="166"/>
        <v/>
      </c>
      <c r="AL388" t="str">
        <f t="shared" si="167"/>
        <v/>
      </c>
    </row>
    <row r="389" spans="11:38" ht="15">
      <c r="K389" t="str">
        <f t="shared" si="144"/>
        <v/>
      </c>
      <c r="L389" t="str">
        <f t="shared" si="145"/>
        <v/>
      </c>
      <c r="M389" s="36" t="str">
        <f t="shared" si="146"/>
        <v/>
      </c>
      <c r="N389" s="37" t="str">
        <f t="shared" si="147"/>
        <v/>
      </c>
      <c r="O389" s="37" t="str">
        <f t="shared" si="148"/>
        <v/>
      </c>
      <c r="P389" s="38" t="str">
        <f t="shared" si="149"/>
        <v/>
      </c>
      <c r="Q389" s="39" t="str">
        <f t="shared" si="150"/>
        <v/>
      </c>
      <c r="R389" s="39" t="str">
        <f t="shared" si="151"/>
        <v/>
      </c>
      <c r="S389" t="str">
        <f t="shared" si="152"/>
        <v/>
      </c>
      <c r="T389" s="39" t="str">
        <f t="shared" si="153"/>
        <v/>
      </c>
      <c r="U389" t="str">
        <f t="shared" si="154"/>
        <v/>
      </c>
      <c r="V389" t="str">
        <f t="shared" si="155"/>
        <v/>
      </c>
      <c r="W389" t="str">
        <f t="shared" si="156"/>
        <v/>
      </c>
      <c r="X389" s="38" t="str">
        <f t="shared" si="157"/>
        <v/>
      </c>
      <c r="Y389" s="38" t="str">
        <f t="shared" si="158"/>
        <v/>
      </c>
      <c r="Z389" s="39" t="str">
        <f t="shared" si="159"/>
        <v/>
      </c>
      <c r="AA389" s="39" t="str">
        <f t="shared" si="160"/>
        <v/>
      </c>
      <c r="AB389" s="40" t="str">
        <f t="shared" si="161"/>
        <v/>
      </c>
      <c r="AC389" t="str">
        <f>IF(L389="","",IF(AND($AO$2=1,ISNA(MATCH(L389,'02-شباط'!$L$2:$L$501,0))),"محذوف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62"/>
        <v/>
      </c>
      <c r="AH389" s="39" t="str">
        <f t="shared" si="163"/>
        <v/>
      </c>
      <c r="AI389" s="39" t="str">
        <f t="shared" si="164"/>
        <v/>
      </c>
      <c r="AJ389" s="39" t="str">
        <f t="shared" si="165"/>
        <v/>
      </c>
      <c r="AK389" t="str">
        <f t="shared" si="166"/>
        <v/>
      </c>
      <c r="AL389" t="str">
        <f t="shared" si="167"/>
        <v/>
      </c>
    </row>
    <row r="390" spans="11:38" ht="15">
      <c r="K390" t="str">
        <f t="shared" si="144"/>
        <v/>
      </c>
      <c r="L390" t="str">
        <f t="shared" si="145"/>
        <v/>
      </c>
      <c r="M390" s="36" t="str">
        <f t="shared" si="146"/>
        <v/>
      </c>
      <c r="N390" s="37" t="str">
        <f t="shared" si="147"/>
        <v/>
      </c>
      <c r="O390" s="37" t="str">
        <f t="shared" si="148"/>
        <v/>
      </c>
      <c r="P390" s="38" t="str">
        <f t="shared" si="149"/>
        <v/>
      </c>
      <c r="Q390" s="39" t="str">
        <f t="shared" si="150"/>
        <v/>
      </c>
      <c r="R390" s="39" t="str">
        <f t="shared" si="151"/>
        <v/>
      </c>
      <c r="S390" t="str">
        <f t="shared" si="152"/>
        <v/>
      </c>
      <c r="T390" s="39" t="str">
        <f t="shared" si="153"/>
        <v/>
      </c>
      <c r="U390" t="str">
        <f t="shared" si="154"/>
        <v/>
      </c>
      <c r="V390" t="str">
        <f t="shared" si="155"/>
        <v/>
      </c>
      <c r="W390" t="str">
        <f t="shared" si="156"/>
        <v/>
      </c>
      <c r="X390" s="38" t="str">
        <f t="shared" si="157"/>
        <v/>
      </c>
      <c r="Y390" s="38" t="str">
        <f t="shared" si="158"/>
        <v/>
      </c>
      <c r="Z390" s="39" t="str">
        <f t="shared" si="159"/>
        <v/>
      </c>
      <c r="AA390" s="39" t="str">
        <f t="shared" si="160"/>
        <v/>
      </c>
      <c r="AB390" s="40" t="str">
        <f t="shared" si="161"/>
        <v/>
      </c>
      <c r="AC390" t="str">
        <f>IF(L390="","",IF(AND($AO$2=1,ISNA(MATCH(L390,'02-شباط'!$L$2:$L$501,0))),"محذوف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62"/>
        <v/>
      </c>
      <c r="AH390" s="39" t="str">
        <f t="shared" si="163"/>
        <v/>
      </c>
      <c r="AI390" s="39" t="str">
        <f t="shared" si="164"/>
        <v/>
      </c>
      <c r="AJ390" s="39" t="str">
        <f t="shared" si="165"/>
        <v/>
      </c>
      <c r="AK390" t="str">
        <f t="shared" si="166"/>
        <v/>
      </c>
      <c r="AL390" t="str">
        <f t="shared" si="167"/>
        <v/>
      </c>
    </row>
    <row r="391" spans="11:38" ht="15">
      <c r="K391" t="str">
        <f t="shared" si="144"/>
        <v/>
      </c>
      <c r="L391" t="str">
        <f t="shared" si="145"/>
        <v/>
      </c>
      <c r="M391" s="36" t="str">
        <f t="shared" si="146"/>
        <v/>
      </c>
      <c r="N391" s="37" t="str">
        <f t="shared" si="147"/>
        <v/>
      </c>
      <c r="O391" s="37" t="str">
        <f t="shared" si="148"/>
        <v/>
      </c>
      <c r="P391" s="38" t="str">
        <f t="shared" si="149"/>
        <v/>
      </c>
      <c r="Q391" s="39" t="str">
        <f t="shared" si="150"/>
        <v/>
      </c>
      <c r="R391" s="39" t="str">
        <f t="shared" si="151"/>
        <v/>
      </c>
      <c r="S391" t="str">
        <f t="shared" si="152"/>
        <v/>
      </c>
      <c r="T391" s="39" t="str">
        <f t="shared" si="153"/>
        <v/>
      </c>
      <c r="U391" t="str">
        <f t="shared" si="154"/>
        <v/>
      </c>
      <c r="V391" t="str">
        <f t="shared" si="155"/>
        <v/>
      </c>
      <c r="W391" t="str">
        <f t="shared" si="156"/>
        <v/>
      </c>
      <c r="X391" s="38" t="str">
        <f t="shared" si="157"/>
        <v/>
      </c>
      <c r="Y391" s="38" t="str">
        <f t="shared" si="158"/>
        <v/>
      </c>
      <c r="Z391" s="39" t="str">
        <f t="shared" si="159"/>
        <v/>
      </c>
      <c r="AA391" s="39" t="str">
        <f t="shared" si="160"/>
        <v/>
      </c>
      <c r="AB391" s="40" t="str">
        <f t="shared" si="161"/>
        <v/>
      </c>
      <c r="AC391" t="str">
        <f>IF(L391="","",IF(AND($AO$2=1,ISNA(MATCH(L391,'02-شباط'!$L$2:$L$501,0))),"محذوف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62"/>
        <v/>
      </c>
      <c r="AH391" s="39" t="str">
        <f t="shared" si="163"/>
        <v/>
      </c>
      <c r="AI391" s="39" t="str">
        <f t="shared" si="164"/>
        <v/>
      </c>
      <c r="AJ391" s="39" t="str">
        <f t="shared" si="165"/>
        <v/>
      </c>
      <c r="AK391" t="str">
        <f t="shared" si="166"/>
        <v/>
      </c>
      <c r="AL391" t="str">
        <f t="shared" si="167"/>
        <v/>
      </c>
    </row>
    <row r="392" spans="11:38" ht="15">
      <c r="K392" t="str">
        <f t="shared" si="144"/>
        <v/>
      </c>
      <c r="L392" t="str">
        <f t="shared" si="145"/>
        <v/>
      </c>
      <c r="M392" s="36" t="str">
        <f t="shared" si="146"/>
        <v/>
      </c>
      <c r="N392" s="37" t="str">
        <f t="shared" si="147"/>
        <v/>
      </c>
      <c r="O392" s="37" t="str">
        <f t="shared" si="148"/>
        <v/>
      </c>
      <c r="P392" s="38" t="str">
        <f t="shared" si="149"/>
        <v/>
      </c>
      <c r="Q392" s="39" t="str">
        <f t="shared" si="150"/>
        <v/>
      </c>
      <c r="R392" s="39" t="str">
        <f t="shared" si="151"/>
        <v/>
      </c>
      <c r="S392" t="str">
        <f t="shared" si="152"/>
        <v/>
      </c>
      <c r="T392" s="39" t="str">
        <f t="shared" si="153"/>
        <v/>
      </c>
      <c r="U392" t="str">
        <f t="shared" si="154"/>
        <v/>
      </c>
      <c r="V392" t="str">
        <f t="shared" si="155"/>
        <v/>
      </c>
      <c r="W392" t="str">
        <f t="shared" si="156"/>
        <v/>
      </c>
      <c r="X392" s="38" t="str">
        <f t="shared" si="157"/>
        <v/>
      </c>
      <c r="Y392" s="38" t="str">
        <f t="shared" si="158"/>
        <v/>
      </c>
      <c r="Z392" s="39" t="str">
        <f t="shared" si="159"/>
        <v/>
      </c>
      <c r="AA392" s="39" t="str">
        <f t="shared" si="160"/>
        <v/>
      </c>
      <c r="AB392" s="40" t="str">
        <f t="shared" si="161"/>
        <v/>
      </c>
      <c r="AC392" t="str">
        <f>IF(L392="","",IF(AND($AO$2=1,ISNA(MATCH(L392,'02-شباط'!$L$2:$L$501,0))),"محذوف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62"/>
        <v/>
      </c>
      <c r="AH392" s="39" t="str">
        <f t="shared" si="163"/>
        <v/>
      </c>
      <c r="AI392" s="39" t="str">
        <f t="shared" si="164"/>
        <v/>
      </c>
      <c r="AJ392" s="39" t="str">
        <f t="shared" si="165"/>
        <v/>
      </c>
      <c r="AK392" t="str">
        <f t="shared" si="166"/>
        <v/>
      </c>
      <c r="AL392" t="str">
        <f t="shared" si="167"/>
        <v/>
      </c>
    </row>
    <row r="393" spans="11:38" ht="15">
      <c r="K393" t="str">
        <f t="shared" si="144"/>
        <v/>
      </c>
      <c r="L393" t="str">
        <f t="shared" si="145"/>
        <v/>
      </c>
      <c r="M393" s="36" t="str">
        <f t="shared" si="146"/>
        <v/>
      </c>
      <c r="N393" s="37" t="str">
        <f t="shared" si="147"/>
        <v/>
      </c>
      <c r="O393" s="37" t="str">
        <f t="shared" si="148"/>
        <v/>
      </c>
      <c r="P393" s="38" t="str">
        <f t="shared" si="149"/>
        <v/>
      </c>
      <c r="Q393" s="39" t="str">
        <f t="shared" si="150"/>
        <v/>
      </c>
      <c r="R393" s="39" t="str">
        <f t="shared" si="151"/>
        <v/>
      </c>
      <c r="S393" t="str">
        <f t="shared" si="152"/>
        <v/>
      </c>
      <c r="T393" s="39" t="str">
        <f t="shared" si="153"/>
        <v/>
      </c>
      <c r="U393" t="str">
        <f t="shared" si="154"/>
        <v/>
      </c>
      <c r="V393" t="str">
        <f t="shared" si="155"/>
        <v/>
      </c>
      <c r="W393" t="str">
        <f t="shared" si="156"/>
        <v/>
      </c>
      <c r="X393" s="38" t="str">
        <f t="shared" si="157"/>
        <v/>
      </c>
      <c r="Y393" s="38" t="str">
        <f t="shared" si="158"/>
        <v/>
      </c>
      <c r="Z393" s="39" t="str">
        <f t="shared" si="159"/>
        <v/>
      </c>
      <c r="AA393" s="39" t="str">
        <f t="shared" si="160"/>
        <v/>
      </c>
      <c r="AB393" s="40" t="str">
        <f t="shared" si="161"/>
        <v/>
      </c>
      <c r="AC393" t="str">
        <f>IF(L393="","",IF(AND($AO$2=1,ISNA(MATCH(L393,'02-شباط'!$L$2:$L$501,0))),"محذوف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62"/>
        <v/>
      </c>
      <c r="AH393" s="39" t="str">
        <f t="shared" si="163"/>
        <v/>
      </c>
      <c r="AI393" s="39" t="str">
        <f t="shared" si="164"/>
        <v/>
      </c>
      <c r="AJ393" s="39" t="str">
        <f t="shared" si="165"/>
        <v/>
      </c>
      <c r="AK393" t="str">
        <f t="shared" si="166"/>
        <v/>
      </c>
      <c r="AL393" t="str">
        <f t="shared" si="167"/>
        <v/>
      </c>
    </row>
    <row r="394" spans="11:38" ht="15">
      <c r="K394" t="str">
        <f t="shared" si="144"/>
        <v/>
      </c>
      <c r="L394" t="str">
        <f t="shared" si="145"/>
        <v/>
      </c>
      <c r="M394" s="36" t="str">
        <f t="shared" si="146"/>
        <v/>
      </c>
      <c r="N394" s="37" t="str">
        <f t="shared" si="147"/>
        <v/>
      </c>
      <c r="O394" s="37" t="str">
        <f t="shared" si="148"/>
        <v/>
      </c>
      <c r="P394" s="38" t="str">
        <f t="shared" si="149"/>
        <v/>
      </c>
      <c r="Q394" s="39" t="str">
        <f t="shared" si="150"/>
        <v/>
      </c>
      <c r="R394" s="39" t="str">
        <f t="shared" si="151"/>
        <v/>
      </c>
      <c r="S394" t="str">
        <f t="shared" si="152"/>
        <v/>
      </c>
      <c r="T394" s="39" t="str">
        <f t="shared" si="153"/>
        <v/>
      </c>
      <c r="U394" t="str">
        <f t="shared" si="154"/>
        <v/>
      </c>
      <c r="V394" t="str">
        <f t="shared" si="155"/>
        <v/>
      </c>
      <c r="W394" t="str">
        <f t="shared" si="156"/>
        <v/>
      </c>
      <c r="X394" s="38" t="str">
        <f t="shared" si="157"/>
        <v/>
      </c>
      <c r="Y394" s="38" t="str">
        <f t="shared" si="158"/>
        <v/>
      </c>
      <c r="Z394" s="39" t="str">
        <f t="shared" si="159"/>
        <v/>
      </c>
      <c r="AA394" s="39" t="str">
        <f t="shared" si="160"/>
        <v/>
      </c>
      <c r="AB394" s="40" t="str">
        <f t="shared" si="161"/>
        <v/>
      </c>
      <c r="AC394" t="str">
        <f>IF(L394="","",IF(AND($AO$2=1,ISNA(MATCH(L394,'02-شباط'!$L$2:$L$501,0))),"محذوف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62"/>
        <v/>
      </c>
      <c r="AH394" s="39" t="str">
        <f t="shared" si="163"/>
        <v/>
      </c>
      <c r="AI394" s="39" t="str">
        <f t="shared" si="164"/>
        <v/>
      </c>
      <c r="AJ394" s="39" t="str">
        <f t="shared" si="165"/>
        <v/>
      </c>
      <c r="AK394" t="str">
        <f t="shared" si="166"/>
        <v/>
      </c>
      <c r="AL394" t="str">
        <f t="shared" si="167"/>
        <v/>
      </c>
    </row>
    <row r="395" spans="11:38" ht="15">
      <c r="K395" t="str">
        <f t="shared" si="144"/>
        <v/>
      </c>
      <c r="L395" t="str">
        <f t="shared" si="145"/>
        <v/>
      </c>
      <c r="M395" s="36" t="str">
        <f t="shared" si="146"/>
        <v/>
      </c>
      <c r="N395" s="37" t="str">
        <f t="shared" si="147"/>
        <v/>
      </c>
      <c r="O395" s="37" t="str">
        <f t="shared" si="148"/>
        <v/>
      </c>
      <c r="P395" s="38" t="str">
        <f t="shared" si="149"/>
        <v/>
      </c>
      <c r="Q395" s="39" t="str">
        <f t="shared" si="150"/>
        <v/>
      </c>
      <c r="R395" s="39" t="str">
        <f t="shared" si="151"/>
        <v/>
      </c>
      <c r="S395" t="str">
        <f t="shared" si="152"/>
        <v/>
      </c>
      <c r="T395" s="39" t="str">
        <f t="shared" si="153"/>
        <v/>
      </c>
      <c r="U395" t="str">
        <f t="shared" si="154"/>
        <v/>
      </c>
      <c r="V395" t="str">
        <f t="shared" si="155"/>
        <v/>
      </c>
      <c r="W395" t="str">
        <f t="shared" si="156"/>
        <v/>
      </c>
      <c r="X395" s="38" t="str">
        <f t="shared" si="157"/>
        <v/>
      </c>
      <c r="Y395" s="38" t="str">
        <f t="shared" si="158"/>
        <v/>
      </c>
      <c r="Z395" s="39" t="str">
        <f t="shared" si="159"/>
        <v/>
      </c>
      <c r="AA395" s="39" t="str">
        <f t="shared" si="160"/>
        <v/>
      </c>
      <c r="AB395" s="40" t="str">
        <f t="shared" si="161"/>
        <v/>
      </c>
      <c r="AC395" t="str">
        <f>IF(L395="","",IF(AND($AO$2=1,ISNA(MATCH(L395,'02-شباط'!$L$2:$L$501,0))),"محذوف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62"/>
        <v/>
      </c>
      <c r="AH395" s="39" t="str">
        <f t="shared" si="163"/>
        <v/>
      </c>
      <c r="AI395" s="39" t="str">
        <f t="shared" si="164"/>
        <v/>
      </c>
      <c r="AJ395" s="39" t="str">
        <f t="shared" si="165"/>
        <v/>
      </c>
      <c r="AK395" t="str">
        <f t="shared" si="166"/>
        <v/>
      </c>
      <c r="AL395" t="str">
        <f t="shared" si="167"/>
        <v/>
      </c>
    </row>
    <row r="396" spans="11:38" ht="15">
      <c r="K396" t="str">
        <f t="shared" si="144"/>
        <v/>
      </c>
      <c r="L396" t="str">
        <f t="shared" si="145"/>
        <v/>
      </c>
      <c r="M396" s="36" t="str">
        <f t="shared" si="146"/>
        <v/>
      </c>
      <c r="N396" s="37" t="str">
        <f t="shared" si="147"/>
        <v/>
      </c>
      <c r="O396" s="37" t="str">
        <f t="shared" si="148"/>
        <v/>
      </c>
      <c r="P396" s="38" t="str">
        <f t="shared" si="149"/>
        <v/>
      </c>
      <c r="Q396" s="39" t="str">
        <f t="shared" si="150"/>
        <v/>
      </c>
      <c r="R396" s="39" t="str">
        <f t="shared" si="151"/>
        <v/>
      </c>
      <c r="S396" t="str">
        <f t="shared" si="152"/>
        <v/>
      </c>
      <c r="T396" s="39" t="str">
        <f t="shared" si="153"/>
        <v/>
      </c>
      <c r="U396" t="str">
        <f t="shared" si="154"/>
        <v/>
      </c>
      <c r="V396" t="str">
        <f t="shared" si="155"/>
        <v/>
      </c>
      <c r="W396" t="str">
        <f t="shared" si="156"/>
        <v/>
      </c>
      <c r="X396" s="38" t="str">
        <f t="shared" si="157"/>
        <v/>
      </c>
      <c r="Y396" s="38" t="str">
        <f t="shared" si="158"/>
        <v/>
      </c>
      <c r="Z396" s="39" t="str">
        <f t="shared" si="159"/>
        <v/>
      </c>
      <c r="AA396" s="39" t="str">
        <f t="shared" si="160"/>
        <v/>
      </c>
      <c r="AB396" s="40" t="str">
        <f t="shared" si="161"/>
        <v/>
      </c>
      <c r="AC396" t="str">
        <f>IF(L396="","",IF(AND($AO$2=1,ISNA(MATCH(L396,'02-شباط'!$L$2:$L$501,0))),"محذوف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62"/>
        <v/>
      </c>
      <c r="AH396" s="39" t="str">
        <f t="shared" si="163"/>
        <v/>
      </c>
      <c r="AI396" s="39" t="str">
        <f t="shared" si="164"/>
        <v/>
      </c>
      <c r="AJ396" s="39" t="str">
        <f t="shared" si="165"/>
        <v/>
      </c>
      <c r="AK396" t="str">
        <f t="shared" si="166"/>
        <v/>
      </c>
      <c r="AL396" t="str">
        <f t="shared" si="167"/>
        <v/>
      </c>
    </row>
    <row r="397" spans="11:38" ht="15">
      <c r="K397" t="str">
        <f t="shared" si="144"/>
        <v/>
      </c>
      <c r="L397" t="str">
        <f t="shared" si="145"/>
        <v/>
      </c>
      <c r="M397" s="36" t="str">
        <f t="shared" si="146"/>
        <v/>
      </c>
      <c r="N397" s="37" t="str">
        <f t="shared" si="147"/>
        <v/>
      </c>
      <c r="O397" s="37" t="str">
        <f t="shared" si="148"/>
        <v/>
      </c>
      <c r="P397" s="38" t="str">
        <f t="shared" si="149"/>
        <v/>
      </c>
      <c r="Q397" s="39" t="str">
        <f t="shared" si="150"/>
        <v/>
      </c>
      <c r="R397" s="39" t="str">
        <f t="shared" si="151"/>
        <v/>
      </c>
      <c r="S397" t="str">
        <f t="shared" si="152"/>
        <v/>
      </c>
      <c r="T397" s="39" t="str">
        <f t="shared" si="153"/>
        <v/>
      </c>
      <c r="U397" t="str">
        <f t="shared" si="154"/>
        <v/>
      </c>
      <c r="V397" t="str">
        <f t="shared" si="155"/>
        <v/>
      </c>
      <c r="W397" t="str">
        <f t="shared" si="156"/>
        <v/>
      </c>
      <c r="X397" s="38" t="str">
        <f t="shared" si="157"/>
        <v/>
      </c>
      <c r="Y397" s="38" t="str">
        <f t="shared" si="158"/>
        <v/>
      </c>
      <c r="Z397" s="39" t="str">
        <f t="shared" si="159"/>
        <v/>
      </c>
      <c r="AA397" s="39" t="str">
        <f t="shared" si="160"/>
        <v/>
      </c>
      <c r="AB397" s="40" t="str">
        <f t="shared" si="161"/>
        <v/>
      </c>
      <c r="AC397" t="str">
        <f>IF(L397="","",IF(AND($AO$2=1,ISNA(MATCH(L397,'02-شباط'!$L$2:$L$501,0))),"محذوف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62"/>
        <v/>
      </c>
      <c r="AH397" s="39" t="str">
        <f t="shared" si="163"/>
        <v/>
      </c>
      <c r="AI397" s="39" t="str">
        <f t="shared" si="164"/>
        <v/>
      </c>
      <c r="AJ397" s="39" t="str">
        <f t="shared" si="165"/>
        <v/>
      </c>
      <c r="AK397" t="str">
        <f t="shared" si="166"/>
        <v/>
      </c>
      <c r="AL397" t="str">
        <f t="shared" si="167"/>
        <v/>
      </c>
    </row>
    <row r="398" spans="11:38" ht="15">
      <c r="K398" t="str">
        <f t="shared" si="144"/>
        <v/>
      </c>
      <c r="L398" t="str">
        <f t="shared" si="145"/>
        <v/>
      </c>
      <c r="M398" s="36" t="str">
        <f t="shared" si="146"/>
        <v/>
      </c>
      <c r="N398" s="37" t="str">
        <f t="shared" si="147"/>
        <v/>
      </c>
      <c r="O398" s="37" t="str">
        <f t="shared" si="148"/>
        <v/>
      </c>
      <c r="P398" s="38" t="str">
        <f t="shared" si="149"/>
        <v/>
      </c>
      <c r="Q398" s="39" t="str">
        <f t="shared" si="150"/>
        <v/>
      </c>
      <c r="R398" s="39" t="str">
        <f t="shared" si="151"/>
        <v/>
      </c>
      <c r="S398" t="str">
        <f t="shared" si="152"/>
        <v/>
      </c>
      <c r="T398" s="39" t="str">
        <f t="shared" si="153"/>
        <v/>
      </c>
      <c r="U398" t="str">
        <f t="shared" si="154"/>
        <v/>
      </c>
      <c r="V398" t="str">
        <f t="shared" si="155"/>
        <v/>
      </c>
      <c r="W398" t="str">
        <f t="shared" si="156"/>
        <v/>
      </c>
      <c r="X398" s="38" t="str">
        <f t="shared" si="157"/>
        <v/>
      </c>
      <c r="Y398" s="38" t="str">
        <f t="shared" si="158"/>
        <v/>
      </c>
      <c r="Z398" s="39" t="str">
        <f t="shared" si="159"/>
        <v/>
      </c>
      <c r="AA398" s="39" t="str">
        <f t="shared" si="160"/>
        <v/>
      </c>
      <c r="AB398" s="40" t="str">
        <f t="shared" si="161"/>
        <v/>
      </c>
      <c r="AC398" t="str">
        <f>IF(L398="","",IF(AND($AO$2=1,ISNA(MATCH(L398,'02-شباط'!$L$2:$L$501,0))),"محذوف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62"/>
        <v/>
      </c>
      <c r="AH398" s="39" t="str">
        <f t="shared" si="163"/>
        <v/>
      </c>
      <c r="AI398" s="39" t="str">
        <f t="shared" si="164"/>
        <v/>
      </c>
      <c r="AJ398" s="39" t="str">
        <f t="shared" si="165"/>
        <v/>
      </c>
      <c r="AK398" t="str">
        <f t="shared" si="166"/>
        <v/>
      </c>
      <c r="AL398" t="str">
        <f t="shared" si="167"/>
        <v/>
      </c>
    </row>
    <row r="399" spans="11:38" ht="15">
      <c r="K399" t="str">
        <f t="shared" si="144"/>
        <v/>
      </c>
      <c r="L399" t="str">
        <f t="shared" si="145"/>
        <v/>
      </c>
      <c r="M399" s="36" t="str">
        <f t="shared" si="146"/>
        <v/>
      </c>
      <c r="N399" s="37" t="str">
        <f t="shared" si="147"/>
        <v/>
      </c>
      <c r="O399" s="37" t="str">
        <f t="shared" si="148"/>
        <v/>
      </c>
      <c r="P399" s="38" t="str">
        <f t="shared" si="149"/>
        <v/>
      </c>
      <c r="Q399" s="39" t="str">
        <f t="shared" si="150"/>
        <v/>
      </c>
      <c r="R399" s="39" t="str">
        <f t="shared" si="151"/>
        <v/>
      </c>
      <c r="S399" t="str">
        <f t="shared" si="152"/>
        <v/>
      </c>
      <c r="T399" s="39" t="str">
        <f t="shared" si="153"/>
        <v/>
      </c>
      <c r="U399" t="str">
        <f t="shared" si="154"/>
        <v/>
      </c>
      <c r="V399" t="str">
        <f t="shared" si="155"/>
        <v/>
      </c>
      <c r="W399" t="str">
        <f t="shared" si="156"/>
        <v/>
      </c>
      <c r="X399" s="38" t="str">
        <f t="shared" si="157"/>
        <v/>
      </c>
      <c r="Y399" s="38" t="str">
        <f t="shared" si="158"/>
        <v/>
      </c>
      <c r="Z399" s="39" t="str">
        <f t="shared" si="159"/>
        <v/>
      </c>
      <c r="AA399" s="39" t="str">
        <f t="shared" si="160"/>
        <v/>
      </c>
      <c r="AB399" s="40" t="str">
        <f t="shared" si="161"/>
        <v/>
      </c>
      <c r="AC399" t="str">
        <f>IF(L399="","",IF(AND($AO$2=1,ISNA(MATCH(L399,'02-شباط'!$L$2:$L$501,0))),"محذوف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62"/>
        <v/>
      </c>
      <c r="AH399" s="39" t="str">
        <f t="shared" si="163"/>
        <v/>
      </c>
      <c r="AI399" s="39" t="str">
        <f t="shared" si="164"/>
        <v/>
      </c>
      <c r="AJ399" s="39" t="str">
        <f t="shared" si="165"/>
        <v/>
      </c>
      <c r="AK399" t="str">
        <f t="shared" si="166"/>
        <v/>
      </c>
      <c r="AL399" t="str">
        <f t="shared" si="167"/>
        <v/>
      </c>
    </row>
    <row r="400" spans="11:38" ht="15">
      <c r="K400" t="str">
        <f t="shared" si="144"/>
        <v/>
      </c>
      <c r="L400" t="str">
        <f t="shared" si="145"/>
        <v/>
      </c>
      <c r="M400" s="36" t="str">
        <f t="shared" si="146"/>
        <v/>
      </c>
      <c r="N400" s="37" t="str">
        <f t="shared" si="147"/>
        <v/>
      </c>
      <c r="O400" s="37" t="str">
        <f t="shared" si="148"/>
        <v/>
      </c>
      <c r="P400" s="38" t="str">
        <f t="shared" si="149"/>
        <v/>
      </c>
      <c r="Q400" s="39" t="str">
        <f t="shared" si="150"/>
        <v/>
      </c>
      <c r="R400" s="39" t="str">
        <f t="shared" si="151"/>
        <v/>
      </c>
      <c r="S400" t="str">
        <f t="shared" si="152"/>
        <v/>
      </c>
      <c r="T400" s="39" t="str">
        <f t="shared" si="153"/>
        <v/>
      </c>
      <c r="U400" t="str">
        <f t="shared" si="154"/>
        <v/>
      </c>
      <c r="V400" t="str">
        <f t="shared" si="155"/>
        <v/>
      </c>
      <c r="W400" t="str">
        <f t="shared" si="156"/>
        <v/>
      </c>
      <c r="X400" s="38" t="str">
        <f t="shared" si="157"/>
        <v/>
      </c>
      <c r="Y400" s="38" t="str">
        <f t="shared" si="158"/>
        <v/>
      </c>
      <c r="Z400" s="39" t="str">
        <f t="shared" si="159"/>
        <v/>
      </c>
      <c r="AA400" s="39" t="str">
        <f t="shared" si="160"/>
        <v/>
      </c>
      <c r="AB400" s="40" t="str">
        <f t="shared" si="161"/>
        <v/>
      </c>
      <c r="AC400" t="str">
        <f>IF(L400="","",IF(AND($AO$2=1,ISNA(MATCH(L400,'02-شباط'!$L$2:$L$501,0))),"محذوف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62"/>
        <v/>
      </c>
      <c r="AH400" s="39" t="str">
        <f t="shared" si="163"/>
        <v/>
      </c>
      <c r="AI400" s="39" t="str">
        <f t="shared" si="164"/>
        <v/>
      </c>
      <c r="AJ400" s="39" t="str">
        <f t="shared" si="165"/>
        <v/>
      </c>
      <c r="AK400" t="str">
        <f t="shared" si="166"/>
        <v/>
      </c>
      <c r="AL400" t="str">
        <f t="shared" si="167"/>
        <v/>
      </c>
    </row>
    <row r="401" spans="11:38" ht="15">
      <c r="K401" t="str">
        <f t="shared" si="144"/>
        <v/>
      </c>
      <c r="L401" t="str">
        <f t="shared" si="145"/>
        <v/>
      </c>
      <c r="M401" s="36" t="str">
        <f t="shared" si="146"/>
        <v/>
      </c>
      <c r="N401" s="37" t="str">
        <f t="shared" si="147"/>
        <v/>
      </c>
      <c r="O401" s="37" t="str">
        <f t="shared" si="148"/>
        <v/>
      </c>
      <c r="P401" s="38" t="str">
        <f t="shared" si="149"/>
        <v/>
      </c>
      <c r="Q401" s="39" t="str">
        <f t="shared" si="150"/>
        <v/>
      </c>
      <c r="R401" s="39" t="str">
        <f t="shared" si="151"/>
        <v/>
      </c>
      <c r="S401" t="str">
        <f t="shared" si="152"/>
        <v/>
      </c>
      <c r="T401" s="39" t="str">
        <f t="shared" si="153"/>
        <v/>
      </c>
      <c r="U401" t="str">
        <f t="shared" si="154"/>
        <v/>
      </c>
      <c r="V401" t="str">
        <f t="shared" si="155"/>
        <v/>
      </c>
      <c r="W401" t="str">
        <f t="shared" si="156"/>
        <v/>
      </c>
      <c r="X401" s="38" t="str">
        <f t="shared" si="157"/>
        <v/>
      </c>
      <c r="Y401" s="38" t="str">
        <f t="shared" si="158"/>
        <v/>
      </c>
      <c r="Z401" s="39" t="str">
        <f t="shared" si="159"/>
        <v/>
      </c>
      <c r="AA401" s="39" t="str">
        <f t="shared" si="160"/>
        <v/>
      </c>
      <c r="AB401" s="40" t="str">
        <f t="shared" si="161"/>
        <v/>
      </c>
      <c r="AC401" t="str">
        <f>IF(L401="","",IF(AND($AO$2=1,ISNA(MATCH(L401,'02-شباط'!$L$2:$L$501,0))),"محذوف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62"/>
        <v/>
      </c>
      <c r="AH401" s="39" t="str">
        <f t="shared" si="163"/>
        <v/>
      </c>
      <c r="AI401" s="39" t="str">
        <f t="shared" si="164"/>
        <v/>
      </c>
      <c r="AJ401" s="39" t="str">
        <f t="shared" si="165"/>
        <v/>
      </c>
      <c r="AK401" t="str">
        <f t="shared" si="166"/>
        <v/>
      </c>
      <c r="AL401" t="str">
        <f t="shared" si="167"/>
        <v/>
      </c>
    </row>
    <row r="402" spans="11:38" ht="15">
      <c r="K402" t="str">
        <f t="shared" si="144"/>
        <v/>
      </c>
      <c r="L402" t="str">
        <f t="shared" si="145"/>
        <v/>
      </c>
      <c r="M402" s="36" t="str">
        <f t="shared" si="146"/>
        <v/>
      </c>
      <c r="N402" s="37" t="str">
        <f t="shared" si="147"/>
        <v/>
      </c>
      <c r="O402" s="37" t="str">
        <f t="shared" si="148"/>
        <v/>
      </c>
      <c r="P402" s="38" t="str">
        <f t="shared" si="149"/>
        <v/>
      </c>
      <c r="Q402" s="39" t="str">
        <f t="shared" si="150"/>
        <v/>
      </c>
      <c r="R402" s="39" t="str">
        <f t="shared" si="151"/>
        <v/>
      </c>
      <c r="S402" t="str">
        <f t="shared" si="152"/>
        <v/>
      </c>
      <c r="T402" s="39" t="str">
        <f t="shared" si="153"/>
        <v/>
      </c>
      <c r="U402" t="str">
        <f t="shared" si="154"/>
        <v/>
      </c>
      <c r="V402" t="str">
        <f t="shared" si="155"/>
        <v/>
      </c>
      <c r="W402" t="str">
        <f t="shared" si="156"/>
        <v/>
      </c>
      <c r="X402" s="38" t="str">
        <f t="shared" si="157"/>
        <v/>
      </c>
      <c r="Y402" s="38" t="str">
        <f t="shared" si="158"/>
        <v/>
      </c>
      <c r="Z402" s="39" t="str">
        <f t="shared" si="159"/>
        <v/>
      </c>
      <c r="AA402" s="39" t="str">
        <f t="shared" si="160"/>
        <v/>
      </c>
      <c r="AB402" s="40" t="str">
        <f t="shared" si="161"/>
        <v/>
      </c>
      <c r="AC402" t="str">
        <f>IF(L402="","",IF(AND($AO$2=1,ISNA(MATCH(L402,'02-شباط'!$L$2:$L$501,0))),"محذوف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62"/>
        <v/>
      </c>
      <c r="AH402" s="39" t="str">
        <f t="shared" si="163"/>
        <v/>
      </c>
      <c r="AI402" s="39" t="str">
        <f t="shared" si="164"/>
        <v/>
      </c>
      <c r="AJ402" s="39" t="str">
        <f t="shared" si="165"/>
        <v/>
      </c>
      <c r="AK402" t="str">
        <f t="shared" si="166"/>
        <v/>
      </c>
      <c r="AL402" t="str">
        <f t="shared" si="167"/>
        <v/>
      </c>
    </row>
    <row r="403" spans="11:38" ht="15">
      <c r="K403" t="str">
        <f t="shared" si="144"/>
        <v/>
      </c>
      <c r="L403" t="str">
        <f t="shared" si="145"/>
        <v/>
      </c>
      <c r="M403" s="36" t="str">
        <f t="shared" si="146"/>
        <v/>
      </c>
      <c r="N403" s="37" t="str">
        <f t="shared" si="147"/>
        <v/>
      </c>
      <c r="O403" s="37" t="str">
        <f t="shared" si="148"/>
        <v/>
      </c>
      <c r="P403" s="38" t="str">
        <f t="shared" si="149"/>
        <v/>
      </c>
      <c r="Q403" s="39" t="str">
        <f t="shared" si="150"/>
        <v/>
      </c>
      <c r="R403" s="39" t="str">
        <f t="shared" si="151"/>
        <v/>
      </c>
      <c r="S403" t="str">
        <f t="shared" si="152"/>
        <v/>
      </c>
      <c r="T403" s="39" t="str">
        <f t="shared" si="153"/>
        <v/>
      </c>
      <c r="U403" t="str">
        <f t="shared" si="154"/>
        <v/>
      </c>
      <c r="V403" t="str">
        <f t="shared" si="155"/>
        <v/>
      </c>
      <c r="W403" t="str">
        <f t="shared" si="156"/>
        <v/>
      </c>
      <c r="X403" s="38" t="str">
        <f t="shared" si="157"/>
        <v/>
      </c>
      <c r="Y403" s="38" t="str">
        <f t="shared" si="158"/>
        <v/>
      </c>
      <c r="Z403" s="39" t="str">
        <f t="shared" si="159"/>
        <v/>
      </c>
      <c r="AA403" s="39" t="str">
        <f t="shared" si="160"/>
        <v/>
      </c>
      <c r="AB403" s="40" t="str">
        <f t="shared" si="161"/>
        <v/>
      </c>
      <c r="AC403" t="str">
        <f>IF(L403="","",IF(AND($AO$2=1,ISNA(MATCH(L403,'02-شباط'!$L$2:$L$501,0))),"محذوف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62"/>
        <v/>
      </c>
      <c r="AH403" s="39" t="str">
        <f t="shared" si="163"/>
        <v/>
      </c>
      <c r="AI403" s="39" t="str">
        <f t="shared" si="164"/>
        <v/>
      </c>
      <c r="AJ403" s="39" t="str">
        <f t="shared" si="165"/>
        <v/>
      </c>
      <c r="AK403" t="str">
        <f t="shared" si="166"/>
        <v/>
      </c>
      <c r="AL403" t="str">
        <f t="shared" si="167"/>
        <v/>
      </c>
    </row>
    <row r="404" spans="11:38" ht="15">
      <c r="K404" t="str">
        <f t="shared" si="144"/>
        <v/>
      </c>
      <c r="L404" t="str">
        <f t="shared" si="145"/>
        <v/>
      </c>
      <c r="M404" s="36" t="str">
        <f t="shared" si="146"/>
        <v/>
      </c>
      <c r="N404" s="37" t="str">
        <f t="shared" si="147"/>
        <v/>
      </c>
      <c r="O404" s="37" t="str">
        <f t="shared" si="148"/>
        <v/>
      </c>
      <c r="P404" s="38" t="str">
        <f t="shared" si="149"/>
        <v/>
      </c>
      <c r="Q404" s="39" t="str">
        <f t="shared" si="150"/>
        <v/>
      </c>
      <c r="R404" s="39" t="str">
        <f t="shared" si="151"/>
        <v/>
      </c>
      <c r="S404" t="str">
        <f t="shared" si="152"/>
        <v/>
      </c>
      <c r="T404" s="39" t="str">
        <f t="shared" si="153"/>
        <v/>
      </c>
      <c r="U404" t="str">
        <f t="shared" si="154"/>
        <v/>
      </c>
      <c r="V404" t="str">
        <f t="shared" si="155"/>
        <v/>
      </c>
      <c r="W404" t="str">
        <f t="shared" si="156"/>
        <v/>
      </c>
      <c r="X404" s="38" t="str">
        <f t="shared" si="157"/>
        <v/>
      </c>
      <c r="Y404" s="38" t="str">
        <f t="shared" si="158"/>
        <v/>
      </c>
      <c r="Z404" s="39" t="str">
        <f t="shared" si="159"/>
        <v/>
      </c>
      <c r="AA404" s="39" t="str">
        <f t="shared" si="160"/>
        <v/>
      </c>
      <c r="AB404" s="40" t="str">
        <f t="shared" si="161"/>
        <v/>
      </c>
      <c r="AC404" t="str">
        <f>IF(L404="","",IF(AND($AO$2=1,ISNA(MATCH(L404,'02-شباط'!$L$2:$L$501,0))),"محذوف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62"/>
        <v/>
      </c>
      <c r="AH404" s="39" t="str">
        <f t="shared" si="163"/>
        <v/>
      </c>
      <c r="AI404" s="39" t="str">
        <f t="shared" si="164"/>
        <v/>
      </c>
      <c r="AJ404" s="39" t="str">
        <f t="shared" si="165"/>
        <v/>
      </c>
      <c r="AK404" t="str">
        <f t="shared" si="166"/>
        <v/>
      </c>
      <c r="AL404" t="str">
        <f t="shared" si="167"/>
        <v/>
      </c>
    </row>
    <row r="405" spans="11:38" ht="15">
      <c r="K405" t="str">
        <f t="shared" si="144"/>
        <v/>
      </c>
      <c r="L405" t="str">
        <f t="shared" si="145"/>
        <v/>
      </c>
      <c r="M405" s="36" t="str">
        <f t="shared" si="146"/>
        <v/>
      </c>
      <c r="N405" s="37" t="str">
        <f t="shared" si="147"/>
        <v/>
      </c>
      <c r="O405" s="37" t="str">
        <f t="shared" si="148"/>
        <v/>
      </c>
      <c r="P405" s="38" t="str">
        <f t="shared" si="149"/>
        <v/>
      </c>
      <c r="Q405" s="39" t="str">
        <f t="shared" si="150"/>
        <v/>
      </c>
      <c r="R405" s="39" t="str">
        <f t="shared" si="151"/>
        <v/>
      </c>
      <c r="S405" t="str">
        <f t="shared" si="152"/>
        <v/>
      </c>
      <c r="T405" s="39" t="str">
        <f t="shared" si="153"/>
        <v/>
      </c>
      <c r="U405" t="str">
        <f t="shared" si="154"/>
        <v/>
      </c>
      <c r="V405" t="str">
        <f t="shared" si="155"/>
        <v/>
      </c>
      <c r="W405" t="str">
        <f t="shared" si="156"/>
        <v/>
      </c>
      <c r="X405" s="38" t="str">
        <f t="shared" si="157"/>
        <v/>
      </c>
      <c r="Y405" s="38" t="str">
        <f t="shared" si="158"/>
        <v/>
      </c>
      <c r="Z405" s="39" t="str">
        <f t="shared" si="159"/>
        <v/>
      </c>
      <c r="AA405" s="39" t="str">
        <f t="shared" si="160"/>
        <v/>
      </c>
      <c r="AB405" s="40" t="str">
        <f t="shared" si="161"/>
        <v/>
      </c>
      <c r="AC405" t="str">
        <f>IF(L405="","",IF(AND($AO$2=1,ISNA(MATCH(L405,'02-شباط'!$L$2:$L$501,0))),"محذوف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62"/>
        <v/>
      </c>
      <c r="AH405" s="39" t="str">
        <f t="shared" si="163"/>
        <v/>
      </c>
      <c r="AI405" s="39" t="str">
        <f t="shared" si="164"/>
        <v/>
      </c>
      <c r="AJ405" s="39" t="str">
        <f t="shared" si="165"/>
        <v/>
      </c>
      <c r="AK405" t="str">
        <f t="shared" si="166"/>
        <v/>
      </c>
      <c r="AL405" t="str">
        <f t="shared" si="167"/>
        <v/>
      </c>
    </row>
    <row r="406" spans="11:38" ht="15">
      <c r="K406" t="str">
        <f t="shared" si="144"/>
        <v/>
      </c>
      <c r="L406" t="str">
        <f t="shared" si="145"/>
        <v/>
      </c>
      <c r="M406" s="36" t="str">
        <f t="shared" si="146"/>
        <v/>
      </c>
      <c r="N406" s="37" t="str">
        <f t="shared" si="147"/>
        <v/>
      </c>
      <c r="O406" s="37" t="str">
        <f t="shared" si="148"/>
        <v/>
      </c>
      <c r="P406" s="38" t="str">
        <f t="shared" si="149"/>
        <v/>
      </c>
      <c r="Q406" s="39" t="str">
        <f t="shared" si="150"/>
        <v/>
      </c>
      <c r="R406" s="39" t="str">
        <f t="shared" si="151"/>
        <v/>
      </c>
      <c r="S406" t="str">
        <f t="shared" si="152"/>
        <v/>
      </c>
      <c r="T406" s="39" t="str">
        <f t="shared" si="153"/>
        <v/>
      </c>
      <c r="U406" t="str">
        <f t="shared" si="154"/>
        <v/>
      </c>
      <c r="V406" t="str">
        <f t="shared" si="155"/>
        <v/>
      </c>
      <c r="W406" t="str">
        <f t="shared" si="156"/>
        <v/>
      </c>
      <c r="X406" s="38" t="str">
        <f t="shared" si="157"/>
        <v/>
      </c>
      <c r="Y406" s="38" t="str">
        <f t="shared" si="158"/>
        <v/>
      </c>
      <c r="Z406" s="39" t="str">
        <f t="shared" si="159"/>
        <v/>
      </c>
      <c r="AA406" s="39" t="str">
        <f t="shared" si="160"/>
        <v/>
      </c>
      <c r="AB406" s="40" t="str">
        <f t="shared" si="161"/>
        <v/>
      </c>
      <c r="AC406" t="str">
        <f>IF(L406="","",IF(AND($AO$2=1,ISNA(MATCH(L406,'02-شباط'!$L$2:$L$501,0))),"محذوف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62"/>
        <v/>
      </c>
      <c r="AH406" s="39" t="str">
        <f t="shared" si="163"/>
        <v/>
      </c>
      <c r="AI406" s="39" t="str">
        <f t="shared" si="164"/>
        <v/>
      </c>
      <c r="AJ406" s="39" t="str">
        <f t="shared" si="165"/>
        <v/>
      </c>
      <c r="AK406" t="str">
        <f t="shared" si="166"/>
        <v/>
      </c>
      <c r="AL406" t="str">
        <f t="shared" si="167"/>
        <v/>
      </c>
    </row>
    <row r="407" spans="11:38" ht="15">
      <c r="K407" t="str">
        <f t="shared" si="144"/>
        <v/>
      </c>
      <c r="L407" t="str">
        <f t="shared" si="145"/>
        <v/>
      </c>
      <c r="M407" s="36" t="str">
        <f t="shared" si="146"/>
        <v/>
      </c>
      <c r="N407" s="37" t="str">
        <f t="shared" si="147"/>
        <v/>
      </c>
      <c r="O407" s="37" t="str">
        <f t="shared" si="148"/>
        <v/>
      </c>
      <c r="P407" s="38" t="str">
        <f t="shared" si="149"/>
        <v/>
      </c>
      <c r="Q407" s="39" t="str">
        <f t="shared" si="150"/>
        <v/>
      </c>
      <c r="R407" s="39" t="str">
        <f t="shared" si="151"/>
        <v/>
      </c>
      <c r="S407" t="str">
        <f t="shared" si="152"/>
        <v/>
      </c>
      <c r="T407" s="39" t="str">
        <f t="shared" si="153"/>
        <v/>
      </c>
      <c r="U407" t="str">
        <f t="shared" si="154"/>
        <v/>
      </c>
      <c r="V407" t="str">
        <f t="shared" si="155"/>
        <v/>
      </c>
      <c r="W407" t="str">
        <f t="shared" si="156"/>
        <v/>
      </c>
      <c r="X407" s="38" t="str">
        <f t="shared" si="157"/>
        <v/>
      </c>
      <c r="Y407" s="38" t="str">
        <f t="shared" si="158"/>
        <v/>
      </c>
      <c r="Z407" s="39" t="str">
        <f t="shared" si="159"/>
        <v/>
      </c>
      <c r="AA407" s="39" t="str">
        <f t="shared" si="160"/>
        <v/>
      </c>
      <c r="AB407" s="40" t="str">
        <f t="shared" si="161"/>
        <v/>
      </c>
      <c r="AC407" t="str">
        <f>IF(L407="","",IF(AND($AO$2=1,ISNA(MATCH(L407,'02-شباط'!$L$2:$L$501,0))),"محذوف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62"/>
        <v/>
      </c>
      <c r="AH407" s="39" t="str">
        <f t="shared" si="163"/>
        <v/>
      </c>
      <c r="AI407" s="39" t="str">
        <f t="shared" si="164"/>
        <v/>
      </c>
      <c r="AJ407" s="39" t="str">
        <f t="shared" si="165"/>
        <v/>
      </c>
      <c r="AK407" t="str">
        <f t="shared" si="166"/>
        <v/>
      </c>
      <c r="AL407" t="str">
        <f t="shared" si="167"/>
        <v/>
      </c>
    </row>
    <row r="408" spans="11:38" ht="15">
      <c r="K408" t="str">
        <f t="shared" si="144"/>
        <v/>
      </c>
      <c r="L408" t="str">
        <f t="shared" si="145"/>
        <v/>
      </c>
      <c r="M408" s="36" t="str">
        <f t="shared" si="146"/>
        <v/>
      </c>
      <c r="N408" s="37" t="str">
        <f t="shared" si="147"/>
        <v/>
      </c>
      <c r="O408" s="37" t="str">
        <f t="shared" si="148"/>
        <v/>
      </c>
      <c r="P408" s="38" t="str">
        <f t="shared" si="149"/>
        <v/>
      </c>
      <c r="Q408" s="39" t="str">
        <f t="shared" si="150"/>
        <v/>
      </c>
      <c r="R408" s="39" t="str">
        <f t="shared" si="151"/>
        <v/>
      </c>
      <c r="S408" t="str">
        <f t="shared" si="152"/>
        <v/>
      </c>
      <c r="T408" s="39" t="str">
        <f t="shared" si="153"/>
        <v/>
      </c>
      <c r="U408" t="str">
        <f t="shared" si="154"/>
        <v/>
      </c>
      <c r="V408" t="str">
        <f t="shared" si="155"/>
        <v/>
      </c>
      <c r="W408" t="str">
        <f t="shared" si="156"/>
        <v/>
      </c>
      <c r="X408" s="38" t="str">
        <f t="shared" si="157"/>
        <v/>
      </c>
      <c r="Y408" s="38" t="str">
        <f t="shared" si="158"/>
        <v/>
      </c>
      <c r="Z408" s="39" t="str">
        <f t="shared" si="159"/>
        <v/>
      </c>
      <c r="AA408" s="39" t="str">
        <f t="shared" si="160"/>
        <v/>
      </c>
      <c r="AB408" s="40" t="str">
        <f t="shared" si="161"/>
        <v/>
      </c>
      <c r="AC408" t="str">
        <f>IF(L408="","",IF(AND($AO$2=1,ISNA(MATCH(L408,'02-شباط'!$L$2:$L$501,0))),"محذوف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62"/>
        <v/>
      </c>
      <c r="AH408" s="39" t="str">
        <f t="shared" si="163"/>
        <v/>
      </c>
      <c r="AI408" s="39" t="str">
        <f t="shared" si="164"/>
        <v/>
      </c>
      <c r="AJ408" s="39" t="str">
        <f t="shared" si="165"/>
        <v/>
      </c>
      <c r="AK408" t="str">
        <f t="shared" si="166"/>
        <v/>
      </c>
      <c r="AL408" t="str">
        <f t="shared" si="167"/>
        <v/>
      </c>
    </row>
    <row r="409" spans="11:38" ht="15">
      <c r="K409" t="str">
        <f t="shared" si="144"/>
        <v/>
      </c>
      <c r="L409" t="str">
        <f t="shared" si="145"/>
        <v/>
      </c>
      <c r="M409" s="36" t="str">
        <f t="shared" si="146"/>
        <v/>
      </c>
      <c r="N409" s="37" t="str">
        <f t="shared" si="147"/>
        <v/>
      </c>
      <c r="O409" s="37" t="str">
        <f t="shared" si="148"/>
        <v/>
      </c>
      <c r="P409" s="38" t="str">
        <f t="shared" si="149"/>
        <v/>
      </c>
      <c r="Q409" s="39" t="str">
        <f t="shared" si="150"/>
        <v/>
      </c>
      <c r="R409" s="39" t="str">
        <f t="shared" si="151"/>
        <v/>
      </c>
      <c r="S409" t="str">
        <f t="shared" si="152"/>
        <v/>
      </c>
      <c r="T409" s="39" t="str">
        <f t="shared" si="153"/>
        <v/>
      </c>
      <c r="U409" t="str">
        <f t="shared" si="154"/>
        <v/>
      </c>
      <c r="V409" t="str">
        <f t="shared" si="155"/>
        <v/>
      </c>
      <c r="W409" t="str">
        <f t="shared" si="156"/>
        <v/>
      </c>
      <c r="X409" s="38" t="str">
        <f t="shared" si="157"/>
        <v/>
      </c>
      <c r="Y409" s="38" t="str">
        <f t="shared" si="158"/>
        <v/>
      </c>
      <c r="Z409" s="39" t="str">
        <f t="shared" si="159"/>
        <v/>
      </c>
      <c r="AA409" s="39" t="str">
        <f t="shared" si="160"/>
        <v/>
      </c>
      <c r="AB409" s="40" t="str">
        <f t="shared" si="161"/>
        <v/>
      </c>
      <c r="AC409" t="str">
        <f>IF(L409="","",IF(AND($AO$2=1,ISNA(MATCH(L409,'02-شباط'!$L$2:$L$501,0))),"محذوف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62"/>
        <v/>
      </c>
      <c r="AH409" s="39" t="str">
        <f t="shared" si="163"/>
        <v/>
      </c>
      <c r="AI409" s="39" t="str">
        <f t="shared" si="164"/>
        <v/>
      </c>
      <c r="AJ409" s="39" t="str">
        <f t="shared" si="165"/>
        <v/>
      </c>
      <c r="AK409" t="str">
        <f t="shared" si="166"/>
        <v/>
      </c>
      <c r="AL409" t="str">
        <f t="shared" si="167"/>
        <v/>
      </c>
    </row>
    <row r="410" spans="11:38" ht="15">
      <c r="K410" t="str">
        <f t="shared" si="144"/>
        <v/>
      </c>
      <c r="L410" t="str">
        <f t="shared" si="145"/>
        <v/>
      </c>
      <c r="M410" s="36" t="str">
        <f t="shared" si="146"/>
        <v/>
      </c>
      <c r="N410" s="37" t="str">
        <f t="shared" si="147"/>
        <v/>
      </c>
      <c r="O410" s="37" t="str">
        <f t="shared" si="148"/>
        <v/>
      </c>
      <c r="P410" s="38" t="str">
        <f t="shared" si="149"/>
        <v/>
      </c>
      <c r="Q410" s="39" t="str">
        <f t="shared" si="150"/>
        <v/>
      </c>
      <c r="R410" s="39" t="str">
        <f t="shared" si="151"/>
        <v/>
      </c>
      <c r="S410" t="str">
        <f t="shared" si="152"/>
        <v/>
      </c>
      <c r="T410" s="39" t="str">
        <f t="shared" si="153"/>
        <v/>
      </c>
      <c r="U410" t="str">
        <f t="shared" si="154"/>
        <v/>
      </c>
      <c r="V410" t="str">
        <f t="shared" si="155"/>
        <v/>
      </c>
      <c r="W410" t="str">
        <f t="shared" si="156"/>
        <v/>
      </c>
      <c r="X410" s="38" t="str">
        <f t="shared" si="157"/>
        <v/>
      </c>
      <c r="Y410" s="38" t="str">
        <f t="shared" si="158"/>
        <v/>
      </c>
      <c r="Z410" s="39" t="str">
        <f t="shared" si="159"/>
        <v/>
      </c>
      <c r="AA410" s="39" t="str">
        <f t="shared" si="160"/>
        <v/>
      </c>
      <c r="AB410" s="40" t="str">
        <f t="shared" si="161"/>
        <v/>
      </c>
      <c r="AC410" t="str">
        <f>IF(L410="","",IF(AND($AO$2=1,ISNA(MATCH(L410,'02-شباط'!$L$2:$L$501,0))),"محذوف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62"/>
        <v/>
      </c>
      <c r="AH410" s="39" t="str">
        <f t="shared" si="163"/>
        <v/>
      </c>
      <c r="AI410" s="39" t="str">
        <f t="shared" si="164"/>
        <v/>
      </c>
      <c r="AJ410" s="39" t="str">
        <f t="shared" si="165"/>
        <v/>
      </c>
      <c r="AK410" t="str">
        <f t="shared" si="166"/>
        <v/>
      </c>
      <c r="AL410" t="str">
        <f t="shared" si="167"/>
        <v/>
      </c>
    </row>
    <row r="411" spans="11:38" ht="15">
      <c r="K411" t="str">
        <f t="shared" si="144"/>
        <v/>
      </c>
      <c r="L411" t="str">
        <f t="shared" si="145"/>
        <v/>
      </c>
      <c r="M411" s="36" t="str">
        <f t="shared" si="146"/>
        <v/>
      </c>
      <c r="N411" s="37" t="str">
        <f t="shared" si="147"/>
        <v/>
      </c>
      <c r="O411" s="37" t="str">
        <f t="shared" si="148"/>
        <v/>
      </c>
      <c r="P411" s="38" t="str">
        <f t="shared" si="149"/>
        <v/>
      </c>
      <c r="Q411" s="39" t="str">
        <f t="shared" si="150"/>
        <v/>
      </c>
      <c r="R411" s="39" t="str">
        <f t="shared" si="151"/>
        <v/>
      </c>
      <c r="S411" t="str">
        <f t="shared" si="152"/>
        <v/>
      </c>
      <c r="T411" s="39" t="str">
        <f t="shared" si="153"/>
        <v/>
      </c>
      <c r="U411" t="str">
        <f t="shared" si="154"/>
        <v/>
      </c>
      <c r="V411" t="str">
        <f t="shared" si="155"/>
        <v/>
      </c>
      <c r="W411" t="str">
        <f t="shared" si="156"/>
        <v/>
      </c>
      <c r="X411" s="38" t="str">
        <f t="shared" si="157"/>
        <v/>
      </c>
      <c r="Y411" s="38" t="str">
        <f t="shared" si="158"/>
        <v/>
      </c>
      <c r="Z411" s="39" t="str">
        <f t="shared" si="159"/>
        <v/>
      </c>
      <c r="AA411" s="39" t="str">
        <f t="shared" si="160"/>
        <v/>
      </c>
      <c r="AB411" s="40" t="str">
        <f t="shared" si="161"/>
        <v/>
      </c>
      <c r="AC411" t="str">
        <f>IF(L411="","",IF(AND($AO$2=1,ISNA(MATCH(L411,'02-شباط'!$L$2:$L$501,0))),"محذوف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62"/>
        <v/>
      </c>
      <c r="AH411" s="39" t="str">
        <f t="shared" si="163"/>
        <v/>
      </c>
      <c r="AI411" s="39" t="str">
        <f t="shared" si="164"/>
        <v/>
      </c>
      <c r="AJ411" s="39" t="str">
        <f t="shared" si="165"/>
        <v/>
      </c>
      <c r="AK411" t="str">
        <f t="shared" si="166"/>
        <v/>
      </c>
      <c r="AL411" t="str">
        <f t="shared" si="167"/>
        <v/>
      </c>
    </row>
    <row r="412" spans="11:38" ht="15">
      <c r="K412" t="str">
        <f t="shared" si="144"/>
        <v/>
      </c>
      <c r="L412" t="str">
        <f t="shared" si="145"/>
        <v/>
      </c>
      <c r="M412" s="36" t="str">
        <f t="shared" si="146"/>
        <v/>
      </c>
      <c r="N412" s="37" t="str">
        <f t="shared" si="147"/>
        <v/>
      </c>
      <c r="O412" s="37" t="str">
        <f t="shared" si="148"/>
        <v/>
      </c>
      <c r="P412" s="38" t="str">
        <f t="shared" si="149"/>
        <v/>
      </c>
      <c r="Q412" s="39" t="str">
        <f t="shared" si="150"/>
        <v/>
      </c>
      <c r="R412" s="39" t="str">
        <f t="shared" si="151"/>
        <v/>
      </c>
      <c r="S412" t="str">
        <f t="shared" si="152"/>
        <v/>
      </c>
      <c r="T412" s="39" t="str">
        <f t="shared" si="153"/>
        <v/>
      </c>
      <c r="U412" t="str">
        <f t="shared" si="154"/>
        <v/>
      </c>
      <c r="V412" t="str">
        <f t="shared" si="155"/>
        <v/>
      </c>
      <c r="W412" t="str">
        <f t="shared" si="156"/>
        <v/>
      </c>
      <c r="X412" s="38" t="str">
        <f t="shared" si="157"/>
        <v/>
      </c>
      <c r="Y412" s="38" t="str">
        <f t="shared" si="158"/>
        <v/>
      </c>
      <c r="Z412" s="39" t="str">
        <f t="shared" si="159"/>
        <v/>
      </c>
      <c r="AA412" s="39" t="str">
        <f t="shared" si="160"/>
        <v/>
      </c>
      <c r="AB412" s="40" t="str">
        <f t="shared" si="161"/>
        <v/>
      </c>
      <c r="AC412" t="str">
        <f>IF(L412="","",IF(AND($AO$2=1,ISNA(MATCH(L412,'02-شباط'!$L$2:$L$501,0))),"محذوف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62"/>
        <v/>
      </c>
      <c r="AH412" s="39" t="str">
        <f t="shared" si="163"/>
        <v/>
      </c>
      <c r="AI412" s="39" t="str">
        <f t="shared" si="164"/>
        <v/>
      </c>
      <c r="AJ412" s="39" t="str">
        <f t="shared" si="165"/>
        <v/>
      </c>
      <c r="AK412" t="str">
        <f t="shared" si="166"/>
        <v/>
      </c>
      <c r="AL412" t="str">
        <f t="shared" si="167"/>
        <v/>
      </c>
    </row>
    <row r="413" spans="11:38" ht="15">
      <c r="K413" t="str">
        <f t="shared" si="144"/>
        <v/>
      </c>
      <c r="L413" t="str">
        <f t="shared" si="145"/>
        <v/>
      </c>
      <c r="M413" s="36" t="str">
        <f t="shared" si="146"/>
        <v/>
      </c>
      <c r="N413" s="37" t="str">
        <f t="shared" si="147"/>
        <v/>
      </c>
      <c r="O413" s="37" t="str">
        <f t="shared" si="148"/>
        <v/>
      </c>
      <c r="P413" s="38" t="str">
        <f t="shared" si="149"/>
        <v/>
      </c>
      <c r="Q413" s="39" t="str">
        <f t="shared" si="150"/>
        <v/>
      </c>
      <c r="R413" s="39" t="str">
        <f t="shared" si="151"/>
        <v/>
      </c>
      <c r="S413" t="str">
        <f t="shared" si="152"/>
        <v/>
      </c>
      <c r="T413" s="39" t="str">
        <f t="shared" si="153"/>
        <v/>
      </c>
      <c r="U413" t="str">
        <f t="shared" si="154"/>
        <v/>
      </c>
      <c r="V413" t="str">
        <f t="shared" si="155"/>
        <v/>
      </c>
      <c r="W413" t="str">
        <f t="shared" si="156"/>
        <v/>
      </c>
      <c r="X413" s="38" t="str">
        <f t="shared" si="157"/>
        <v/>
      </c>
      <c r="Y413" s="38" t="str">
        <f t="shared" si="158"/>
        <v/>
      </c>
      <c r="Z413" s="39" t="str">
        <f t="shared" si="159"/>
        <v/>
      </c>
      <c r="AA413" s="39" t="str">
        <f t="shared" si="160"/>
        <v/>
      </c>
      <c r="AB413" s="40" t="str">
        <f t="shared" si="161"/>
        <v/>
      </c>
      <c r="AC413" t="str">
        <f>IF(L413="","",IF(AND($AO$2=1,ISNA(MATCH(L413,'02-شباط'!$L$2:$L$501,0))),"محذوف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62"/>
        <v/>
      </c>
      <c r="AH413" s="39" t="str">
        <f t="shared" si="163"/>
        <v/>
      </c>
      <c r="AI413" s="39" t="str">
        <f t="shared" si="164"/>
        <v/>
      </c>
      <c r="AJ413" s="39" t="str">
        <f t="shared" si="165"/>
        <v/>
      </c>
      <c r="AK413" t="str">
        <f t="shared" si="166"/>
        <v/>
      </c>
      <c r="AL413" t="str">
        <f t="shared" si="167"/>
        <v/>
      </c>
    </row>
    <row r="414" spans="11:38" ht="15">
      <c r="K414" t="str">
        <f t="shared" si="144"/>
        <v/>
      </c>
      <c r="L414" t="str">
        <f t="shared" si="145"/>
        <v/>
      </c>
      <c r="M414" s="36" t="str">
        <f t="shared" si="146"/>
        <v/>
      </c>
      <c r="N414" s="37" t="str">
        <f t="shared" si="147"/>
        <v/>
      </c>
      <c r="O414" s="37" t="str">
        <f t="shared" si="148"/>
        <v/>
      </c>
      <c r="P414" s="38" t="str">
        <f t="shared" si="149"/>
        <v/>
      </c>
      <c r="Q414" s="39" t="str">
        <f t="shared" si="150"/>
        <v/>
      </c>
      <c r="R414" s="39" t="str">
        <f t="shared" si="151"/>
        <v/>
      </c>
      <c r="S414" t="str">
        <f t="shared" si="152"/>
        <v/>
      </c>
      <c r="T414" s="39" t="str">
        <f t="shared" si="153"/>
        <v/>
      </c>
      <c r="U414" t="str">
        <f t="shared" si="154"/>
        <v/>
      </c>
      <c r="V414" t="str">
        <f t="shared" si="155"/>
        <v/>
      </c>
      <c r="W414" t="str">
        <f t="shared" si="156"/>
        <v/>
      </c>
      <c r="X414" s="38" t="str">
        <f t="shared" si="157"/>
        <v/>
      </c>
      <c r="Y414" s="38" t="str">
        <f t="shared" si="158"/>
        <v/>
      </c>
      <c r="Z414" s="39" t="str">
        <f t="shared" si="159"/>
        <v/>
      </c>
      <c r="AA414" s="39" t="str">
        <f t="shared" si="160"/>
        <v/>
      </c>
      <c r="AB414" s="40" t="str">
        <f t="shared" si="161"/>
        <v/>
      </c>
      <c r="AC414" t="str">
        <f>IF(L414="","",IF(AND($AO$2=1,ISNA(MATCH(L414,'02-شباط'!$L$2:$L$501,0))),"محذوف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62"/>
        <v/>
      </c>
      <c r="AH414" s="39" t="str">
        <f t="shared" si="163"/>
        <v/>
      </c>
      <c r="AI414" s="39" t="str">
        <f t="shared" si="164"/>
        <v/>
      </c>
      <c r="AJ414" s="39" t="str">
        <f t="shared" si="165"/>
        <v/>
      </c>
      <c r="AK414" t="str">
        <f t="shared" si="166"/>
        <v/>
      </c>
      <c r="AL414" t="str">
        <f t="shared" si="167"/>
        <v/>
      </c>
    </row>
    <row r="415" spans="11:38" ht="15">
      <c r="K415" t="str">
        <f t="shared" si="144"/>
        <v/>
      </c>
      <c r="L415" t="str">
        <f t="shared" si="145"/>
        <v/>
      </c>
      <c r="M415" s="36" t="str">
        <f t="shared" si="146"/>
        <v/>
      </c>
      <c r="N415" s="37" t="str">
        <f t="shared" si="147"/>
        <v/>
      </c>
      <c r="O415" s="37" t="str">
        <f t="shared" si="148"/>
        <v/>
      </c>
      <c r="P415" s="38" t="str">
        <f t="shared" si="149"/>
        <v/>
      </c>
      <c r="Q415" s="39" t="str">
        <f t="shared" si="150"/>
        <v/>
      </c>
      <c r="R415" s="39" t="str">
        <f t="shared" si="151"/>
        <v/>
      </c>
      <c r="S415" t="str">
        <f t="shared" si="152"/>
        <v/>
      </c>
      <c r="T415" s="39" t="str">
        <f t="shared" si="153"/>
        <v/>
      </c>
      <c r="U415" t="str">
        <f t="shared" si="154"/>
        <v/>
      </c>
      <c r="V415" t="str">
        <f t="shared" si="155"/>
        <v/>
      </c>
      <c r="W415" t="str">
        <f t="shared" si="156"/>
        <v/>
      </c>
      <c r="X415" s="38" t="str">
        <f t="shared" si="157"/>
        <v/>
      </c>
      <c r="Y415" s="38" t="str">
        <f t="shared" si="158"/>
        <v/>
      </c>
      <c r="Z415" s="39" t="str">
        <f t="shared" si="159"/>
        <v/>
      </c>
      <c r="AA415" s="39" t="str">
        <f t="shared" si="160"/>
        <v/>
      </c>
      <c r="AB415" s="40" t="str">
        <f t="shared" si="161"/>
        <v/>
      </c>
      <c r="AC415" t="str">
        <f>IF(L415="","",IF(AND($AO$2=1,ISNA(MATCH(L415,'02-شباط'!$L$2:$L$501,0))),"محذوف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62"/>
        <v/>
      </c>
      <c r="AH415" s="39" t="str">
        <f t="shared" si="163"/>
        <v/>
      </c>
      <c r="AI415" s="39" t="str">
        <f t="shared" si="164"/>
        <v/>
      </c>
      <c r="AJ415" s="39" t="str">
        <f t="shared" si="165"/>
        <v/>
      </c>
      <c r="AK415" t="str">
        <f t="shared" si="166"/>
        <v/>
      </c>
      <c r="AL415" t="str">
        <f t="shared" si="167"/>
        <v/>
      </c>
    </row>
    <row r="416" spans="11:38" ht="15">
      <c r="K416" t="str">
        <f t="shared" si="144"/>
        <v/>
      </c>
      <c r="L416" t="str">
        <f t="shared" si="145"/>
        <v/>
      </c>
      <c r="M416" s="36" t="str">
        <f t="shared" si="146"/>
        <v/>
      </c>
      <c r="N416" s="37" t="str">
        <f t="shared" si="147"/>
        <v/>
      </c>
      <c r="O416" s="37" t="str">
        <f t="shared" si="148"/>
        <v/>
      </c>
      <c r="P416" s="38" t="str">
        <f t="shared" si="149"/>
        <v/>
      </c>
      <c r="Q416" s="39" t="str">
        <f t="shared" si="150"/>
        <v/>
      </c>
      <c r="R416" s="39" t="str">
        <f t="shared" si="151"/>
        <v/>
      </c>
      <c r="S416" t="str">
        <f t="shared" si="152"/>
        <v/>
      </c>
      <c r="T416" s="39" t="str">
        <f t="shared" si="153"/>
        <v/>
      </c>
      <c r="U416" t="str">
        <f t="shared" si="154"/>
        <v/>
      </c>
      <c r="V416" t="str">
        <f t="shared" si="155"/>
        <v/>
      </c>
      <c r="W416" t="str">
        <f t="shared" si="156"/>
        <v/>
      </c>
      <c r="X416" s="38" t="str">
        <f t="shared" si="157"/>
        <v/>
      </c>
      <c r="Y416" s="38" t="str">
        <f t="shared" si="158"/>
        <v/>
      </c>
      <c r="Z416" s="39" t="str">
        <f t="shared" si="159"/>
        <v/>
      </c>
      <c r="AA416" s="39" t="str">
        <f t="shared" si="160"/>
        <v/>
      </c>
      <c r="AB416" s="40" t="str">
        <f t="shared" si="161"/>
        <v/>
      </c>
      <c r="AC416" t="str">
        <f>IF(L416="","",IF(AND($AO$2=1,ISNA(MATCH(L416,'02-شباط'!$L$2:$L$501,0))),"محذوف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62"/>
        <v/>
      </c>
      <c r="AH416" s="39" t="str">
        <f t="shared" si="163"/>
        <v/>
      </c>
      <c r="AI416" s="39" t="str">
        <f t="shared" si="164"/>
        <v/>
      </c>
      <c r="AJ416" s="39" t="str">
        <f t="shared" si="165"/>
        <v/>
      </c>
      <c r="AK416" t="str">
        <f t="shared" si="166"/>
        <v/>
      </c>
      <c r="AL416" t="str">
        <f t="shared" si="167"/>
        <v/>
      </c>
    </row>
    <row r="417" spans="11:38" ht="15">
      <c r="K417" t="str">
        <f t="shared" si="144"/>
        <v/>
      </c>
      <c r="L417" t="str">
        <f t="shared" si="145"/>
        <v/>
      </c>
      <c r="M417" s="36" t="str">
        <f t="shared" si="146"/>
        <v/>
      </c>
      <c r="N417" s="37" t="str">
        <f t="shared" si="147"/>
        <v/>
      </c>
      <c r="O417" s="37" t="str">
        <f t="shared" si="148"/>
        <v/>
      </c>
      <c r="P417" s="38" t="str">
        <f t="shared" si="149"/>
        <v/>
      </c>
      <c r="Q417" s="39" t="str">
        <f t="shared" si="150"/>
        <v/>
      </c>
      <c r="R417" s="39" t="str">
        <f t="shared" si="151"/>
        <v/>
      </c>
      <c r="S417" t="str">
        <f t="shared" si="152"/>
        <v/>
      </c>
      <c r="T417" s="39" t="str">
        <f t="shared" si="153"/>
        <v/>
      </c>
      <c r="U417" t="str">
        <f t="shared" si="154"/>
        <v/>
      </c>
      <c r="V417" t="str">
        <f t="shared" si="155"/>
        <v/>
      </c>
      <c r="W417" t="str">
        <f t="shared" si="156"/>
        <v/>
      </c>
      <c r="X417" s="38" t="str">
        <f t="shared" si="157"/>
        <v/>
      </c>
      <c r="Y417" s="38" t="str">
        <f t="shared" si="158"/>
        <v/>
      </c>
      <c r="Z417" s="39" t="str">
        <f t="shared" si="159"/>
        <v/>
      </c>
      <c r="AA417" s="39" t="str">
        <f t="shared" si="160"/>
        <v/>
      </c>
      <c r="AB417" s="40" t="str">
        <f t="shared" si="161"/>
        <v/>
      </c>
      <c r="AC417" t="str">
        <f>IF(L417="","",IF(AND($AO$2=1,ISNA(MATCH(L417,'02-شباط'!$L$2:$L$501,0))),"محذوف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62"/>
        <v/>
      </c>
      <c r="AH417" s="39" t="str">
        <f t="shared" si="163"/>
        <v/>
      </c>
      <c r="AI417" s="39" t="str">
        <f t="shared" si="164"/>
        <v/>
      </c>
      <c r="AJ417" s="39" t="str">
        <f t="shared" si="165"/>
        <v/>
      </c>
      <c r="AK417" t="str">
        <f t="shared" si="166"/>
        <v/>
      </c>
      <c r="AL417" t="str">
        <f t="shared" si="167"/>
        <v/>
      </c>
    </row>
    <row r="418" spans="11:38" ht="15">
      <c r="K418" t="str">
        <f t="shared" si="144"/>
        <v/>
      </c>
      <c r="L418" t="str">
        <f t="shared" si="145"/>
        <v/>
      </c>
      <c r="M418" s="36" t="str">
        <f t="shared" si="146"/>
        <v/>
      </c>
      <c r="N418" s="37" t="str">
        <f t="shared" si="147"/>
        <v/>
      </c>
      <c r="O418" s="37" t="str">
        <f t="shared" si="148"/>
        <v/>
      </c>
      <c r="P418" s="38" t="str">
        <f t="shared" si="149"/>
        <v/>
      </c>
      <c r="Q418" s="39" t="str">
        <f t="shared" si="150"/>
        <v/>
      </c>
      <c r="R418" s="39" t="str">
        <f t="shared" si="151"/>
        <v/>
      </c>
      <c r="S418" t="str">
        <f t="shared" si="152"/>
        <v/>
      </c>
      <c r="T418" s="39" t="str">
        <f t="shared" si="153"/>
        <v/>
      </c>
      <c r="U418" t="str">
        <f t="shared" si="154"/>
        <v/>
      </c>
      <c r="V418" t="str">
        <f t="shared" si="155"/>
        <v/>
      </c>
      <c r="W418" t="str">
        <f t="shared" si="156"/>
        <v/>
      </c>
      <c r="X418" s="38" t="str">
        <f t="shared" si="157"/>
        <v/>
      </c>
      <c r="Y418" s="38" t="str">
        <f t="shared" si="158"/>
        <v/>
      </c>
      <c r="Z418" s="39" t="str">
        <f t="shared" si="159"/>
        <v/>
      </c>
      <c r="AA418" s="39" t="str">
        <f t="shared" si="160"/>
        <v/>
      </c>
      <c r="AB418" s="40" t="str">
        <f t="shared" si="161"/>
        <v/>
      </c>
      <c r="AC418" t="str">
        <f>IF(L418="","",IF(AND($AO$2=1,ISNA(MATCH(L418,'02-شباط'!$L$2:$L$501,0))),"محذوف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62"/>
        <v/>
      </c>
      <c r="AH418" s="39" t="str">
        <f t="shared" si="163"/>
        <v/>
      </c>
      <c r="AI418" s="39" t="str">
        <f t="shared" si="164"/>
        <v/>
      </c>
      <c r="AJ418" s="39" t="str">
        <f t="shared" si="165"/>
        <v/>
      </c>
      <c r="AK418" t="str">
        <f t="shared" si="166"/>
        <v/>
      </c>
      <c r="AL418" t="str">
        <f t="shared" si="167"/>
        <v/>
      </c>
    </row>
    <row r="419" spans="11:38" ht="15">
      <c r="K419" t="str">
        <f t="shared" si="144"/>
        <v/>
      </c>
      <c r="L419" t="str">
        <f t="shared" si="145"/>
        <v/>
      </c>
      <c r="M419" s="36" t="str">
        <f t="shared" si="146"/>
        <v/>
      </c>
      <c r="N419" s="37" t="str">
        <f t="shared" si="147"/>
        <v/>
      </c>
      <c r="O419" s="37" t="str">
        <f t="shared" si="148"/>
        <v/>
      </c>
      <c r="P419" s="38" t="str">
        <f t="shared" si="149"/>
        <v/>
      </c>
      <c r="Q419" s="39" t="str">
        <f t="shared" si="150"/>
        <v/>
      </c>
      <c r="R419" s="39" t="str">
        <f t="shared" si="151"/>
        <v/>
      </c>
      <c r="S419" t="str">
        <f t="shared" si="152"/>
        <v/>
      </c>
      <c r="T419" s="39" t="str">
        <f t="shared" si="153"/>
        <v/>
      </c>
      <c r="U419" t="str">
        <f t="shared" si="154"/>
        <v/>
      </c>
      <c r="V419" t="str">
        <f t="shared" si="155"/>
        <v/>
      </c>
      <c r="W419" t="str">
        <f t="shared" si="156"/>
        <v/>
      </c>
      <c r="X419" s="38" t="str">
        <f t="shared" si="157"/>
        <v/>
      </c>
      <c r="Y419" s="38" t="str">
        <f t="shared" si="158"/>
        <v/>
      </c>
      <c r="Z419" s="39" t="str">
        <f t="shared" si="159"/>
        <v/>
      </c>
      <c r="AA419" s="39" t="str">
        <f t="shared" si="160"/>
        <v/>
      </c>
      <c r="AB419" s="40" t="str">
        <f t="shared" si="161"/>
        <v/>
      </c>
      <c r="AC419" t="str">
        <f>IF(L419="","",IF(AND($AO$2=1,ISNA(MATCH(L419,'02-شباط'!$L$2:$L$501,0))),"محذوف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62"/>
        <v/>
      </c>
      <c r="AH419" s="39" t="str">
        <f t="shared" si="163"/>
        <v/>
      </c>
      <c r="AI419" s="39" t="str">
        <f t="shared" si="164"/>
        <v/>
      </c>
      <c r="AJ419" s="39" t="str">
        <f t="shared" si="165"/>
        <v/>
      </c>
      <c r="AK419" t="str">
        <f t="shared" si="166"/>
        <v/>
      </c>
      <c r="AL419" t="str">
        <f t="shared" si="167"/>
        <v/>
      </c>
    </row>
    <row r="420" spans="11:38" ht="15">
      <c r="K420" t="str">
        <f t="shared" si="144"/>
        <v/>
      </c>
      <c r="L420" t="str">
        <f t="shared" si="145"/>
        <v/>
      </c>
      <c r="M420" s="36" t="str">
        <f t="shared" si="146"/>
        <v/>
      </c>
      <c r="N420" s="37" t="str">
        <f t="shared" si="147"/>
        <v/>
      </c>
      <c r="O420" s="37" t="str">
        <f t="shared" si="148"/>
        <v/>
      </c>
      <c r="P420" s="38" t="str">
        <f t="shared" si="149"/>
        <v/>
      </c>
      <c r="Q420" s="39" t="str">
        <f t="shared" si="150"/>
        <v/>
      </c>
      <c r="R420" s="39" t="str">
        <f t="shared" si="151"/>
        <v/>
      </c>
      <c r="S420" t="str">
        <f t="shared" si="152"/>
        <v/>
      </c>
      <c r="T420" s="39" t="str">
        <f t="shared" si="153"/>
        <v/>
      </c>
      <c r="U420" t="str">
        <f t="shared" si="154"/>
        <v/>
      </c>
      <c r="V420" t="str">
        <f t="shared" si="155"/>
        <v/>
      </c>
      <c r="W420" t="str">
        <f t="shared" si="156"/>
        <v/>
      </c>
      <c r="X420" s="38" t="str">
        <f t="shared" si="157"/>
        <v/>
      </c>
      <c r="Y420" s="38" t="str">
        <f t="shared" si="158"/>
        <v/>
      </c>
      <c r="Z420" s="39" t="str">
        <f t="shared" si="159"/>
        <v/>
      </c>
      <c r="AA420" s="39" t="str">
        <f t="shared" si="160"/>
        <v/>
      </c>
      <c r="AB420" s="40" t="str">
        <f t="shared" si="161"/>
        <v/>
      </c>
      <c r="AC420" t="str">
        <f>IF(L420="","",IF(AND($AO$2=1,ISNA(MATCH(L420,'02-شباط'!$L$2:$L$501,0))),"محذوف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62"/>
        <v/>
      </c>
      <c r="AH420" s="39" t="str">
        <f t="shared" si="163"/>
        <v/>
      </c>
      <c r="AI420" s="39" t="str">
        <f t="shared" si="164"/>
        <v/>
      </c>
      <c r="AJ420" s="39" t="str">
        <f t="shared" si="165"/>
        <v/>
      </c>
      <c r="AK420" t="str">
        <f t="shared" si="166"/>
        <v/>
      </c>
      <c r="AL420" t="str">
        <f t="shared" si="167"/>
        <v/>
      </c>
    </row>
    <row r="421" spans="11:38" ht="15">
      <c r="K421" t="str">
        <f t="shared" si="144"/>
        <v/>
      </c>
      <c r="L421" t="str">
        <f t="shared" si="145"/>
        <v/>
      </c>
      <c r="M421" s="36" t="str">
        <f t="shared" si="146"/>
        <v/>
      </c>
      <c r="N421" s="37" t="str">
        <f t="shared" si="147"/>
        <v/>
      </c>
      <c r="O421" s="37" t="str">
        <f t="shared" si="148"/>
        <v/>
      </c>
      <c r="P421" s="38" t="str">
        <f t="shared" si="149"/>
        <v/>
      </c>
      <c r="Q421" s="39" t="str">
        <f t="shared" si="150"/>
        <v/>
      </c>
      <c r="R421" s="39" t="str">
        <f t="shared" si="151"/>
        <v/>
      </c>
      <c r="S421" t="str">
        <f t="shared" si="152"/>
        <v/>
      </c>
      <c r="T421" s="39" t="str">
        <f t="shared" si="153"/>
        <v/>
      </c>
      <c r="U421" t="str">
        <f t="shared" si="154"/>
        <v/>
      </c>
      <c r="V421" t="str">
        <f t="shared" si="155"/>
        <v/>
      </c>
      <c r="W421" t="str">
        <f t="shared" si="156"/>
        <v/>
      </c>
      <c r="X421" s="38" t="str">
        <f t="shared" si="157"/>
        <v/>
      </c>
      <c r="Y421" s="38" t="str">
        <f t="shared" si="158"/>
        <v/>
      </c>
      <c r="Z421" s="39" t="str">
        <f t="shared" si="159"/>
        <v/>
      </c>
      <c r="AA421" s="39" t="str">
        <f t="shared" si="160"/>
        <v/>
      </c>
      <c r="AB421" s="40" t="str">
        <f t="shared" si="161"/>
        <v/>
      </c>
      <c r="AC421" t="str">
        <f>IF(L421="","",IF(AND($AO$2=1,ISNA(MATCH(L421,'02-شباط'!$L$2:$L$501,0))),"محذوف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62"/>
        <v/>
      </c>
      <c r="AH421" s="39" t="str">
        <f t="shared" si="163"/>
        <v/>
      </c>
      <c r="AI421" s="39" t="str">
        <f t="shared" si="164"/>
        <v/>
      </c>
      <c r="AJ421" s="39" t="str">
        <f t="shared" si="165"/>
        <v/>
      </c>
      <c r="AK421" t="str">
        <f t="shared" si="166"/>
        <v/>
      </c>
      <c r="AL421" t="str">
        <f t="shared" si="167"/>
        <v/>
      </c>
    </row>
    <row r="422" spans="11:38" ht="15">
      <c r="K422" t="str">
        <f t="shared" si="144"/>
        <v/>
      </c>
      <c r="L422" t="str">
        <f t="shared" si="145"/>
        <v/>
      </c>
      <c r="M422" s="36" t="str">
        <f t="shared" si="146"/>
        <v/>
      </c>
      <c r="N422" s="37" t="str">
        <f t="shared" si="147"/>
        <v/>
      </c>
      <c r="O422" s="37" t="str">
        <f t="shared" si="148"/>
        <v/>
      </c>
      <c r="P422" s="38" t="str">
        <f t="shared" si="149"/>
        <v/>
      </c>
      <c r="Q422" s="39" t="str">
        <f t="shared" si="150"/>
        <v/>
      </c>
      <c r="R422" s="39" t="str">
        <f t="shared" si="151"/>
        <v/>
      </c>
      <c r="S422" t="str">
        <f t="shared" si="152"/>
        <v/>
      </c>
      <c r="T422" s="39" t="str">
        <f t="shared" si="153"/>
        <v/>
      </c>
      <c r="U422" t="str">
        <f t="shared" si="154"/>
        <v/>
      </c>
      <c r="V422" t="str">
        <f t="shared" si="155"/>
        <v/>
      </c>
      <c r="W422" t="str">
        <f t="shared" si="156"/>
        <v/>
      </c>
      <c r="X422" s="38" t="str">
        <f t="shared" si="157"/>
        <v/>
      </c>
      <c r="Y422" s="38" t="str">
        <f t="shared" si="158"/>
        <v/>
      </c>
      <c r="Z422" s="39" t="str">
        <f t="shared" si="159"/>
        <v/>
      </c>
      <c r="AA422" s="39" t="str">
        <f t="shared" si="160"/>
        <v/>
      </c>
      <c r="AB422" s="40" t="str">
        <f t="shared" si="161"/>
        <v/>
      </c>
      <c r="AC422" t="str">
        <f>IF(L422="","",IF(AND($AO$2=1,ISNA(MATCH(L422,'02-شباط'!$L$2:$L$501,0))),"محذوف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62"/>
        <v/>
      </c>
      <c r="AH422" s="39" t="str">
        <f t="shared" si="163"/>
        <v/>
      </c>
      <c r="AI422" s="39" t="str">
        <f t="shared" si="164"/>
        <v/>
      </c>
      <c r="AJ422" s="39" t="str">
        <f t="shared" si="165"/>
        <v/>
      </c>
      <c r="AK422" t="str">
        <f t="shared" si="166"/>
        <v/>
      </c>
      <c r="AL422" t="str">
        <f t="shared" si="167"/>
        <v/>
      </c>
    </row>
    <row r="423" spans="11:38" ht="15">
      <c r="K423" t="str">
        <f t="shared" si="144"/>
        <v/>
      </c>
      <c r="L423" t="str">
        <f t="shared" si="145"/>
        <v/>
      </c>
      <c r="M423" s="36" t="str">
        <f t="shared" si="146"/>
        <v/>
      </c>
      <c r="N423" s="37" t="str">
        <f t="shared" si="147"/>
        <v/>
      </c>
      <c r="O423" s="37" t="str">
        <f t="shared" si="148"/>
        <v/>
      </c>
      <c r="P423" s="38" t="str">
        <f t="shared" si="149"/>
        <v/>
      </c>
      <c r="Q423" s="39" t="str">
        <f t="shared" si="150"/>
        <v/>
      </c>
      <c r="R423" s="39" t="str">
        <f t="shared" si="151"/>
        <v/>
      </c>
      <c r="S423" t="str">
        <f t="shared" si="152"/>
        <v/>
      </c>
      <c r="T423" s="39" t="str">
        <f t="shared" si="153"/>
        <v/>
      </c>
      <c r="U423" t="str">
        <f t="shared" si="154"/>
        <v/>
      </c>
      <c r="V423" t="str">
        <f t="shared" si="155"/>
        <v/>
      </c>
      <c r="W423" t="str">
        <f t="shared" si="156"/>
        <v/>
      </c>
      <c r="X423" s="38" t="str">
        <f t="shared" si="157"/>
        <v/>
      </c>
      <c r="Y423" s="38" t="str">
        <f t="shared" si="158"/>
        <v/>
      </c>
      <c r="Z423" s="39" t="str">
        <f t="shared" si="159"/>
        <v/>
      </c>
      <c r="AA423" s="39" t="str">
        <f t="shared" si="160"/>
        <v/>
      </c>
      <c r="AB423" s="40" t="str">
        <f t="shared" si="161"/>
        <v/>
      </c>
      <c r="AC423" t="str">
        <f>IF(L423="","",IF(AND($AO$2=1,ISNA(MATCH(L423,'02-شباط'!$L$2:$L$501,0))),"محذوف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62"/>
        <v/>
      </c>
      <c r="AH423" s="39" t="str">
        <f t="shared" si="163"/>
        <v/>
      </c>
      <c r="AI423" s="39" t="str">
        <f t="shared" si="164"/>
        <v/>
      </c>
      <c r="AJ423" s="39" t="str">
        <f t="shared" si="165"/>
        <v/>
      </c>
      <c r="AK423" t="str">
        <f t="shared" si="166"/>
        <v/>
      </c>
      <c r="AL423" t="str">
        <f t="shared" si="167"/>
        <v/>
      </c>
    </row>
    <row r="424" spans="11:38" ht="15">
      <c r="K424" t="str">
        <f t="shared" si="144"/>
        <v/>
      </c>
      <c r="L424" t="str">
        <f t="shared" si="145"/>
        <v/>
      </c>
      <c r="M424" s="36" t="str">
        <f t="shared" si="146"/>
        <v/>
      </c>
      <c r="N424" s="37" t="str">
        <f t="shared" si="147"/>
        <v/>
      </c>
      <c r="O424" s="37" t="str">
        <f t="shared" si="148"/>
        <v/>
      </c>
      <c r="P424" s="38" t="str">
        <f t="shared" si="149"/>
        <v/>
      </c>
      <c r="Q424" s="39" t="str">
        <f t="shared" si="150"/>
        <v/>
      </c>
      <c r="R424" s="39" t="str">
        <f t="shared" si="151"/>
        <v/>
      </c>
      <c r="S424" t="str">
        <f t="shared" si="152"/>
        <v/>
      </c>
      <c r="T424" s="39" t="str">
        <f t="shared" si="153"/>
        <v/>
      </c>
      <c r="U424" t="str">
        <f t="shared" si="154"/>
        <v/>
      </c>
      <c r="V424" t="str">
        <f t="shared" si="155"/>
        <v/>
      </c>
      <c r="W424" t="str">
        <f t="shared" si="156"/>
        <v/>
      </c>
      <c r="X424" s="38" t="str">
        <f t="shared" si="157"/>
        <v/>
      </c>
      <c r="Y424" s="38" t="str">
        <f t="shared" si="158"/>
        <v/>
      </c>
      <c r="Z424" s="39" t="str">
        <f t="shared" si="159"/>
        <v/>
      </c>
      <c r="AA424" s="39" t="str">
        <f t="shared" si="160"/>
        <v/>
      </c>
      <c r="AB424" s="40" t="str">
        <f t="shared" si="161"/>
        <v/>
      </c>
      <c r="AC424" t="str">
        <f>IF(L424="","",IF(AND($AO$2=1,ISNA(MATCH(L424,'02-شباط'!$L$2:$L$501,0))),"محذوف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62"/>
        <v/>
      </c>
      <c r="AH424" s="39" t="str">
        <f t="shared" si="163"/>
        <v/>
      </c>
      <c r="AI424" s="39" t="str">
        <f t="shared" si="164"/>
        <v/>
      </c>
      <c r="AJ424" s="39" t="str">
        <f t="shared" si="165"/>
        <v/>
      </c>
      <c r="AK424" t="str">
        <f t="shared" si="166"/>
        <v/>
      </c>
      <c r="AL424" t="str">
        <f t="shared" si="167"/>
        <v/>
      </c>
    </row>
    <row r="425" spans="11:38" ht="15">
      <c r="K425" t="str">
        <f t="shared" si="144"/>
        <v/>
      </c>
      <c r="L425" t="str">
        <f t="shared" si="145"/>
        <v/>
      </c>
      <c r="M425" s="36" t="str">
        <f t="shared" si="146"/>
        <v/>
      </c>
      <c r="N425" s="37" t="str">
        <f t="shared" si="147"/>
        <v/>
      </c>
      <c r="O425" s="37" t="str">
        <f t="shared" si="148"/>
        <v/>
      </c>
      <c r="P425" s="38" t="str">
        <f t="shared" si="149"/>
        <v/>
      </c>
      <c r="Q425" s="39" t="str">
        <f t="shared" si="150"/>
        <v/>
      </c>
      <c r="R425" s="39" t="str">
        <f t="shared" si="151"/>
        <v/>
      </c>
      <c r="S425" t="str">
        <f t="shared" si="152"/>
        <v/>
      </c>
      <c r="T425" s="39" t="str">
        <f t="shared" si="153"/>
        <v/>
      </c>
      <c r="U425" t="str">
        <f t="shared" si="154"/>
        <v/>
      </c>
      <c r="V425" t="str">
        <f t="shared" si="155"/>
        <v/>
      </c>
      <c r="W425" t="str">
        <f t="shared" si="156"/>
        <v/>
      </c>
      <c r="X425" s="38" t="str">
        <f t="shared" si="157"/>
        <v/>
      </c>
      <c r="Y425" s="38" t="str">
        <f t="shared" si="158"/>
        <v/>
      </c>
      <c r="Z425" s="39" t="str">
        <f t="shared" si="159"/>
        <v/>
      </c>
      <c r="AA425" s="39" t="str">
        <f t="shared" si="160"/>
        <v/>
      </c>
      <c r="AB425" s="40" t="str">
        <f t="shared" si="161"/>
        <v/>
      </c>
      <c r="AC425" t="str">
        <f>IF(L425="","",IF(AND($AO$2=1,ISNA(MATCH(L425,'02-شباط'!$L$2:$L$501,0))),"محذوف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62"/>
        <v/>
      </c>
      <c r="AH425" s="39" t="str">
        <f t="shared" si="163"/>
        <v/>
      </c>
      <c r="AI425" s="39" t="str">
        <f t="shared" si="164"/>
        <v/>
      </c>
      <c r="AJ425" s="39" t="str">
        <f t="shared" si="165"/>
        <v/>
      </c>
      <c r="AK425" t="str">
        <f t="shared" si="166"/>
        <v/>
      </c>
      <c r="AL425" t="str">
        <f t="shared" si="167"/>
        <v/>
      </c>
    </row>
    <row r="426" spans="11:38" ht="15">
      <c r="K426" t="str">
        <f t="shared" si="144"/>
        <v/>
      </c>
      <c r="L426" t="str">
        <f t="shared" si="145"/>
        <v/>
      </c>
      <c r="M426" s="36" t="str">
        <f t="shared" si="146"/>
        <v/>
      </c>
      <c r="N426" s="37" t="str">
        <f t="shared" si="147"/>
        <v/>
      </c>
      <c r="O426" s="37" t="str">
        <f t="shared" si="148"/>
        <v/>
      </c>
      <c r="P426" s="38" t="str">
        <f t="shared" si="149"/>
        <v/>
      </c>
      <c r="Q426" s="39" t="str">
        <f t="shared" si="150"/>
        <v/>
      </c>
      <c r="R426" s="39" t="str">
        <f t="shared" si="151"/>
        <v/>
      </c>
      <c r="S426" t="str">
        <f t="shared" si="152"/>
        <v/>
      </c>
      <c r="T426" s="39" t="str">
        <f t="shared" si="153"/>
        <v/>
      </c>
      <c r="U426" t="str">
        <f t="shared" si="154"/>
        <v/>
      </c>
      <c r="V426" t="str">
        <f t="shared" si="155"/>
        <v/>
      </c>
      <c r="W426" t="str">
        <f t="shared" si="156"/>
        <v/>
      </c>
      <c r="X426" s="38" t="str">
        <f t="shared" si="157"/>
        <v/>
      </c>
      <c r="Y426" s="38" t="str">
        <f t="shared" si="158"/>
        <v/>
      </c>
      <c r="Z426" s="39" t="str">
        <f t="shared" si="159"/>
        <v/>
      </c>
      <c r="AA426" s="39" t="str">
        <f t="shared" si="160"/>
        <v/>
      </c>
      <c r="AB426" s="40" t="str">
        <f t="shared" si="161"/>
        <v/>
      </c>
      <c r="AC426" t="str">
        <f>IF(L426="","",IF(AND($AO$2=1,ISNA(MATCH(L426,'02-شباط'!$L$2:$L$501,0))),"محذوف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62"/>
        <v/>
      </c>
      <c r="AH426" s="39" t="str">
        <f t="shared" si="163"/>
        <v/>
      </c>
      <c r="AI426" s="39" t="str">
        <f t="shared" si="164"/>
        <v/>
      </c>
      <c r="AJ426" s="39" t="str">
        <f t="shared" si="165"/>
        <v/>
      </c>
      <c r="AK426" t="str">
        <f t="shared" si="166"/>
        <v/>
      </c>
      <c r="AL426" t="str">
        <f t="shared" si="167"/>
        <v/>
      </c>
    </row>
    <row r="427" spans="11:38" ht="15">
      <c r="K427" t="str">
        <f t="shared" si="144"/>
        <v/>
      </c>
      <c r="L427" t="str">
        <f t="shared" si="145"/>
        <v/>
      </c>
      <c r="M427" s="36" t="str">
        <f t="shared" si="146"/>
        <v/>
      </c>
      <c r="N427" s="37" t="str">
        <f t="shared" si="147"/>
        <v/>
      </c>
      <c r="O427" s="37" t="str">
        <f t="shared" si="148"/>
        <v/>
      </c>
      <c r="P427" s="38" t="str">
        <f t="shared" si="149"/>
        <v/>
      </c>
      <c r="Q427" s="39" t="str">
        <f t="shared" si="150"/>
        <v/>
      </c>
      <c r="R427" s="39" t="str">
        <f t="shared" si="151"/>
        <v/>
      </c>
      <c r="S427" t="str">
        <f t="shared" si="152"/>
        <v/>
      </c>
      <c r="T427" s="39" t="str">
        <f t="shared" si="153"/>
        <v/>
      </c>
      <c r="U427" t="str">
        <f t="shared" si="154"/>
        <v/>
      </c>
      <c r="V427" t="str">
        <f t="shared" si="155"/>
        <v/>
      </c>
      <c r="W427" t="str">
        <f t="shared" si="156"/>
        <v/>
      </c>
      <c r="X427" s="38" t="str">
        <f t="shared" si="157"/>
        <v/>
      </c>
      <c r="Y427" s="38" t="str">
        <f t="shared" si="158"/>
        <v/>
      </c>
      <c r="Z427" s="39" t="str">
        <f t="shared" si="159"/>
        <v/>
      </c>
      <c r="AA427" s="39" t="str">
        <f t="shared" si="160"/>
        <v/>
      </c>
      <c r="AB427" s="40" t="str">
        <f t="shared" si="161"/>
        <v/>
      </c>
      <c r="AC427" t="str">
        <f>IF(L427="","",IF(AND($AO$2=1,ISNA(MATCH(L427,'02-شباط'!$L$2:$L$501,0))),"محذوف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62"/>
        <v/>
      </c>
      <c r="AH427" s="39" t="str">
        <f t="shared" si="163"/>
        <v/>
      </c>
      <c r="AI427" s="39" t="str">
        <f t="shared" si="164"/>
        <v/>
      </c>
      <c r="AJ427" s="39" t="str">
        <f t="shared" si="165"/>
        <v/>
      </c>
      <c r="AK427" t="str">
        <f t="shared" si="166"/>
        <v/>
      </c>
      <c r="AL427" t="str">
        <f t="shared" si="167"/>
        <v/>
      </c>
    </row>
    <row r="428" spans="11:38" ht="15">
      <c r="K428" t="str">
        <f t="shared" si="144"/>
        <v/>
      </c>
      <c r="L428" t="str">
        <f t="shared" si="145"/>
        <v/>
      </c>
      <c r="M428" s="36" t="str">
        <f t="shared" si="146"/>
        <v/>
      </c>
      <c r="N428" s="37" t="str">
        <f t="shared" si="147"/>
        <v/>
      </c>
      <c r="O428" s="37" t="str">
        <f t="shared" si="148"/>
        <v/>
      </c>
      <c r="P428" s="38" t="str">
        <f t="shared" si="149"/>
        <v/>
      </c>
      <c r="Q428" s="39" t="str">
        <f t="shared" si="150"/>
        <v/>
      </c>
      <c r="R428" s="39" t="str">
        <f t="shared" si="151"/>
        <v/>
      </c>
      <c r="S428" t="str">
        <f t="shared" si="152"/>
        <v/>
      </c>
      <c r="T428" s="39" t="str">
        <f t="shared" si="153"/>
        <v/>
      </c>
      <c r="U428" t="str">
        <f t="shared" si="154"/>
        <v/>
      </c>
      <c r="V428" t="str">
        <f t="shared" si="155"/>
        <v/>
      </c>
      <c r="W428" t="str">
        <f t="shared" si="156"/>
        <v/>
      </c>
      <c r="X428" s="38" t="str">
        <f t="shared" si="157"/>
        <v/>
      </c>
      <c r="Y428" s="38" t="str">
        <f t="shared" si="158"/>
        <v/>
      </c>
      <c r="Z428" s="39" t="str">
        <f t="shared" si="159"/>
        <v/>
      </c>
      <c r="AA428" s="39" t="str">
        <f t="shared" si="160"/>
        <v/>
      </c>
      <c r="AB428" s="40" t="str">
        <f t="shared" si="161"/>
        <v/>
      </c>
      <c r="AC428" t="str">
        <f>IF(L428="","",IF(AND($AO$2=1,ISNA(MATCH(L428,'02-شباط'!$L$2:$L$501,0))),"محذوف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62"/>
        <v/>
      </c>
      <c r="AH428" s="39" t="str">
        <f t="shared" si="163"/>
        <v/>
      </c>
      <c r="AI428" s="39" t="str">
        <f t="shared" si="164"/>
        <v/>
      </c>
      <c r="AJ428" s="39" t="str">
        <f t="shared" si="165"/>
        <v/>
      </c>
      <c r="AK428" t="str">
        <f t="shared" si="166"/>
        <v/>
      </c>
      <c r="AL428" t="str">
        <f t="shared" si="167"/>
        <v/>
      </c>
    </row>
    <row r="429" spans="11:38" ht="15">
      <c r="K429" t="str">
        <f t="shared" si="144"/>
        <v/>
      </c>
      <c r="L429" t="str">
        <f t="shared" si="145"/>
        <v/>
      </c>
      <c r="M429" s="36" t="str">
        <f t="shared" si="146"/>
        <v/>
      </c>
      <c r="N429" s="37" t="str">
        <f t="shared" si="147"/>
        <v/>
      </c>
      <c r="O429" s="37" t="str">
        <f t="shared" si="148"/>
        <v/>
      </c>
      <c r="P429" s="38" t="str">
        <f t="shared" si="149"/>
        <v/>
      </c>
      <c r="Q429" s="39" t="str">
        <f t="shared" si="150"/>
        <v/>
      </c>
      <c r="R429" s="39" t="str">
        <f t="shared" si="151"/>
        <v/>
      </c>
      <c r="S429" t="str">
        <f t="shared" si="152"/>
        <v/>
      </c>
      <c r="T429" s="39" t="str">
        <f t="shared" si="153"/>
        <v/>
      </c>
      <c r="U429" t="str">
        <f t="shared" si="154"/>
        <v/>
      </c>
      <c r="V429" t="str">
        <f t="shared" si="155"/>
        <v/>
      </c>
      <c r="W429" t="str">
        <f t="shared" si="156"/>
        <v/>
      </c>
      <c r="X429" s="38" t="str">
        <f t="shared" si="157"/>
        <v/>
      </c>
      <c r="Y429" s="38" t="str">
        <f t="shared" si="158"/>
        <v/>
      </c>
      <c r="Z429" s="39" t="str">
        <f t="shared" si="159"/>
        <v/>
      </c>
      <c r="AA429" s="39" t="str">
        <f t="shared" si="160"/>
        <v/>
      </c>
      <c r="AB429" s="40" t="str">
        <f t="shared" si="161"/>
        <v/>
      </c>
      <c r="AC429" t="str">
        <f>IF(L429="","",IF(AND($AO$2=1,ISNA(MATCH(L429,'02-شباط'!$L$2:$L$501,0))),"محذوف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62"/>
        <v/>
      </c>
      <c r="AH429" s="39" t="str">
        <f t="shared" si="163"/>
        <v/>
      </c>
      <c r="AI429" s="39" t="str">
        <f t="shared" si="164"/>
        <v/>
      </c>
      <c r="AJ429" s="39" t="str">
        <f t="shared" si="165"/>
        <v/>
      </c>
      <c r="AK429" t="str">
        <f t="shared" si="166"/>
        <v/>
      </c>
      <c r="AL429" t="str">
        <f t="shared" si="167"/>
        <v/>
      </c>
    </row>
    <row r="430" spans="11:38" ht="15">
      <c r="K430" t="str">
        <f t="shared" si="144"/>
        <v/>
      </c>
      <c r="L430" t="str">
        <f t="shared" si="145"/>
        <v/>
      </c>
      <c r="M430" s="36" t="str">
        <f t="shared" si="146"/>
        <v/>
      </c>
      <c r="N430" s="37" t="str">
        <f t="shared" si="147"/>
        <v/>
      </c>
      <c r="O430" s="37" t="str">
        <f t="shared" si="148"/>
        <v/>
      </c>
      <c r="P430" s="38" t="str">
        <f t="shared" si="149"/>
        <v/>
      </c>
      <c r="Q430" s="39" t="str">
        <f t="shared" si="150"/>
        <v/>
      </c>
      <c r="R430" s="39" t="str">
        <f t="shared" si="151"/>
        <v/>
      </c>
      <c r="S430" t="str">
        <f t="shared" si="152"/>
        <v/>
      </c>
      <c r="T430" s="39" t="str">
        <f t="shared" si="153"/>
        <v/>
      </c>
      <c r="U430" t="str">
        <f t="shared" si="154"/>
        <v/>
      </c>
      <c r="V430" t="str">
        <f t="shared" si="155"/>
        <v/>
      </c>
      <c r="W430" t="str">
        <f t="shared" si="156"/>
        <v/>
      </c>
      <c r="X430" s="38" t="str">
        <f t="shared" si="157"/>
        <v/>
      </c>
      <c r="Y430" s="38" t="str">
        <f t="shared" si="158"/>
        <v/>
      </c>
      <c r="Z430" s="39" t="str">
        <f t="shared" si="159"/>
        <v/>
      </c>
      <c r="AA430" s="39" t="str">
        <f t="shared" si="160"/>
        <v/>
      </c>
      <c r="AB430" s="40" t="str">
        <f t="shared" si="161"/>
        <v/>
      </c>
      <c r="AC430" t="str">
        <f>IF(L430="","",IF(AND($AO$2=1,ISNA(MATCH(L430,'02-شباط'!$L$2:$L$501,0))),"محذوف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62"/>
        <v/>
      </c>
      <c r="AH430" s="39" t="str">
        <f t="shared" si="163"/>
        <v/>
      </c>
      <c r="AI430" s="39" t="str">
        <f t="shared" si="164"/>
        <v/>
      </c>
      <c r="AJ430" s="39" t="str">
        <f t="shared" si="165"/>
        <v/>
      </c>
      <c r="AK430" t="str">
        <f t="shared" si="166"/>
        <v/>
      </c>
      <c r="AL430" t="str">
        <f t="shared" si="167"/>
        <v/>
      </c>
    </row>
    <row r="431" spans="11:38" ht="15">
      <c r="K431" t="str">
        <f t="shared" si="144"/>
        <v/>
      </c>
      <c r="L431" t="str">
        <f t="shared" si="145"/>
        <v/>
      </c>
      <c r="M431" s="36" t="str">
        <f t="shared" si="146"/>
        <v/>
      </c>
      <c r="N431" s="37" t="str">
        <f t="shared" si="147"/>
        <v/>
      </c>
      <c r="O431" s="37" t="str">
        <f t="shared" si="148"/>
        <v/>
      </c>
      <c r="P431" s="38" t="str">
        <f t="shared" si="149"/>
        <v/>
      </c>
      <c r="Q431" s="39" t="str">
        <f t="shared" si="150"/>
        <v/>
      </c>
      <c r="R431" s="39" t="str">
        <f t="shared" si="151"/>
        <v/>
      </c>
      <c r="S431" t="str">
        <f t="shared" si="152"/>
        <v/>
      </c>
      <c r="T431" s="39" t="str">
        <f t="shared" si="153"/>
        <v/>
      </c>
      <c r="U431" t="str">
        <f t="shared" si="154"/>
        <v/>
      </c>
      <c r="V431" t="str">
        <f t="shared" si="155"/>
        <v/>
      </c>
      <c r="W431" t="str">
        <f t="shared" si="156"/>
        <v/>
      </c>
      <c r="X431" s="38" t="str">
        <f t="shared" si="157"/>
        <v/>
      </c>
      <c r="Y431" s="38" t="str">
        <f t="shared" si="158"/>
        <v/>
      </c>
      <c r="Z431" s="39" t="str">
        <f t="shared" si="159"/>
        <v/>
      </c>
      <c r="AA431" s="39" t="str">
        <f t="shared" si="160"/>
        <v/>
      </c>
      <c r="AB431" s="40" t="str">
        <f t="shared" si="161"/>
        <v/>
      </c>
      <c r="AC431" t="str">
        <f>IF(L431="","",IF(AND($AO$2=1,ISNA(MATCH(L431,'02-شباط'!$L$2:$L$501,0))),"محذوف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62"/>
        <v/>
      </c>
      <c r="AH431" s="39" t="str">
        <f t="shared" si="163"/>
        <v/>
      </c>
      <c r="AI431" s="39" t="str">
        <f t="shared" si="164"/>
        <v/>
      </c>
      <c r="AJ431" s="39" t="str">
        <f t="shared" si="165"/>
        <v/>
      </c>
      <c r="AK431" t="str">
        <f t="shared" si="166"/>
        <v/>
      </c>
      <c r="AL431" t="str">
        <f t="shared" si="167"/>
        <v/>
      </c>
    </row>
    <row r="432" spans="11:38" ht="15">
      <c r="K432" t="str">
        <f t="shared" si="144"/>
        <v/>
      </c>
      <c r="L432" t="str">
        <f t="shared" si="145"/>
        <v/>
      </c>
      <c r="M432" s="36" t="str">
        <f t="shared" si="146"/>
        <v/>
      </c>
      <c r="N432" s="37" t="str">
        <f t="shared" si="147"/>
        <v/>
      </c>
      <c r="O432" s="37" t="str">
        <f t="shared" si="148"/>
        <v/>
      </c>
      <c r="P432" s="38" t="str">
        <f t="shared" si="149"/>
        <v/>
      </c>
      <c r="Q432" s="39" t="str">
        <f t="shared" si="150"/>
        <v/>
      </c>
      <c r="R432" s="39" t="str">
        <f t="shared" si="151"/>
        <v/>
      </c>
      <c r="S432" t="str">
        <f t="shared" si="152"/>
        <v/>
      </c>
      <c r="T432" s="39" t="str">
        <f t="shared" si="153"/>
        <v/>
      </c>
      <c r="U432" t="str">
        <f t="shared" si="154"/>
        <v/>
      </c>
      <c r="V432" t="str">
        <f t="shared" si="155"/>
        <v/>
      </c>
      <c r="W432" t="str">
        <f t="shared" si="156"/>
        <v/>
      </c>
      <c r="X432" s="38" t="str">
        <f t="shared" si="157"/>
        <v/>
      </c>
      <c r="Y432" s="38" t="str">
        <f t="shared" si="158"/>
        <v/>
      </c>
      <c r="Z432" s="39" t="str">
        <f t="shared" si="159"/>
        <v/>
      </c>
      <c r="AA432" s="39" t="str">
        <f t="shared" si="160"/>
        <v/>
      </c>
      <c r="AB432" s="40" t="str">
        <f t="shared" si="161"/>
        <v/>
      </c>
      <c r="AC432" t="str">
        <f>IF(L432="","",IF(AND($AO$2=1,ISNA(MATCH(L432,'02-شباط'!$L$2:$L$501,0))),"محذوف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62"/>
        <v/>
      </c>
      <c r="AH432" s="39" t="str">
        <f t="shared" si="163"/>
        <v/>
      </c>
      <c r="AI432" s="39" t="str">
        <f t="shared" si="164"/>
        <v/>
      </c>
      <c r="AJ432" s="39" t="str">
        <f t="shared" si="165"/>
        <v/>
      </c>
      <c r="AK432" t="str">
        <f t="shared" si="166"/>
        <v/>
      </c>
      <c r="AL432" t="str">
        <f t="shared" si="167"/>
        <v/>
      </c>
    </row>
    <row r="433" spans="11:38" ht="15">
      <c r="K433" t="str">
        <f t="shared" si="144"/>
        <v/>
      </c>
      <c r="L433" t="str">
        <f t="shared" si="145"/>
        <v/>
      </c>
      <c r="M433" s="36" t="str">
        <f t="shared" si="146"/>
        <v/>
      </c>
      <c r="N433" s="37" t="str">
        <f t="shared" si="147"/>
        <v/>
      </c>
      <c r="O433" s="37" t="str">
        <f t="shared" si="148"/>
        <v/>
      </c>
      <c r="P433" s="38" t="str">
        <f t="shared" si="149"/>
        <v/>
      </c>
      <c r="Q433" s="39" t="str">
        <f t="shared" si="150"/>
        <v/>
      </c>
      <c r="R433" s="39" t="str">
        <f t="shared" si="151"/>
        <v/>
      </c>
      <c r="S433" t="str">
        <f t="shared" si="152"/>
        <v/>
      </c>
      <c r="T433" s="39" t="str">
        <f t="shared" si="153"/>
        <v/>
      </c>
      <c r="U433" t="str">
        <f t="shared" si="154"/>
        <v/>
      </c>
      <c r="V433" t="str">
        <f t="shared" si="155"/>
        <v/>
      </c>
      <c r="W433" t="str">
        <f t="shared" si="156"/>
        <v/>
      </c>
      <c r="X433" s="38" t="str">
        <f t="shared" si="157"/>
        <v/>
      </c>
      <c r="Y433" s="38" t="str">
        <f t="shared" si="158"/>
        <v/>
      </c>
      <c r="Z433" s="39" t="str">
        <f t="shared" si="159"/>
        <v/>
      </c>
      <c r="AA433" s="39" t="str">
        <f t="shared" si="160"/>
        <v/>
      </c>
      <c r="AB433" s="40" t="str">
        <f t="shared" si="161"/>
        <v/>
      </c>
      <c r="AC433" t="str">
        <f>IF(L433="","",IF(AND($AO$2=1,ISNA(MATCH(L433,'02-شباط'!$L$2:$L$501,0))),"محذوف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62"/>
        <v/>
      </c>
      <c r="AH433" s="39" t="str">
        <f t="shared" si="163"/>
        <v/>
      </c>
      <c r="AI433" s="39" t="str">
        <f t="shared" si="164"/>
        <v/>
      </c>
      <c r="AJ433" s="39" t="str">
        <f t="shared" si="165"/>
        <v/>
      </c>
      <c r="AK433" t="str">
        <f t="shared" si="166"/>
        <v/>
      </c>
      <c r="AL433" t="str">
        <f t="shared" si="167"/>
        <v/>
      </c>
    </row>
    <row r="434" spans="11:38" ht="15">
      <c r="K434" t="str">
        <f t="shared" si="144"/>
        <v/>
      </c>
      <c r="L434" t="str">
        <f t="shared" si="145"/>
        <v/>
      </c>
      <c r="M434" s="36" t="str">
        <f t="shared" si="146"/>
        <v/>
      </c>
      <c r="N434" s="37" t="str">
        <f t="shared" si="147"/>
        <v/>
      </c>
      <c r="O434" s="37" t="str">
        <f t="shared" si="148"/>
        <v/>
      </c>
      <c r="P434" s="38" t="str">
        <f t="shared" si="149"/>
        <v/>
      </c>
      <c r="Q434" s="39" t="str">
        <f t="shared" si="150"/>
        <v/>
      </c>
      <c r="R434" s="39" t="str">
        <f t="shared" si="151"/>
        <v/>
      </c>
      <c r="S434" t="str">
        <f t="shared" si="152"/>
        <v/>
      </c>
      <c r="T434" s="39" t="str">
        <f t="shared" si="153"/>
        <v/>
      </c>
      <c r="U434" t="str">
        <f t="shared" si="154"/>
        <v/>
      </c>
      <c r="V434" t="str">
        <f t="shared" si="155"/>
        <v/>
      </c>
      <c r="W434" t="str">
        <f t="shared" si="156"/>
        <v/>
      </c>
      <c r="X434" s="38" t="str">
        <f t="shared" si="157"/>
        <v/>
      </c>
      <c r="Y434" s="38" t="str">
        <f t="shared" si="158"/>
        <v/>
      </c>
      <c r="Z434" s="39" t="str">
        <f t="shared" si="159"/>
        <v/>
      </c>
      <c r="AA434" s="39" t="str">
        <f t="shared" si="160"/>
        <v/>
      </c>
      <c r="AB434" s="40" t="str">
        <f t="shared" si="161"/>
        <v/>
      </c>
      <c r="AC434" t="str">
        <f>IF(L434="","",IF(AND($AO$2=1,ISNA(MATCH(L434,'02-شباط'!$L$2:$L$501,0))),"محذوف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62"/>
        <v/>
      </c>
      <c r="AH434" s="39" t="str">
        <f t="shared" si="163"/>
        <v/>
      </c>
      <c r="AI434" s="39" t="str">
        <f t="shared" si="164"/>
        <v/>
      </c>
      <c r="AJ434" s="39" t="str">
        <f t="shared" si="165"/>
        <v/>
      </c>
      <c r="AK434" t="str">
        <f t="shared" si="166"/>
        <v/>
      </c>
      <c r="AL434" t="str">
        <f t="shared" si="167"/>
        <v/>
      </c>
    </row>
    <row r="435" spans="11:38" ht="15">
      <c r="K435" t="str">
        <f t="shared" si="144"/>
        <v/>
      </c>
      <c r="L435" t="str">
        <f t="shared" si="145"/>
        <v/>
      </c>
      <c r="M435" s="36" t="str">
        <f t="shared" si="146"/>
        <v/>
      </c>
      <c r="N435" s="37" t="str">
        <f t="shared" si="147"/>
        <v/>
      </c>
      <c r="O435" s="37" t="str">
        <f t="shared" si="148"/>
        <v/>
      </c>
      <c r="P435" s="38" t="str">
        <f t="shared" si="149"/>
        <v/>
      </c>
      <c r="Q435" s="39" t="str">
        <f t="shared" si="150"/>
        <v/>
      </c>
      <c r="R435" s="39" t="str">
        <f t="shared" si="151"/>
        <v/>
      </c>
      <c r="S435" t="str">
        <f t="shared" si="152"/>
        <v/>
      </c>
      <c r="T435" s="39" t="str">
        <f t="shared" si="153"/>
        <v/>
      </c>
      <c r="U435" t="str">
        <f t="shared" si="154"/>
        <v/>
      </c>
      <c r="V435" t="str">
        <f t="shared" si="155"/>
        <v/>
      </c>
      <c r="W435" t="str">
        <f t="shared" si="156"/>
        <v/>
      </c>
      <c r="X435" s="38" t="str">
        <f t="shared" si="157"/>
        <v/>
      </c>
      <c r="Y435" s="38" t="str">
        <f t="shared" si="158"/>
        <v/>
      </c>
      <c r="Z435" s="39" t="str">
        <f t="shared" si="159"/>
        <v/>
      </c>
      <c r="AA435" s="39" t="str">
        <f t="shared" si="160"/>
        <v/>
      </c>
      <c r="AB435" s="40" t="str">
        <f t="shared" si="161"/>
        <v/>
      </c>
      <c r="AC435" t="str">
        <f>IF(L435="","",IF(AND($AO$2=1,ISNA(MATCH(L435,'02-شباط'!$L$2:$L$501,0))),"محذوف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62"/>
        <v/>
      </c>
      <c r="AH435" s="39" t="str">
        <f t="shared" si="163"/>
        <v/>
      </c>
      <c r="AI435" s="39" t="str">
        <f t="shared" si="164"/>
        <v/>
      </c>
      <c r="AJ435" s="39" t="str">
        <f t="shared" si="165"/>
        <v/>
      </c>
      <c r="AK435" t="str">
        <f t="shared" si="166"/>
        <v/>
      </c>
      <c r="AL435" t="str">
        <f t="shared" si="167"/>
        <v/>
      </c>
    </row>
    <row r="436" spans="11:38" ht="15">
      <c r="K436" t="str">
        <f t="shared" si="144"/>
        <v/>
      </c>
      <c r="L436" t="str">
        <f t="shared" si="145"/>
        <v/>
      </c>
      <c r="M436" s="36" t="str">
        <f t="shared" si="146"/>
        <v/>
      </c>
      <c r="N436" s="37" t="str">
        <f t="shared" si="147"/>
        <v/>
      </c>
      <c r="O436" s="37" t="str">
        <f t="shared" si="148"/>
        <v/>
      </c>
      <c r="P436" s="38" t="str">
        <f t="shared" si="149"/>
        <v/>
      </c>
      <c r="Q436" s="39" t="str">
        <f t="shared" si="150"/>
        <v/>
      </c>
      <c r="R436" s="39" t="str">
        <f t="shared" si="151"/>
        <v/>
      </c>
      <c r="S436" t="str">
        <f t="shared" si="152"/>
        <v/>
      </c>
      <c r="T436" s="39" t="str">
        <f t="shared" si="153"/>
        <v/>
      </c>
      <c r="U436" t="str">
        <f t="shared" si="154"/>
        <v/>
      </c>
      <c r="V436" t="str">
        <f t="shared" si="155"/>
        <v/>
      </c>
      <c r="W436" t="str">
        <f t="shared" si="156"/>
        <v/>
      </c>
      <c r="X436" s="38" t="str">
        <f t="shared" si="157"/>
        <v/>
      </c>
      <c r="Y436" s="38" t="str">
        <f t="shared" si="158"/>
        <v/>
      </c>
      <c r="Z436" s="39" t="str">
        <f t="shared" si="159"/>
        <v/>
      </c>
      <c r="AA436" s="39" t="str">
        <f t="shared" si="160"/>
        <v/>
      </c>
      <c r="AB436" s="40" t="str">
        <f t="shared" si="161"/>
        <v/>
      </c>
      <c r="AC436" t="str">
        <f>IF(L436="","",IF(AND($AO$2=1,ISNA(MATCH(L436,'02-شباط'!$L$2:$L$501,0))),"محذوف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62"/>
        <v/>
      </c>
      <c r="AH436" s="39" t="str">
        <f t="shared" si="163"/>
        <v/>
      </c>
      <c r="AI436" s="39" t="str">
        <f t="shared" si="164"/>
        <v/>
      </c>
      <c r="AJ436" s="39" t="str">
        <f t="shared" si="165"/>
        <v/>
      </c>
      <c r="AK436" t="str">
        <f t="shared" si="166"/>
        <v/>
      </c>
      <c r="AL436" t="str">
        <f t="shared" si="167"/>
        <v/>
      </c>
    </row>
    <row r="437" spans="11:38" ht="15">
      <c r="K437" t="str">
        <f t="shared" si="144"/>
        <v/>
      </c>
      <c r="L437" t="str">
        <f t="shared" si="145"/>
        <v/>
      </c>
      <c r="M437" s="36" t="str">
        <f t="shared" si="146"/>
        <v/>
      </c>
      <c r="N437" s="37" t="str">
        <f t="shared" si="147"/>
        <v/>
      </c>
      <c r="O437" s="37" t="str">
        <f t="shared" si="148"/>
        <v/>
      </c>
      <c r="P437" s="38" t="str">
        <f t="shared" si="149"/>
        <v/>
      </c>
      <c r="Q437" s="39" t="str">
        <f t="shared" si="150"/>
        <v/>
      </c>
      <c r="R437" s="39" t="str">
        <f t="shared" si="151"/>
        <v/>
      </c>
      <c r="S437" t="str">
        <f t="shared" si="152"/>
        <v/>
      </c>
      <c r="T437" s="39" t="str">
        <f t="shared" si="153"/>
        <v/>
      </c>
      <c r="U437" t="str">
        <f t="shared" si="154"/>
        <v/>
      </c>
      <c r="V437" t="str">
        <f t="shared" si="155"/>
        <v/>
      </c>
      <c r="W437" t="str">
        <f t="shared" si="156"/>
        <v/>
      </c>
      <c r="X437" s="38" t="str">
        <f t="shared" si="157"/>
        <v/>
      </c>
      <c r="Y437" s="38" t="str">
        <f t="shared" si="158"/>
        <v/>
      </c>
      <c r="Z437" s="39" t="str">
        <f t="shared" si="159"/>
        <v/>
      </c>
      <c r="AA437" s="39" t="str">
        <f t="shared" si="160"/>
        <v/>
      </c>
      <c r="AB437" s="40" t="str">
        <f t="shared" si="161"/>
        <v/>
      </c>
      <c r="AC437" t="str">
        <f>IF(L437="","",IF(AND($AO$2=1,ISNA(MATCH(L437,'02-شباط'!$L$2:$L$501,0))),"محذوف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62"/>
        <v/>
      </c>
      <c r="AH437" s="39" t="str">
        <f t="shared" si="163"/>
        <v/>
      </c>
      <c r="AI437" s="39" t="str">
        <f t="shared" si="164"/>
        <v/>
      </c>
      <c r="AJ437" s="39" t="str">
        <f t="shared" si="165"/>
        <v/>
      </c>
      <c r="AK437" t="str">
        <f t="shared" si="166"/>
        <v/>
      </c>
      <c r="AL437" t="str">
        <f t="shared" si="167"/>
        <v/>
      </c>
    </row>
    <row r="438" spans="11:38" ht="15">
      <c r="K438" t="str">
        <f t="shared" si="144"/>
        <v/>
      </c>
      <c r="L438" t="str">
        <f t="shared" si="145"/>
        <v/>
      </c>
      <c r="M438" s="36" t="str">
        <f t="shared" si="146"/>
        <v/>
      </c>
      <c r="N438" s="37" t="str">
        <f t="shared" si="147"/>
        <v/>
      </c>
      <c r="O438" s="37" t="str">
        <f t="shared" si="148"/>
        <v/>
      </c>
      <c r="P438" s="38" t="str">
        <f t="shared" si="149"/>
        <v/>
      </c>
      <c r="Q438" s="39" t="str">
        <f t="shared" si="150"/>
        <v/>
      </c>
      <c r="R438" s="39" t="str">
        <f t="shared" si="151"/>
        <v/>
      </c>
      <c r="S438" t="str">
        <f t="shared" si="152"/>
        <v/>
      </c>
      <c r="T438" s="39" t="str">
        <f t="shared" si="153"/>
        <v/>
      </c>
      <c r="U438" t="str">
        <f t="shared" si="154"/>
        <v/>
      </c>
      <c r="V438" t="str">
        <f t="shared" si="155"/>
        <v/>
      </c>
      <c r="W438" t="str">
        <f t="shared" si="156"/>
        <v/>
      </c>
      <c r="X438" s="38" t="str">
        <f t="shared" si="157"/>
        <v/>
      </c>
      <c r="Y438" s="38" t="str">
        <f t="shared" si="158"/>
        <v/>
      </c>
      <c r="Z438" s="39" t="str">
        <f t="shared" si="159"/>
        <v/>
      </c>
      <c r="AA438" s="39" t="str">
        <f t="shared" si="160"/>
        <v/>
      </c>
      <c r="AB438" s="40" t="str">
        <f t="shared" si="161"/>
        <v/>
      </c>
      <c r="AC438" t="str">
        <f>IF(L438="","",IF(AND($AO$2=1,ISNA(MATCH(L438,'02-شباط'!$L$2:$L$501,0))),"محذوف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62"/>
        <v/>
      </c>
      <c r="AH438" s="39" t="str">
        <f t="shared" si="163"/>
        <v/>
      </c>
      <c r="AI438" s="39" t="str">
        <f t="shared" si="164"/>
        <v/>
      </c>
      <c r="AJ438" s="39" t="str">
        <f t="shared" si="165"/>
        <v/>
      </c>
      <c r="AK438" t="str">
        <f t="shared" si="166"/>
        <v/>
      </c>
      <c r="AL438" t="str">
        <f t="shared" si="167"/>
        <v/>
      </c>
    </row>
    <row r="439" spans="11:38" ht="15">
      <c r="K439" t="str">
        <f t="shared" si="144"/>
        <v/>
      </c>
      <c r="L439" t="str">
        <f t="shared" si="145"/>
        <v/>
      </c>
      <c r="M439" s="36" t="str">
        <f t="shared" si="146"/>
        <v/>
      </c>
      <c r="N439" s="37" t="str">
        <f t="shared" si="147"/>
        <v/>
      </c>
      <c r="O439" s="37" t="str">
        <f t="shared" si="148"/>
        <v/>
      </c>
      <c r="P439" s="38" t="str">
        <f t="shared" si="149"/>
        <v/>
      </c>
      <c r="Q439" s="39" t="str">
        <f t="shared" si="150"/>
        <v/>
      </c>
      <c r="R439" s="39" t="str">
        <f t="shared" si="151"/>
        <v/>
      </c>
      <c r="S439" t="str">
        <f t="shared" si="152"/>
        <v/>
      </c>
      <c r="T439" s="39" t="str">
        <f t="shared" si="153"/>
        <v/>
      </c>
      <c r="U439" t="str">
        <f t="shared" si="154"/>
        <v/>
      </c>
      <c r="V439" t="str">
        <f t="shared" si="155"/>
        <v/>
      </c>
      <c r="W439" t="str">
        <f t="shared" si="156"/>
        <v/>
      </c>
      <c r="X439" s="38" t="str">
        <f t="shared" si="157"/>
        <v/>
      </c>
      <c r="Y439" s="38" t="str">
        <f t="shared" si="158"/>
        <v/>
      </c>
      <c r="Z439" s="39" t="str">
        <f t="shared" si="159"/>
        <v/>
      </c>
      <c r="AA439" s="39" t="str">
        <f t="shared" si="160"/>
        <v/>
      </c>
      <c r="AB439" s="40" t="str">
        <f t="shared" si="161"/>
        <v/>
      </c>
      <c r="AC439" t="str">
        <f>IF(L439="","",IF(AND($AO$2=1,ISNA(MATCH(L439,'02-شباط'!$L$2:$L$501,0))),"محذوف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62"/>
        <v/>
      </c>
      <c r="AH439" s="39" t="str">
        <f t="shared" si="163"/>
        <v/>
      </c>
      <c r="AI439" s="39" t="str">
        <f t="shared" si="164"/>
        <v/>
      </c>
      <c r="AJ439" s="39" t="str">
        <f t="shared" si="165"/>
        <v/>
      </c>
      <c r="AK439" t="str">
        <f t="shared" si="166"/>
        <v/>
      </c>
      <c r="AL439" t="str">
        <f t="shared" si="167"/>
        <v/>
      </c>
    </row>
    <row r="440" spans="11:38" ht="15">
      <c r="K440" t="str">
        <f t="shared" si="144"/>
        <v/>
      </c>
      <c r="L440" t="str">
        <f t="shared" si="145"/>
        <v/>
      </c>
      <c r="M440" s="36" t="str">
        <f t="shared" si="146"/>
        <v/>
      </c>
      <c r="N440" s="37" t="str">
        <f t="shared" si="147"/>
        <v/>
      </c>
      <c r="O440" s="37" t="str">
        <f t="shared" si="148"/>
        <v/>
      </c>
      <c r="P440" s="38" t="str">
        <f t="shared" si="149"/>
        <v/>
      </c>
      <c r="Q440" s="39" t="str">
        <f t="shared" si="150"/>
        <v/>
      </c>
      <c r="R440" s="39" t="str">
        <f t="shared" si="151"/>
        <v/>
      </c>
      <c r="S440" t="str">
        <f t="shared" si="152"/>
        <v/>
      </c>
      <c r="T440" s="39" t="str">
        <f t="shared" si="153"/>
        <v/>
      </c>
      <c r="U440" t="str">
        <f t="shared" si="154"/>
        <v/>
      </c>
      <c r="V440" t="str">
        <f t="shared" si="155"/>
        <v/>
      </c>
      <c r="W440" t="str">
        <f t="shared" si="156"/>
        <v/>
      </c>
      <c r="X440" s="38" t="str">
        <f t="shared" si="157"/>
        <v/>
      </c>
      <c r="Y440" s="38" t="str">
        <f t="shared" si="158"/>
        <v/>
      </c>
      <c r="Z440" s="39" t="str">
        <f t="shared" si="159"/>
        <v/>
      </c>
      <c r="AA440" s="39" t="str">
        <f t="shared" si="160"/>
        <v/>
      </c>
      <c r="AB440" s="40" t="str">
        <f t="shared" si="161"/>
        <v/>
      </c>
      <c r="AC440" t="str">
        <f>IF(L440="","",IF(AND($AO$2=1,ISNA(MATCH(L440,'02-شباط'!$L$2:$L$501,0))),"محذوف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62"/>
        <v/>
      </c>
      <c r="AH440" s="39" t="str">
        <f t="shared" si="163"/>
        <v/>
      </c>
      <c r="AI440" s="39" t="str">
        <f t="shared" si="164"/>
        <v/>
      </c>
      <c r="AJ440" s="39" t="str">
        <f t="shared" si="165"/>
        <v/>
      </c>
      <c r="AK440" t="str">
        <f t="shared" si="166"/>
        <v/>
      </c>
      <c r="AL440" t="str">
        <f t="shared" si="167"/>
        <v/>
      </c>
    </row>
    <row r="441" spans="11:38" ht="15">
      <c r="K441" t="str">
        <f t="shared" si="144"/>
        <v/>
      </c>
      <c r="L441" t="str">
        <f t="shared" si="145"/>
        <v/>
      </c>
      <c r="M441" s="36" t="str">
        <f t="shared" si="146"/>
        <v/>
      </c>
      <c r="N441" s="37" t="str">
        <f t="shared" si="147"/>
        <v/>
      </c>
      <c r="O441" s="37" t="str">
        <f t="shared" si="148"/>
        <v/>
      </c>
      <c r="P441" s="38" t="str">
        <f t="shared" si="149"/>
        <v/>
      </c>
      <c r="Q441" s="39" t="str">
        <f t="shared" si="150"/>
        <v/>
      </c>
      <c r="R441" s="39" t="str">
        <f t="shared" si="151"/>
        <v/>
      </c>
      <c r="S441" t="str">
        <f t="shared" si="152"/>
        <v/>
      </c>
      <c r="T441" s="39" t="str">
        <f t="shared" si="153"/>
        <v/>
      </c>
      <c r="U441" t="str">
        <f t="shared" si="154"/>
        <v/>
      </c>
      <c r="V441" t="str">
        <f t="shared" si="155"/>
        <v/>
      </c>
      <c r="W441" t="str">
        <f t="shared" si="156"/>
        <v/>
      </c>
      <c r="X441" s="38" t="str">
        <f t="shared" si="157"/>
        <v/>
      </c>
      <c r="Y441" s="38" t="str">
        <f t="shared" si="158"/>
        <v/>
      </c>
      <c r="Z441" s="39" t="str">
        <f t="shared" si="159"/>
        <v/>
      </c>
      <c r="AA441" s="39" t="str">
        <f t="shared" si="160"/>
        <v/>
      </c>
      <c r="AB441" s="40" t="str">
        <f t="shared" si="161"/>
        <v/>
      </c>
      <c r="AC441" t="str">
        <f>IF(L441="","",IF(AND($AO$2=1,ISNA(MATCH(L441,'02-شباط'!$L$2:$L$501,0))),"محذوف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62"/>
        <v/>
      </c>
      <c r="AH441" s="39" t="str">
        <f t="shared" si="163"/>
        <v/>
      </c>
      <c r="AI441" s="39" t="str">
        <f t="shared" si="164"/>
        <v/>
      </c>
      <c r="AJ441" s="39" t="str">
        <f t="shared" si="165"/>
        <v/>
      </c>
      <c r="AK441" t="str">
        <f t="shared" si="166"/>
        <v/>
      </c>
      <c r="AL441" t="str">
        <f t="shared" si="167"/>
        <v/>
      </c>
    </row>
    <row r="442" spans="11:38" ht="15">
      <c r="K442" t="str">
        <f t="shared" si="144"/>
        <v/>
      </c>
      <c r="L442" t="str">
        <f t="shared" si="145"/>
        <v/>
      </c>
      <c r="M442" s="36" t="str">
        <f t="shared" si="146"/>
        <v/>
      </c>
      <c r="N442" s="37" t="str">
        <f t="shared" si="147"/>
        <v/>
      </c>
      <c r="O442" s="37" t="str">
        <f t="shared" si="148"/>
        <v/>
      </c>
      <c r="P442" s="38" t="str">
        <f t="shared" si="149"/>
        <v/>
      </c>
      <c r="Q442" s="39" t="str">
        <f t="shared" si="150"/>
        <v/>
      </c>
      <c r="R442" s="39" t="str">
        <f t="shared" si="151"/>
        <v/>
      </c>
      <c r="S442" t="str">
        <f t="shared" si="152"/>
        <v/>
      </c>
      <c r="T442" s="39" t="str">
        <f t="shared" si="153"/>
        <v/>
      </c>
      <c r="U442" t="str">
        <f t="shared" si="154"/>
        <v/>
      </c>
      <c r="V442" t="str">
        <f t="shared" si="155"/>
        <v/>
      </c>
      <c r="W442" t="str">
        <f t="shared" si="156"/>
        <v/>
      </c>
      <c r="X442" s="38" t="str">
        <f t="shared" si="157"/>
        <v/>
      </c>
      <c r="Y442" s="38" t="str">
        <f t="shared" si="158"/>
        <v/>
      </c>
      <c r="Z442" s="39" t="str">
        <f t="shared" si="159"/>
        <v/>
      </c>
      <c r="AA442" s="39" t="str">
        <f t="shared" si="160"/>
        <v/>
      </c>
      <c r="AB442" s="40" t="str">
        <f t="shared" si="161"/>
        <v/>
      </c>
      <c r="AC442" t="str">
        <f>IF(L442="","",IF(AND($AO$2=1,ISNA(MATCH(L442,'02-شباط'!$L$2:$L$501,0))),"محذوف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62"/>
        <v/>
      </c>
      <c r="AH442" s="39" t="str">
        <f t="shared" si="163"/>
        <v/>
      </c>
      <c r="AI442" s="39" t="str">
        <f t="shared" si="164"/>
        <v/>
      </c>
      <c r="AJ442" s="39" t="str">
        <f t="shared" si="165"/>
        <v/>
      </c>
      <c r="AK442" t="str">
        <f t="shared" si="166"/>
        <v/>
      </c>
      <c r="AL442" t="str">
        <f t="shared" si="167"/>
        <v/>
      </c>
    </row>
    <row r="443" spans="11:38" ht="15">
      <c r="K443" t="str">
        <f t="shared" si="144"/>
        <v/>
      </c>
      <c r="L443" t="str">
        <f t="shared" si="145"/>
        <v/>
      </c>
      <c r="M443" s="36" t="str">
        <f t="shared" si="146"/>
        <v/>
      </c>
      <c r="N443" s="37" t="str">
        <f t="shared" si="147"/>
        <v/>
      </c>
      <c r="O443" s="37" t="str">
        <f t="shared" si="148"/>
        <v/>
      </c>
      <c r="P443" s="38" t="str">
        <f t="shared" si="149"/>
        <v/>
      </c>
      <c r="Q443" s="39" t="str">
        <f t="shared" si="150"/>
        <v/>
      </c>
      <c r="R443" s="39" t="str">
        <f t="shared" si="151"/>
        <v/>
      </c>
      <c r="S443" t="str">
        <f t="shared" si="152"/>
        <v/>
      </c>
      <c r="T443" s="39" t="str">
        <f t="shared" si="153"/>
        <v/>
      </c>
      <c r="U443" t="str">
        <f t="shared" si="154"/>
        <v/>
      </c>
      <c r="V443" t="str">
        <f t="shared" si="155"/>
        <v/>
      </c>
      <c r="W443" t="str">
        <f t="shared" si="156"/>
        <v/>
      </c>
      <c r="X443" s="38" t="str">
        <f t="shared" si="157"/>
        <v/>
      </c>
      <c r="Y443" s="38" t="str">
        <f t="shared" si="158"/>
        <v/>
      </c>
      <c r="Z443" s="39" t="str">
        <f t="shared" si="159"/>
        <v/>
      </c>
      <c r="AA443" s="39" t="str">
        <f t="shared" si="160"/>
        <v/>
      </c>
      <c r="AB443" s="40" t="str">
        <f t="shared" si="161"/>
        <v/>
      </c>
      <c r="AC443" t="str">
        <f>IF(L443="","",IF(AND($AO$2=1,ISNA(MATCH(L443,'02-شباط'!$L$2:$L$501,0))),"محذوف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62"/>
        <v/>
      </c>
      <c r="AH443" s="39" t="str">
        <f t="shared" si="163"/>
        <v/>
      </c>
      <c r="AI443" s="39" t="str">
        <f t="shared" si="164"/>
        <v/>
      </c>
      <c r="AJ443" s="39" t="str">
        <f t="shared" si="165"/>
        <v/>
      </c>
      <c r="AK443" t="str">
        <f t="shared" si="166"/>
        <v/>
      </c>
      <c r="AL443" t="str">
        <f t="shared" si="167"/>
        <v/>
      </c>
    </row>
    <row r="444" spans="11:38" ht="15">
      <c r="K444" t="str">
        <f t="shared" si="144"/>
        <v/>
      </c>
      <c r="L444" t="str">
        <f t="shared" si="145"/>
        <v/>
      </c>
      <c r="M444" s="36" t="str">
        <f t="shared" si="146"/>
        <v/>
      </c>
      <c r="N444" s="37" t="str">
        <f t="shared" si="147"/>
        <v/>
      </c>
      <c r="O444" s="37" t="str">
        <f t="shared" si="148"/>
        <v/>
      </c>
      <c r="P444" s="38" t="str">
        <f t="shared" si="149"/>
        <v/>
      </c>
      <c r="Q444" s="39" t="str">
        <f t="shared" si="150"/>
        <v/>
      </c>
      <c r="R444" s="39" t="str">
        <f t="shared" si="151"/>
        <v/>
      </c>
      <c r="S444" t="str">
        <f t="shared" si="152"/>
        <v/>
      </c>
      <c r="T444" s="39" t="str">
        <f t="shared" si="153"/>
        <v/>
      </c>
      <c r="U444" t="str">
        <f t="shared" si="154"/>
        <v/>
      </c>
      <c r="V444" t="str">
        <f t="shared" si="155"/>
        <v/>
      </c>
      <c r="W444" t="str">
        <f t="shared" si="156"/>
        <v/>
      </c>
      <c r="X444" s="38" t="str">
        <f t="shared" si="157"/>
        <v/>
      </c>
      <c r="Y444" s="38" t="str">
        <f t="shared" si="158"/>
        <v/>
      </c>
      <c r="Z444" s="39" t="str">
        <f t="shared" si="159"/>
        <v/>
      </c>
      <c r="AA444" s="39" t="str">
        <f t="shared" si="160"/>
        <v/>
      </c>
      <c r="AB444" s="40" t="str">
        <f t="shared" si="161"/>
        <v/>
      </c>
      <c r="AC444" t="str">
        <f>IF(L444="","",IF(AND($AO$2=1,ISNA(MATCH(L444,'02-شباط'!$L$2:$L$501,0))),"محذوف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62"/>
        <v/>
      </c>
      <c r="AH444" s="39" t="str">
        <f t="shared" si="163"/>
        <v/>
      </c>
      <c r="AI444" s="39" t="str">
        <f t="shared" si="164"/>
        <v/>
      </c>
      <c r="AJ444" s="39" t="str">
        <f t="shared" si="165"/>
        <v/>
      </c>
      <c r="AK444" t="str">
        <f t="shared" si="166"/>
        <v/>
      </c>
      <c r="AL444" t="str">
        <f t="shared" si="167"/>
        <v/>
      </c>
    </row>
    <row r="445" spans="11:38" ht="15">
      <c r="K445" t="str">
        <f t="shared" si="144"/>
        <v/>
      </c>
      <c r="L445" t="str">
        <f t="shared" si="145"/>
        <v/>
      </c>
      <c r="M445" s="36" t="str">
        <f t="shared" si="146"/>
        <v/>
      </c>
      <c r="N445" s="37" t="str">
        <f t="shared" si="147"/>
        <v/>
      </c>
      <c r="O445" s="37" t="str">
        <f t="shared" si="148"/>
        <v/>
      </c>
      <c r="P445" s="38" t="str">
        <f t="shared" si="149"/>
        <v/>
      </c>
      <c r="Q445" s="39" t="str">
        <f t="shared" si="150"/>
        <v/>
      </c>
      <c r="R445" s="39" t="str">
        <f t="shared" si="151"/>
        <v/>
      </c>
      <c r="S445" t="str">
        <f t="shared" si="152"/>
        <v/>
      </c>
      <c r="T445" s="39" t="str">
        <f t="shared" si="153"/>
        <v/>
      </c>
      <c r="U445" t="str">
        <f t="shared" si="154"/>
        <v/>
      </c>
      <c r="V445" t="str">
        <f t="shared" si="155"/>
        <v/>
      </c>
      <c r="W445" t="str">
        <f t="shared" si="156"/>
        <v/>
      </c>
      <c r="X445" s="38" t="str">
        <f t="shared" si="157"/>
        <v/>
      </c>
      <c r="Y445" s="38" t="str">
        <f t="shared" si="158"/>
        <v/>
      </c>
      <c r="Z445" s="39" t="str">
        <f t="shared" si="159"/>
        <v/>
      </c>
      <c r="AA445" s="39" t="str">
        <f t="shared" si="160"/>
        <v/>
      </c>
      <c r="AB445" s="40" t="str">
        <f t="shared" si="161"/>
        <v/>
      </c>
      <c r="AC445" t="str">
        <f>IF(L445="","",IF(AND($AO$2=1,ISNA(MATCH(L445,'02-شباط'!$L$2:$L$501,0))),"محذوف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62"/>
        <v/>
      </c>
      <c r="AH445" s="39" t="str">
        <f t="shared" si="163"/>
        <v/>
      </c>
      <c r="AI445" s="39" t="str">
        <f t="shared" si="164"/>
        <v/>
      </c>
      <c r="AJ445" s="39" t="str">
        <f t="shared" si="165"/>
        <v/>
      </c>
      <c r="AK445" t="str">
        <f t="shared" si="166"/>
        <v/>
      </c>
      <c r="AL445" t="str">
        <f t="shared" si="167"/>
        <v/>
      </c>
    </row>
    <row r="446" spans="11:38" ht="15">
      <c r="K446" t="str">
        <f t="shared" si="144"/>
        <v/>
      </c>
      <c r="L446" t="str">
        <f t="shared" si="145"/>
        <v/>
      </c>
      <c r="M446" s="36" t="str">
        <f t="shared" si="146"/>
        <v/>
      </c>
      <c r="N446" s="37" t="str">
        <f t="shared" si="147"/>
        <v/>
      </c>
      <c r="O446" s="37" t="str">
        <f t="shared" si="148"/>
        <v/>
      </c>
      <c r="P446" s="38" t="str">
        <f t="shared" si="149"/>
        <v/>
      </c>
      <c r="Q446" s="39" t="str">
        <f t="shared" si="150"/>
        <v/>
      </c>
      <c r="R446" s="39" t="str">
        <f t="shared" si="151"/>
        <v/>
      </c>
      <c r="S446" t="str">
        <f t="shared" si="152"/>
        <v/>
      </c>
      <c r="T446" s="39" t="str">
        <f t="shared" si="153"/>
        <v/>
      </c>
      <c r="U446" t="str">
        <f t="shared" si="154"/>
        <v/>
      </c>
      <c r="V446" t="str">
        <f t="shared" si="155"/>
        <v/>
      </c>
      <c r="W446" t="str">
        <f t="shared" si="156"/>
        <v/>
      </c>
      <c r="X446" s="38" t="str">
        <f t="shared" si="157"/>
        <v/>
      </c>
      <c r="Y446" s="38" t="str">
        <f t="shared" si="158"/>
        <v/>
      </c>
      <c r="Z446" s="39" t="str">
        <f t="shared" si="159"/>
        <v/>
      </c>
      <c r="AA446" s="39" t="str">
        <f t="shared" si="160"/>
        <v/>
      </c>
      <c r="AB446" s="40" t="str">
        <f t="shared" si="161"/>
        <v/>
      </c>
      <c r="AC446" t="str">
        <f>IF(L446="","",IF(AND($AO$2=1,ISNA(MATCH(L446,'02-شباط'!$L$2:$L$501,0))),"محذوف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62"/>
        <v/>
      </c>
      <c r="AH446" s="39" t="str">
        <f t="shared" si="163"/>
        <v/>
      </c>
      <c r="AI446" s="39" t="str">
        <f t="shared" si="164"/>
        <v/>
      </c>
      <c r="AJ446" s="39" t="str">
        <f t="shared" si="165"/>
        <v/>
      </c>
      <c r="AK446" t="str">
        <f t="shared" si="166"/>
        <v/>
      </c>
      <c r="AL446" t="str">
        <f t="shared" si="167"/>
        <v/>
      </c>
    </row>
    <row r="447" spans="11:38" ht="15">
      <c r="K447" t="str">
        <f t="shared" si="144"/>
        <v/>
      </c>
      <c r="L447" t="str">
        <f t="shared" si="145"/>
        <v/>
      </c>
      <c r="M447" s="36" t="str">
        <f t="shared" si="146"/>
        <v/>
      </c>
      <c r="N447" s="37" t="str">
        <f t="shared" si="147"/>
        <v/>
      </c>
      <c r="O447" s="37" t="str">
        <f t="shared" si="148"/>
        <v/>
      </c>
      <c r="P447" s="38" t="str">
        <f t="shared" si="149"/>
        <v/>
      </c>
      <c r="Q447" s="39" t="str">
        <f t="shared" si="150"/>
        <v/>
      </c>
      <c r="R447" s="39" t="str">
        <f t="shared" si="151"/>
        <v/>
      </c>
      <c r="S447" t="str">
        <f t="shared" si="152"/>
        <v/>
      </c>
      <c r="T447" s="39" t="str">
        <f t="shared" si="153"/>
        <v/>
      </c>
      <c r="U447" t="str">
        <f t="shared" si="154"/>
        <v/>
      </c>
      <c r="V447" t="str">
        <f t="shared" si="155"/>
        <v/>
      </c>
      <c r="W447" t="str">
        <f t="shared" si="156"/>
        <v/>
      </c>
      <c r="X447" s="38" t="str">
        <f t="shared" si="157"/>
        <v/>
      </c>
      <c r="Y447" s="38" t="str">
        <f t="shared" si="158"/>
        <v/>
      </c>
      <c r="Z447" s="39" t="str">
        <f t="shared" si="159"/>
        <v/>
      </c>
      <c r="AA447" s="39" t="str">
        <f t="shared" si="160"/>
        <v/>
      </c>
      <c r="AB447" s="40" t="str">
        <f t="shared" si="161"/>
        <v/>
      </c>
      <c r="AC447" t="str">
        <f>IF(L447="","",IF(AND($AO$2=1,ISNA(MATCH(L447,'02-شباط'!$L$2:$L$501,0))),"محذوف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62"/>
        <v/>
      </c>
      <c r="AH447" s="39" t="str">
        <f t="shared" si="163"/>
        <v/>
      </c>
      <c r="AI447" s="39" t="str">
        <f t="shared" si="164"/>
        <v/>
      </c>
      <c r="AJ447" s="39" t="str">
        <f t="shared" si="165"/>
        <v/>
      </c>
      <c r="AK447" t="str">
        <f t="shared" si="166"/>
        <v/>
      </c>
      <c r="AL447" t="str">
        <f t="shared" si="167"/>
        <v/>
      </c>
    </row>
    <row r="448" spans="11:38" ht="15">
      <c r="K448" t="str">
        <f t="shared" si="144"/>
        <v/>
      </c>
      <c r="L448" t="str">
        <f t="shared" si="145"/>
        <v/>
      </c>
      <c r="M448" s="36" t="str">
        <f t="shared" si="146"/>
        <v/>
      </c>
      <c r="N448" s="37" t="str">
        <f t="shared" si="147"/>
        <v/>
      </c>
      <c r="O448" s="37" t="str">
        <f t="shared" si="148"/>
        <v/>
      </c>
      <c r="P448" s="38" t="str">
        <f t="shared" si="149"/>
        <v/>
      </c>
      <c r="Q448" s="39" t="str">
        <f t="shared" si="150"/>
        <v/>
      </c>
      <c r="R448" s="39" t="str">
        <f t="shared" si="151"/>
        <v/>
      </c>
      <c r="S448" t="str">
        <f t="shared" si="152"/>
        <v/>
      </c>
      <c r="T448" s="39" t="str">
        <f t="shared" si="153"/>
        <v/>
      </c>
      <c r="U448" t="str">
        <f t="shared" si="154"/>
        <v/>
      </c>
      <c r="V448" t="str">
        <f t="shared" si="155"/>
        <v/>
      </c>
      <c r="W448" t="str">
        <f t="shared" si="156"/>
        <v/>
      </c>
      <c r="X448" s="38" t="str">
        <f t="shared" si="157"/>
        <v/>
      </c>
      <c r="Y448" s="38" t="str">
        <f t="shared" si="158"/>
        <v/>
      </c>
      <c r="Z448" s="39" t="str">
        <f t="shared" si="159"/>
        <v/>
      </c>
      <c r="AA448" s="39" t="str">
        <f t="shared" si="160"/>
        <v/>
      </c>
      <c r="AB448" s="40" t="str">
        <f t="shared" si="161"/>
        <v/>
      </c>
      <c r="AC448" t="str">
        <f>IF(L448="","",IF(AND($AO$2=1,ISNA(MATCH(L448,'02-شباط'!$L$2:$L$501,0))),"محذوف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62"/>
        <v/>
      </c>
      <c r="AH448" s="39" t="str">
        <f t="shared" si="163"/>
        <v/>
      </c>
      <c r="AI448" s="39" t="str">
        <f t="shared" si="164"/>
        <v/>
      </c>
      <c r="AJ448" s="39" t="str">
        <f t="shared" si="165"/>
        <v/>
      </c>
      <c r="AK448" t="str">
        <f t="shared" si="166"/>
        <v/>
      </c>
      <c r="AL448" t="str">
        <f t="shared" si="167"/>
        <v/>
      </c>
    </row>
    <row r="449" spans="11:38" ht="15">
      <c r="K449" t="str">
        <f t="shared" si="144"/>
        <v/>
      </c>
      <c r="L449" t="str">
        <f t="shared" si="145"/>
        <v/>
      </c>
      <c r="M449" s="36" t="str">
        <f t="shared" si="146"/>
        <v/>
      </c>
      <c r="N449" s="37" t="str">
        <f t="shared" si="147"/>
        <v/>
      </c>
      <c r="O449" s="37" t="str">
        <f t="shared" si="148"/>
        <v/>
      </c>
      <c r="P449" s="38" t="str">
        <f t="shared" si="149"/>
        <v/>
      </c>
      <c r="Q449" s="39" t="str">
        <f t="shared" si="150"/>
        <v/>
      </c>
      <c r="R449" s="39" t="str">
        <f t="shared" si="151"/>
        <v/>
      </c>
      <c r="S449" t="str">
        <f t="shared" si="152"/>
        <v/>
      </c>
      <c r="T449" s="39" t="str">
        <f t="shared" si="153"/>
        <v/>
      </c>
      <c r="U449" t="str">
        <f t="shared" si="154"/>
        <v/>
      </c>
      <c r="V449" t="str">
        <f t="shared" si="155"/>
        <v/>
      </c>
      <c r="W449" t="str">
        <f t="shared" si="156"/>
        <v/>
      </c>
      <c r="X449" s="38" t="str">
        <f t="shared" si="157"/>
        <v/>
      </c>
      <c r="Y449" s="38" t="str">
        <f t="shared" si="158"/>
        <v/>
      </c>
      <c r="Z449" s="39" t="str">
        <f t="shared" si="159"/>
        <v/>
      </c>
      <c r="AA449" s="39" t="str">
        <f t="shared" si="160"/>
        <v/>
      </c>
      <c r="AB449" s="40" t="str">
        <f t="shared" si="161"/>
        <v/>
      </c>
      <c r="AC449" t="str">
        <f>IF(L449="","",IF(AND($AO$2=1,ISNA(MATCH(L449,'02-شباط'!$L$2:$L$501,0))),"محذوف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62"/>
        <v/>
      </c>
      <c r="AH449" s="39" t="str">
        <f t="shared" si="163"/>
        <v/>
      </c>
      <c r="AI449" s="39" t="str">
        <f t="shared" si="164"/>
        <v/>
      </c>
      <c r="AJ449" s="39" t="str">
        <f t="shared" si="165"/>
        <v/>
      </c>
      <c r="AK449" t="str">
        <f t="shared" si="166"/>
        <v/>
      </c>
      <c r="AL449" t="str">
        <f t="shared" si="167"/>
        <v/>
      </c>
    </row>
    <row r="450" spans="11:38" ht="15">
      <c r="K450" t="str">
        <f t="shared" ref="K450:K501" si="168">IF(L450="","",IF(U450&lt;&gt;"","⚠",""))</f>
        <v/>
      </c>
      <c r="L450" t="str">
        <f t="shared" ref="L450:L501" si="169">IF(A450="","",TRIM(A450))</f>
        <v/>
      </c>
      <c r="M450" s="36" t="str">
        <f t="shared" ref="M450:M501" si="170">IF(L450="","",IF(ISNUMBER(SEARCH("دولار",F450)),1,IF(ISNUMBER(SEARCH("ليرة",F450)),IF($AO$3&gt;0,1/$AO$3,0),0)))</f>
        <v/>
      </c>
      <c r="N450" s="37" t="str">
        <f t="shared" ref="N450:N501" si="171">IF(L450="","",N(I450)*M450)</f>
        <v/>
      </c>
      <c r="O450" s="37" t="str">
        <f t="shared" ref="O450:O501" si="172">IF(L450="","",M450*CHOOSE($AO$4,N(C450),N(D450),N(E450)))</f>
        <v/>
      </c>
      <c r="P450" s="38" t="str">
        <f t="shared" ref="P450:P501" si="173">IF(L450="","",MAX(N(B450),0))</f>
        <v/>
      </c>
      <c r="Q450" s="39" t="str">
        <f t="shared" ref="Q450:Q501" si="174">IF(L450="","",P450*N450)</f>
        <v/>
      </c>
      <c r="R450" s="39" t="str">
        <f t="shared" ref="R450:R501" si="175">IF(L450="","",P450*O450)</f>
        <v/>
      </c>
      <c r="S450" t="str">
        <f t="shared" ref="S450:S501" si="176">IF(L450="","",IF(AND(P450&gt;0,N450&gt;0,O450&gt;0),1,0))</f>
        <v/>
      </c>
      <c r="T450" s="39" t="str">
        <f t="shared" ref="T450:T501" si="177">IF(L450="","",S450*(R450-Q450))</f>
        <v/>
      </c>
      <c r="U450" t="str">
        <f t="shared" ref="U450:U501" si="178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 t="shared" ref="V450:V501" si="179">IF(L450="","",0)</f>
        <v/>
      </c>
      <c r="W450" t="str">
        <f t="shared" ref="W450:W501" si="180">IF(L450="","",IF(AND($AO$1=1,V450=0),"جديد",""))</f>
        <v/>
      </c>
      <c r="X450" s="38" t="str">
        <f t="shared" ref="X450:X501" si="181">IF(L450="","","")</f>
        <v/>
      </c>
      <c r="Y450" s="38" t="str">
        <f t="shared" ref="Y450:Y501" si="182">IF(OR(L450="",X450=""),"",P450-X450)</f>
        <v/>
      </c>
      <c r="Z450" s="39" t="str">
        <f t="shared" ref="Z450:Z501" si="183">IF(L450="","","")</f>
        <v/>
      </c>
      <c r="AA450" s="39" t="str">
        <f t="shared" ref="AA450:AA501" si="184">IF(OR(L450="",Z450=""),"",Q450-Z450)</f>
        <v/>
      </c>
      <c r="AB450" s="40" t="str">
        <f t="shared" ref="AB450:AB501" si="185">IF(L450="","","")</f>
        <v/>
      </c>
      <c r="AC450" t="str">
        <f>IF(L450="","",IF(AND($AO$2=1,ISNA(MATCH(L450,'02-شباط'!$L$2:$L$501,0))),"محذوف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86">IF(AA450="","",ABS(AA450)+ROW()/1000000000)</f>
        <v/>
      </c>
      <c r="AH450" s="39" t="str">
        <f t="shared" ref="AH450:AH501" si="187">IF(L450="","",IF(AND(P450&gt;0,N450&gt;0,N(C450)&gt;0),P450*(M450*N(C450)-N450),0))</f>
        <v/>
      </c>
      <c r="AI450" s="39" t="str">
        <f t="shared" ref="AI450:AI501" si="188">IF(L450="","",IF(AND(P450&gt;0,N450&gt;0,N(D450)&gt;0),P450*(M450*N(D450)-N450),0))</f>
        <v/>
      </c>
      <c r="AJ450" s="39" t="str">
        <f t="shared" ref="AJ450:AJ501" si="189">IF(L450="","",IF(AND(P450&gt;0,N450&gt;0,N(E450)&gt;0),P450*(M450*N(E450)-N450),0))</f>
        <v/>
      </c>
      <c r="AK450" t="str">
        <f t="shared" ref="AK450:AK501" si="190">IF(L450="","",Q450+ROW()/1000000000)</f>
        <v/>
      </c>
      <c r="AL450" t="str">
        <f t="shared" ref="AL450:AL501" si="191">IF(L450="","",T450+ROW()/1000000000)</f>
        <v/>
      </c>
    </row>
    <row r="451" spans="11:38" ht="15">
      <c r="K451" t="str">
        <f t="shared" si="168"/>
        <v/>
      </c>
      <c r="L451" t="str">
        <f t="shared" si="169"/>
        <v/>
      </c>
      <c r="M451" s="36" t="str">
        <f t="shared" si="170"/>
        <v/>
      </c>
      <c r="N451" s="37" t="str">
        <f t="shared" si="171"/>
        <v/>
      </c>
      <c r="O451" s="37" t="str">
        <f t="shared" si="172"/>
        <v/>
      </c>
      <c r="P451" s="38" t="str">
        <f t="shared" si="173"/>
        <v/>
      </c>
      <c r="Q451" s="39" t="str">
        <f t="shared" si="174"/>
        <v/>
      </c>
      <c r="R451" s="39" t="str">
        <f t="shared" si="175"/>
        <v/>
      </c>
      <c r="S451" t="str">
        <f t="shared" si="176"/>
        <v/>
      </c>
      <c r="T451" s="39" t="str">
        <f t="shared" si="177"/>
        <v/>
      </c>
      <c r="U451" t="str">
        <f t="shared" si="178"/>
        <v/>
      </c>
      <c r="V451" t="str">
        <f t="shared" si="179"/>
        <v/>
      </c>
      <c r="W451" t="str">
        <f t="shared" si="180"/>
        <v/>
      </c>
      <c r="X451" s="38" t="str">
        <f t="shared" si="181"/>
        <v/>
      </c>
      <c r="Y451" s="38" t="str">
        <f t="shared" si="182"/>
        <v/>
      </c>
      <c r="Z451" s="39" t="str">
        <f t="shared" si="183"/>
        <v/>
      </c>
      <c r="AA451" s="39" t="str">
        <f t="shared" si="184"/>
        <v/>
      </c>
      <c r="AB451" s="40" t="str">
        <f t="shared" si="185"/>
        <v/>
      </c>
      <c r="AC451" t="str">
        <f>IF(L451="","",IF(AND($AO$2=1,ISNA(MATCH(L451,'02-شباط'!$L$2:$L$501,0))),"محذوف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86"/>
        <v/>
      </c>
      <c r="AH451" s="39" t="str">
        <f t="shared" si="187"/>
        <v/>
      </c>
      <c r="AI451" s="39" t="str">
        <f t="shared" si="188"/>
        <v/>
      </c>
      <c r="AJ451" s="39" t="str">
        <f t="shared" si="189"/>
        <v/>
      </c>
      <c r="AK451" t="str">
        <f t="shared" si="190"/>
        <v/>
      </c>
      <c r="AL451" t="str">
        <f t="shared" si="191"/>
        <v/>
      </c>
    </row>
    <row r="452" spans="11:38" ht="15">
      <c r="K452" t="str">
        <f t="shared" si="168"/>
        <v/>
      </c>
      <c r="L452" t="str">
        <f t="shared" si="169"/>
        <v/>
      </c>
      <c r="M452" s="36" t="str">
        <f t="shared" si="170"/>
        <v/>
      </c>
      <c r="N452" s="37" t="str">
        <f t="shared" si="171"/>
        <v/>
      </c>
      <c r="O452" s="37" t="str">
        <f t="shared" si="172"/>
        <v/>
      </c>
      <c r="P452" s="38" t="str">
        <f t="shared" si="173"/>
        <v/>
      </c>
      <c r="Q452" s="39" t="str">
        <f t="shared" si="174"/>
        <v/>
      </c>
      <c r="R452" s="39" t="str">
        <f t="shared" si="175"/>
        <v/>
      </c>
      <c r="S452" t="str">
        <f t="shared" si="176"/>
        <v/>
      </c>
      <c r="T452" s="39" t="str">
        <f t="shared" si="177"/>
        <v/>
      </c>
      <c r="U452" t="str">
        <f t="shared" si="178"/>
        <v/>
      </c>
      <c r="V452" t="str">
        <f t="shared" si="179"/>
        <v/>
      </c>
      <c r="W452" t="str">
        <f t="shared" si="180"/>
        <v/>
      </c>
      <c r="X452" s="38" t="str">
        <f t="shared" si="181"/>
        <v/>
      </c>
      <c r="Y452" s="38" t="str">
        <f t="shared" si="182"/>
        <v/>
      </c>
      <c r="Z452" s="39" t="str">
        <f t="shared" si="183"/>
        <v/>
      </c>
      <c r="AA452" s="39" t="str">
        <f t="shared" si="184"/>
        <v/>
      </c>
      <c r="AB452" s="40" t="str">
        <f t="shared" si="185"/>
        <v/>
      </c>
      <c r="AC452" t="str">
        <f>IF(L452="","",IF(AND($AO$2=1,ISNA(MATCH(L452,'02-شباط'!$L$2:$L$501,0))),"محذوف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86"/>
        <v/>
      </c>
      <c r="AH452" s="39" t="str">
        <f t="shared" si="187"/>
        <v/>
      </c>
      <c r="AI452" s="39" t="str">
        <f t="shared" si="188"/>
        <v/>
      </c>
      <c r="AJ452" s="39" t="str">
        <f t="shared" si="189"/>
        <v/>
      </c>
      <c r="AK452" t="str">
        <f t="shared" si="190"/>
        <v/>
      </c>
      <c r="AL452" t="str">
        <f t="shared" si="191"/>
        <v/>
      </c>
    </row>
    <row r="453" spans="11:38" ht="15">
      <c r="K453" t="str">
        <f t="shared" si="168"/>
        <v/>
      </c>
      <c r="L453" t="str">
        <f t="shared" si="169"/>
        <v/>
      </c>
      <c r="M453" s="36" t="str">
        <f t="shared" si="170"/>
        <v/>
      </c>
      <c r="N453" s="37" t="str">
        <f t="shared" si="171"/>
        <v/>
      </c>
      <c r="O453" s="37" t="str">
        <f t="shared" si="172"/>
        <v/>
      </c>
      <c r="P453" s="38" t="str">
        <f t="shared" si="173"/>
        <v/>
      </c>
      <c r="Q453" s="39" t="str">
        <f t="shared" si="174"/>
        <v/>
      </c>
      <c r="R453" s="39" t="str">
        <f t="shared" si="175"/>
        <v/>
      </c>
      <c r="S453" t="str">
        <f t="shared" si="176"/>
        <v/>
      </c>
      <c r="T453" s="39" t="str">
        <f t="shared" si="177"/>
        <v/>
      </c>
      <c r="U453" t="str">
        <f t="shared" si="178"/>
        <v/>
      </c>
      <c r="V453" t="str">
        <f t="shared" si="179"/>
        <v/>
      </c>
      <c r="W453" t="str">
        <f t="shared" si="180"/>
        <v/>
      </c>
      <c r="X453" s="38" t="str">
        <f t="shared" si="181"/>
        <v/>
      </c>
      <c r="Y453" s="38" t="str">
        <f t="shared" si="182"/>
        <v/>
      </c>
      <c r="Z453" s="39" t="str">
        <f t="shared" si="183"/>
        <v/>
      </c>
      <c r="AA453" s="39" t="str">
        <f t="shared" si="184"/>
        <v/>
      </c>
      <c r="AB453" s="40" t="str">
        <f t="shared" si="185"/>
        <v/>
      </c>
      <c r="AC453" t="str">
        <f>IF(L453="","",IF(AND($AO$2=1,ISNA(MATCH(L453,'02-شباط'!$L$2:$L$501,0))),"محذوف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86"/>
        <v/>
      </c>
      <c r="AH453" s="39" t="str">
        <f t="shared" si="187"/>
        <v/>
      </c>
      <c r="AI453" s="39" t="str">
        <f t="shared" si="188"/>
        <v/>
      </c>
      <c r="AJ453" s="39" t="str">
        <f t="shared" si="189"/>
        <v/>
      </c>
      <c r="AK453" t="str">
        <f t="shared" si="190"/>
        <v/>
      </c>
      <c r="AL453" t="str">
        <f t="shared" si="191"/>
        <v/>
      </c>
    </row>
    <row r="454" spans="11:38" ht="15">
      <c r="K454" t="str">
        <f t="shared" si="168"/>
        <v/>
      </c>
      <c r="L454" t="str">
        <f t="shared" si="169"/>
        <v/>
      </c>
      <c r="M454" s="36" t="str">
        <f t="shared" si="170"/>
        <v/>
      </c>
      <c r="N454" s="37" t="str">
        <f t="shared" si="171"/>
        <v/>
      </c>
      <c r="O454" s="37" t="str">
        <f t="shared" si="172"/>
        <v/>
      </c>
      <c r="P454" s="38" t="str">
        <f t="shared" si="173"/>
        <v/>
      </c>
      <c r="Q454" s="39" t="str">
        <f t="shared" si="174"/>
        <v/>
      </c>
      <c r="R454" s="39" t="str">
        <f t="shared" si="175"/>
        <v/>
      </c>
      <c r="S454" t="str">
        <f t="shared" si="176"/>
        <v/>
      </c>
      <c r="T454" s="39" t="str">
        <f t="shared" si="177"/>
        <v/>
      </c>
      <c r="U454" t="str">
        <f t="shared" si="178"/>
        <v/>
      </c>
      <c r="V454" t="str">
        <f t="shared" si="179"/>
        <v/>
      </c>
      <c r="W454" t="str">
        <f t="shared" si="180"/>
        <v/>
      </c>
      <c r="X454" s="38" t="str">
        <f t="shared" si="181"/>
        <v/>
      </c>
      <c r="Y454" s="38" t="str">
        <f t="shared" si="182"/>
        <v/>
      </c>
      <c r="Z454" s="39" t="str">
        <f t="shared" si="183"/>
        <v/>
      </c>
      <c r="AA454" s="39" t="str">
        <f t="shared" si="184"/>
        <v/>
      </c>
      <c r="AB454" s="40" t="str">
        <f t="shared" si="185"/>
        <v/>
      </c>
      <c r="AC454" t="str">
        <f>IF(L454="","",IF(AND($AO$2=1,ISNA(MATCH(L454,'02-شباط'!$L$2:$L$501,0))),"محذوف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86"/>
        <v/>
      </c>
      <c r="AH454" s="39" t="str">
        <f t="shared" si="187"/>
        <v/>
      </c>
      <c r="AI454" s="39" t="str">
        <f t="shared" si="188"/>
        <v/>
      </c>
      <c r="AJ454" s="39" t="str">
        <f t="shared" si="189"/>
        <v/>
      </c>
      <c r="AK454" t="str">
        <f t="shared" si="190"/>
        <v/>
      </c>
      <c r="AL454" t="str">
        <f t="shared" si="191"/>
        <v/>
      </c>
    </row>
    <row r="455" spans="11:38" ht="15">
      <c r="K455" t="str">
        <f t="shared" si="168"/>
        <v/>
      </c>
      <c r="L455" t="str">
        <f t="shared" si="169"/>
        <v/>
      </c>
      <c r="M455" s="36" t="str">
        <f t="shared" si="170"/>
        <v/>
      </c>
      <c r="N455" s="37" t="str">
        <f t="shared" si="171"/>
        <v/>
      </c>
      <c r="O455" s="37" t="str">
        <f t="shared" si="172"/>
        <v/>
      </c>
      <c r="P455" s="38" t="str">
        <f t="shared" si="173"/>
        <v/>
      </c>
      <c r="Q455" s="39" t="str">
        <f t="shared" si="174"/>
        <v/>
      </c>
      <c r="R455" s="39" t="str">
        <f t="shared" si="175"/>
        <v/>
      </c>
      <c r="S455" t="str">
        <f t="shared" si="176"/>
        <v/>
      </c>
      <c r="T455" s="39" t="str">
        <f t="shared" si="177"/>
        <v/>
      </c>
      <c r="U455" t="str">
        <f t="shared" si="178"/>
        <v/>
      </c>
      <c r="V455" t="str">
        <f t="shared" si="179"/>
        <v/>
      </c>
      <c r="W455" t="str">
        <f t="shared" si="180"/>
        <v/>
      </c>
      <c r="X455" s="38" t="str">
        <f t="shared" si="181"/>
        <v/>
      </c>
      <c r="Y455" s="38" t="str">
        <f t="shared" si="182"/>
        <v/>
      </c>
      <c r="Z455" s="39" t="str">
        <f t="shared" si="183"/>
        <v/>
      </c>
      <c r="AA455" s="39" t="str">
        <f t="shared" si="184"/>
        <v/>
      </c>
      <c r="AB455" s="40" t="str">
        <f t="shared" si="185"/>
        <v/>
      </c>
      <c r="AC455" t="str">
        <f>IF(L455="","",IF(AND($AO$2=1,ISNA(MATCH(L455,'02-شباط'!$L$2:$L$501,0))),"محذوف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86"/>
        <v/>
      </c>
      <c r="AH455" s="39" t="str">
        <f t="shared" si="187"/>
        <v/>
      </c>
      <c r="AI455" s="39" t="str">
        <f t="shared" si="188"/>
        <v/>
      </c>
      <c r="AJ455" s="39" t="str">
        <f t="shared" si="189"/>
        <v/>
      </c>
      <c r="AK455" t="str">
        <f t="shared" si="190"/>
        <v/>
      </c>
      <c r="AL455" t="str">
        <f t="shared" si="191"/>
        <v/>
      </c>
    </row>
    <row r="456" spans="11:38" ht="15">
      <c r="K456" t="str">
        <f t="shared" si="168"/>
        <v/>
      </c>
      <c r="L456" t="str">
        <f t="shared" si="169"/>
        <v/>
      </c>
      <c r="M456" s="36" t="str">
        <f t="shared" si="170"/>
        <v/>
      </c>
      <c r="N456" s="37" t="str">
        <f t="shared" si="171"/>
        <v/>
      </c>
      <c r="O456" s="37" t="str">
        <f t="shared" si="172"/>
        <v/>
      </c>
      <c r="P456" s="38" t="str">
        <f t="shared" si="173"/>
        <v/>
      </c>
      <c r="Q456" s="39" t="str">
        <f t="shared" si="174"/>
        <v/>
      </c>
      <c r="R456" s="39" t="str">
        <f t="shared" si="175"/>
        <v/>
      </c>
      <c r="S456" t="str">
        <f t="shared" si="176"/>
        <v/>
      </c>
      <c r="T456" s="39" t="str">
        <f t="shared" si="177"/>
        <v/>
      </c>
      <c r="U456" t="str">
        <f t="shared" si="178"/>
        <v/>
      </c>
      <c r="V456" t="str">
        <f t="shared" si="179"/>
        <v/>
      </c>
      <c r="W456" t="str">
        <f t="shared" si="180"/>
        <v/>
      </c>
      <c r="X456" s="38" t="str">
        <f t="shared" si="181"/>
        <v/>
      </c>
      <c r="Y456" s="38" t="str">
        <f t="shared" si="182"/>
        <v/>
      </c>
      <c r="Z456" s="39" t="str">
        <f t="shared" si="183"/>
        <v/>
      </c>
      <c r="AA456" s="39" t="str">
        <f t="shared" si="184"/>
        <v/>
      </c>
      <c r="AB456" s="40" t="str">
        <f t="shared" si="185"/>
        <v/>
      </c>
      <c r="AC456" t="str">
        <f>IF(L456="","",IF(AND($AO$2=1,ISNA(MATCH(L456,'02-شباط'!$L$2:$L$501,0))),"محذوف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86"/>
        <v/>
      </c>
      <c r="AH456" s="39" t="str">
        <f t="shared" si="187"/>
        <v/>
      </c>
      <c r="AI456" s="39" t="str">
        <f t="shared" si="188"/>
        <v/>
      </c>
      <c r="AJ456" s="39" t="str">
        <f t="shared" si="189"/>
        <v/>
      </c>
      <c r="AK456" t="str">
        <f t="shared" si="190"/>
        <v/>
      </c>
      <c r="AL456" t="str">
        <f t="shared" si="191"/>
        <v/>
      </c>
    </row>
    <row r="457" spans="11:38" ht="15">
      <c r="K457" t="str">
        <f t="shared" si="168"/>
        <v/>
      </c>
      <c r="L457" t="str">
        <f t="shared" si="169"/>
        <v/>
      </c>
      <c r="M457" s="36" t="str">
        <f t="shared" si="170"/>
        <v/>
      </c>
      <c r="N457" s="37" t="str">
        <f t="shared" si="171"/>
        <v/>
      </c>
      <c r="O457" s="37" t="str">
        <f t="shared" si="172"/>
        <v/>
      </c>
      <c r="P457" s="38" t="str">
        <f t="shared" si="173"/>
        <v/>
      </c>
      <c r="Q457" s="39" t="str">
        <f t="shared" si="174"/>
        <v/>
      </c>
      <c r="R457" s="39" t="str">
        <f t="shared" si="175"/>
        <v/>
      </c>
      <c r="S457" t="str">
        <f t="shared" si="176"/>
        <v/>
      </c>
      <c r="T457" s="39" t="str">
        <f t="shared" si="177"/>
        <v/>
      </c>
      <c r="U457" t="str">
        <f t="shared" si="178"/>
        <v/>
      </c>
      <c r="V457" t="str">
        <f t="shared" si="179"/>
        <v/>
      </c>
      <c r="W457" t="str">
        <f t="shared" si="180"/>
        <v/>
      </c>
      <c r="X457" s="38" t="str">
        <f t="shared" si="181"/>
        <v/>
      </c>
      <c r="Y457" s="38" t="str">
        <f t="shared" si="182"/>
        <v/>
      </c>
      <c r="Z457" s="39" t="str">
        <f t="shared" si="183"/>
        <v/>
      </c>
      <c r="AA457" s="39" t="str">
        <f t="shared" si="184"/>
        <v/>
      </c>
      <c r="AB457" s="40" t="str">
        <f t="shared" si="185"/>
        <v/>
      </c>
      <c r="AC457" t="str">
        <f>IF(L457="","",IF(AND($AO$2=1,ISNA(MATCH(L457,'02-شباط'!$L$2:$L$501,0))),"محذوف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86"/>
        <v/>
      </c>
      <c r="AH457" s="39" t="str">
        <f t="shared" si="187"/>
        <v/>
      </c>
      <c r="AI457" s="39" t="str">
        <f t="shared" si="188"/>
        <v/>
      </c>
      <c r="AJ457" s="39" t="str">
        <f t="shared" si="189"/>
        <v/>
      </c>
      <c r="AK457" t="str">
        <f t="shared" si="190"/>
        <v/>
      </c>
      <c r="AL457" t="str">
        <f t="shared" si="191"/>
        <v/>
      </c>
    </row>
    <row r="458" spans="11:38" ht="15">
      <c r="K458" t="str">
        <f t="shared" si="168"/>
        <v/>
      </c>
      <c r="L458" t="str">
        <f t="shared" si="169"/>
        <v/>
      </c>
      <c r="M458" s="36" t="str">
        <f t="shared" si="170"/>
        <v/>
      </c>
      <c r="N458" s="37" t="str">
        <f t="shared" si="171"/>
        <v/>
      </c>
      <c r="O458" s="37" t="str">
        <f t="shared" si="172"/>
        <v/>
      </c>
      <c r="P458" s="38" t="str">
        <f t="shared" si="173"/>
        <v/>
      </c>
      <c r="Q458" s="39" t="str">
        <f t="shared" si="174"/>
        <v/>
      </c>
      <c r="R458" s="39" t="str">
        <f t="shared" si="175"/>
        <v/>
      </c>
      <c r="S458" t="str">
        <f t="shared" si="176"/>
        <v/>
      </c>
      <c r="T458" s="39" t="str">
        <f t="shared" si="177"/>
        <v/>
      </c>
      <c r="U458" t="str">
        <f t="shared" si="178"/>
        <v/>
      </c>
      <c r="V458" t="str">
        <f t="shared" si="179"/>
        <v/>
      </c>
      <c r="W458" t="str">
        <f t="shared" si="180"/>
        <v/>
      </c>
      <c r="X458" s="38" t="str">
        <f t="shared" si="181"/>
        <v/>
      </c>
      <c r="Y458" s="38" t="str">
        <f t="shared" si="182"/>
        <v/>
      </c>
      <c r="Z458" s="39" t="str">
        <f t="shared" si="183"/>
        <v/>
      </c>
      <c r="AA458" s="39" t="str">
        <f t="shared" si="184"/>
        <v/>
      </c>
      <c r="AB458" s="40" t="str">
        <f t="shared" si="185"/>
        <v/>
      </c>
      <c r="AC458" t="str">
        <f>IF(L458="","",IF(AND($AO$2=1,ISNA(MATCH(L458,'02-شباط'!$L$2:$L$501,0))),"محذوف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86"/>
        <v/>
      </c>
      <c r="AH458" s="39" t="str">
        <f t="shared" si="187"/>
        <v/>
      </c>
      <c r="AI458" s="39" t="str">
        <f t="shared" si="188"/>
        <v/>
      </c>
      <c r="AJ458" s="39" t="str">
        <f t="shared" si="189"/>
        <v/>
      </c>
      <c r="AK458" t="str">
        <f t="shared" si="190"/>
        <v/>
      </c>
      <c r="AL458" t="str">
        <f t="shared" si="191"/>
        <v/>
      </c>
    </row>
    <row r="459" spans="11:38" ht="15">
      <c r="K459" t="str">
        <f t="shared" si="168"/>
        <v/>
      </c>
      <c r="L459" t="str">
        <f t="shared" si="169"/>
        <v/>
      </c>
      <c r="M459" s="36" t="str">
        <f t="shared" si="170"/>
        <v/>
      </c>
      <c r="N459" s="37" t="str">
        <f t="shared" si="171"/>
        <v/>
      </c>
      <c r="O459" s="37" t="str">
        <f t="shared" si="172"/>
        <v/>
      </c>
      <c r="P459" s="38" t="str">
        <f t="shared" si="173"/>
        <v/>
      </c>
      <c r="Q459" s="39" t="str">
        <f t="shared" si="174"/>
        <v/>
      </c>
      <c r="R459" s="39" t="str">
        <f t="shared" si="175"/>
        <v/>
      </c>
      <c r="S459" t="str">
        <f t="shared" si="176"/>
        <v/>
      </c>
      <c r="T459" s="39" t="str">
        <f t="shared" si="177"/>
        <v/>
      </c>
      <c r="U459" t="str">
        <f t="shared" si="178"/>
        <v/>
      </c>
      <c r="V459" t="str">
        <f t="shared" si="179"/>
        <v/>
      </c>
      <c r="W459" t="str">
        <f t="shared" si="180"/>
        <v/>
      </c>
      <c r="X459" s="38" t="str">
        <f t="shared" si="181"/>
        <v/>
      </c>
      <c r="Y459" s="38" t="str">
        <f t="shared" si="182"/>
        <v/>
      </c>
      <c r="Z459" s="39" t="str">
        <f t="shared" si="183"/>
        <v/>
      </c>
      <c r="AA459" s="39" t="str">
        <f t="shared" si="184"/>
        <v/>
      </c>
      <c r="AB459" s="40" t="str">
        <f t="shared" si="185"/>
        <v/>
      </c>
      <c r="AC459" t="str">
        <f>IF(L459="","",IF(AND($AO$2=1,ISNA(MATCH(L459,'02-شباط'!$L$2:$L$501,0))),"محذوف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86"/>
        <v/>
      </c>
      <c r="AH459" s="39" t="str">
        <f t="shared" si="187"/>
        <v/>
      </c>
      <c r="AI459" s="39" t="str">
        <f t="shared" si="188"/>
        <v/>
      </c>
      <c r="AJ459" s="39" t="str">
        <f t="shared" si="189"/>
        <v/>
      </c>
      <c r="AK459" t="str">
        <f t="shared" si="190"/>
        <v/>
      </c>
      <c r="AL459" t="str">
        <f t="shared" si="191"/>
        <v/>
      </c>
    </row>
    <row r="460" spans="11:38" ht="15">
      <c r="K460" t="str">
        <f t="shared" si="168"/>
        <v/>
      </c>
      <c r="L460" t="str">
        <f t="shared" si="169"/>
        <v/>
      </c>
      <c r="M460" s="36" t="str">
        <f t="shared" si="170"/>
        <v/>
      </c>
      <c r="N460" s="37" t="str">
        <f t="shared" si="171"/>
        <v/>
      </c>
      <c r="O460" s="37" t="str">
        <f t="shared" si="172"/>
        <v/>
      </c>
      <c r="P460" s="38" t="str">
        <f t="shared" si="173"/>
        <v/>
      </c>
      <c r="Q460" s="39" t="str">
        <f t="shared" si="174"/>
        <v/>
      </c>
      <c r="R460" s="39" t="str">
        <f t="shared" si="175"/>
        <v/>
      </c>
      <c r="S460" t="str">
        <f t="shared" si="176"/>
        <v/>
      </c>
      <c r="T460" s="39" t="str">
        <f t="shared" si="177"/>
        <v/>
      </c>
      <c r="U460" t="str">
        <f t="shared" si="178"/>
        <v/>
      </c>
      <c r="V460" t="str">
        <f t="shared" si="179"/>
        <v/>
      </c>
      <c r="W460" t="str">
        <f t="shared" si="180"/>
        <v/>
      </c>
      <c r="X460" s="38" t="str">
        <f t="shared" si="181"/>
        <v/>
      </c>
      <c r="Y460" s="38" t="str">
        <f t="shared" si="182"/>
        <v/>
      </c>
      <c r="Z460" s="39" t="str">
        <f t="shared" si="183"/>
        <v/>
      </c>
      <c r="AA460" s="39" t="str">
        <f t="shared" si="184"/>
        <v/>
      </c>
      <c r="AB460" s="40" t="str">
        <f t="shared" si="185"/>
        <v/>
      </c>
      <c r="AC460" t="str">
        <f>IF(L460="","",IF(AND($AO$2=1,ISNA(MATCH(L460,'02-شباط'!$L$2:$L$501,0))),"محذوف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86"/>
        <v/>
      </c>
      <c r="AH460" s="39" t="str">
        <f t="shared" si="187"/>
        <v/>
      </c>
      <c r="AI460" s="39" t="str">
        <f t="shared" si="188"/>
        <v/>
      </c>
      <c r="AJ460" s="39" t="str">
        <f t="shared" si="189"/>
        <v/>
      </c>
      <c r="AK460" t="str">
        <f t="shared" si="190"/>
        <v/>
      </c>
      <c r="AL460" t="str">
        <f t="shared" si="191"/>
        <v/>
      </c>
    </row>
    <row r="461" spans="11:38" ht="15">
      <c r="K461" t="str">
        <f t="shared" si="168"/>
        <v/>
      </c>
      <c r="L461" t="str">
        <f t="shared" si="169"/>
        <v/>
      </c>
      <c r="M461" s="36" t="str">
        <f t="shared" si="170"/>
        <v/>
      </c>
      <c r="N461" s="37" t="str">
        <f t="shared" si="171"/>
        <v/>
      </c>
      <c r="O461" s="37" t="str">
        <f t="shared" si="172"/>
        <v/>
      </c>
      <c r="P461" s="38" t="str">
        <f t="shared" si="173"/>
        <v/>
      </c>
      <c r="Q461" s="39" t="str">
        <f t="shared" si="174"/>
        <v/>
      </c>
      <c r="R461" s="39" t="str">
        <f t="shared" si="175"/>
        <v/>
      </c>
      <c r="S461" t="str">
        <f t="shared" si="176"/>
        <v/>
      </c>
      <c r="T461" s="39" t="str">
        <f t="shared" si="177"/>
        <v/>
      </c>
      <c r="U461" t="str">
        <f t="shared" si="178"/>
        <v/>
      </c>
      <c r="V461" t="str">
        <f t="shared" si="179"/>
        <v/>
      </c>
      <c r="W461" t="str">
        <f t="shared" si="180"/>
        <v/>
      </c>
      <c r="X461" s="38" t="str">
        <f t="shared" si="181"/>
        <v/>
      </c>
      <c r="Y461" s="38" t="str">
        <f t="shared" si="182"/>
        <v/>
      </c>
      <c r="Z461" s="39" t="str">
        <f t="shared" si="183"/>
        <v/>
      </c>
      <c r="AA461" s="39" t="str">
        <f t="shared" si="184"/>
        <v/>
      </c>
      <c r="AB461" s="40" t="str">
        <f t="shared" si="185"/>
        <v/>
      </c>
      <c r="AC461" t="str">
        <f>IF(L461="","",IF(AND($AO$2=1,ISNA(MATCH(L461,'02-شباط'!$L$2:$L$501,0))),"محذوف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86"/>
        <v/>
      </c>
      <c r="AH461" s="39" t="str">
        <f t="shared" si="187"/>
        <v/>
      </c>
      <c r="AI461" s="39" t="str">
        <f t="shared" si="188"/>
        <v/>
      </c>
      <c r="AJ461" s="39" t="str">
        <f t="shared" si="189"/>
        <v/>
      </c>
      <c r="AK461" t="str">
        <f t="shared" si="190"/>
        <v/>
      </c>
      <c r="AL461" t="str">
        <f t="shared" si="191"/>
        <v/>
      </c>
    </row>
    <row r="462" spans="11:38" ht="15">
      <c r="K462" t="str">
        <f t="shared" si="168"/>
        <v/>
      </c>
      <c r="L462" t="str">
        <f t="shared" si="169"/>
        <v/>
      </c>
      <c r="M462" s="36" t="str">
        <f t="shared" si="170"/>
        <v/>
      </c>
      <c r="N462" s="37" t="str">
        <f t="shared" si="171"/>
        <v/>
      </c>
      <c r="O462" s="37" t="str">
        <f t="shared" si="172"/>
        <v/>
      </c>
      <c r="P462" s="38" t="str">
        <f t="shared" si="173"/>
        <v/>
      </c>
      <c r="Q462" s="39" t="str">
        <f t="shared" si="174"/>
        <v/>
      </c>
      <c r="R462" s="39" t="str">
        <f t="shared" si="175"/>
        <v/>
      </c>
      <c r="S462" t="str">
        <f t="shared" si="176"/>
        <v/>
      </c>
      <c r="T462" s="39" t="str">
        <f t="shared" si="177"/>
        <v/>
      </c>
      <c r="U462" t="str">
        <f t="shared" si="178"/>
        <v/>
      </c>
      <c r="V462" t="str">
        <f t="shared" si="179"/>
        <v/>
      </c>
      <c r="W462" t="str">
        <f t="shared" si="180"/>
        <v/>
      </c>
      <c r="X462" s="38" t="str">
        <f t="shared" si="181"/>
        <v/>
      </c>
      <c r="Y462" s="38" t="str">
        <f t="shared" si="182"/>
        <v/>
      </c>
      <c r="Z462" s="39" t="str">
        <f t="shared" si="183"/>
        <v/>
      </c>
      <c r="AA462" s="39" t="str">
        <f t="shared" si="184"/>
        <v/>
      </c>
      <c r="AB462" s="40" t="str">
        <f t="shared" si="185"/>
        <v/>
      </c>
      <c r="AC462" t="str">
        <f>IF(L462="","",IF(AND($AO$2=1,ISNA(MATCH(L462,'02-شباط'!$L$2:$L$501,0))),"محذوف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86"/>
        <v/>
      </c>
      <c r="AH462" s="39" t="str">
        <f t="shared" si="187"/>
        <v/>
      </c>
      <c r="AI462" s="39" t="str">
        <f t="shared" si="188"/>
        <v/>
      </c>
      <c r="AJ462" s="39" t="str">
        <f t="shared" si="189"/>
        <v/>
      </c>
      <c r="AK462" t="str">
        <f t="shared" si="190"/>
        <v/>
      </c>
      <c r="AL462" t="str">
        <f t="shared" si="191"/>
        <v/>
      </c>
    </row>
    <row r="463" spans="11:38" ht="15">
      <c r="K463" t="str">
        <f t="shared" si="168"/>
        <v/>
      </c>
      <c r="L463" t="str">
        <f t="shared" si="169"/>
        <v/>
      </c>
      <c r="M463" s="36" t="str">
        <f t="shared" si="170"/>
        <v/>
      </c>
      <c r="N463" s="37" t="str">
        <f t="shared" si="171"/>
        <v/>
      </c>
      <c r="O463" s="37" t="str">
        <f t="shared" si="172"/>
        <v/>
      </c>
      <c r="P463" s="38" t="str">
        <f t="shared" si="173"/>
        <v/>
      </c>
      <c r="Q463" s="39" t="str">
        <f t="shared" si="174"/>
        <v/>
      </c>
      <c r="R463" s="39" t="str">
        <f t="shared" si="175"/>
        <v/>
      </c>
      <c r="S463" t="str">
        <f t="shared" si="176"/>
        <v/>
      </c>
      <c r="T463" s="39" t="str">
        <f t="shared" si="177"/>
        <v/>
      </c>
      <c r="U463" t="str">
        <f t="shared" si="178"/>
        <v/>
      </c>
      <c r="V463" t="str">
        <f t="shared" si="179"/>
        <v/>
      </c>
      <c r="W463" t="str">
        <f t="shared" si="180"/>
        <v/>
      </c>
      <c r="X463" s="38" t="str">
        <f t="shared" si="181"/>
        <v/>
      </c>
      <c r="Y463" s="38" t="str">
        <f t="shared" si="182"/>
        <v/>
      </c>
      <c r="Z463" s="39" t="str">
        <f t="shared" si="183"/>
        <v/>
      </c>
      <c r="AA463" s="39" t="str">
        <f t="shared" si="184"/>
        <v/>
      </c>
      <c r="AB463" s="40" t="str">
        <f t="shared" si="185"/>
        <v/>
      </c>
      <c r="AC463" t="str">
        <f>IF(L463="","",IF(AND($AO$2=1,ISNA(MATCH(L463,'02-شباط'!$L$2:$L$501,0))),"محذوف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86"/>
        <v/>
      </c>
      <c r="AH463" s="39" t="str">
        <f t="shared" si="187"/>
        <v/>
      </c>
      <c r="AI463" s="39" t="str">
        <f t="shared" si="188"/>
        <v/>
      </c>
      <c r="AJ463" s="39" t="str">
        <f t="shared" si="189"/>
        <v/>
      </c>
      <c r="AK463" t="str">
        <f t="shared" si="190"/>
        <v/>
      </c>
      <c r="AL463" t="str">
        <f t="shared" si="191"/>
        <v/>
      </c>
    </row>
    <row r="464" spans="11:38" ht="15">
      <c r="K464" t="str">
        <f t="shared" si="168"/>
        <v/>
      </c>
      <c r="L464" t="str">
        <f t="shared" si="169"/>
        <v/>
      </c>
      <c r="M464" s="36" t="str">
        <f t="shared" si="170"/>
        <v/>
      </c>
      <c r="N464" s="37" t="str">
        <f t="shared" si="171"/>
        <v/>
      </c>
      <c r="O464" s="37" t="str">
        <f t="shared" si="172"/>
        <v/>
      </c>
      <c r="P464" s="38" t="str">
        <f t="shared" si="173"/>
        <v/>
      </c>
      <c r="Q464" s="39" t="str">
        <f t="shared" si="174"/>
        <v/>
      </c>
      <c r="R464" s="39" t="str">
        <f t="shared" si="175"/>
        <v/>
      </c>
      <c r="S464" t="str">
        <f t="shared" si="176"/>
        <v/>
      </c>
      <c r="T464" s="39" t="str">
        <f t="shared" si="177"/>
        <v/>
      </c>
      <c r="U464" t="str">
        <f t="shared" si="178"/>
        <v/>
      </c>
      <c r="V464" t="str">
        <f t="shared" si="179"/>
        <v/>
      </c>
      <c r="W464" t="str">
        <f t="shared" si="180"/>
        <v/>
      </c>
      <c r="X464" s="38" t="str">
        <f t="shared" si="181"/>
        <v/>
      </c>
      <c r="Y464" s="38" t="str">
        <f t="shared" si="182"/>
        <v/>
      </c>
      <c r="Z464" s="39" t="str">
        <f t="shared" si="183"/>
        <v/>
      </c>
      <c r="AA464" s="39" t="str">
        <f t="shared" si="184"/>
        <v/>
      </c>
      <c r="AB464" s="40" t="str">
        <f t="shared" si="185"/>
        <v/>
      </c>
      <c r="AC464" t="str">
        <f>IF(L464="","",IF(AND($AO$2=1,ISNA(MATCH(L464,'02-شباط'!$L$2:$L$501,0))),"محذوف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86"/>
        <v/>
      </c>
      <c r="AH464" s="39" t="str">
        <f t="shared" si="187"/>
        <v/>
      </c>
      <c r="AI464" s="39" t="str">
        <f t="shared" si="188"/>
        <v/>
      </c>
      <c r="AJ464" s="39" t="str">
        <f t="shared" si="189"/>
        <v/>
      </c>
      <c r="AK464" t="str">
        <f t="shared" si="190"/>
        <v/>
      </c>
      <c r="AL464" t="str">
        <f t="shared" si="191"/>
        <v/>
      </c>
    </row>
    <row r="465" spans="11:38" ht="15">
      <c r="K465" t="str">
        <f t="shared" si="168"/>
        <v/>
      </c>
      <c r="L465" t="str">
        <f t="shared" si="169"/>
        <v/>
      </c>
      <c r="M465" s="36" t="str">
        <f t="shared" si="170"/>
        <v/>
      </c>
      <c r="N465" s="37" t="str">
        <f t="shared" si="171"/>
        <v/>
      </c>
      <c r="O465" s="37" t="str">
        <f t="shared" si="172"/>
        <v/>
      </c>
      <c r="P465" s="38" t="str">
        <f t="shared" si="173"/>
        <v/>
      </c>
      <c r="Q465" s="39" t="str">
        <f t="shared" si="174"/>
        <v/>
      </c>
      <c r="R465" s="39" t="str">
        <f t="shared" si="175"/>
        <v/>
      </c>
      <c r="S465" t="str">
        <f t="shared" si="176"/>
        <v/>
      </c>
      <c r="T465" s="39" t="str">
        <f t="shared" si="177"/>
        <v/>
      </c>
      <c r="U465" t="str">
        <f t="shared" si="178"/>
        <v/>
      </c>
      <c r="V465" t="str">
        <f t="shared" si="179"/>
        <v/>
      </c>
      <c r="W465" t="str">
        <f t="shared" si="180"/>
        <v/>
      </c>
      <c r="X465" s="38" t="str">
        <f t="shared" si="181"/>
        <v/>
      </c>
      <c r="Y465" s="38" t="str">
        <f t="shared" si="182"/>
        <v/>
      </c>
      <c r="Z465" s="39" t="str">
        <f t="shared" si="183"/>
        <v/>
      </c>
      <c r="AA465" s="39" t="str">
        <f t="shared" si="184"/>
        <v/>
      </c>
      <c r="AB465" s="40" t="str">
        <f t="shared" si="185"/>
        <v/>
      </c>
      <c r="AC465" t="str">
        <f>IF(L465="","",IF(AND($AO$2=1,ISNA(MATCH(L465,'02-شباط'!$L$2:$L$501,0))),"محذوف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86"/>
        <v/>
      </c>
      <c r="AH465" s="39" t="str">
        <f t="shared" si="187"/>
        <v/>
      </c>
      <c r="AI465" s="39" t="str">
        <f t="shared" si="188"/>
        <v/>
      </c>
      <c r="AJ465" s="39" t="str">
        <f t="shared" si="189"/>
        <v/>
      </c>
      <c r="AK465" t="str">
        <f t="shared" si="190"/>
        <v/>
      </c>
      <c r="AL465" t="str">
        <f t="shared" si="191"/>
        <v/>
      </c>
    </row>
    <row r="466" spans="11:38" ht="15">
      <c r="K466" t="str">
        <f t="shared" si="168"/>
        <v/>
      </c>
      <c r="L466" t="str">
        <f t="shared" si="169"/>
        <v/>
      </c>
      <c r="M466" s="36" t="str">
        <f t="shared" si="170"/>
        <v/>
      </c>
      <c r="N466" s="37" t="str">
        <f t="shared" si="171"/>
        <v/>
      </c>
      <c r="O466" s="37" t="str">
        <f t="shared" si="172"/>
        <v/>
      </c>
      <c r="P466" s="38" t="str">
        <f t="shared" si="173"/>
        <v/>
      </c>
      <c r="Q466" s="39" t="str">
        <f t="shared" si="174"/>
        <v/>
      </c>
      <c r="R466" s="39" t="str">
        <f t="shared" si="175"/>
        <v/>
      </c>
      <c r="S466" t="str">
        <f t="shared" si="176"/>
        <v/>
      </c>
      <c r="T466" s="39" t="str">
        <f t="shared" si="177"/>
        <v/>
      </c>
      <c r="U466" t="str">
        <f t="shared" si="178"/>
        <v/>
      </c>
      <c r="V466" t="str">
        <f t="shared" si="179"/>
        <v/>
      </c>
      <c r="W466" t="str">
        <f t="shared" si="180"/>
        <v/>
      </c>
      <c r="X466" s="38" t="str">
        <f t="shared" si="181"/>
        <v/>
      </c>
      <c r="Y466" s="38" t="str">
        <f t="shared" si="182"/>
        <v/>
      </c>
      <c r="Z466" s="39" t="str">
        <f t="shared" si="183"/>
        <v/>
      </c>
      <c r="AA466" s="39" t="str">
        <f t="shared" si="184"/>
        <v/>
      </c>
      <c r="AB466" s="40" t="str">
        <f t="shared" si="185"/>
        <v/>
      </c>
      <c r="AC466" t="str">
        <f>IF(L466="","",IF(AND($AO$2=1,ISNA(MATCH(L466,'02-شباط'!$L$2:$L$501,0))),"محذوف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86"/>
        <v/>
      </c>
      <c r="AH466" s="39" t="str">
        <f t="shared" si="187"/>
        <v/>
      </c>
      <c r="AI466" s="39" t="str">
        <f t="shared" si="188"/>
        <v/>
      </c>
      <c r="AJ466" s="39" t="str">
        <f t="shared" si="189"/>
        <v/>
      </c>
      <c r="AK466" t="str">
        <f t="shared" si="190"/>
        <v/>
      </c>
      <c r="AL466" t="str">
        <f t="shared" si="191"/>
        <v/>
      </c>
    </row>
    <row r="467" spans="11:38" ht="15">
      <c r="K467" t="str">
        <f t="shared" si="168"/>
        <v/>
      </c>
      <c r="L467" t="str">
        <f t="shared" si="169"/>
        <v/>
      </c>
      <c r="M467" s="36" t="str">
        <f t="shared" si="170"/>
        <v/>
      </c>
      <c r="N467" s="37" t="str">
        <f t="shared" si="171"/>
        <v/>
      </c>
      <c r="O467" s="37" t="str">
        <f t="shared" si="172"/>
        <v/>
      </c>
      <c r="P467" s="38" t="str">
        <f t="shared" si="173"/>
        <v/>
      </c>
      <c r="Q467" s="39" t="str">
        <f t="shared" si="174"/>
        <v/>
      </c>
      <c r="R467" s="39" t="str">
        <f t="shared" si="175"/>
        <v/>
      </c>
      <c r="S467" t="str">
        <f t="shared" si="176"/>
        <v/>
      </c>
      <c r="T467" s="39" t="str">
        <f t="shared" si="177"/>
        <v/>
      </c>
      <c r="U467" t="str">
        <f t="shared" si="178"/>
        <v/>
      </c>
      <c r="V467" t="str">
        <f t="shared" si="179"/>
        <v/>
      </c>
      <c r="W467" t="str">
        <f t="shared" si="180"/>
        <v/>
      </c>
      <c r="X467" s="38" t="str">
        <f t="shared" si="181"/>
        <v/>
      </c>
      <c r="Y467" s="38" t="str">
        <f t="shared" si="182"/>
        <v/>
      </c>
      <c r="Z467" s="39" t="str">
        <f t="shared" si="183"/>
        <v/>
      </c>
      <c r="AA467" s="39" t="str">
        <f t="shared" si="184"/>
        <v/>
      </c>
      <c r="AB467" s="40" t="str">
        <f t="shared" si="185"/>
        <v/>
      </c>
      <c r="AC467" t="str">
        <f>IF(L467="","",IF(AND($AO$2=1,ISNA(MATCH(L467,'02-شباط'!$L$2:$L$501,0))),"محذوف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86"/>
        <v/>
      </c>
      <c r="AH467" s="39" t="str">
        <f t="shared" si="187"/>
        <v/>
      </c>
      <c r="AI467" s="39" t="str">
        <f t="shared" si="188"/>
        <v/>
      </c>
      <c r="AJ467" s="39" t="str">
        <f t="shared" si="189"/>
        <v/>
      </c>
      <c r="AK467" t="str">
        <f t="shared" si="190"/>
        <v/>
      </c>
      <c r="AL467" t="str">
        <f t="shared" si="191"/>
        <v/>
      </c>
    </row>
    <row r="468" spans="11:38" ht="15">
      <c r="K468" t="str">
        <f t="shared" si="168"/>
        <v/>
      </c>
      <c r="L468" t="str">
        <f t="shared" si="169"/>
        <v/>
      </c>
      <c r="M468" s="36" t="str">
        <f t="shared" si="170"/>
        <v/>
      </c>
      <c r="N468" s="37" t="str">
        <f t="shared" si="171"/>
        <v/>
      </c>
      <c r="O468" s="37" t="str">
        <f t="shared" si="172"/>
        <v/>
      </c>
      <c r="P468" s="38" t="str">
        <f t="shared" si="173"/>
        <v/>
      </c>
      <c r="Q468" s="39" t="str">
        <f t="shared" si="174"/>
        <v/>
      </c>
      <c r="R468" s="39" t="str">
        <f t="shared" si="175"/>
        <v/>
      </c>
      <c r="S468" t="str">
        <f t="shared" si="176"/>
        <v/>
      </c>
      <c r="T468" s="39" t="str">
        <f t="shared" si="177"/>
        <v/>
      </c>
      <c r="U468" t="str">
        <f t="shared" si="178"/>
        <v/>
      </c>
      <c r="V468" t="str">
        <f t="shared" si="179"/>
        <v/>
      </c>
      <c r="W468" t="str">
        <f t="shared" si="180"/>
        <v/>
      </c>
      <c r="X468" s="38" t="str">
        <f t="shared" si="181"/>
        <v/>
      </c>
      <c r="Y468" s="38" t="str">
        <f t="shared" si="182"/>
        <v/>
      </c>
      <c r="Z468" s="39" t="str">
        <f t="shared" si="183"/>
        <v/>
      </c>
      <c r="AA468" s="39" t="str">
        <f t="shared" si="184"/>
        <v/>
      </c>
      <c r="AB468" s="40" t="str">
        <f t="shared" si="185"/>
        <v/>
      </c>
      <c r="AC468" t="str">
        <f>IF(L468="","",IF(AND($AO$2=1,ISNA(MATCH(L468,'02-شباط'!$L$2:$L$501,0))),"محذوف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86"/>
        <v/>
      </c>
      <c r="AH468" s="39" t="str">
        <f t="shared" si="187"/>
        <v/>
      </c>
      <c r="AI468" s="39" t="str">
        <f t="shared" si="188"/>
        <v/>
      </c>
      <c r="AJ468" s="39" t="str">
        <f t="shared" si="189"/>
        <v/>
      </c>
      <c r="AK468" t="str">
        <f t="shared" si="190"/>
        <v/>
      </c>
      <c r="AL468" t="str">
        <f t="shared" si="191"/>
        <v/>
      </c>
    </row>
    <row r="469" spans="11:38" ht="15">
      <c r="K469" t="str">
        <f t="shared" si="168"/>
        <v/>
      </c>
      <c r="L469" t="str">
        <f t="shared" si="169"/>
        <v/>
      </c>
      <c r="M469" s="36" t="str">
        <f t="shared" si="170"/>
        <v/>
      </c>
      <c r="N469" s="37" t="str">
        <f t="shared" si="171"/>
        <v/>
      </c>
      <c r="O469" s="37" t="str">
        <f t="shared" si="172"/>
        <v/>
      </c>
      <c r="P469" s="38" t="str">
        <f t="shared" si="173"/>
        <v/>
      </c>
      <c r="Q469" s="39" t="str">
        <f t="shared" si="174"/>
        <v/>
      </c>
      <c r="R469" s="39" t="str">
        <f t="shared" si="175"/>
        <v/>
      </c>
      <c r="S469" t="str">
        <f t="shared" si="176"/>
        <v/>
      </c>
      <c r="T469" s="39" t="str">
        <f t="shared" si="177"/>
        <v/>
      </c>
      <c r="U469" t="str">
        <f t="shared" si="178"/>
        <v/>
      </c>
      <c r="V469" t="str">
        <f t="shared" si="179"/>
        <v/>
      </c>
      <c r="W469" t="str">
        <f t="shared" si="180"/>
        <v/>
      </c>
      <c r="X469" s="38" t="str">
        <f t="shared" si="181"/>
        <v/>
      </c>
      <c r="Y469" s="38" t="str">
        <f t="shared" si="182"/>
        <v/>
      </c>
      <c r="Z469" s="39" t="str">
        <f t="shared" si="183"/>
        <v/>
      </c>
      <c r="AA469" s="39" t="str">
        <f t="shared" si="184"/>
        <v/>
      </c>
      <c r="AB469" s="40" t="str">
        <f t="shared" si="185"/>
        <v/>
      </c>
      <c r="AC469" t="str">
        <f>IF(L469="","",IF(AND($AO$2=1,ISNA(MATCH(L469,'02-شباط'!$L$2:$L$501,0))),"محذوف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86"/>
        <v/>
      </c>
      <c r="AH469" s="39" t="str">
        <f t="shared" si="187"/>
        <v/>
      </c>
      <c r="AI469" s="39" t="str">
        <f t="shared" si="188"/>
        <v/>
      </c>
      <c r="AJ469" s="39" t="str">
        <f t="shared" si="189"/>
        <v/>
      </c>
      <c r="AK469" t="str">
        <f t="shared" si="190"/>
        <v/>
      </c>
      <c r="AL469" t="str">
        <f t="shared" si="191"/>
        <v/>
      </c>
    </row>
    <row r="470" spans="11:38" ht="15">
      <c r="K470" t="str">
        <f t="shared" si="168"/>
        <v/>
      </c>
      <c r="L470" t="str">
        <f t="shared" si="169"/>
        <v/>
      </c>
      <c r="M470" s="36" t="str">
        <f t="shared" si="170"/>
        <v/>
      </c>
      <c r="N470" s="37" t="str">
        <f t="shared" si="171"/>
        <v/>
      </c>
      <c r="O470" s="37" t="str">
        <f t="shared" si="172"/>
        <v/>
      </c>
      <c r="P470" s="38" t="str">
        <f t="shared" si="173"/>
        <v/>
      </c>
      <c r="Q470" s="39" t="str">
        <f t="shared" si="174"/>
        <v/>
      </c>
      <c r="R470" s="39" t="str">
        <f t="shared" si="175"/>
        <v/>
      </c>
      <c r="S470" t="str">
        <f t="shared" si="176"/>
        <v/>
      </c>
      <c r="T470" s="39" t="str">
        <f t="shared" si="177"/>
        <v/>
      </c>
      <c r="U470" t="str">
        <f t="shared" si="178"/>
        <v/>
      </c>
      <c r="V470" t="str">
        <f t="shared" si="179"/>
        <v/>
      </c>
      <c r="W470" t="str">
        <f t="shared" si="180"/>
        <v/>
      </c>
      <c r="X470" s="38" t="str">
        <f t="shared" si="181"/>
        <v/>
      </c>
      <c r="Y470" s="38" t="str">
        <f t="shared" si="182"/>
        <v/>
      </c>
      <c r="Z470" s="39" t="str">
        <f t="shared" si="183"/>
        <v/>
      </c>
      <c r="AA470" s="39" t="str">
        <f t="shared" si="184"/>
        <v/>
      </c>
      <c r="AB470" s="40" t="str">
        <f t="shared" si="185"/>
        <v/>
      </c>
      <c r="AC470" t="str">
        <f>IF(L470="","",IF(AND($AO$2=1,ISNA(MATCH(L470,'02-شباط'!$L$2:$L$501,0))),"محذوف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86"/>
        <v/>
      </c>
      <c r="AH470" s="39" t="str">
        <f t="shared" si="187"/>
        <v/>
      </c>
      <c r="AI470" s="39" t="str">
        <f t="shared" si="188"/>
        <v/>
      </c>
      <c r="AJ470" s="39" t="str">
        <f t="shared" si="189"/>
        <v/>
      </c>
      <c r="AK470" t="str">
        <f t="shared" si="190"/>
        <v/>
      </c>
      <c r="AL470" t="str">
        <f t="shared" si="191"/>
        <v/>
      </c>
    </row>
    <row r="471" spans="11:38" ht="15">
      <c r="K471" t="str">
        <f t="shared" si="168"/>
        <v/>
      </c>
      <c r="L471" t="str">
        <f t="shared" si="169"/>
        <v/>
      </c>
      <c r="M471" s="36" t="str">
        <f t="shared" si="170"/>
        <v/>
      </c>
      <c r="N471" s="37" t="str">
        <f t="shared" si="171"/>
        <v/>
      </c>
      <c r="O471" s="37" t="str">
        <f t="shared" si="172"/>
        <v/>
      </c>
      <c r="P471" s="38" t="str">
        <f t="shared" si="173"/>
        <v/>
      </c>
      <c r="Q471" s="39" t="str">
        <f t="shared" si="174"/>
        <v/>
      </c>
      <c r="R471" s="39" t="str">
        <f t="shared" si="175"/>
        <v/>
      </c>
      <c r="S471" t="str">
        <f t="shared" si="176"/>
        <v/>
      </c>
      <c r="T471" s="39" t="str">
        <f t="shared" si="177"/>
        <v/>
      </c>
      <c r="U471" t="str">
        <f t="shared" si="178"/>
        <v/>
      </c>
      <c r="V471" t="str">
        <f t="shared" si="179"/>
        <v/>
      </c>
      <c r="W471" t="str">
        <f t="shared" si="180"/>
        <v/>
      </c>
      <c r="X471" s="38" t="str">
        <f t="shared" si="181"/>
        <v/>
      </c>
      <c r="Y471" s="38" t="str">
        <f t="shared" si="182"/>
        <v/>
      </c>
      <c r="Z471" s="39" t="str">
        <f t="shared" si="183"/>
        <v/>
      </c>
      <c r="AA471" s="39" t="str">
        <f t="shared" si="184"/>
        <v/>
      </c>
      <c r="AB471" s="40" t="str">
        <f t="shared" si="185"/>
        <v/>
      </c>
      <c r="AC471" t="str">
        <f>IF(L471="","",IF(AND($AO$2=1,ISNA(MATCH(L471,'02-شباط'!$L$2:$L$501,0))),"محذوف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86"/>
        <v/>
      </c>
      <c r="AH471" s="39" t="str">
        <f t="shared" si="187"/>
        <v/>
      </c>
      <c r="AI471" s="39" t="str">
        <f t="shared" si="188"/>
        <v/>
      </c>
      <c r="AJ471" s="39" t="str">
        <f t="shared" si="189"/>
        <v/>
      </c>
      <c r="AK471" t="str">
        <f t="shared" si="190"/>
        <v/>
      </c>
      <c r="AL471" t="str">
        <f t="shared" si="191"/>
        <v/>
      </c>
    </row>
    <row r="472" spans="11:38" ht="15">
      <c r="K472" t="str">
        <f t="shared" si="168"/>
        <v/>
      </c>
      <c r="L472" t="str">
        <f t="shared" si="169"/>
        <v/>
      </c>
      <c r="M472" s="36" t="str">
        <f t="shared" si="170"/>
        <v/>
      </c>
      <c r="N472" s="37" t="str">
        <f t="shared" si="171"/>
        <v/>
      </c>
      <c r="O472" s="37" t="str">
        <f t="shared" si="172"/>
        <v/>
      </c>
      <c r="P472" s="38" t="str">
        <f t="shared" si="173"/>
        <v/>
      </c>
      <c r="Q472" s="39" t="str">
        <f t="shared" si="174"/>
        <v/>
      </c>
      <c r="R472" s="39" t="str">
        <f t="shared" si="175"/>
        <v/>
      </c>
      <c r="S472" t="str">
        <f t="shared" si="176"/>
        <v/>
      </c>
      <c r="T472" s="39" t="str">
        <f t="shared" si="177"/>
        <v/>
      </c>
      <c r="U472" t="str">
        <f t="shared" si="178"/>
        <v/>
      </c>
      <c r="V472" t="str">
        <f t="shared" si="179"/>
        <v/>
      </c>
      <c r="W472" t="str">
        <f t="shared" si="180"/>
        <v/>
      </c>
      <c r="X472" s="38" t="str">
        <f t="shared" si="181"/>
        <v/>
      </c>
      <c r="Y472" s="38" t="str">
        <f t="shared" si="182"/>
        <v/>
      </c>
      <c r="Z472" s="39" t="str">
        <f t="shared" si="183"/>
        <v/>
      </c>
      <c r="AA472" s="39" t="str">
        <f t="shared" si="184"/>
        <v/>
      </c>
      <c r="AB472" s="40" t="str">
        <f t="shared" si="185"/>
        <v/>
      </c>
      <c r="AC472" t="str">
        <f>IF(L472="","",IF(AND($AO$2=1,ISNA(MATCH(L472,'02-شباط'!$L$2:$L$501,0))),"محذوف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86"/>
        <v/>
      </c>
      <c r="AH472" s="39" t="str">
        <f t="shared" si="187"/>
        <v/>
      </c>
      <c r="AI472" s="39" t="str">
        <f t="shared" si="188"/>
        <v/>
      </c>
      <c r="AJ472" s="39" t="str">
        <f t="shared" si="189"/>
        <v/>
      </c>
      <c r="AK472" t="str">
        <f t="shared" si="190"/>
        <v/>
      </c>
      <c r="AL472" t="str">
        <f t="shared" si="191"/>
        <v/>
      </c>
    </row>
    <row r="473" spans="11:38" ht="15">
      <c r="K473" t="str">
        <f t="shared" si="168"/>
        <v/>
      </c>
      <c r="L473" t="str">
        <f t="shared" si="169"/>
        <v/>
      </c>
      <c r="M473" s="36" t="str">
        <f t="shared" si="170"/>
        <v/>
      </c>
      <c r="N473" s="37" t="str">
        <f t="shared" si="171"/>
        <v/>
      </c>
      <c r="O473" s="37" t="str">
        <f t="shared" si="172"/>
        <v/>
      </c>
      <c r="P473" s="38" t="str">
        <f t="shared" si="173"/>
        <v/>
      </c>
      <c r="Q473" s="39" t="str">
        <f t="shared" si="174"/>
        <v/>
      </c>
      <c r="R473" s="39" t="str">
        <f t="shared" si="175"/>
        <v/>
      </c>
      <c r="S473" t="str">
        <f t="shared" si="176"/>
        <v/>
      </c>
      <c r="T473" s="39" t="str">
        <f t="shared" si="177"/>
        <v/>
      </c>
      <c r="U473" t="str">
        <f t="shared" si="178"/>
        <v/>
      </c>
      <c r="V473" t="str">
        <f t="shared" si="179"/>
        <v/>
      </c>
      <c r="W473" t="str">
        <f t="shared" si="180"/>
        <v/>
      </c>
      <c r="X473" s="38" t="str">
        <f t="shared" si="181"/>
        <v/>
      </c>
      <c r="Y473" s="38" t="str">
        <f t="shared" si="182"/>
        <v/>
      </c>
      <c r="Z473" s="39" t="str">
        <f t="shared" si="183"/>
        <v/>
      </c>
      <c r="AA473" s="39" t="str">
        <f t="shared" si="184"/>
        <v/>
      </c>
      <c r="AB473" s="40" t="str">
        <f t="shared" si="185"/>
        <v/>
      </c>
      <c r="AC473" t="str">
        <f>IF(L473="","",IF(AND($AO$2=1,ISNA(MATCH(L473,'02-شباط'!$L$2:$L$501,0))),"محذوف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86"/>
        <v/>
      </c>
      <c r="AH473" s="39" t="str">
        <f t="shared" si="187"/>
        <v/>
      </c>
      <c r="AI473" s="39" t="str">
        <f t="shared" si="188"/>
        <v/>
      </c>
      <c r="AJ473" s="39" t="str">
        <f t="shared" si="189"/>
        <v/>
      </c>
      <c r="AK473" t="str">
        <f t="shared" si="190"/>
        <v/>
      </c>
      <c r="AL473" t="str">
        <f t="shared" si="191"/>
        <v/>
      </c>
    </row>
    <row r="474" spans="11:38" ht="15">
      <c r="K474" t="str">
        <f t="shared" si="168"/>
        <v/>
      </c>
      <c r="L474" t="str">
        <f t="shared" si="169"/>
        <v/>
      </c>
      <c r="M474" s="36" t="str">
        <f t="shared" si="170"/>
        <v/>
      </c>
      <c r="N474" s="37" t="str">
        <f t="shared" si="171"/>
        <v/>
      </c>
      <c r="O474" s="37" t="str">
        <f t="shared" si="172"/>
        <v/>
      </c>
      <c r="P474" s="38" t="str">
        <f t="shared" si="173"/>
        <v/>
      </c>
      <c r="Q474" s="39" t="str">
        <f t="shared" si="174"/>
        <v/>
      </c>
      <c r="R474" s="39" t="str">
        <f t="shared" si="175"/>
        <v/>
      </c>
      <c r="S474" t="str">
        <f t="shared" si="176"/>
        <v/>
      </c>
      <c r="T474" s="39" t="str">
        <f t="shared" si="177"/>
        <v/>
      </c>
      <c r="U474" t="str">
        <f t="shared" si="178"/>
        <v/>
      </c>
      <c r="V474" t="str">
        <f t="shared" si="179"/>
        <v/>
      </c>
      <c r="W474" t="str">
        <f t="shared" si="180"/>
        <v/>
      </c>
      <c r="X474" s="38" t="str">
        <f t="shared" si="181"/>
        <v/>
      </c>
      <c r="Y474" s="38" t="str">
        <f t="shared" si="182"/>
        <v/>
      </c>
      <c r="Z474" s="39" t="str">
        <f t="shared" si="183"/>
        <v/>
      </c>
      <c r="AA474" s="39" t="str">
        <f t="shared" si="184"/>
        <v/>
      </c>
      <c r="AB474" s="40" t="str">
        <f t="shared" si="185"/>
        <v/>
      </c>
      <c r="AC474" t="str">
        <f>IF(L474="","",IF(AND($AO$2=1,ISNA(MATCH(L474,'02-شباط'!$L$2:$L$501,0))),"محذوف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86"/>
        <v/>
      </c>
      <c r="AH474" s="39" t="str">
        <f t="shared" si="187"/>
        <v/>
      </c>
      <c r="AI474" s="39" t="str">
        <f t="shared" si="188"/>
        <v/>
      </c>
      <c r="AJ474" s="39" t="str">
        <f t="shared" si="189"/>
        <v/>
      </c>
      <c r="AK474" t="str">
        <f t="shared" si="190"/>
        <v/>
      </c>
      <c r="AL474" t="str">
        <f t="shared" si="191"/>
        <v/>
      </c>
    </row>
    <row r="475" spans="11:38" ht="15">
      <c r="K475" t="str">
        <f t="shared" si="168"/>
        <v/>
      </c>
      <c r="L475" t="str">
        <f t="shared" si="169"/>
        <v/>
      </c>
      <c r="M475" s="36" t="str">
        <f t="shared" si="170"/>
        <v/>
      </c>
      <c r="N475" s="37" t="str">
        <f t="shared" si="171"/>
        <v/>
      </c>
      <c r="O475" s="37" t="str">
        <f t="shared" si="172"/>
        <v/>
      </c>
      <c r="P475" s="38" t="str">
        <f t="shared" si="173"/>
        <v/>
      </c>
      <c r="Q475" s="39" t="str">
        <f t="shared" si="174"/>
        <v/>
      </c>
      <c r="R475" s="39" t="str">
        <f t="shared" si="175"/>
        <v/>
      </c>
      <c r="S475" t="str">
        <f t="shared" si="176"/>
        <v/>
      </c>
      <c r="T475" s="39" t="str">
        <f t="shared" si="177"/>
        <v/>
      </c>
      <c r="U475" t="str">
        <f t="shared" si="178"/>
        <v/>
      </c>
      <c r="V475" t="str">
        <f t="shared" si="179"/>
        <v/>
      </c>
      <c r="W475" t="str">
        <f t="shared" si="180"/>
        <v/>
      </c>
      <c r="X475" s="38" t="str">
        <f t="shared" si="181"/>
        <v/>
      </c>
      <c r="Y475" s="38" t="str">
        <f t="shared" si="182"/>
        <v/>
      </c>
      <c r="Z475" s="39" t="str">
        <f t="shared" si="183"/>
        <v/>
      </c>
      <c r="AA475" s="39" t="str">
        <f t="shared" si="184"/>
        <v/>
      </c>
      <c r="AB475" s="40" t="str">
        <f t="shared" si="185"/>
        <v/>
      </c>
      <c r="AC475" t="str">
        <f>IF(L475="","",IF(AND($AO$2=1,ISNA(MATCH(L475,'02-شباط'!$L$2:$L$501,0))),"محذوف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86"/>
        <v/>
      </c>
      <c r="AH475" s="39" t="str">
        <f t="shared" si="187"/>
        <v/>
      </c>
      <c r="AI475" s="39" t="str">
        <f t="shared" si="188"/>
        <v/>
      </c>
      <c r="AJ475" s="39" t="str">
        <f t="shared" si="189"/>
        <v/>
      </c>
      <c r="AK475" t="str">
        <f t="shared" si="190"/>
        <v/>
      </c>
      <c r="AL475" t="str">
        <f t="shared" si="191"/>
        <v/>
      </c>
    </row>
    <row r="476" spans="11:38" ht="15">
      <c r="K476" t="str">
        <f t="shared" si="168"/>
        <v/>
      </c>
      <c r="L476" t="str">
        <f t="shared" si="169"/>
        <v/>
      </c>
      <c r="M476" s="36" t="str">
        <f t="shared" si="170"/>
        <v/>
      </c>
      <c r="N476" s="37" t="str">
        <f t="shared" si="171"/>
        <v/>
      </c>
      <c r="O476" s="37" t="str">
        <f t="shared" si="172"/>
        <v/>
      </c>
      <c r="P476" s="38" t="str">
        <f t="shared" si="173"/>
        <v/>
      </c>
      <c r="Q476" s="39" t="str">
        <f t="shared" si="174"/>
        <v/>
      </c>
      <c r="R476" s="39" t="str">
        <f t="shared" si="175"/>
        <v/>
      </c>
      <c r="S476" t="str">
        <f t="shared" si="176"/>
        <v/>
      </c>
      <c r="T476" s="39" t="str">
        <f t="shared" si="177"/>
        <v/>
      </c>
      <c r="U476" t="str">
        <f t="shared" si="178"/>
        <v/>
      </c>
      <c r="V476" t="str">
        <f t="shared" si="179"/>
        <v/>
      </c>
      <c r="W476" t="str">
        <f t="shared" si="180"/>
        <v/>
      </c>
      <c r="X476" s="38" t="str">
        <f t="shared" si="181"/>
        <v/>
      </c>
      <c r="Y476" s="38" t="str">
        <f t="shared" si="182"/>
        <v/>
      </c>
      <c r="Z476" s="39" t="str">
        <f t="shared" si="183"/>
        <v/>
      </c>
      <c r="AA476" s="39" t="str">
        <f t="shared" si="184"/>
        <v/>
      </c>
      <c r="AB476" s="40" t="str">
        <f t="shared" si="185"/>
        <v/>
      </c>
      <c r="AC476" t="str">
        <f>IF(L476="","",IF(AND($AO$2=1,ISNA(MATCH(L476,'02-شباط'!$L$2:$L$501,0))),"محذوف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86"/>
        <v/>
      </c>
      <c r="AH476" s="39" t="str">
        <f t="shared" si="187"/>
        <v/>
      </c>
      <c r="AI476" s="39" t="str">
        <f t="shared" si="188"/>
        <v/>
      </c>
      <c r="AJ476" s="39" t="str">
        <f t="shared" si="189"/>
        <v/>
      </c>
      <c r="AK476" t="str">
        <f t="shared" si="190"/>
        <v/>
      </c>
      <c r="AL476" t="str">
        <f t="shared" si="191"/>
        <v/>
      </c>
    </row>
    <row r="477" spans="11:38" ht="15">
      <c r="K477" t="str">
        <f t="shared" si="168"/>
        <v/>
      </c>
      <c r="L477" t="str">
        <f t="shared" si="169"/>
        <v/>
      </c>
      <c r="M477" s="36" t="str">
        <f t="shared" si="170"/>
        <v/>
      </c>
      <c r="N477" s="37" t="str">
        <f t="shared" si="171"/>
        <v/>
      </c>
      <c r="O477" s="37" t="str">
        <f t="shared" si="172"/>
        <v/>
      </c>
      <c r="P477" s="38" t="str">
        <f t="shared" si="173"/>
        <v/>
      </c>
      <c r="Q477" s="39" t="str">
        <f t="shared" si="174"/>
        <v/>
      </c>
      <c r="R477" s="39" t="str">
        <f t="shared" si="175"/>
        <v/>
      </c>
      <c r="S477" t="str">
        <f t="shared" si="176"/>
        <v/>
      </c>
      <c r="T477" s="39" t="str">
        <f t="shared" si="177"/>
        <v/>
      </c>
      <c r="U477" t="str">
        <f t="shared" si="178"/>
        <v/>
      </c>
      <c r="V477" t="str">
        <f t="shared" si="179"/>
        <v/>
      </c>
      <c r="W477" t="str">
        <f t="shared" si="180"/>
        <v/>
      </c>
      <c r="X477" s="38" t="str">
        <f t="shared" si="181"/>
        <v/>
      </c>
      <c r="Y477" s="38" t="str">
        <f t="shared" si="182"/>
        <v/>
      </c>
      <c r="Z477" s="39" t="str">
        <f t="shared" si="183"/>
        <v/>
      </c>
      <c r="AA477" s="39" t="str">
        <f t="shared" si="184"/>
        <v/>
      </c>
      <c r="AB477" s="40" t="str">
        <f t="shared" si="185"/>
        <v/>
      </c>
      <c r="AC477" t="str">
        <f>IF(L477="","",IF(AND($AO$2=1,ISNA(MATCH(L477,'02-شباط'!$L$2:$L$501,0))),"محذوف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86"/>
        <v/>
      </c>
      <c r="AH477" s="39" t="str">
        <f t="shared" si="187"/>
        <v/>
      </c>
      <c r="AI477" s="39" t="str">
        <f t="shared" si="188"/>
        <v/>
      </c>
      <c r="AJ477" s="39" t="str">
        <f t="shared" si="189"/>
        <v/>
      </c>
      <c r="AK477" t="str">
        <f t="shared" si="190"/>
        <v/>
      </c>
      <c r="AL477" t="str">
        <f t="shared" si="191"/>
        <v/>
      </c>
    </row>
    <row r="478" spans="11:38" ht="15">
      <c r="K478" t="str">
        <f t="shared" si="168"/>
        <v/>
      </c>
      <c r="L478" t="str">
        <f t="shared" si="169"/>
        <v/>
      </c>
      <c r="M478" s="36" t="str">
        <f t="shared" si="170"/>
        <v/>
      </c>
      <c r="N478" s="37" t="str">
        <f t="shared" si="171"/>
        <v/>
      </c>
      <c r="O478" s="37" t="str">
        <f t="shared" si="172"/>
        <v/>
      </c>
      <c r="P478" s="38" t="str">
        <f t="shared" si="173"/>
        <v/>
      </c>
      <c r="Q478" s="39" t="str">
        <f t="shared" si="174"/>
        <v/>
      </c>
      <c r="R478" s="39" t="str">
        <f t="shared" si="175"/>
        <v/>
      </c>
      <c r="S478" t="str">
        <f t="shared" si="176"/>
        <v/>
      </c>
      <c r="T478" s="39" t="str">
        <f t="shared" si="177"/>
        <v/>
      </c>
      <c r="U478" t="str">
        <f t="shared" si="178"/>
        <v/>
      </c>
      <c r="V478" t="str">
        <f t="shared" si="179"/>
        <v/>
      </c>
      <c r="W478" t="str">
        <f t="shared" si="180"/>
        <v/>
      </c>
      <c r="X478" s="38" t="str">
        <f t="shared" si="181"/>
        <v/>
      </c>
      <c r="Y478" s="38" t="str">
        <f t="shared" si="182"/>
        <v/>
      </c>
      <c r="Z478" s="39" t="str">
        <f t="shared" si="183"/>
        <v/>
      </c>
      <c r="AA478" s="39" t="str">
        <f t="shared" si="184"/>
        <v/>
      </c>
      <c r="AB478" s="40" t="str">
        <f t="shared" si="185"/>
        <v/>
      </c>
      <c r="AC478" t="str">
        <f>IF(L478="","",IF(AND($AO$2=1,ISNA(MATCH(L478,'02-شباط'!$L$2:$L$501,0))),"محذوف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86"/>
        <v/>
      </c>
      <c r="AH478" s="39" t="str">
        <f t="shared" si="187"/>
        <v/>
      </c>
      <c r="AI478" s="39" t="str">
        <f t="shared" si="188"/>
        <v/>
      </c>
      <c r="AJ478" s="39" t="str">
        <f t="shared" si="189"/>
        <v/>
      </c>
      <c r="AK478" t="str">
        <f t="shared" si="190"/>
        <v/>
      </c>
      <c r="AL478" t="str">
        <f t="shared" si="191"/>
        <v/>
      </c>
    </row>
    <row r="479" spans="11:38" ht="15">
      <c r="K479" t="str">
        <f t="shared" si="168"/>
        <v/>
      </c>
      <c r="L479" t="str">
        <f t="shared" si="169"/>
        <v/>
      </c>
      <c r="M479" s="36" t="str">
        <f t="shared" si="170"/>
        <v/>
      </c>
      <c r="N479" s="37" t="str">
        <f t="shared" si="171"/>
        <v/>
      </c>
      <c r="O479" s="37" t="str">
        <f t="shared" si="172"/>
        <v/>
      </c>
      <c r="P479" s="38" t="str">
        <f t="shared" si="173"/>
        <v/>
      </c>
      <c r="Q479" s="39" t="str">
        <f t="shared" si="174"/>
        <v/>
      </c>
      <c r="R479" s="39" t="str">
        <f t="shared" si="175"/>
        <v/>
      </c>
      <c r="S479" t="str">
        <f t="shared" si="176"/>
        <v/>
      </c>
      <c r="T479" s="39" t="str">
        <f t="shared" si="177"/>
        <v/>
      </c>
      <c r="U479" t="str">
        <f t="shared" si="178"/>
        <v/>
      </c>
      <c r="V479" t="str">
        <f t="shared" si="179"/>
        <v/>
      </c>
      <c r="W479" t="str">
        <f t="shared" si="180"/>
        <v/>
      </c>
      <c r="X479" s="38" t="str">
        <f t="shared" si="181"/>
        <v/>
      </c>
      <c r="Y479" s="38" t="str">
        <f t="shared" si="182"/>
        <v/>
      </c>
      <c r="Z479" s="39" t="str">
        <f t="shared" si="183"/>
        <v/>
      </c>
      <c r="AA479" s="39" t="str">
        <f t="shared" si="184"/>
        <v/>
      </c>
      <c r="AB479" s="40" t="str">
        <f t="shared" si="185"/>
        <v/>
      </c>
      <c r="AC479" t="str">
        <f>IF(L479="","",IF(AND($AO$2=1,ISNA(MATCH(L479,'02-شباط'!$L$2:$L$501,0))),"محذوف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86"/>
        <v/>
      </c>
      <c r="AH479" s="39" t="str">
        <f t="shared" si="187"/>
        <v/>
      </c>
      <c r="AI479" s="39" t="str">
        <f t="shared" si="188"/>
        <v/>
      </c>
      <c r="AJ479" s="39" t="str">
        <f t="shared" si="189"/>
        <v/>
      </c>
      <c r="AK479" t="str">
        <f t="shared" si="190"/>
        <v/>
      </c>
      <c r="AL479" t="str">
        <f t="shared" si="191"/>
        <v/>
      </c>
    </row>
    <row r="480" spans="11:38" ht="15">
      <c r="K480" t="str">
        <f t="shared" si="168"/>
        <v/>
      </c>
      <c r="L480" t="str">
        <f t="shared" si="169"/>
        <v/>
      </c>
      <c r="M480" s="36" t="str">
        <f t="shared" si="170"/>
        <v/>
      </c>
      <c r="N480" s="37" t="str">
        <f t="shared" si="171"/>
        <v/>
      </c>
      <c r="O480" s="37" t="str">
        <f t="shared" si="172"/>
        <v/>
      </c>
      <c r="P480" s="38" t="str">
        <f t="shared" si="173"/>
        <v/>
      </c>
      <c r="Q480" s="39" t="str">
        <f t="shared" si="174"/>
        <v/>
      </c>
      <c r="R480" s="39" t="str">
        <f t="shared" si="175"/>
        <v/>
      </c>
      <c r="S480" t="str">
        <f t="shared" si="176"/>
        <v/>
      </c>
      <c r="T480" s="39" t="str">
        <f t="shared" si="177"/>
        <v/>
      </c>
      <c r="U480" t="str">
        <f t="shared" si="178"/>
        <v/>
      </c>
      <c r="V480" t="str">
        <f t="shared" si="179"/>
        <v/>
      </c>
      <c r="W480" t="str">
        <f t="shared" si="180"/>
        <v/>
      </c>
      <c r="X480" s="38" t="str">
        <f t="shared" si="181"/>
        <v/>
      </c>
      <c r="Y480" s="38" t="str">
        <f t="shared" si="182"/>
        <v/>
      </c>
      <c r="Z480" s="39" t="str">
        <f t="shared" si="183"/>
        <v/>
      </c>
      <c r="AA480" s="39" t="str">
        <f t="shared" si="184"/>
        <v/>
      </c>
      <c r="AB480" s="40" t="str">
        <f t="shared" si="185"/>
        <v/>
      </c>
      <c r="AC480" t="str">
        <f>IF(L480="","",IF(AND($AO$2=1,ISNA(MATCH(L480,'02-شباط'!$L$2:$L$501,0))),"محذوف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86"/>
        <v/>
      </c>
      <c r="AH480" s="39" t="str">
        <f t="shared" si="187"/>
        <v/>
      </c>
      <c r="AI480" s="39" t="str">
        <f t="shared" si="188"/>
        <v/>
      </c>
      <c r="AJ480" s="39" t="str">
        <f t="shared" si="189"/>
        <v/>
      </c>
      <c r="AK480" t="str">
        <f t="shared" si="190"/>
        <v/>
      </c>
      <c r="AL480" t="str">
        <f t="shared" si="191"/>
        <v/>
      </c>
    </row>
    <row r="481" spans="11:38" ht="15">
      <c r="K481" t="str">
        <f t="shared" si="168"/>
        <v/>
      </c>
      <c r="L481" t="str">
        <f t="shared" si="169"/>
        <v/>
      </c>
      <c r="M481" s="36" t="str">
        <f t="shared" si="170"/>
        <v/>
      </c>
      <c r="N481" s="37" t="str">
        <f t="shared" si="171"/>
        <v/>
      </c>
      <c r="O481" s="37" t="str">
        <f t="shared" si="172"/>
        <v/>
      </c>
      <c r="P481" s="38" t="str">
        <f t="shared" si="173"/>
        <v/>
      </c>
      <c r="Q481" s="39" t="str">
        <f t="shared" si="174"/>
        <v/>
      </c>
      <c r="R481" s="39" t="str">
        <f t="shared" si="175"/>
        <v/>
      </c>
      <c r="S481" t="str">
        <f t="shared" si="176"/>
        <v/>
      </c>
      <c r="T481" s="39" t="str">
        <f t="shared" si="177"/>
        <v/>
      </c>
      <c r="U481" t="str">
        <f t="shared" si="178"/>
        <v/>
      </c>
      <c r="V481" t="str">
        <f t="shared" si="179"/>
        <v/>
      </c>
      <c r="W481" t="str">
        <f t="shared" si="180"/>
        <v/>
      </c>
      <c r="X481" s="38" t="str">
        <f t="shared" si="181"/>
        <v/>
      </c>
      <c r="Y481" s="38" t="str">
        <f t="shared" si="182"/>
        <v/>
      </c>
      <c r="Z481" s="39" t="str">
        <f t="shared" si="183"/>
        <v/>
      </c>
      <c r="AA481" s="39" t="str">
        <f t="shared" si="184"/>
        <v/>
      </c>
      <c r="AB481" s="40" t="str">
        <f t="shared" si="185"/>
        <v/>
      </c>
      <c r="AC481" t="str">
        <f>IF(L481="","",IF(AND($AO$2=1,ISNA(MATCH(L481,'02-شباط'!$L$2:$L$501,0))),"محذوف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86"/>
        <v/>
      </c>
      <c r="AH481" s="39" t="str">
        <f t="shared" si="187"/>
        <v/>
      </c>
      <c r="AI481" s="39" t="str">
        <f t="shared" si="188"/>
        <v/>
      </c>
      <c r="AJ481" s="39" t="str">
        <f t="shared" si="189"/>
        <v/>
      </c>
      <c r="AK481" t="str">
        <f t="shared" si="190"/>
        <v/>
      </c>
      <c r="AL481" t="str">
        <f t="shared" si="191"/>
        <v/>
      </c>
    </row>
    <row r="482" spans="11:38" ht="15">
      <c r="K482" t="str">
        <f t="shared" si="168"/>
        <v/>
      </c>
      <c r="L482" t="str">
        <f t="shared" si="169"/>
        <v/>
      </c>
      <c r="M482" s="36" t="str">
        <f t="shared" si="170"/>
        <v/>
      </c>
      <c r="N482" s="37" t="str">
        <f t="shared" si="171"/>
        <v/>
      </c>
      <c r="O482" s="37" t="str">
        <f t="shared" si="172"/>
        <v/>
      </c>
      <c r="P482" s="38" t="str">
        <f t="shared" si="173"/>
        <v/>
      </c>
      <c r="Q482" s="39" t="str">
        <f t="shared" si="174"/>
        <v/>
      </c>
      <c r="R482" s="39" t="str">
        <f t="shared" si="175"/>
        <v/>
      </c>
      <c r="S482" t="str">
        <f t="shared" si="176"/>
        <v/>
      </c>
      <c r="T482" s="39" t="str">
        <f t="shared" si="177"/>
        <v/>
      </c>
      <c r="U482" t="str">
        <f t="shared" si="178"/>
        <v/>
      </c>
      <c r="V482" t="str">
        <f t="shared" si="179"/>
        <v/>
      </c>
      <c r="W482" t="str">
        <f t="shared" si="180"/>
        <v/>
      </c>
      <c r="X482" s="38" t="str">
        <f t="shared" si="181"/>
        <v/>
      </c>
      <c r="Y482" s="38" t="str">
        <f t="shared" si="182"/>
        <v/>
      </c>
      <c r="Z482" s="39" t="str">
        <f t="shared" si="183"/>
        <v/>
      </c>
      <c r="AA482" s="39" t="str">
        <f t="shared" si="184"/>
        <v/>
      </c>
      <c r="AB482" s="40" t="str">
        <f t="shared" si="185"/>
        <v/>
      </c>
      <c r="AC482" t="str">
        <f>IF(L482="","",IF(AND($AO$2=1,ISNA(MATCH(L482,'02-شباط'!$L$2:$L$501,0))),"محذوف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86"/>
        <v/>
      </c>
      <c r="AH482" s="39" t="str">
        <f t="shared" si="187"/>
        <v/>
      </c>
      <c r="AI482" s="39" t="str">
        <f t="shared" si="188"/>
        <v/>
      </c>
      <c r="AJ482" s="39" t="str">
        <f t="shared" si="189"/>
        <v/>
      </c>
      <c r="AK482" t="str">
        <f t="shared" si="190"/>
        <v/>
      </c>
      <c r="AL482" t="str">
        <f t="shared" si="191"/>
        <v/>
      </c>
    </row>
    <row r="483" spans="11:38" ht="15">
      <c r="K483" t="str">
        <f t="shared" si="168"/>
        <v/>
      </c>
      <c r="L483" t="str">
        <f t="shared" si="169"/>
        <v/>
      </c>
      <c r="M483" s="36" t="str">
        <f t="shared" si="170"/>
        <v/>
      </c>
      <c r="N483" s="37" t="str">
        <f t="shared" si="171"/>
        <v/>
      </c>
      <c r="O483" s="37" t="str">
        <f t="shared" si="172"/>
        <v/>
      </c>
      <c r="P483" s="38" t="str">
        <f t="shared" si="173"/>
        <v/>
      </c>
      <c r="Q483" s="39" t="str">
        <f t="shared" si="174"/>
        <v/>
      </c>
      <c r="R483" s="39" t="str">
        <f t="shared" si="175"/>
        <v/>
      </c>
      <c r="S483" t="str">
        <f t="shared" si="176"/>
        <v/>
      </c>
      <c r="T483" s="39" t="str">
        <f t="shared" si="177"/>
        <v/>
      </c>
      <c r="U483" t="str">
        <f t="shared" si="178"/>
        <v/>
      </c>
      <c r="V483" t="str">
        <f t="shared" si="179"/>
        <v/>
      </c>
      <c r="W483" t="str">
        <f t="shared" si="180"/>
        <v/>
      </c>
      <c r="X483" s="38" t="str">
        <f t="shared" si="181"/>
        <v/>
      </c>
      <c r="Y483" s="38" t="str">
        <f t="shared" si="182"/>
        <v/>
      </c>
      <c r="Z483" s="39" t="str">
        <f t="shared" si="183"/>
        <v/>
      </c>
      <c r="AA483" s="39" t="str">
        <f t="shared" si="184"/>
        <v/>
      </c>
      <c r="AB483" s="40" t="str">
        <f t="shared" si="185"/>
        <v/>
      </c>
      <c r="AC483" t="str">
        <f>IF(L483="","",IF(AND($AO$2=1,ISNA(MATCH(L483,'02-شباط'!$L$2:$L$501,0))),"محذوف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86"/>
        <v/>
      </c>
      <c r="AH483" s="39" t="str">
        <f t="shared" si="187"/>
        <v/>
      </c>
      <c r="AI483" s="39" t="str">
        <f t="shared" si="188"/>
        <v/>
      </c>
      <c r="AJ483" s="39" t="str">
        <f t="shared" si="189"/>
        <v/>
      </c>
      <c r="AK483" t="str">
        <f t="shared" si="190"/>
        <v/>
      </c>
      <c r="AL483" t="str">
        <f t="shared" si="191"/>
        <v/>
      </c>
    </row>
    <row r="484" spans="11:38" ht="15">
      <c r="K484" t="str">
        <f t="shared" si="168"/>
        <v/>
      </c>
      <c r="L484" t="str">
        <f t="shared" si="169"/>
        <v/>
      </c>
      <c r="M484" s="36" t="str">
        <f t="shared" si="170"/>
        <v/>
      </c>
      <c r="N484" s="37" t="str">
        <f t="shared" si="171"/>
        <v/>
      </c>
      <c r="O484" s="37" t="str">
        <f t="shared" si="172"/>
        <v/>
      </c>
      <c r="P484" s="38" t="str">
        <f t="shared" si="173"/>
        <v/>
      </c>
      <c r="Q484" s="39" t="str">
        <f t="shared" si="174"/>
        <v/>
      </c>
      <c r="R484" s="39" t="str">
        <f t="shared" si="175"/>
        <v/>
      </c>
      <c r="S484" t="str">
        <f t="shared" si="176"/>
        <v/>
      </c>
      <c r="T484" s="39" t="str">
        <f t="shared" si="177"/>
        <v/>
      </c>
      <c r="U484" t="str">
        <f t="shared" si="178"/>
        <v/>
      </c>
      <c r="V484" t="str">
        <f t="shared" si="179"/>
        <v/>
      </c>
      <c r="W484" t="str">
        <f t="shared" si="180"/>
        <v/>
      </c>
      <c r="X484" s="38" t="str">
        <f t="shared" si="181"/>
        <v/>
      </c>
      <c r="Y484" s="38" t="str">
        <f t="shared" si="182"/>
        <v/>
      </c>
      <c r="Z484" s="39" t="str">
        <f t="shared" si="183"/>
        <v/>
      </c>
      <c r="AA484" s="39" t="str">
        <f t="shared" si="184"/>
        <v/>
      </c>
      <c r="AB484" s="40" t="str">
        <f t="shared" si="185"/>
        <v/>
      </c>
      <c r="AC484" t="str">
        <f>IF(L484="","",IF(AND($AO$2=1,ISNA(MATCH(L484,'02-شباط'!$L$2:$L$501,0))),"محذوف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86"/>
        <v/>
      </c>
      <c r="AH484" s="39" t="str">
        <f t="shared" si="187"/>
        <v/>
      </c>
      <c r="AI484" s="39" t="str">
        <f t="shared" si="188"/>
        <v/>
      </c>
      <c r="AJ484" s="39" t="str">
        <f t="shared" si="189"/>
        <v/>
      </c>
      <c r="AK484" t="str">
        <f t="shared" si="190"/>
        <v/>
      </c>
      <c r="AL484" t="str">
        <f t="shared" si="191"/>
        <v/>
      </c>
    </row>
    <row r="485" spans="11:38" ht="15">
      <c r="K485" t="str">
        <f t="shared" si="168"/>
        <v/>
      </c>
      <c r="L485" t="str">
        <f t="shared" si="169"/>
        <v/>
      </c>
      <c r="M485" s="36" t="str">
        <f t="shared" si="170"/>
        <v/>
      </c>
      <c r="N485" s="37" t="str">
        <f t="shared" si="171"/>
        <v/>
      </c>
      <c r="O485" s="37" t="str">
        <f t="shared" si="172"/>
        <v/>
      </c>
      <c r="P485" s="38" t="str">
        <f t="shared" si="173"/>
        <v/>
      </c>
      <c r="Q485" s="39" t="str">
        <f t="shared" si="174"/>
        <v/>
      </c>
      <c r="R485" s="39" t="str">
        <f t="shared" si="175"/>
        <v/>
      </c>
      <c r="S485" t="str">
        <f t="shared" si="176"/>
        <v/>
      </c>
      <c r="T485" s="39" t="str">
        <f t="shared" si="177"/>
        <v/>
      </c>
      <c r="U485" t="str">
        <f t="shared" si="178"/>
        <v/>
      </c>
      <c r="V485" t="str">
        <f t="shared" si="179"/>
        <v/>
      </c>
      <c r="W485" t="str">
        <f t="shared" si="180"/>
        <v/>
      </c>
      <c r="X485" s="38" t="str">
        <f t="shared" si="181"/>
        <v/>
      </c>
      <c r="Y485" s="38" t="str">
        <f t="shared" si="182"/>
        <v/>
      </c>
      <c r="Z485" s="39" t="str">
        <f t="shared" si="183"/>
        <v/>
      </c>
      <c r="AA485" s="39" t="str">
        <f t="shared" si="184"/>
        <v/>
      </c>
      <c r="AB485" s="40" t="str">
        <f t="shared" si="185"/>
        <v/>
      </c>
      <c r="AC485" t="str">
        <f>IF(L485="","",IF(AND($AO$2=1,ISNA(MATCH(L485,'02-شباط'!$L$2:$L$501,0))),"محذوف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86"/>
        <v/>
      </c>
      <c r="AH485" s="39" t="str">
        <f t="shared" si="187"/>
        <v/>
      </c>
      <c r="AI485" s="39" t="str">
        <f t="shared" si="188"/>
        <v/>
      </c>
      <c r="AJ485" s="39" t="str">
        <f t="shared" si="189"/>
        <v/>
      </c>
      <c r="AK485" t="str">
        <f t="shared" si="190"/>
        <v/>
      </c>
      <c r="AL485" t="str">
        <f t="shared" si="191"/>
        <v/>
      </c>
    </row>
    <row r="486" spans="11:38" ht="15">
      <c r="K486" t="str">
        <f t="shared" si="168"/>
        <v/>
      </c>
      <c r="L486" t="str">
        <f t="shared" si="169"/>
        <v/>
      </c>
      <c r="M486" s="36" t="str">
        <f t="shared" si="170"/>
        <v/>
      </c>
      <c r="N486" s="37" t="str">
        <f t="shared" si="171"/>
        <v/>
      </c>
      <c r="O486" s="37" t="str">
        <f t="shared" si="172"/>
        <v/>
      </c>
      <c r="P486" s="38" t="str">
        <f t="shared" si="173"/>
        <v/>
      </c>
      <c r="Q486" s="39" t="str">
        <f t="shared" si="174"/>
        <v/>
      </c>
      <c r="R486" s="39" t="str">
        <f t="shared" si="175"/>
        <v/>
      </c>
      <c r="S486" t="str">
        <f t="shared" si="176"/>
        <v/>
      </c>
      <c r="T486" s="39" t="str">
        <f t="shared" si="177"/>
        <v/>
      </c>
      <c r="U486" t="str">
        <f t="shared" si="178"/>
        <v/>
      </c>
      <c r="V486" t="str">
        <f t="shared" si="179"/>
        <v/>
      </c>
      <c r="W486" t="str">
        <f t="shared" si="180"/>
        <v/>
      </c>
      <c r="X486" s="38" t="str">
        <f t="shared" si="181"/>
        <v/>
      </c>
      <c r="Y486" s="38" t="str">
        <f t="shared" si="182"/>
        <v/>
      </c>
      <c r="Z486" s="39" t="str">
        <f t="shared" si="183"/>
        <v/>
      </c>
      <c r="AA486" s="39" t="str">
        <f t="shared" si="184"/>
        <v/>
      </c>
      <c r="AB486" s="40" t="str">
        <f t="shared" si="185"/>
        <v/>
      </c>
      <c r="AC486" t="str">
        <f>IF(L486="","",IF(AND($AO$2=1,ISNA(MATCH(L486,'02-شباط'!$L$2:$L$501,0))),"محذوف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86"/>
        <v/>
      </c>
      <c r="AH486" s="39" t="str">
        <f t="shared" si="187"/>
        <v/>
      </c>
      <c r="AI486" s="39" t="str">
        <f t="shared" si="188"/>
        <v/>
      </c>
      <c r="AJ486" s="39" t="str">
        <f t="shared" si="189"/>
        <v/>
      </c>
      <c r="AK486" t="str">
        <f t="shared" si="190"/>
        <v/>
      </c>
      <c r="AL486" t="str">
        <f t="shared" si="191"/>
        <v/>
      </c>
    </row>
    <row r="487" spans="11:38" ht="15">
      <c r="K487" t="str">
        <f t="shared" si="168"/>
        <v/>
      </c>
      <c r="L487" t="str">
        <f t="shared" si="169"/>
        <v/>
      </c>
      <c r="M487" s="36" t="str">
        <f t="shared" si="170"/>
        <v/>
      </c>
      <c r="N487" s="37" t="str">
        <f t="shared" si="171"/>
        <v/>
      </c>
      <c r="O487" s="37" t="str">
        <f t="shared" si="172"/>
        <v/>
      </c>
      <c r="P487" s="38" t="str">
        <f t="shared" si="173"/>
        <v/>
      </c>
      <c r="Q487" s="39" t="str">
        <f t="shared" si="174"/>
        <v/>
      </c>
      <c r="R487" s="39" t="str">
        <f t="shared" si="175"/>
        <v/>
      </c>
      <c r="S487" t="str">
        <f t="shared" si="176"/>
        <v/>
      </c>
      <c r="T487" s="39" t="str">
        <f t="shared" si="177"/>
        <v/>
      </c>
      <c r="U487" t="str">
        <f t="shared" si="178"/>
        <v/>
      </c>
      <c r="V487" t="str">
        <f t="shared" si="179"/>
        <v/>
      </c>
      <c r="W487" t="str">
        <f t="shared" si="180"/>
        <v/>
      </c>
      <c r="X487" s="38" t="str">
        <f t="shared" si="181"/>
        <v/>
      </c>
      <c r="Y487" s="38" t="str">
        <f t="shared" si="182"/>
        <v/>
      </c>
      <c r="Z487" s="39" t="str">
        <f t="shared" si="183"/>
        <v/>
      </c>
      <c r="AA487" s="39" t="str">
        <f t="shared" si="184"/>
        <v/>
      </c>
      <c r="AB487" s="40" t="str">
        <f t="shared" si="185"/>
        <v/>
      </c>
      <c r="AC487" t="str">
        <f>IF(L487="","",IF(AND($AO$2=1,ISNA(MATCH(L487,'02-شباط'!$L$2:$L$501,0))),"محذوف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86"/>
        <v/>
      </c>
      <c r="AH487" s="39" t="str">
        <f t="shared" si="187"/>
        <v/>
      </c>
      <c r="AI487" s="39" t="str">
        <f t="shared" si="188"/>
        <v/>
      </c>
      <c r="AJ487" s="39" t="str">
        <f t="shared" si="189"/>
        <v/>
      </c>
      <c r="AK487" t="str">
        <f t="shared" si="190"/>
        <v/>
      </c>
      <c r="AL487" t="str">
        <f t="shared" si="191"/>
        <v/>
      </c>
    </row>
    <row r="488" spans="11:38" ht="15">
      <c r="K488" t="str">
        <f t="shared" si="168"/>
        <v/>
      </c>
      <c r="L488" t="str">
        <f t="shared" si="169"/>
        <v/>
      </c>
      <c r="M488" s="36" t="str">
        <f t="shared" si="170"/>
        <v/>
      </c>
      <c r="N488" s="37" t="str">
        <f t="shared" si="171"/>
        <v/>
      </c>
      <c r="O488" s="37" t="str">
        <f t="shared" si="172"/>
        <v/>
      </c>
      <c r="P488" s="38" t="str">
        <f t="shared" si="173"/>
        <v/>
      </c>
      <c r="Q488" s="39" t="str">
        <f t="shared" si="174"/>
        <v/>
      </c>
      <c r="R488" s="39" t="str">
        <f t="shared" si="175"/>
        <v/>
      </c>
      <c r="S488" t="str">
        <f t="shared" si="176"/>
        <v/>
      </c>
      <c r="T488" s="39" t="str">
        <f t="shared" si="177"/>
        <v/>
      </c>
      <c r="U488" t="str">
        <f t="shared" si="178"/>
        <v/>
      </c>
      <c r="V488" t="str">
        <f t="shared" si="179"/>
        <v/>
      </c>
      <c r="W488" t="str">
        <f t="shared" si="180"/>
        <v/>
      </c>
      <c r="X488" s="38" t="str">
        <f t="shared" si="181"/>
        <v/>
      </c>
      <c r="Y488" s="38" t="str">
        <f t="shared" si="182"/>
        <v/>
      </c>
      <c r="Z488" s="39" t="str">
        <f t="shared" si="183"/>
        <v/>
      </c>
      <c r="AA488" s="39" t="str">
        <f t="shared" si="184"/>
        <v/>
      </c>
      <c r="AB488" s="40" t="str">
        <f t="shared" si="185"/>
        <v/>
      </c>
      <c r="AC488" t="str">
        <f>IF(L488="","",IF(AND($AO$2=1,ISNA(MATCH(L488,'02-شباط'!$L$2:$L$501,0))),"محذوف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86"/>
        <v/>
      </c>
      <c r="AH488" s="39" t="str">
        <f t="shared" si="187"/>
        <v/>
      </c>
      <c r="AI488" s="39" t="str">
        <f t="shared" si="188"/>
        <v/>
      </c>
      <c r="AJ488" s="39" t="str">
        <f t="shared" si="189"/>
        <v/>
      </c>
      <c r="AK488" t="str">
        <f t="shared" si="190"/>
        <v/>
      </c>
      <c r="AL488" t="str">
        <f t="shared" si="191"/>
        <v/>
      </c>
    </row>
    <row r="489" spans="11:38" ht="15">
      <c r="K489" t="str">
        <f t="shared" si="168"/>
        <v/>
      </c>
      <c r="L489" t="str">
        <f t="shared" si="169"/>
        <v/>
      </c>
      <c r="M489" s="36" t="str">
        <f t="shared" si="170"/>
        <v/>
      </c>
      <c r="N489" s="37" t="str">
        <f t="shared" si="171"/>
        <v/>
      </c>
      <c r="O489" s="37" t="str">
        <f t="shared" si="172"/>
        <v/>
      </c>
      <c r="P489" s="38" t="str">
        <f t="shared" si="173"/>
        <v/>
      </c>
      <c r="Q489" s="39" t="str">
        <f t="shared" si="174"/>
        <v/>
      </c>
      <c r="R489" s="39" t="str">
        <f t="shared" si="175"/>
        <v/>
      </c>
      <c r="S489" t="str">
        <f t="shared" si="176"/>
        <v/>
      </c>
      <c r="T489" s="39" t="str">
        <f t="shared" si="177"/>
        <v/>
      </c>
      <c r="U489" t="str">
        <f t="shared" si="178"/>
        <v/>
      </c>
      <c r="V489" t="str">
        <f t="shared" si="179"/>
        <v/>
      </c>
      <c r="W489" t="str">
        <f t="shared" si="180"/>
        <v/>
      </c>
      <c r="X489" s="38" t="str">
        <f t="shared" si="181"/>
        <v/>
      </c>
      <c r="Y489" s="38" t="str">
        <f t="shared" si="182"/>
        <v/>
      </c>
      <c r="Z489" s="39" t="str">
        <f t="shared" si="183"/>
        <v/>
      </c>
      <c r="AA489" s="39" t="str">
        <f t="shared" si="184"/>
        <v/>
      </c>
      <c r="AB489" s="40" t="str">
        <f t="shared" si="185"/>
        <v/>
      </c>
      <c r="AC489" t="str">
        <f>IF(L489="","",IF(AND($AO$2=1,ISNA(MATCH(L489,'02-شباط'!$L$2:$L$501,0))),"محذوف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86"/>
        <v/>
      </c>
      <c r="AH489" s="39" t="str">
        <f t="shared" si="187"/>
        <v/>
      </c>
      <c r="AI489" s="39" t="str">
        <f t="shared" si="188"/>
        <v/>
      </c>
      <c r="AJ489" s="39" t="str">
        <f t="shared" si="189"/>
        <v/>
      </c>
      <c r="AK489" t="str">
        <f t="shared" si="190"/>
        <v/>
      </c>
      <c r="AL489" t="str">
        <f t="shared" si="191"/>
        <v/>
      </c>
    </row>
    <row r="490" spans="11:38" ht="15">
      <c r="K490" t="str">
        <f t="shared" si="168"/>
        <v/>
      </c>
      <c r="L490" t="str">
        <f t="shared" si="169"/>
        <v/>
      </c>
      <c r="M490" s="36" t="str">
        <f t="shared" si="170"/>
        <v/>
      </c>
      <c r="N490" s="37" t="str">
        <f t="shared" si="171"/>
        <v/>
      </c>
      <c r="O490" s="37" t="str">
        <f t="shared" si="172"/>
        <v/>
      </c>
      <c r="P490" s="38" t="str">
        <f t="shared" si="173"/>
        <v/>
      </c>
      <c r="Q490" s="39" t="str">
        <f t="shared" si="174"/>
        <v/>
      </c>
      <c r="R490" s="39" t="str">
        <f t="shared" si="175"/>
        <v/>
      </c>
      <c r="S490" t="str">
        <f t="shared" si="176"/>
        <v/>
      </c>
      <c r="T490" s="39" t="str">
        <f t="shared" si="177"/>
        <v/>
      </c>
      <c r="U490" t="str">
        <f t="shared" si="178"/>
        <v/>
      </c>
      <c r="V490" t="str">
        <f t="shared" si="179"/>
        <v/>
      </c>
      <c r="W490" t="str">
        <f t="shared" si="180"/>
        <v/>
      </c>
      <c r="X490" s="38" t="str">
        <f t="shared" si="181"/>
        <v/>
      </c>
      <c r="Y490" s="38" t="str">
        <f t="shared" si="182"/>
        <v/>
      </c>
      <c r="Z490" s="39" t="str">
        <f t="shared" si="183"/>
        <v/>
      </c>
      <c r="AA490" s="39" t="str">
        <f t="shared" si="184"/>
        <v/>
      </c>
      <c r="AB490" s="40" t="str">
        <f t="shared" si="185"/>
        <v/>
      </c>
      <c r="AC490" t="str">
        <f>IF(L490="","",IF(AND($AO$2=1,ISNA(MATCH(L490,'02-شباط'!$L$2:$L$501,0))),"محذوف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86"/>
        <v/>
      </c>
      <c r="AH490" s="39" t="str">
        <f t="shared" si="187"/>
        <v/>
      </c>
      <c r="AI490" s="39" t="str">
        <f t="shared" si="188"/>
        <v/>
      </c>
      <c r="AJ490" s="39" t="str">
        <f t="shared" si="189"/>
        <v/>
      </c>
      <c r="AK490" t="str">
        <f t="shared" si="190"/>
        <v/>
      </c>
      <c r="AL490" t="str">
        <f t="shared" si="191"/>
        <v/>
      </c>
    </row>
    <row r="491" spans="11:38" ht="15">
      <c r="K491" t="str">
        <f t="shared" si="168"/>
        <v/>
      </c>
      <c r="L491" t="str">
        <f t="shared" si="169"/>
        <v/>
      </c>
      <c r="M491" s="36" t="str">
        <f t="shared" si="170"/>
        <v/>
      </c>
      <c r="N491" s="37" t="str">
        <f t="shared" si="171"/>
        <v/>
      </c>
      <c r="O491" s="37" t="str">
        <f t="shared" si="172"/>
        <v/>
      </c>
      <c r="P491" s="38" t="str">
        <f t="shared" si="173"/>
        <v/>
      </c>
      <c r="Q491" s="39" t="str">
        <f t="shared" si="174"/>
        <v/>
      </c>
      <c r="R491" s="39" t="str">
        <f t="shared" si="175"/>
        <v/>
      </c>
      <c r="S491" t="str">
        <f t="shared" si="176"/>
        <v/>
      </c>
      <c r="T491" s="39" t="str">
        <f t="shared" si="177"/>
        <v/>
      </c>
      <c r="U491" t="str">
        <f t="shared" si="178"/>
        <v/>
      </c>
      <c r="V491" t="str">
        <f t="shared" si="179"/>
        <v/>
      </c>
      <c r="W491" t="str">
        <f t="shared" si="180"/>
        <v/>
      </c>
      <c r="X491" s="38" t="str">
        <f t="shared" si="181"/>
        <v/>
      </c>
      <c r="Y491" s="38" t="str">
        <f t="shared" si="182"/>
        <v/>
      </c>
      <c r="Z491" s="39" t="str">
        <f t="shared" si="183"/>
        <v/>
      </c>
      <c r="AA491" s="39" t="str">
        <f t="shared" si="184"/>
        <v/>
      </c>
      <c r="AB491" s="40" t="str">
        <f t="shared" si="185"/>
        <v/>
      </c>
      <c r="AC491" t="str">
        <f>IF(L491="","",IF(AND($AO$2=1,ISNA(MATCH(L491,'02-شباط'!$L$2:$L$501,0))),"محذوف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86"/>
        <v/>
      </c>
      <c r="AH491" s="39" t="str">
        <f t="shared" si="187"/>
        <v/>
      </c>
      <c r="AI491" s="39" t="str">
        <f t="shared" si="188"/>
        <v/>
      </c>
      <c r="AJ491" s="39" t="str">
        <f t="shared" si="189"/>
        <v/>
      </c>
      <c r="AK491" t="str">
        <f t="shared" si="190"/>
        <v/>
      </c>
      <c r="AL491" t="str">
        <f t="shared" si="191"/>
        <v/>
      </c>
    </row>
    <row r="492" spans="11:38" ht="15">
      <c r="K492" t="str">
        <f t="shared" si="168"/>
        <v/>
      </c>
      <c r="L492" t="str">
        <f t="shared" si="169"/>
        <v/>
      </c>
      <c r="M492" s="36" t="str">
        <f t="shared" si="170"/>
        <v/>
      </c>
      <c r="N492" s="37" t="str">
        <f t="shared" si="171"/>
        <v/>
      </c>
      <c r="O492" s="37" t="str">
        <f t="shared" si="172"/>
        <v/>
      </c>
      <c r="P492" s="38" t="str">
        <f t="shared" si="173"/>
        <v/>
      </c>
      <c r="Q492" s="39" t="str">
        <f t="shared" si="174"/>
        <v/>
      </c>
      <c r="R492" s="39" t="str">
        <f t="shared" si="175"/>
        <v/>
      </c>
      <c r="S492" t="str">
        <f t="shared" si="176"/>
        <v/>
      </c>
      <c r="T492" s="39" t="str">
        <f t="shared" si="177"/>
        <v/>
      </c>
      <c r="U492" t="str">
        <f t="shared" si="178"/>
        <v/>
      </c>
      <c r="V492" t="str">
        <f t="shared" si="179"/>
        <v/>
      </c>
      <c r="W492" t="str">
        <f t="shared" si="180"/>
        <v/>
      </c>
      <c r="X492" s="38" t="str">
        <f t="shared" si="181"/>
        <v/>
      </c>
      <c r="Y492" s="38" t="str">
        <f t="shared" si="182"/>
        <v/>
      </c>
      <c r="Z492" s="39" t="str">
        <f t="shared" si="183"/>
        <v/>
      </c>
      <c r="AA492" s="39" t="str">
        <f t="shared" si="184"/>
        <v/>
      </c>
      <c r="AB492" s="40" t="str">
        <f t="shared" si="185"/>
        <v/>
      </c>
      <c r="AC492" t="str">
        <f>IF(L492="","",IF(AND($AO$2=1,ISNA(MATCH(L492,'02-شباط'!$L$2:$L$501,0))),"محذوف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86"/>
        <v/>
      </c>
      <c r="AH492" s="39" t="str">
        <f t="shared" si="187"/>
        <v/>
      </c>
      <c r="AI492" s="39" t="str">
        <f t="shared" si="188"/>
        <v/>
      </c>
      <c r="AJ492" s="39" t="str">
        <f t="shared" si="189"/>
        <v/>
      </c>
      <c r="AK492" t="str">
        <f t="shared" si="190"/>
        <v/>
      </c>
      <c r="AL492" t="str">
        <f t="shared" si="191"/>
        <v/>
      </c>
    </row>
    <row r="493" spans="11:38" ht="15">
      <c r="K493" t="str">
        <f t="shared" si="168"/>
        <v/>
      </c>
      <c r="L493" t="str">
        <f t="shared" si="169"/>
        <v/>
      </c>
      <c r="M493" s="36" t="str">
        <f t="shared" si="170"/>
        <v/>
      </c>
      <c r="N493" s="37" t="str">
        <f t="shared" si="171"/>
        <v/>
      </c>
      <c r="O493" s="37" t="str">
        <f t="shared" si="172"/>
        <v/>
      </c>
      <c r="P493" s="38" t="str">
        <f t="shared" si="173"/>
        <v/>
      </c>
      <c r="Q493" s="39" t="str">
        <f t="shared" si="174"/>
        <v/>
      </c>
      <c r="R493" s="39" t="str">
        <f t="shared" si="175"/>
        <v/>
      </c>
      <c r="S493" t="str">
        <f t="shared" si="176"/>
        <v/>
      </c>
      <c r="T493" s="39" t="str">
        <f t="shared" si="177"/>
        <v/>
      </c>
      <c r="U493" t="str">
        <f t="shared" si="178"/>
        <v/>
      </c>
      <c r="V493" t="str">
        <f t="shared" si="179"/>
        <v/>
      </c>
      <c r="W493" t="str">
        <f t="shared" si="180"/>
        <v/>
      </c>
      <c r="X493" s="38" t="str">
        <f t="shared" si="181"/>
        <v/>
      </c>
      <c r="Y493" s="38" t="str">
        <f t="shared" si="182"/>
        <v/>
      </c>
      <c r="Z493" s="39" t="str">
        <f t="shared" si="183"/>
        <v/>
      </c>
      <c r="AA493" s="39" t="str">
        <f t="shared" si="184"/>
        <v/>
      </c>
      <c r="AB493" s="40" t="str">
        <f t="shared" si="185"/>
        <v/>
      </c>
      <c r="AC493" t="str">
        <f>IF(L493="","",IF(AND($AO$2=1,ISNA(MATCH(L493,'02-شباط'!$L$2:$L$501,0))),"محذوف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86"/>
        <v/>
      </c>
      <c r="AH493" s="39" t="str">
        <f t="shared" si="187"/>
        <v/>
      </c>
      <c r="AI493" s="39" t="str">
        <f t="shared" si="188"/>
        <v/>
      </c>
      <c r="AJ493" s="39" t="str">
        <f t="shared" si="189"/>
        <v/>
      </c>
      <c r="AK493" t="str">
        <f t="shared" si="190"/>
        <v/>
      </c>
      <c r="AL493" t="str">
        <f t="shared" si="191"/>
        <v/>
      </c>
    </row>
    <row r="494" spans="11:38" ht="15">
      <c r="K494" t="str">
        <f t="shared" si="168"/>
        <v/>
      </c>
      <c r="L494" t="str">
        <f t="shared" si="169"/>
        <v/>
      </c>
      <c r="M494" s="36" t="str">
        <f t="shared" si="170"/>
        <v/>
      </c>
      <c r="N494" s="37" t="str">
        <f t="shared" si="171"/>
        <v/>
      </c>
      <c r="O494" s="37" t="str">
        <f t="shared" si="172"/>
        <v/>
      </c>
      <c r="P494" s="38" t="str">
        <f t="shared" si="173"/>
        <v/>
      </c>
      <c r="Q494" s="39" t="str">
        <f t="shared" si="174"/>
        <v/>
      </c>
      <c r="R494" s="39" t="str">
        <f t="shared" si="175"/>
        <v/>
      </c>
      <c r="S494" t="str">
        <f t="shared" si="176"/>
        <v/>
      </c>
      <c r="T494" s="39" t="str">
        <f t="shared" si="177"/>
        <v/>
      </c>
      <c r="U494" t="str">
        <f t="shared" si="178"/>
        <v/>
      </c>
      <c r="V494" t="str">
        <f t="shared" si="179"/>
        <v/>
      </c>
      <c r="W494" t="str">
        <f t="shared" si="180"/>
        <v/>
      </c>
      <c r="X494" s="38" t="str">
        <f t="shared" si="181"/>
        <v/>
      </c>
      <c r="Y494" s="38" t="str">
        <f t="shared" si="182"/>
        <v/>
      </c>
      <c r="Z494" s="39" t="str">
        <f t="shared" si="183"/>
        <v/>
      </c>
      <c r="AA494" s="39" t="str">
        <f t="shared" si="184"/>
        <v/>
      </c>
      <c r="AB494" s="40" t="str">
        <f t="shared" si="185"/>
        <v/>
      </c>
      <c r="AC494" t="str">
        <f>IF(L494="","",IF(AND($AO$2=1,ISNA(MATCH(L494,'02-شباط'!$L$2:$L$501,0))),"محذوف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86"/>
        <v/>
      </c>
      <c r="AH494" s="39" t="str">
        <f t="shared" si="187"/>
        <v/>
      </c>
      <c r="AI494" s="39" t="str">
        <f t="shared" si="188"/>
        <v/>
      </c>
      <c r="AJ494" s="39" t="str">
        <f t="shared" si="189"/>
        <v/>
      </c>
      <c r="AK494" t="str">
        <f t="shared" si="190"/>
        <v/>
      </c>
      <c r="AL494" t="str">
        <f t="shared" si="191"/>
        <v/>
      </c>
    </row>
    <row r="495" spans="11:38" ht="15">
      <c r="K495" t="str">
        <f t="shared" si="168"/>
        <v/>
      </c>
      <c r="L495" t="str">
        <f t="shared" si="169"/>
        <v/>
      </c>
      <c r="M495" s="36" t="str">
        <f t="shared" si="170"/>
        <v/>
      </c>
      <c r="N495" s="37" t="str">
        <f t="shared" si="171"/>
        <v/>
      </c>
      <c r="O495" s="37" t="str">
        <f t="shared" si="172"/>
        <v/>
      </c>
      <c r="P495" s="38" t="str">
        <f t="shared" si="173"/>
        <v/>
      </c>
      <c r="Q495" s="39" t="str">
        <f t="shared" si="174"/>
        <v/>
      </c>
      <c r="R495" s="39" t="str">
        <f t="shared" si="175"/>
        <v/>
      </c>
      <c r="S495" t="str">
        <f t="shared" si="176"/>
        <v/>
      </c>
      <c r="T495" s="39" t="str">
        <f t="shared" si="177"/>
        <v/>
      </c>
      <c r="U495" t="str">
        <f t="shared" si="178"/>
        <v/>
      </c>
      <c r="V495" t="str">
        <f t="shared" si="179"/>
        <v/>
      </c>
      <c r="W495" t="str">
        <f t="shared" si="180"/>
        <v/>
      </c>
      <c r="X495" s="38" t="str">
        <f t="shared" si="181"/>
        <v/>
      </c>
      <c r="Y495" s="38" t="str">
        <f t="shared" si="182"/>
        <v/>
      </c>
      <c r="Z495" s="39" t="str">
        <f t="shared" si="183"/>
        <v/>
      </c>
      <c r="AA495" s="39" t="str">
        <f t="shared" si="184"/>
        <v/>
      </c>
      <c r="AB495" s="40" t="str">
        <f t="shared" si="185"/>
        <v/>
      </c>
      <c r="AC495" t="str">
        <f>IF(L495="","",IF(AND($AO$2=1,ISNA(MATCH(L495,'02-شباط'!$L$2:$L$501,0))),"محذوف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86"/>
        <v/>
      </c>
      <c r="AH495" s="39" t="str">
        <f t="shared" si="187"/>
        <v/>
      </c>
      <c r="AI495" s="39" t="str">
        <f t="shared" si="188"/>
        <v/>
      </c>
      <c r="AJ495" s="39" t="str">
        <f t="shared" si="189"/>
        <v/>
      </c>
      <c r="AK495" t="str">
        <f t="shared" si="190"/>
        <v/>
      </c>
      <c r="AL495" t="str">
        <f t="shared" si="191"/>
        <v/>
      </c>
    </row>
    <row r="496" spans="11:38" ht="15">
      <c r="K496" t="str">
        <f t="shared" si="168"/>
        <v/>
      </c>
      <c r="L496" t="str">
        <f t="shared" si="169"/>
        <v/>
      </c>
      <c r="M496" s="36" t="str">
        <f t="shared" si="170"/>
        <v/>
      </c>
      <c r="N496" s="37" t="str">
        <f t="shared" si="171"/>
        <v/>
      </c>
      <c r="O496" s="37" t="str">
        <f t="shared" si="172"/>
        <v/>
      </c>
      <c r="P496" s="38" t="str">
        <f t="shared" si="173"/>
        <v/>
      </c>
      <c r="Q496" s="39" t="str">
        <f t="shared" si="174"/>
        <v/>
      </c>
      <c r="R496" s="39" t="str">
        <f t="shared" si="175"/>
        <v/>
      </c>
      <c r="S496" t="str">
        <f t="shared" si="176"/>
        <v/>
      </c>
      <c r="T496" s="39" t="str">
        <f t="shared" si="177"/>
        <v/>
      </c>
      <c r="U496" t="str">
        <f t="shared" si="178"/>
        <v/>
      </c>
      <c r="V496" t="str">
        <f t="shared" si="179"/>
        <v/>
      </c>
      <c r="W496" t="str">
        <f t="shared" si="180"/>
        <v/>
      </c>
      <c r="X496" s="38" t="str">
        <f t="shared" si="181"/>
        <v/>
      </c>
      <c r="Y496" s="38" t="str">
        <f t="shared" si="182"/>
        <v/>
      </c>
      <c r="Z496" s="39" t="str">
        <f t="shared" si="183"/>
        <v/>
      </c>
      <c r="AA496" s="39" t="str">
        <f t="shared" si="184"/>
        <v/>
      </c>
      <c r="AB496" s="40" t="str">
        <f t="shared" si="185"/>
        <v/>
      </c>
      <c r="AC496" t="str">
        <f>IF(L496="","",IF(AND($AO$2=1,ISNA(MATCH(L496,'02-شباط'!$L$2:$L$501,0))),"محذوف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86"/>
        <v/>
      </c>
      <c r="AH496" s="39" t="str">
        <f t="shared" si="187"/>
        <v/>
      </c>
      <c r="AI496" s="39" t="str">
        <f t="shared" si="188"/>
        <v/>
      </c>
      <c r="AJ496" s="39" t="str">
        <f t="shared" si="189"/>
        <v/>
      </c>
      <c r="AK496" t="str">
        <f t="shared" si="190"/>
        <v/>
      </c>
      <c r="AL496" t="str">
        <f t="shared" si="191"/>
        <v/>
      </c>
    </row>
    <row r="497" spans="11:38" ht="15">
      <c r="K497" t="str">
        <f t="shared" si="168"/>
        <v/>
      </c>
      <c r="L497" t="str">
        <f t="shared" si="169"/>
        <v/>
      </c>
      <c r="M497" s="36" t="str">
        <f t="shared" si="170"/>
        <v/>
      </c>
      <c r="N497" s="37" t="str">
        <f t="shared" si="171"/>
        <v/>
      </c>
      <c r="O497" s="37" t="str">
        <f t="shared" si="172"/>
        <v/>
      </c>
      <c r="P497" s="38" t="str">
        <f t="shared" si="173"/>
        <v/>
      </c>
      <c r="Q497" s="39" t="str">
        <f t="shared" si="174"/>
        <v/>
      </c>
      <c r="R497" s="39" t="str">
        <f t="shared" si="175"/>
        <v/>
      </c>
      <c r="S497" t="str">
        <f t="shared" si="176"/>
        <v/>
      </c>
      <c r="T497" s="39" t="str">
        <f t="shared" si="177"/>
        <v/>
      </c>
      <c r="U497" t="str">
        <f t="shared" si="178"/>
        <v/>
      </c>
      <c r="V497" t="str">
        <f t="shared" si="179"/>
        <v/>
      </c>
      <c r="W497" t="str">
        <f t="shared" si="180"/>
        <v/>
      </c>
      <c r="X497" s="38" t="str">
        <f t="shared" si="181"/>
        <v/>
      </c>
      <c r="Y497" s="38" t="str">
        <f t="shared" si="182"/>
        <v/>
      </c>
      <c r="Z497" s="39" t="str">
        <f t="shared" si="183"/>
        <v/>
      </c>
      <c r="AA497" s="39" t="str">
        <f t="shared" si="184"/>
        <v/>
      </c>
      <c r="AB497" s="40" t="str">
        <f t="shared" si="185"/>
        <v/>
      </c>
      <c r="AC497" t="str">
        <f>IF(L497="","",IF(AND($AO$2=1,ISNA(MATCH(L497,'02-شباط'!$L$2:$L$501,0))),"محذوف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86"/>
        <v/>
      </c>
      <c r="AH497" s="39" t="str">
        <f t="shared" si="187"/>
        <v/>
      </c>
      <c r="AI497" s="39" t="str">
        <f t="shared" si="188"/>
        <v/>
      </c>
      <c r="AJ497" s="39" t="str">
        <f t="shared" si="189"/>
        <v/>
      </c>
      <c r="AK497" t="str">
        <f t="shared" si="190"/>
        <v/>
      </c>
      <c r="AL497" t="str">
        <f t="shared" si="191"/>
        <v/>
      </c>
    </row>
    <row r="498" spans="11:38" ht="15">
      <c r="K498" t="str">
        <f t="shared" si="168"/>
        <v/>
      </c>
      <c r="L498" t="str">
        <f t="shared" si="169"/>
        <v/>
      </c>
      <c r="M498" s="36" t="str">
        <f t="shared" si="170"/>
        <v/>
      </c>
      <c r="N498" s="37" t="str">
        <f t="shared" si="171"/>
        <v/>
      </c>
      <c r="O498" s="37" t="str">
        <f t="shared" si="172"/>
        <v/>
      </c>
      <c r="P498" s="38" t="str">
        <f t="shared" si="173"/>
        <v/>
      </c>
      <c r="Q498" s="39" t="str">
        <f t="shared" si="174"/>
        <v/>
      </c>
      <c r="R498" s="39" t="str">
        <f t="shared" si="175"/>
        <v/>
      </c>
      <c r="S498" t="str">
        <f t="shared" si="176"/>
        <v/>
      </c>
      <c r="T498" s="39" t="str">
        <f t="shared" si="177"/>
        <v/>
      </c>
      <c r="U498" t="str">
        <f t="shared" si="178"/>
        <v/>
      </c>
      <c r="V498" t="str">
        <f t="shared" si="179"/>
        <v/>
      </c>
      <c r="W498" t="str">
        <f t="shared" si="180"/>
        <v/>
      </c>
      <c r="X498" s="38" t="str">
        <f t="shared" si="181"/>
        <v/>
      </c>
      <c r="Y498" s="38" t="str">
        <f t="shared" si="182"/>
        <v/>
      </c>
      <c r="Z498" s="39" t="str">
        <f t="shared" si="183"/>
        <v/>
      </c>
      <c r="AA498" s="39" t="str">
        <f t="shared" si="184"/>
        <v/>
      </c>
      <c r="AB498" s="40" t="str">
        <f t="shared" si="185"/>
        <v/>
      </c>
      <c r="AC498" t="str">
        <f>IF(L498="","",IF(AND($AO$2=1,ISNA(MATCH(L498,'02-شباط'!$L$2:$L$501,0))),"محذوف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86"/>
        <v/>
      </c>
      <c r="AH498" s="39" t="str">
        <f t="shared" si="187"/>
        <v/>
      </c>
      <c r="AI498" s="39" t="str">
        <f t="shared" si="188"/>
        <v/>
      </c>
      <c r="AJ498" s="39" t="str">
        <f t="shared" si="189"/>
        <v/>
      </c>
      <c r="AK498" t="str">
        <f t="shared" si="190"/>
        <v/>
      </c>
      <c r="AL498" t="str">
        <f t="shared" si="191"/>
        <v/>
      </c>
    </row>
    <row r="499" spans="11:38" ht="15">
      <c r="K499" t="str">
        <f t="shared" si="168"/>
        <v/>
      </c>
      <c r="L499" t="str">
        <f t="shared" si="169"/>
        <v/>
      </c>
      <c r="M499" s="36" t="str">
        <f t="shared" si="170"/>
        <v/>
      </c>
      <c r="N499" s="37" t="str">
        <f t="shared" si="171"/>
        <v/>
      </c>
      <c r="O499" s="37" t="str">
        <f t="shared" si="172"/>
        <v/>
      </c>
      <c r="P499" s="38" t="str">
        <f t="shared" si="173"/>
        <v/>
      </c>
      <c r="Q499" s="39" t="str">
        <f t="shared" si="174"/>
        <v/>
      </c>
      <c r="R499" s="39" t="str">
        <f t="shared" si="175"/>
        <v/>
      </c>
      <c r="S499" t="str">
        <f t="shared" si="176"/>
        <v/>
      </c>
      <c r="T499" s="39" t="str">
        <f t="shared" si="177"/>
        <v/>
      </c>
      <c r="U499" t="str">
        <f t="shared" si="178"/>
        <v/>
      </c>
      <c r="V499" t="str">
        <f t="shared" si="179"/>
        <v/>
      </c>
      <c r="W499" t="str">
        <f t="shared" si="180"/>
        <v/>
      </c>
      <c r="X499" s="38" t="str">
        <f t="shared" si="181"/>
        <v/>
      </c>
      <c r="Y499" s="38" t="str">
        <f t="shared" si="182"/>
        <v/>
      </c>
      <c r="Z499" s="39" t="str">
        <f t="shared" si="183"/>
        <v/>
      </c>
      <c r="AA499" s="39" t="str">
        <f t="shared" si="184"/>
        <v/>
      </c>
      <c r="AB499" s="40" t="str">
        <f t="shared" si="185"/>
        <v/>
      </c>
      <c r="AC499" t="str">
        <f>IF(L499="","",IF(AND($AO$2=1,ISNA(MATCH(L499,'02-شباط'!$L$2:$L$501,0))),"محذوف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86"/>
        <v/>
      </c>
      <c r="AH499" s="39" t="str">
        <f t="shared" si="187"/>
        <v/>
      </c>
      <c r="AI499" s="39" t="str">
        <f t="shared" si="188"/>
        <v/>
      </c>
      <c r="AJ499" s="39" t="str">
        <f t="shared" si="189"/>
        <v/>
      </c>
      <c r="AK499" t="str">
        <f t="shared" si="190"/>
        <v/>
      </c>
      <c r="AL499" t="str">
        <f t="shared" si="191"/>
        <v/>
      </c>
    </row>
    <row r="500" spans="11:38" ht="15">
      <c r="K500" t="str">
        <f t="shared" si="168"/>
        <v/>
      </c>
      <c r="L500" t="str">
        <f t="shared" si="169"/>
        <v/>
      </c>
      <c r="M500" s="36" t="str">
        <f t="shared" si="170"/>
        <v/>
      </c>
      <c r="N500" s="37" t="str">
        <f t="shared" si="171"/>
        <v/>
      </c>
      <c r="O500" s="37" t="str">
        <f t="shared" si="172"/>
        <v/>
      </c>
      <c r="P500" s="38" t="str">
        <f t="shared" si="173"/>
        <v/>
      </c>
      <c r="Q500" s="39" t="str">
        <f t="shared" si="174"/>
        <v/>
      </c>
      <c r="R500" s="39" t="str">
        <f t="shared" si="175"/>
        <v/>
      </c>
      <c r="S500" t="str">
        <f t="shared" si="176"/>
        <v/>
      </c>
      <c r="T500" s="39" t="str">
        <f t="shared" si="177"/>
        <v/>
      </c>
      <c r="U500" t="str">
        <f t="shared" si="178"/>
        <v/>
      </c>
      <c r="V500" t="str">
        <f t="shared" si="179"/>
        <v/>
      </c>
      <c r="W500" t="str">
        <f t="shared" si="180"/>
        <v/>
      </c>
      <c r="X500" s="38" t="str">
        <f t="shared" si="181"/>
        <v/>
      </c>
      <c r="Y500" s="38" t="str">
        <f t="shared" si="182"/>
        <v/>
      </c>
      <c r="Z500" s="39" t="str">
        <f t="shared" si="183"/>
        <v/>
      </c>
      <c r="AA500" s="39" t="str">
        <f t="shared" si="184"/>
        <v/>
      </c>
      <c r="AB500" s="40" t="str">
        <f t="shared" si="185"/>
        <v/>
      </c>
      <c r="AC500" t="str">
        <f>IF(L500="","",IF(AND($AO$2=1,ISNA(MATCH(L500,'02-شباط'!$L$2:$L$501,0))),"محذوف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86"/>
        <v/>
      </c>
      <c r="AH500" s="39" t="str">
        <f t="shared" si="187"/>
        <v/>
      </c>
      <c r="AI500" s="39" t="str">
        <f t="shared" si="188"/>
        <v/>
      </c>
      <c r="AJ500" s="39" t="str">
        <f t="shared" si="189"/>
        <v/>
      </c>
      <c r="AK500" t="str">
        <f t="shared" si="190"/>
        <v/>
      </c>
      <c r="AL500" t="str">
        <f t="shared" si="191"/>
        <v/>
      </c>
    </row>
    <row r="501" spans="11:38" ht="15">
      <c r="K501" t="str">
        <f t="shared" si="168"/>
        <v/>
      </c>
      <c r="L501" t="str">
        <f t="shared" si="169"/>
        <v/>
      </c>
      <c r="M501" s="36" t="str">
        <f t="shared" si="170"/>
        <v/>
      </c>
      <c r="N501" s="37" t="str">
        <f t="shared" si="171"/>
        <v/>
      </c>
      <c r="O501" s="37" t="str">
        <f t="shared" si="172"/>
        <v/>
      </c>
      <c r="P501" s="38" t="str">
        <f t="shared" si="173"/>
        <v/>
      </c>
      <c r="Q501" s="39" t="str">
        <f t="shared" si="174"/>
        <v/>
      </c>
      <c r="R501" s="39" t="str">
        <f t="shared" si="175"/>
        <v/>
      </c>
      <c r="S501" t="str">
        <f t="shared" si="176"/>
        <v/>
      </c>
      <c r="T501" s="39" t="str">
        <f t="shared" si="177"/>
        <v/>
      </c>
      <c r="U501" t="str">
        <f t="shared" si="178"/>
        <v/>
      </c>
      <c r="V501" t="str">
        <f t="shared" si="179"/>
        <v/>
      </c>
      <c r="W501" t="str">
        <f t="shared" si="180"/>
        <v/>
      </c>
      <c r="X501" s="38" t="str">
        <f t="shared" si="181"/>
        <v/>
      </c>
      <c r="Y501" s="38" t="str">
        <f t="shared" si="182"/>
        <v/>
      </c>
      <c r="Z501" s="39" t="str">
        <f t="shared" si="183"/>
        <v/>
      </c>
      <c r="AA501" s="39" t="str">
        <f t="shared" si="184"/>
        <v/>
      </c>
      <c r="AB501" s="40" t="str">
        <f t="shared" si="185"/>
        <v/>
      </c>
      <c r="AC501" t="str">
        <f>IF(L501="","",IF(AND($AO$2=1,ISNA(MATCH(L501,'02-شباط'!$L$2:$L$501,0))),"محذوف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86"/>
        <v/>
      </c>
      <c r="AH501" s="39" t="str">
        <f t="shared" si="187"/>
        <v/>
      </c>
      <c r="AI501" s="39" t="str">
        <f t="shared" si="188"/>
        <v/>
      </c>
      <c r="AJ501" s="39" t="str">
        <f t="shared" si="189"/>
        <v/>
      </c>
      <c r="AK501" t="str">
        <f t="shared" si="190"/>
        <v/>
      </c>
      <c r="AL501" t="str">
        <f t="shared" si="191"/>
        <v/>
      </c>
    </row>
  </sheetData>
  <autoFilter ref="A1:AL501" xr:uid="{00000000-0009-0000-0000-000006000000}"/>
  <conditionalFormatting sqref="K1">
    <cfRule type="expression" dxfId="59" priority="2">
      <formula>LEFT(K1,1)="⚠"</formula>
    </cfRule>
    <cfRule type="expression" dxfId="58" priority="3">
      <formula>LEFT(K1,1)="✓"</formula>
    </cfRule>
  </conditionalFormatting>
  <conditionalFormatting sqref="K2:U501">
    <cfRule type="expression" dxfId="57" priority="4">
      <formula>$U2&lt;&gt;""</formula>
    </cfRule>
  </conditionalFormatting>
  <conditionalFormatting sqref="W2:W501">
    <cfRule type="expression" dxfId="56" priority="5">
      <formula>$W2="جديد"</formula>
    </cfRule>
  </conditionalFormatting>
  <conditionalFormatting sqref="AC2:AC501">
    <cfRule type="expression" dxfId="5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IF(COUNTA('01-كانون الثاني'!$A$2:$A$501)&gt;0,1,0)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IF(L2="","",IF($AO$1=1,IFERROR(MATCH(L2,'01-كانون الثاني'!$L$2:$L$501,0),0),0))</f>
        <v/>
      </c>
      <c r="W2" t="str">
        <f t="shared" ref="W2:W65" si="11">IF(L2="","",IF(AND($AO$1=1,V2=0),"جديد",""))</f>
        <v/>
      </c>
      <c r="X2" s="38" t="str">
        <f>IF(L2="","",IF(V2&gt;0,INDEX('01-كانون الثاني'!$P$2:$P$501,V2),IF($AO$1=1,0,"")))</f>
        <v/>
      </c>
      <c r="Y2" s="38" t="str">
        <f t="shared" ref="Y2:Y65" si="12">IF(OR(L2="",X2=""),"",P2-X2)</f>
        <v/>
      </c>
      <c r="Z2" s="39" t="str">
        <f>IF(L2="","",IF(V2&gt;0,INDEX('01-كانون الثاني'!$Q$2:$Q$501,V2),IF($AO$1=1,0,"")))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IF(OR(L2="",V2=0),"",IF(AND(N(I2)&gt;0,N(INDEX('01-كانون الثاني'!$I$2:$I$501,V2))&gt;0,INDEX('01-كانون الثاني'!$F$2:$F$501,V2)=F2),N(I2)/N(INDEX('01-كانون الثاني'!$I$2:$I$501,V2))-1,""))</f>
        <v/>
      </c>
      <c r="AC2" t="str">
        <f>IF(L2="","",IF(AND($AO$2=1,ISNA(MATCH(L2,'03-آذار'!$L$2:$L$501,0))),"محذوف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IF(COUNTA('03-آذار'!$A$2:$A$501)&gt;0,1,0)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IF(L3="","",IF($AO$1=1,IFERROR(MATCH(L3,'01-كانون الثاني'!$L$2:$L$501,0),0),0))</f>
        <v/>
      </c>
      <c r="W3" t="str">
        <f t="shared" si="11"/>
        <v/>
      </c>
      <c r="X3" s="38" t="str">
        <f>IF(L3="","",IF(V3&gt;0,INDEX('01-كانون الثاني'!$P$2:$P$501,V3),IF($AO$1=1,0,"")))</f>
        <v/>
      </c>
      <c r="Y3" s="38" t="str">
        <f t="shared" si="12"/>
        <v/>
      </c>
      <c r="Z3" s="39" t="str">
        <f>IF(L3="","",IF(V3&gt;0,INDEX('01-كانون الثاني'!$Q$2:$Q$501,V3),IF($AO$1=1,0,"")))</f>
        <v/>
      </c>
      <c r="AA3" s="39" t="str">
        <f t="shared" si="13"/>
        <v/>
      </c>
      <c r="AB3" s="40" t="str">
        <f>IF(OR(L3="",V3=0),"",IF(AND(N(I3)&gt;0,N(INDEX('01-كانون الثاني'!$I$2:$I$501,V3))&gt;0,INDEX('01-كانون الثاني'!$F$2:$F$501,V3)=F3),N(I3)/N(INDEX('01-كانون الثاني'!$I$2:$I$501,V3))-1,""))</f>
        <v/>
      </c>
      <c r="AC3" t="str">
        <f>IF(L3="","",IF(AND($AO$2=1,ISNA(MATCH(L3,'03-آذار'!$L$2:$L$501,0))),"محذوف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التحكم'!$C$17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IF(L4="","",IF($AO$1=1,IFERROR(MATCH(L4,'01-كانون الثاني'!$L$2:$L$501,0),0),0))</f>
        <v/>
      </c>
      <c r="W4" t="str">
        <f t="shared" si="11"/>
        <v/>
      </c>
      <c r="X4" s="38" t="str">
        <f>IF(L4="","",IF(V4&gt;0,INDEX('01-كانون الثاني'!$P$2:$P$501,V4),IF($AO$1=1,0,"")))</f>
        <v/>
      </c>
      <c r="Y4" s="38" t="str">
        <f t="shared" si="12"/>
        <v/>
      </c>
      <c r="Z4" s="39" t="str">
        <f>IF(L4="","",IF(V4&gt;0,INDEX('01-كانون الثاني'!$Q$2:$Q$501,V4),IF($AO$1=1,0,"")))</f>
        <v/>
      </c>
      <c r="AA4" s="39" t="str">
        <f t="shared" si="13"/>
        <v/>
      </c>
      <c r="AB4" s="40" t="str">
        <f>IF(OR(L4="",V4=0),"",IF(AND(N(I4)&gt;0,N(INDEX('01-كانون الثاني'!$I$2:$I$501,V4))&gt;0,INDEX('01-كانون الثاني'!$F$2:$F$501,V4)=F4),N(I4)/N(INDEX('01-كانون الثاني'!$I$2:$I$501,V4))-1,""))</f>
        <v/>
      </c>
      <c r="AC4" t="str">
        <f>IF(L4="","",IF(AND($AO$2=1,ISNA(MATCH(L4,'03-آذار'!$L$2:$L$501,0))),"محذوف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IF(L5="","",IF($AO$1=1,IFERROR(MATCH(L5,'01-كانون الثاني'!$L$2:$L$501,0),0),0))</f>
        <v/>
      </c>
      <c r="W5" t="str">
        <f t="shared" si="11"/>
        <v/>
      </c>
      <c r="X5" s="38" t="str">
        <f>IF(L5="","",IF(V5&gt;0,INDEX('01-كانون الثاني'!$P$2:$P$501,V5),IF($AO$1=1,0,"")))</f>
        <v/>
      </c>
      <c r="Y5" s="38" t="str">
        <f t="shared" si="12"/>
        <v/>
      </c>
      <c r="Z5" s="39" t="str">
        <f>IF(L5="","",IF(V5&gt;0,INDEX('01-كانون الثاني'!$Q$2:$Q$501,V5),IF($AO$1=1,0,"")))</f>
        <v/>
      </c>
      <c r="AA5" s="39" t="str">
        <f t="shared" si="13"/>
        <v/>
      </c>
      <c r="AB5" s="40" t="str">
        <f>IF(OR(L5="",V5=0),"",IF(AND(N(I5)&gt;0,N(INDEX('01-كانون الثاني'!$I$2:$I$501,V5))&gt;0,INDEX('01-كانون الثاني'!$F$2:$F$501,V5)=F5),N(I5)/N(INDEX('01-كانون الثاني'!$I$2:$I$501,V5))-1,""))</f>
        <v/>
      </c>
      <c r="AC5" t="str">
        <f>IF(L5="","",IF(AND($AO$2=1,ISNA(MATCH(L5,'03-آذار'!$L$2:$L$501,0))),"محذوف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IF(L6="","",IF($AO$1=1,IFERROR(MATCH(L6,'01-كانون الثاني'!$L$2:$L$501,0),0),0))</f>
        <v/>
      </c>
      <c r="W6" t="str">
        <f t="shared" si="11"/>
        <v/>
      </c>
      <c r="X6" s="38" t="str">
        <f>IF(L6="","",IF(V6&gt;0,INDEX('01-كانون الثاني'!$P$2:$P$501,V6),IF($AO$1=1,0,"")))</f>
        <v/>
      </c>
      <c r="Y6" s="38" t="str">
        <f t="shared" si="12"/>
        <v/>
      </c>
      <c r="Z6" s="39" t="str">
        <f>IF(L6="","",IF(V6&gt;0,INDEX('01-كانون الثاني'!$Q$2:$Q$501,V6),IF($AO$1=1,0,"")))</f>
        <v/>
      </c>
      <c r="AA6" s="39" t="str">
        <f t="shared" si="13"/>
        <v/>
      </c>
      <c r="AB6" s="40" t="str">
        <f>IF(OR(L6="",V6=0),"",IF(AND(N(I6)&gt;0,N(INDEX('01-كانون الثاني'!$I$2:$I$501,V6))&gt;0,INDEX('01-كانون الثاني'!$F$2:$F$501,V6)=F6),N(I6)/N(INDEX('01-كانون الثاني'!$I$2:$I$501,V6))-1,""))</f>
        <v/>
      </c>
      <c r="AC6" t="str">
        <f>IF(L6="","",IF(AND($AO$2=1,ISNA(MATCH(L6,'03-آذار'!$L$2:$L$501,0))),"محذوف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IF(L7="","",IF($AO$1=1,IFERROR(MATCH(L7,'01-كانون الثاني'!$L$2:$L$501,0),0),0))</f>
        <v/>
      </c>
      <c r="W7" t="str">
        <f t="shared" si="11"/>
        <v/>
      </c>
      <c r="X7" s="38" t="str">
        <f>IF(L7="","",IF(V7&gt;0,INDEX('01-كانون الثاني'!$P$2:$P$501,V7),IF($AO$1=1,0,"")))</f>
        <v/>
      </c>
      <c r="Y7" s="38" t="str">
        <f t="shared" si="12"/>
        <v/>
      </c>
      <c r="Z7" s="39" t="str">
        <f>IF(L7="","",IF(V7&gt;0,INDEX('01-كانون الثاني'!$Q$2:$Q$501,V7),IF($AO$1=1,0,"")))</f>
        <v/>
      </c>
      <c r="AA7" s="39" t="str">
        <f t="shared" si="13"/>
        <v/>
      </c>
      <c r="AB7" s="40" t="str">
        <f>IF(OR(L7="",V7=0),"",IF(AND(N(I7)&gt;0,N(INDEX('01-كانون الثاني'!$I$2:$I$501,V7))&gt;0,INDEX('01-كانون الثاني'!$F$2:$F$501,V7)=F7),N(I7)/N(INDEX('01-كانون الثاني'!$I$2:$I$501,V7))-1,""))</f>
        <v/>
      </c>
      <c r="AC7" t="str">
        <f>IF(L7="","",IF(AND($AO$2=1,ISNA(MATCH(L7,'03-آذار'!$L$2:$L$501,0))),"محذوف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IF(L8="","",IF($AO$1=1,IFERROR(MATCH(L8,'01-كانون الثاني'!$L$2:$L$501,0),0),0))</f>
        <v/>
      </c>
      <c r="W8" t="str">
        <f t="shared" si="11"/>
        <v/>
      </c>
      <c r="X8" s="38" t="str">
        <f>IF(L8="","",IF(V8&gt;0,INDEX('01-كانون الثاني'!$P$2:$P$501,V8),IF($AO$1=1,0,"")))</f>
        <v/>
      </c>
      <c r="Y8" s="38" t="str">
        <f t="shared" si="12"/>
        <v/>
      </c>
      <c r="Z8" s="39" t="str">
        <f>IF(L8="","",IF(V8&gt;0,INDEX('01-كانون الثاني'!$Q$2:$Q$501,V8),IF($AO$1=1,0,"")))</f>
        <v/>
      </c>
      <c r="AA8" s="39" t="str">
        <f t="shared" si="13"/>
        <v/>
      </c>
      <c r="AB8" s="40" t="str">
        <f>IF(OR(L8="",V8=0),"",IF(AND(N(I8)&gt;0,N(INDEX('01-كانون الثاني'!$I$2:$I$501,V8))&gt;0,INDEX('01-كانون الثاني'!$F$2:$F$501,V8)=F8),N(I8)/N(INDEX('01-كانون الثاني'!$I$2:$I$501,V8))-1,""))</f>
        <v/>
      </c>
      <c r="AC8" t="str">
        <f>IF(L8="","",IF(AND($AO$2=1,ISNA(MATCH(L8,'03-آذار'!$L$2:$L$501,0))),"محذوف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IF(L9="","",IF($AO$1=1,IFERROR(MATCH(L9,'01-كانون الثاني'!$L$2:$L$501,0),0),0))</f>
        <v/>
      </c>
      <c r="W9" t="str">
        <f t="shared" si="11"/>
        <v/>
      </c>
      <c r="X9" s="38" t="str">
        <f>IF(L9="","",IF(V9&gt;0,INDEX('01-كانون الثاني'!$P$2:$P$501,V9),IF($AO$1=1,0,"")))</f>
        <v/>
      </c>
      <c r="Y9" s="38" t="str">
        <f t="shared" si="12"/>
        <v/>
      </c>
      <c r="Z9" s="39" t="str">
        <f>IF(L9="","",IF(V9&gt;0,INDEX('01-كانون الثاني'!$Q$2:$Q$501,V9),IF($AO$1=1,0,"")))</f>
        <v/>
      </c>
      <c r="AA9" s="39" t="str">
        <f t="shared" si="13"/>
        <v/>
      </c>
      <c r="AB9" s="40" t="str">
        <f>IF(OR(L9="",V9=0),"",IF(AND(N(I9)&gt;0,N(INDEX('01-كانون الثاني'!$I$2:$I$501,V9))&gt;0,INDEX('01-كانون الثاني'!$F$2:$F$501,V9)=F9),N(I9)/N(INDEX('01-كانون الثاني'!$I$2:$I$501,V9))-1,""))</f>
        <v/>
      </c>
      <c r="AC9" t="str">
        <f>IF(L9="","",IF(AND($AO$2=1,ISNA(MATCH(L9,'03-آذار'!$L$2:$L$501,0))),"محذوف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IF(L10="","",IF($AO$1=1,IFERROR(MATCH(L10,'01-كانون الثاني'!$L$2:$L$501,0),0),0))</f>
        <v/>
      </c>
      <c r="W10" t="str">
        <f t="shared" si="11"/>
        <v/>
      </c>
      <c r="X10" s="38" t="str">
        <f>IF(L10="","",IF(V10&gt;0,INDEX('01-كانون الثاني'!$P$2:$P$501,V10),IF($AO$1=1,0,"")))</f>
        <v/>
      </c>
      <c r="Y10" s="38" t="str">
        <f t="shared" si="12"/>
        <v/>
      </c>
      <c r="Z10" s="39" t="str">
        <f>IF(L10="","",IF(V10&gt;0,INDEX('01-كانون الثاني'!$Q$2:$Q$501,V10),IF($AO$1=1,0,"")))</f>
        <v/>
      </c>
      <c r="AA10" s="39" t="str">
        <f t="shared" si="13"/>
        <v/>
      </c>
      <c r="AB10" s="40" t="str">
        <f>IF(OR(L10="",V10=0),"",IF(AND(N(I10)&gt;0,N(INDEX('01-كانون الثاني'!$I$2:$I$501,V10))&gt;0,INDEX('01-كانون الثاني'!$F$2:$F$501,V10)=F10),N(I10)/N(INDEX('01-كانون الثاني'!$I$2:$I$501,V10))-1,""))</f>
        <v/>
      </c>
      <c r="AC10" t="str">
        <f>IF(L10="","",IF(AND($AO$2=1,ISNA(MATCH(L10,'03-آذار'!$L$2:$L$501,0))),"محذوف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IF(L11="","",IF($AO$1=1,IFERROR(MATCH(L11,'01-كانون الثاني'!$L$2:$L$501,0),0),0))</f>
        <v/>
      </c>
      <c r="W11" t="str">
        <f t="shared" si="11"/>
        <v/>
      </c>
      <c r="X11" s="38" t="str">
        <f>IF(L11="","",IF(V11&gt;0,INDEX('01-كانون الثاني'!$P$2:$P$501,V11),IF($AO$1=1,0,"")))</f>
        <v/>
      </c>
      <c r="Y11" s="38" t="str">
        <f t="shared" si="12"/>
        <v/>
      </c>
      <c r="Z11" s="39" t="str">
        <f>IF(L11="","",IF(V11&gt;0,INDEX('01-كانون الثاني'!$Q$2:$Q$501,V11),IF($AO$1=1,0,"")))</f>
        <v/>
      </c>
      <c r="AA11" s="39" t="str">
        <f t="shared" si="13"/>
        <v/>
      </c>
      <c r="AB11" s="40" t="str">
        <f>IF(OR(L11="",V11=0),"",IF(AND(N(I11)&gt;0,N(INDEX('01-كانون الثاني'!$I$2:$I$501,V11))&gt;0,INDEX('01-كانون الثاني'!$F$2:$F$501,V11)=F11),N(I11)/N(INDEX('01-كانون الثاني'!$I$2:$I$501,V11))-1,""))</f>
        <v/>
      </c>
      <c r="AC11" t="str">
        <f>IF(L11="","",IF(AND($AO$2=1,ISNA(MATCH(L11,'03-آذار'!$L$2:$L$501,0))),"محذوف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IF(L12="","",IF($AO$1=1,IFERROR(MATCH(L12,'01-كانون الثاني'!$L$2:$L$501,0),0),0))</f>
        <v/>
      </c>
      <c r="W12" t="str">
        <f t="shared" si="11"/>
        <v/>
      </c>
      <c r="X12" s="38" t="str">
        <f>IF(L12="","",IF(V12&gt;0,INDEX('01-كانون الثاني'!$P$2:$P$501,V12),IF($AO$1=1,0,"")))</f>
        <v/>
      </c>
      <c r="Y12" s="38" t="str">
        <f t="shared" si="12"/>
        <v/>
      </c>
      <c r="Z12" s="39" t="str">
        <f>IF(L12="","",IF(V12&gt;0,INDEX('01-كانون الثاني'!$Q$2:$Q$501,V12),IF($AO$1=1,0,"")))</f>
        <v/>
      </c>
      <c r="AA12" s="39" t="str">
        <f t="shared" si="13"/>
        <v/>
      </c>
      <c r="AB12" s="40" t="str">
        <f>IF(OR(L12="",V12=0),"",IF(AND(N(I12)&gt;0,N(INDEX('01-كانون الثاني'!$I$2:$I$501,V12))&gt;0,INDEX('01-كانون الثاني'!$F$2:$F$501,V12)=F12),N(I12)/N(INDEX('01-كانون الثاني'!$I$2:$I$501,V12))-1,""))</f>
        <v/>
      </c>
      <c r="AC12" t="str">
        <f>IF(L12="","",IF(AND($AO$2=1,ISNA(MATCH(L12,'03-آذار'!$L$2:$L$501,0))),"محذوف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IF(L13="","",IF($AO$1=1,IFERROR(MATCH(L13,'01-كانون الثاني'!$L$2:$L$501,0),0),0))</f>
        <v/>
      </c>
      <c r="W13" t="str">
        <f t="shared" si="11"/>
        <v/>
      </c>
      <c r="X13" s="38" t="str">
        <f>IF(L13="","",IF(V13&gt;0,INDEX('01-كانون الثاني'!$P$2:$P$501,V13),IF($AO$1=1,0,"")))</f>
        <v/>
      </c>
      <c r="Y13" s="38" t="str">
        <f t="shared" si="12"/>
        <v/>
      </c>
      <c r="Z13" s="39" t="str">
        <f>IF(L13="","",IF(V13&gt;0,INDEX('01-كانون الثاني'!$Q$2:$Q$501,V13),IF($AO$1=1,0,"")))</f>
        <v/>
      </c>
      <c r="AA13" s="39" t="str">
        <f t="shared" si="13"/>
        <v/>
      </c>
      <c r="AB13" s="40" t="str">
        <f>IF(OR(L13="",V13=0),"",IF(AND(N(I13)&gt;0,N(INDEX('01-كانون الثاني'!$I$2:$I$501,V13))&gt;0,INDEX('01-كانون الثاني'!$F$2:$F$501,V13)=F13),N(I13)/N(INDEX('01-كانون الثاني'!$I$2:$I$501,V13))-1,""))</f>
        <v/>
      </c>
      <c r="AC13" t="str">
        <f>IF(L13="","",IF(AND($AO$2=1,ISNA(MATCH(L13,'03-آذار'!$L$2:$L$501,0))),"محذوف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IF(L14="","",IF($AO$1=1,IFERROR(MATCH(L14,'01-كانون الثاني'!$L$2:$L$501,0),0),0))</f>
        <v/>
      </c>
      <c r="W14" t="str">
        <f t="shared" si="11"/>
        <v/>
      </c>
      <c r="X14" s="38" t="str">
        <f>IF(L14="","",IF(V14&gt;0,INDEX('01-كانون الثاني'!$P$2:$P$501,V14),IF($AO$1=1,0,"")))</f>
        <v/>
      </c>
      <c r="Y14" s="38" t="str">
        <f t="shared" si="12"/>
        <v/>
      </c>
      <c r="Z14" s="39" t="str">
        <f>IF(L14="","",IF(V14&gt;0,INDEX('01-كانون الثاني'!$Q$2:$Q$501,V14),IF($AO$1=1,0,"")))</f>
        <v/>
      </c>
      <c r="AA14" s="39" t="str">
        <f t="shared" si="13"/>
        <v/>
      </c>
      <c r="AB14" s="40" t="str">
        <f>IF(OR(L14="",V14=0),"",IF(AND(N(I14)&gt;0,N(INDEX('01-كانون الثاني'!$I$2:$I$501,V14))&gt;0,INDEX('01-كانون الثاني'!$F$2:$F$501,V14)=F14),N(I14)/N(INDEX('01-كانون الثاني'!$I$2:$I$501,V14))-1,""))</f>
        <v/>
      </c>
      <c r="AC14" t="str">
        <f>IF(L14="","",IF(AND($AO$2=1,ISNA(MATCH(L14,'03-آذار'!$L$2:$L$501,0))),"محذوف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IF(L15="","",IF($AO$1=1,IFERROR(MATCH(L15,'01-كانون الثاني'!$L$2:$L$501,0),0),0))</f>
        <v/>
      </c>
      <c r="W15" t="str">
        <f t="shared" si="11"/>
        <v/>
      </c>
      <c r="X15" s="38" t="str">
        <f>IF(L15="","",IF(V15&gt;0,INDEX('01-كانون الثاني'!$P$2:$P$501,V15),IF($AO$1=1,0,"")))</f>
        <v/>
      </c>
      <c r="Y15" s="38" t="str">
        <f t="shared" si="12"/>
        <v/>
      </c>
      <c r="Z15" s="39" t="str">
        <f>IF(L15="","",IF(V15&gt;0,INDEX('01-كانون الثاني'!$Q$2:$Q$501,V15),IF($AO$1=1,0,"")))</f>
        <v/>
      </c>
      <c r="AA15" s="39" t="str">
        <f t="shared" si="13"/>
        <v/>
      </c>
      <c r="AB15" s="40" t="str">
        <f>IF(OR(L15="",V15=0),"",IF(AND(N(I15)&gt;0,N(INDEX('01-كانون الثاني'!$I$2:$I$501,V15))&gt;0,INDEX('01-كانون الثاني'!$F$2:$F$501,V15)=F15),N(I15)/N(INDEX('01-كانون الثاني'!$I$2:$I$501,V15))-1,""))</f>
        <v/>
      </c>
      <c r="AC15" t="str">
        <f>IF(L15="","",IF(AND($AO$2=1,ISNA(MATCH(L15,'03-آذار'!$L$2:$L$501,0))),"محذوف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IF(L16="","",IF($AO$1=1,IFERROR(MATCH(L16,'01-كانون الثاني'!$L$2:$L$501,0),0),0))</f>
        <v/>
      </c>
      <c r="W16" t="str">
        <f t="shared" si="11"/>
        <v/>
      </c>
      <c r="X16" s="38" t="str">
        <f>IF(L16="","",IF(V16&gt;0,INDEX('01-كانون الثاني'!$P$2:$P$501,V16),IF($AO$1=1,0,"")))</f>
        <v/>
      </c>
      <c r="Y16" s="38" t="str">
        <f t="shared" si="12"/>
        <v/>
      </c>
      <c r="Z16" s="39" t="str">
        <f>IF(L16="","",IF(V16&gt;0,INDEX('01-كانون الثاني'!$Q$2:$Q$501,V16),IF($AO$1=1,0,"")))</f>
        <v/>
      </c>
      <c r="AA16" s="39" t="str">
        <f t="shared" si="13"/>
        <v/>
      </c>
      <c r="AB16" s="40" t="str">
        <f>IF(OR(L16="",V16=0),"",IF(AND(N(I16)&gt;0,N(INDEX('01-كانون الثاني'!$I$2:$I$501,V16))&gt;0,INDEX('01-كانون الثاني'!$F$2:$F$501,V16)=F16),N(I16)/N(INDEX('01-كانون الثاني'!$I$2:$I$501,V16))-1,""))</f>
        <v/>
      </c>
      <c r="AC16" t="str">
        <f>IF(L16="","",IF(AND($AO$2=1,ISNA(MATCH(L16,'03-آذار'!$L$2:$L$501,0))),"محذوف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IF(L17="","",IF($AO$1=1,IFERROR(MATCH(L17,'01-كانون الثاني'!$L$2:$L$501,0),0),0))</f>
        <v/>
      </c>
      <c r="W17" t="str">
        <f t="shared" si="11"/>
        <v/>
      </c>
      <c r="X17" s="38" t="str">
        <f>IF(L17="","",IF(V17&gt;0,INDEX('01-كانون الثاني'!$P$2:$P$501,V17),IF($AO$1=1,0,"")))</f>
        <v/>
      </c>
      <c r="Y17" s="38" t="str">
        <f t="shared" si="12"/>
        <v/>
      </c>
      <c r="Z17" s="39" t="str">
        <f>IF(L17="","",IF(V17&gt;0,INDEX('01-كانون الثاني'!$Q$2:$Q$501,V17),IF($AO$1=1,0,"")))</f>
        <v/>
      </c>
      <c r="AA17" s="39" t="str">
        <f t="shared" si="13"/>
        <v/>
      </c>
      <c r="AB17" s="40" t="str">
        <f>IF(OR(L17="",V17=0),"",IF(AND(N(I17)&gt;0,N(INDEX('01-كانون الثاني'!$I$2:$I$501,V17))&gt;0,INDEX('01-كانون الثاني'!$F$2:$F$501,V17)=F17),N(I17)/N(INDEX('01-كانون الثاني'!$I$2:$I$501,V17))-1,""))</f>
        <v/>
      </c>
      <c r="AC17" t="str">
        <f>IF(L17="","",IF(AND($AO$2=1,ISNA(MATCH(L17,'03-آذار'!$L$2:$L$501,0))),"محذوف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IF(L18="","",IF($AO$1=1,IFERROR(MATCH(L18,'01-كانون الثاني'!$L$2:$L$501,0),0),0))</f>
        <v/>
      </c>
      <c r="W18" t="str">
        <f t="shared" si="11"/>
        <v/>
      </c>
      <c r="X18" s="38" t="str">
        <f>IF(L18="","",IF(V18&gt;0,INDEX('01-كانون الثاني'!$P$2:$P$501,V18),IF($AO$1=1,0,"")))</f>
        <v/>
      </c>
      <c r="Y18" s="38" t="str">
        <f t="shared" si="12"/>
        <v/>
      </c>
      <c r="Z18" s="39" t="str">
        <f>IF(L18="","",IF(V18&gt;0,INDEX('01-كانون الثاني'!$Q$2:$Q$501,V18),IF($AO$1=1,0,"")))</f>
        <v/>
      </c>
      <c r="AA18" s="39" t="str">
        <f t="shared" si="13"/>
        <v/>
      </c>
      <c r="AB18" s="40" t="str">
        <f>IF(OR(L18="",V18=0),"",IF(AND(N(I18)&gt;0,N(INDEX('01-كانون الثاني'!$I$2:$I$501,V18))&gt;0,INDEX('01-كانون الثاني'!$F$2:$F$501,V18)=F18),N(I18)/N(INDEX('01-كانون الثاني'!$I$2:$I$501,V18))-1,""))</f>
        <v/>
      </c>
      <c r="AC18" t="str">
        <f>IF(L18="","",IF(AND($AO$2=1,ISNA(MATCH(L18,'03-آذار'!$L$2:$L$501,0))),"محذوف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IF(L19="","",IF($AO$1=1,IFERROR(MATCH(L19,'01-كانون الثاني'!$L$2:$L$501,0),0),0))</f>
        <v/>
      </c>
      <c r="W19" t="str">
        <f t="shared" si="11"/>
        <v/>
      </c>
      <c r="X19" s="38" t="str">
        <f>IF(L19="","",IF(V19&gt;0,INDEX('01-كانون الثاني'!$P$2:$P$501,V19),IF($AO$1=1,0,"")))</f>
        <v/>
      </c>
      <c r="Y19" s="38" t="str">
        <f t="shared" si="12"/>
        <v/>
      </c>
      <c r="Z19" s="39" t="str">
        <f>IF(L19="","",IF(V19&gt;0,INDEX('01-كانون الثاني'!$Q$2:$Q$501,V19),IF($AO$1=1,0,"")))</f>
        <v/>
      </c>
      <c r="AA19" s="39" t="str">
        <f t="shared" si="13"/>
        <v/>
      </c>
      <c r="AB19" s="40" t="str">
        <f>IF(OR(L19="",V19=0),"",IF(AND(N(I19)&gt;0,N(INDEX('01-كانون الثاني'!$I$2:$I$501,V19))&gt;0,INDEX('01-كانون الثاني'!$F$2:$F$501,V19)=F19),N(I19)/N(INDEX('01-كانون الثاني'!$I$2:$I$501,V19))-1,""))</f>
        <v/>
      </c>
      <c r="AC19" t="str">
        <f>IF(L19="","",IF(AND($AO$2=1,ISNA(MATCH(L19,'03-آذار'!$L$2:$L$501,0))),"محذوف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IF(L20="","",IF($AO$1=1,IFERROR(MATCH(L20,'01-كانون الثاني'!$L$2:$L$501,0),0),0))</f>
        <v/>
      </c>
      <c r="W20" t="str">
        <f t="shared" si="11"/>
        <v/>
      </c>
      <c r="X20" s="38" t="str">
        <f>IF(L20="","",IF(V20&gt;0,INDEX('01-كانون الثاني'!$P$2:$P$501,V20),IF($AO$1=1,0,"")))</f>
        <v/>
      </c>
      <c r="Y20" s="38" t="str">
        <f t="shared" si="12"/>
        <v/>
      </c>
      <c r="Z20" s="39" t="str">
        <f>IF(L20="","",IF(V20&gt;0,INDEX('01-كانون الثاني'!$Q$2:$Q$501,V20),IF($AO$1=1,0,"")))</f>
        <v/>
      </c>
      <c r="AA20" s="39" t="str">
        <f t="shared" si="13"/>
        <v/>
      </c>
      <c r="AB20" s="40" t="str">
        <f>IF(OR(L20="",V20=0),"",IF(AND(N(I20)&gt;0,N(INDEX('01-كانون الثاني'!$I$2:$I$501,V20))&gt;0,INDEX('01-كانون الثاني'!$F$2:$F$501,V20)=F20),N(I20)/N(INDEX('01-كانون الثاني'!$I$2:$I$501,V20))-1,""))</f>
        <v/>
      </c>
      <c r="AC20" t="str">
        <f>IF(L20="","",IF(AND($AO$2=1,ISNA(MATCH(L20,'03-آذار'!$L$2:$L$501,0))),"محذوف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IF(L21="","",IF($AO$1=1,IFERROR(MATCH(L21,'01-كانون الثاني'!$L$2:$L$501,0),0),0))</f>
        <v/>
      </c>
      <c r="W21" t="str">
        <f t="shared" si="11"/>
        <v/>
      </c>
      <c r="X21" s="38" t="str">
        <f>IF(L21="","",IF(V21&gt;0,INDEX('01-كانون الثاني'!$P$2:$P$501,V21),IF($AO$1=1,0,"")))</f>
        <v/>
      </c>
      <c r="Y21" s="38" t="str">
        <f t="shared" si="12"/>
        <v/>
      </c>
      <c r="Z21" s="39" t="str">
        <f>IF(L21="","",IF(V21&gt;0,INDEX('01-كانون الثاني'!$Q$2:$Q$501,V21),IF($AO$1=1,0,"")))</f>
        <v/>
      </c>
      <c r="AA21" s="39" t="str">
        <f t="shared" si="13"/>
        <v/>
      </c>
      <c r="AB21" s="40" t="str">
        <f>IF(OR(L21="",V21=0),"",IF(AND(N(I21)&gt;0,N(INDEX('01-كانون الثاني'!$I$2:$I$501,V21))&gt;0,INDEX('01-كانون الثاني'!$F$2:$F$501,V21)=F21),N(I21)/N(INDEX('01-كانون الثاني'!$I$2:$I$501,V21))-1,""))</f>
        <v/>
      </c>
      <c r="AC21" t="str">
        <f>IF(L21="","",IF(AND($AO$2=1,ISNA(MATCH(L21,'03-آذار'!$L$2:$L$501,0))),"محذوف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IF(L22="","",IF($AO$1=1,IFERROR(MATCH(L22,'01-كانون الثاني'!$L$2:$L$501,0),0),0))</f>
        <v/>
      </c>
      <c r="W22" t="str">
        <f t="shared" si="11"/>
        <v/>
      </c>
      <c r="X22" s="38" t="str">
        <f>IF(L22="","",IF(V22&gt;0,INDEX('01-كانون الثاني'!$P$2:$P$501,V22),IF($AO$1=1,0,"")))</f>
        <v/>
      </c>
      <c r="Y22" s="38" t="str">
        <f t="shared" si="12"/>
        <v/>
      </c>
      <c r="Z22" s="39" t="str">
        <f>IF(L22="","",IF(V22&gt;0,INDEX('01-كانون الثاني'!$Q$2:$Q$501,V22),IF($AO$1=1,0,"")))</f>
        <v/>
      </c>
      <c r="AA22" s="39" t="str">
        <f t="shared" si="13"/>
        <v/>
      </c>
      <c r="AB22" s="40" t="str">
        <f>IF(OR(L22="",V22=0),"",IF(AND(N(I22)&gt;0,N(INDEX('01-كانون الثاني'!$I$2:$I$501,V22))&gt;0,INDEX('01-كانون الثاني'!$F$2:$F$501,V22)=F22),N(I22)/N(INDEX('01-كانون الثاني'!$I$2:$I$501,V22))-1,""))</f>
        <v/>
      </c>
      <c r="AC22" t="str">
        <f>IF(L22="","",IF(AND($AO$2=1,ISNA(MATCH(L22,'03-آذار'!$L$2:$L$501,0))),"محذوف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IF(L23="","",IF($AO$1=1,IFERROR(MATCH(L23,'01-كانون الثاني'!$L$2:$L$501,0),0),0))</f>
        <v/>
      </c>
      <c r="W23" t="str">
        <f t="shared" si="11"/>
        <v/>
      </c>
      <c r="X23" s="38" t="str">
        <f>IF(L23="","",IF(V23&gt;0,INDEX('01-كانون الثاني'!$P$2:$P$501,V23),IF($AO$1=1,0,"")))</f>
        <v/>
      </c>
      <c r="Y23" s="38" t="str">
        <f t="shared" si="12"/>
        <v/>
      </c>
      <c r="Z23" s="39" t="str">
        <f>IF(L23="","",IF(V23&gt;0,INDEX('01-كانون الثاني'!$Q$2:$Q$501,V23),IF($AO$1=1,0,"")))</f>
        <v/>
      </c>
      <c r="AA23" s="39" t="str">
        <f t="shared" si="13"/>
        <v/>
      </c>
      <c r="AB23" s="40" t="str">
        <f>IF(OR(L23="",V23=0),"",IF(AND(N(I23)&gt;0,N(INDEX('01-كانون الثاني'!$I$2:$I$501,V23))&gt;0,INDEX('01-كانون الثاني'!$F$2:$F$501,V23)=F23),N(I23)/N(INDEX('01-كانون الثاني'!$I$2:$I$501,V23))-1,""))</f>
        <v/>
      </c>
      <c r="AC23" t="str">
        <f>IF(L23="","",IF(AND($AO$2=1,ISNA(MATCH(L23,'03-آذار'!$L$2:$L$501,0))),"محذوف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IF(L24="","",IF($AO$1=1,IFERROR(MATCH(L24,'01-كانون الثاني'!$L$2:$L$501,0),0),0))</f>
        <v/>
      </c>
      <c r="W24" t="str">
        <f t="shared" si="11"/>
        <v/>
      </c>
      <c r="X24" s="38" t="str">
        <f>IF(L24="","",IF(V24&gt;0,INDEX('01-كانون الثاني'!$P$2:$P$501,V24),IF($AO$1=1,0,"")))</f>
        <v/>
      </c>
      <c r="Y24" s="38" t="str">
        <f t="shared" si="12"/>
        <v/>
      </c>
      <c r="Z24" s="39" t="str">
        <f>IF(L24="","",IF(V24&gt;0,INDEX('01-كانون الثاني'!$Q$2:$Q$501,V24),IF($AO$1=1,0,"")))</f>
        <v/>
      </c>
      <c r="AA24" s="39" t="str">
        <f t="shared" si="13"/>
        <v/>
      </c>
      <c r="AB24" s="40" t="str">
        <f>IF(OR(L24="",V24=0),"",IF(AND(N(I24)&gt;0,N(INDEX('01-كانون الثاني'!$I$2:$I$501,V24))&gt;0,INDEX('01-كانون الثاني'!$F$2:$F$501,V24)=F24),N(I24)/N(INDEX('01-كانون الثاني'!$I$2:$I$501,V24))-1,""))</f>
        <v/>
      </c>
      <c r="AC24" t="str">
        <f>IF(L24="","",IF(AND($AO$2=1,ISNA(MATCH(L24,'03-آذار'!$L$2:$L$501,0))),"محذوف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IF(L25="","",IF($AO$1=1,IFERROR(MATCH(L25,'01-كانون الثاني'!$L$2:$L$501,0),0),0))</f>
        <v/>
      </c>
      <c r="W25" t="str">
        <f t="shared" si="11"/>
        <v/>
      </c>
      <c r="X25" s="38" t="str">
        <f>IF(L25="","",IF(V25&gt;0,INDEX('01-كانون الثاني'!$P$2:$P$501,V25),IF($AO$1=1,0,"")))</f>
        <v/>
      </c>
      <c r="Y25" s="38" t="str">
        <f t="shared" si="12"/>
        <v/>
      </c>
      <c r="Z25" s="39" t="str">
        <f>IF(L25="","",IF(V25&gt;0,INDEX('01-كانون الثاني'!$Q$2:$Q$501,V25),IF($AO$1=1,0,"")))</f>
        <v/>
      </c>
      <c r="AA25" s="39" t="str">
        <f t="shared" si="13"/>
        <v/>
      </c>
      <c r="AB25" s="40" t="str">
        <f>IF(OR(L25="",V25=0),"",IF(AND(N(I25)&gt;0,N(INDEX('01-كانون الثاني'!$I$2:$I$501,V25))&gt;0,INDEX('01-كانون الثاني'!$F$2:$F$501,V25)=F25),N(I25)/N(INDEX('01-كانون الثاني'!$I$2:$I$501,V25))-1,""))</f>
        <v/>
      </c>
      <c r="AC25" t="str">
        <f>IF(L25="","",IF(AND($AO$2=1,ISNA(MATCH(L25,'03-آذار'!$L$2:$L$501,0))),"محذوف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IF(L26="","",IF($AO$1=1,IFERROR(MATCH(L26,'01-كانون الثاني'!$L$2:$L$501,0),0),0))</f>
        <v/>
      </c>
      <c r="W26" t="str">
        <f t="shared" si="11"/>
        <v/>
      </c>
      <c r="X26" s="38" t="str">
        <f>IF(L26="","",IF(V26&gt;0,INDEX('01-كانون الثاني'!$P$2:$P$501,V26),IF($AO$1=1,0,"")))</f>
        <v/>
      </c>
      <c r="Y26" s="38" t="str">
        <f t="shared" si="12"/>
        <v/>
      </c>
      <c r="Z26" s="39" t="str">
        <f>IF(L26="","",IF(V26&gt;0,INDEX('01-كانون الثاني'!$Q$2:$Q$501,V26),IF($AO$1=1,0,"")))</f>
        <v/>
      </c>
      <c r="AA26" s="39" t="str">
        <f t="shared" si="13"/>
        <v/>
      </c>
      <c r="AB26" s="40" t="str">
        <f>IF(OR(L26="",V26=0),"",IF(AND(N(I26)&gt;0,N(INDEX('01-كانون الثاني'!$I$2:$I$501,V26))&gt;0,INDEX('01-كانون الثاني'!$F$2:$F$501,V26)=F26),N(I26)/N(INDEX('01-كانون الثاني'!$I$2:$I$501,V26))-1,""))</f>
        <v/>
      </c>
      <c r="AC26" t="str">
        <f>IF(L26="","",IF(AND($AO$2=1,ISNA(MATCH(L26,'03-آذار'!$L$2:$L$501,0))),"محذوف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IF(L27="","",IF($AO$1=1,IFERROR(MATCH(L27,'01-كانون الثاني'!$L$2:$L$501,0),0),0))</f>
        <v/>
      </c>
      <c r="W27" t="str">
        <f t="shared" si="11"/>
        <v/>
      </c>
      <c r="X27" s="38" t="str">
        <f>IF(L27="","",IF(V27&gt;0,INDEX('01-كانون الثاني'!$P$2:$P$501,V27),IF($AO$1=1,0,"")))</f>
        <v/>
      </c>
      <c r="Y27" s="38" t="str">
        <f t="shared" si="12"/>
        <v/>
      </c>
      <c r="Z27" s="39" t="str">
        <f>IF(L27="","",IF(V27&gt;0,INDEX('01-كانون الثاني'!$Q$2:$Q$501,V27),IF($AO$1=1,0,"")))</f>
        <v/>
      </c>
      <c r="AA27" s="39" t="str">
        <f t="shared" si="13"/>
        <v/>
      </c>
      <c r="AB27" s="40" t="str">
        <f>IF(OR(L27="",V27=0),"",IF(AND(N(I27)&gt;0,N(INDEX('01-كانون الثاني'!$I$2:$I$501,V27))&gt;0,INDEX('01-كانون الثاني'!$F$2:$F$501,V27)=F27),N(I27)/N(INDEX('01-كانون الثاني'!$I$2:$I$501,V27))-1,""))</f>
        <v/>
      </c>
      <c r="AC27" t="str">
        <f>IF(L27="","",IF(AND($AO$2=1,ISNA(MATCH(L27,'03-آذار'!$L$2:$L$501,0))),"محذوف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IF(L28="","",IF($AO$1=1,IFERROR(MATCH(L28,'01-كانون الثاني'!$L$2:$L$501,0),0),0))</f>
        <v/>
      </c>
      <c r="W28" t="str">
        <f t="shared" si="11"/>
        <v/>
      </c>
      <c r="X28" s="38" t="str">
        <f>IF(L28="","",IF(V28&gt;0,INDEX('01-كانون الثاني'!$P$2:$P$501,V28),IF($AO$1=1,0,"")))</f>
        <v/>
      </c>
      <c r="Y28" s="38" t="str">
        <f t="shared" si="12"/>
        <v/>
      </c>
      <c r="Z28" s="39" t="str">
        <f>IF(L28="","",IF(V28&gt;0,INDEX('01-كانون الثاني'!$Q$2:$Q$501,V28),IF($AO$1=1,0,"")))</f>
        <v/>
      </c>
      <c r="AA28" s="39" t="str">
        <f t="shared" si="13"/>
        <v/>
      </c>
      <c r="AB28" s="40" t="str">
        <f>IF(OR(L28="",V28=0),"",IF(AND(N(I28)&gt;0,N(INDEX('01-كانون الثاني'!$I$2:$I$501,V28))&gt;0,INDEX('01-كانون الثاني'!$F$2:$F$501,V28)=F28),N(I28)/N(INDEX('01-كانون الثاني'!$I$2:$I$501,V28))-1,""))</f>
        <v/>
      </c>
      <c r="AC28" t="str">
        <f>IF(L28="","",IF(AND($AO$2=1,ISNA(MATCH(L28,'03-آذار'!$L$2:$L$501,0))),"محذوف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IF(L29="","",IF($AO$1=1,IFERROR(MATCH(L29,'01-كانون الثاني'!$L$2:$L$501,0),0),0))</f>
        <v/>
      </c>
      <c r="W29" t="str">
        <f t="shared" si="11"/>
        <v/>
      </c>
      <c r="X29" s="38" t="str">
        <f>IF(L29="","",IF(V29&gt;0,INDEX('01-كانون الثاني'!$P$2:$P$501,V29),IF($AO$1=1,0,"")))</f>
        <v/>
      </c>
      <c r="Y29" s="38" t="str">
        <f t="shared" si="12"/>
        <v/>
      </c>
      <c r="Z29" s="39" t="str">
        <f>IF(L29="","",IF(V29&gt;0,INDEX('01-كانون الثاني'!$Q$2:$Q$501,V29),IF($AO$1=1,0,"")))</f>
        <v/>
      </c>
      <c r="AA29" s="39" t="str">
        <f t="shared" si="13"/>
        <v/>
      </c>
      <c r="AB29" s="40" t="str">
        <f>IF(OR(L29="",V29=0),"",IF(AND(N(I29)&gt;0,N(INDEX('01-كانون الثاني'!$I$2:$I$501,V29))&gt;0,INDEX('01-كانون الثاني'!$F$2:$F$501,V29)=F29),N(I29)/N(INDEX('01-كانون الثاني'!$I$2:$I$501,V29))-1,""))</f>
        <v/>
      </c>
      <c r="AC29" t="str">
        <f>IF(L29="","",IF(AND($AO$2=1,ISNA(MATCH(L29,'03-آذار'!$L$2:$L$501,0))),"محذوف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IF(L30="","",IF($AO$1=1,IFERROR(MATCH(L30,'01-كانون الثاني'!$L$2:$L$501,0),0),0))</f>
        <v/>
      </c>
      <c r="W30" t="str">
        <f t="shared" si="11"/>
        <v/>
      </c>
      <c r="X30" s="38" t="str">
        <f>IF(L30="","",IF(V30&gt;0,INDEX('01-كانون الثاني'!$P$2:$P$501,V30),IF($AO$1=1,0,"")))</f>
        <v/>
      </c>
      <c r="Y30" s="38" t="str">
        <f t="shared" si="12"/>
        <v/>
      </c>
      <c r="Z30" s="39" t="str">
        <f>IF(L30="","",IF(V30&gt;0,INDEX('01-كانون الثاني'!$Q$2:$Q$501,V30),IF($AO$1=1,0,"")))</f>
        <v/>
      </c>
      <c r="AA30" s="39" t="str">
        <f t="shared" si="13"/>
        <v/>
      </c>
      <c r="AB30" s="40" t="str">
        <f>IF(OR(L30="",V30=0),"",IF(AND(N(I30)&gt;0,N(INDEX('01-كانون الثاني'!$I$2:$I$501,V30))&gt;0,INDEX('01-كانون الثاني'!$F$2:$F$501,V30)=F30),N(I30)/N(INDEX('01-كانون الثاني'!$I$2:$I$501,V30))-1,""))</f>
        <v/>
      </c>
      <c r="AC30" t="str">
        <f>IF(L30="","",IF(AND($AO$2=1,ISNA(MATCH(L30,'03-آذار'!$L$2:$L$501,0))),"محذوف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IF(L31="","",IF($AO$1=1,IFERROR(MATCH(L31,'01-كانون الثاني'!$L$2:$L$501,0),0),0))</f>
        <v/>
      </c>
      <c r="W31" t="str">
        <f t="shared" si="11"/>
        <v/>
      </c>
      <c r="X31" s="38" t="str">
        <f>IF(L31="","",IF(V31&gt;0,INDEX('01-كانون الثاني'!$P$2:$P$501,V31),IF($AO$1=1,0,"")))</f>
        <v/>
      </c>
      <c r="Y31" s="38" t="str">
        <f t="shared" si="12"/>
        <v/>
      </c>
      <c r="Z31" s="39" t="str">
        <f>IF(L31="","",IF(V31&gt;0,INDEX('01-كانون الثاني'!$Q$2:$Q$501,V31),IF($AO$1=1,0,"")))</f>
        <v/>
      </c>
      <c r="AA31" s="39" t="str">
        <f t="shared" si="13"/>
        <v/>
      </c>
      <c r="AB31" s="40" t="str">
        <f>IF(OR(L31="",V31=0),"",IF(AND(N(I31)&gt;0,N(INDEX('01-كانون الثاني'!$I$2:$I$501,V31))&gt;0,INDEX('01-كانون الثاني'!$F$2:$F$501,V31)=F31),N(I31)/N(INDEX('01-كانون الثاني'!$I$2:$I$501,V31))-1,""))</f>
        <v/>
      </c>
      <c r="AC31" t="str">
        <f>IF(L31="","",IF(AND($AO$2=1,ISNA(MATCH(L31,'03-آذار'!$L$2:$L$501,0))),"محذوف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IF(L32="","",IF($AO$1=1,IFERROR(MATCH(L32,'01-كانون الثاني'!$L$2:$L$501,0),0),0))</f>
        <v/>
      </c>
      <c r="W32" t="str">
        <f t="shared" si="11"/>
        <v/>
      </c>
      <c r="X32" s="38" t="str">
        <f>IF(L32="","",IF(V32&gt;0,INDEX('01-كانون الثاني'!$P$2:$P$501,V32),IF($AO$1=1,0,"")))</f>
        <v/>
      </c>
      <c r="Y32" s="38" t="str">
        <f t="shared" si="12"/>
        <v/>
      </c>
      <c r="Z32" s="39" t="str">
        <f>IF(L32="","",IF(V32&gt;0,INDEX('01-كانون الثاني'!$Q$2:$Q$501,V32),IF($AO$1=1,0,"")))</f>
        <v/>
      </c>
      <c r="AA32" s="39" t="str">
        <f t="shared" si="13"/>
        <v/>
      </c>
      <c r="AB32" s="40" t="str">
        <f>IF(OR(L32="",V32=0),"",IF(AND(N(I32)&gt;0,N(INDEX('01-كانون الثاني'!$I$2:$I$501,V32))&gt;0,INDEX('01-كانون الثاني'!$F$2:$F$501,V32)=F32),N(I32)/N(INDEX('01-كانون الثاني'!$I$2:$I$501,V32))-1,""))</f>
        <v/>
      </c>
      <c r="AC32" t="str">
        <f>IF(L32="","",IF(AND($AO$2=1,ISNA(MATCH(L32,'03-آذار'!$L$2:$L$501,0))),"محذوف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IF(L33="","",IF($AO$1=1,IFERROR(MATCH(L33,'01-كانون الثاني'!$L$2:$L$501,0),0),0))</f>
        <v/>
      </c>
      <c r="W33" t="str">
        <f t="shared" si="11"/>
        <v/>
      </c>
      <c r="X33" s="38" t="str">
        <f>IF(L33="","",IF(V33&gt;0,INDEX('01-كانون الثاني'!$P$2:$P$501,V33),IF($AO$1=1,0,"")))</f>
        <v/>
      </c>
      <c r="Y33" s="38" t="str">
        <f t="shared" si="12"/>
        <v/>
      </c>
      <c r="Z33" s="39" t="str">
        <f>IF(L33="","",IF(V33&gt;0,INDEX('01-كانون الثاني'!$Q$2:$Q$501,V33),IF($AO$1=1,0,"")))</f>
        <v/>
      </c>
      <c r="AA33" s="39" t="str">
        <f t="shared" si="13"/>
        <v/>
      </c>
      <c r="AB33" s="40" t="str">
        <f>IF(OR(L33="",V33=0),"",IF(AND(N(I33)&gt;0,N(INDEX('01-كانون الثاني'!$I$2:$I$501,V33))&gt;0,INDEX('01-كانون الثاني'!$F$2:$F$501,V33)=F33),N(I33)/N(INDEX('01-كانون الثاني'!$I$2:$I$501,V33))-1,""))</f>
        <v/>
      </c>
      <c r="AC33" t="str">
        <f>IF(L33="","",IF(AND($AO$2=1,ISNA(MATCH(L33,'03-آذار'!$L$2:$L$501,0))),"محذوف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IF(L34="","",IF($AO$1=1,IFERROR(MATCH(L34,'01-كانون الثاني'!$L$2:$L$501,0),0),0))</f>
        <v/>
      </c>
      <c r="W34" t="str">
        <f t="shared" si="11"/>
        <v/>
      </c>
      <c r="X34" s="38" t="str">
        <f>IF(L34="","",IF(V34&gt;0,INDEX('01-كانون الثاني'!$P$2:$P$501,V34),IF($AO$1=1,0,"")))</f>
        <v/>
      </c>
      <c r="Y34" s="38" t="str">
        <f t="shared" si="12"/>
        <v/>
      </c>
      <c r="Z34" s="39" t="str">
        <f>IF(L34="","",IF(V34&gt;0,INDEX('01-كانون الثاني'!$Q$2:$Q$501,V34),IF($AO$1=1,0,"")))</f>
        <v/>
      </c>
      <c r="AA34" s="39" t="str">
        <f t="shared" si="13"/>
        <v/>
      </c>
      <c r="AB34" s="40" t="str">
        <f>IF(OR(L34="",V34=0),"",IF(AND(N(I34)&gt;0,N(INDEX('01-كانون الثاني'!$I$2:$I$501,V34))&gt;0,INDEX('01-كانون الثاني'!$F$2:$F$501,V34)=F34),N(I34)/N(INDEX('01-كانون الثاني'!$I$2:$I$501,V34))-1,""))</f>
        <v/>
      </c>
      <c r="AC34" t="str">
        <f>IF(L34="","",IF(AND($AO$2=1,ISNA(MATCH(L34,'03-آذار'!$L$2:$L$501,0))),"محذوف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IF(L35="","",IF($AO$1=1,IFERROR(MATCH(L35,'01-كانون الثاني'!$L$2:$L$501,0),0),0))</f>
        <v/>
      </c>
      <c r="W35" t="str">
        <f t="shared" si="11"/>
        <v/>
      </c>
      <c r="X35" s="38" t="str">
        <f>IF(L35="","",IF(V35&gt;0,INDEX('01-كانون الثاني'!$P$2:$P$501,V35),IF($AO$1=1,0,"")))</f>
        <v/>
      </c>
      <c r="Y35" s="38" t="str">
        <f t="shared" si="12"/>
        <v/>
      </c>
      <c r="Z35" s="39" t="str">
        <f>IF(L35="","",IF(V35&gt;0,INDEX('01-كانون الثاني'!$Q$2:$Q$501,V35),IF($AO$1=1,0,"")))</f>
        <v/>
      </c>
      <c r="AA35" s="39" t="str">
        <f t="shared" si="13"/>
        <v/>
      </c>
      <c r="AB35" s="40" t="str">
        <f>IF(OR(L35="",V35=0),"",IF(AND(N(I35)&gt;0,N(INDEX('01-كانون الثاني'!$I$2:$I$501,V35))&gt;0,INDEX('01-كانون الثاني'!$F$2:$F$501,V35)=F35),N(I35)/N(INDEX('01-كانون الثاني'!$I$2:$I$501,V35))-1,""))</f>
        <v/>
      </c>
      <c r="AC35" t="str">
        <f>IF(L35="","",IF(AND($AO$2=1,ISNA(MATCH(L35,'03-آذار'!$L$2:$L$501,0))),"محذوف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IF(L36="","",IF($AO$1=1,IFERROR(MATCH(L36,'01-كانون الثاني'!$L$2:$L$501,0),0),0))</f>
        <v/>
      </c>
      <c r="W36" t="str">
        <f t="shared" si="11"/>
        <v/>
      </c>
      <c r="X36" s="38" t="str">
        <f>IF(L36="","",IF(V36&gt;0,INDEX('01-كانون الثاني'!$P$2:$P$501,V36),IF($AO$1=1,0,"")))</f>
        <v/>
      </c>
      <c r="Y36" s="38" t="str">
        <f t="shared" si="12"/>
        <v/>
      </c>
      <c r="Z36" s="39" t="str">
        <f>IF(L36="","",IF(V36&gt;0,INDEX('01-كانون الثاني'!$Q$2:$Q$501,V36),IF($AO$1=1,0,"")))</f>
        <v/>
      </c>
      <c r="AA36" s="39" t="str">
        <f t="shared" si="13"/>
        <v/>
      </c>
      <c r="AB36" s="40" t="str">
        <f>IF(OR(L36="",V36=0),"",IF(AND(N(I36)&gt;0,N(INDEX('01-كانون الثاني'!$I$2:$I$501,V36))&gt;0,INDEX('01-كانون الثاني'!$F$2:$F$501,V36)=F36),N(I36)/N(INDEX('01-كانون الثاني'!$I$2:$I$501,V36))-1,""))</f>
        <v/>
      </c>
      <c r="AC36" t="str">
        <f>IF(L36="","",IF(AND($AO$2=1,ISNA(MATCH(L36,'03-آذار'!$L$2:$L$501,0))),"محذوف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IF(L37="","",IF($AO$1=1,IFERROR(MATCH(L37,'01-كانون الثاني'!$L$2:$L$501,0),0),0))</f>
        <v/>
      </c>
      <c r="W37" t="str">
        <f t="shared" si="11"/>
        <v/>
      </c>
      <c r="X37" s="38" t="str">
        <f>IF(L37="","",IF(V37&gt;0,INDEX('01-كانون الثاني'!$P$2:$P$501,V37),IF($AO$1=1,0,"")))</f>
        <v/>
      </c>
      <c r="Y37" s="38" t="str">
        <f t="shared" si="12"/>
        <v/>
      </c>
      <c r="Z37" s="39" t="str">
        <f>IF(L37="","",IF(V37&gt;0,INDEX('01-كانون الثاني'!$Q$2:$Q$501,V37),IF($AO$1=1,0,"")))</f>
        <v/>
      </c>
      <c r="AA37" s="39" t="str">
        <f t="shared" si="13"/>
        <v/>
      </c>
      <c r="AB37" s="40" t="str">
        <f>IF(OR(L37="",V37=0),"",IF(AND(N(I37)&gt;0,N(INDEX('01-كانون الثاني'!$I$2:$I$501,V37))&gt;0,INDEX('01-كانون الثاني'!$F$2:$F$501,V37)=F37),N(I37)/N(INDEX('01-كانون الثاني'!$I$2:$I$501,V37))-1,""))</f>
        <v/>
      </c>
      <c r="AC37" t="str">
        <f>IF(L37="","",IF(AND($AO$2=1,ISNA(MATCH(L37,'03-آذار'!$L$2:$L$501,0))),"محذوف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IF(L38="","",IF($AO$1=1,IFERROR(MATCH(L38,'01-كانون الثاني'!$L$2:$L$501,0),0),0))</f>
        <v/>
      </c>
      <c r="W38" t="str">
        <f t="shared" si="11"/>
        <v/>
      </c>
      <c r="X38" s="38" t="str">
        <f>IF(L38="","",IF(V38&gt;0,INDEX('01-كانون الثاني'!$P$2:$P$501,V38),IF($AO$1=1,0,"")))</f>
        <v/>
      </c>
      <c r="Y38" s="38" t="str">
        <f t="shared" si="12"/>
        <v/>
      </c>
      <c r="Z38" s="39" t="str">
        <f>IF(L38="","",IF(V38&gt;0,INDEX('01-كانون الثاني'!$Q$2:$Q$501,V38),IF($AO$1=1,0,"")))</f>
        <v/>
      </c>
      <c r="AA38" s="39" t="str">
        <f t="shared" si="13"/>
        <v/>
      </c>
      <c r="AB38" s="40" t="str">
        <f>IF(OR(L38="",V38=0),"",IF(AND(N(I38)&gt;0,N(INDEX('01-كانون الثاني'!$I$2:$I$501,V38))&gt;0,INDEX('01-كانون الثاني'!$F$2:$F$501,V38)=F38),N(I38)/N(INDEX('01-كانون الثاني'!$I$2:$I$501,V38))-1,""))</f>
        <v/>
      </c>
      <c r="AC38" t="str">
        <f>IF(L38="","",IF(AND($AO$2=1,ISNA(MATCH(L38,'03-آذار'!$L$2:$L$501,0))),"محذوف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IF(L39="","",IF($AO$1=1,IFERROR(MATCH(L39,'01-كانون الثاني'!$L$2:$L$501,0),0),0))</f>
        <v/>
      </c>
      <c r="W39" t="str">
        <f t="shared" si="11"/>
        <v/>
      </c>
      <c r="X39" s="38" t="str">
        <f>IF(L39="","",IF(V39&gt;0,INDEX('01-كانون الثاني'!$P$2:$P$501,V39),IF($AO$1=1,0,"")))</f>
        <v/>
      </c>
      <c r="Y39" s="38" t="str">
        <f t="shared" si="12"/>
        <v/>
      </c>
      <c r="Z39" s="39" t="str">
        <f>IF(L39="","",IF(V39&gt;0,INDEX('01-كانون الثاني'!$Q$2:$Q$501,V39),IF($AO$1=1,0,"")))</f>
        <v/>
      </c>
      <c r="AA39" s="39" t="str">
        <f t="shared" si="13"/>
        <v/>
      </c>
      <c r="AB39" s="40" t="str">
        <f>IF(OR(L39="",V39=0),"",IF(AND(N(I39)&gt;0,N(INDEX('01-كانون الثاني'!$I$2:$I$501,V39))&gt;0,INDEX('01-كانون الثاني'!$F$2:$F$501,V39)=F39),N(I39)/N(INDEX('01-كانون الثاني'!$I$2:$I$501,V39))-1,""))</f>
        <v/>
      </c>
      <c r="AC39" t="str">
        <f>IF(L39="","",IF(AND($AO$2=1,ISNA(MATCH(L39,'03-آذار'!$L$2:$L$501,0))),"محذوف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IF(L40="","",IF($AO$1=1,IFERROR(MATCH(L40,'01-كانون الثاني'!$L$2:$L$501,0),0),0))</f>
        <v/>
      </c>
      <c r="W40" t="str">
        <f t="shared" si="11"/>
        <v/>
      </c>
      <c r="X40" s="38" t="str">
        <f>IF(L40="","",IF(V40&gt;0,INDEX('01-كانون الثاني'!$P$2:$P$501,V40),IF($AO$1=1,0,"")))</f>
        <v/>
      </c>
      <c r="Y40" s="38" t="str">
        <f t="shared" si="12"/>
        <v/>
      </c>
      <c r="Z40" s="39" t="str">
        <f>IF(L40="","",IF(V40&gt;0,INDEX('01-كانون الثاني'!$Q$2:$Q$501,V40),IF($AO$1=1,0,"")))</f>
        <v/>
      </c>
      <c r="AA40" s="39" t="str">
        <f t="shared" si="13"/>
        <v/>
      </c>
      <c r="AB40" s="40" t="str">
        <f>IF(OR(L40="",V40=0),"",IF(AND(N(I40)&gt;0,N(INDEX('01-كانون الثاني'!$I$2:$I$501,V40))&gt;0,INDEX('01-كانون الثاني'!$F$2:$F$501,V40)=F40),N(I40)/N(INDEX('01-كانون الثاني'!$I$2:$I$501,V40))-1,""))</f>
        <v/>
      </c>
      <c r="AC40" t="str">
        <f>IF(L40="","",IF(AND($AO$2=1,ISNA(MATCH(L40,'03-آذار'!$L$2:$L$501,0))),"محذوف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IF(L41="","",IF($AO$1=1,IFERROR(MATCH(L41,'01-كانون الثاني'!$L$2:$L$501,0),0),0))</f>
        <v/>
      </c>
      <c r="W41" t="str">
        <f t="shared" si="11"/>
        <v/>
      </c>
      <c r="X41" s="38" t="str">
        <f>IF(L41="","",IF(V41&gt;0,INDEX('01-كانون الثاني'!$P$2:$P$501,V41),IF($AO$1=1,0,"")))</f>
        <v/>
      </c>
      <c r="Y41" s="38" t="str">
        <f t="shared" si="12"/>
        <v/>
      </c>
      <c r="Z41" s="39" t="str">
        <f>IF(L41="","",IF(V41&gt;0,INDEX('01-كانون الثاني'!$Q$2:$Q$501,V41),IF($AO$1=1,0,"")))</f>
        <v/>
      </c>
      <c r="AA41" s="39" t="str">
        <f t="shared" si="13"/>
        <v/>
      </c>
      <c r="AB41" s="40" t="str">
        <f>IF(OR(L41="",V41=0),"",IF(AND(N(I41)&gt;0,N(INDEX('01-كانون الثاني'!$I$2:$I$501,V41))&gt;0,INDEX('01-كانون الثاني'!$F$2:$F$501,V41)=F41),N(I41)/N(INDEX('01-كانون الثاني'!$I$2:$I$501,V41))-1,""))</f>
        <v/>
      </c>
      <c r="AC41" t="str">
        <f>IF(L41="","",IF(AND($AO$2=1,ISNA(MATCH(L41,'03-آذار'!$L$2:$L$501,0))),"محذوف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IF(L42="","",IF($AO$1=1,IFERROR(MATCH(L42,'01-كانون الثاني'!$L$2:$L$501,0),0),0))</f>
        <v/>
      </c>
      <c r="W42" t="str">
        <f t="shared" si="11"/>
        <v/>
      </c>
      <c r="X42" s="38" t="str">
        <f>IF(L42="","",IF(V42&gt;0,INDEX('01-كانون الثاني'!$P$2:$P$501,V42),IF($AO$1=1,0,"")))</f>
        <v/>
      </c>
      <c r="Y42" s="38" t="str">
        <f t="shared" si="12"/>
        <v/>
      </c>
      <c r="Z42" s="39" t="str">
        <f>IF(L42="","",IF(V42&gt;0,INDEX('01-كانون الثاني'!$Q$2:$Q$501,V42),IF($AO$1=1,0,"")))</f>
        <v/>
      </c>
      <c r="AA42" s="39" t="str">
        <f t="shared" si="13"/>
        <v/>
      </c>
      <c r="AB42" s="40" t="str">
        <f>IF(OR(L42="",V42=0),"",IF(AND(N(I42)&gt;0,N(INDEX('01-كانون الثاني'!$I$2:$I$501,V42))&gt;0,INDEX('01-كانون الثاني'!$F$2:$F$501,V42)=F42),N(I42)/N(INDEX('01-كانون الثاني'!$I$2:$I$501,V42))-1,""))</f>
        <v/>
      </c>
      <c r="AC42" t="str">
        <f>IF(L42="","",IF(AND($AO$2=1,ISNA(MATCH(L42,'03-آذار'!$L$2:$L$501,0))),"محذوف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IF(L43="","",IF($AO$1=1,IFERROR(MATCH(L43,'01-كانون الثاني'!$L$2:$L$501,0),0),0))</f>
        <v/>
      </c>
      <c r="W43" t="str">
        <f t="shared" si="11"/>
        <v/>
      </c>
      <c r="X43" s="38" t="str">
        <f>IF(L43="","",IF(V43&gt;0,INDEX('01-كانون الثاني'!$P$2:$P$501,V43),IF($AO$1=1,0,"")))</f>
        <v/>
      </c>
      <c r="Y43" s="38" t="str">
        <f t="shared" si="12"/>
        <v/>
      </c>
      <c r="Z43" s="39" t="str">
        <f>IF(L43="","",IF(V43&gt;0,INDEX('01-كانون الثاني'!$Q$2:$Q$501,V43),IF($AO$1=1,0,"")))</f>
        <v/>
      </c>
      <c r="AA43" s="39" t="str">
        <f t="shared" si="13"/>
        <v/>
      </c>
      <c r="AB43" s="40" t="str">
        <f>IF(OR(L43="",V43=0),"",IF(AND(N(I43)&gt;0,N(INDEX('01-كانون الثاني'!$I$2:$I$501,V43))&gt;0,INDEX('01-كانون الثاني'!$F$2:$F$501,V43)=F43),N(I43)/N(INDEX('01-كانون الثاني'!$I$2:$I$501,V43))-1,""))</f>
        <v/>
      </c>
      <c r="AC43" t="str">
        <f>IF(L43="","",IF(AND($AO$2=1,ISNA(MATCH(L43,'03-آذار'!$L$2:$L$501,0))),"محذوف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IF(L44="","",IF($AO$1=1,IFERROR(MATCH(L44,'01-كانون الثاني'!$L$2:$L$501,0),0),0))</f>
        <v/>
      </c>
      <c r="W44" t="str">
        <f t="shared" si="11"/>
        <v/>
      </c>
      <c r="X44" s="38" t="str">
        <f>IF(L44="","",IF(V44&gt;0,INDEX('01-كانون الثاني'!$P$2:$P$501,V44),IF($AO$1=1,0,"")))</f>
        <v/>
      </c>
      <c r="Y44" s="38" t="str">
        <f t="shared" si="12"/>
        <v/>
      </c>
      <c r="Z44" s="39" t="str">
        <f>IF(L44="","",IF(V44&gt;0,INDEX('01-كانون الثاني'!$Q$2:$Q$501,V44),IF($AO$1=1,0,"")))</f>
        <v/>
      </c>
      <c r="AA44" s="39" t="str">
        <f t="shared" si="13"/>
        <v/>
      </c>
      <c r="AB44" s="40" t="str">
        <f>IF(OR(L44="",V44=0),"",IF(AND(N(I44)&gt;0,N(INDEX('01-كانون الثاني'!$I$2:$I$501,V44))&gt;0,INDEX('01-كانون الثاني'!$F$2:$F$501,V44)=F44),N(I44)/N(INDEX('01-كانون الثاني'!$I$2:$I$501,V44))-1,""))</f>
        <v/>
      </c>
      <c r="AC44" t="str">
        <f>IF(L44="","",IF(AND($AO$2=1,ISNA(MATCH(L44,'03-آذار'!$L$2:$L$501,0))),"محذوف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IF(L45="","",IF($AO$1=1,IFERROR(MATCH(L45,'01-كانون الثاني'!$L$2:$L$501,0),0),0))</f>
        <v/>
      </c>
      <c r="W45" t="str">
        <f t="shared" si="11"/>
        <v/>
      </c>
      <c r="X45" s="38" t="str">
        <f>IF(L45="","",IF(V45&gt;0,INDEX('01-كانون الثاني'!$P$2:$P$501,V45),IF($AO$1=1,0,"")))</f>
        <v/>
      </c>
      <c r="Y45" s="38" t="str">
        <f t="shared" si="12"/>
        <v/>
      </c>
      <c r="Z45" s="39" t="str">
        <f>IF(L45="","",IF(V45&gt;0,INDEX('01-كانون الثاني'!$Q$2:$Q$501,V45),IF($AO$1=1,0,"")))</f>
        <v/>
      </c>
      <c r="AA45" s="39" t="str">
        <f t="shared" si="13"/>
        <v/>
      </c>
      <c r="AB45" s="40" t="str">
        <f>IF(OR(L45="",V45=0),"",IF(AND(N(I45)&gt;0,N(INDEX('01-كانون الثاني'!$I$2:$I$501,V45))&gt;0,INDEX('01-كانون الثاني'!$F$2:$F$501,V45)=F45),N(I45)/N(INDEX('01-كانون الثاني'!$I$2:$I$501,V45))-1,""))</f>
        <v/>
      </c>
      <c r="AC45" t="str">
        <f>IF(L45="","",IF(AND($AO$2=1,ISNA(MATCH(L45,'03-آذار'!$L$2:$L$501,0))),"محذوف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IF(L46="","",IF($AO$1=1,IFERROR(MATCH(L46,'01-كانون الثاني'!$L$2:$L$501,0),0),0))</f>
        <v/>
      </c>
      <c r="W46" t="str">
        <f t="shared" si="11"/>
        <v/>
      </c>
      <c r="X46" s="38" t="str">
        <f>IF(L46="","",IF(V46&gt;0,INDEX('01-كانون الثاني'!$P$2:$P$501,V46),IF($AO$1=1,0,"")))</f>
        <v/>
      </c>
      <c r="Y46" s="38" t="str">
        <f t="shared" si="12"/>
        <v/>
      </c>
      <c r="Z46" s="39" t="str">
        <f>IF(L46="","",IF(V46&gt;0,INDEX('01-كانون الثاني'!$Q$2:$Q$501,V46),IF($AO$1=1,0,"")))</f>
        <v/>
      </c>
      <c r="AA46" s="39" t="str">
        <f t="shared" si="13"/>
        <v/>
      </c>
      <c r="AB46" s="40" t="str">
        <f>IF(OR(L46="",V46=0),"",IF(AND(N(I46)&gt;0,N(INDEX('01-كانون الثاني'!$I$2:$I$501,V46))&gt;0,INDEX('01-كانون الثاني'!$F$2:$F$501,V46)=F46),N(I46)/N(INDEX('01-كانون الثاني'!$I$2:$I$501,V46))-1,""))</f>
        <v/>
      </c>
      <c r="AC46" t="str">
        <f>IF(L46="","",IF(AND($AO$2=1,ISNA(MATCH(L46,'03-آذار'!$L$2:$L$501,0))),"محذوف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IF(L47="","",IF($AO$1=1,IFERROR(MATCH(L47,'01-كانون الثاني'!$L$2:$L$501,0),0),0))</f>
        <v/>
      </c>
      <c r="W47" t="str">
        <f t="shared" si="11"/>
        <v/>
      </c>
      <c r="X47" s="38" t="str">
        <f>IF(L47="","",IF(V47&gt;0,INDEX('01-كانون الثاني'!$P$2:$P$501,V47),IF($AO$1=1,0,"")))</f>
        <v/>
      </c>
      <c r="Y47" s="38" t="str">
        <f t="shared" si="12"/>
        <v/>
      </c>
      <c r="Z47" s="39" t="str">
        <f>IF(L47="","",IF(V47&gt;0,INDEX('01-كانون الثاني'!$Q$2:$Q$501,V47),IF($AO$1=1,0,"")))</f>
        <v/>
      </c>
      <c r="AA47" s="39" t="str">
        <f t="shared" si="13"/>
        <v/>
      </c>
      <c r="AB47" s="40" t="str">
        <f>IF(OR(L47="",V47=0),"",IF(AND(N(I47)&gt;0,N(INDEX('01-كانون الثاني'!$I$2:$I$501,V47))&gt;0,INDEX('01-كانون الثاني'!$F$2:$F$501,V47)=F47),N(I47)/N(INDEX('01-كانون الثاني'!$I$2:$I$501,V47))-1,""))</f>
        <v/>
      </c>
      <c r="AC47" t="str">
        <f>IF(L47="","",IF(AND($AO$2=1,ISNA(MATCH(L47,'03-آذار'!$L$2:$L$501,0))),"محذوف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IF(L48="","",IF($AO$1=1,IFERROR(MATCH(L48,'01-كانون الثاني'!$L$2:$L$501,0),0),0))</f>
        <v/>
      </c>
      <c r="W48" t="str">
        <f t="shared" si="11"/>
        <v/>
      </c>
      <c r="X48" s="38" t="str">
        <f>IF(L48="","",IF(V48&gt;0,INDEX('01-كانون الثاني'!$P$2:$P$501,V48),IF($AO$1=1,0,"")))</f>
        <v/>
      </c>
      <c r="Y48" s="38" t="str">
        <f t="shared" si="12"/>
        <v/>
      </c>
      <c r="Z48" s="39" t="str">
        <f>IF(L48="","",IF(V48&gt;0,INDEX('01-كانون الثاني'!$Q$2:$Q$501,V48),IF($AO$1=1,0,"")))</f>
        <v/>
      </c>
      <c r="AA48" s="39" t="str">
        <f t="shared" si="13"/>
        <v/>
      </c>
      <c r="AB48" s="40" t="str">
        <f>IF(OR(L48="",V48=0),"",IF(AND(N(I48)&gt;0,N(INDEX('01-كانون الثاني'!$I$2:$I$501,V48))&gt;0,INDEX('01-كانون الثاني'!$F$2:$F$501,V48)=F48),N(I48)/N(INDEX('01-كانون الثاني'!$I$2:$I$501,V48))-1,""))</f>
        <v/>
      </c>
      <c r="AC48" t="str">
        <f>IF(L48="","",IF(AND($AO$2=1,ISNA(MATCH(L48,'03-آذار'!$L$2:$L$501,0))),"محذوف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IF(L49="","",IF($AO$1=1,IFERROR(MATCH(L49,'01-كانون الثاني'!$L$2:$L$501,0),0),0))</f>
        <v/>
      </c>
      <c r="W49" t="str">
        <f t="shared" si="11"/>
        <v/>
      </c>
      <c r="X49" s="38" t="str">
        <f>IF(L49="","",IF(V49&gt;0,INDEX('01-كانون الثاني'!$P$2:$P$501,V49),IF($AO$1=1,0,"")))</f>
        <v/>
      </c>
      <c r="Y49" s="38" t="str">
        <f t="shared" si="12"/>
        <v/>
      </c>
      <c r="Z49" s="39" t="str">
        <f>IF(L49="","",IF(V49&gt;0,INDEX('01-كانون الثاني'!$Q$2:$Q$501,V49),IF($AO$1=1,0,"")))</f>
        <v/>
      </c>
      <c r="AA49" s="39" t="str">
        <f t="shared" si="13"/>
        <v/>
      </c>
      <c r="AB49" s="40" t="str">
        <f>IF(OR(L49="",V49=0),"",IF(AND(N(I49)&gt;0,N(INDEX('01-كانون الثاني'!$I$2:$I$501,V49))&gt;0,INDEX('01-كانون الثاني'!$F$2:$F$501,V49)=F49),N(I49)/N(INDEX('01-كانون الثاني'!$I$2:$I$501,V49))-1,""))</f>
        <v/>
      </c>
      <c r="AC49" t="str">
        <f>IF(L49="","",IF(AND($AO$2=1,ISNA(MATCH(L49,'03-آذار'!$L$2:$L$501,0))),"محذوف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IF(L50="","",IF($AO$1=1,IFERROR(MATCH(L50,'01-كانون الثاني'!$L$2:$L$501,0),0),0))</f>
        <v/>
      </c>
      <c r="W50" t="str">
        <f t="shared" si="11"/>
        <v/>
      </c>
      <c r="X50" s="38" t="str">
        <f>IF(L50="","",IF(V50&gt;0,INDEX('01-كانون الثاني'!$P$2:$P$501,V50),IF($AO$1=1,0,"")))</f>
        <v/>
      </c>
      <c r="Y50" s="38" t="str">
        <f t="shared" si="12"/>
        <v/>
      </c>
      <c r="Z50" s="39" t="str">
        <f>IF(L50="","",IF(V50&gt;0,INDEX('01-كانون الثاني'!$Q$2:$Q$501,V50),IF($AO$1=1,0,"")))</f>
        <v/>
      </c>
      <c r="AA50" s="39" t="str">
        <f t="shared" si="13"/>
        <v/>
      </c>
      <c r="AB50" s="40" t="str">
        <f>IF(OR(L50="",V50=0),"",IF(AND(N(I50)&gt;0,N(INDEX('01-كانون الثاني'!$I$2:$I$501,V50))&gt;0,INDEX('01-كانون الثاني'!$F$2:$F$501,V50)=F50),N(I50)/N(INDEX('01-كانون الثاني'!$I$2:$I$501,V50))-1,""))</f>
        <v/>
      </c>
      <c r="AC50" t="str">
        <f>IF(L50="","",IF(AND($AO$2=1,ISNA(MATCH(L50,'03-آذار'!$L$2:$L$501,0))),"محذوف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IF(L51="","",IF($AO$1=1,IFERROR(MATCH(L51,'01-كانون الثاني'!$L$2:$L$501,0),0),0))</f>
        <v/>
      </c>
      <c r="W51" t="str">
        <f t="shared" si="11"/>
        <v/>
      </c>
      <c r="X51" s="38" t="str">
        <f>IF(L51="","",IF(V51&gt;0,INDEX('01-كانون الثاني'!$P$2:$P$501,V51),IF($AO$1=1,0,"")))</f>
        <v/>
      </c>
      <c r="Y51" s="38" t="str">
        <f t="shared" si="12"/>
        <v/>
      </c>
      <c r="Z51" s="39" t="str">
        <f>IF(L51="","",IF(V51&gt;0,INDEX('01-كانون الثاني'!$Q$2:$Q$501,V51),IF($AO$1=1,0,"")))</f>
        <v/>
      </c>
      <c r="AA51" s="39" t="str">
        <f t="shared" si="13"/>
        <v/>
      </c>
      <c r="AB51" s="40" t="str">
        <f>IF(OR(L51="",V51=0),"",IF(AND(N(I51)&gt;0,N(INDEX('01-كانون الثاني'!$I$2:$I$501,V51))&gt;0,INDEX('01-كانون الثاني'!$F$2:$F$501,V51)=F51),N(I51)/N(INDEX('01-كانون الثاني'!$I$2:$I$501,V51))-1,""))</f>
        <v/>
      </c>
      <c r="AC51" t="str">
        <f>IF(L51="","",IF(AND($AO$2=1,ISNA(MATCH(L51,'03-آذار'!$L$2:$L$501,0))),"محذوف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IF(L52="","",IF($AO$1=1,IFERROR(MATCH(L52,'01-كانون الثاني'!$L$2:$L$501,0),0),0))</f>
        <v/>
      </c>
      <c r="W52" t="str">
        <f t="shared" si="11"/>
        <v/>
      </c>
      <c r="X52" s="38" t="str">
        <f>IF(L52="","",IF(V52&gt;0,INDEX('01-كانون الثاني'!$P$2:$P$501,V52),IF($AO$1=1,0,"")))</f>
        <v/>
      </c>
      <c r="Y52" s="38" t="str">
        <f t="shared" si="12"/>
        <v/>
      </c>
      <c r="Z52" s="39" t="str">
        <f>IF(L52="","",IF(V52&gt;0,INDEX('01-كانون الثاني'!$Q$2:$Q$501,V52),IF($AO$1=1,0,"")))</f>
        <v/>
      </c>
      <c r="AA52" s="39" t="str">
        <f t="shared" si="13"/>
        <v/>
      </c>
      <c r="AB52" s="40" t="str">
        <f>IF(OR(L52="",V52=0),"",IF(AND(N(I52)&gt;0,N(INDEX('01-كانون الثاني'!$I$2:$I$501,V52))&gt;0,INDEX('01-كانون الثاني'!$F$2:$F$501,V52)=F52),N(I52)/N(INDEX('01-كانون الثاني'!$I$2:$I$501,V52))-1,""))</f>
        <v/>
      </c>
      <c r="AC52" t="str">
        <f>IF(L52="","",IF(AND($AO$2=1,ISNA(MATCH(L52,'03-آذار'!$L$2:$L$501,0))),"محذوف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IF(L53="","",IF($AO$1=1,IFERROR(MATCH(L53,'01-كانون الثاني'!$L$2:$L$501,0),0),0))</f>
        <v/>
      </c>
      <c r="W53" t="str">
        <f t="shared" si="11"/>
        <v/>
      </c>
      <c r="X53" s="38" t="str">
        <f>IF(L53="","",IF(V53&gt;0,INDEX('01-كانون الثاني'!$P$2:$P$501,V53),IF($AO$1=1,0,"")))</f>
        <v/>
      </c>
      <c r="Y53" s="38" t="str">
        <f t="shared" si="12"/>
        <v/>
      </c>
      <c r="Z53" s="39" t="str">
        <f>IF(L53="","",IF(V53&gt;0,INDEX('01-كانون الثاني'!$Q$2:$Q$501,V53),IF($AO$1=1,0,"")))</f>
        <v/>
      </c>
      <c r="AA53" s="39" t="str">
        <f t="shared" si="13"/>
        <v/>
      </c>
      <c r="AB53" s="40" t="str">
        <f>IF(OR(L53="",V53=0),"",IF(AND(N(I53)&gt;0,N(INDEX('01-كانون الثاني'!$I$2:$I$501,V53))&gt;0,INDEX('01-كانون الثاني'!$F$2:$F$501,V53)=F53),N(I53)/N(INDEX('01-كانون الثاني'!$I$2:$I$501,V53))-1,""))</f>
        <v/>
      </c>
      <c r="AC53" t="str">
        <f>IF(L53="","",IF(AND($AO$2=1,ISNA(MATCH(L53,'03-آذار'!$L$2:$L$501,0))),"محذوف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IF(L54="","",IF($AO$1=1,IFERROR(MATCH(L54,'01-كانون الثاني'!$L$2:$L$501,0),0),0))</f>
        <v/>
      </c>
      <c r="W54" t="str">
        <f t="shared" si="11"/>
        <v/>
      </c>
      <c r="X54" s="38" t="str">
        <f>IF(L54="","",IF(V54&gt;0,INDEX('01-كانون الثاني'!$P$2:$P$501,V54),IF($AO$1=1,0,"")))</f>
        <v/>
      </c>
      <c r="Y54" s="38" t="str">
        <f t="shared" si="12"/>
        <v/>
      </c>
      <c r="Z54" s="39" t="str">
        <f>IF(L54="","",IF(V54&gt;0,INDEX('01-كانون الثاني'!$Q$2:$Q$501,V54),IF($AO$1=1,0,"")))</f>
        <v/>
      </c>
      <c r="AA54" s="39" t="str">
        <f t="shared" si="13"/>
        <v/>
      </c>
      <c r="AB54" s="40" t="str">
        <f>IF(OR(L54="",V54=0),"",IF(AND(N(I54)&gt;0,N(INDEX('01-كانون الثاني'!$I$2:$I$501,V54))&gt;0,INDEX('01-كانون الثاني'!$F$2:$F$501,V54)=F54),N(I54)/N(INDEX('01-كانون الثاني'!$I$2:$I$501,V54))-1,""))</f>
        <v/>
      </c>
      <c r="AC54" t="str">
        <f>IF(L54="","",IF(AND($AO$2=1,ISNA(MATCH(L54,'03-آذار'!$L$2:$L$501,0))),"محذوف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IF(L55="","",IF($AO$1=1,IFERROR(MATCH(L55,'01-كانون الثاني'!$L$2:$L$501,0),0),0))</f>
        <v/>
      </c>
      <c r="W55" t="str">
        <f t="shared" si="11"/>
        <v/>
      </c>
      <c r="X55" s="38" t="str">
        <f>IF(L55="","",IF(V55&gt;0,INDEX('01-كانون الثاني'!$P$2:$P$501,V55),IF($AO$1=1,0,"")))</f>
        <v/>
      </c>
      <c r="Y55" s="38" t="str">
        <f t="shared" si="12"/>
        <v/>
      </c>
      <c r="Z55" s="39" t="str">
        <f>IF(L55="","",IF(V55&gt;0,INDEX('01-كانون الثاني'!$Q$2:$Q$501,V55),IF($AO$1=1,0,"")))</f>
        <v/>
      </c>
      <c r="AA55" s="39" t="str">
        <f t="shared" si="13"/>
        <v/>
      </c>
      <c r="AB55" s="40" t="str">
        <f>IF(OR(L55="",V55=0),"",IF(AND(N(I55)&gt;0,N(INDEX('01-كانون الثاني'!$I$2:$I$501,V55))&gt;0,INDEX('01-كانون الثاني'!$F$2:$F$501,V55)=F55),N(I55)/N(INDEX('01-كانون الثاني'!$I$2:$I$501,V55))-1,""))</f>
        <v/>
      </c>
      <c r="AC55" t="str">
        <f>IF(L55="","",IF(AND($AO$2=1,ISNA(MATCH(L55,'03-آذار'!$L$2:$L$501,0))),"محذوف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IF(L56="","",IF($AO$1=1,IFERROR(MATCH(L56,'01-كانون الثاني'!$L$2:$L$501,0),0),0))</f>
        <v/>
      </c>
      <c r="W56" t="str">
        <f t="shared" si="11"/>
        <v/>
      </c>
      <c r="X56" s="38" t="str">
        <f>IF(L56="","",IF(V56&gt;0,INDEX('01-كانون الثاني'!$P$2:$P$501,V56),IF($AO$1=1,0,"")))</f>
        <v/>
      </c>
      <c r="Y56" s="38" t="str">
        <f t="shared" si="12"/>
        <v/>
      </c>
      <c r="Z56" s="39" t="str">
        <f>IF(L56="","",IF(V56&gt;0,INDEX('01-كانون الثاني'!$Q$2:$Q$501,V56),IF($AO$1=1,0,"")))</f>
        <v/>
      </c>
      <c r="AA56" s="39" t="str">
        <f t="shared" si="13"/>
        <v/>
      </c>
      <c r="AB56" s="40" t="str">
        <f>IF(OR(L56="",V56=0),"",IF(AND(N(I56)&gt;0,N(INDEX('01-كانون الثاني'!$I$2:$I$501,V56))&gt;0,INDEX('01-كانون الثاني'!$F$2:$F$501,V56)=F56),N(I56)/N(INDEX('01-كانون الثاني'!$I$2:$I$501,V56))-1,""))</f>
        <v/>
      </c>
      <c r="AC56" t="str">
        <f>IF(L56="","",IF(AND($AO$2=1,ISNA(MATCH(L56,'03-آذار'!$L$2:$L$501,0))),"محذوف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IF(L57="","",IF($AO$1=1,IFERROR(MATCH(L57,'01-كانون الثاني'!$L$2:$L$501,0),0),0))</f>
        <v/>
      </c>
      <c r="W57" t="str">
        <f t="shared" si="11"/>
        <v/>
      </c>
      <c r="X57" s="38" t="str">
        <f>IF(L57="","",IF(V57&gt;0,INDEX('01-كانون الثاني'!$P$2:$P$501,V57),IF($AO$1=1,0,"")))</f>
        <v/>
      </c>
      <c r="Y57" s="38" t="str">
        <f t="shared" si="12"/>
        <v/>
      </c>
      <c r="Z57" s="39" t="str">
        <f>IF(L57="","",IF(V57&gt;0,INDEX('01-كانون الثاني'!$Q$2:$Q$501,V57),IF($AO$1=1,0,"")))</f>
        <v/>
      </c>
      <c r="AA57" s="39" t="str">
        <f t="shared" si="13"/>
        <v/>
      </c>
      <c r="AB57" s="40" t="str">
        <f>IF(OR(L57="",V57=0),"",IF(AND(N(I57)&gt;0,N(INDEX('01-كانون الثاني'!$I$2:$I$501,V57))&gt;0,INDEX('01-كانون الثاني'!$F$2:$F$501,V57)=F57),N(I57)/N(INDEX('01-كانون الثاني'!$I$2:$I$501,V57))-1,""))</f>
        <v/>
      </c>
      <c r="AC57" t="str">
        <f>IF(L57="","",IF(AND($AO$2=1,ISNA(MATCH(L57,'03-آذار'!$L$2:$L$501,0))),"محذوف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IF(L58="","",IF($AO$1=1,IFERROR(MATCH(L58,'01-كانون الثاني'!$L$2:$L$501,0),0),0))</f>
        <v/>
      </c>
      <c r="W58" t="str">
        <f t="shared" si="11"/>
        <v/>
      </c>
      <c r="X58" s="38" t="str">
        <f>IF(L58="","",IF(V58&gt;0,INDEX('01-كانون الثاني'!$P$2:$P$501,V58),IF($AO$1=1,0,"")))</f>
        <v/>
      </c>
      <c r="Y58" s="38" t="str">
        <f t="shared" si="12"/>
        <v/>
      </c>
      <c r="Z58" s="39" t="str">
        <f>IF(L58="","",IF(V58&gt;0,INDEX('01-كانون الثاني'!$Q$2:$Q$501,V58),IF($AO$1=1,0,"")))</f>
        <v/>
      </c>
      <c r="AA58" s="39" t="str">
        <f t="shared" si="13"/>
        <v/>
      </c>
      <c r="AB58" s="40" t="str">
        <f>IF(OR(L58="",V58=0),"",IF(AND(N(I58)&gt;0,N(INDEX('01-كانون الثاني'!$I$2:$I$501,V58))&gt;0,INDEX('01-كانون الثاني'!$F$2:$F$501,V58)=F58),N(I58)/N(INDEX('01-كانون الثاني'!$I$2:$I$501,V58))-1,""))</f>
        <v/>
      </c>
      <c r="AC58" t="str">
        <f>IF(L58="","",IF(AND($AO$2=1,ISNA(MATCH(L58,'03-آذار'!$L$2:$L$501,0))),"محذوف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IF(L59="","",IF($AO$1=1,IFERROR(MATCH(L59,'01-كانون الثاني'!$L$2:$L$501,0),0),0))</f>
        <v/>
      </c>
      <c r="W59" t="str">
        <f t="shared" si="11"/>
        <v/>
      </c>
      <c r="X59" s="38" t="str">
        <f>IF(L59="","",IF(V59&gt;0,INDEX('01-كانون الثاني'!$P$2:$P$501,V59),IF($AO$1=1,0,"")))</f>
        <v/>
      </c>
      <c r="Y59" s="38" t="str">
        <f t="shared" si="12"/>
        <v/>
      </c>
      <c r="Z59" s="39" t="str">
        <f>IF(L59="","",IF(V59&gt;0,INDEX('01-كانون الثاني'!$Q$2:$Q$501,V59),IF($AO$1=1,0,"")))</f>
        <v/>
      </c>
      <c r="AA59" s="39" t="str">
        <f t="shared" si="13"/>
        <v/>
      </c>
      <c r="AB59" s="40" t="str">
        <f>IF(OR(L59="",V59=0),"",IF(AND(N(I59)&gt;0,N(INDEX('01-كانون الثاني'!$I$2:$I$501,V59))&gt;0,INDEX('01-كانون الثاني'!$F$2:$F$501,V59)=F59),N(I59)/N(INDEX('01-كانون الثاني'!$I$2:$I$501,V59))-1,""))</f>
        <v/>
      </c>
      <c r="AC59" t="str">
        <f>IF(L59="","",IF(AND($AO$2=1,ISNA(MATCH(L59,'03-آذار'!$L$2:$L$501,0))),"محذوف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IF(L60="","",IF($AO$1=1,IFERROR(MATCH(L60,'01-كانون الثاني'!$L$2:$L$501,0),0),0))</f>
        <v/>
      </c>
      <c r="W60" t="str">
        <f t="shared" si="11"/>
        <v/>
      </c>
      <c r="X60" s="38" t="str">
        <f>IF(L60="","",IF(V60&gt;0,INDEX('01-كانون الثاني'!$P$2:$P$501,V60),IF($AO$1=1,0,"")))</f>
        <v/>
      </c>
      <c r="Y60" s="38" t="str">
        <f t="shared" si="12"/>
        <v/>
      </c>
      <c r="Z60" s="39" t="str">
        <f>IF(L60="","",IF(V60&gt;0,INDEX('01-كانون الثاني'!$Q$2:$Q$501,V60),IF($AO$1=1,0,"")))</f>
        <v/>
      </c>
      <c r="AA60" s="39" t="str">
        <f t="shared" si="13"/>
        <v/>
      </c>
      <c r="AB60" s="40" t="str">
        <f>IF(OR(L60="",V60=0),"",IF(AND(N(I60)&gt;0,N(INDEX('01-كانون الثاني'!$I$2:$I$501,V60))&gt;0,INDEX('01-كانون الثاني'!$F$2:$F$501,V60)=F60),N(I60)/N(INDEX('01-كانون الثاني'!$I$2:$I$501,V60))-1,""))</f>
        <v/>
      </c>
      <c r="AC60" t="str">
        <f>IF(L60="","",IF(AND($AO$2=1,ISNA(MATCH(L60,'03-آذار'!$L$2:$L$501,0))),"محذوف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IF(L61="","",IF($AO$1=1,IFERROR(MATCH(L61,'01-كانون الثاني'!$L$2:$L$501,0),0),0))</f>
        <v/>
      </c>
      <c r="W61" t="str">
        <f t="shared" si="11"/>
        <v/>
      </c>
      <c r="X61" s="38" t="str">
        <f>IF(L61="","",IF(V61&gt;0,INDEX('01-كانون الثاني'!$P$2:$P$501,V61),IF($AO$1=1,0,"")))</f>
        <v/>
      </c>
      <c r="Y61" s="38" t="str">
        <f t="shared" si="12"/>
        <v/>
      </c>
      <c r="Z61" s="39" t="str">
        <f>IF(L61="","",IF(V61&gt;0,INDEX('01-كانون الثاني'!$Q$2:$Q$501,V61),IF($AO$1=1,0,"")))</f>
        <v/>
      </c>
      <c r="AA61" s="39" t="str">
        <f t="shared" si="13"/>
        <v/>
      </c>
      <c r="AB61" s="40" t="str">
        <f>IF(OR(L61="",V61=0),"",IF(AND(N(I61)&gt;0,N(INDEX('01-كانون الثاني'!$I$2:$I$501,V61))&gt;0,INDEX('01-كانون الثاني'!$F$2:$F$501,V61)=F61),N(I61)/N(INDEX('01-كانون الثاني'!$I$2:$I$501,V61))-1,""))</f>
        <v/>
      </c>
      <c r="AC61" t="str">
        <f>IF(L61="","",IF(AND($AO$2=1,ISNA(MATCH(L61,'03-آذار'!$L$2:$L$501,0))),"محذوف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IF(L62="","",IF($AO$1=1,IFERROR(MATCH(L62,'01-كانون الثاني'!$L$2:$L$501,0),0),0))</f>
        <v/>
      </c>
      <c r="W62" t="str">
        <f t="shared" si="11"/>
        <v/>
      </c>
      <c r="X62" s="38" t="str">
        <f>IF(L62="","",IF(V62&gt;0,INDEX('01-كانون الثاني'!$P$2:$P$501,V62),IF($AO$1=1,0,"")))</f>
        <v/>
      </c>
      <c r="Y62" s="38" t="str">
        <f t="shared" si="12"/>
        <v/>
      </c>
      <c r="Z62" s="39" t="str">
        <f>IF(L62="","",IF(V62&gt;0,INDEX('01-كانون الثاني'!$Q$2:$Q$501,V62),IF($AO$1=1,0,"")))</f>
        <v/>
      </c>
      <c r="AA62" s="39" t="str">
        <f t="shared" si="13"/>
        <v/>
      </c>
      <c r="AB62" s="40" t="str">
        <f>IF(OR(L62="",V62=0),"",IF(AND(N(I62)&gt;0,N(INDEX('01-كانون الثاني'!$I$2:$I$501,V62))&gt;0,INDEX('01-كانون الثاني'!$F$2:$F$501,V62)=F62),N(I62)/N(INDEX('01-كانون الثاني'!$I$2:$I$501,V62))-1,""))</f>
        <v/>
      </c>
      <c r="AC62" t="str">
        <f>IF(L62="","",IF(AND($AO$2=1,ISNA(MATCH(L62,'03-آذار'!$L$2:$L$501,0))),"محذوف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IF(L63="","",IF($AO$1=1,IFERROR(MATCH(L63,'01-كانون الثاني'!$L$2:$L$501,0),0),0))</f>
        <v/>
      </c>
      <c r="W63" t="str">
        <f t="shared" si="11"/>
        <v/>
      </c>
      <c r="X63" s="38" t="str">
        <f>IF(L63="","",IF(V63&gt;0,INDEX('01-كانون الثاني'!$P$2:$P$501,V63),IF($AO$1=1,0,"")))</f>
        <v/>
      </c>
      <c r="Y63" s="38" t="str">
        <f t="shared" si="12"/>
        <v/>
      </c>
      <c r="Z63" s="39" t="str">
        <f>IF(L63="","",IF(V63&gt;0,INDEX('01-كانون الثاني'!$Q$2:$Q$501,V63),IF($AO$1=1,0,"")))</f>
        <v/>
      </c>
      <c r="AA63" s="39" t="str">
        <f t="shared" si="13"/>
        <v/>
      </c>
      <c r="AB63" s="40" t="str">
        <f>IF(OR(L63="",V63=0),"",IF(AND(N(I63)&gt;0,N(INDEX('01-كانون الثاني'!$I$2:$I$501,V63))&gt;0,INDEX('01-كانون الثاني'!$F$2:$F$501,V63)=F63),N(I63)/N(INDEX('01-كانون الثاني'!$I$2:$I$501,V63))-1,""))</f>
        <v/>
      </c>
      <c r="AC63" t="str">
        <f>IF(L63="","",IF(AND($AO$2=1,ISNA(MATCH(L63,'03-آذار'!$L$2:$L$501,0))),"محذوف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IF(L64="","",IF($AO$1=1,IFERROR(MATCH(L64,'01-كانون الثاني'!$L$2:$L$501,0),0),0))</f>
        <v/>
      </c>
      <c r="W64" t="str">
        <f t="shared" si="11"/>
        <v/>
      </c>
      <c r="X64" s="38" t="str">
        <f>IF(L64="","",IF(V64&gt;0,INDEX('01-كانون الثاني'!$P$2:$P$501,V64),IF($AO$1=1,0,"")))</f>
        <v/>
      </c>
      <c r="Y64" s="38" t="str">
        <f t="shared" si="12"/>
        <v/>
      </c>
      <c r="Z64" s="39" t="str">
        <f>IF(L64="","",IF(V64&gt;0,INDEX('01-كانون الثاني'!$Q$2:$Q$501,V64),IF($AO$1=1,0,"")))</f>
        <v/>
      </c>
      <c r="AA64" s="39" t="str">
        <f t="shared" si="13"/>
        <v/>
      </c>
      <c r="AB64" s="40" t="str">
        <f>IF(OR(L64="",V64=0),"",IF(AND(N(I64)&gt;0,N(INDEX('01-كانون الثاني'!$I$2:$I$501,V64))&gt;0,INDEX('01-كانون الثاني'!$F$2:$F$501,V64)=F64),N(I64)/N(INDEX('01-كانون الثاني'!$I$2:$I$501,V64))-1,""))</f>
        <v/>
      </c>
      <c r="AC64" t="str">
        <f>IF(L64="","",IF(AND($AO$2=1,ISNA(MATCH(L64,'03-آذار'!$L$2:$L$501,0))),"محذوف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IF(L65="","",IF($AO$1=1,IFERROR(MATCH(L65,'01-كانون الثاني'!$L$2:$L$501,0),0),0))</f>
        <v/>
      </c>
      <c r="W65" t="str">
        <f t="shared" si="11"/>
        <v/>
      </c>
      <c r="X65" s="38" t="str">
        <f>IF(L65="","",IF(V65&gt;0,INDEX('01-كانون الثاني'!$P$2:$P$501,V65),IF($AO$1=1,0,"")))</f>
        <v/>
      </c>
      <c r="Y65" s="38" t="str">
        <f t="shared" si="12"/>
        <v/>
      </c>
      <c r="Z65" s="39" t="str">
        <f>IF(L65="","",IF(V65&gt;0,INDEX('01-كانون الثاني'!$Q$2:$Q$501,V65),IF($AO$1=1,0,"")))</f>
        <v/>
      </c>
      <c r="AA65" s="39" t="str">
        <f t="shared" si="13"/>
        <v/>
      </c>
      <c r="AB65" s="40" t="str">
        <f>IF(OR(L65="",V65=0),"",IF(AND(N(I65)&gt;0,N(INDEX('01-كانون الثاني'!$I$2:$I$501,V65))&gt;0,INDEX('01-كانون الثاني'!$F$2:$F$501,V65)=F65),N(I65)/N(INDEX('01-كانون الثاني'!$I$2:$I$501,V65))-1,""))</f>
        <v/>
      </c>
      <c r="AC65" t="str">
        <f>IF(L65="","",IF(AND($AO$2=1,ISNA(MATCH(L65,'03-آذار'!$L$2:$L$501,0))),"محذوف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IF(L66="","",IF($AO$1=1,IFERROR(MATCH(L66,'01-كانون الثاني'!$L$2:$L$501,0),0),0))</f>
        <v/>
      </c>
      <c r="W66" t="str">
        <f t="shared" ref="W66:W129" si="31">IF(L66="","",IF(AND($AO$1=1,V66=0),"جديد",""))</f>
        <v/>
      </c>
      <c r="X66" s="38" t="str">
        <f>IF(L66="","",IF(V66&gt;0,INDEX('01-كانون الثاني'!$P$2:$P$501,V66),IF($AO$1=1,0,"")))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IF(L66="","",IF(V66&gt;0,INDEX('01-كانون الثاني'!$Q$2:$Q$501,V66),IF($AO$1=1,0,"")))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IF(OR(L66="",V66=0),"",IF(AND(N(I66)&gt;0,N(INDEX('01-كانون الثاني'!$I$2:$I$501,V66))&gt;0,INDEX('01-كانون الثاني'!$F$2:$F$501,V66)=F66),N(I66)/N(INDEX('01-كانون الثاني'!$I$2:$I$501,V66))-1,""))</f>
        <v/>
      </c>
      <c r="AC66" t="str">
        <f>IF(L66="","",IF(AND($AO$2=1,ISNA(MATCH(L66,'03-آذار'!$L$2:$L$501,0))),"محذوف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IF(L67="","",IF($AO$1=1,IFERROR(MATCH(L67,'01-كانون الثاني'!$L$2:$L$501,0),0),0))</f>
        <v/>
      </c>
      <c r="W67" t="str">
        <f t="shared" si="31"/>
        <v/>
      </c>
      <c r="X67" s="38" t="str">
        <f>IF(L67="","",IF(V67&gt;0,INDEX('01-كانون الثاني'!$P$2:$P$501,V67),IF($AO$1=1,0,"")))</f>
        <v/>
      </c>
      <c r="Y67" s="38" t="str">
        <f t="shared" si="32"/>
        <v/>
      </c>
      <c r="Z67" s="39" t="str">
        <f>IF(L67="","",IF(V67&gt;0,INDEX('01-كانون الثاني'!$Q$2:$Q$501,V67),IF($AO$1=1,0,"")))</f>
        <v/>
      </c>
      <c r="AA67" s="39" t="str">
        <f t="shared" si="33"/>
        <v/>
      </c>
      <c r="AB67" s="40" t="str">
        <f>IF(OR(L67="",V67=0),"",IF(AND(N(I67)&gt;0,N(INDEX('01-كانون الثاني'!$I$2:$I$501,V67))&gt;0,INDEX('01-كانون الثاني'!$F$2:$F$501,V67)=F67),N(I67)/N(INDEX('01-كانون الثاني'!$I$2:$I$501,V67))-1,""))</f>
        <v/>
      </c>
      <c r="AC67" t="str">
        <f>IF(L67="","",IF(AND($AO$2=1,ISNA(MATCH(L67,'03-آذار'!$L$2:$L$501,0))),"محذوف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IF(L68="","",IF($AO$1=1,IFERROR(MATCH(L68,'01-كانون الثاني'!$L$2:$L$501,0),0),0))</f>
        <v/>
      </c>
      <c r="W68" t="str">
        <f t="shared" si="31"/>
        <v/>
      </c>
      <c r="X68" s="38" t="str">
        <f>IF(L68="","",IF(V68&gt;0,INDEX('01-كانون الثاني'!$P$2:$P$501,V68),IF($AO$1=1,0,"")))</f>
        <v/>
      </c>
      <c r="Y68" s="38" t="str">
        <f t="shared" si="32"/>
        <v/>
      </c>
      <c r="Z68" s="39" t="str">
        <f>IF(L68="","",IF(V68&gt;0,INDEX('01-كانون الثاني'!$Q$2:$Q$501,V68),IF($AO$1=1,0,"")))</f>
        <v/>
      </c>
      <c r="AA68" s="39" t="str">
        <f t="shared" si="33"/>
        <v/>
      </c>
      <c r="AB68" s="40" t="str">
        <f>IF(OR(L68="",V68=0),"",IF(AND(N(I68)&gt;0,N(INDEX('01-كانون الثاني'!$I$2:$I$501,V68))&gt;0,INDEX('01-كانون الثاني'!$F$2:$F$501,V68)=F68),N(I68)/N(INDEX('01-كانون الثاني'!$I$2:$I$501,V68))-1,""))</f>
        <v/>
      </c>
      <c r="AC68" t="str">
        <f>IF(L68="","",IF(AND($AO$2=1,ISNA(MATCH(L68,'03-آذار'!$L$2:$L$501,0))),"محذوف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IF(L69="","",IF($AO$1=1,IFERROR(MATCH(L69,'01-كانون الثاني'!$L$2:$L$501,0),0),0))</f>
        <v/>
      </c>
      <c r="W69" t="str">
        <f t="shared" si="31"/>
        <v/>
      </c>
      <c r="X69" s="38" t="str">
        <f>IF(L69="","",IF(V69&gt;0,INDEX('01-كانون الثاني'!$P$2:$P$501,V69),IF($AO$1=1,0,"")))</f>
        <v/>
      </c>
      <c r="Y69" s="38" t="str">
        <f t="shared" si="32"/>
        <v/>
      </c>
      <c r="Z69" s="39" t="str">
        <f>IF(L69="","",IF(V69&gt;0,INDEX('01-كانون الثاني'!$Q$2:$Q$501,V69),IF($AO$1=1,0,"")))</f>
        <v/>
      </c>
      <c r="AA69" s="39" t="str">
        <f t="shared" si="33"/>
        <v/>
      </c>
      <c r="AB69" s="40" t="str">
        <f>IF(OR(L69="",V69=0),"",IF(AND(N(I69)&gt;0,N(INDEX('01-كانون الثاني'!$I$2:$I$501,V69))&gt;0,INDEX('01-كانون الثاني'!$F$2:$F$501,V69)=F69),N(I69)/N(INDEX('01-كانون الثاني'!$I$2:$I$501,V69))-1,""))</f>
        <v/>
      </c>
      <c r="AC69" t="str">
        <f>IF(L69="","",IF(AND($AO$2=1,ISNA(MATCH(L69,'03-آذار'!$L$2:$L$501,0))),"محذوف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IF(L70="","",IF($AO$1=1,IFERROR(MATCH(L70,'01-كانون الثاني'!$L$2:$L$501,0),0),0))</f>
        <v/>
      </c>
      <c r="W70" t="str">
        <f t="shared" si="31"/>
        <v/>
      </c>
      <c r="X70" s="38" t="str">
        <f>IF(L70="","",IF(V70&gt;0,INDEX('01-كانون الثاني'!$P$2:$P$501,V70),IF($AO$1=1,0,"")))</f>
        <v/>
      </c>
      <c r="Y70" s="38" t="str">
        <f t="shared" si="32"/>
        <v/>
      </c>
      <c r="Z70" s="39" t="str">
        <f>IF(L70="","",IF(V70&gt;0,INDEX('01-كانون الثاني'!$Q$2:$Q$501,V70),IF($AO$1=1,0,"")))</f>
        <v/>
      </c>
      <c r="AA70" s="39" t="str">
        <f t="shared" si="33"/>
        <v/>
      </c>
      <c r="AB70" s="40" t="str">
        <f>IF(OR(L70="",V70=0),"",IF(AND(N(I70)&gt;0,N(INDEX('01-كانون الثاني'!$I$2:$I$501,V70))&gt;0,INDEX('01-كانون الثاني'!$F$2:$F$501,V70)=F70),N(I70)/N(INDEX('01-كانون الثاني'!$I$2:$I$501,V70))-1,""))</f>
        <v/>
      </c>
      <c r="AC70" t="str">
        <f>IF(L70="","",IF(AND($AO$2=1,ISNA(MATCH(L70,'03-آذار'!$L$2:$L$501,0))),"محذوف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IF(L71="","",IF($AO$1=1,IFERROR(MATCH(L71,'01-كانون الثاني'!$L$2:$L$501,0),0),0))</f>
        <v/>
      </c>
      <c r="W71" t="str">
        <f t="shared" si="31"/>
        <v/>
      </c>
      <c r="X71" s="38" t="str">
        <f>IF(L71="","",IF(V71&gt;0,INDEX('01-كانون الثاني'!$P$2:$P$501,V71),IF($AO$1=1,0,"")))</f>
        <v/>
      </c>
      <c r="Y71" s="38" t="str">
        <f t="shared" si="32"/>
        <v/>
      </c>
      <c r="Z71" s="39" t="str">
        <f>IF(L71="","",IF(V71&gt;0,INDEX('01-كانون الثاني'!$Q$2:$Q$501,V71),IF($AO$1=1,0,"")))</f>
        <v/>
      </c>
      <c r="AA71" s="39" t="str">
        <f t="shared" si="33"/>
        <v/>
      </c>
      <c r="AB71" s="40" t="str">
        <f>IF(OR(L71="",V71=0),"",IF(AND(N(I71)&gt;0,N(INDEX('01-كانون الثاني'!$I$2:$I$501,V71))&gt;0,INDEX('01-كانون الثاني'!$F$2:$F$501,V71)=F71),N(I71)/N(INDEX('01-كانون الثاني'!$I$2:$I$501,V71))-1,""))</f>
        <v/>
      </c>
      <c r="AC71" t="str">
        <f>IF(L71="","",IF(AND($AO$2=1,ISNA(MATCH(L71,'03-آذار'!$L$2:$L$501,0))),"محذوف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IF(L72="","",IF($AO$1=1,IFERROR(MATCH(L72,'01-كانون الثاني'!$L$2:$L$501,0),0),0))</f>
        <v/>
      </c>
      <c r="W72" t="str">
        <f t="shared" si="31"/>
        <v/>
      </c>
      <c r="X72" s="38" t="str">
        <f>IF(L72="","",IF(V72&gt;0,INDEX('01-كانون الثاني'!$P$2:$P$501,V72),IF($AO$1=1,0,"")))</f>
        <v/>
      </c>
      <c r="Y72" s="38" t="str">
        <f t="shared" si="32"/>
        <v/>
      </c>
      <c r="Z72" s="39" t="str">
        <f>IF(L72="","",IF(V72&gt;0,INDEX('01-كانون الثاني'!$Q$2:$Q$501,V72),IF($AO$1=1,0,"")))</f>
        <v/>
      </c>
      <c r="AA72" s="39" t="str">
        <f t="shared" si="33"/>
        <v/>
      </c>
      <c r="AB72" s="40" t="str">
        <f>IF(OR(L72="",V72=0),"",IF(AND(N(I72)&gt;0,N(INDEX('01-كانون الثاني'!$I$2:$I$501,V72))&gt;0,INDEX('01-كانون الثاني'!$F$2:$F$501,V72)=F72),N(I72)/N(INDEX('01-كانون الثاني'!$I$2:$I$501,V72))-1,""))</f>
        <v/>
      </c>
      <c r="AC72" t="str">
        <f>IF(L72="","",IF(AND($AO$2=1,ISNA(MATCH(L72,'03-آذار'!$L$2:$L$501,0))),"محذوف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IF(L73="","",IF($AO$1=1,IFERROR(MATCH(L73,'01-كانون الثاني'!$L$2:$L$501,0),0),0))</f>
        <v/>
      </c>
      <c r="W73" t="str">
        <f t="shared" si="31"/>
        <v/>
      </c>
      <c r="X73" s="38" t="str">
        <f>IF(L73="","",IF(V73&gt;0,INDEX('01-كانون الثاني'!$P$2:$P$501,V73),IF($AO$1=1,0,"")))</f>
        <v/>
      </c>
      <c r="Y73" s="38" t="str">
        <f t="shared" si="32"/>
        <v/>
      </c>
      <c r="Z73" s="39" t="str">
        <f>IF(L73="","",IF(V73&gt;0,INDEX('01-كانون الثاني'!$Q$2:$Q$501,V73),IF($AO$1=1,0,"")))</f>
        <v/>
      </c>
      <c r="AA73" s="39" t="str">
        <f t="shared" si="33"/>
        <v/>
      </c>
      <c r="AB73" s="40" t="str">
        <f>IF(OR(L73="",V73=0),"",IF(AND(N(I73)&gt;0,N(INDEX('01-كانون الثاني'!$I$2:$I$501,V73))&gt;0,INDEX('01-كانون الثاني'!$F$2:$F$501,V73)=F73),N(I73)/N(INDEX('01-كانون الثاني'!$I$2:$I$501,V73))-1,""))</f>
        <v/>
      </c>
      <c r="AC73" t="str">
        <f>IF(L73="","",IF(AND($AO$2=1,ISNA(MATCH(L73,'03-آذار'!$L$2:$L$501,0))),"محذوف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IF(L74="","",IF($AO$1=1,IFERROR(MATCH(L74,'01-كانون الثاني'!$L$2:$L$501,0),0),0))</f>
        <v/>
      </c>
      <c r="W74" t="str">
        <f t="shared" si="31"/>
        <v/>
      </c>
      <c r="X74" s="38" t="str">
        <f>IF(L74="","",IF(V74&gt;0,INDEX('01-كانون الثاني'!$P$2:$P$501,V74),IF($AO$1=1,0,"")))</f>
        <v/>
      </c>
      <c r="Y74" s="38" t="str">
        <f t="shared" si="32"/>
        <v/>
      </c>
      <c r="Z74" s="39" t="str">
        <f>IF(L74="","",IF(V74&gt;0,INDEX('01-كانون الثاني'!$Q$2:$Q$501,V74),IF($AO$1=1,0,"")))</f>
        <v/>
      </c>
      <c r="AA74" s="39" t="str">
        <f t="shared" si="33"/>
        <v/>
      </c>
      <c r="AB74" s="40" t="str">
        <f>IF(OR(L74="",V74=0),"",IF(AND(N(I74)&gt;0,N(INDEX('01-كانون الثاني'!$I$2:$I$501,V74))&gt;0,INDEX('01-كانون الثاني'!$F$2:$F$501,V74)=F74),N(I74)/N(INDEX('01-كانون الثاني'!$I$2:$I$501,V74))-1,""))</f>
        <v/>
      </c>
      <c r="AC74" t="str">
        <f>IF(L74="","",IF(AND($AO$2=1,ISNA(MATCH(L74,'03-آذار'!$L$2:$L$501,0))),"محذوف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IF(L75="","",IF($AO$1=1,IFERROR(MATCH(L75,'01-كانون الثاني'!$L$2:$L$501,0),0),0))</f>
        <v/>
      </c>
      <c r="W75" t="str">
        <f t="shared" si="31"/>
        <v/>
      </c>
      <c r="X75" s="38" t="str">
        <f>IF(L75="","",IF(V75&gt;0,INDEX('01-كانون الثاني'!$P$2:$P$501,V75),IF($AO$1=1,0,"")))</f>
        <v/>
      </c>
      <c r="Y75" s="38" t="str">
        <f t="shared" si="32"/>
        <v/>
      </c>
      <c r="Z75" s="39" t="str">
        <f>IF(L75="","",IF(V75&gt;0,INDEX('01-كانون الثاني'!$Q$2:$Q$501,V75),IF($AO$1=1,0,"")))</f>
        <v/>
      </c>
      <c r="AA75" s="39" t="str">
        <f t="shared" si="33"/>
        <v/>
      </c>
      <c r="AB75" s="40" t="str">
        <f>IF(OR(L75="",V75=0),"",IF(AND(N(I75)&gt;0,N(INDEX('01-كانون الثاني'!$I$2:$I$501,V75))&gt;0,INDEX('01-كانون الثاني'!$F$2:$F$501,V75)=F75),N(I75)/N(INDEX('01-كانون الثاني'!$I$2:$I$501,V75))-1,""))</f>
        <v/>
      </c>
      <c r="AC75" t="str">
        <f>IF(L75="","",IF(AND($AO$2=1,ISNA(MATCH(L75,'03-آذار'!$L$2:$L$501,0))),"محذوف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IF(L76="","",IF($AO$1=1,IFERROR(MATCH(L76,'01-كانون الثاني'!$L$2:$L$501,0),0),0))</f>
        <v/>
      </c>
      <c r="W76" t="str">
        <f t="shared" si="31"/>
        <v/>
      </c>
      <c r="X76" s="38" t="str">
        <f>IF(L76="","",IF(V76&gt;0,INDEX('01-كانون الثاني'!$P$2:$P$501,V76),IF($AO$1=1,0,"")))</f>
        <v/>
      </c>
      <c r="Y76" s="38" t="str">
        <f t="shared" si="32"/>
        <v/>
      </c>
      <c r="Z76" s="39" t="str">
        <f>IF(L76="","",IF(V76&gt;0,INDEX('01-كانون الثاني'!$Q$2:$Q$501,V76),IF($AO$1=1,0,"")))</f>
        <v/>
      </c>
      <c r="AA76" s="39" t="str">
        <f t="shared" si="33"/>
        <v/>
      </c>
      <c r="AB76" s="40" t="str">
        <f>IF(OR(L76="",V76=0),"",IF(AND(N(I76)&gt;0,N(INDEX('01-كانون الثاني'!$I$2:$I$501,V76))&gt;0,INDEX('01-كانون الثاني'!$F$2:$F$501,V76)=F76),N(I76)/N(INDEX('01-كانون الثاني'!$I$2:$I$501,V76))-1,""))</f>
        <v/>
      </c>
      <c r="AC76" t="str">
        <f>IF(L76="","",IF(AND($AO$2=1,ISNA(MATCH(L76,'03-آذار'!$L$2:$L$501,0))),"محذوف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IF(L77="","",IF($AO$1=1,IFERROR(MATCH(L77,'01-كانون الثاني'!$L$2:$L$501,0),0),0))</f>
        <v/>
      </c>
      <c r="W77" t="str">
        <f t="shared" si="31"/>
        <v/>
      </c>
      <c r="X77" s="38" t="str">
        <f>IF(L77="","",IF(V77&gt;0,INDEX('01-كانون الثاني'!$P$2:$P$501,V77),IF($AO$1=1,0,"")))</f>
        <v/>
      </c>
      <c r="Y77" s="38" t="str">
        <f t="shared" si="32"/>
        <v/>
      </c>
      <c r="Z77" s="39" t="str">
        <f>IF(L77="","",IF(V77&gt;0,INDEX('01-كانون الثاني'!$Q$2:$Q$501,V77),IF($AO$1=1,0,"")))</f>
        <v/>
      </c>
      <c r="AA77" s="39" t="str">
        <f t="shared" si="33"/>
        <v/>
      </c>
      <c r="AB77" s="40" t="str">
        <f>IF(OR(L77="",V77=0),"",IF(AND(N(I77)&gt;0,N(INDEX('01-كانون الثاني'!$I$2:$I$501,V77))&gt;0,INDEX('01-كانون الثاني'!$F$2:$F$501,V77)=F77),N(I77)/N(INDEX('01-كانون الثاني'!$I$2:$I$501,V77))-1,""))</f>
        <v/>
      </c>
      <c r="AC77" t="str">
        <f>IF(L77="","",IF(AND($AO$2=1,ISNA(MATCH(L77,'03-آذار'!$L$2:$L$501,0))),"محذوف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IF(L78="","",IF($AO$1=1,IFERROR(MATCH(L78,'01-كانون الثاني'!$L$2:$L$501,0),0),0))</f>
        <v/>
      </c>
      <c r="W78" t="str">
        <f t="shared" si="31"/>
        <v/>
      </c>
      <c r="X78" s="38" t="str">
        <f>IF(L78="","",IF(V78&gt;0,INDEX('01-كانون الثاني'!$P$2:$P$501,V78),IF($AO$1=1,0,"")))</f>
        <v/>
      </c>
      <c r="Y78" s="38" t="str">
        <f t="shared" si="32"/>
        <v/>
      </c>
      <c r="Z78" s="39" t="str">
        <f>IF(L78="","",IF(V78&gt;0,INDEX('01-كانون الثاني'!$Q$2:$Q$501,V78),IF($AO$1=1,0,"")))</f>
        <v/>
      </c>
      <c r="AA78" s="39" t="str">
        <f t="shared" si="33"/>
        <v/>
      </c>
      <c r="AB78" s="40" t="str">
        <f>IF(OR(L78="",V78=0),"",IF(AND(N(I78)&gt;0,N(INDEX('01-كانون الثاني'!$I$2:$I$501,V78))&gt;0,INDEX('01-كانون الثاني'!$F$2:$F$501,V78)=F78),N(I78)/N(INDEX('01-كانون الثاني'!$I$2:$I$501,V78))-1,""))</f>
        <v/>
      </c>
      <c r="AC78" t="str">
        <f>IF(L78="","",IF(AND($AO$2=1,ISNA(MATCH(L78,'03-آذار'!$L$2:$L$501,0))),"محذوف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IF(L79="","",IF($AO$1=1,IFERROR(MATCH(L79,'01-كانون الثاني'!$L$2:$L$501,0),0),0))</f>
        <v/>
      </c>
      <c r="W79" t="str">
        <f t="shared" si="31"/>
        <v/>
      </c>
      <c r="X79" s="38" t="str">
        <f>IF(L79="","",IF(V79&gt;0,INDEX('01-كانون الثاني'!$P$2:$P$501,V79),IF($AO$1=1,0,"")))</f>
        <v/>
      </c>
      <c r="Y79" s="38" t="str">
        <f t="shared" si="32"/>
        <v/>
      </c>
      <c r="Z79" s="39" t="str">
        <f>IF(L79="","",IF(V79&gt;0,INDEX('01-كانون الثاني'!$Q$2:$Q$501,V79),IF($AO$1=1,0,"")))</f>
        <v/>
      </c>
      <c r="AA79" s="39" t="str">
        <f t="shared" si="33"/>
        <v/>
      </c>
      <c r="AB79" s="40" t="str">
        <f>IF(OR(L79="",V79=0),"",IF(AND(N(I79)&gt;0,N(INDEX('01-كانون الثاني'!$I$2:$I$501,V79))&gt;0,INDEX('01-كانون الثاني'!$F$2:$F$501,V79)=F79),N(I79)/N(INDEX('01-كانون الثاني'!$I$2:$I$501,V79))-1,""))</f>
        <v/>
      </c>
      <c r="AC79" t="str">
        <f>IF(L79="","",IF(AND($AO$2=1,ISNA(MATCH(L79,'03-آذار'!$L$2:$L$501,0))),"محذوف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IF(L80="","",IF($AO$1=1,IFERROR(MATCH(L80,'01-كانون الثاني'!$L$2:$L$501,0),0),0))</f>
        <v/>
      </c>
      <c r="W80" t="str">
        <f t="shared" si="31"/>
        <v/>
      </c>
      <c r="X80" s="38" t="str">
        <f>IF(L80="","",IF(V80&gt;0,INDEX('01-كانون الثاني'!$P$2:$P$501,V80),IF($AO$1=1,0,"")))</f>
        <v/>
      </c>
      <c r="Y80" s="38" t="str">
        <f t="shared" si="32"/>
        <v/>
      </c>
      <c r="Z80" s="39" t="str">
        <f>IF(L80="","",IF(V80&gt;0,INDEX('01-كانون الثاني'!$Q$2:$Q$501,V80),IF($AO$1=1,0,"")))</f>
        <v/>
      </c>
      <c r="AA80" s="39" t="str">
        <f t="shared" si="33"/>
        <v/>
      </c>
      <c r="AB80" s="40" t="str">
        <f>IF(OR(L80="",V80=0),"",IF(AND(N(I80)&gt;0,N(INDEX('01-كانون الثاني'!$I$2:$I$501,V80))&gt;0,INDEX('01-كانون الثاني'!$F$2:$F$501,V80)=F80),N(I80)/N(INDEX('01-كانون الثاني'!$I$2:$I$501,V80))-1,""))</f>
        <v/>
      </c>
      <c r="AC80" t="str">
        <f>IF(L80="","",IF(AND($AO$2=1,ISNA(MATCH(L80,'03-آذار'!$L$2:$L$501,0))),"محذوف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IF(L81="","",IF($AO$1=1,IFERROR(MATCH(L81,'01-كانون الثاني'!$L$2:$L$501,0),0),0))</f>
        <v/>
      </c>
      <c r="W81" t="str">
        <f t="shared" si="31"/>
        <v/>
      </c>
      <c r="X81" s="38" t="str">
        <f>IF(L81="","",IF(V81&gt;0,INDEX('01-كانون الثاني'!$P$2:$P$501,V81),IF($AO$1=1,0,"")))</f>
        <v/>
      </c>
      <c r="Y81" s="38" t="str">
        <f t="shared" si="32"/>
        <v/>
      </c>
      <c r="Z81" s="39" t="str">
        <f>IF(L81="","",IF(V81&gt;0,INDEX('01-كانون الثاني'!$Q$2:$Q$501,V81),IF($AO$1=1,0,"")))</f>
        <v/>
      </c>
      <c r="AA81" s="39" t="str">
        <f t="shared" si="33"/>
        <v/>
      </c>
      <c r="AB81" s="40" t="str">
        <f>IF(OR(L81="",V81=0),"",IF(AND(N(I81)&gt;0,N(INDEX('01-كانون الثاني'!$I$2:$I$501,V81))&gt;0,INDEX('01-كانون الثاني'!$F$2:$F$501,V81)=F81),N(I81)/N(INDEX('01-كانون الثاني'!$I$2:$I$501,V81))-1,""))</f>
        <v/>
      </c>
      <c r="AC81" t="str">
        <f>IF(L81="","",IF(AND($AO$2=1,ISNA(MATCH(L81,'03-آذار'!$L$2:$L$501,0))),"محذوف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IF(L82="","",IF($AO$1=1,IFERROR(MATCH(L82,'01-كانون الثاني'!$L$2:$L$501,0),0),0))</f>
        <v/>
      </c>
      <c r="W82" t="str">
        <f t="shared" si="31"/>
        <v/>
      </c>
      <c r="X82" s="38" t="str">
        <f>IF(L82="","",IF(V82&gt;0,INDEX('01-كانون الثاني'!$P$2:$P$501,V82),IF($AO$1=1,0,"")))</f>
        <v/>
      </c>
      <c r="Y82" s="38" t="str">
        <f t="shared" si="32"/>
        <v/>
      </c>
      <c r="Z82" s="39" t="str">
        <f>IF(L82="","",IF(V82&gt;0,INDEX('01-كانون الثاني'!$Q$2:$Q$501,V82),IF($AO$1=1,0,"")))</f>
        <v/>
      </c>
      <c r="AA82" s="39" t="str">
        <f t="shared" si="33"/>
        <v/>
      </c>
      <c r="AB82" s="40" t="str">
        <f>IF(OR(L82="",V82=0),"",IF(AND(N(I82)&gt;0,N(INDEX('01-كانون الثاني'!$I$2:$I$501,V82))&gt;0,INDEX('01-كانون الثاني'!$F$2:$F$501,V82)=F82),N(I82)/N(INDEX('01-كانون الثاني'!$I$2:$I$501,V82))-1,""))</f>
        <v/>
      </c>
      <c r="AC82" t="str">
        <f>IF(L82="","",IF(AND($AO$2=1,ISNA(MATCH(L82,'03-آذار'!$L$2:$L$501,0))),"محذوف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IF(L83="","",IF($AO$1=1,IFERROR(MATCH(L83,'01-كانون الثاني'!$L$2:$L$501,0),0),0))</f>
        <v/>
      </c>
      <c r="W83" t="str">
        <f t="shared" si="31"/>
        <v/>
      </c>
      <c r="X83" s="38" t="str">
        <f>IF(L83="","",IF(V83&gt;0,INDEX('01-كانون الثاني'!$P$2:$P$501,V83),IF($AO$1=1,0,"")))</f>
        <v/>
      </c>
      <c r="Y83" s="38" t="str">
        <f t="shared" si="32"/>
        <v/>
      </c>
      <c r="Z83" s="39" t="str">
        <f>IF(L83="","",IF(V83&gt;0,INDEX('01-كانون الثاني'!$Q$2:$Q$501,V83),IF($AO$1=1,0,"")))</f>
        <v/>
      </c>
      <c r="AA83" s="39" t="str">
        <f t="shared" si="33"/>
        <v/>
      </c>
      <c r="AB83" s="40" t="str">
        <f>IF(OR(L83="",V83=0),"",IF(AND(N(I83)&gt;0,N(INDEX('01-كانون الثاني'!$I$2:$I$501,V83))&gt;0,INDEX('01-كانون الثاني'!$F$2:$F$501,V83)=F83),N(I83)/N(INDEX('01-كانون الثاني'!$I$2:$I$501,V83))-1,""))</f>
        <v/>
      </c>
      <c r="AC83" t="str">
        <f>IF(L83="","",IF(AND($AO$2=1,ISNA(MATCH(L83,'03-آذار'!$L$2:$L$501,0))),"محذوف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IF(L84="","",IF($AO$1=1,IFERROR(MATCH(L84,'01-كانون الثاني'!$L$2:$L$501,0),0),0))</f>
        <v/>
      </c>
      <c r="W84" t="str">
        <f t="shared" si="31"/>
        <v/>
      </c>
      <c r="X84" s="38" t="str">
        <f>IF(L84="","",IF(V84&gt;0,INDEX('01-كانون الثاني'!$P$2:$P$501,V84),IF($AO$1=1,0,"")))</f>
        <v/>
      </c>
      <c r="Y84" s="38" t="str">
        <f t="shared" si="32"/>
        <v/>
      </c>
      <c r="Z84" s="39" t="str">
        <f>IF(L84="","",IF(V84&gt;0,INDEX('01-كانون الثاني'!$Q$2:$Q$501,V84),IF($AO$1=1,0,"")))</f>
        <v/>
      </c>
      <c r="AA84" s="39" t="str">
        <f t="shared" si="33"/>
        <v/>
      </c>
      <c r="AB84" s="40" t="str">
        <f>IF(OR(L84="",V84=0),"",IF(AND(N(I84)&gt;0,N(INDEX('01-كانون الثاني'!$I$2:$I$501,V84))&gt;0,INDEX('01-كانون الثاني'!$F$2:$F$501,V84)=F84),N(I84)/N(INDEX('01-كانون الثاني'!$I$2:$I$501,V84))-1,""))</f>
        <v/>
      </c>
      <c r="AC84" t="str">
        <f>IF(L84="","",IF(AND($AO$2=1,ISNA(MATCH(L84,'03-آذار'!$L$2:$L$501,0))),"محذوف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IF(L85="","",IF($AO$1=1,IFERROR(MATCH(L85,'01-كانون الثاني'!$L$2:$L$501,0),0),0))</f>
        <v/>
      </c>
      <c r="W85" t="str">
        <f t="shared" si="31"/>
        <v/>
      </c>
      <c r="X85" s="38" t="str">
        <f>IF(L85="","",IF(V85&gt;0,INDEX('01-كانون الثاني'!$P$2:$P$501,V85),IF($AO$1=1,0,"")))</f>
        <v/>
      </c>
      <c r="Y85" s="38" t="str">
        <f t="shared" si="32"/>
        <v/>
      </c>
      <c r="Z85" s="39" t="str">
        <f>IF(L85="","",IF(V85&gt;0,INDEX('01-كانون الثاني'!$Q$2:$Q$501,V85),IF($AO$1=1,0,"")))</f>
        <v/>
      </c>
      <c r="AA85" s="39" t="str">
        <f t="shared" si="33"/>
        <v/>
      </c>
      <c r="AB85" s="40" t="str">
        <f>IF(OR(L85="",V85=0),"",IF(AND(N(I85)&gt;0,N(INDEX('01-كانون الثاني'!$I$2:$I$501,V85))&gt;0,INDEX('01-كانون الثاني'!$F$2:$F$501,V85)=F85),N(I85)/N(INDEX('01-كانون الثاني'!$I$2:$I$501,V85))-1,""))</f>
        <v/>
      </c>
      <c r="AC85" t="str">
        <f>IF(L85="","",IF(AND($AO$2=1,ISNA(MATCH(L85,'03-آذار'!$L$2:$L$501,0))),"محذوف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IF(L86="","",IF($AO$1=1,IFERROR(MATCH(L86,'01-كانون الثاني'!$L$2:$L$501,0),0),0))</f>
        <v/>
      </c>
      <c r="W86" t="str">
        <f t="shared" si="31"/>
        <v/>
      </c>
      <c r="X86" s="38" t="str">
        <f>IF(L86="","",IF(V86&gt;0,INDEX('01-كانون الثاني'!$P$2:$P$501,V86),IF($AO$1=1,0,"")))</f>
        <v/>
      </c>
      <c r="Y86" s="38" t="str">
        <f t="shared" si="32"/>
        <v/>
      </c>
      <c r="Z86" s="39" t="str">
        <f>IF(L86="","",IF(V86&gt;0,INDEX('01-كانون الثاني'!$Q$2:$Q$501,V86),IF($AO$1=1,0,"")))</f>
        <v/>
      </c>
      <c r="AA86" s="39" t="str">
        <f t="shared" si="33"/>
        <v/>
      </c>
      <c r="AB86" s="40" t="str">
        <f>IF(OR(L86="",V86=0),"",IF(AND(N(I86)&gt;0,N(INDEX('01-كانون الثاني'!$I$2:$I$501,V86))&gt;0,INDEX('01-كانون الثاني'!$F$2:$F$501,V86)=F86),N(I86)/N(INDEX('01-كانون الثاني'!$I$2:$I$501,V86))-1,""))</f>
        <v/>
      </c>
      <c r="AC86" t="str">
        <f>IF(L86="","",IF(AND($AO$2=1,ISNA(MATCH(L86,'03-آذار'!$L$2:$L$501,0))),"محذوف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IF(L87="","",IF($AO$1=1,IFERROR(MATCH(L87,'01-كانون الثاني'!$L$2:$L$501,0),0),0))</f>
        <v/>
      </c>
      <c r="W87" t="str">
        <f t="shared" si="31"/>
        <v/>
      </c>
      <c r="X87" s="38" t="str">
        <f>IF(L87="","",IF(V87&gt;0,INDEX('01-كانون الثاني'!$P$2:$P$501,V87),IF($AO$1=1,0,"")))</f>
        <v/>
      </c>
      <c r="Y87" s="38" t="str">
        <f t="shared" si="32"/>
        <v/>
      </c>
      <c r="Z87" s="39" t="str">
        <f>IF(L87="","",IF(V87&gt;0,INDEX('01-كانون الثاني'!$Q$2:$Q$501,V87),IF($AO$1=1,0,"")))</f>
        <v/>
      </c>
      <c r="AA87" s="39" t="str">
        <f t="shared" si="33"/>
        <v/>
      </c>
      <c r="AB87" s="40" t="str">
        <f>IF(OR(L87="",V87=0),"",IF(AND(N(I87)&gt;0,N(INDEX('01-كانون الثاني'!$I$2:$I$501,V87))&gt;0,INDEX('01-كانون الثاني'!$F$2:$F$501,V87)=F87),N(I87)/N(INDEX('01-كانون الثاني'!$I$2:$I$501,V87))-1,""))</f>
        <v/>
      </c>
      <c r="AC87" t="str">
        <f>IF(L87="","",IF(AND($AO$2=1,ISNA(MATCH(L87,'03-آذار'!$L$2:$L$501,0))),"محذوف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IF(L88="","",IF($AO$1=1,IFERROR(MATCH(L88,'01-كانون الثاني'!$L$2:$L$501,0),0),0))</f>
        <v/>
      </c>
      <c r="W88" t="str">
        <f t="shared" si="31"/>
        <v/>
      </c>
      <c r="X88" s="38" t="str">
        <f>IF(L88="","",IF(V88&gt;0,INDEX('01-كانون الثاني'!$P$2:$P$501,V88),IF($AO$1=1,0,"")))</f>
        <v/>
      </c>
      <c r="Y88" s="38" t="str">
        <f t="shared" si="32"/>
        <v/>
      </c>
      <c r="Z88" s="39" t="str">
        <f>IF(L88="","",IF(V88&gt;0,INDEX('01-كانون الثاني'!$Q$2:$Q$501,V88),IF($AO$1=1,0,"")))</f>
        <v/>
      </c>
      <c r="AA88" s="39" t="str">
        <f t="shared" si="33"/>
        <v/>
      </c>
      <c r="AB88" s="40" t="str">
        <f>IF(OR(L88="",V88=0),"",IF(AND(N(I88)&gt;0,N(INDEX('01-كانون الثاني'!$I$2:$I$501,V88))&gt;0,INDEX('01-كانون الثاني'!$F$2:$F$501,V88)=F88),N(I88)/N(INDEX('01-كانون الثاني'!$I$2:$I$501,V88))-1,""))</f>
        <v/>
      </c>
      <c r="AC88" t="str">
        <f>IF(L88="","",IF(AND($AO$2=1,ISNA(MATCH(L88,'03-آذار'!$L$2:$L$501,0))),"محذوف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IF(L89="","",IF($AO$1=1,IFERROR(MATCH(L89,'01-كانون الثاني'!$L$2:$L$501,0),0),0))</f>
        <v/>
      </c>
      <c r="W89" t="str">
        <f t="shared" si="31"/>
        <v/>
      </c>
      <c r="X89" s="38" t="str">
        <f>IF(L89="","",IF(V89&gt;0,INDEX('01-كانون الثاني'!$P$2:$P$501,V89),IF($AO$1=1,0,"")))</f>
        <v/>
      </c>
      <c r="Y89" s="38" t="str">
        <f t="shared" si="32"/>
        <v/>
      </c>
      <c r="Z89" s="39" t="str">
        <f>IF(L89="","",IF(V89&gt;0,INDEX('01-كانون الثاني'!$Q$2:$Q$501,V89),IF($AO$1=1,0,"")))</f>
        <v/>
      </c>
      <c r="AA89" s="39" t="str">
        <f t="shared" si="33"/>
        <v/>
      </c>
      <c r="AB89" s="40" t="str">
        <f>IF(OR(L89="",V89=0),"",IF(AND(N(I89)&gt;0,N(INDEX('01-كانون الثاني'!$I$2:$I$501,V89))&gt;0,INDEX('01-كانون الثاني'!$F$2:$F$501,V89)=F89),N(I89)/N(INDEX('01-كانون الثاني'!$I$2:$I$501,V89))-1,""))</f>
        <v/>
      </c>
      <c r="AC89" t="str">
        <f>IF(L89="","",IF(AND($AO$2=1,ISNA(MATCH(L89,'03-آذار'!$L$2:$L$501,0))),"محذوف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IF(L90="","",IF($AO$1=1,IFERROR(MATCH(L90,'01-كانون الثاني'!$L$2:$L$501,0),0),0))</f>
        <v/>
      </c>
      <c r="W90" t="str">
        <f t="shared" si="31"/>
        <v/>
      </c>
      <c r="X90" s="38" t="str">
        <f>IF(L90="","",IF(V90&gt;0,INDEX('01-كانون الثاني'!$P$2:$P$501,V90),IF($AO$1=1,0,"")))</f>
        <v/>
      </c>
      <c r="Y90" s="38" t="str">
        <f t="shared" si="32"/>
        <v/>
      </c>
      <c r="Z90" s="39" t="str">
        <f>IF(L90="","",IF(V90&gt;0,INDEX('01-كانون الثاني'!$Q$2:$Q$501,V90),IF($AO$1=1,0,"")))</f>
        <v/>
      </c>
      <c r="AA90" s="39" t="str">
        <f t="shared" si="33"/>
        <v/>
      </c>
      <c r="AB90" s="40" t="str">
        <f>IF(OR(L90="",V90=0),"",IF(AND(N(I90)&gt;0,N(INDEX('01-كانون الثاني'!$I$2:$I$501,V90))&gt;0,INDEX('01-كانون الثاني'!$F$2:$F$501,V90)=F90),N(I90)/N(INDEX('01-كانون الثاني'!$I$2:$I$501,V90))-1,""))</f>
        <v/>
      </c>
      <c r="AC90" t="str">
        <f>IF(L90="","",IF(AND($AO$2=1,ISNA(MATCH(L90,'03-آذار'!$L$2:$L$501,0))),"محذوف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IF(L91="","",IF($AO$1=1,IFERROR(MATCH(L91,'01-كانون الثاني'!$L$2:$L$501,0),0),0))</f>
        <v/>
      </c>
      <c r="W91" t="str">
        <f t="shared" si="31"/>
        <v/>
      </c>
      <c r="X91" s="38" t="str">
        <f>IF(L91="","",IF(V91&gt;0,INDEX('01-كانون الثاني'!$P$2:$P$501,V91),IF($AO$1=1,0,"")))</f>
        <v/>
      </c>
      <c r="Y91" s="38" t="str">
        <f t="shared" si="32"/>
        <v/>
      </c>
      <c r="Z91" s="39" t="str">
        <f>IF(L91="","",IF(V91&gt;0,INDEX('01-كانون الثاني'!$Q$2:$Q$501,V91),IF($AO$1=1,0,"")))</f>
        <v/>
      </c>
      <c r="AA91" s="39" t="str">
        <f t="shared" si="33"/>
        <v/>
      </c>
      <c r="AB91" s="40" t="str">
        <f>IF(OR(L91="",V91=0),"",IF(AND(N(I91)&gt;0,N(INDEX('01-كانون الثاني'!$I$2:$I$501,V91))&gt;0,INDEX('01-كانون الثاني'!$F$2:$F$501,V91)=F91),N(I91)/N(INDEX('01-كانون الثاني'!$I$2:$I$501,V91))-1,""))</f>
        <v/>
      </c>
      <c r="AC91" t="str">
        <f>IF(L91="","",IF(AND($AO$2=1,ISNA(MATCH(L91,'03-آذار'!$L$2:$L$501,0))),"محذوف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IF(L92="","",IF($AO$1=1,IFERROR(MATCH(L92,'01-كانون الثاني'!$L$2:$L$501,0),0),0))</f>
        <v/>
      </c>
      <c r="W92" t="str">
        <f t="shared" si="31"/>
        <v/>
      </c>
      <c r="X92" s="38" t="str">
        <f>IF(L92="","",IF(V92&gt;0,INDEX('01-كانون الثاني'!$P$2:$P$501,V92),IF($AO$1=1,0,"")))</f>
        <v/>
      </c>
      <c r="Y92" s="38" t="str">
        <f t="shared" si="32"/>
        <v/>
      </c>
      <c r="Z92" s="39" t="str">
        <f>IF(L92="","",IF(V92&gt;0,INDEX('01-كانون الثاني'!$Q$2:$Q$501,V92),IF($AO$1=1,0,"")))</f>
        <v/>
      </c>
      <c r="AA92" s="39" t="str">
        <f t="shared" si="33"/>
        <v/>
      </c>
      <c r="AB92" s="40" t="str">
        <f>IF(OR(L92="",V92=0),"",IF(AND(N(I92)&gt;0,N(INDEX('01-كانون الثاني'!$I$2:$I$501,V92))&gt;0,INDEX('01-كانون الثاني'!$F$2:$F$501,V92)=F92),N(I92)/N(INDEX('01-كانون الثاني'!$I$2:$I$501,V92))-1,""))</f>
        <v/>
      </c>
      <c r="AC92" t="str">
        <f>IF(L92="","",IF(AND($AO$2=1,ISNA(MATCH(L92,'03-آذار'!$L$2:$L$501,0))),"محذوف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IF(L93="","",IF($AO$1=1,IFERROR(MATCH(L93,'01-كانون الثاني'!$L$2:$L$501,0),0),0))</f>
        <v/>
      </c>
      <c r="W93" t="str">
        <f t="shared" si="31"/>
        <v/>
      </c>
      <c r="X93" s="38" t="str">
        <f>IF(L93="","",IF(V93&gt;0,INDEX('01-كانون الثاني'!$P$2:$P$501,V93),IF($AO$1=1,0,"")))</f>
        <v/>
      </c>
      <c r="Y93" s="38" t="str">
        <f t="shared" si="32"/>
        <v/>
      </c>
      <c r="Z93" s="39" t="str">
        <f>IF(L93="","",IF(V93&gt;0,INDEX('01-كانون الثاني'!$Q$2:$Q$501,V93),IF($AO$1=1,0,"")))</f>
        <v/>
      </c>
      <c r="AA93" s="39" t="str">
        <f t="shared" si="33"/>
        <v/>
      </c>
      <c r="AB93" s="40" t="str">
        <f>IF(OR(L93="",V93=0),"",IF(AND(N(I93)&gt;0,N(INDEX('01-كانون الثاني'!$I$2:$I$501,V93))&gt;0,INDEX('01-كانون الثاني'!$F$2:$F$501,V93)=F93),N(I93)/N(INDEX('01-كانون الثاني'!$I$2:$I$501,V93))-1,""))</f>
        <v/>
      </c>
      <c r="AC93" t="str">
        <f>IF(L93="","",IF(AND($AO$2=1,ISNA(MATCH(L93,'03-آذار'!$L$2:$L$501,0))),"محذوف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IF(L94="","",IF($AO$1=1,IFERROR(MATCH(L94,'01-كانون الثاني'!$L$2:$L$501,0),0),0))</f>
        <v/>
      </c>
      <c r="W94" t="str">
        <f t="shared" si="31"/>
        <v/>
      </c>
      <c r="X94" s="38" t="str">
        <f>IF(L94="","",IF(V94&gt;0,INDEX('01-كانون الثاني'!$P$2:$P$501,V94),IF($AO$1=1,0,"")))</f>
        <v/>
      </c>
      <c r="Y94" s="38" t="str">
        <f t="shared" si="32"/>
        <v/>
      </c>
      <c r="Z94" s="39" t="str">
        <f>IF(L94="","",IF(V94&gt;0,INDEX('01-كانون الثاني'!$Q$2:$Q$501,V94),IF($AO$1=1,0,"")))</f>
        <v/>
      </c>
      <c r="AA94" s="39" t="str">
        <f t="shared" si="33"/>
        <v/>
      </c>
      <c r="AB94" s="40" t="str">
        <f>IF(OR(L94="",V94=0),"",IF(AND(N(I94)&gt;0,N(INDEX('01-كانون الثاني'!$I$2:$I$501,V94))&gt;0,INDEX('01-كانون الثاني'!$F$2:$F$501,V94)=F94),N(I94)/N(INDEX('01-كانون الثاني'!$I$2:$I$501,V94))-1,""))</f>
        <v/>
      </c>
      <c r="AC94" t="str">
        <f>IF(L94="","",IF(AND($AO$2=1,ISNA(MATCH(L94,'03-آذار'!$L$2:$L$501,0))),"محذوف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IF(L95="","",IF($AO$1=1,IFERROR(MATCH(L95,'01-كانون الثاني'!$L$2:$L$501,0),0),0))</f>
        <v/>
      </c>
      <c r="W95" t="str">
        <f t="shared" si="31"/>
        <v/>
      </c>
      <c r="X95" s="38" t="str">
        <f>IF(L95="","",IF(V95&gt;0,INDEX('01-كانون الثاني'!$P$2:$P$501,V95),IF($AO$1=1,0,"")))</f>
        <v/>
      </c>
      <c r="Y95" s="38" t="str">
        <f t="shared" si="32"/>
        <v/>
      </c>
      <c r="Z95" s="39" t="str">
        <f>IF(L95="","",IF(V95&gt;0,INDEX('01-كانون الثاني'!$Q$2:$Q$501,V95),IF($AO$1=1,0,"")))</f>
        <v/>
      </c>
      <c r="AA95" s="39" t="str">
        <f t="shared" si="33"/>
        <v/>
      </c>
      <c r="AB95" s="40" t="str">
        <f>IF(OR(L95="",V95=0),"",IF(AND(N(I95)&gt;0,N(INDEX('01-كانون الثاني'!$I$2:$I$501,V95))&gt;0,INDEX('01-كانون الثاني'!$F$2:$F$501,V95)=F95),N(I95)/N(INDEX('01-كانون الثاني'!$I$2:$I$501,V95))-1,""))</f>
        <v/>
      </c>
      <c r="AC95" t="str">
        <f>IF(L95="","",IF(AND($AO$2=1,ISNA(MATCH(L95,'03-آذار'!$L$2:$L$501,0))),"محذوف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IF(L96="","",IF($AO$1=1,IFERROR(MATCH(L96,'01-كانون الثاني'!$L$2:$L$501,0),0),0))</f>
        <v/>
      </c>
      <c r="W96" t="str">
        <f t="shared" si="31"/>
        <v/>
      </c>
      <c r="X96" s="38" t="str">
        <f>IF(L96="","",IF(V96&gt;0,INDEX('01-كانون الثاني'!$P$2:$P$501,V96),IF($AO$1=1,0,"")))</f>
        <v/>
      </c>
      <c r="Y96" s="38" t="str">
        <f t="shared" si="32"/>
        <v/>
      </c>
      <c r="Z96" s="39" t="str">
        <f>IF(L96="","",IF(V96&gt;0,INDEX('01-كانون الثاني'!$Q$2:$Q$501,V96),IF($AO$1=1,0,"")))</f>
        <v/>
      </c>
      <c r="AA96" s="39" t="str">
        <f t="shared" si="33"/>
        <v/>
      </c>
      <c r="AB96" s="40" t="str">
        <f>IF(OR(L96="",V96=0),"",IF(AND(N(I96)&gt;0,N(INDEX('01-كانون الثاني'!$I$2:$I$501,V96))&gt;0,INDEX('01-كانون الثاني'!$F$2:$F$501,V96)=F96),N(I96)/N(INDEX('01-كانون الثاني'!$I$2:$I$501,V96))-1,""))</f>
        <v/>
      </c>
      <c r="AC96" t="str">
        <f>IF(L96="","",IF(AND($AO$2=1,ISNA(MATCH(L96,'03-آذار'!$L$2:$L$501,0))),"محذوف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IF(L97="","",IF($AO$1=1,IFERROR(MATCH(L97,'01-كانون الثاني'!$L$2:$L$501,0),0),0))</f>
        <v/>
      </c>
      <c r="W97" t="str">
        <f t="shared" si="31"/>
        <v/>
      </c>
      <c r="X97" s="38" t="str">
        <f>IF(L97="","",IF(V97&gt;0,INDEX('01-كانون الثاني'!$P$2:$P$501,V97),IF($AO$1=1,0,"")))</f>
        <v/>
      </c>
      <c r="Y97" s="38" t="str">
        <f t="shared" si="32"/>
        <v/>
      </c>
      <c r="Z97" s="39" t="str">
        <f>IF(L97="","",IF(V97&gt;0,INDEX('01-كانون الثاني'!$Q$2:$Q$501,V97),IF($AO$1=1,0,"")))</f>
        <v/>
      </c>
      <c r="AA97" s="39" t="str">
        <f t="shared" si="33"/>
        <v/>
      </c>
      <c r="AB97" s="40" t="str">
        <f>IF(OR(L97="",V97=0),"",IF(AND(N(I97)&gt;0,N(INDEX('01-كانون الثاني'!$I$2:$I$501,V97))&gt;0,INDEX('01-كانون الثاني'!$F$2:$F$501,V97)=F97),N(I97)/N(INDEX('01-كانون الثاني'!$I$2:$I$501,V97))-1,""))</f>
        <v/>
      </c>
      <c r="AC97" t="str">
        <f>IF(L97="","",IF(AND($AO$2=1,ISNA(MATCH(L97,'03-آذار'!$L$2:$L$501,0))),"محذوف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IF(L98="","",IF($AO$1=1,IFERROR(MATCH(L98,'01-كانون الثاني'!$L$2:$L$501,0),0),0))</f>
        <v/>
      </c>
      <c r="W98" t="str">
        <f t="shared" si="31"/>
        <v/>
      </c>
      <c r="X98" s="38" t="str">
        <f>IF(L98="","",IF(V98&gt;0,INDEX('01-كانون الثاني'!$P$2:$P$501,V98),IF($AO$1=1,0,"")))</f>
        <v/>
      </c>
      <c r="Y98" s="38" t="str">
        <f t="shared" si="32"/>
        <v/>
      </c>
      <c r="Z98" s="39" t="str">
        <f>IF(L98="","",IF(V98&gt;0,INDEX('01-كانون الثاني'!$Q$2:$Q$501,V98),IF($AO$1=1,0,"")))</f>
        <v/>
      </c>
      <c r="AA98" s="39" t="str">
        <f t="shared" si="33"/>
        <v/>
      </c>
      <c r="AB98" s="40" t="str">
        <f>IF(OR(L98="",V98=0),"",IF(AND(N(I98)&gt;0,N(INDEX('01-كانون الثاني'!$I$2:$I$501,V98))&gt;0,INDEX('01-كانون الثاني'!$F$2:$F$501,V98)=F98),N(I98)/N(INDEX('01-كانون الثاني'!$I$2:$I$501,V98))-1,""))</f>
        <v/>
      </c>
      <c r="AC98" t="str">
        <f>IF(L98="","",IF(AND($AO$2=1,ISNA(MATCH(L98,'03-آذار'!$L$2:$L$501,0))),"محذوف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IF(L99="","",IF($AO$1=1,IFERROR(MATCH(L99,'01-كانون الثاني'!$L$2:$L$501,0),0),0))</f>
        <v/>
      </c>
      <c r="W99" t="str">
        <f t="shared" si="31"/>
        <v/>
      </c>
      <c r="X99" s="38" t="str">
        <f>IF(L99="","",IF(V99&gt;0,INDEX('01-كانون الثاني'!$P$2:$P$501,V99),IF($AO$1=1,0,"")))</f>
        <v/>
      </c>
      <c r="Y99" s="38" t="str">
        <f t="shared" si="32"/>
        <v/>
      </c>
      <c r="Z99" s="39" t="str">
        <f>IF(L99="","",IF(V99&gt;0,INDEX('01-كانون الثاني'!$Q$2:$Q$501,V99),IF($AO$1=1,0,"")))</f>
        <v/>
      </c>
      <c r="AA99" s="39" t="str">
        <f t="shared" si="33"/>
        <v/>
      </c>
      <c r="AB99" s="40" t="str">
        <f>IF(OR(L99="",V99=0),"",IF(AND(N(I99)&gt;0,N(INDEX('01-كانون الثاني'!$I$2:$I$501,V99))&gt;0,INDEX('01-كانون الثاني'!$F$2:$F$501,V99)=F99),N(I99)/N(INDEX('01-كانون الثاني'!$I$2:$I$501,V99))-1,""))</f>
        <v/>
      </c>
      <c r="AC99" t="str">
        <f>IF(L99="","",IF(AND($AO$2=1,ISNA(MATCH(L99,'03-آذار'!$L$2:$L$501,0))),"محذوف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IF(L100="","",IF($AO$1=1,IFERROR(MATCH(L100,'01-كانون الثاني'!$L$2:$L$501,0),0),0))</f>
        <v/>
      </c>
      <c r="W100" t="str">
        <f t="shared" si="31"/>
        <v/>
      </c>
      <c r="X100" s="38" t="str">
        <f>IF(L100="","",IF(V100&gt;0,INDEX('01-كانون الثاني'!$P$2:$P$501,V100),IF($AO$1=1,0,"")))</f>
        <v/>
      </c>
      <c r="Y100" s="38" t="str">
        <f t="shared" si="32"/>
        <v/>
      </c>
      <c r="Z100" s="39" t="str">
        <f>IF(L100="","",IF(V100&gt;0,INDEX('01-كانون الثاني'!$Q$2:$Q$501,V100),IF($AO$1=1,0,"")))</f>
        <v/>
      </c>
      <c r="AA100" s="39" t="str">
        <f t="shared" si="33"/>
        <v/>
      </c>
      <c r="AB100" s="40" t="str">
        <f>IF(OR(L100="",V100=0),"",IF(AND(N(I100)&gt;0,N(INDEX('01-كانون الثاني'!$I$2:$I$501,V100))&gt;0,INDEX('01-كانون الثاني'!$F$2:$F$501,V100)=F100),N(I100)/N(INDEX('01-كانون الثاني'!$I$2:$I$501,V100))-1,""))</f>
        <v/>
      </c>
      <c r="AC100" t="str">
        <f>IF(L100="","",IF(AND($AO$2=1,ISNA(MATCH(L100,'03-آذار'!$L$2:$L$501,0))),"محذوف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IF(L101="","",IF($AO$1=1,IFERROR(MATCH(L101,'01-كانون الثاني'!$L$2:$L$501,0),0),0))</f>
        <v/>
      </c>
      <c r="W101" t="str">
        <f t="shared" si="31"/>
        <v/>
      </c>
      <c r="X101" s="38" t="str">
        <f>IF(L101="","",IF(V101&gt;0,INDEX('01-كانون الثاني'!$P$2:$P$501,V101),IF($AO$1=1,0,"")))</f>
        <v/>
      </c>
      <c r="Y101" s="38" t="str">
        <f t="shared" si="32"/>
        <v/>
      </c>
      <c r="Z101" s="39" t="str">
        <f>IF(L101="","",IF(V101&gt;0,INDEX('01-كانون الثاني'!$Q$2:$Q$501,V101),IF($AO$1=1,0,"")))</f>
        <v/>
      </c>
      <c r="AA101" s="39" t="str">
        <f t="shared" si="33"/>
        <v/>
      </c>
      <c r="AB101" s="40" t="str">
        <f>IF(OR(L101="",V101=0),"",IF(AND(N(I101)&gt;0,N(INDEX('01-كانون الثاني'!$I$2:$I$501,V101))&gt;0,INDEX('01-كانون الثاني'!$F$2:$F$501,V101)=F101),N(I101)/N(INDEX('01-كانون الثاني'!$I$2:$I$501,V101))-1,""))</f>
        <v/>
      </c>
      <c r="AC101" t="str">
        <f>IF(L101="","",IF(AND($AO$2=1,ISNA(MATCH(L101,'03-آذار'!$L$2:$L$501,0))),"محذوف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IF(L102="","",IF($AO$1=1,IFERROR(MATCH(L102,'01-كانون الثاني'!$L$2:$L$501,0),0),0))</f>
        <v/>
      </c>
      <c r="W102" t="str">
        <f t="shared" si="31"/>
        <v/>
      </c>
      <c r="X102" s="38" t="str">
        <f>IF(L102="","",IF(V102&gt;0,INDEX('01-كانون الثاني'!$P$2:$P$501,V102),IF($AO$1=1,0,"")))</f>
        <v/>
      </c>
      <c r="Y102" s="38" t="str">
        <f t="shared" si="32"/>
        <v/>
      </c>
      <c r="Z102" s="39" t="str">
        <f>IF(L102="","",IF(V102&gt;0,INDEX('01-كانون الثاني'!$Q$2:$Q$501,V102),IF($AO$1=1,0,"")))</f>
        <v/>
      </c>
      <c r="AA102" s="39" t="str">
        <f t="shared" si="33"/>
        <v/>
      </c>
      <c r="AB102" s="40" t="str">
        <f>IF(OR(L102="",V102=0),"",IF(AND(N(I102)&gt;0,N(INDEX('01-كانون الثاني'!$I$2:$I$501,V102))&gt;0,INDEX('01-كانون الثاني'!$F$2:$F$501,V102)=F102),N(I102)/N(INDEX('01-كانون الثاني'!$I$2:$I$501,V102))-1,""))</f>
        <v/>
      </c>
      <c r="AC102" t="str">
        <f>IF(L102="","",IF(AND($AO$2=1,ISNA(MATCH(L102,'03-آذار'!$L$2:$L$501,0))),"محذوف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IF(L103="","",IF($AO$1=1,IFERROR(MATCH(L103,'01-كانون الثاني'!$L$2:$L$501,0),0),0))</f>
        <v/>
      </c>
      <c r="W103" t="str">
        <f t="shared" si="31"/>
        <v/>
      </c>
      <c r="X103" s="38" t="str">
        <f>IF(L103="","",IF(V103&gt;0,INDEX('01-كانون الثاني'!$P$2:$P$501,V103),IF($AO$1=1,0,"")))</f>
        <v/>
      </c>
      <c r="Y103" s="38" t="str">
        <f t="shared" si="32"/>
        <v/>
      </c>
      <c r="Z103" s="39" t="str">
        <f>IF(L103="","",IF(V103&gt;0,INDEX('01-كانون الثاني'!$Q$2:$Q$501,V103),IF($AO$1=1,0,"")))</f>
        <v/>
      </c>
      <c r="AA103" s="39" t="str">
        <f t="shared" si="33"/>
        <v/>
      </c>
      <c r="AB103" s="40" t="str">
        <f>IF(OR(L103="",V103=0),"",IF(AND(N(I103)&gt;0,N(INDEX('01-كانون الثاني'!$I$2:$I$501,V103))&gt;0,INDEX('01-كانون الثاني'!$F$2:$F$501,V103)=F103),N(I103)/N(INDEX('01-كانون الثاني'!$I$2:$I$501,V103))-1,""))</f>
        <v/>
      </c>
      <c r="AC103" t="str">
        <f>IF(L103="","",IF(AND($AO$2=1,ISNA(MATCH(L103,'03-آذار'!$L$2:$L$501,0))),"محذوف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IF(L104="","",IF($AO$1=1,IFERROR(MATCH(L104,'01-كانون الثاني'!$L$2:$L$501,0),0),0))</f>
        <v/>
      </c>
      <c r="W104" t="str">
        <f t="shared" si="31"/>
        <v/>
      </c>
      <c r="X104" s="38" t="str">
        <f>IF(L104="","",IF(V104&gt;0,INDEX('01-كانون الثاني'!$P$2:$P$501,V104),IF($AO$1=1,0,"")))</f>
        <v/>
      </c>
      <c r="Y104" s="38" t="str">
        <f t="shared" si="32"/>
        <v/>
      </c>
      <c r="Z104" s="39" t="str">
        <f>IF(L104="","",IF(V104&gt;0,INDEX('01-كانون الثاني'!$Q$2:$Q$501,V104),IF($AO$1=1,0,"")))</f>
        <v/>
      </c>
      <c r="AA104" s="39" t="str">
        <f t="shared" si="33"/>
        <v/>
      </c>
      <c r="AB104" s="40" t="str">
        <f>IF(OR(L104="",V104=0),"",IF(AND(N(I104)&gt;0,N(INDEX('01-كانون الثاني'!$I$2:$I$501,V104))&gt;0,INDEX('01-كانون الثاني'!$F$2:$F$501,V104)=F104),N(I104)/N(INDEX('01-كانون الثاني'!$I$2:$I$501,V104))-1,""))</f>
        <v/>
      </c>
      <c r="AC104" t="str">
        <f>IF(L104="","",IF(AND($AO$2=1,ISNA(MATCH(L104,'03-آذار'!$L$2:$L$501,0))),"محذوف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IF(L105="","",IF($AO$1=1,IFERROR(MATCH(L105,'01-كانون الثاني'!$L$2:$L$501,0),0),0))</f>
        <v/>
      </c>
      <c r="W105" t="str">
        <f t="shared" si="31"/>
        <v/>
      </c>
      <c r="X105" s="38" t="str">
        <f>IF(L105="","",IF(V105&gt;0,INDEX('01-كانون الثاني'!$P$2:$P$501,V105),IF($AO$1=1,0,"")))</f>
        <v/>
      </c>
      <c r="Y105" s="38" t="str">
        <f t="shared" si="32"/>
        <v/>
      </c>
      <c r="Z105" s="39" t="str">
        <f>IF(L105="","",IF(V105&gt;0,INDEX('01-كانون الثاني'!$Q$2:$Q$501,V105),IF($AO$1=1,0,"")))</f>
        <v/>
      </c>
      <c r="AA105" s="39" t="str">
        <f t="shared" si="33"/>
        <v/>
      </c>
      <c r="AB105" s="40" t="str">
        <f>IF(OR(L105="",V105=0),"",IF(AND(N(I105)&gt;0,N(INDEX('01-كانون الثاني'!$I$2:$I$501,V105))&gt;0,INDEX('01-كانون الثاني'!$F$2:$F$501,V105)=F105),N(I105)/N(INDEX('01-كانون الثاني'!$I$2:$I$501,V105))-1,""))</f>
        <v/>
      </c>
      <c r="AC105" t="str">
        <f>IF(L105="","",IF(AND($AO$2=1,ISNA(MATCH(L105,'03-آذار'!$L$2:$L$501,0))),"محذوف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IF(L106="","",IF($AO$1=1,IFERROR(MATCH(L106,'01-كانون الثاني'!$L$2:$L$501,0),0),0))</f>
        <v/>
      </c>
      <c r="W106" t="str">
        <f t="shared" si="31"/>
        <v/>
      </c>
      <c r="X106" s="38" t="str">
        <f>IF(L106="","",IF(V106&gt;0,INDEX('01-كانون الثاني'!$P$2:$P$501,V106),IF($AO$1=1,0,"")))</f>
        <v/>
      </c>
      <c r="Y106" s="38" t="str">
        <f t="shared" si="32"/>
        <v/>
      </c>
      <c r="Z106" s="39" t="str">
        <f>IF(L106="","",IF(V106&gt;0,INDEX('01-كانون الثاني'!$Q$2:$Q$501,V106),IF($AO$1=1,0,"")))</f>
        <v/>
      </c>
      <c r="AA106" s="39" t="str">
        <f t="shared" si="33"/>
        <v/>
      </c>
      <c r="AB106" s="40" t="str">
        <f>IF(OR(L106="",V106=0),"",IF(AND(N(I106)&gt;0,N(INDEX('01-كانون الثاني'!$I$2:$I$501,V106))&gt;0,INDEX('01-كانون الثاني'!$F$2:$F$501,V106)=F106),N(I106)/N(INDEX('01-كانون الثاني'!$I$2:$I$501,V106))-1,""))</f>
        <v/>
      </c>
      <c r="AC106" t="str">
        <f>IF(L106="","",IF(AND($AO$2=1,ISNA(MATCH(L106,'03-آذار'!$L$2:$L$501,0))),"محذوف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IF(L107="","",IF($AO$1=1,IFERROR(MATCH(L107,'01-كانون الثاني'!$L$2:$L$501,0),0),0))</f>
        <v/>
      </c>
      <c r="W107" t="str">
        <f t="shared" si="31"/>
        <v/>
      </c>
      <c r="X107" s="38" t="str">
        <f>IF(L107="","",IF(V107&gt;0,INDEX('01-كانون الثاني'!$P$2:$P$501,V107),IF($AO$1=1,0,"")))</f>
        <v/>
      </c>
      <c r="Y107" s="38" t="str">
        <f t="shared" si="32"/>
        <v/>
      </c>
      <c r="Z107" s="39" t="str">
        <f>IF(L107="","",IF(V107&gt;0,INDEX('01-كانون الثاني'!$Q$2:$Q$501,V107),IF($AO$1=1,0,"")))</f>
        <v/>
      </c>
      <c r="AA107" s="39" t="str">
        <f t="shared" si="33"/>
        <v/>
      </c>
      <c r="AB107" s="40" t="str">
        <f>IF(OR(L107="",V107=0),"",IF(AND(N(I107)&gt;0,N(INDEX('01-كانون الثاني'!$I$2:$I$501,V107))&gt;0,INDEX('01-كانون الثاني'!$F$2:$F$501,V107)=F107),N(I107)/N(INDEX('01-كانون الثاني'!$I$2:$I$501,V107))-1,""))</f>
        <v/>
      </c>
      <c r="AC107" t="str">
        <f>IF(L107="","",IF(AND($AO$2=1,ISNA(MATCH(L107,'03-آذار'!$L$2:$L$501,0))),"محذوف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IF(L108="","",IF($AO$1=1,IFERROR(MATCH(L108,'01-كانون الثاني'!$L$2:$L$501,0),0),0))</f>
        <v/>
      </c>
      <c r="W108" t="str">
        <f t="shared" si="31"/>
        <v/>
      </c>
      <c r="X108" s="38" t="str">
        <f>IF(L108="","",IF(V108&gt;0,INDEX('01-كانون الثاني'!$P$2:$P$501,V108),IF($AO$1=1,0,"")))</f>
        <v/>
      </c>
      <c r="Y108" s="38" t="str">
        <f t="shared" si="32"/>
        <v/>
      </c>
      <c r="Z108" s="39" t="str">
        <f>IF(L108="","",IF(V108&gt;0,INDEX('01-كانون الثاني'!$Q$2:$Q$501,V108),IF($AO$1=1,0,"")))</f>
        <v/>
      </c>
      <c r="AA108" s="39" t="str">
        <f t="shared" si="33"/>
        <v/>
      </c>
      <c r="AB108" s="40" t="str">
        <f>IF(OR(L108="",V108=0),"",IF(AND(N(I108)&gt;0,N(INDEX('01-كانون الثاني'!$I$2:$I$501,V108))&gt;0,INDEX('01-كانون الثاني'!$F$2:$F$501,V108)=F108),N(I108)/N(INDEX('01-كانون الثاني'!$I$2:$I$501,V108))-1,""))</f>
        <v/>
      </c>
      <c r="AC108" t="str">
        <f>IF(L108="","",IF(AND($AO$2=1,ISNA(MATCH(L108,'03-آذار'!$L$2:$L$501,0))),"محذوف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IF(L109="","",IF($AO$1=1,IFERROR(MATCH(L109,'01-كانون الثاني'!$L$2:$L$501,0),0),0))</f>
        <v/>
      </c>
      <c r="W109" t="str">
        <f t="shared" si="31"/>
        <v/>
      </c>
      <c r="X109" s="38" t="str">
        <f>IF(L109="","",IF(V109&gt;0,INDEX('01-كانون الثاني'!$P$2:$P$501,V109),IF($AO$1=1,0,"")))</f>
        <v/>
      </c>
      <c r="Y109" s="38" t="str">
        <f t="shared" si="32"/>
        <v/>
      </c>
      <c r="Z109" s="39" t="str">
        <f>IF(L109="","",IF(V109&gt;0,INDEX('01-كانون الثاني'!$Q$2:$Q$501,V109),IF($AO$1=1,0,"")))</f>
        <v/>
      </c>
      <c r="AA109" s="39" t="str">
        <f t="shared" si="33"/>
        <v/>
      </c>
      <c r="AB109" s="40" t="str">
        <f>IF(OR(L109="",V109=0),"",IF(AND(N(I109)&gt;0,N(INDEX('01-كانون الثاني'!$I$2:$I$501,V109))&gt;0,INDEX('01-كانون الثاني'!$F$2:$F$501,V109)=F109),N(I109)/N(INDEX('01-كانون الثاني'!$I$2:$I$501,V109))-1,""))</f>
        <v/>
      </c>
      <c r="AC109" t="str">
        <f>IF(L109="","",IF(AND($AO$2=1,ISNA(MATCH(L109,'03-آذار'!$L$2:$L$501,0))),"محذوف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IF(L110="","",IF($AO$1=1,IFERROR(MATCH(L110,'01-كانون الثاني'!$L$2:$L$501,0),0),0))</f>
        <v/>
      </c>
      <c r="W110" t="str">
        <f t="shared" si="31"/>
        <v/>
      </c>
      <c r="X110" s="38" t="str">
        <f>IF(L110="","",IF(V110&gt;0,INDEX('01-كانون الثاني'!$P$2:$P$501,V110),IF($AO$1=1,0,"")))</f>
        <v/>
      </c>
      <c r="Y110" s="38" t="str">
        <f t="shared" si="32"/>
        <v/>
      </c>
      <c r="Z110" s="39" t="str">
        <f>IF(L110="","",IF(V110&gt;0,INDEX('01-كانون الثاني'!$Q$2:$Q$501,V110),IF($AO$1=1,0,"")))</f>
        <v/>
      </c>
      <c r="AA110" s="39" t="str">
        <f t="shared" si="33"/>
        <v/>
      </c>
      <c r="AB110" s="40" t="str">
        <f>IF(OR(L110="",V110=0),"",IF(AND(N(I110)&gt;0,N(INDEX('01-كانون الثاني'!$I$2:$I$501,V110))&gt;0,INDEX('01-كانون الثاني'!$F$2:$F$501,V110)=F110),N(I110)/N(INDEX('01-كانون الثاني'!$I$2:$I$501,V110))-1,""))</f>
        <v/>
      </c>
      <c r="AC110" t="str">
        <f>IF(L110="","",IF(AND($AO$2=1,ISNA(MATCH(L110,'03-آذار'!$L$2:$L$501,0))),"محذوف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IF(L111="","",IF($AO$1=1,IFERROR(MATCH(L111,'01-كانون الثاني'!$L$2:$L$501,0),0),0))</f>
        <v/>
      </c>
      <c r="W111" t="str">
        <f t="shared" si="31"/>
        <v/>
      </c>
      <c r="X111" s="38" t="str">
        <f>IF(L111="","",IF(V111&gt;0,INDEX('01-كانون الثاني'!$P$2:$P$501,V111),IF($AO$1=1,0,"")))</f>
        <v/>
      </c>
      <c r="Y111" s="38" t="str">
        <f t="shared" si="32"/>
        <v/>
      </c>
      <c r="Z111" s="39" t="str">
        <f>IF(L111="","",IF(V111&gt;0,INDEX('01-كانون الثاني'!$Q$2:$Q$501,V111),IF($AO$1=1,0,"")))</f>
        <v/>
      </c>
      <c r="AA111" s="39" t="str">
        <f t="shared" si="33"/>
        <v/>
      </c>
      <c r="AB111" s="40" t="str">
        <f>IF(OR(L111="",V111=0),"",IF(AND(N(I111)&gt;0,N(INDEX('01-كانون الثاني'!$I$2:$I$501,V111))&gt;0,INDEX('01-كانون الثاني'!$F$2:$F$501,V111)=F111),N(I111)/N(INDEX('01-كانون الثاني'!$I$2:$I$501,V111))-1,""))</f>
        <v/>
      </c>
      <c r="AC111" t="str">
        <f>IF(L111="","",IF(AND($AO$2=1,ISNA(MATCH(L111,'03-آذار'!$L$2:$L$501,0))),"محذوف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IF(L112="","",IF($AO$1=1,IFERROR(MATCH(L112,'01-كانون الثاني'!$L$2:$L$501,0),0),0))</f>
        <v/>
      </c>
      <c r="W112" t="str">
        <f t="shared" si="31"/>
        <v/>
      </c>
      <c r="X112" s="38" t="str">
        <f>IF(L112="","",IF(V112&gt;0,INDEX('01-كانون الثاني'!$P$2:$P$501,V112),IF($AO$1=1,0,"")))</f>
        <v/>
      </c>
      <c r="Y112" s="38" t="str">
        <f t="shared" si="32"/>
        <v/>
      </c>
      <c r="Z112" s="39" t="str">
        <f>IF(L112="","",IF(V112&gt;0,INDEX('01-كانون الثاني'!$Q$2:$Q$501,V112),IF($AO$1=1,0,"")))</f>
        <v/>
      </c>
      <c r="AA112" s="39" t="str">
        <f t="shared" si="33"/>
        <v/>
      </c>
      <c r="AB112" s="40" t="str">
        <f>IF(OR(L112="",V112=0),"",IF(AND(N(I112)&gt;0,N(INDEX('01-كانون الثاني'!$I$2:$I$501,V112))&gt;0,INDEX('01-كانون الثاني'!$F$2:$F$501,V112)=F112),N(I112)/N(INDEX('01-كانون الثاني'!$I$2:$I$501,V112))-1,""))</f>
        <v/>
      </c>
      <c r="AC112" t="str">
        <f>IF(L112="","",IF(AND($AO$2=1,ISNA(MATCH(L112,'03-آذار'!$L$2:$L$501,0))),"محذوف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IF(L113="","",IF($AO$1=1,IFERROR(MATCH(L113,'01-كانون الثاني'!$L$2:$L$501,0),0),0))</f>
        <v/>
      </c>
      <c r="W113" t="str">
        <f t="shared" si="31"/>
        <v/>
      </c>
      <c r="X113" s="38" t="str">
        <f>IF(L113="","",IF(V113&gt;0,INDEX('01-كانون الثاني'!$P$2:$P$501,V113),IF($AO$1=1,0,"")))</f>
        <v/>
      </c>
      <c r="Y113" s="38" t="str">
        <f t="shared" si="32"/>
        <v/>
      </c>
      <c r="Z113" s="39" t="str">
        <f>IF(L113="","",IF(V113&gt;0,INDEX('01-كانون الثاني'!$Q$2:$Q$501,V113),IF($AO$1=1,0,"")))</f>
        <v/>
      </c>
      <c r="AA113" s="39" t="str">
        <f t="shared" si="33"/>
        <v/>
      </c>
      <c r="AB113" s="40" t="str">
        <f>IF(OR(L113="",V113=0),"",IF(AND(N(I113)&gt;0,N(INDEX('01-كانون الثاني'!$I$2:$I$501,V113))&gt;0,INDEX('01-كانون الثاني'!$F$2:$F$501,V113)=F113),N(I113)/N(INDEX('01-كانون الثاني'!$I$2:$I$501,V113))-1,""))</f>
        <v/>
      </c>
      <c r="AC113" t="str">
        <f>IF(L113="","",IF(AND($AO$2=1,ISNA(MATCH(L113,'03-آذار'!$L$2:$L$501,0))),"محذوف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IF(L114="","",IF($AO$1=1,IFERROR(MATCH(L114,'01-كانون الثاني'!$L$2:$L$501,0),0),0))</f>
        <v/>
      </c>
      <c r="W114" t="str">
        <f t="shared" si="31"/>
        <v/>
      </c>
      <c r="X114" s="38" t="str">
        <f>IF(L114="","",IF(V114&gt;0,INDEX('01-كانون الثاني'!$P$2:$P$501,V114),IF($AO$1=1,0,"")))</f>
        <v/>
      </c>
      <c r="Y114" s="38" t="str">
        <f t="shared" si="32"/>
        <v/>
      </c>
      <c r="Z114" s="39" t="str">
        <f>IF(L114="","",IF(V114&gt;0,INDEX('01-كانون الثاني'!$Q$2:$Q$501,V114),IF($AO$1=1,0,"")))</f>
        <v/>
      </c>
      <c r="AA114" s="39" t="str">
        <f t="shared" si="33"/>
        <v/>
      </c>
      <c r="AB114" s="40" t="str">
        <f>IF(OR(L114="",V114=0),"",IF(AND(N(I114)&gt;0,N(INDEX('01-كانون الثاني'!$I$2:$I$501,V114))&gt;0,INDEX('01-كانون الثاني'!$F$2:$F$501,V114)=F114),N(I114)/N(INDEX('01-كانون الثاني'!$I$2:$I$501,V114))-1,""))</f>
        <v/>
      </c>
      <c r="AC114" t="str">
        <f>IF(L114="","",IF(AND($AO$2=1,ISNA(MATCH(L114,'03-آذار'!$L$2:$L$501,0))),"محذوف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IF(L115="","",IF($AO$1=1,IFERROR(MATCH(L115,'01-كانون الثاني'!$L$2:$L$501,0),0),0))</f>
        <v/>
      </c>
      <c r="W115" t="str">
        <f t="shared" si="31"/>
        <v/>
      </c>
      <c r="X115" s="38" t="str">
        <f>IF(L115="","",IF(V115&gt;0,INDEX('01-كانون الثاني'!$P$2:$P$501,V115),IF($AO$1=1,0,"")))</f>
        <v/>
      </c>
      <c r="Y115" s="38" t="str">
        <f t="shared" si="32"/>
        <v/>
      </c>
      <c r="Z115" s="39" t="str">
        <f>IF(L115="","",IF(V115&gt;0,INDEX('01-كانون الثاني'!$Q$2:$Q$501,V115),IF($AO$1=1,0,"")))</f>
        <v/>
      </c>
      <c r="AA115" s="39" t="str">
        <f t="shared" si="33"/>
        <v/>
      </c>
      <c r="AB115" s="40" t="str">
        <f>IF(OR(L115="",V115=0),"",IF(AND(N(I115)&gt;0,N(INDEX('01-كانون الثاني'!$I$2:$I$501,V115))&gt;0,INDEX('01-كانون الثاني'!$F$2:$F$501,V115)=F115),N(I115)/N(INDEX('01-كانون الثاني'!$I$2:$I$501,V115))-1,""))</f>
        <v/>
      </c>
      <c r="AC115" t="str">
        <f>IF(L115="","",IF(AND($AO$2=1,ISNA(MATCH(L115,'03-آذار'!$L$2:$L$501,0))),"محذوف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IF(L116="","",IF($AO$1=1,IFERROR(MATCH(L116,'01-كانون الثاني'!$L$2:$L$501,0),0),0))</f>
        <v/>
      </c>
      <c r="W116" t="str">
        <f t="shared" si="31"/>
        <v/>
      </c>
      <c r="X116" s="38" t="str">
        <f>IF(L116="","",IF(V116&gt;0,INDEX('01-كانون الثاني'!$P$2:$P$501,V116),IF($AO$1=1,0,"")))</f>
        <v/>
      </c>
      <c r="Y116" s="38" t="str">
        <f t="shared" si="32"/>
        <v/>
      </c>
      <c r="Z116" s="39" t="str">
        <f>IF(L116="","",IF(V116&gt;0,INDEX('01-كانون الثاني'!$Q$2:$Q$501,V116),IF($AO$1=1,0,"")))</f>
        <v/>
      </c>
      <c r="AA116" s="39" t="str">
        <f t="shared" si="33"/>
        <v/>
      </c>
      <c r="AB116" s="40" t="str">
        <f>IF(OR(L116="",V116=0),"",IF(AND(N(I116)&gt;0,N(INDEX('01-كانون الثاني'!$I$2:$I$501,V116))&gt;0,INDEX('01-كانون الثاني'!$F$2:$F$501,V116)=F116),N(I116)/N(INDEX('01-كانون الثاني'!$I$2:$I$501,V116))-1,""))</f>
        <v/>
      </c>
      <c r="AC116" t="str">
        <f>IF(L116="","",IF(AND($AO$2=1,ISNA(MATCH(L116,'03-آذار'!$L$2:$L$501,0))),"محذوف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IF(L117="","",IF($AO$1=1,IFERROR(MATCH(L117,'01-كانون الثاني'!$L$2:$L$501,0),0),0))</f>
        <v/>
      </c>
      <c r="W117" t="str">
        <f t="shared" si="31"/>
        <v/>
      </c>
      <c r="X117" s="38" t="str">
        <f>IF(L117="","",IF(V117&gt;0,INDEX('01-كانون الثاني'!$P$2:$P$501,V117),IF($AO$1=1,0,"")))</f>
        <v/>
      </c>
      <c r="Y117" s="38" t="str">
        <f t="shared" si="32"/>
        <v/>
      </c>
      <c r="Z117" s="39" t="str">
        <f>IF(L117="","",IF(V117&gt;0,INDEX('01-كانون الثاني'!$Q$2:$Q$501,V117),IF($AO$1=1,0,"")))</f>
        <v/>
      </c>
      <c r="AA117" s="39" t="str">
        <f t="shared" si="33"/>
        <v/>
      </c>
      <c r="AB117" s="40" t="str">
        <f>IF(OR(L117="",V117=0),"",IF(AND(N(I117)&gt;0,N(INDEX('01-كانون الثاني'!$I$2:$I$501,V117))&gt;0,INDEX('01-كانون الثاني'!$F$2:$F$501,V117)=F117),N(I117)/N(INDEX('01-كانون الثاني'!$I$2:$I$501,V117))-1,""))</f>
        <v/>
      </c>
      <c r="AC117" t="str">
        <f>IF(L117="","",IF(AND($AO$2=1,ISNA(MATCH(L117,'03-آذار'!$L$2:$L$501,0))),"محذوف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IF(L118="","",IF($AO$1=1,IFERROR(MATCH(L118,'01-كانون الثاني'!$L$2:$L$501,0),0),0))</f>
        <v/>
      </c>
      <c r="W118" t="str">
        <f t="shared" si="31"/>
        <v/>
      </c>
      <c r="X118" s="38" t="str">
        <f>IF(L118="","",IF(V118&gt;0,INDEX('01-كانون الثاني'!$P$2:$P$501,V118),IF($AO$1=1,0,"")))</f>
        <v/>
      </c>
      <c r="Y118" s="38" t="str">
        <f t="shared" si="32"/>
        <v/>
      </c>
      <c r="Z118" s="39" t="str">
        <f>IF(L118="","",IF(V118&gt;0,INDEX('01-كانون الثاني'!$Q$2:$Q$501,V118),IF($AO$1=1,0,"")))</f>
        <v/>
      </c>
      <c r="AA118" s="39" t="str">
        <f t="shared" si="33"/>
        <v/>
      </c>
      <c r="AB118" s="40" t="str">
        <f>IF(OR(L118="",V118=0),"",IF(AND(N(I118)&gt;0,N(INDEX('01-كانون الثاني'!$I$2:$I$501,V118))&gt;0,INDEX('01-كانون الثاني'!$F$2:$F$501,V118)=F118),N(I118)/N(INDEX('01-كانون الثاني'!$I$2:$I$501,V118))-1,""))</f>
        <v/>
      </c>
      <c r="AC118" t="str">
        <f>IF(L118="","",IF(AND($AO$2=1,ISNA(MATCH(L118,'03-آذار'!$L$2:$L$501,0))),"محذوف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IF(L119="","",IF($AO$1=1,IFERROR(MATCH(L119,'01-كانون الثاني'!$L$2:$L$501,0),0),0))</f>
        <v/>
      </c>
      <c r="W119" t="str">
        <f t="shared" si="31"/>
        <v/>
      </c>
      <c r="X119" s="38" t="str">
        <f>IF(L119="","",IF(V119&gt;0,INDEX('01-كانون الثاني'!$P$2:$P$501,V119),IF($AO$1=1,0,"")))</f>
        <v/>
      </c>
      <c r="Y119" s="38" t="str">
        <f t="shared" si="32"/>
        <v/>
      </c>
      <c r="Z119" s="39" t="str">
        <f>IF(L119="","",IF(V119&gt;0,INDEX('01-كانون الثاني'!$Q$2:$Q$501,V119),IF($AO$1=1,0,"")))</f>
        <v/>
      </c>
      <c r="AA119" s="39" t="str">
        <f t="shared" si="33"/>
        <v/>
      </c>
      <c r="AB119" s="40" t="str">
        <f>IF(OR(L119="",V119=0),"",IF(AND(N(I119)&gt;0,N(INDEX('01-كانون الثاني'!$I$2:$I$501,V119))&gt;0,INDEX('01-كانون الثاني'!$F$2:$F$501,V119)=F119),N(I119)/N(INDEX('01-كانون الثاني'!$I$2:$I$501,V119))-1,""))</f>
        <v/>
      </c>
      <c r="AC119" t="str">
        <f>IF(L119="","",IF(AND($AO$2=1,ISNA(MATCH(L119,'03-آذار'!$L$2:$L$501,0))),"محذوف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IF(L120="","",IF($AO$1=1,IFERROR(MATCH(L120,'01-كانون الثاني'!$L$2:$L$501,0),0),0))</f>
        <v/>
      </c>
      <c r="W120" t="str">
        <f t="shared" si="31"/>
        <v/>
      </c>
      <c r="X120" s="38" t="str">
        <f>IF(L120="","",IF(V120&gt;0,INDEX('01-كانون الثاني'!$P$2:$P$501,V120),IF($AO$1=1,0,"")))</f>
        <v/>
      </c>
      <c r="Y120" s="38" t="str">
        <f t="shared" si="32"/>
        <v/>
      </c>
      <c r="Z120" s="39" t="str">
        <f>IF(L120="","",IF(V120&gt;0,INDEX('01-كانون الثاني'!$Q$2:$Q$501,V120),IF($AO$1=1,0,"")))</f>
        <v/>
      </c>
      <c r="AA120" s="39" t="str">
        <f t="shared" si="33"/>
        <v/>
      </c>
      <c r="AB120" s="40" t="str">
        <f>IF(OR(L120="",V120=0),"",IF(AND(N(I120)&gt;0,N(INDEX('01-كانون الثاني'!$I$2:$I$501,V120))&gt;0,INDEX('01-كانون الثاني'!$F$2:$F$501,V120)=F120),N(I120)/N(INDEX('01-كانون الثاني'!$I$2:$I$501,V120))-1,""))</f>
        <v/>
      </c>
      <c r="AC120" t="str">
        <f>IF(L120="","",IF(AND($AO$2=1,ISNA(MATCH(L120,'03-آذار'!$L$2:$L$501,0))),"محذوف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IF(L121="","",IF($AO$1=1,IFERROR(MATCH(L121,'01-كانون الثاني'!$L$2:$L$501,0),0),0))</f>
        <v/>
      </c>
      <c r="W121" t="str">
        <f t="shared" si="31"/>
        <v/>
      </c>
      <c r="X121" s="38" t="str">
        <f>IF(L121="","",IF(V121&gt;0,INDEX('01-كانون الثاني'!$P$2:$P$501,V121),IF($AO$1=1,0,"")))</f>
        <v/>
      </c>
      <c r="Y121" s="38" t="str">
        <f t="shared" si="32"/>
        <v/>
      </c>
      <c r="Z121" s="39" t="str">
        <f>IF(L121="","",IF(V121&gt;0,INDEX('01-كانون الثاني'!$Q$2:$Q$501,V121),IF($AO$1=1,0,"")))</f>
        <v/>
      </c>
      <c r="AA121" s="39" t="str">
        <f t="shared" si="33"/>
        <v/>
      </c>
      <c r="AB121" s="40" t="str">
        <f>IF(OR(L121="",V121=0),"",IF(AND(N(I121)&gt;0,N(INDEX('01-كانون الثاني'!$I$2:$I$501,V121))&gt;0,INDEX('01-كانون الثاني'!$F$2:$F$501,V121)=F121),N(I121)/N(INDEX('01-كانون الثاني'!$I$2:$I$501,V121))-1,""))</f>
        <v/>
      </c>
      <c r="AC121" t="str">
        <f>IF(L121="","",IF(AND($AO$2=1,ISNA(MATCH(L121,'03-آذار'!$L$2:$L$501,0))),"محذوف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IF(L122="","",IF($AO$1=1,IFERROR(MATCH(L122,'01-كانون الثاني'!$L$2:$L$501,0),0),0))</f>
        <v/>
      </c>
      <c r="W122" t="str">
        <f t="shared" si="31"/>
        <v/>
      </c>
      <c r="X122" s="38" t="str">
        <f>IF(L122="","",IF(V122&gt;0,INDEX('01-كانون الثاني'!$P$2:$P$501,V122),IF($AO$1=1,0,"")))</f>
        <v/>
      </c>
      <c r="Y122" s="38" t="str">
        <f t="shared" si="32"/>
        <v/>
      </c>
      <c r="Z122" s="39" t="str">
        <f>IF(L122="","",IF(V122&gt;0,INDEX('01-كانون الثاني'!$Q$2:$Q$501,V122),IF($AO$1=1,0,"")))</f>
        <v/>
      </c>
      <c r="AA122" s="39" t="str">
        <f t="shared" si="33"/>
        <v/>
      </c>
      <c r="AB122" s="40" t="str">
        <f>IF(OR(L122="",V122=0),"",IF(AND(N(I122)&gt;0,N(INDEX('01-كانون الثاني'!$I$2:$I$501,V122))&gt;0,INDEX('01-كانون الثاني'!$F$2:$F$501,V122)=F122),N(I122)/N(INDEX('01-كانون الثاني'!$I$2:$I$501,V122))-1,""))</f>
        <v/>
      </c>
      <c r="AC122" t="str">
        <f>IF(L122="","",IF(AND($AO$2=1,ISNA(MATCH(L122,'03-آذار'!$L$2:$L$501,0))),"محذوف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IF(L123="","",IF($AO$1=1,IFERROR(MATCH(L123,'01-كانون الثاني'!$L$2:$L$501,0),0),0))</f>
        <v/>
      </c>
      <c r="W123" t="str">
        <f t="shared" si="31"/>
        <v/>
      </c>
      <c r="X123" s="38" t="str">
        <f>IF(L123="","",IF(V123&gt;0,INDEX('01-كانون الثاني'!$P$2:$P$501,V123),IF($AO$1=1,0,"")))</f>
        <v/>
      </c>
      <c r="Y123" s="38" t="str">
        <f t="shared" si="32"/>
        <v/>
      </c>
      <c r="Z123" s="39" t="str">
        <f>IF(L123="","",IF(V123&gt;0,INDEX('01-كانون الثاني'!$Q$2:$Q$501,V123),IF($AO$1=1,0,"")))</f>
        <v/>
      </c>
      <c r="AA123" s="39" t="str">
        <f t="shared" si="33"/>
        <v/>
      </c>
      <c r="AB123" s="40" t="str">
        <f>IF(OR(L123="",V123=0),"",IF(AND(N(I123)&gt;0,N(INDEX('01-كانون الثاني'!$I$2:$I$501,V123))&gt;0,INDEX('01-كانون الثاني'!$F$2:$F$501,V123)=F123),N(I123)/N(INDEX('01-كانون الثاني'!$I$2:$I$501,V123))-1,""))</f>
        <v/>
      </c>
      <c r="AC123" t="str">
        <f>IF(L123="","",IF(AND($AO$2=1,ISNA(MATCH(L123,'03-آذار'!$L$2:$L$501,0))),"محذوف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IF(L124="","",IF($AO$1=1,IFERROR(MATCH(L124,'01-كانون الثاني'!$L$2:$L$501,0),0),0))</f>
        <v/>
      </c>
      <c r="W124" t="str">
        <f t="shared" si="31"/>
        <v/>
      </c>
      <c r="X124" s="38" t="str">
        <f>IF(L124="","",IF(V124&gt;0,INDEX('01-كانون الثاني'!$P$2:$P$501,V124),IF($AO$1=1,0,"")))</f>
        <v/>
      </c>
      <c r="Y124" s="38" t="str">
        <f t="shared" si="32"/>
        <v/>
      </c>
      <c r="Z124" s="39" t="str">
        <f>IF(L124="","",IF(V124&gt;0,INDEX('01-كانون الثاني'!$Q$2:$Q$501,V124),IF($AO$1=1,0,"")))</f>
        <v/>
      </c>
      <c r="AA124" s="39" t="str">
        <f t="shared" si="33"/>
        <v/>
      </c>
      <c r="AB124" s="40" t="str">
        <f>IF(OR(L124="",V124=0),"",IF(AND(N(I124)&gt;0,N(INDEX('01-كانون الثاني'!$I$2:$I$501,V124))&gt;0,INDEX('01-كانون الثاني'!$F$2:$F$501,V124)=F124),N(I124)/N(INDEX('01-كانون الثاني'!$I$2:$I$501,V124))-1,""))</f>
        <v/>
      </c>
      <c r="AC124" t="str">
        <f>IF(L124="","",IF(AND($AO$2=1,ISNA(MATCH(L124,'03-آذار'!$L$2:$L$501,0))),"محذوف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IF(L125="","",IF($AO$1=1,IFERROR(MATCH(L125,'01-كانون الثاني'!$L$2:$L$501,0),0),0))</f>
        <v/>
      </c>
      <c r="W125" t="str">
        <f t="shared" si="31"/>
        <v/>
      </c>
      <c r="X125" s="38" t="str">
        <f>IF(L125="","",IF(V125&gt;0,INDEX('01-كانون الثاني'!$P$2:$P$501,V125),IF($AO$1=1,0,"")))</f>
        <v/>
      </c>
      <c r="Y125" s="38" t="str">
        <f t="shared" si="32"/>
        <v/>
      </c>
      <c r="Z125" s="39" t="str">
        <f>IF(L125="","",IF(V125&gt;0,INDEX('01-كانون الثاني'!$Q$2:$Q$501,V125),IF($AO$1=1,0,"")))</f>
        <v/>
      </c>
      <c r="AA125" s="39" t="str">
        <f t="shared" si="33"/>
        <v/>
      </c>
      <c r="AB125" s="40" t="str">
        <f>IF(OR(L125="",V125=0),"",IF(AND(N(I125)&gt;0,N(INDEX('01-كانون الثاني'!$I$2:$I$501,V125))&gt;0,INDEX('01-كانون الثاني'!$F$2:$F$501,V125)=F125),N(I125)/N(INDEX('01-كانون الثاني'!$I$2:$I$501,V125))-1,""))</f>
        <v/>
      </c>
      <c r="AC125" t="str">
        <f>IF(L125="","",IF(AND($AO$2=1,ISNA(MATCH(L125,'03-آذار'!$L$2:$L$501,0))),"محذوف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IF(L126="","",IF($AO$1=1,IFERROR(MATCH(L126,'01-كانون الثاني'!$L$2:$L$501,0),0),0))</f>
        <v/>
      </c>
      <c r="W126" t="str">
        <f t="shared" si="31"/>
        <v/>
      </c>
      <c r="X126" s="38" t="str">
        <f>IF(L126="","",IF(V126&gt;0,INDEX('01-كانون الثاني'!$P$2:$P$501,V126),IF($AO$1=1,0,"")))</f>
        <v/>
      </c>
      <c r="Y126" s="38" t="str">
        <f t="shared" si="32"/>
        <v/>
      </c>
      <c r="Z126" s="39" t="str">
        <f>IF(L126="","",IF(V126&gt;0,INDEX('01-كانون الثاني'!$Q$2:$Q$501,V126),IF($AO$1=1,0,"")))</f>
        <v/>
      </c>
      <c r="AA126" s="39" t="str">
        <f t="shared" si="33"/>
        <v/>
      </c>
      <c r="AB126" s="40" t="str">
        <f>IF(OR(L126="",V126=0),"",IF(AND(N(I126)&gt;0,N(INDEX('01-كانون الثاني'!$I$2:$I$501,V126))&gt;0,INDEX('01-كانون الثاني'!$F$2:$F$501,V126)=F126),N(I126)/N(INDEX('01-كانون الثاني'!$I$2:$I$501,V126))-1,""))</f>
        <v/>
      </c>
      <c r="AC126" t="str">
        <f>IF(L126="","",IF(AND($AO$2=1,ISNA(MATCH(L126,'03-آذار'!$L$2:$L$501,0))),"محذوف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IF(L127="","",IF($AO$1=1,IFERROR(MATCH(L127,'01-كانون الثاني'!$L$2:$L$501,0),0),0))</f>
        <v/>
      </c>
      <c r="W127" t="str">
        <f t="shared" si="31"/>
        <v/>
      </c>
      <c r="X127" s="38" t="str">
        <f>IF(L127="","",IF(V127&gt;0,INDEX('01-كانون الثاني'!$P$2:$P$501,V127),IF($AO$1=1,0,"")))</f>
        <v/>
      </c>
      <c r="Y127" s="38" t="str">
        <f t="shared" si="32"/>
        <v/>
      </c>
      <c r="Z127" s="39" t="str">
        <f>IF(L127="","",IF(V127&gt;0,INDEX('01-كانون الثاني'!$Q$2:$Q$501,V127),IF($AO$1=1,0,"")))</f>
        <v/>
      </c>
      <c r="AA127" s="39" t="str">
        <f t="shared" si="33"/>
        <v/>
      </c>
      <c r="AB127" s="40" t="str">
        <f>IF(OR(L127="",V127=0),"",IF(AND(N(I127)&gt;0,N(INDEX('01-كانون الثاني'!$I$2:$I$501,V127))&gt;0,INDEX('01-كانون الثاني'!$F$2:$F$501,V127)=F127),N(I127)/N(INDEX('01-كانون الثاني'!$I$2:$I$501,V127))-1,""))</f>
        <v/>
      </c>
      <c r="AC127" t="str">
        <f>IF(L127="","",IF(AND($AO$2=1,ISNA(MATCH(L127,'03-آذار'!$L$2:$L$501,0))),"محذوف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IF(L128="","",IF($AO$1=1,IFERROR(MATCH(L128,'01-كانون الثاني'!$L$2:$L$501,0),0),0))</f>
        <v/>
      </c>
      <c r="W128" t="str">
        <f t="shared" si="31"/>
        <v/>
      </c>
      <c r="X128" s="38" t="str">
        <f>IF(L128="","",IF(V128&gt;0,INDEX('01-كانون الثاني'!$P$2:$P$501,V128),IF($AO$1=1,0,"")))</f>
        <v/>
      </c>
      <c r="Y128" s="38" t="str">
        <f t="shared" si="32"/>
        <v/>
      </c>
      <c r="Z128" s="39" t="str">
        <f>IF(L128="","",IF(V128&gt;0,INDEX('01-كانون الثاني'!$Q$2:$Q$501,V128),IF($AO$1=1,0,"")))</f>
        <v/>
      </c>
      <c r="AA128" s="39" t="str">
        <f t="shared" si="33"/>
        <v/>
      </c>
      <c r="AB128" s="40" t="str">
        <f>IF(OR(L128="",V128=0),"",IF(AND(N(I128)&gt;0,N(INDEX('01-كانون الثاني'!$I$2:$I$501,V128))&gt;0,INDEX('01-كانون الثاني'!$F$2:$F$501,V128)=F128),N(I128)/N(INDEX('01-كانون الثاني'!$I$2:$I$501,V128))-1,""))</f>
        <v/>
      </c>
      <c r="AC128" t="str">
        <f>IF(L128="","",IF(AND($AO$2=1,ISNA(MATCH(L128,'03-آذار'!$L$2:$L$501,0))),"محذوف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IF(L129="","",IF($AO$1=1,IFERROR(MATCH(L129,'01-كانون الثاني'!$L$2:$L$501,0),0),0))</f>
        <v/>
      </c>
      <c r="W129" t="str">
        <f t="shared" si="31"/>
        <v/>
      </c>
      <c r="X129" s="38" t="str">
        <f>IF(L129="","",IF(V129&gt;0,INDEX('01-كانون الثاني'!$P$2:$P$501,V129),IF($AO$1=1,0,"")))</f>
        <v/>
      </c>
      <c r="Y129" s="38" t="str">
        <f t="shared" si="32"/>
        <v/>
      </c>
      <c r="Z129" s="39" t="str">
        <f>IF(L129="","",IF(V129&gt;0,INDEX('01-كانون الثاني'!$Q$2:$Q$501,V129),IF($AO$1=1,0,"")))</f>
        <v/>
      </c>
      <c r="AA129" s="39" t="str">
        <f t="shared" si="33"/>
        <v/>
      </c>
      <c r="AB129" s="40" t="str">
        <f>IF(OR(L129="",V129=0),"",IF(AND(N(I129)&gt;0,N(INDEX('01-كانون الثاني'!$I$2:$I$501,V129))&gt;0,INDEX('01-كانون الثاني'!$F$2:$F$501,V129)=F129),N(I129)/N(INDEX('01-كانون الثاني'!$I$2:$I$501,V129))-1,""))</f>
        <v/>
      </c>
      <c r="AC129" t="str">
        <f>IF(L129="","",IF(AND($AO$2=1,ISNA(MATCH(L129,'03-آذار'!$L$2:$L$501,0))),"محذوف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IF(L130="","",IF($AO$1=1,IFERROR(MATCH(L130,'01-كانون الثاني'!$L$2:$L$501,0),0),0))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IF(L130="","",IF(V130&gt;0,INDEX('01-كانون الثاني'!$P$2:$P$501,V130),IF($AO$1=1,0,"")))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IF(L130="","",IF(V130&gt;0,INDEX('01-كانون الثاني'!$Q$2:$Q$501,V130),IF($AO$1=1,0,"")))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IF(OR(L130="",V130=0),"",IF(AND(N(I130)&gt;0,N(INDEX('01-كانون الثاني'!$I$2:$I$501,V130))&gt;0,INDEX('01-كانون الثاني'!$F$2:$F$501,V130)=F130),N(I130)/N(INDEX('01-كانون الثاني'!$I$2:$I$501,V130))-1,""))</f>
        <v/>
      </c>
      <c r="AC130" t="str">
        <f>IF(L130="","",IF(AND($AO$2=1,ISNA(MATCH(L130,'03-آذار'!$L$2:$L$501,0))),"محذوف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IF(L131="","",IF($AO$1=1,IFERROR(MATCH(L131,'01-كانون الثاني'!$L$2:$L$501,0),0),0))</f>
        <v/>
      </c>
      <c r="W131" t="str">
        <f t="shared" si="51"/>
        <v/>
      </c>
      <c r="X131" s="38" t="str">
        <f>IF(L131="","",IF(V131&gt;0,INDEX('01-كانون الثاني'!$P$2:$P$501,V131),IF($AO$1=1,0,"")))</f>
        <v/>
      </c>
      <c r="Y131" s="38" t="str">
        <f t="shared" si="52"/>
        <v/>
      </c>
      <c r="Z131" s="39" t="str">
        <f>IF(L131="","",IF(V131&gt;0,INDEX('01-كانون الثاني'!$Q$2:$Q$501,V131),IF($AO$1=1,0,"")))</f>
        <v/>
      </c>
      <c r="AA131" s="39" t="str">
        <f t="shared" si="53"/>
        <v/>
      </c>
      <c r="AB131" s="40" t="str">
        <f>IF(OR(L131="",V131=0),"",IF(AND(N(I131)&gt;0,N(INDEX('01-كانون الثاني'!$I$2:$I$501,V131))&gt;0,INDEX('01-كانون الثاني'!$F$2:$F$501,V131)=F131),N(I131)/N(INDEX('01-كانون الثاني'!$I$2:$I$501,V131))-1,""))</f>
        <v/>
      </c>
      <c r="AC131" t="str">
        <f>IF(L131="","",IF(AND($AO$2=1,ISNA(MATCH(L131,'03-آذار'!$L$2:$L$501,0))),"محذوف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IF(L132="","",IF($AO$1=1,IFERROR(MATCH(L132,'01-كانون الثاني'!$L$2:$L$501,0),0),0))</f>
        <v/>
      </c>
      <c r="W132" t="str">
        <f t="shared" si="51"/>
        <v/>
      </c>
      <c r="X132" s="38" t="str">
        <f>IF(L132="","",IF(V132&gt;0,INDEX('01-كانون الثاني'!$P$2:$P$501,V132),IF($AO$1=1,0,"")))</f>
        <v/>
      </c>
      <c r="Y132" s="38" t="str">
        <f t="shared" si="52"/>
        <v/>
      </c>
      <c r="Z132" s="39" t="str">
        <f>IF(L132="","",IF(V132&gt;0,INDEX('01-كانون الثاني'!$Q$2:$Q$501,V132),IF($AO$1=1,0,"")))</f>
        <v/>
      </c>
      <c r="AA132" s="39" t="str">
        <f t="shared" si="53"/>
        <v/>
      </c>
      <c r="AB132" s="40" t="str">
        <f>IF(OR(L132="",V132=0),"",IF(AND(N(I132)&gt;0,N(INDEX('01-كانون الثاني'!$I$2:$I$501,V132))&gt;0,INDEX('01-كانون الثاني'!$F$2:$F$501,V132)=F132),N(I132)/N(INDEX('01-كانون الثاني'!$I$2:$I$501,V132))-1,""))</f>
        <v/>
      </c>
      <c r="AC132" t="str">
        <f>IF(L132="","",IF(AND($AO$2=1,ISNA(MATCH(L132,'03-آذار'!$L$2:$L$501,0))),"محذوف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IF(L133="","",IF($AO$1=1,IFERROR(MATCH(L133,'01-كانون الثاني'!$L$2:$L$501,0),0),0))</f>
        <v/>
      </c>
      <c r="W133" t="str">
        <f t="shared" si="51"/>
        <v/>
      </c>
      <c r="X133" s="38" t="str">
        <f>IF(L133="","",IF(V133&gt;0,INDEX('01-كانون الثاني'!$P$2:$P$501,V133),IF($AO$1=1,0,"")))</f>
        <v/>
      </c>
      <c r="Y133" s="38" t="str">
        <f t="shared" si="52"/>
        <v/>
      </c>
      <c r="Z133" s="39" t="str">
        <f>IF(L133="","",IF(V133&gt;0,INDEX('01-كانون الثاني'!$Q$2:$Q$501,V133),IF($AO$1=1,0,"")))</f>
        <v/>
      </c>
      <c r="AA133" s="39" t="str">
        <f t="shared" si="53"/>
        <v/>
      </c>
      <c r="AB133" s="40" t="str">
        <f>IF(OR(L133="",V133=0),"",IF(AND(N(I133)&gt;0,N(INDEX('01-كانون الثاني'!$I$2:$I$501,V133))&gt;0,INDEX('01-كانون الثاني'!$F$2:$F$501,V133)=F133),N(I133)/N(INDEX('01-كانون الثاني'!$I$2:$I$501,V133))-1,""))</f>
        <v/>
      </c>
      <c r="AC133" t="str">
        <f>IF(L133="","",IF(AND($AO$2=1,ISNA(MATCH(L133,'03-آذار'!$L$2:$L$501,0))),"محذوف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IF(L134="","",IF($AO$1=1,IFERROR(MATCH(L134,'01-كانون الثاني'!$L$2:$L$501,0),0),0))</f>
        <v/>
      </c>
      <c r="W134" t="str">
        <f t="shared" si="51"/>
        <v/>
      </c>
      <c r="X134" s="38" t="str">
        <f>IF(L134="","",IF(V134&gt;0,INDEX('01-كانون الثاني'!$P$2:$P$501,V134),IF($AO$1=1,0,"")))</f>
        <v/>
      </c>
      <c r="Y134" s="38" t="str">
        <f t="shared" si="52"/>
        <v/>
      </c>
      <c r="Z134" s="39" t="str">
        <f>IF(L134="","",IF(V134&gt;0,INDEX('01-كانون الثاني'!$Q$2:$Q$501,V134),IF($AO$1=1,0,"")))</f>
        <v/>
      </c>
      <c r="AA134" s="39" t="str">
        <f t="shared" si="53"/>
        <v/>
      </c>
      <c r="AB134" s="40" t="str">
        <f>IF(OR(L134="",V134=0),"",IF(AND(N(I134)&gt;0,N(INDEX('01-كانون الثاني'!$I$2:$I$501,V134))&gt;0,INDEX('01-كانون الثاني'!$F$2:$F$501,V134)=F134),N(I134)/N(INDEX('01-كانون الثاني'!$I$2:$I$501,V134))-1,""))</f>
        <v/>
      </c>
      <c r="AC134" t="str">
        <f>IF(L134="","",IF(AND($AO$2=1,ISNA(MATCH(L134,'03-آذار'!$L$2:$L$501,0))),"محذوف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IF(L135="","",IF($AO$1=1,IFERROR(MATCH(L135,'01-كانون الثاني'!$L$2:$L$501,0),0),0))</f>
        <v/>
      </c>
      <c r="W135" t="str">
        <f t="shared" si="51"/>
        <v/>
      </c>
      <c r="X135" s="38" t="str">
        <f>IF(L135="","",IF(V135&gt;0,INDEX('01-كانون الثاني'!$P$2:$P$501,V135),IF($AO$1=1,0,"")))</f>
        <v/>
      </c>
      <c r="Y135" s="38" t="str">
        <f t="shared" si="52"/>
        <v/>
      </c>
      <c r="Z135" s="39" t="str">
        <f>IF(L135="","",IF(V135&gt;0,INDEX('01-كانون الثاني'!$Q$2:$Q$501,V135),IF($AO$1=1,0,"")))</f>
        <v/>
      </c>
      <c r="AA135" s="39" t="str">
        <f t="shared" si="53"/>
        <v/>
      </c>
      <c r="AB135" s="40" t="str">
        <f>IF(OR(L135="",V135=0),"",IF(AND(N(I135)&gt;0,N(INDEX('01-كانون الثاني'!$I$2:$I$501,V135))&gt;0,INDEX('01-كانون الثاني'!$F$2:$F$501,V135)=F135),N(I135)/N(INDEX('01-كانون الثاني'!$I$2:$I$501,V135))-1,""))</f>
        <v/>
      </c>
      <c r="AC135" t="str">
        <f>IF(L135="","",IF(AND($AO$2=1,ISNA(MATCH(L135,'03-آذار'!$L$2:$L$501,0))),"محذوف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IF(L136="","",IF($AO$1=1,IFERROR(MATCH(L136,'01-كانون الثاني'!$L$2:$L$501,0),0),0))</f>
        <v/>
      </c>
      <c r="W136" t="str">
        <f t="shared" si="51"/>
        <v/>
      </c>
      <c r="X136" s="38" t="str">
        <f>IF(L136="","",IF(V136&gt;0,INDEX('01-كانون الثاني'!$P$2:$P$501,V136),IF($AO$1=1,0,"")))</f>
        <v/>
      </c>
      <c r="Y136" s="38" t="str">
        <f t="shared" si="52"/>
        <v/>
      </c>
      <c r="Z136" s="39" t="str">
        <f>IF(L136="","",IF(V136&gt;0,INDEX('01-كانون الثاني'!$Q$2:$Q$501,V136),IF($AO$1=1,0,"")))</f>
        <v/>
      </c>
      <c r="AA136" s="39" t="str">
        <f t="shared" si="53"/>
        <v/>
      </c>
      <c r="AB136" s="40" t="str">
        <f>IF(OR(L136="",V136=0),"",IF(AND(N(I136)&gt;0,N(INDEX('01-كانون الثاني'!$I$2:$I$501,V136))&gt;0,INDEX('01-كانون الثاني'!$F$2:$F$501,V136)=F136),N(I136)/N(INDEX('01-كانون الثاني'!$I$2:$I$501,V136))-1,""))</f>
        <v/>
      </c>
      <c r="AC136" t="str">
        <f>IF(L136="","",IF(AND($AO$2=1,ISNA(MATCH(L136,'03-آذار'!$L$2:$L$501,0))),"محذوف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IF(L137="","",IF($AO$1=1,IFERROR(MATCH(L137,'01-كانون الثاني'!$L$2:$L$501,0),0),0))</f>
        <v/>
      </c>
      <c r="W137" t="str">
        <f t="shared" si="51"/>
        <v/>
      </c>
      <c r="X137" s="38" t="str">
        <f>IF(L137="","",IF(V137&gt;0,INDEX('01-كانون الثاني'!$P$2:$P$501,V137),IF($AO$1=1,0,"")))</f>
        <v/>
      </c>
      <c r="Y137" s="38" t="str">
        <f t="shared" si="52"/>
        <v/>
      </c>
      <c r="Z137" s="39" t="str">
        <f>IF(L137="","",IF(V137&gt;0,INDEX('01-كانون الثاني'!$Q$2:$Q$501,V137),IF($AO$1=1,0,"")))</f>
        <v/>
      </c>
      <c r="AA137" s="39" t="str">
        <f t="shared" si="53"/>
        <v/>
      </c>
      <c r="AB137" s="40" t="str">
        <f>IF(OR(L137="",V137=0),"",IF(AND(N(I137)&gt;0,N(INDEX('01-كانون الثاني'!$I$2:$I$501,V137))&gt;0,INDEX('01-كانون الثاني'!$F$2:$F$501,V137)=F137),N(I137)/N(INDEX('01-كانون الثاني'!$I$2:$I$501,V137))-1,""))</f>
        <v/>
      </c>
      <c r="AC137" t="str">
        <f>IF(L137="","",IF(AND($AO$2=1,ISNA(MATCH(L137,'03-آذار'!$L$2:$L$501,0))),"محذوف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IF(L138="","",IF($AO$1=1,IFERROR(MATCH(L138,'01-كانون الثاني'!$L$2:$L$501,0),0),0))</f>
        <v/>
      </c>
      <c r="W138" t="str">
        <f t="shared" si="51"/>
        <v/>
      </c>
      <c r="X138" s="38" t="str">
        <f>IF(L138="","",IF(V138&gt;0,INDEX('01-كانون الثاني'!$P$2:$P$501,V138),IF($AO$1=1,0,"")))</f>
        <v/>
      </c>
      <c r="Y138" s="38" t="str">
        <f t="shared" si="52"/>
        <v/>
      </c>
      <c r="Z138" s="39" t="str">
        <f>IF(L138="","",IF(V138&gt;0,INDEX('01-كانون الثاني'!$Q$2:$Q$501,V138),IF($AO$1=1,0,"")))</f>
        <v/>
      </c>
      <c r="AA138" s="39" t="str">
        <f t="shared" si="53"/>
        <v/>
      </c>
      <c r="AB138" s="40" t="str">
        <f>IF(OR(L138="",V138=0),"",IF(AND(N(I138)&gt;0,N(INDEX('01-كانون الثاني'!$I$2:$I$501,V138))&gt;0,INDEX('01-كانون الثاني'!$F$2:$F$501,V138)=F138),N(I138)/N(INDEX('01-كانون الثاني'!$I$2:$I$501,V138))-1,""))</f>
        <v/>
      </c>
      <c r="AC138" t="str">
        <f>IF(L138="","",IF(AND($AO$2=1,ISNA(MATCH(L138,'03-آذار'!$L$2:$L$501,0))),"محذوف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IF(L139="","",IF($AO$1=1,IFERROR(MATCH(L139,'01-كانون الثاني'!$L$2:$L$501,0),0),0))</f>
        <v/>
      </c>
      <c r="W139" t="str">
        <f t="shared" si="51"/>
        <v/>
      </c>
      <c r="X139" s="38" t="str">
        <f>IF(L139="","",IF(V139&gt;0,INDEX('01-كانون الثاني'!$P$2:$P$501,V139),IF($AO$1=1,0,"")))</f>
        <v/>
      </c>
      <c r="Y139" s="38" t="str">
        <f t="shared" si="52"/>
        <v/>
      </c>
      <c r="Z139" s="39" t="str">
        <f>IF(L139="","",IF(V139&gt;0,INDEX('01-كانون الثاني'!$Q$2:$Q$501,V139),IF($AO$1=1,0,"")))</f>
        <v/>
      </c>
      <c r="AA139" s="39" t="str">
        <f t="shared" si="53"/>
        <v/>
      </c>
      <c r="AB139" s="40" t="str">
        <f>IF(OR(L139="",V139=0),"",IF(AND(N(I139)&gt;0,N(INDEX('01-كانون الثاني'!$I$2:$I$501,V139))&gt;0,INDEX('01-كانون الثاني'!$F$2:$F$501,V139)=F139),N(I139)/N(INDEX('01-كانون الثاني'!$I$2:$I$501,V139))-1,""))</f>
        <v/>
      </c>
      <c r="AC139" t="str">
        <f>IF(L139="","",IF(AND($AO$2=1,ISNA(MATCH(L139,'03-آذار'!$L$2:$L$501,0))),"محذوف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IF(L140="","",IF($AO$1=1,IFERROR(MATCH(L140,'01-كانون الثاني'!$L$2:$L$501,0),0),0))</f>
        <v/>
      </c>
      <c r="W140" t="str">
        <f t="shared" si="51"/>
        <v/>
      </c>
      <c r="X140" s="38" t="str">
        <f>IF(L140="","",IF(V140&gt;0,INDEX('01-كانون الثاني'!$P$2:$P$501,V140),IF($AO$1=1,0,"")))</f>
        <v/>
      </c>
      <c r="Y140" s="38" t="str">
        <f t="shared" si="52"/>
        <v/>
      </c>
      <c r="Z140" s="39" t="str">
        <f>IF(L140="","",IF(V140&gt;0,INDEX('01-كانون الثاني'!$Q$2:$Q$501,V140),IF($AO$1=1,0,"")))</f>
        <v/>
      </c>
      <c r="AA140" s="39" t="str">
        <f t="shared" si="53"/>
        <v/>
      </c>
      <c r="AB140" s="40" t="str">
        <f>IF(OR(L140="",V140=0),"",IF(AND(N(I140)&gt;0,N(INDEX('01-كانون الثاني'!$I$2:$I$501,V140))&gt;0,INDEX('01-كانون الثاني'!$F$2:$F$501,V140)=F140),N(I140)/N(INDEX('01-كانون الثاني'!$I$2:$I$501,V140))-1,""))</f>
        <v/>
      </c>
      <c r="AC140" t="str">
        <f>IF(L140="","",IF(AND($AO$2=1,ISNA(MATCH(L140,'03-آذار'!$L$2:$L$501,0))),"محذوف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IF(L141="","",IF($AO$1=1,IFERROR(MATCH(L141,'01-كانون الثاني'!$L$2:$L$501,0),0),0))</f>
        <v/>
      </c>
      <c r="W141" t="str">
        <f t="shared" si="51"/>
        <v/>
      </c>
      <c r="X141" s="38" t="str">
        <f>IF(L141="","",IF(V141&gt;0,INDEX('01-كانون الثاني'!$P$2:$P$501,V141),IF($AO$1=1,0,"")))</f>
        <v/>
      </c>
      <c r="Y141" s="38" t="str">
        <f t="shared" si="52"/>
        <v/>
      </c>
      <c r="Z141" s="39" t="str">
        <f>IF(L141="","",IF(V141&gt;0,INDEX('01-كانون الثاني'!$Q$2:$Q$501,V141),IF($AO$1=1,0,"")))</f>
        <v/>
      </c>
      <c r="AA141" s="39" t="str">
        <f t="shared" si="53"/>
        <v/>
      </c>
      <c r="AB141" s="40" t="str">
        <f>IF(OR(L141="",V141=0),"",IF(AND(N(I141)&gt;0,N(INDEX('01-كانون الثاني'!$I$2:$I$501,V141))&gt;0,INDEX('01-كانون الثاني'!$F$2:$F$501,V141)=F141),N(I141)/N(INDEX('01-كانون الثاني'!$I$2:$I$501,V141))-1,""))</f>
        <v/>
      </c>
      <c r="AC141" t="str">
        <f>IF(L141="","",IF(AND($AO$2=1,ISNA(MATCH(L141,'03-آذار'!$L$2:$L$501,0))),"محذوف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IF(L142="","",IF($AO$1=1,IFERROR(MATCH(L142,'01-كانون الثاني'!$L$2:$L$501,0),0),0))</f>
        <v/>
      </c>
      <c r="W142" t="str">
        <f t="shared" si="51"/>
        <v/>
      </c>
      <c r="X142" s="38" t="str">
        <f>IF(L142="","",IF(V142&gt;0,INDEX('01-كانون الثاني'!$P$2:$P$501,V142),IF($AO$1=1,0,"")))</f>
        <v/>
      </c>
      <c r="Y142" s="38" t="str">
        <f t="shared" si="52"/>
        <v/>
      </c>
      <c r="Z142" s="39" t="str">
        <f>IF(L142="","",IF(V142&gt;0,INDEX('01-كانون الثاني'!$Q$2:$Q$501,V142),IF($AO$1=1,0,"")))</f>
        <v/>
      </c>
      <c r="AA142" s="39" t="str">
        <f t="shared" si="53"/>
        <v/>
      </c>
      <c r="AB142" s="40" t="str">
        <f>IF(OR(L142="",V142=0),"",IF(AND(N(I142)&gt;0,N(INDEX('01-كانون الثاني'!$I$2:$I$501,V142))&gt;0,INDEX('01-كانون الثاني'!$F$2:$F$501,V142)=F142),N(I142)/N(INDEX('01-كانون الثاني'!$I$2:$I$501,V142))-1,""))</f>
        <v/>
      </c>
      <c r="AC142" t="str">
        <f>IF(L142="","",IF(AND($AO$2=1,ISNA(MATCH(L142,'03-آذار'!$L$2:$L$501,0))),"محذوف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IF(L143="","",IF($AO$1=1,IFERROR(MATCH(L143,'01-كانون الثاني'!$L$2:$L$501,0),0),0))</f>
        <v/>
      </c>
      <c r="W143" t="str">
        <f t="shared" si="51"/>
        <v/>
      </c>
      <c r="X143" s="38" t="str">
        <f>IF(L143="","",IF(V143&gt;0,INDEX('01-كانون الثاني'!$P$2:$P$501,V143),IF($AO$1=1,0,"")))</f>
        <v/>
      </c>
      <c r="Y143" s="38" t="str">
        <f t="shared" si="52"/>
        <v/>
      </c>
      <c r="Z143" s="39" t="str">
        <f>IF(L143="","",IF(V143&gt;0,INDEX('01-كانون الثاني'!$Q$2:$Q$501,V143),IF($AO$1=1,0,"")))</f>
        <v/>
      </c>
      <c r="AA143" s="39" t="str">
        <f t="shared" si="53"/>
        <v/>
      </c>
      <c r="AB143" s="40" t="str">
        <f>IF(OR(L143="",V143=0),"",IF(AND(N(I143)&gt;0,N(INDEX('01-كانون الثاني'!$I$2:$I$501,V143))&gt;0,INDEX('01-كانون الثاني'!$F$2:$F$501,V143)=F143),N(I143)/N(INDEX('01-كانون الثاني'!$I$2:$I$501,V143))-1,""))</f>
        <v/>
      </c>
      <c r="AC143" t="str">
        <f>IF(L143="","",IF(AND($AO$2=1,ISNA(MATCH(L143,'03-آذار'!$L$2:$L$501,0))),"محذوف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IF(L144="","",IF($AO$1=1,IFERROR(MATCH(L144,'01-كانون الثاني'!$L$2:$L$501,0),0),0))</f>
        <v/>
      </c>
      <c r="W144" t="str">
        <f t="shared" si="51"/>
        <v/>
      </c>
      <c r="X144" s="38" t="str">
        <f>IF(L144="","",IF(V144&gt;0,INDEX('01-كانون الثاني'!$P$2:$P$501,V144),IF($AO$1=1,0,"")))</f>
        <v/>
      </c>
      <c r="Y144" s="38" t="str">
        <f t="shared" si="52"/>
        <v/>
      </c>
      <c r="Z144" s="39" t="str">
        <f>IF(L144="","",IF(V144&gt;0,INDEX('01-كانون الثاني'!$Q$2:$Q$501,V144),IF($AO$1=1,0,"")))</f>
        <v/>
      </c>
      <c r="AA144" s="39" t="str">
        <f t="shared" si="53"/>
        <v/>
      </c>
      <c r="AB144" s="40" t="str">
        <f>IF(OR(L144="",V144=0),"",IF(AND(N(I144)&gt;0,N(INDEX('01-كانون الثاني'!$I$2:$I$501,V144))&gt;0,INDEX('01-كانون الثاني'!$F$2:$F$501,V144)=F144),N(I144)/N(INDEX('01-كانون الثاني'!$I$2:$I$501,V144))-1,""))</f>
        <v/>
      </c>
      <c r="AC144" t="str">
        <f>IF(L144="","",IF(AND($AO$2=1,ISNA(MATCH(L144,'03-آذار'!$L$2:$L$501,0))),"محذوف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IF(L145="","",IF($AO$1=1,IFERROR(MATCH(L145,'01-كانون الثاني'!$L$2:$L$501,0),0),0))</f>
        <v/>
      </c>
      <c r="W145" t="str">
        <f t="shared" si="51"/>
        <v/>
      </c>
      <c r="X145" s="38" t="str">
        <f>IF(L145="","",IF(V145&gt;0,INDEX('01-كانون الثاني'!$P$2:$P$501,V145),IF($AO$1=1,0,"")))</f>
        <v/>
      </c>
      <c r="Y145" s="38" t="str">
        <f t="shared" si="52"/>
        <v/>
      </c>
      <c r="Z145" s="39" t="str">
        <f>IF(L145="","",IF(V145&gt;0,INDEX('01-كانون الثاني'!$Q$2:$Q$501,V145),IF($AO$1=1,0,"")))</f>
        <v/>
      </c>
      <c r="AA145" s="39" t="str">
        <f t="shared" si="53"/>
        <v/>
      </c>
      <c r="AB145" s="40" t="str">
        <f>IF(OR(L145="",V145=0),"",IF(AND(N(I145)&gt;0,N(INDEX('01-كانون الثاني'!$I$2:$I$501,V145))&gt;0,INDEX('01-كانون الثاني'!$F$2:$F$501,V145)=F145),N(I145)/N(INDEX('01-كانون الثاني'!$I$2:$I$501,V145))-1,""))</f>
        <v/>
      </c>
      <c r="AC145" t="str">
        <f>IF(L145="","",IF(AND($AO$2=1,ISNA(MATCH(L145,'03-آذار'!$L$2:$L$501,0))),"محذوف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IF(L146="","",IF($AO$1=1,IFERROR(MATCH(L146,'01-كانون الثاني'!$L$2:$L$501,0),0),0))</f>
        <v/>
      </c>
      <c r="W146" t="str">
        <f t="shared" si="51"/>
        <v/>
      </c>
      <c r="X146" s="38" t="str">
        <f>IF(L146="","",IF(V146&gt;0,INDEX('01-كانون الثاني'!$P$2:$P$501,V146),IF($AO$1=1,0,"")))</f>
        <v/>
      </c>
      <c r="Y146" s="38" t="str">
        <f t="shared" si="52"/>
        <v/>
      </c>
      <c r="Z146" s="39" t="str">
        <f>IF(L146="","",IF(V146&gt;0,INDEX('01-كانون الثاني'!$Q$2:$Q$501,V146),IF($AO$1=1,0,"")))</f>
        <v/>
      </c>
      <c r="AA146" s="39" t="str">
        <f t="shared" si="53"/>
        <v/>
      </c>
      <c r="AB146" s="40" t="str">
        <f>IF(OR(L146="",V146=0),"",IF(AND(N(I146)&gt;0,N(INDEX('01-كانون الثاني'!$I$2:$I$501,V146))&gt;0,INDEX('01-كانون الثاني'!$F$2:$F$501,V146)=F146),N(I146)/N(INDEX('01-كانون الثاني'!$I$2:$I$501,V146))-1,""))</f>
        <v/>
      </c>
      <c r="AC146" t="str">
        <f>IF(L146="","",IF(AND($AO$2=1,ISNA(MATCH(L146,'03-آذار'!$L$2:$L$501,0))),"محذوف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IF(L147="","",IF($AO$1=1,IFERROR(MATCH(L147,'01-كانون الثاني'!$L$2:$L$501,0),0),0))</f>
        <v/>
      </c>
      <c r="W147" t="str">
        <f t="shared" si="51"/>
        <v/>
      </c>
      <c r="X147" s="38" t="str">
        <f>IF(L147="","",IF(V147&gt;0,INDEX('01-كانون الثاني'!$P$2:$P$501,V147),IF($AO$1=1,0,"")))</f>
        <v/>
      </c>
      <c r="Y147" s="38" t="str">
        <f t="shared" si="52"/>
        <v/>
      </c>
      <c r="Z147" s="39" t="str">
        <f>IF(L147="","",IF(V147&gt;0,INDEX('01-كانون الثاني'!$Q$2:$Q$501,V147),IF($AO$1=1,0,"")))</f>
        <v/>
      </c>
      <c r="AA147" s="39" t="str">
        <f t="shared" si="53"/>
        <v/>
      </c>
      <c r="AB147" s="40" t="str">
        <f>IF(OR(L147="",V147=0),"",IF(AND(N(I147)&gt;0,N(INDEX('01-كانون الثاني'!$I$2:$I$501,V147))&gt;0,INDEX('01-كانون الثاني'!$F$2:$F$501,V147)=F147),N(I147)/N(INDEX('01-كانون الثاني'!$I$2:$I$501,V147))-1,""))</f>
        <v/>
      </c>
      <c r="AC147" t="str">
        <f>IF(L147="","",IF(AND($AO$2=1,ISNA(MATCH(L147,'03-آذار'!$L$2:$L$501,0))),"محذوف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IF(L148="","",IF($AO$1=1,IFERROR(MATCH(L148,'01-كانون الثاني'!$L$2:$L$501,0),0),0))</f>
        <v/>
      </c>
      <c r="W148" t="str">
        <f t="shared" si="51"/>
        <v/>
      </c>
      <c r="X148" s="38" t="str">
        <f>IF(L148="","",IF(V148&gt;0,INDEX('01-كانون الثاني'!$P$2:$P$501,V148),IF($AO$1=1,0,"")))</f>
        <v/>
      </c>
      <c r="Y148" s="38" t="str">
        <f t="shared" si="52"/>
        <v/>
      </c>
      <c r="Z148" s="39" t="str">
        <f>IF(L148="","",IF(V148&gt;0,INDEX('01-كانون الثاني'!$Q$2:$Q$501,V148),IF($AO$1=1,0,"")))</f>
        <v/>
      </c>
      <c r="AA148" s="39" t="str">
        <f t="shared" si="53"/>
        <v/>
      </c>
      <c r="AB148" s="40" t="str">
        <f>IF(OR(L148="",V148=0),"",IF(AND(N(I148)&gt;0,N(INDEX('01-كانون الثاني'!$I$2:$I$501,V148))&gt;0,INDEX('01-كانون الثاني'!$F$2:$F$501,V148)=F148),N(I148)/N(INDEX('01-كانون الثاني'!$I$2:$I$501,V148))-1,""))</f>
        <v/>
      </c>
      <c r="AC148" t="str">
        <f>IF(L148="","",IF(AND($AO$2=1,ISNA(MATCH(L148,'03-آذار'!$L$2:$L$501,0))),"محذوف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IF(L149="","",IF($AO$1=1,IFERROR(MATCH(L149,'01-كانون الثاني'!$L$2:$L$501,0),0),0))</f>
        <v/>
      </c>
      <c r="W149" t="str">
        <f t="shared" si="51"/>
        <v/>
      </c>
      <c r="X149" s="38" t="str">
        <f>IF(L149="","",IF(V149&gt;0,INDEX('01-كانون الثاني'!$P$2:$P$501,V149),IF($AO$1=1,0,"")))</f>
        <v/>
      </c>
      <c r="Y149" s="38" t="str">
        <f t="shared" si="52"/>
        <v/>
      </c>
      <c r="Z149" s="39" t="str">
        <f>IF(L149="","",IF(V149&gt;0,INDEX('01-كانون الثاني'!$Q$2:$Q$501,V149),IF($AO$1=1,0,"")))</f>
        <v/>
      </c>
      <c r="AA149" s="39" t="str">
        <f t="shared" si="53"/>
        <v/>
      </c>
      <c r="AB149" s="40" t="str">
        <f>IF(OR(L149="",V149=0),"",IF(AND(N(I149)&gt;0,N(INDEX('01-كانون الثاني'!$I$2:$I$501,V149))&gt;0,INDEX('01-كانون الثاني'!$F$2:$F$501,V149)=F149),N(I149)/N(INDEX('01-كانون الثاني'!$I$2:$I$501,V149))-1,""))</f>
        <v/>
      </c>
      <c r="AC149" t="str">
        <f>IF(L149="","",IF(AND($AO$2=1,ISNA(MATCH(L149,'03-آذار'!$L$2:$L$501,0))),"محذوف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IF(L150="","",IF($AO$1=1,IFERROR(MATCH(L150,'01-كانون الثاني'!$L$2:$L$501,0),0),0))</f>
        <v/>
      </c>
      <c r="W150" t="str">
        <f t="shared" si="51"/>
        <v/>
      </c>
      <c r="X150" s="38" t="str">
        <f>IF(L150="","",IF(V150&gt;0,INDEX('01-كانون الثاني'!$P$2:$P$501,V150),IF($AO$1=1,0,"")))</f>
        <v/>
      </c>
      <c r="Y150" s="38" t="str">
        <f t="shared" si="52"/>
        <v/>
      </c>
      <c r="Z150" s="39" t="str">
        <f>IF(L150="","",IF(V150&gt;0,INDEX('01-كانون الثاني'!$Q$2:$Q$501,V150),IF($AO$1=1,0,"")))</f>
        <v/>
      </c>
      <c r="AA150" s="39" t="str">
        <f t="shared" si="53"/>
        <v/>
      </c>
      <c r="AB150" s="40" t="str">
        <f>IF(OR(L150="",V150=0),"",IF(AND(N(I150)&gt;0,N(INDEX('01-كانون الثاني'!$I$2:$I$501,V150))&gt;0,INDEX('01-كانون الثاني'!$F$2:$F$501,V150)=F150),N(I150)/N(INDEX('01-كانون الثاني'!$I$2:$I$501,V150))-1,""))</f>
        <v/>
      </c>
      <c r="AC150" t="str">
        <f>IF(L150="","",IF(AND($AO$2=1,ISNA(MATCH(L150,'03-آذار'!$L$2:$L$501,0))),"محذوف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IF(L151="","",IF($AO$1=1,IFERROR(MATCH(L151,'01-كانون الثاني'!$L$2:$L$501,0),0),0))</f>
        <v/>
      </c>
      <c r="W151" t="str">
        <f t="shared" si="51"/>
        <v/>
      </c>
      <c r="X151" s="38" t="str">
        <f>IF(L151="","",IF(V151&gt;0,INDEX('01-كانون الثاني'!$P$2:$P$501,V151),IF($AO$1=1,0,"")))</f>
        <v/>
      </c>
      <c r="Y151" s="38" t="str">
        <f t="shared" si="52"/>
        <v/>
      </c>
      <c r="Z151" s="39" t="str">
        <f>IF(L151="","",IF(V151&gt;0,INDEX('01-كانون الثاني'!$Q$2:$Q$501,V151),IF($AO$1=1,0,"")))</f>
        <v/>
      </c>
      <c r="AA151" s="39" t="str">
        <f t="shared" si="53"/>
        <v/>
      </c>
      <c r="AB151" s="40" t="str">
        <f>IF(OR(L151="",V151=0),"",IF(AND(N(I151)&gt;0,N(INDEX('01-كانون الثاني'!$I$2:$I$501,V151))&gt;0,INDEX('01-كانون الثاني'!$F$2:$F$501,V151)=F151),N(I151)/N(INDEX('01-كانون الثاني'!$I$2:$I$501,V151))-1,""))</f>
        <v/>
      </c>
      <c r="AC151" t="str">
        <f>IF(L151="","",IF(AND($AO$2=1,ISNA(MATCH(L151,'03-آذار'!$L$2:$L$501,0))),"محذوف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IF(L152="","",IF($AO$1=1,IFERROR(MATCH(L152,'01-كانون الثاني'!$L$2:$L$501,0),0),0))</f>
        <v/>
      </c>
      <c r="W152" t="str">
        <f t="shared" si="51"/>
        <v/>
      </c>
      <c r="X152" s="38" t="str">
        <f>IF(L152="","",IF(V152&gt;0,INDEX('01-كانون الثاني'!$P$2:$P$501,V152),IF($AO$1=1,0,"")))</f>
        <v/>
      </c>
      <c r="Y152" s="38" t="str">
        <f t="shared" si="52"/>
        <v/>
      </c>
      <c r="Z152" s="39" t="str">
        <f>IF(L152="","",IF(V152&gt;0,INDEX('01-كانون الثاني'!$Q$2:$Q$501,V152),IF($AO$1=1,0,"")))</f>
        <v/>
      </c>
      <c r="AA152" s="39" t="str">
        <f t="shared" si="53"/>
        <v/>
      </c>
      <c r="AB152" s="40" t="str">
        <f>IF(OR(L152="",V152=0),"",IF(AND(N(I152)&gt;0,N(INDEX('01-كانون الثاني'!$I$2:$I$501,V152))&gt;0,INDEX('01-كانون الثاني'!$F$2:$F$501,V152)=F152),N(I152)/N(INDEX('01-كانون الثاني'!$I$2:$I$501,V152))-1,""))</f>
        <v/>
      </c>
      <c r="AC152" t="str">
        <f>IF(L152="","",IF(AND($AO$2=1,ISNA(MATCH(L152,'03-آذار'!$L$2:$L$501,0))),"محذوف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IF(L153="","",IF($AO$1=1,IFERROR(MATCH(L153,'01-كانون الثاني'!$L$2:$L$501,0),0),0))</f>
        <v/>
      </c>
      <c r="W153" t="str">
        <f t="shared" si="51"/>
        <v/>
      </c>
      <c r="X153" s="38" t="str">
        <f>IF(L153="","",IF(V153&gt;0,INDEX('01-كانون الثاني'!$P$2:$P$501,V153),IF($AO$1=1,0,"")))</f>
        <v/>
      </c>
      <c r="Y153" s="38" t="str">
        <f t="shared" si="52"/>
        <v/>
      </c>
      <c r="Z153" s="39" t="str">
        <f>IF(L153="","",IF(V153&gt;0,INDEX('01-كانون الثاني'!$Q$2:$Q$501,V153),IF($AO$1=1,0,"")))</f>
        <v/>
      </c>
      <c r="AA153" s="39" t="str">
        <f t="shared" si="53"/>
        <v/>
      </c>
      <c r="AB153" s="40" t="str">
        <f>IF(OR(L153="",V153=0),"",IF(AND(N(I153)&gt;0,N(INDEX('01-كانون الثاني'!$I$2:$I$501,V153))&gt;0,INDEX('01-كانون الثاني'!$F$2:$F$501,V153)=F153),N(I153)/N(INDEX('01-كانون الثاني'!$I$2:$I$501,V153))-1,""))</f>
        <v/>
      </c>
      <c r="AC153" t="str">
        <f>IF(L153="","",IF(AND($AO$2=1,ISNA(MATCH(L153,'03-آذار'!$L$2:$L$501,0))),"محذوف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IF(L154="","",IF($AO$1=1,IFERROR(MATCH(L154,'01-كانون الثاني'!$L$2:$L$501,0),0),0))</f>
        <v/>
      </c>
      <c r="W154" t="str">
        <f t="shared" si="51"/>
        <v/>
      </c>
      <c r="X154" s="38" t="str">
        <f>IF(L154="","",IF(V154&gt;0,INDEX('01-كانون الثاني'!$P$2:$P$501,V154),IF($AO$1=1,0,"")))</f>
        <v/>
      </c>
      <c r="Y154" s="38" t="str">
        <f t="shared" si="52"/>
        <v/>
      </c>
      <c r="Z154" s="39" t="str">
        <f>IF(L154="","",IF(V154&gt;0,INDEX('01-كانون الثاني'!$Q$2:$Q$501,V154),IF($AO$1=1,0,"")))</f>
        <v/>
      </c>
      <c r="AA154" s="39" t="str">
        <f t="shared" si="53"/>
        <v/>
      </c>
      <c r="AB154" s="40" t="str">
        <f>IF(OR(L154="",V154=0),"",IF(AND(N(I154)&gt;0,N(INDEX('01-كانون الثاني'!$I$2:$I$501,V154))&gt;0,INDEX('01-كانون الثاني'!$F$2:$F$501,V154)=F154),N(I154)/N(INDEX('01-كانون الثاني'!$I$2:$I$501,V154))-1,""))</f>
        <v/>
      </c>
      <c r="AC154" t="str">
        <f>IF(L154="","",IF(AND($AO$2=1,ISNA(MATCH(L154,'03-آذار'!$L$2:$L$501,0))),"محذوف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IF(L155="","",IF($AO$1=1,IFERROR(MATCH(L155,'01-كانون الثاني'!$L$2:$L$501,0),0),0))</f>
        <v/>
      </c>
      <c r="W155" t="str">
        <f t="shared" si="51"/>
        <v/>
      </c>
      <c r="X155" s="38" t="str">
        <f>IF(L155="","",IF(V155&gt;0,INDEX('01-كانون الثاني'!$P$2:$P$501,V155),IF($AO$1=1,0,"")))</f>
        <v/>
      </c>
      <c r="Y155" s="38" t="str">
        <f t="shared" si="52"/>
        <v/>
      </c>
      <c r="Z155" s="39" t="str">
        <f>IF(L155="","",IF(V155&gt;0,INDEX('01-كانون الثاني'!$Q$2:$Q$501,V155),IF($AO$1=1,0,"")))</f>
        <v/>
      </c>
      <c r="AA155" s="39" t="str">
        <f t="shared" si="53"/>
        <v/>
      </c>
      <c r="AB155" s="40" t="str">
        <f>IF(OR(L155="",V155=0),"",IF(AND(N(I155)&gt;0,N(INDEX('01-كانون الثاني'!$I$2:$I$501,V155))&gt;0,INDEX('01-كانون الثاني'!$F$2:$F$501,V155)=F155),N(I155)/N(INDEX('01-كانون الثاني'!$I$2:$I$501,V155))-1,""))</f>
        <v/>
      </c>
      <c r="AC155" t="str">
        <f>IF(L155="","",IF(AND($AO$2=1,ISNA(MATCH(L155,'03-آذار'!$L$2:$L$501,0))),"محذوف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IF(L156="","",IF($AO$1=1,IFERROR(MATCH(L156,'01-كانون الثاني'!$L$2:$L$501,0),0),0))</f>
        <v/>
      </c>
      <c r="W156" t="str">
        <f t="shared" si="51"/>
        <v/>
      </c>
      <c r="X156" s="38" t="str">
        <f>IF(L156="","",IF(V156&gt;0,INDEX('01-كانون الثاني'!$P$2:$P$501,V156),IF($AO$1=1,0,"")))</f>
        <v/>
      </c>
      <c r="Y156" s="38" t="str">
        <f t="shared" si="52"/>
        <v/>
      </c>
      <c r="Z156" s="39" t="str">
        <f>IF(L156="","",IF(V156&gt;0,INDEX('01-كانون الثاني'!$Q$2:$Q$501,V156),IF($AO$1=1,0,"")))</f>
        <v/>
      </c>
      <c r="AA156" s="39" t="str">
        <f t="shared" si="53"/>
        <v/>
      </c>
      <c r="AB156" s="40" t="str">
        <f>IF(OR(L156="",V156=0),"",IF(AND(N(I156)&gt;0,N(INDEX('01-كانون الثاني'!$I$2:$I$501,V156))&gt;0,INDEX('01-كانون الثاني'!$F$2:$F$501,V156)=F156),N(I156)/N(INDEX('01-كانون الثاني'!$I$2:$I$501,V156))-1,""))</f>
        <v/>
      </c>
      <c r="AC156" t="str">
        <f>IF(L156="","",IF(AND($AO$2=1,ISNA(MATCH(L156,'03-آذار'!$L$2:$L$501,0))),"محذوف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IF(L157="","",IF($AO$1=1,IFERROR(MATCH(L157,'01-كانون الثاني'!$L$2:$L$501,0),0),0))</f>
        <v/>
      </c>
      <c r="W157" t="str">
        <f t="shared" si="51"/>
        <v/>
      </c>
      <c r="X157" s="38" t="str">
        <f>IF(L157="","",IF(V157&gt;0,INDEX('01-كانون الثاني'!$P$2:$P$501,V157),IF($AO$1=1,0,"")))</f>
        <v/>
      </c>
      <c r="Y157" s="38" t="str">
        <f t="shared" si="52"/>
        <v/>
      </c>
      <c r="Z157" s="39" t="str">
        <f>IF(L157="","",IF(V157&gt;0,INDEX('01-كانون الثاني'!$Q$2:$Q$501,V157),IF($AO$1=1,0,"")))</f>
        <v/>
      </c>
      <c r="AA157" s="39" t="str">
        <f t="shared" si="53"/>
        <v/>
      </c>
      <c r="AB157" s="40" t="str">
        <f>IF(OR(L157="",V157=0),"",IF(AND(N(I157)&gt;0,N(INDEX('01-كانون الثاني'!$I$2:$I$501,V157))&gt;0,INDEX('01-كانون الثاني'!$F$2:$F$501,V157)=F157),N(I157)/N(INDEX('01-كانون الثاني'!$I$2:$I$501,V157))-1,""))</f>
        <v/>
      </c>
      <c r="AC157" t="str">
        <f>IF(L157="","",IF(AND($AO$2=1,ISNA(MATCH(L157,'03-آذار'!$L$2:$L$501,0))),"محذوف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IF(L158="","",IF($AO$1=1,IFERROR(MATCH(L158,'01-كانون الثاني'!$L$2:$L$501,0),0),0))</f>
        <v/>
      </c>
      <c r="W158" t="str">
        <f t="shared" si="51"/>
        <v/>
      </c>
      <c r="X158" s="38" t="str">
        <f>IF(L158="","",IF(V158&gt;0,INDEX('01-كانون الثاني'!$P$2:$P$501,V158),IF($AO$1=1,0,"")))</f>
        <v/>
      </c>
      <c r="Y158" s="38" t="str">
        <f t="shared" si="52"/>
        <v/>
      </c>
      <c r="Z158" s="39" t="str">
        <f>IF(L158="","",IF(V158&gt;0,INDEX('01-كانون الثاني'!$Q$2:$Q$501,V158),IF($AO$1=1,0,"")))</f>
        <v/>
      </c>
      <c r="AA158" s="39" t="str">
        <f t="shared" si="53"/>
        <v/>
      </c>
      <c r="AB158" s="40" t="str">
        <f>IF(OR(L158="",V158=0),"",IF(AND(N(I158)&gt;0,N(INDEX('01-كانون الثاني'!$I$2:$I$501,V158))&gt;0,INDEX('01-كانون الثاني'!$F$2:$F$501,V158)=F158),N(I158)/N(INDEX('01-كانون الثاني'!$I$2:$I$501,V158))-1,""))</f>
        <v/>
      </c>
      <c r="AC158" t="str">
        <f>IF(L158="","",IF(AND($AO$2=1,ISNA(MATCH(L158,'03-آذار'!$L$2:$L$501,0))),"محذوف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IF(L159="","",IF($AO$1=1,IFERROR(MATCH(L159,'01-كانون الثاني'!$L$2:$L$501,0),0),0))</f>
        <v/>
      </c>
      <c r="W159" t="str">
        <f t="shared" si="51"/>
        <v/>
      </c>
      <c r="X159" s="38" t="str">
        <f>IF(L159="","",IF(V159&gt;0,INDEX('01-كانون الثاني'!$P$2:$P$501,V159),IF($AO$1=1,0,"")))</f>
        <v/>
      </c>
      <c r="Y159" s="38" t="str">
        <f t="shared" si="52"/>
        <v/>
      </c>
      <c r="Z159" s="39" t="str">
        <f>IF(L159="","",IF(V159&gt;0,INDEX('01-كانون الثاني'!$Q$2:$Q$501,V159),IF($AO$1=1,0,"")))</f>
        <v/>
      </c>
      <c r="AA159" s="39" t="str">
        <f t="shared" si="53"/>
        <v/>
      </c>
      <c r="AB159" s="40" t="str">
        <f>IF(OR(L159="",V159=0),"",IF(AND(N(I159)&gt;0,N(INDEX('01-كانون الثاني'!$I$2:$I$501,V159))&gt;0,INDEX('01-كانون الثاني'!$F$2:$F$501,V159)=F159),N(I159)/N(INDEX('01-كانون الثاني'!$I$2:$I$501,V159))-1,""))</f>
        <v/>
      </c>
      <c r="AC159" t="str">
        <f>IF(L159="","",IF(AND($AO$2=1,ISNA(MATCH(L159,'03-آذار'!$L$2:$L$501,0))),"محذوف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IF(L160="","",IF($AO$1=1,IFERROR(MATCH(L160,'01-كانون الثاني'!$L$2:$L$501,0),0),0))</f>
        <v/>
      </c>
      <c r="W160" t="str">
        <f t="shared" si="51"/>
        <v/>
      </c>
      <c r="X160" s="38" t="str">
        <f>IF(L160="","",IF(V160&gt;0,INDEX('01-كانون الثاني'!$P$2:$P$501,V160),IF($AO$1=1,0,"")))</f>
        <v/>
      </c>
      <c r="Y160" s="38" t="str">
        <f t="shared" si="52"/>
        <v/>
      </c>
      <c r="Z160" s="39" t="str">
        <f>IF(L160="","",IF(V160&gt;0,INDEX('01-كانون الثاني'!$Q$2:$Q$501,V160),IF($AO$1=1,0,"")))</f>
        <v/>
      </c>
      <c r="AA160" s="39" t="str">
        <f t="shared" si="53"/>
        <v/>
      </c>
      <c r="AB160" s="40" t="str">
        <f>IF(OR(L160="",V160=0),"",IF(AND(N(I160)&gt;0,N(INDEX('01-كانون الثاني'!$I$2:$I$501,V160))&gt;0,INDEX('01-كانون الثاني'!$F$2:$F$501,V160)=F160),N(I160)/N(INDEX('01-كانون الثاني'!$I$2:$I$501,V160))-1,""))</f>
        <v/>
      </c>
      <c r="AC160" t="str">
        <f>IF(L160="","",IF(AND($AO$2=1,ISNA(MATCH(L160,'03-آذار'!$L$2:$L$501,0))),"محذوف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IF(L161="","",IF($AO$1=1,IFERROR(MATCH(L161,'01-كانون الثاني'!$L$2:$L$501,0),0),0))</f>
        <v/>
      </c>
      <c r="W161" t="str">
        <f t="shared" si="51"/>
        <v/>
      </c>
      <c r="X161" s="38" t="str">
        <f>IF(L161="","",IF(V161&gt;0,INDEX('01-كانون الثاني'!$P$2:$P$501,V161),IF($AO$1=1,0,"")))</f>
        <v/>
      </c>
      <c r="Y161" s="38" t="str">
        <f t="shared" si="52"/>
        <v/>
      </c>
      <c r="Z161" s="39" t="str">
        <f>IF(L161="","",IF(V161&gt;0,INDEX('01-كانون الثاني'!$Q$2:$Q$501,V161),IF($AO$1=1,0,"")))</f>
        <v/>
      </c>
      <c r="AA161" s="39" t="str">
        <f t="shared" si="53"/>
        <v/>
      </c>
      <c r="AB161" s="40" t="str">
        <f>IF(OR(L161="",V161=0),"",IF(AND(N(I161)&gt;0,N(INDEX('01-كانون الثاني'!$I$2:$I$501,V161))&gt;0,INDEX('01-كانون الثاني'!$F$2:$F$501,V161)=F161),N(I161)/N(INDEX('01-كانون الثاني'!$I$2:$I$501,V161))-1,""))</f>
        <v/>
      </c>
      <c r="AC161" t="str">
        <f>IF(L161="","",IF(AND($AO$2=1,ISNA(MATCH(L161,'03-آذار'!$L$2:$L$501,0))),"محذوف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IF(L162="","",IF($AO$1=1,IFERROR(MATCH(L162,'01-كانون الثاني'!$L$2:$L$501,0),0),0))</f>
        <v/>
      </c>
      <c r="W162" t="str">
        <f t="shared" si="51"/>
        <v/>
      </c>
      <c r="X162" s="38" t="str">
        <f>IF(L162="","",IF(V162&gt;0,INDEX('01-كانون الثاني'!$P$2:$P$501,V162),IF($AO$1=1,0,"")))</f>
        <v/>
      </c>
      <c r="Y162" s="38" t="str">
        <f t="shared" si="52"/>
        <v/>
      </c>
      <c r="Z162" s="39" t="str">
        <f>IF(L162="","",IF(V162&gt;0,INDEX('01-كانون الثاني'!$Q$2:$Q$501,V162),IF($AO$1=1,0,"")))</f>
        <v/>
      </c>
      <c r="AA162" s="39" t="str">
        <f t="shared" si="53"/>
        <v/>
      </c>
      <c r="AB162" s="40" t="str">
        <f>IF(OR(L162="",V162=0),"",IF(AND(N(I162)&gt;0,N(INDEX('01-كانون الثاني'!$I$2:$I$501,V162))&gt;0,INDEX('01-كانون الثاني'!$F$2:$F$501,V162)=F162),N(I162)/N(INDEX('01-كانون الثاني'!$I$2:$I$501,V162))-1,""))</f>
        <v/>
      </c>
      <c r="AC162" t="str">
        <f>IF(L162="","",IF(AND($AO$2=1,ISNA(MATCH(L162,'03-آذار'!$L$2:$L$501,0))),"محذوف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IF(L163="","",IF($AO$1=1,IFERROR(MATCH(L163,'01-كانون الثاني'!$L$2:$L$501,0),0),0))</f>
        <v/>
      </c>
      <c r="W163" t="str">
        <f t="shared" si="51"/>
        <v/>
      </c>
      <c r="X163" s="38" t="str">
        <f>IF(L163="","",IF(V163&gt;0,INDEX('01-كانون الثاني'!$P$2:$P$501,V163),IF($AO$1=1,0,"")))</f>
        <v/>
      </c>
      <c r="Y163" s="38" t="str">
        <f t="shared" si="52"/>
        <v/>
      </c>
      <c r="Z163" s="39" t="str">
        <f>IF(L163="","",IF(V163&gt;0,INDEX('01-كانون الثاني'!$Q$2:$Q$501,V163),IF($AO$1=1,0,"")))</f>
        <v/>
      </c>
      <c r="AA163" s="39" t="str">
        <f t="shared" si="53"/>
        <v/>
      </c>
      <c r="AB163" s="40" t="str">
        <f>IF(OR(L163="",V163=0),"",IF(AND(N(I163)&gt;0,N(INDEX('01-كانون الثاني'!$I$2:$I$501,V163))&gt;0,INDEX('01-كانون الثاني'!$F$2:$F$501,V163)=F163),N(I163)/N(INDEX('01-كانون الثاني'!$I$2:$I$501,V163))-1,""))</f>
        <v/>
      </c>
      <c r="AC163" t="str">
        <f>IF(L163="","",IF(AND($AO$2=1,ISNA(MATCH(L163,'03-آذار'!$L$2:$L$501,0))),"محذوف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IF(L164="","",IF($AO$1=1,IFERROR(MATCH(L164,'01-كانون الثاني'!$L$2:$L$501,0),0),0))</f>
        <v/>
      </c>
      <c r="W164" t="str">
        <f t="shared" si="51"/>
        <v/>
      </c>
      <c r="X164" s="38" t="str">
        <f>IF(L164="","",IF(V164&gt;0,INDEX('01-كانون الثاني'!$P$2:$P$501,V164),IF($AO$1=1,0,"")))</f>
        <v/>
      </c>
      <c r="Y164" s="38" t="str">
        <f t="shared" si="52"/>
        <v/>
      </c>
      <c r="Z164" s="39" t="str">
        <f>IF(L164="","",IF(V164&gt;0,INDEX('01-كانون الثاني'!$Q$2:$Q$501,V164),IF($AO$1=1,0,"")))</f>
        <v/>
      </c>
      <c r="AA164" s="39" t="str">
        <f t="shared" si="53"/>
        <v/>
      </c>
      <c r="AB164" s="40" t="str">
        <f>IF(OR(L164="",V164=0),"",IF(AND(N(I164)&gt;0,N(INDEX('01-كانون الثاني'!$I$2:$I$501,V164))&gt;0,INDEX('01-كانون الثاني'!$F$2:$F$501,V164)=F164),N(I164)/N(INDEX('01-كانون الثاني'!$I$2:$I$501,V164))-1,""))</f>
        <v/>
      </c>
      <c r="AC164" t="str">
        <f>IF(L164="","",IF(AND($AO$2=1,ISNA(MATCH(L164,'03-آذار'!$L$2:$L$501,0))),"محذوف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IF(L165="","",IF($AO$1=1,IFERROR(MATCH(L165,'01-كانون الثاني'!$L$2:$L$501,0),0),0))</f>
        <v/>
      </c>
      <c r="W165" t="str">
        <f t="shared" si="51"/>
        <v/>
      </c>
      <c r="X165" s="38" t="str">
        <f>IF(L165="","",IF(V165&gt;0,INDEX('01-كانون الثاني'!$P$2:$P$501,V165),IF($AO$1=1,0,"")))</f>
        <v/>
      </c>
      <c r="Y165" s="38" t="str">
        <f t="shared" si="52"/>
        <v/>
      </c>
      <c r="Z165" s="39" t="str">
        <f>IF(L165="","",IF(V165&gt;0,INDEX('01-كانون الثاني'!$Q$2:$Q$501,V165),IF($AO$1=1,0,"")))</f>
        <v/>
      </c>
      <c r="AA165" s="39" t="str">
        <f t="shared" si="53"/>
        <v/>
      </c>
      <c r="AB165" s="40" t="str">
        <f>IF(OR(L165="",V165=0),"",IF(AND(N(I165)&gt;0,N(INDEX('01-كانون الثاني'!$I$2:$I$501,V165))&gt;0,INDEX('01-كانون الثاني'!$F$2:$F$501,V165)=F165),N(I165)/N(INDEX('01-كانون الثاني'!$I$2:$I$501,V165))-1,""))</f>
        <v/>
      </c>
      <c r="AC165" t="str">
        <f>IF(L165="","",IF(AND($AO$2=1,ISNA(MATCH(L165,'03-آذار'!$L$2:$L$501,0))),"محذوف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IF(L166="","",IF($AO$1=1,IFERROR(MATCH(L166,'01-كانون الثاني'!$L$2:$L$501,0),0),0))</f>
        <v/>
      </c>
      <c r="W166" t="str">
        <f t="shared" si="51"/>
        <v/>
      </c>
      <c r="X166" s="38" t="str">
        <f>IF(L166="","",IF(V166&gt;0,INDEX('01-كانون الثاني'!$P$2:$P$501,V166),IF($AO$1=1,0,"")))</f>
        <v/>
      </c>
      <c r="Y166" s="38" t="str">
        <f t="shared" si="52"/>
        <v/>
      </c>
      <c r="Z166" s="39" t="str">
        <f>IF(L166="","",IF(V166&gt;0,INDEX('01-كانون الثاني'!$Q$2:$Q$501,V166),IF($AO$1=1,0,"")))</f>
        <v/>
      </c>
      <c r="AA166" s="39" t="str">
        <f t="shared" si="53"/>
        <v/>
      </c>
      <c r="AB166" s="40" t="str">
        <f>IF(OR(L166="",V166=0),"",IF(AND(N(I166)&gt;0,N(INDEX('01-كانون الثاني'!$I$2:$I$501,V166))&gt;0,INDEX('01-كانون الثاني'!$F$2:$F$501,V166)=F166),N(I166)/N(INDEX('01-كانون الثاني'!$I$2:$I$501,V166))-1,""))</f>
        <v/>
      </c>
      <c r="AC166" t="str">
        <f>IF(L166="","",IF(AND($AO$2=1,ISNA(MATCH(L166,'03-آذار'!$L$2:$L$501,0))),"محذوف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IF(L167="","",IF($AO$1=1,IFERROR(MATCH(L167,'01-كانون الثاني'!$L$2:$L$501,0),0),0))</f>
        <v/>
      </c>
      <c r="W167" t="str">
        <f t="shared" si="51"/>
        <v/>
      </c>
      <c r="X167" s="38" t="str">
        <f>IF(L167="","",IF(V167&gt;0,INDEX('01-كانون الثاني'!$P$2:$P$501,V167),IF($AO$1=1,0,"")))</f>
        <v/>
      </c>
      <c r="Y167" s="38" t="str">
        <f t="shared" si="52"/>
        <v/>
      </c>
      <c r="Z167" s="39" t="str">
        <f>IF(L167="","",IF(V167&gt;0,INDEX('01-كانون الثاني'!$Q$2:$Q$501,V167),IF($AO$1=1,0,"")))</f>
        <v/>
      </c>
      <c r="AA167" s="39" t="str">
        <f t="shared" si="53"/>
        <v/>
      </c>
      <c r="AB167" s="40" t="str">
        <f>IF(OR(L167="",V167=0),"",IF(AND(N(I167)&gt;0,N(INDEX('01-كانون الثاني'!$I$2:$I$501,V167))&gt;0,INDEX('01-كانون الثاني'!$F$2:$F$501,V167)=F167),N(I167)/N(INDEX('01-كانون الثاني'!$I$2:$I$501,V167))-1,""))</f>
        <v/>
      </c>
      <c r="AC167" t="str">
        <f>IF(L167="","",IF(AND($AO$2=1,ISNA(MATCH(L167,'03-آذار'!$L$2:$L$501,0))),"محذوف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IF(L168="","",IF($AO$1=1,IFERROR(MATCH(L168,'01-كانون الثاني'!$L$2:$L$501,0),0),0))</f>
        <v/>
      </c>
      <c r="W168" t="str">
        <f t="shared" si="51"/>
        <v/>
      </c>
      <c r="X168" s="38" t="str">
        <f>IF(L168="","",IF(V168&gt;0,INDEX('01-كانون الثاني'!$P$2:$P$501,V168),IF($AO$1=1,0,"")))</f>
        <v/>
      </c>
      <c r="Y168" s="38" t="str">
        <f t="shared" si="52"/>
        <v/>
      </c>
      <c r="Z168" s="39" t="str">
        <f>IF(L168="","",IF(V168&gt;0,INDEX('01-كانون الثاني'!$Q$2:$Q$501,V168),IF($AO$1=1,0,"")))</f>
        <v/>
      </c>
      <c r="AA168" s="39" t="str">
        <f t="shared" si="53"/>
        <v/>
      </c>
      <c r="AB168" s="40" t="str">
        <f>IF(OR(L168="",V168=0),"",IF(AND(N(I168)&gt;0,N(INDEX('01-كانون الثاني'!$I$2:$I$501,V168))&gt;0,INDEX('01-كانون الثاني'!$F$2:$F$501,V168)=F168),N(I168)/N(INDEX('01-كانون الثاني'!$I$2:$I$501,V168))-1,""))</f>
        <v/>
      </c>
      <c r="AC168" t="str">
        <f>IF(L168="","",IF(AND($AO$2=1,ISNA(MATCH(L168,'03-آذار'!$L$2:$L$501,0))),"محذوف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IF(L169="","",IF($AO$1=1,IFERROR(MATCH(L169,'01-كانون الثاني'!$L$2:$L$501,0),0),0))</f>
        <v/>
      </c>
      <c r="W169" t="str">
        <f t="shared" si="51"/>
        <v/>
      </c>
      <c r="X169" s="38" t="str">
        <f>IF(L169="","",IF(V169&gt;0,INDEX('01-كانون الثاني'!$P$2:$P$501,V169),IF($AO$1=1,0,"")))</f>
        <v/>
      </c>
      <c r="Y169" s="38" t="str">
        <f t="shared" si="52"/>
        <v/>
      </c>
      <c r="Z169" s="39" t="str">
        <f>IF(L169="","",IF(V169&gt;0,INDEX('01-كانون الثاني'!$Q$2:$Q$501,V169),IF($AO$1=1,0,"")))</f>
        <v/>
      </c>
      <c r="AA169" s="39" t="str">
        <f t="shared" si="53"/>
        <v/>
      </c>
      <c r="AB169" s="40" t="str">
        <f>IF(OR(L169="",V169=0),"",IF(AND(N(I169)&gt;0,N(INDEX('01-كانون الثاني'!$I$2:$I$501,V169))&gt;0,INDEX('01-كانون الثاني'!$F$2:$F$501,V169)=F169),N(I169)/N(INDEX('01-كانون الثاني'!$I$2:$I$501,V169))-1,""))</f>
        <v/>
      </c>
      <c r="AC169" t="str">
        <f>IF(L169="","",IF(AND($AO$2=1,ISNA(MATCH(L169,'03-آذار'!$L$2:$L$501,0))),"محذوف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IF(L170="","",IF($AO$1=1,IFERROR(MATCH(L170,'01-كانون الثاني'!$L$2:$L$501,0),0),0))</f>
        <v/>
      </c>
      <c r="W170" t="str">
        <f t="shared" si="51"/>
        <v/>
      </c>
      <c r="X170" s="38" t="str">
        <f>IF(L170="","",IF(V170&gt;0,INDEX('01-كانون الثاني'!$P$2:$P$501,V170),IF($AO$1=1,0,"")))</f>
        <v/>
      </c>
      <c r="Y170" s="38" t="str">
        <f t="shared" si="52"/>
        <v/>
      </c>
      <c r="Z170" s="39" t="str">
        <f>IF(L170="","",IF(V170&gt;0,INDEX('01-كانون الثاني'!$Q$2:$Q$501,V170),IF($AO$1=1,0,"")))</f>
        <v/>
      </c>
      <c r="AA170" s="39" t="str">
        <f t="shared" si="53"/>
        <v/>
      </c>
      <c r="AB170" s="40" t="str">
        <f>IF(OR(L170="",V170=0),"",IF(AND(N(I170)&gt;0,N(INDEX('01-كانون الثاني'!$I$2:$I$501,V170))&gt;0,INDEX('01-كانون الثاني'!$F$2:$F$501,V170)=F170),N(I170)/N(INDEX('01-كانون الثاني'!$I$2:$I$501,V170))-1,""))</f>
        <v/>
      </c>
      <c r="AC170" t="str">
        <f>IF(L170="","",IF(AND($AO$2=1,ISNA(MATCH(L170,'03-آذار'!$L$2:$L$501,0))),"محذوف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IF(L171="","",IF($AO$1=1,IFERROR(MATCH(L171,'01-كانون الثاني'!$L$2:$L$501,0),0),0))</f>
        <v/>
      </c>
      <c r="W171" t="str">
        <f t="shared" si="51"/>
        <v/>
      </c>
      <c r="X171" s="38" t="str">
        <f>IF(L171="","",IF(V171&gt;0,INDEX('01-كانون الثاني'!$P$2:$P$501,V171),IF($AO$1=1,0,"")))</f>
        <v/>
      </c>
      <c r="Y171" s="38" t="str">
        <f t="shared" si="52"/>
        <v/>
      </c>
      <c r="Z171" s="39" t="str">
        <f>IF(L171="","",IF(V171&gt;0,INDEX('01-كانون الثاني'!$Q$2:$Q$501,V171),IF($AO$1=1,0,"")))</f>
        <v/>
      </c>
      <c r="AA171" s="39" t="str">
        <f t="shared" si="53"/>
        <v/>
      </c>
      <c r="AB171" s="40" t="str">
        <f>IF(OR(L171="",V171=0),"",IF(AND(N(I171)&gt;0,N(INDEX('01-كانون الثاني'!$I$2:$I$501,V171))&gt;0,INDEX('01-كانون الثاني'!$F$2:$F$501,V171)=F171),N(I171)/N(INDEX('01-كانون الثاني'!$I$2:$I$501,V171))-1,""))</f>
        <v/>
      </c>
      <c r="AC171" t="str">
        <f>IF(L171="","",IF(AND($AO$2=1,ISNA(MATCH(L171,'03-آذار'!$L$2:$L$501,0))),"محذوف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IF(L172="","",IF($AO$1=1,IFERROR(MATCH(L172,'01-كانون الثاني'!$L$2:$L$501,0),0),0))</f>
        <v/>
      </c>
      <c r="W172" t="str">
        <f t="shared" si="51"/>
        <v/>
      </c>
      <c r="X172" s="38" t="str">
        <f>IF(L172="","",IF(V172&gt;0,INDEX('01-كانون الثاني'!$P$2:$P$501,V172),IF($AO$1=1,0,"")))</f>
        <v/>
      </c>
      <c r="Y172" s="38" t="str">
        <f t="shared" si="52"/>
        <v/>
      </c>
      <c r="Z172" s="39" t="str">
        <f>IF(L172="","",IF(V172&gt;0,INDEX('01-كانون الثاني'!$Q$2:$Q$501,V172),IF($AO$1=1,0,"")))</f>
        <v/>
      </c>
      <c r="AA172" s="39" t="str">
        <f t="shared" si="53"/>
        <v/>
      </c>
      <c r="AB172" s="40" t="str">
        <f>IF(OR(L172="",V172=0),"",IF(AND(N(I172)&gt;0,N(INDEX('01-كانون الثاني'!$I$2:$I$501,V172))&gt;0,INDEX('01-كانون الثاني'!$F$2:$F$501,V172)=F172),N(I172)/N(INDEX('01-كانون الثاني'!$I$2:$I$501,V172))-1,""))</f>
        <v/>
      </c>
      <c r="AC172" t="str">
        <f>IF(L172="","",IF(AND($AO$2=1,ISNA(MATCH(L172,'03-آذار'!$L$2:$L$501,0))),"محذوف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IF(L173="","",IF($AO$1=1,IFERROR(MATCH(L173,'01-كانون الثاني'!$L$2:$L$501,0),0),0))</f>
        <v/>
      </c>
      <c r="W173" t="str">
        <f t="shared" si="51"/>
        <v/>
      </c>
      <c r="X173" s="38" t="str">
        <f>IF(L173="","",IF(V173&gt;0,INDEX('01-كانون الثاني'!$P$2:$P$501,V173),IF($AO$1=1,0,"")))</f>
        <v/>
      </c>
      <c r="Y173" s="38" t="str">
        <f t="shared" si="52"/>
        <v/>
      </c>
      <c r="Z173" s="39" t="str">
        <f>IF(L173="","",IF(V173&gt;0,INDEX('01-كانون الثاني'!$Q$2:$Q$501,V173),IF($AO$1=1,0,"")))</f>
        <v/>
      </c>
      <c r="AA173" s="39" t="str">
        <f t="shared" si="53"/>
        <v/>
      </c>
      <c r="AB173" s="40" t="str">
        <f>IF(OR(L173="",V173=0),"",IF(AND(N(I173)&gt;0,N(INDEX('01-كانون الثاني'!$I$2:$I$501,V173))&gt;0,INDEX('01-كانون الثاني'!$F$2:$F$501,V173)=F173),N(I173)/N(INDEX('01-كانون الثاني'!$I$2:$I$501,V173))-1,""))</f>
        <v/>
      </c>
      <c r="AC173" t="str">
        <f>IF(L173="","",IF(AND($AO$2=1,ISNA(MATCH(L173,'03-آذار'!$L$2:$L$501,0))),"محذوف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IF(L174="","",IF($AO$1=1,IFERROR(MATCH(L174,'01-كانون الثاني'!$L$2:$L$501,0),0),0))</f>
        <v/>
      </c>
      <c r="W174" t="str">
        <f t="shared" si="51"/>
        <v/>
      </c>
      <c r="X174" s="38" t="str">
        <f>IF(L174="","",IF(V174&gt;0,INDEX('01-كانون الثاني'!$P$2:$P$501,V174),IF($AO$1=1,0,"")))</f>
        <v/>
      </c>
      <c r="Y174" s="38" t="str">
        <f t="shared" si="52"/>
        <v/>
      </c>
      <c r="Z174" s="39" t="str">
        <f>IF(L174="","",IF(V174&gt;0,INDEX('01-كانون الثاني'!$Q$2:$Q$501,V174),IF($AO$1=1,0,"")))</f>
        <v/>
      </c>
      <c r="AA174" s="39" t="str">
        <f t="shared" si="53"/>
        <v/>
      </c>
      <c r="AB174" s="40" t="str">
        <f>IF(OR(L174="",V174=0),"",IF(AND(N(I174)&gt;0,N(INDEX('01-كانون الثاني'!$I$2:$I$501,V174))&gt;0,INDEX('01-كانون الثاني'!$F$2:$F$501,V174)=F174),N(I174)/N(INDEX('01-كانون الثاني'!$I$2:$I$501,V174))-1,""))</f>
        <v/>
      </c>
      <c r="AC174" t="str">
        <f>IF(L174="","",IF(AND($AO$2=1,ISNA(MATCH(L174,'03-آذار'!$L$2:$L$501,0))),"محذوف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IF(L175="","",IF($AO$1=1,IFERROR(MATCH(L175,'01-كانون الثاني'!$L$2:$L$501,0),0),0))</f>
        <v/>
      </c>
      <c r="W175" t="str">
        <f t="shared" si="51"/>
        <v/>
      </c>
      <c r="X175" s="38" t="str">
        <f>IF(L175="","",IF(V175&gt;0,INDEX('01-كانون الثاني'!$P$2:$P$501,V175),IF($AO$1=1,0,"")))</f>
        <v/>
      </c>
      <c r="Y175" s="38" t="str">
        <f t="shared" si="52"/>
        <v/>
      </c>
      <c r="Z175" s="39" t="str">
        <f>IF(L175="","",IF(V175&gt;0,INDEX('01-كانون الثاني'!$Q$2:$Q$501,V175),IF($AO$1=1,0,"")))</f>
        <v/>
      </c>
      <c r="AA175" s="39" t="str">
        <f t="shared" si="53"/>
        <v/>
      </c>
      <c r="AB175" s="40" t="str">
        <f>IF(OR(L175="",V175=0),"",IF(AND(N(I175)&gt;0,N(INDEX('01-كانون الثاني'!$I$2:$I$501,V175))&gt;0,INDEX('01-كانون الثاني'!$F$2:$F$501,V175)=F175),N(I175)/N(INDEX('01-كانون الثاني'!$I$2:$I$501,V175))-1,""))</f>
        <v/>
      </c>
      <c r="AC175" t="str">
        <f>IF(L175="","",IF(AND($AO$2=1,ISNA(MATCH(L175,'03-آذار'!$L$2:$L$501,0))),"محذوف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IF(L176="","",IF($AO$1=1,IFERROR(MATCH(L176,'01-كانون الثاني'!$L$2:$L$501,0),0),0))</f>
        <v/>
      </c>
      <c r="W176" t="str">
        <f t="shared" si="51"/>
        <v/>
      </c>
      <c r="X176" s="38" t="str">
        <f>IF(L176="","",IF(V176&gt;0,INDEX('01-كانون الثاني'!$P$2:$P$501,V176),IF($AO$1=1,0,"")))</f>
        <v/>
      </c>
      <c r="Y176" s="38" t="str">
        <f t="shared" si="52"/>
        <v/>
      </c>
      <c r="Z176" s="39" t="str">
        <f>IF(L176="","",IF(V176&gt;0,INDEX('01-كانون الثاني'!$Q$2:$Q$501,V176),IF($AO$1=1,0,"")))</f>
        <v/>
      </c>
      <c r="AA176" s="39" t="str">
        <f t="shared" si="53"/>
        <v/>
      </c>
      <c r="AB176" s="40" t="str">
        <f>IF(OR(L176="",V176=0),"",IF(AND(N(I176)&gt;0,N(INDEX('01-كانون الثاني'!$I$2:$I$501,V176))&gt;0,INDEX('01-كانون الثاني'!$F$2:$F$501,V176)=F176),N(I176)/N(INDEX('01-كانون الثاني'!$I$2:$I$501,V176))-1,""))</f>
        <v/>
      </c>
      <c r="AC176" t="str">
        <f>IF(L176="","",IF(AND($AO$2=1,ISNA(MATCH(L176,'03-آذار'!$L$2:$L$501,0))),"محذوف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IF(L177="","",IF($AO$1=1,IFERROR(MATCH(L177,'01-كانون الثاني'!$L$2:$L$501,0),0),0))</f>
        <v/>
      </c>
      <c r="W177" t="str">
        <f t="shared" si="51"/>
        <v/>
      </c>
      <c r="X177" s="38" t="str">
        <f>IF(L177="","",IF(V177&gt;0,INDEX('01-كانون الثاني'!$P$2:$P$501,V177),IF($AO$1=1,0,"")))</f>
        <v/>
      </c>
      <c r="Y177" s="38" t="str">
        <f t="shared" si="52"/>
        <v/>
      </c>
      <c r="Z177" s="39" t="str">
        <f>IF(L177="","",IF(V177&gt;0,INDEX('01-كانون الثاني'!$Q$2:$Q$501,V177),IF($AO$1=1,0,"")))</f>
        <v/>
      </c>
      <c r="AA177" s="39" t="str">
        <f t="shared" si="53"/>
        <v/>
      </c>
      <c r="AB177" s="40" t="str">
        <f>IF(OR(L177="",V177=0),"",IF(AND(N(I177)&gt;0,N(INDEX('01-كانون الثاني'!$I$2:$I$501,V177))&gt;0,INDEX('01-كانون الثاني'!$F$2:$F$501,V177)=F177),N(I177)/N(INDEX('01-كانون الثاني'!$I$2:$I$501,V177))-1,""))</f>
        <v/>
      </c>
      <c r="AC177" t="str">
        <f>IF(L177="","",IF(AND($AO$2=1,ISNA(MATCH(L177,'03-آذار'!$L$2:$L$501,0))),"محذوف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IF(L178="","",IF($AO$1=1,IFERROR(MATCH(L178,'01-كانون الثاني'!$L$2:$L$501,0),0),0))</f>
        <v/>
      </c>
      <c r="W178" t="str">
        <f t="shared" si="51"/>
        <v/>
      </c>
      <c r="X178" s="38" t="str">
        <f>IF(L178="","",IF(V178&gt;0,INDEX('01-كانون الثاني'!$P$2:$P$501,V178),IF($AO$1=1,0,"")))</f>
        <v/>
      </c>
      <c r="Y178" s="38" t="str">
        <f t="shared" si="52"/>
        <v/>
      </c>
      <c r="Z178" s="39" t="str">
        <f>IF(L178="","",IF(V178&gt;0,INDEX('01-كانون الثاني'!$Q$2:$Q$501,V178),IF($AO$1=1,0,"")))</f>
        <v/>
      </c>
      <c r="AA178" s="39" t="str">
        <f t="shared" si="53"/>
        <v/>
      </c>
      <c r="AB178" s="40" t="str">
        <f>IF(OR(L178="",V178=0),"",IF(AND(N(I178)&gt;0,N(INDEX('01-كانون الثاني'!$I$2:$I$501,V178))&gt;0,INDEX('01-كانون الثاني'!$F$2:$F$501,V178)=F178),N(I178)/N(INDEX('01-كانون الثاني'!$I$2:$I$501,V178))-1,""))</f>
        <v/>
      </c>
      <c r="AC178" t="str">
        <f>IF(L178="","",IF(AND($AO$2=1,ISNA(MATCH(L178,'03-آذار'!$L$2:$L$501,0))),"محذوف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IF(L179="","",IF($AO$1=1,IFERROR(MATCH(L179,'01-كانون الثاني'!$L$2:$L$501,0),0),0))</f>
        <v/>
      </c>
      <c r="W179" t="str">
        <f t="shared" si="51"/>
        <v/>
      </c>
      <c r="X179" s="38" t="str">
        <f>IF(L179="","",IF(V179&gt;0,INDEX('01-كانون الثاني'!$P$2:$P$501,V179),IF($AO$1=1,0,"")))</f>
        <v/>
      </c>
      <c r="Y179" s="38" t="str">
        <f t="shared" si="52"/>
        <v/>
      </c>
      <c r="Z179" s="39" t="str">
        <f>IF(L179="","",IF(V179&gt;0,INDEX('01-كانون الثاني'!$Q$2:$Q$501,V179),IF($AO$1=1,0,"")))</f>
        <v/>
      </c>
      <c r="AA179" s="39" t="str">
        <f t="shared" si="53"/>
        <v/>
      </c>
      <c r="AB179" s="40" t="str">
        <f>IF(OR(L179="",V179=0),"",IF(AND(N(I179)&gt;0,N(INDEX('01-كانون الثاني'!$I$2:$I$501,V179))&gt;0,INDEX('01-كانون الثاني'!$F$2:$F$501,V179)=F179),N(I179)/N(INDEX('01-كانون الثاني'!$I$2:$I$501,V179))-1,""))</f>
        <v/>
      </c>
      <c r="AC179" t="str">
        <f>IF(L179="","",IF(AND($AO$2=1,ISNA(MATCH(L179,'03-آذار'!$L$2:$L$501,0))),"محذوف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IF(L180="","",IF($AO$1=1,IFERROR(MATCH(L180,'01-كانون الثاني'!$L$2:$L$501,0),0),0))</f>
        <v/>
      </c>
      <c r="W180" t="str">
        <f t="shared" si="51"/>
        <v/>
      </c>
      <c r="X180" s="38" t="str">
        <f>IF(L180="","",IF(V180&gt;0,INDEX('01-كانون الثاني'!$P$2:$P$501,V180),IF($AO$1=1,0,"")))</f>
        <v/>
      </c>
      <c r="Y180" s="38" t="str">
        <f t="shared" si="52"/>
        <v/>
      </c>
      <c r="Z180" s="39" t="str">
        <f>IF(L180="","",IF(V180&gt;0,INDEX('01-كانون الثاني'!$Q$2:$Q$501,V180),IF($AO$1=1,0,"")))</f>
        <v/>
      </c>
      <c r="AA180" s="39" t="str">
        <f t="shared" si="53"/>
        <v/>
      </c>
      <c r="AB180" s="40" t="str">
        <f>IF(OR(L180="",V180=0),"",IF(AND(N(I180)&gt;0,N(INDEX('01-كانون الثاني'!$I$2:$I$501,V180))&gt;0,INDEX('01-كانون الثاني'!$F$2:$F$501,V180)=F180),N(I180)/N(INDEX('01-كانون الثاني'!$I$2:$I$501,V180))-1,""))</f>
        <v/>
      </c>
      <c r="AC180" t="str">
        <f>IF(L180="","",IF(AND($AO$2=1,ISNA(MATCH(L180,'03-آذار'!$L$2:$L$501,0))),"محذوف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IF(L181="","",IF($AO$1=1,IFERROR(MATCH(L181,'01-كانون الثاني'!$L$2:$L$501,0),0),0))</f>
        <v/>
      </c>
      <c r="W181" t="str">
        <f t="shared" si="51"/>
        <v/>
      </c>
      <c r="X181" s="38" t="str">
        <f>IF(L181="","",IF(V181&gt;0,INDEX('01-كانون الثاني'!$P$2:$P$501,V181),IF($AO$1=1,0,"")))</f>
        <v/>
      </c>
      <c r="Y181" s="38" t="str">
        <f t="shared" si="52"/>
        <v/>
      </c>
      <c r="Z181" s="39" t="str">
        <f>IF(L181="","",IF(V181&gt;0,INDEX('01-كانون الثاني'!$Q$2:$Q$501,V181),IF($AO$1=1,0,"")))</f>
        <v/>
      </c>
      <c r="AA181" s="39" t="str">
        <f t="shared" si="53"/>
        <v/>
      </c>
      <c r="AB181" s="40" t="str">
        <f>IF(OR(L181="",V181=0),"",IF(AND(N(I181)&gt;0,N(INDEX('01-كانون الثاني'!$I$2:$I$501,V181))&gt;0,INDEX('01-كانون الثاني'!$F$2:$F$501,V181)=F181),N(I181)/N(INDEX('01-كانون الثاني'!$I$2:$I$501,V181))-1,""))</f>
        <v/>
      </c>
      <c r="AC181" t="str">
        <f>IF(L181="","",IF(AND($AO$2=1,ISNA(MATCH(L181,'03-آذار'!$L$2:$L$501,0))),"محذوف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IF(L182="","",IF($AO$1=1,IFERROR(MATCH(L182,'01-كانون الثاني'!$L$2:$L$501,0),0),0))</f>
        <v/>
      </c>
      <c r="W182" t="str">
        <f t="shared" si="51"/>
        <v/>
      </c>
      <c r="X182" s="38" t="str">
        <f>IF(L182="","",IF(V182&gt;0,INDEX('01-كانون الثاني'!$P$2:$P$501,V182),IF($AO$1=1,0,"")))</f>
        <v/>
      </c>
      <c r="Y182" s="38" t="str">
        <f t="shared" si="52"/>
        <v/>
      </c>
      <c r="Z182" s="39" t="str">
        <f>IF(L182="","",IF(V182&gt;0,INDEX('01-كانون الثاني'!$Q$2:$Q$501,V182),IF($AO$1=1,0,"")))</f>
        <v/>
      </c>
      <c r="AA182" s="39" t="str">
        <f t="shared" si="53"/>
        <v/>
      </c>
      <c r="AB182" s="40" t="str">
        <f>IF(OR(L182="",V182=0),"",IF(AND(N(I182)&gt;0,N(INDEX('01-كانون الثاني'!$I$2:$I$501,V182))&gt;0,INDEX('01-كانون الثاني'!$F$2:$F$501,V182)=F182),N(I182)/N(INDEX('01-كانون الثاني'!$I$2:$I$501,V182))-1,""))</f>
        <v/>
      </c>
      <c r="AC182" t="str">
        <f>IF(L182="","",IF(AND($AO$2=1,ISNA(MATCH(L182,'03-آذار'!$L$2:$L$501,0))),"محذوف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IF(L183="","",IF($AO$1=1,IFERROR(MATCH(L183,'01-كانون الثاني'!$L$2:$L$501,0),0),0))</f>
        <v/>
      </c>
      <c r="W183" t="str">
        <f t="shared" si="51"/>
        <v/>
      </c>
      <c r="X183" s="38" t="str">
        <f>IF(L183="","",IF(V183&gt;0,INDEX('01-كانون الثاني'!$P$2:$P$501,V183),IF($AO$1=1,0,"")))</f>
        <v/>
      </c>
      <c r="Y183" s="38" t="str">
        <f t="shared" si="52"/>
        <v/>
      </c>
      <c r="Z183" s="39" t="str">
        <f>IF(L183="","",IF(V183&gt;0,INDEX('01-كانون الثاني'!$Q$2:$Q$501,V183),IF($AO$1=1,0,"")))</f>
        <v/>
      </c>
      <c r="AA183" s="39" t="str">
        <f t="shared" si="53"/>
        <v/>
      </c>
      <c r="AB183" s="40" t="str">
        <f>IF(OR(L183="",V183=0),"",IF(AND(N(I183)&gt;0,N(INDEX('01-كانون الثاني'!$I$2:$I$501,V183))&gt;0,INDEX('01-كانون الثاني'!$F$2:$F$501,V183)=F183),N(I183)/N(INDEX('01-كانون الثاني'!$I$2:$I$501,V183))-1,""))</f>
        <v/>
      </c>
      <c r="AC183" t="str">
        <f>IF(L183="","",IF(AND($AO$2=1,ISNA(MATCH(L183,'03-آذار'!$L$2:$L$501,0))),"محذوف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IF(L184="","",IF($AO$1=1,IFERROR(MATCH(L184,'01-كانون الثاني'!$L$2:$L$501,0),0),0))</f>
        <v/>
      </c>
      <c r="W184" t="str">
        <f t="shared" si="51"/>
        <v/>
      </c>
      <c r="X184" s="38" t="str">
        <f>IF(L184="","",IF(V184&gt;0,INDEX('01-كانون الثاني'!$P$2:$P$501,V184),IF($AO$1=1,0,"")))</f>
        <v/>
      </c>
      <c r="Y184" s="38" t="str">
        <f t="shared" si="52"/>
        <v/>
      </c>
      <c r="Z184" s="39" t="str">
        <f>IF(L184="","",IF(V184&gt;0,INDEX('01-كانون الثاني'!$Q$2:$Q$501,V184),IF($AO$1=1,0,"")))</f>
        <v/>
      </c>
      <c r="AA184" s="39" t="str">
        <f t="shared" si="53"/>
        <v/>
      </c>
      <c r="AB184" s="40" t="str">
        <f>IF(OR(L184="",V184=0),"",IF(AND(N(I184)&gt;0,N(INDEX('01-كانون الثاني'!$I$2:$I$501,V184))&gt;0,INDEX('01-كانون الثاني'!$F$2:$F$501,V184)=F184),N(I184)/N(INDEX('01-كانون الثاني'!$I$2:$I$501,V184))-1,""))</f>
        <v/>
      </c>
      <c r="AC184" t="str">
        <f>IF(L184="","",IF(AND($AO$2=1,ISNA(MATCH(L184,'03-آذار'!$L$2:$L$501,0))),"محذوف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IF(L185="","",IF($AO$1=1,IFERROR(MATCH(L185,'01-كانون الثاني'!$L$2:$L$501,0),0),0))</f>
        <v/>
      </c>
      <c r="W185" t="str">
        <f t="shared" si="51"/>
        <v/>
      </c>
      <c r="X185" s="38" t="str">
        <f>IF(L185="","",IF(V185&gt;0,INDEX('01-كانون الثاني'!$P$2:$P$501,V185),IF($AO$1=1,0,"")))</f>
        <v/>
      </c>
      <c r="Y185" s="38" t="str">
        <f t="shared" si="52"/>
        <v/>
      </c>
      <c r="Z185" s="39" t="str">
        <f>IF(L185="","",IF(V185&gt;0,INDEX('01-كانون الثاني'!$Q$2:$Q$501,V185),IF($AO$1=1,0,"")))</f>
        <v/>
      </c>
      <c r="AA185" s="39" t="str">
        <f t="shared" si="53"/>
        <v/>
      </c>
      <c r="AB185" s="40" t="str">
        <f>IF(OR(L185="",V185=0),"",IF(AND(N(I185)&gt;0,N(INDEX('01-كانون الثاني'!$I$2:$I$501,V185))&gt;0,INDEX('01-كانون الثاني'!$F$2:$F$501,V185)=F185),N(I185)/N(INDEX('01-كانون الثاني'!$I$2:$I$501,V185))-1,""))</f>
        <v/>
      </c>
      <c r="AC185" t="str">
        <f>IF(L185="","",IF(AND($AO$2=1,ISNA(MATCH(L185,'03-آذار'!$L$2:$L$501,0))),"محذوف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IF(L186="","",IF($AO$1=1,IFERROR(MATCH(L186,'01-كانون الثاني'!$L$2:$L$501,0),0),0))</f>
        <v/>
      </c>
      <c r="W186" t="str">
        <f t="shared" si="51"/>
        <v/>
      </c>
      <c r="X186" s="38" t="str">
        <f>IF(L186="","",IF(V186&gt;0,INDEX('01-كانون الثاني'!$P$2:$P$501,V186),IF($AO$1=1,0,"")))</f>
        <v/>
      </c>
      <c r="Y186" s="38" t="str">
        <f t="shared" si="52"/>
        <v/>
      </c>
      <c r="Z186" s="39" t="str">
        <f>IF(L186="","",IF(V186&gt;0,INDEX('01-كانون الثاني'!$Q$2:$Q$501,V186),IF($AO$1=1,0,"")))</f>
        <v/>
      </c>
      <c r="AA186" s="39" t="str">
        <f t="shared" si="53"/>
        <v/>
      </c>
      <c r="AB186" s="40" t="str">
        <f>IF(OR(L186="",V186=0),"",IF(AND(N(I186)&gt;0,N(INDEX('01-كانون الثاني'!$I$2:$I$501,V186))&gt;0,INDEX('01-كانون الثاني'!$F$2:$F$501,V186)=F186),N(I186)/N(INDEX('01-كانون الثاني'!$I$2:$I$501,V186))-1,""))</f>
        <v/>
      </c>
      <c r="AC186" t="str">
        <f>IF(L186="","",IF(AND($AO$2=1,ISNA(MATCH(L186,'03-آذار'!$L$2:$L$501,0))),"محذوف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IF(L187="","",IF($AO$1=1,IFERROR(MATCH(L187,'01-كانون الثاني'!$L$2:$L$501,0),0),0))</f>
        <v/>
      </c>
      <c r="W187" t="str">
        <f t="shared" si="51"/>
        <v/>
      </c>
      <c r="X187" s="38" t="str">
        <f>IF(L187="","",IF(V187&gt;0,INDEX('01-كانون الثاني'!$P$2:$P$501,V187),IF($AO$1=1,0,"")))</f>
        <v/>
      </c>
      <c r="Y187" s="38" t="str">
        <f t="shared" si="52"/>
        <v/>
      </c>
      <c r="Z187" s="39" t="str">
        <f>IF(L187="","",IF(V187&gt;0,INDEX('01-كانون الثاني'!$Q$2:$Q$501,V187),IF($AO$1=1,0,"")))</f>
        <v/>
      </c>
      <c r="AA187" s="39" t="str">
        <f t="shared" si="53"/>
        <v/>
      </c>
      <c r="AB187" s="40" t="str">
        <f>IF(OR(L187="",V187=0),"",IF(AND(N(I187)&gt;0,N(INDEX('01-كانون الثاني'!$I$2:$I$501,V187))&gt;0,INDEX('01-كانون الثاني'!$F$2:$F$501,V187)=F187),N(I187)/N(INDEX('01-كانون الثاني'!$I$2:$I$501,V187))-1,""))</f>
        <v/>
      </c>
      <c r="AC187" t="str">
        <f>IF(L187="","",IF(AND($AO$2=1,ISNA(MATCH(L187,'03-آذار'!$L$2:$L$501,0))),"محذوف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IF(L188="","",IF($AO$1=1,IFERROR(MATCH(L188,'01-كانون الثاني'!$L$2:$L$501,0),0),0))</f>
        <v/>
      </c>
      <c r="W188" t="str">
        <f t="shared" si="51"/>
        <v/>
      </c>
      <c r="X188" s="38" t="str">
        <f>IF(L188="","",IF(V188&gt;0,INDEX('01-كانون الثاني'!$P$2:$P$501,V188),IF($AO$1=1,0,"")))</f>
        <v/>
      </c>
      <c r="Y188" s="38" t="str">
        <f t="shared" si="52"/>
        <v/>
      </c>
      <c r="Z188" s="39" t="str">
        <f>IF(L188="","",IF(V188&gt;0,INDEX('01-كانون الثاني'!$Q$2:$Q$501,V188),IF($AO$1=1,0,"")))</f>
        <v/>
      </c>
      <c r="AA188" s="39" t="str">
        <f t="shared" si="53"/>
        <v/>
      </c>
      <c r="AB188" s="40" t="str">
        <f>IF(OR(L188="",V188=0),"",IF(AND(N(I188)&gt;0,N(INDEX('01-كانون الثاني'!$I$2:$I$501,V188))&gt;0,INDEX('01-كانون الثاني'!$F$2:$F$501,V188)=F188),N(I188)/N(INDEX('01-كانون الثاني'!$I$2:$I$501,V188))-1,""))</f>
        <v/>
      </c>
      <c r="AC188" t="str">
        <f>IF(L188="","",IF(AND($AO$2=1,ISNA(MATCH(L188,'03-آذار'!$L$2:$L$501,0))),"محذوف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IF(L189="","",IF($AO$1=1,IFERROR(MATCH(L189,'01-كانون الثاني'!$L$2:$L$501,0),0),0))</f>
        <v/>
      </c>
      <c r="W189" t="str">
        <f t="shared" si="51"/>
        <v/>
      </c>
      <c r="X189" s="38" t="str">
        <f>IF(L189="","",IF(V189&gt;0,INDEX('01-كانون الثاني'!$P$2:$P$501,V189),IF($AO$1=1,0,"")))</f>
        <v/>
      </c>
      <c r="Y189" s="38" t="str">
        <f t="shared" si="52"/>
        <v/>
      </c>
      <c r="Z189" s="39" t="str">
        <f>IF(L189="","",IF(V189&gt;0,INDEX('01-كانون الثاني'!$Q$2:$Q$501,V189),IF($AO$1=1,0,"")))</f>
        <v/>
      </c>
      <c r="AA189" s="39" t="str">
        <f t="shared" si="53"/>
        <v/>
      </c>
      <c r="AB189" s="40" t="str">
        <f>IF(OR(L189="",V189=0),"",IF(AND(N(I189)&gt;0,N(INDEX('01-كانون الثاني'!$I$2:$I$501,V189))&gt;0,INDEX('01-كانون الثاني'!$F$2:$F$501,V189)=F189),N(I189)/N(INDEX('01-كانون الثاني'!$I$2:$I$501,V189))-1,""))</f>
        <v/>
      </c>
      <c r="AC189" t="str">
        <f>IF(L189="","",IF(AND($AO$2=1,ISNA(MATCH(L189,'03-آذار'!$L$2:$L$501,0))),"محذوف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IF(L190="","",IF($AO$1=1,IFERROR(MATCH(L190,'01-كانون الثاني'!$L$2:$L$501,0),0),0))</f>
        <v/>
      </c>
      <c r="W190" t="str">
        <f t="shared" si="51"/>
        <v/>
      </c>
      <c r="X190" s="38" t="str">
        <f>IF(L190="","",IF(V190&gt;0,INDEX('01-كانون الثاني'!$P$2:$P$501,V190),IF($AO$1=1,0,"")))</f>
        <v/>
      </c>
      <c r="Y190" s="38" t="str">
        <f t="shared" si="52"/>
        <v/>
      </c>
      <c r="Z190" s="39" t="str">
        <f>IF(L190="","",IF(V190&gt;0,INDEX('01-كانون الثاني'!$Q$2:$Q$501,V190),IF($AO$1=1,0,"")))</f>
        <v/>
      </c>
      <c r="AA190" s="39" t="str">
        <f t="shared" si="53"/>
        <v/>
      </c>
      <c r="AB190" s="40" t="str">
        <f>IF(OR(L190="",V190=0),"",IF(AND(N(I190)&gt;0,N(INDEX('01-كانون الثاني'!$I$2:$I$501,V190))&gt;0,INDEX('01-كانون الثاني'!$F$2:$F$501,V190)=F190),N(I190)/N(INDEX('01-كانون الثاني'!$I$2:$I$501,V190))-1,""))</f>
        <v/>
      </c>
      <c r="AC190" t="str">
        <f>IF(L190="","",IF(AND($AO$2=1,ISNA(MATCH(L190,'03-آذار'!$L$2:$L$501,0))),"محذوف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IF(L191="","",IF($AO$1=1,IFERROR(MATCH(L191,'01-كانون الثاني'!$L$2:$L$501,0),0),0))</f>
        <v/>
      </c>
      <c r="W191" t="str">
        <f t="shared" si="51"/>
        <v/>
      </c>
      <c r="X191" s="38" t="str">
        <f>IF(L191="","",IF(V191&gt;0,INDEX('01-كانون الثاني'!$P$2:$P$501,V191),IF($AO$1=1,0,"")))</f>
        <v/>
      </c>
      <c r="Y191" s="38" t="str">
        <f t="shared" si="52"/>
        <v/>
      </c>
      <c r="Z191" s="39" t="str">
        <f>IF(L191="","",IF(V191&gt;0,INDEX('01-كانون الثاني'!$Q$2:$Q$501,V191),IF($AO$1=1,0,"")))</f>
        <v/>
      </c>
      <c r="AA191" s="39" t="str">
        <f t="shared" si="53"/>
        <v/>
      </c>
      <c r="AB191" s="40" t="str">
        <f>IF(OR(L191="",V191=0),"",IF(AND(N(I191)&gt;0,N(INDEX('01-كانون الثاني'!$I$2:$I$501,V191))&gt;0,INDEX('01-كانون الثاني'!$F$2:$F$501,V191)=F191),N(I191)/N(INDEX('01-كانون الثاني'!$I$2:$I$501,V191))-1,""))</f>
        <v/>
      </c>
      <c r="AC191" t="str">
        <f>IF(L191="","",IF(AND($AO$2=1,ISNA(MATCH(L191,'03-آذار'!$L$2:$L$501,0))),"محذوف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IF(L192="","",IF($AO$1=1,IFERROR(MATCH(L192,'01-كانون الثاني'!$L$2:$L$501,0),0),0))</f>
        <v/>
      </c>
      <c r="W192" t="str">
        <f t="shared" si="51"/>
        <v/>
      </c>
      <c r="X192" s="38" t="str">
        <f>IF(L192="","",IF(V192&gt;0,INDEX('01-كانون الثاني'!$P$2:$P$501,V192),IF($AO$1=1,0,"")))</f>
        <v/>
      </c>
      <c r="Y192" s="38" t="str">
        <f t="shared" si="52"/>
        <v/>
      </c>
      <c r="Z192" s="39" t="str">
        <f>IF(L192="","",IF(V192&gt;0,INDEX('01-كانون الثاني'!$Q$2:$Q$501,V192),IF($AO$1=1,0,"")))</f>
        <v/>
      </c>
      <c r="AA192" s="39" t="str">
        <f t="shared" si="53"/>
        <v/>
      </c>
      <c r="AB192" s="40" t="str">
        <f>IF(OR(L192="",V192=0),"",IF(AND(N(I192)&gt;0,N(INDEX('01-كانون الثاني'!$I$2:$I$501,V192))&gt;0,INDEX('01-كانون الثاني'!$F$2:$F$501,V192)=F192),N(I192)/N(INDEX('01-كانون الثاني'!$I$2:$I$501,V192))-1,""))</f>
        <v/>
      </c>
      <c r="AC192" t="str">
        <f>IF(L192="","",IF(AND($AO$2=1,ISNA(MATCH(L192,'03-آذار'!$L$2:$L$501,0))),"محذوف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IF(L193="","",IF($AO$1=1,IFERROR(MATCH(L193,'01-كانون الثاني'!$L$2:$L$501,0),0),0))</f>
        <v/>
      </c>
      <c r="W193" t="str">
        <f t="shared" si="51"/>
        <v/>
      </c>
      <c r="X193" s="38" t="str">
        <f>IF(L193="","",IF(V193&gt;0,INDEX('01-كانون الثاني'!$P$2:$P$501,V193),IF($AO$1=1,0,"")))</f>
        <v/>
      </c>
      <c r="Y193" s="38" t="str">
        <f t="shared" si="52"/>
        <v/>
      </c>
      <c r="Z193" s="39" t="str">
        <f>IF(L193="","",IF(V193&gt;0,INDEX('01-كانون الثاني'!$Q$2:$Q$501,V193),IF($AO$1=1,0,"")))</f>
        <v/>
      </c>
      <c r="AA193" s="39" t="str">
        <f t="shared" si="53"/>
        <v/>
      </c>
      <c r="AB193" s="40" t="str">
        <f>IF(OR(L193="",V193=0),"",IF(AND(N(I193)&gt;0,N(INDEX('01-كانون الثاني'!$I$2:$I$501,V193))&gt;0,INDEX('01-كانون الثاني'!$F$2:$F$501,V193)=F193),N(I193)/N(INDEX('01-كانون الثاني'!$I$2:$I$501,V193))-1,""))</f>
        <v/>
      </c>
      <c r="AC193" t="str">
        <f>IF(L193="","",IF(AND($AO$2=1,ISNA(MATCH(L193,'03-آذار'!$L$2:$L$501,0))),"محذوف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IF(L194="","",IF($AO$1=1,IFERROR(MATCH(L194,'01-كانون الثاني'!$L$2:$L$501,0),0),0))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IF(L194="","",IF(V194&gt;0,INDEX('01-كانون الثاني'!$P$2:$P$501,V194),IF($AO$1=1,0,"")))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IF(L194="","",IF(V194&gt;0,INDEX('01-كانون الثاني'!$Q$2:$Q$501,V194),IF($AO$1=1,0,"")))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IF(OR(L194="",V194=0),"",IF(AND(N(I194)&gt;0,N(INDEX('01-كانون الثاني'!$I$2:$I$501,V194))&gt;0,INDEX('01-كانون الثاني'!$F$2:$F$501,V194)=F194),N(I194)/N(INDEX('01-كانون الثاني'!$I$2:$I$501,V194))-1,""))</f>
        <v/>
      </c>
      <c r="AC194" t="str">
        <f>IF(L194="","",IF(AND($AO$2=1,ISNA(MATCH(L194,'03-آذار'!$L$2:$L$501,0))),"محذوف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IF(L195="","",IF($AO$1=1,IFERROR(MATCH(L195,'01-كانون الثاني'!$L$2:$L$501,0),0),0))</f>
        <v/>
      </c>
      <c r="W195" t="str">
        <f t="shared" si="71"/>
        <v/>
      </c>
      <c r="X195" s="38" t="str">
        <f>IF(L195="","",IF(V195&gt;0,INDEX('01-كانون الثاني'!$P$2:$P$501,V195),IF($AO$1=1,0,"")))</f>
        <v/>
      </c>
      <c r="Y195" s="38" t="str">
        <f t="shared" si="72"/>
        <v/>
      </c>
      <c r="Z195" s="39" t="str">
        <f>IF(L195="","",IF(V195&gt;0,INDEX('01-كانون الثاني'!$Q$2:$Q$501,V195),IF($AO$1=1,0,"")))</f>
        <v/>
      </c>
      <c r="AA195" s="39" t="str">
        <f t="shared" si="73"/>
        <v/>
      </c>
      <c r="AB195" s="40" t="str">
        <f>IF(OR(L195="",V195=0),"",IF(AND(N(I195)&gt;0,N(INDEX('01-كانون الثاني'!$I$2:$I$501,V195))&gt;0,INDEX('01-كانون الثاني'!$F$2:$F$501,V195)=F195),N(I195)/N(INDEX('01-كانون الثاني'!$I$2:$I$501,V195))-1,""))</f>
        <v/>
      </c>
      <c r="AC195" t="str">
        <f>IF(L195="","",IF(AND($AO$2=1,ISNA(MATCH(L195,'03-آذار'!$L$2:$L$501,0))),"محذوف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IF(L196="","",IF($AO$1=1,IFERROR(MATCH(L196,'01-كانون الثاني'!$L$2:$L$501,0),0),0))</f>
        <v/>
      </c>
      <c r="W196" t="str">
        <f t="shared" si="71"/>
        <v/>
      </c>
      <c r="X196" s="38" t="str">
        <f>IF(L196="","",IF(V196&gt;0,INDEX('01-كانون الثاني'!$P$2:$P$501,V196),IF($AO$1=1,0,"")))</f>
        <v/>
      </c>
      <c r="Y196" s="38" t="str">
        <f t="shared" si="72"/>
        <v/>
      </c>
      <c r="Z196" s="39" t="str">
        <f>IF(L196="","",IF(V196&gt;0,INDEX('01-كانون الثاني'!$Q$2:$Q$501,V196),IF($AO$1=1,0,"")))</f>
        <v/>
      </c>
      <c r="AA196" s="39" t="str">
        <f t="shared" si="73"/>
        <v/>
      </c>
      <c r="AB196" s="40" t="str">
        <f>IF(OR(L196="",V196=0),"",IF(AND(N(I196)&gt;0,N(INDEX('01-كانون الثاني'!$I$2:$I$501,V196))&gt;0,INDEX('01-كانون الثاني'!$F$2:$F$501,V196)=F196),N(I196)/N(INDEX('01-كانون الثاني'!$I$2:$I$501,V196))-1,""))</f>
        <v/>
      </c>
      <c r="AC196" t="str">
        <f>IF(L196="","",IF(AND($AO$2=1,ISNA(MATCH(L196,'03-آذار'!$L$2:$L$501,0))),"محذوف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IF(L197="","",IF($AO$1=1,IFERROR(MATCH(L197,'01-كانون الثاني'!$L$2:$L$501,0),0),0))</f>
        <v/>
      </c>
      <c r="W197" t="str">
        <f t="shared" si="71"/>
        <v/>
      </c>
      <c r="X197" s="38" t="str">
        <f>IF(L197="","",IF(V197&gt;0,INDEX('01-كانون الثاني'!$P$2:$P$501,V197),IF($AO$1=1,0,"")))</f>
        <v/>
      </c>
      <c r="Y197" s="38" t="str">
        <f t="shared" si="72"/>
        <v/>
      </c>
      <c r="Z197" s="39" t="str">
        <f>IF(L197="","",IF(V197&gt;0,INDEX('01-كانون الثاني'!$Q$2:$Q$501,V197),IF($AO$1=1,0,"")))</f>
        <v/>
      </c>
      <c r="AA197" s="39" t="str">
        <f t="shared" si="73"/>
        <v/>
      </c>
      <c r="AB197" s="40" t="str">
        <f>IF(OR(L197="",V197=0),"",IF(AND(N(I197)&gt;0,N(INDEX('01-كانون الثاني'!$I$2:$I$501,V197))&gt;0,INDEX('01-كانون الثاني'!$F$2:$F$501,V197)=F197),N(I197)/N(INDEX('01-كانون الثاني'!$I$2:$I$501,V197))-1,""))</f>
        <v/>
      </c>
      <c r="AC197" t="str">
        <f>IF(L197="","",IF(AND($AO$2=1,ISNA(MATCH(L197,'03-آذار'!$L$2:$L$501,0))),"محذوف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IF(L198="","",IF($AO$1=1,IFERROR(MATCH(L198,'01-كانون الثاني'!$L$2:$L$501,0),0),0))</f>
        <v/>
      </c>
      <c r="W198" t="str">
        <f t="shared" si="71"/>
        <v/>
      </c>
      <c r="X198" s="38" t="str">
        <f>IF(L198="","",IF(V198&gt;0,INDEX('01-كانون الثاني'!$P$2:$P$501,V198),IF($AO$1=1,0,"")))</f>
        <v/>
      </c>
      <c r="Y198" s="38" t="str">
        <f t="shared" si="72"/>
        <v/>
      </c>
      <c r="Z198" s="39" t="str">
        <f>IF(L198="","",IF(V198&gt;0,INDEX('01-كانون الثاني'!$Q$2:$Q$501,V198),IF($AO$1=1,0,"")))</f>
        <v/>
      </c>
      <c r="AA198" s="39" t="str">
        <f t="shared" si="73"/>
        <v/>
      </c>
      <c r="AB198" s="40" t="str">
        <f>IF(OR(L198="",V198=0),"",IF(AND(N(I198)&gt;0,N(INDEX('01-كانون الثاني'!$I$2:$I$501,V198))&gt;0,INDEX('01-كانون الثاني'!$F$2:$F$501,V198)=F198),N(I198)/N(INDEX('01-كانون الثاني'!$I$2:$I$501,V198))-1,""))</f>
        <v/>
      </c>
      <c r="AC198" t="str">
        <f>IF(L198="","",IF(AND($AO$2=1,ISNA(MATCH(L198,'03-آذار'!$L$2:$L$501,0))),"محذوف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IF(L199="","",IF($AO$1=1,IFERROR(MATCH(L199,'01-كانون الثاني'!$L$2:$L$501,0),0),0))</f>
        <v/>
      </c>
      <c r="W199" t="str">
        <f t="shared" si="71"/>
        <v/>
      </c>
      <c r="X199" s="38" t="str">
        <f>IF(L199="","",IF(V199&gt;0,INDEX('01-كانون الثاني'!$P$2:$P$501,V199),IF($AO$1=1,0,"")))</f>
        <v/>
      </c>
      <c r="Y199" s="38" t="str">
        <f t="shared" si="72"/>
        <v/>
      </c>
      <c r="Z199" s="39" t="str">
        <f>IF(L199="","",IF(V199&gt;0,INDEX('01-كانون الثاني'!$Q$2:$Q$501,V199),IF($AO$1=1,0,"")))</f>
        <v/>
      </c>
      <c r="AA199" s="39" t="str">
        <f t="shared" si="73"/>
        <v/>
      </c>
      <c r="AB199" s="40" t="str">
        <f>IF(OR(L199="",V199=0),"",IF(AND(N(I199)&gt;0,N(INDEX('01-كانون الثاني'!$I$2:$I$501,V199))&gt;0,INDEX('01-كانون الثاني'!$F$2:$F$501,V199)=F199),N(I199)/N(INDEX('01-كانون الثاني'!$I$2:$I$501,V199))-1,""))</f>
        <v/>
      </c>
      <c r="AC199" t="str">
        <f>IF(L199="","",IF(AND($AO$2=1,ISNA(MATCH(L199,'03-آذار'!$L$2:$L$501,0))),"محذوف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IF(L200="","",IF($AO$1=1,IFERROR(MATCH(L200,'01-كانون الثاني'!$L$2:$L$501,0),0),0))</f>
        <v/>
      </c>
      <c r="W200" t="str">
        <f t="shared" si="71"/>
        <v/>
      </c>
      <c r="X200" s="38" t="str">
        <f>IF(L200="","",IF(V200&gt;0,INDEX('01-كانون الثاني'!$P$2:$P$501,V200),IF($AO$1=1,0,"")))</f>
        <v/>
      </c>
      <c r="Y200" s="38" t="str">
        <f t="shared" si="72"/>
        <v/>
      </c>
      <c r="Z200" s="39" t="str">
        <f>IF(L200="","",IF(V200&gt;0,INDEX('01-كانون الثاني'!$Q$2:$Q$501,V200),IF($AO$1=1,0,"")))</f>
        <v/>
      </c>
      <c r="AA200" s="39" t="str">
        <f t="shared" si="73"/>
        <v/>
      </c>
      <c r="AB200" s="40" t="str">
        <f>IF(OR(L200="",V200=0),"",IF(AND(N(I200)&gt;0,N(INDEX('01-كانون الثاني'!$I$2:$I$501,V200))&gt;0,INDEX('01-كانون الثاني'!$F$2:$F$501,V200)=F200),N(I200)/N(INDEX('01-كانون الثاني'!$I$2:$I$501,V200))-1,""))</f>
        <v/>
      </c>
      <c r="AC200" t="str">
        <f>IF(L200="","",IF(AND($AO$2=1,ISNA(MATCH(L200,'03-آذار'!$L$2:$L$501,0))),"محذوف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IF(L201="","",IF($AO$1=1,IFERROR(MATCH(L201,'01-كانون الثاني'!$L$2:$L$501,0),0),0))</f>
        <v/>
      </c>
      <c r="W201" t="str">
        <f t="shared" si="71"/>
        <v/>
      </c>
      <c r="X201" s="38" t="str">
        <f>IF(L201="","",IF(V201&gt;0,INDEX('01-كانون الثاني'!$P$2:$P$501,V201),IF($AO$1=1,0,"")))</f>
        <v/>
      </c>
      <c r="Y201" s="38" t="str">
        <f t="shared" si="72"/>
        <v/>
      </c>
      <c r="Z201" s="39" t="str">
        <f>IF(L201="","",IF(V201&gt;0,INDEX('01-كانون الثاني'!$Q$2:$Q$501,V201),IF($AO$1=1,0,"")))</f>
        <v/>
      </c>
      <c r="AA201" s="39" t="str">
        <f t="shared" si="73"/>
        <v/>
      </c>
      <c r="AB201" s="40" t="str">
        <f>IF(OR(L201="",V201=0),"",IF(AND(N(I201)&gt;0,N(INDEX('01-كانون الثاني'!$I$2:$I$501,V201))&gt;0,INDEX('01-كانون الثاني'!$F$2:$F$501,V201)=F201),N(I201)/N(INDEX('01-كانون الثاني'!$I$2:$I$501,V201))-1,""))</f>
        <v/>
      </c>
      <c r="AC201" t="str">
        <f>IF(L201="","",IF(AND($AO$2=1,ISNA(MATCH(L201,'03-آذار'!$L$2:$L$501,0))),"محذوف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IF(L202="","",IF($AO$1=1,IFERROR(MATCH(L202,'01-كانون الثاني'!$L$2:$L$501,0),0),0))</f>
        <v/>
      </c>
      <c r="W202" t="str">
        <f t="shared" si="71"/>
        <v/>
      </c>
      <c r="X202" s="38" t="str">
        <f>IF(L202="","",IF(V202&gt;0,INDEX('01-كانون الثاني'!$P$2:$P$501,V202),IF($AO$1=1,0,"")))</f>
        <v/>
      </c>
      <c r="Y202" s="38" t="str">
        <f t="shared" si="72"/>
        <v/>
      </c>
      <c r="Z202" s="39" t="str">
        <f>IF(L202="","",IF(V202&gt;0,INDEX('01-كانون الثاني'!$Q$2:$Q$501,V202),IF($AO$1=1,0,"")))</f>
        <v/>
      </c>
      <c r="AA202" s="39" t="str">
        <f t="shared" si="73"/>
        <v/>
      </c>
      <c r="AB202" s="40" t="str">
        <f>IF(OR(L202="",V202=0),"",IF(AND(N(I202)&gt;0,N(INDEX('01-كانون الثاني'!$I$2:$I$501,V202))&gt;0,INDEX('01-كانون الثاني'!$F$2:$F$501,V202)=F202),N(I202)/N(INDEX('01-كانون الثاني'!$I$2:$I$501,V202))-1,""))</f>
        <v/>
      </c>
      <c r="AC202" t="str">
        <f>IF(L202="","",IF(AND($AO$2=1,ISNA(MATCH(L202,'03-آذار'!$L$2:$L$501,0))),"محذوف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IF(L203="","",IF($AO$1=1,IFERROR(MATCH(L203,'01-كانون الثاني'!$L$2:$L$501,0),0),0))</f>
        <v/>
      </c>
      <c r="W203" t="str">
        <f t="shared" si="71"/>
        <v/>
      </c>
      <c r="X203" s="38" t="str">
        <f>IF(L203="","",IF(V203&gt;0,INDEX('01-كانون الثاني'!$P$2:$P$501,V203),IF($AO$1=1,0,"")))</f>
        <v/>
      </c>
      <c r="Y203" s="38" t="str">
        <f t="shared" si="72"/>
        <v/>
      </c>
      <c r="Z203" s="39" t="str">
        <f>IF(L203="","",IF(V203&gt;0,INDEX('01-كانون الثاني'!$Q$2:$Q$501,V203),IF($AO$1=1,0,"")))</f>
        <v/>
      </c>
      <c r="AA203" s="39" t="str">
        <f t="shared" si="73"/>
        <v/>
      </c>
      <c r="AB203" s="40" t="str">
        <f>IF(OR(L203="",V203=0),"",IF(AND(N(I203)&gt;0,N(INDEX('01-كانون الثاني'!$I$2:$I$501,V203))&gt;0,INDEX('01-كانون الثاني'!$F$2:$F$501,V203)=F203),N(I203)/N(INDEX('01-كانون الثاني'!$I$2:$I$501,V203))-1,""))</f>
        <v/>
      </c>
      <c r="AC203" t="str">
        <f>IF(L203="","",IF(AND($AO$2=1,ISNA(MATCH(L203,'03-آذار'!$L$2:$L$501,0))),"محذوف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IF(L204="","",IF($AO$1=1,IFERROR(MATCH(L204,'01-كانون الثاني'!$L$2:$L$501,0),0),0))</f>
        <v/>
      </c>
      <c r="W204" t="str">
        <f t="shared" si="71"/>
        <v/>
      </c>
      <c r="X204" s="38" t="str">
        <f>IF(L204="","",IF(V204&gt;0,INDEX('01-كانون الثاني'!$P$2:$P$501,V204),IF($AO$1=1,0,"")))</f>
        <v/>
      </c>
      <c r="Y204" s="38" t="str">
        <f t="shared" si="72"/>
        <v/>
      </c>
      <c r="Z204" s="39" t="str">
        <f>IF(L204="","",IF(V204&gt;0,INDEX('01-كانون الثاني'!$Q$2:$Q$501,V204),IF($AO$1=1,0,"")))</f>
        <v/>
      </c>
      <c r="AA204" s="39" t="str">
        <f t="shared" si="73"/>
        <v/>
      </c>
      <c r="AB204" s="40" t="str">
        <f>IF(OR(L204="",V204=0),"",IF(AND(N(I204)&gt;0,N(INDEX('01-كانون الثاني'!$I$2:$I$501,V204))&gt;0,INDEX('01-كانون الثاني'!$F$2:$F$501,V204)=F204),N(I204)/N(INDEX('01-كانون الثاني'!$I$2:$I$501,V204))-1,""))</f>
        <v/>
      </c>
      <c r="AC204" t="str">
        <f>IF(L204="","",IF(AND($AO$2=1,ISNA(MATCH(L204,'03-آذار'!$L$2:$L$501,0))),"محذوف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IF(L205="","",IF($AO$1=1,IFERROR(MATCH(L205,'01-كانون الثاني'!$L$2:$L$501,0),0),0))</f>
        <v/>
      </c>
      <c r="W205" t="str">
        <f t="shared" si="71"/>
        <v/>
      </c>
      <c r="X205" s="38" t="str">
        <f>IF(L205="","",IF(V205&gt;0,INDEX('01-كانون الثاني'!$P$2:$P$501,V205),IF($AO$1=1,0,"")))</f>
        <v/>
      </c>
      <c r="Y205" s="38" t="str">
        <f t="shared" si="72"/>
        <v/>
      </c>
      <c r="Z205" s="39" t="str">
        <f>IF(L205="","",IF(V205&gt;0,INDEX('01-كانون الثاني'!$Q$2:$Q$501,V205),IF($AO$1=1,0,"")))</f>
        <v/>
      </c>
      <c r="AA205" s="39" t="str">
        <f t="shared" si="73"/>
        <v/>
      </c>
      <c r="AB205" s="40" t="str">
        <f>IF(OR(L205="",V205=0),"",IF(AND(N(I205)&gt;0,N(INDEX('01-كانون الثاني'!$I$2:$I$501,V205))&gt;0,INDEX('01-كانون الثاني'!$F$2:$F$501,V205)=F205),N(I205)/N(INDEX('01-كانون الثاني'!$I$2:$I$501,V205))-1,""))</f>
        <v/>
      </c>
      <c r="AC205" t="str">
        <f>IF(L205="","",IF(AND($AO$2=1,ISNA(MATCH(L205,'03-آذار'!$L$2:$L$501,0))),"محذوف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IF(L206="","",IF($AO$1=1,IFERROR(MATCH(L206,'01-كانون الثاني'!$L$2:$L$501,0),0),0))</f>
        <v/>
      </c>
      <c r="W206" t="str">
        <f t="shared" si="71"/>
        <v/>
      </c>
      <c r="X206" s="38" t="str">
        <f>IF(L206="","",IF(V206&gt;0,INDEX('01-كانون الثاني'!$P$2:$P$501,V206),IF($AO$1=1,0,"")))</f>
        <v/>
      </c>
      <c r="Y206" s="38" t="str">
        <f t="shared" si="72"/>
        <v/>
      </c>
      <c r="Z206" s="39" t="str">
        <f>IF(L206="","",IF(V206&gt;0,INDEX('01-كانون الثاني'!$Q$2:$Q$501,V206),IF($AO$1=1,0,"")))</f>
        <v/>
      </c>
      <c r="AA206" s="39" t="str">
        <f t="shared" si="73"/>
        <v/>
      </c>
      <c r="AB206" s="40" t="str">
        <f>IF(OR(L206="",V206=0),"",IF(AND(N(I206)&gt;0,N(INDEX('01-كانون الثاني'!$I$2:$I$501,V206))&gt;0,INDEX('01-كانون الثاني'!$F$2:$F$501,V206)=F206),N(I206)/N(INDEX('01-كانون الثاني'!$I$2:$I$501,V206))-1,""))</f>
        <v/>
      </c>
      <c r="AC206" t="str">
        <f>IF(L206="","",IF(AND($AO$2=1,ISNA(MATCH(L206,'03-آذار'!$L$2:$L$501,0))),"محذوف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IF(L207="","",IF($AO$1=1,IFERROR(MATCH(L207,'01-كانون الثاني'!$L$2:$L$501,0),0),0))</f>
        <v/>
      </c>
      <c r="W207" t="str">
        <f t="shared" si="71"/>
        <v/>
      </c>
      <c r="X207" s="38" t="str">
        <f>IF(L207="","",IF(V207&gt;0,INDEX('01-كانون الثاني'!$P$2:$P$501,V207),IF($AO$1=1,0,"")))</f>
        <v/>
      </c>
      <c r="Y207" s="38" t="str">
        <f t="shared" si="72"/>
        <v/>
      </c>
      <c r="Z207" s="39" t="str">
        <f>IF(L207="","",IF(V207&gt;0,INDEX('01-كانون الثاني'!$Q$2:$Q$501,V207),IF($AO$1=1,0,"")))</f>
        <v/>
      </c>
      <c r="AA207" s="39" t="str">
        <f t="shared" si="73"/>
        <v/>
      </c>
      <c r="AB207" s="40" t="str">
        <f>IF(OR(L207="",V207=0),"",IF(AND(N(I207)&gt;0,N(INDEX('01-كانون الثاني'!$I$2:$I$501,V207))&gt;0,INDEX('01-كانون الثاني'!$F$2:$F$501,V207)=F207),N(I207)/N(INDEX('01-كانون الثاني'!$I$2:$I$501,V207))-1,""))</f>
        <v/>
      </c>
      <c r="AC207" t="str">
        <f>IF(L207="","",IF(AND($AO$2=1,ISNA(MATCH(L207,'03-آذار'!$L$2:$L$501,0))),"محذوف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IF(L208="","",IF($AO$1=1,IFERROR(MATCH(L208,'01-كانون الثاني'!$L$2:$L$501,0),0),0))</f>
        <v/>
      </c>
      <c r="W208" t="str">
        <f t="shared" si="71"/>
        <v/>
      </c>
      <c r="X208" s="38" t="str">
        <f>IF(L208="","",IF(V208&gt;0,INDEX('01-كانون الثاني'!$P$2:$P$501,V208),IF($AO$1=1,0,"")))</f>
        <v/>
      </c>
      <c r="Y208" s="38" t="str">
        <f t="shared" si="72"/>
        <v/>
      </c>
      <c r="Z208" s="39" t="str">
        <f>IF(L208="","",IF(V208&gt;0,INDEX('01-كانون الثاني'!$Q$2:$Q$501,V208),IF($AO$1=1,0,"")))</f>
        <v/>
      </c>
      <c r="AA208" s="39" t="str">
        <f t="shared" si="73"/>
        <v/>
      </c>
      <c r="AB208" s="40" t="str">
        <f>IF(OR(L208="",V208=0),"",IF(AND(N(I208)&gt;0,N(INDEX('01-كانون الثاني'!$I$2:$I$501,V208))&gt;0,INDEX('01-كانون الثاني'!$F$2:$F$501,V208)=F208),N(I208)/N(INDEX('01-كانون الثاني'!$I$2:$I$501,V208))-1,""))</f>
        <v/>
      </c>
      <c r="AC208" t="str">
        <f>IF(L208="","",IF(AND($AO$2=1,ISNA(MATCH(L208,'03-آذار'!$L$2:$L$501,0))),"محذوف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IF(L209="","",IF($AO$1=1,IFERROR(MATCH(L209,'01-كانون الثاني'!$L$2:$L$501,0),0),0))</f>
        <v/>
      </c>
      <c r="W209" t="str">
        <f t="shared" si="71"/>
        <v/>
      </c>
      <c r="X209" s="38" t="str">
        <f>IF(L209="","",IF(V209&gt;0,INDEX('01-كانون الثاني'!$P$2:$P$501,V209),IF($AO$1=1,0,"")))</f>
        <v/>
      </c>
      <c r="Y209" s="38" t="str">
        <f t="shared" si="72"/>
        <v/>
      </c>
      <c r="Z209" s="39" t="str">
        <f>IF(L209="","",IF(V209&gt;0,INDEX('01-كانون الثاني'!$Q$2:$Q$501,V209),IF($AO$1=1,0,"")))</f>
        <v/>
      </c>
      <c r="AA209" s="39" t="str">
        <f t="shared" si="73"/>
        <v/>
      </c>
      <c r="AB209" s="40" t="str">
        <f>IF(OR(L209="",V209=0),"",IF(AND(N(I209)&gt;0,N(INDEX('01-كانون الثاني'!$I$2:$I$501,V209))&gt;0,INDEX('01-كانون الثاني'!$F$2:$F$501,V209)=F209),N(I209)/N(INDEX('01-كانون الثاني'!$I$2:$I$501,V209))-1,""))</f>
        <v/>
      </c>
      <c r="AC209" t="str">
        <f>IF(L209="","",IF(AND($AO$2=1,ISNA(MATCH(L209,'03-آذار'!$L$2:$L$501,0))),"محذوف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IF(L210="","",IF($AO$1=1,IFERROR(MATCH(L210,'01-كانون الثاني'!$L$2:$L$501,0),0),0))</f>
        <v/>
      </c>
      <c r="W210" t="str">
        <f t="shared" si="71"/>
        <v/>
      </c>
      <c r="X210" s="38" t="str">
        <f>IF(L210="","",IF(V210&gt;0,INDEX('01-كانون الثاني'!$P$2:$P$501,V210),IF($AO$1=1,0,"")))</f>
        <v/>
      </c>
      <c r="Y210" s="38" t="str">
        <f t="shared" si="72"/>
        <v/>
      </c>
      <c r="Z210" s="39" t="str">
        <f>IF(L210="","",IF(V210&gt;0,INDEX('01-كانون الثاني'!$Q$2:$Q$501,V210),IF($AO$1=1,0,"")))</f>
        <v/>
      </c>
      <c r="AA210" s="39" t="str">
        <f t="shared" si="73"/>
        <v/>
      </c>
      <c r="AB210" s="40" t="str">
        <f>IF(OR(L210="",V210=0),"",IF(AND(N(I210)&gt;0,N(INDEX('01-كانون الثاني'!$I$2:$I$501,V210))&gt;0,INDEX('01-كانون الثاني'!$F$2:$F$501,V210)=F210),N(I210)/N(INDEX('01-كانون الثاني'!$I$2:$I$501,V210))-1,""))</f>
        <v/>
      </c>
      <c r="AC210" t="str">
        <f>IF(L210="","",IF(AND($AO$2=1,ISNA(MATCH(L210,'03-آذار'!$L$2:$L$501,0))),"محذوف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IF(L211="","",IF($AO$1=1,IFERROR(MATCH(L211,'01-كانون الثاني'!$L$2:$L$501,0),0),0))</f>
        <v/>
      </c>
      <c r="W211" t="str">
        <f t="shared" si="71"/>
        <v/>
      </c>
      <c r="X211" s="38" t="str">
        <f>IF(L211="","",IF(V211&gt;0,INDEX('01-كانون الثاني'!$P$2:$P$501,V211),IF($AO$1=1,0,"")))</f>
        <v/>
      </c>
      <c r="Y211" s="38" t="str">
        <f t="shared" si="72"/>
        <v/>
      </c>
      <c r="Z211" s="39" t="str">
        <f>IF(L211="","",IF(V211&gt;0,INDEX('01-كانون الثاني'!$Q$2:$Q$501,V211),IF($AO$1=1,0,"")))</f>
        <v/>
      </c>
      <c r="AA211" s="39" t="str">
        <f t="shared" si="73"/>
        <v/>
      </c>
      <c r="AB211" s="40" t="str">
        <f>IF(OR(L211="",V211=0),"",IF(AND(N(I211)&gt;0,N(INDEX('01-كانون الثاني'!$I$2:$I$501,V211))&gt;0,INDEX('01-كانون الثاني'!$F$2:$F$501,V211)=F211),N(I211)/N(INDEX('01-كانون الثاني'!$I$2:$I$501,V211))-1,""))</f>
        <v/>
      </c>
      <c r="AC211" t="str">
        <f>IF(L211="","",IF(AND($AO$2=1,ISNA(MATCH(L211,'03-آذار'!$L$2:$L$501,0))),"محذوف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IF(L212="","",IF($AO$1=1,IFERROR(MATCH(L212,'01-كانون الثاني'!$L$2:$L$501,0),0),0))</f>
        <v/>
      </c>
      <c r="W212" t="str">
        <f t="shared" si="71"/>
        <v/>
      </c>
      <c r="X212" s="38" t="str">
        <f>IF(L212="","",IF(V212&gt;0,INDEX('01-كانون الثاني'!$P$2:$P$501,V212),IF($AO$1=1,0,"")))</f>
        <v/>
      </c>
      <c r="Y212" s="38" t="str">
        <f t="shared" si="72"/>
        <v/>
      </c>
      <c r="Z212" s="39" t="str">
        <f>IF(L212="","",IF(V212&gt;0,INDEX('01-كانون الثاني'!$Q$2:$Q$501,V212),IF($AO$1=1,0,"")))</f>
        <v/>
      </c>
      <c r="AA212" s="39" t="str">
        <f t="shared" si="73"/>
        <v/>
      </c>
      <c r="AB212" s="40" t="str">
        <f>IF(OR(L212="",V212=0),"",IF(AND(N(I212)&gt;0,N(INDEX('01-كانون الثاني'!$I$2:$I$501,V212))&gt;0,INDEX('01-كانون الثاني'!$F$2:$F$501,V212)=F212),N(I212)/N(INDEX('01-كانون الثاني'!$I$2:$I$501,V212))-1,""))</f>
        <v/>
      </c>
      <c r="AC212" t="str">
        <f>IF(L212="","",IF(AND($AO$2=1,ISNA(MATCH(L212,'03-آذار'!$L$2:$L$501,0))),"محذوف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IF(L213="","",IF($AO$1=1,IFERROR(MATCH(L213,'01-كانون الثاني'!$L$2:$L$501,0),0),0))</f>
        <v/>
      </c>
      <c r="W213" t="str">
        <f t="shared" si="71"/>
        <v/>
      </c>
      <c r="X213" s="38" t="str">
        <f>IF(L213="","",IF(V213&gt;0,INDEX('01-كانون الثاني'!$P$2:$P$501,V213),IF($AO$1=1,0,"")))</f>
        <v/>
      </c>
      <c r="Y213" s="38" t="str">
        <f t="shared" si="72"/>
        <v/>
      </c>
      <c r="Z213" s="39" t="str">
        <f>IF(L213="","",IF(V213&gt;0,INDEX('01-كانون الثاني'!$Q$2:$Q$501,V213),IF($AO$1=1,0,"")))</f>
        <v/>
      </c>
      <c r="AA213" s="39" t="str">
        <f t="shared" si="73"/>
        <v/>
      </c>
      <c r="AB213" s="40" t="str">
        <f>IF(OR(L213="",V213=0),"",IF(AND(N(I213)&gt;0,N(INDEX('01-كانون الثاني'!$I$2:$I$501,V213))&gt;0,INDEX('01-كانون الثاني'!$F$2:$F$501,V213)=F213),N(I213)/N(INDEX('01-كانون الثاني'!$I$2:$I$501,V213))-1,""))</f>
        <v/>
      </c>
      <c r="AC213" t="str">
        <f>IF(L213="","",IF(AND($AO$2=1,ISNA(MATCH(L213,'03-آذار'!$L$2:$L$501,0))),"محذوف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IF(L214="","",IF($AO$1=1,IFERROR(MATCH(L214,'01-كانون الثاني'!$L$2:$L$501,0),0),0))</f>
        <v/>
      </c>
      <c r="W214" t="str">
        <f t="shared" si="71"/>
        <v/>
      </c>
      <c r="X214" s="38" t="str">
        <f>IF(L214="","",IF(V214&gt;0,INDEX('01-كانون الثاني'!$P$2:$P$501,V214),IF($AO$1=1,0,"")))</f>
        <v/>
      </c>
      <c r="Y214" s="38" t="str">
        <f t="shared" si="72"/>
        <v/>
      </c>
      <c r="Z214" s="39" t="str">
        <f>IF(L214="","",IF(V214&gt;0,INDEX('01-كانون الثاني'!$Q$2:$Q$501,V214),IF($AO$1=1,0,"")))</f>
        <v/>
      </c>
      <c r="AA214" s="39" t="str">
        <f t="shared" si="73"/>
        <v/>
      </c>
      <c r="AB214" s="40" t="str">
        <f>IF(OR(L214="",V214=0),"",IF(AND(N(I214)&gt;0,N(INDEX('01-كانون الثاني'!$I$2:$I$501,V214))&gt;0,INDEX('01-كانون الثاني'!$F$2:$F$501,V214)=F214),N(I214)/N(INDEX('01-كانون الثاني'!$I$2:$I$501,V214))-1,""))</f>
        <v/>
      </c>
      <c r="AC214" t="str">
        <f>IF(L214="","",IF(AND($AO$2=1,ISNA(MATCH(L214,'03-آذار'!$L$2:$L$501,0))),"محذوف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IF(L215="","",IF($AO$1=1,IFERROR(MATCH(L215,'01-كانون الثاني'!$L$2:$L$501,0),0),0))</f>
        <v/>
      </c>
      <c r="W215" t="str">
        <f t="shared" si="71"/>
        <v/>
      </c>
      <c r="X215" s="38" t="str">
        <f>IF(L215="","",IF(V215&gt;0,INDEX('01-كانون الثاني'!$P$2:$P$501,V215),IF($AO$1=1,0,"")))</f>
        <v/>
      </c>
      <c r="Y215" s="38" t="str">
        <f t="shared" si="72"/>
        <v/>
      </c>
      <c r="Z215" s="39" t="str">
        <f>IF(L215="","",IF(V215&gt;0,INDEX('01-كانون الثاني'!$Q$2:$Q$501,V215),IF($AO$1=1,0,"")))</f>
        <v/>
      </c>
      <c r="AA215" s="39" t="str">
        <f t="shared" si="73"/>
        <v/>
      </c>
      <c r="AB215" s="40" t="str">
        <f>IF(OR(L215="",V215=0),"",IF(AND(N(I215)&gt;0,N(INDEX('01-كانون الثاني'!$I$2:$I$501,V215))&gt;0,INDEX('01-كانون الثاني'!$F$2:$F$501,V215)=F215),N(I215)/N(INDEX('01-كانون الثاني'!$I$2:$I$501,V215))-1,""))</f>
        <v/>
      </c>
      <c r="AC215" t="str">
        <f>IF(L215="","",IF(AND($AO$2=1,ISNA(MATCH(L215,'03-آذار'!$L$2:$L$501,0))),"محذوف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IF(L216="","",IF($AO$1=1,IFERROR(MATCH(L216,'01-كانون الثاني'!$L$2:$L$501,0),0),0))</f>
        <v/>
      </c>
      <c r="W216" t="str">
        <f t="shared" si="71"/>
        <v/>
      </c>
      <c r="X216" s="38" t="str">
        <f>IF(L216="","",IF(V216&gt;0,INDEX('01-كانون الثاني'!$P$2:$P$501,V216),IF($AO$1=1,0,"")))</f>
        <v/>
      </c>
      <c r="Y216" s="38" t="str">
        <f t="shared" si="72"/>
        <v/>
      </c>
      <c r="Z216" s="39" t="str">
        <f>IF(L216="","",IF(V216&gt;0,INDEX('01-كانون الثاني'!$Q$2:$Q$501,V216),IF($AO$1=1,0,"")))</f>
        <v/>
      </c>
      <c r="AA216" s="39" t="str">
        <f t="shared" si="73"/>
        <v/>
      </c>
      <c r="AB216" s="40" t="str">
        <f>IF(OR(L216="",V216=0),"",IF(AND(N(I216)&gt;0,N(INDEX('01-كانون الثاني'!$I$2:$I$501,V216))&gt;0,INDEX('01-كانون الثاني'!$F$2:$F$501,V216)=F216),N(I216)/N(INDEX('01-كانون الثاني'!$I$2:$I$501,V216))-1,""))</f>
        <v/>
      </c>
      <c r="AC216" t="str">
        <f>IF(L216="","",IF(AND($AO$2=1,ISNA(MATCH(L216,'03-آذار'!$L$2:$L$501,0))),"محذوف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IF(L217="","",IF($AO$1=1,IFERROR(MATCH(L217,'01-كانون الثاني'!$L$2:$L$501,0),0),0))</f>
        <v/>
      </c>
      <c r="W217" t="str">
        <f t="shared" si="71"/>
        <v/>
      </c>
      <c r="X217" s="38" t="str">
        <f>IF(L217="","",IF(V217&gt;0,INDEX('01-كانون الثاني'!$P$2:$P$501,V217),IF($AO$1=1,0,"")))</f>
        <v/>
      </c>
      <c r="Y217" s="38" t="str">
        <f t="shared" si="72"/>
        <v/>
      </c>
      <c r="Z217" s="39" t="str">
        <f>IF(L217="","",IF(V217&gt;0,INDEX('01-كانون الثاني'!$Q$2:$Q$501,V217),IF($AO$1=1,0,"")))</f>
        <v/>
      </c>
      <c r="AA217" s="39" t="str">
        <f t="shared" si="73"/>
        <v/>
      </c>
      <c r="AB217" s="40" t="str">
        <f>IF(OR(L217="",V217=0),"",IF(AND(N(I217)&gt;0,N(INDEX('01-كانون الثاني'!$I$2:$I$501,V217))&gt;0,INDEX('01-كانون الثاني'!$F$2:$F$501,V217)=F217),N(I217)/N(INDEX('01-كانون الثاني'!$I$2:$I$501,V217))-1,""))</f>
        <v/>
      </c>
      <c r="AC217" t="str">
        <f>IF(L217="","",IF(AND($AO$2=1,ISNA(MATCH(L217,'03-آذار'!$L$2:$L$501,0))),"محذوف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IF(L218="","",IF($AO$1=1,IFERROR(MATCH(L218,'01-كانون الثاني'!$L$2:$L$501,0),0),0))</f>
        <v/>
      </c>
      <c r="W218" t="str">
        <f t="shared" si="71"/>
        <v/>
      </c>
      <c r="X218" s="38" t="str">
        <f>IF(L218="","",IF(V218&gt;0,INDEX('01-كانون الثاني'!$P$2:$P$501,V218),IF($AO$1=1,0,"")))</f>
        <v/>
      </c>
      <c r="Y218" s="38" t="str">
        <f t="shared" si="72"/>
        <v/>
      </c>
      <c r="Z218" s="39" t="str">
        <f>IF(L218="","",IF(V218&gt;0,INDEX('01-كانون الثاني'!$Q$2:$Q$501,V218),IF($AO$1=1,0,"")))</f>
        <v/>
      </c>
      <c r="AA218" s="39" t="str">
        <f t="shared" si="73"/>
        <v/>
      </c>
      <c r="AB218" s="40" t="str">
        <f>IF(OR(L218="",V218=0),"",IF(AND(N(I218)&gt;0,N(INDEX('01-كانون الثاني'!$I$2:$I$501,V218))&gt;0,INDEX('01-كانون الثاني'!$F$2:$F$501,V218)=F218),N(I218)/N(INDEX('01-كانون الثاني'!$I$2:$I$501,V218))-1,""))</f>
        <v/>
      </c>
      <c r="AC218" t="str">
        <f>IF(L218="","",IF(AND($AO$2=1,ISNA(MATCH(L218,'03-آذار'!$L$2:$L$501,0))),"محذوف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IF(L219="","",IF($AO$1=1,IFERROR(MATCH(L219,'01-كانون الثاني'!$L$2:$L$501,0),0),0))</f>
        <v/>
      </c>
      <c r="W219" t="str">
        <f t="shared" si="71"/>
        <v/>
      </c>
      <c r="X219" s="38" t="str">
        <f>IF(L219="","",IF(V219&gt;0,INDEX('01-كانون الثاني'!$P$2:$P$501,V219),IF($AO$1=1,0,"")))</f>
        <v/>
      </c>
      <c r="Y219" s="38" t="str">
        <f t="shared" si="72"/>
        <v/>
      </c>
      <c r="Z219" s="39" t="str">
        <f>IF(L219="","",IF(V219&gt;0,INDEX('01-كانون الثاني'!$Q$2:$Q$501,V219),IF($AO$1=1,0,"")))</f>
        <v/>
      </c>
      <c r="AA219" s="39" t="str">
        <f t="shared" si="73"/>
        <v/>
      </c>
      <c r="AB219" s="40" t="str">
        <f>IF(OR(L219="",V219=0),"",IF(AND(N(I219)&gt;0,N(INDEX('01-كانون الثاني'!$I$2:$I$501,V219))&gt;0,INDEX('01-كانون الثاني'!$F$2:$F$501,V219)=F219),N(I219)/N(INDEX('01-كانون الثاني'!$I$2:$I$501,V219))-1,""))</f>
        <v/>
      </c>
      <c r="AC219" t="str">
        <f>IF(L219="","",IF(AND($AO$2=1,ISNA(MATCH(L219,'03-آذار'!$L$2:$L$501,0))),"محذوف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IF(L220="","",IF($AO$1=1,IFERROR(MATCH(L220,'01-كانون الثاني'!$L$2:$L$501,0),0),0))</f>
        <v/>
      </c>
      <c r="W220" t="str">
        <f t="shared" si="71"/>
        <v/>
      </c>
      <c r="X220" s="38" t="str">
        <f>IF(L220="","",IF(V220&gt;0,INDEX('01-كانون الثاني'!$P$2:$P$501,V220),IF($AO$1=1,0,"")))</f>
        <v/>
      </c>
      <c r="Y220" s="38" t="str">
        <f t="shared" si="72"/>
        <v/>
      </c>
      <c r="Z220" s="39" t="str">
        <f>IF(L220="","",IF(V220&gt;0,INDEX('01-كانون الثاني'!$Q$2:$Q$501,V220),IF($AO$1=1,0,"")))</f>
        <v/>
      </c>
      <c r="AA220" s="39" t="str">
        <f t="shared" si="73"/>
        <v/>
      </c>
      <c r="AB220" s="40" t="str">
        <f>IF(OR(L220="",V220=0),"",IF(AND(N(I220)&gt;0,N(INDEX('01-كانون الثاني'!$I$2:$I$501,V220))&gt;0,INDEX('01-كانون الثاني'!$F$2:$F$501,V220)=F220),N(I220)/N(INDEX('01-كانون الثاني'!$I$2:$I$501,V220))-1,""))</f>
        <v/>
      </c>
      <c r="AC220" t="str">
        <f>IF(L220="","",IF(AND($AO$2=1,ISNA(MATCH(L220,'03-آذار'!$L$2:$L$501,0))),"محذوف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IF(L221="","",IF($AO$1=1,IFERROR(MATCH(L221,'01-كانون الثاني'!$L$2:$L$501,0),0),0))</f>
        <v/>
      </c>
      <c r="W221" t="str">
        <f t="shared" si="71"/>
        <v/>
      </c>
      <c r="X221" s="38" t="str">
        <f>IF(L221="","",IF(V221&gt;0,INDEX('01-كانون الثاني'!$P$2:$P$501,V221),IF($AO$1=1,0,"")))</f>
        <v/>
      </c>
      <c r="Y221" s="38" t="str">
        <f t="shared" si="72"/>
        <v/>
      </c>
      <c r="Z221" s="39" t="str">
        <f>IF(L221="","",IF(V221&gt;0,INDEX('01-كانون الثاني'!$Q$2:$Q$501,V221),IF($AO$1=1,0,"")))</f>
        <v/>
      </c>
      <c r="AA221" s="39" t="str">
        <f t="shared" si="73"/>
        <v/>
      </c>
      <c r="AB221" s="40" t="str">
        <f>IF(OR(L221="",V221=0),"",IF(AND(N(I221)&gt;0,N(INDEX('01-كانون الثاني'!$I$2:$I$501,V221))&gt;0,INDEX('01-كانون الثاني'!$F$2:$F$501,V221)=F221),N(I221)/N(INDEX('01-كانون الثاني'!$I$2:$I$501,V221))-1,""))</f>
        <v/>
      </c>
      <c r="AC221" t="str">
        <f>IF(L221="","",IF(AND($AO$2=1,ISNA(MATCH(L221,'03-آذار'!$L$2:$L$501,0))),"محذوف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IF(L222="","",IF($AO$1=1,IFERROR(MATCH(L222,'01-كانون الثاني'!$L$2:$L$501,0),0),0))</f>
        <v/>
      </c>
      <c r="W222" t="str">
        <f t="shared" si="71"/>
        <v/>
      </c>
      <c r="X222" s="38" t="str">
        <f>IF(L222="","",IF(V222&gt;0,INDEX('01-كانون الثاني'!$P$2:$P$501,V222),IF($AO$1=1,0,"")))</f>
        <v/>
      </c>
      <c r="Y222" s="38" t="str">
        <f t="shared" si="72"/>
        <v/>
      </c>
      <c r="Z222" s="39" t="str">
        <f>IF(L222="","",IF(V222&gt;0,INDEX('01-كانون الثاني'!$Q$2:$Q$501,V222),IF($AO$1=1,0,"")))</f>
        <v/>
      </c>
      <c r="AA222" s="39" t="str">
        <f t="shared" si="73"/>
        <v/>
      </c>
      <c r="AB222" s="40" t="str">
        <f>IF(OR(L222="",V222=0),"",IF(AND(N(I222)&gt;0,N(INDEX('01-كانون الثاني'!$I$2:$I$501,V222))&gt;0,INDEX('01-كانون الثاني'!$F$2:$F$501,V222)=F222),N(I222)/N(INDEX('01-كانون الثاني'!$I$2:$I$501,V222))-1,""))</f>
        <v/>
      </c>
      <c r="AC222" t="str">
        <f>IF(L222="","",IF(AND($AO$2=1,ISNA(MATCH(L222,'03-آذار'!$L$2:$L$501,0))),"محذوف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IF(L223="","",IF($AO$1=1,IFERROR(MATCH(L223,'01-كانون الثاني'!$L$2:$L$501,0),0),0))</f>
        <v/>
      </c>
      <c r="W223" t="str">
        <f t="shared" si="71"/>
        <v/>
      </c>
      <c r="X223" s="38" t="str">
        <f>IF(L223="","",IF(V223&gt;0,INDEX('01-كانون الثاني'!$P$2:$P$501,V223),IF($AO$1=1,0,"")))</f>
        <v/>
      </c>
      <c r="Y223" s="38" t="str">
        <f t="shared" si="72"/>
        <v/>
      </c>
      <c r="Z223" s="39" t="str">
        <f>IF(L223="","",IF(V223&gt;0,INDEX('01-كانون الثاني'!$Q$2:$Q$501,V223),IF($AO$1=1,0,"")))</f>
        <v/>
      </c>
      <c r="AA223" s="39" t="str">
        <f t="shared" si="73"/>
        <v/>
      </c>
      <c r="AB223" s="40" t="str">
        <f>IF(OR(L223="",V223=0),"",IF(AND(N(I223)&gt;0,N(INDEX('01-كانون الثاني'!$I$2:$I$501,V223))&gt;0,INDEX('01-كانون الثاني'!$F$2:$F$501,V223)=F223),N(I223)/N(INDEX('01-كانون الثاني'!$I$2:$I$501,V223))-1,""))</f>
        <v/>
      </c>
      <c r="AC223" t="str">
        <f>IF(L223="","",IF(AND($AO$2=1,ISNA(MATCH(L223,'03-آذار'!$L$2:$L$501,0))),"محذوف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IF(L224="","",IF($AO$1=1,IFERROR(MATCH(L224,'01-كانون الثاني'!$L$2:$L$501,0),0),0))</f>
        <v/>
      </c>
      <c r="W224" t="str">
        <f t="shared" si="71"/>
        <v/>
      </c>
      <c r="X224" s="38" t="str">
        <f>IF(L224="","",IF(V224&gt;0,INDEX('01-كانون الثاني'!$P$2:$P$501,V224),IF($AO$1=1,0,"")))</f>
        <v/>
      </c>
      <c r="Y224" s="38" t="str">
        <f t="shared" si="72"/>
        <v/>
      </c>
      <c r="Z224" s="39" t="str">
        <f>IF(L224="","",IF(V224&gt;0,INDEX('01-كانون الثاني'!$Q$2:$Q$501,V224),IF($AO$1=1,0,"")))</f>
        <v/>
      </c>
      <c r="AA224" s="39" t="str">
        <f t="shared" si="73"/>
        <v/>
      </c>
      <c r="AB224" s="40" t="str">
        <f>IF(OR(L224="",V224=0),"",IF(AND(N(I224)&gt;0,N(INDEX('01-كانون الثاني'!$I$2:$I$501,V224))&gt;0,INDEX('01-كانون الثاني'!$F$2:$F$501,V224)=F224),N(I224)/N(INDEX('01-كانون الثاني'!$I$2:$I$501,V224))-1,""))</f>
        <v/>
      </c>
      <c r="AC224" t="str">
        <f>IF(L224="","",IF(AND($AO$2=1,ISNA(MATCH(L224,'03-آذار'!$L$2:$L$501,0))),"محذوف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IF(L225="","",IF($AO$1=1,IFERROR(MATCH(L225,'01-كانون الثاني'!$L$2:$L$501,0),0),0))</f>
        <v/>
      </c>
      <c r="W225" t="str">
        <f t="shared" si="71"/>
        <v/>
      </c>
      <c r="X225" s="38" t="str">
        <f>IF(L225="","",IF(V225&gt;0,INDEX('01-كانون الثاني'!$P$2:$P$501,V225),IF($AO$1=1,0,"")))</f>
        <v/>
      </c>
      <c r="Y225" s="38" t="str">
        <f t="shared" si="72"/>
        <v/>
      </c>
      <c r="Z225" s="39" t="str">
        <f>IF(L225="","",IF(V225&gt;0,INDEX('01-كانون الثاني'!$Q$2:$Q$501,V225),IF($AO$1=1,0,"")))</f>
        <v/>
      </c>
      <c r="AA225" s="39" t="str">
        <f t="shared" si="73"/>
        <v/>
      </c>
      <c r="AB225" s="40" t="str">
        <f>IF(OR(L225="",V225=0),"",IF(AND(N(I225)&gt;0,N(INDEX('01-كانون الثاني'!$I$2:$I$501,V225))&gt;0,INDEX('01-كانون الثاني'!$F$2:$F$501,V225)=F225),N(I225)/N(INDEX('01-كانون الثاني'!$I$2:$I$501,V225))-1,""))</f>
        <v/>
      </c>
      <c r="AC225" t="str">
        <f>IF(L225="","",IF(AND($AO$2=1,ISNA(MATCH(L225,'03-آذار'!$L$2:$L$501,0))),"محذوف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IF(L226="","",IF($AO$1=1,IFERROR(MATCH(L226,'01-كانون الثاني'!$L$2:$L$501,0),0),0))</f>
        <v/>
      </c>
      <c r="W226" t="str">
        <f t="shared" si="71"/>
        <v/>
      </c>
      <c r="X226" s="38" t="str">
        <f>IF(L226="","",IF(V226&gt;0,INDEX('01-كانون الثاني'!$P$2:$P$501,V226),IF($AO$1=1,0,"")))</f>
        <v/>
      </c>
      <c r="Y226" s="38" t="str">
        <f t="shared" si="72"/>
        <v/>
      </c>
      <c r="Z226" s="39" t="str">
        <f>IF(L226="","",IF(V226&gt;0,INDEX('01-كانون الثاني'!$Q$2:$Q$501,V226),IF($AO$1=1,0,"")))</f>
        <v/>
      </c>
      <c r="AA226" s="39" t="str">
        <f t="shared" si="73"/>
        <v/>
      </c>
      <c r="AB226" s="40" t="str">
        <f>IF(OR(L226="",V226=0),"",IF(AND(N(I226)&gt;0,N(INDEX('01-كانون الثاني'!$I$2:$I$501,V226))&gt;0,INDEX('01-كانون الثاني'!$F$2:$F$501,V226)=F226),N(I226)/N(INDEX('01-كانون الثاني'!$I$2:$I$501,V226))-1,""))</f>
        <v/>
      </c>
      <c r="AC226" t="str">
        <f>IF(L226="","",IF(AND($AO$2=1,ISNA(MATCH(L226,'03-آذار'!$L$2:$L$501,0))),"محذوف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IF(L227="","",IF($AO$1=1,IFERROR(MATCH(L227,'01-كانون الثاني'!$L$2:$L$501,0),0),0))</f>
        <v/>
      </c>
      <c r="W227" t="str">
        <f t="shared" si="71"/>
        <v/>
      </c>
      <c r="X227" s="38" t="str">
        <f>IF(L227="","",IF(V227&gt;0,INDEX('01-كانون الثاني'!$P$2:$P$501,V227),IF($AO$1=1,0,"")))</f>
        <v/>
      </c>
      <c r="Y227" s="38" t="str">
        <f t="shared" si="72"/>
        <v/>
      </c>
      <c r="Z227" s="39" t="str">
        <f>IF(L227="","",IF(V227&gt;0,INDEX('01-كانون الثاني'!$Q$2:$Q$501,V227),IF($AO$1=1,0,"")))</f>
        <v/>
      </c>
      <c r="AA227" s="39" t="str">
        <f t="shared" si="73"/>
        <v/>
      </c>
      <c r="AB227" s="40" t="str">
        <f>IF(OR(L227="",V227=0),"",IF(AND(N(I227)&gt;0,N(INDEX('01-كانون الثاني'!$I$2:$I$501,V227))&gt;0,INDEX('01-كانون الثاني'!$F$2:$F$501,V227)=F227),N(I227)/N(INDEX('01-كانون الثاني'!$I$2:$I$501,V227))-1,""))</f>
        <v/>
      </c>
      <c r="AC227" t="str">
        <f>IF(L227="","",IF(AND($AO$2=1,ISNA(MATCH(L227,'03-آذار'!$L$2:$L$501,0))),"محذوف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IF(L228="","",IF($AO$1=1,IFERROR(MATCH(L228,'01-كانون الثاني'!$L$2:$L$501,0),0),0))</f>
        <v/>
      </c>
      <c r="W228" t="str">
        <f t="shared" si="71"/>
        <v/>
      </c>
      <c r="X228" s="38" t="str">
        <f>IF(L228="","",IF(V228&gt;0,INDEX('01-كانون الثاني'!$P$2:$P$501,V228),IF($AO$1=1,0,"")))</f>
        <v/>
      </c>
      <c r="Y228" s="38" t="str">
        <f t="shared" si="72"/>
        <v/>
      </c>
      <c r="Z228" s="39" t="str">
        <f>IF(L228="","",IF(V228&gt;0,INDEX('01-كانون الثاني'!$Q$2:$Q$501,V228),IF($AO$1=1,0,"")))</f>
        <v/>
      </c>
      <c r="AA228" s="39" t="str">
        <f t="shared" si="73"/>
        <v/>
      </c>
      <c r="AB228" s="40" t="str">
        <f>IF(OR(L228="",V228=0),"",IF(AND(N(I228)&gt;0,N(INDEX('01-كانون الثاني'!$I$2:$I$501,V228))&gt;0,INDEX('01-كانون الثاني'!$F$2:$F$501,V228)=F228),N(I228)/N(INDEX('01-كانون الثاني'!$I$2:$I$501,V228))-1,""))</f>
        <v/>
      </c>
      <c r="AC228" t="str">
        <f>IF(L228="","",IF(AND($AO$2=1,ISNA(MATCH(L228,'03-آذار'!$L$2:$L$501,0))),"محذوف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IF(L229="","",IF($AO$1=1,IFERROR(MATCH(L229,'01-كانون الثاني'!$L$2:$L$501,0),0),0))</f>
        <v/>
      </c>
      <c r="W229" t="str">
        <f t="shared" si="71"/>
        <v/>
      </c>
      <c r="X229" s="38" t="str">
        <f>IF(L229="","",IF(V229&gt;0,INDEX('01-كانون الثاني'!$P$2:$P$501,V229),IF($AO$1=1,0,"")))</f>
        <v/>
      </c>
      <c r="Y229" s="38" t="str">
        <f t="shared" si="72"/>
        <v/>
      </c>
      <c r="Z229" s="39" t="str">
        <f>IF(L229="","",IF(V229&gt;0,INDEX('01-كانون الثاني'!$Q$2:$Q$501,V229),IF($AO$1=1,0,"")))</f>
        <v/>
      </c>
      <c r="AA229" s="39" t="str">
        <f t="shared" si="73"/>
        <v/>
      </c>
      <c r="AB229" s="40" t="str">
        <f>IF(OR(L229="",V229=0),"",IF(AND(N(I229)&gt;0,N(INDEX('01-كانون الثاني'!$I$2:$I$501,V229))&gt;0,INDEX('01-كانون الثاني'!$F$2:$F$501,V229)=F229),N(I229)/N(INDEX('01-كانون الثاني'!$I$2:$I$501,V229))-1,""))</f>
        <v/>
      </c>
      <c r="AC229" t="str">
        <f>IF(L229="","",IF(AND($AO$2=1,ISNA(MATCH(L229,'03-آذار'!$L$2:$L$501,0))),"محذوف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IF(L230="","",IF($AO$1=1,IFERROR(MATCH(L230,'01-كانون الثاني'!$L$2:$L$501,0),0),0))</f>
        <v/>
      </c>
      <c r="W230" t="str">
        <f t="shared" si="71"/>
        <v/>
      </c>
      <c r="X230" s="38" t="str">
        <f>IF(L230="","",IF(V230&gt;0,INDEX('01-كانون الثاني'!$P$2:$P$501,V230),IF($AO$1=1,0,"")))</f>
        <v/>
      </c>
      <c r="Y230" s="38" t="str">
        <f t="shared" si="72"/>
        <v/>
      </c>
      <c r="Z230" s="39" t="str">
        <f>IF(L230="","",IF(V230&gt;0,INDEX('01-كانون الثاني'!$Q$2:$Q$501,V230),IF($AO$1=1,0,"")))</f>
        <v/>
      </c>
      <c r="AA230" s="39" t="str">
        <f t="shared" si="73"/>
        <v/>
      </c>
      <c r="AB230" s="40" t="str">
        <f>IF(OR(L230="",V230=0),"",IF(AND(N(I230)&gt;0,N(INDEX('01-كانون الثاني'!$I$2:$I$501,V230))&gt;0,INDEX('01-كانون الثاني'!$F$2:$F$501,V230)=F230),N(I230)/N(INDEX('01-كانون الثاني'!$I$2:$I$501,V230))-1,""))</f>
        <v/>
      </c>
      <c r="AC230" t="str">
        <f>IF(L230="","",IF(AND($AO$2=1,ISNA(MATCH(L230,'03-آذار'!$L$2:$L$501,0))),"محذوف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IF(L231="","",IF($AO$1=1,IFERROR(MATCH(L231,'01-كانون الثاني'!$L$2:$L$501,0),0),0))</f>
        <v/>
      </c>
      <c r="W231" t="str">
        <f t="shared" si="71"/>
        <v/>
      </c>
      <c r="X231" s="38" t="str">
        <f>IF(L231="","",IF(V231&gt;0,INDEX('01-كانون الثاني'!$P$2:$P$501,V231),IF($AO$1=1,0,"")))</f>
        <v/>
      </c>
      <c r="Y231" s="38" t="str">
        <f t="shared" si="72"/>
        <v/>
      </c>
      <c r="Z231" s="39" t="str">
        <f>IF(L231="","",IF(V231&gt;0,INDEX('01-كانون الثاني'!$Q$2:$Q$501,V231),IF($AO$1=1,0,"")))</f>
        <v/>
      </c>
      <c r="AA231" s="39" t="str">
        <f t="shared" si="73"/>
        <v/>
      </c>
      <c r="AB231" s="40" t="str">
        <f>IF(OR(L231="",V231=0),"",IF(AND(N(I231)&gt;0,N(INDEX('01-كانون الثاني'!$I$2:$I$501,V231))&gt;0,INDEX('01-كانون الثاني'!$F$2:$F$501,V231)=F231),N(I231)/N(INDEX('01-كانون الثاني'!$I$2:$I$501,V231))-1,""))</f>
        <v/>
      </c>
      <c r="AC231" t="str">
        <f>IF(L231="","",IF(AND($AO$2=1,ISNA(MATCH(L231,'03-آذار'!$L$2:$L$501,0))),"محذوف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IF(L232="","",IF($AO$1=1,IFERROR(MATCH(L232,'01-كانون الثاني'!$L$2:$L$501,0),0),0))</f>
        <v/>
      </c>
      <c r="W232" t="str">
        <f t="shared" si="71"/>
        <v/>
      </c>
      <c r="X232" s="38" t="str">
        <f>IF(L232="","",IF(V232&gt;0,INDEX('01-كانون الثاني'!$P$2:$P$501,V232),IF($AO$1=1,0,"")))</f>
        <v/>
      </c>
      <c r="Y232" s="38" t="str">
        <f t="shared" si="72"/>
        <v/>
      </c>
      <c r="Z232" s="39" t="str">
        <f>IF(L232="","",IF(V232&gt;0,INDEX('01-كانون الثاني'!$Q$2:$Q$501,V232),IF($AO$1=1,0,"")))</f>
        <v/>
      </c>
      <c r="AA232" s="39" t="str">
        <f t="shared" si="73"/>
        <v/>
      </c>
      <c r="AB232" s="40" t="str">
        <f>IF(OR(L232="",V232=0),"",IF(AND(N(I232)&gt;0,N(INDEX('01-كانون الثاني'!$I$2:$I$501,V232))&gt;0,INDEX('01-كانون الثاني'!$F$2:$F$501,V232)=F232),N(I232)/N(INDEX('01-كانون الثاني'!$I$2:$I$501,V232))-1,""))</f>
        <v/>
      </c>
      <c r="AC232" t="str">
        <f>IF(L232="","",IF(AND($AO$2=1,ISNA(MATCH(L232,'03-آذار'!$L$2:$L$501,0))),"محذوف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IF(L233="","",IF($AO$1=1,IFERROR(MATCH(L233,'01-كانون الثاني'!$L$2:$L$501,0),0),0))</f>
        <v/>
      </c>
      <c r="W233" t="str">
        <f t="shared" si="71"/>
        <v/>
      </c>
      <c r="X233" s="38" t="str">
        <f>IF(L233="","",IF(V233&gt;0,INDEX('01-كانون الثاني'!$P$2:$P$501,V233),IF($AO$1=1,0,"")))</f>
        <v/>
      </c>
      <c r="Y233" s="38" t="str">
        <f t="shared" si="72"/>
        <v/>
      </c>
      <c r="Z233" s="39" t="str">
        <f>IF(L233="","",IF(V233&gt;0,INDEX('01-كانون الثاني'!$Q$2:$Q$501,V233),IF($AO$1=1,0,"")))</f>
        <v/>
      </c>
      <c r="AA233" s="39" t="str">
        <f t="shared" si="73"/>
        <v/>
      </c>
      <c r="AB233" s="40" t="str">
        <f>IF(OR(L233="",V233=0),"",IF(AND(N(I233)&gt;0,N(INDEX('01-كانون الثاني'!$I$2:$I$501,V233))&gt;0,INDEX('01-كانون الثاني'!$F$2:$F$501,V233)=F233),N(I233)/N(INDEX('01-كانون الثاني'!$I$2:$I$501,V233))-1,""))</f>
        <v/>
      </c>
      <c r="AC233" t="str">
        <f>IF(L233="","",IF(AND($AO$2=1,ISNA(MATCH(L233,'03-آذار'!$L$2:$L$501,0))),"محذوف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IF(L234="","",IF($AO$1=1,IFERROR(MATCH(L234,'01-كانون الثاني'!$L$2:$L$501,0),0),0))</f>
        <v/>
      </c>
      <c r="W234" t="str">
        <f t="shared" si="71"/>
        <v/>
      </c>
      <c r="X234" s="38" t="str">
        <f>IF(L234="","",IF(V234&gt;0,INDEX('01-كانون الثاني'!$P$2:$P$501,V234),IF($AO$1=1,0,"")))</f>
        <v/>
      </c>
      <c r="Y234" s="38" t="str">
        <f t="shared" si="72"/>
        <v/>
      </c>
      <c r="Z234" s="39" t="str">
        <f>IF(L234="","",IF(V234&gt;0,INDEX('01-كانون الثاني'!$Q$2:$Q$501,V234),IF($AO$1=1,0,"")))</f>
        <v/>
      </c>
      <c r="AA234" s="39" t="str">
        <f t="shared" si="73"/>
        <v/>
      </c>
      <c r="AB234" s="40" t="str">
        <f>IF(OR(L234="",V234=0),"",IF(AND(N(I234)&gt;0,N(INDEX('01-كانون الثاني'!$I$2:$I$501,V234))&gt;0,INDEX('01-كانون الثاني'!$F$2:$F$501,V234)=F234),N(I234)/N(INDEX('01-كانون الثاني'!$I$2:$I$501,V234))-1,""))</f>
        <v/>
      </c>
      <c r="AC234" t="str">
        <f>IF(L234="","",IF(AND($AO$2=1,ISNA(MATCH(L234,'03-آذار'!$L$2:$L$501,0))),"محذوف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IF(L235="","",IF($AO$1=1,IFERROR(MATCH(L235,'01-كانون الثاني'!$L$2:$L$501,0),0),0))</f>
        <v/>
      </c>
      <c r="W235" t="str">
        <f t="shared" si="71"/>
        <v/>
      </c>
      <c r="X235" s="38" t="str">
        <f>IF(L235="","",IF(V235&gt;0,INDEX('01-كانون الثاني'!$P$2:$P$501,V235),IF($AO$1=1,0,"")))</f>
        <v/>
      </c>
      <c r="Y235" s="38" t="str">
        <f t="shared" si="72"/>
        <v/>
      </c>
      <c r="Z235" s="39" t="str">
        <f>IF(L235="","",IF(V235&gt;0,INDEX('01-كانون الثاني'!$Q$2:$Q$501,V235),IF($AO$1=1,0,"")))</f>
        <v/>
      </c>
      <c r="AA235" s="39" t="str">
        <f t="shared" si="73"/>
        <v/>
      </c>
      <c r="AB235" s="40" t="str">
        <f>IF(OR(L235="",V235=0),"",IF(AND(N(I235)&gt;0,N(INDEX('01-كانون الثاني'!$I$2:$I$501,V235))&gt;0,INDEX('01-كانون الثاني'!$F$2:$F$501,V235)=F235),N(I235)/N(INDEX('01-كانون الثاني'!$I$2:$I$501,V235))-1,""))</f>
        <v/>
      </c>
      <c r="AC235" t="str">
        <f>IF(L235="","",IF(AND($AO$2=1,ISNA(MATCH(L235,'03-آذار'!$L$2:$L$501,0))),"محذوف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IF(L236="","",IF($AO$1=1,IFERROR(MATCH(L236,'01-كانون الثاني'!$L$2:$L$501,0),0),0))</f>
        <v/>
      </c>
      <c r="W236" t="str">
        <f t="shared" si="71"/>
        <v/>
      </c>
      <c r="X236" s="38" t="str">
        <f>IF(L236="","",IF(V236&gt;0,INDEX('01-كانون الثاني'!$P$2:$P$501,V236),IF($AO$1=1,0,"")))</f>
        <v/>
      </c>
      <c r="Y236" s="38" t="str">
        <f t="shared" si="72"/>
        <v/>
      </c>
      <c r="Z236" s="39" t="str">
        <f>IF(L236="","",IF(V236&gt;0,INDEX('01-كانون الثاني'!$Q$2:$Q$501,V236),IF($AO$1=1,0,"")))</f>
        <v/>
      </c>
      <c r="AA236" s="39" t="str">
        <f t="shared" si="73"/>
        <v/>
      </c>
      <c r="AB236" s="40" t="str">
        <f>IF(OR(L236="",V236=0),"",IF(AND(N(I236)&gt;0,N(INDEX('01-كانون الثاني'!$I$2:$I$501,V236))&gt;0,INDEX('01-كانون الثاني'!$F$2:$F$501,V236)=F236),N(I236)/N(INDEX('01-كانون الثاني'!$I$2:$I$501,V236))-1,""))</f>
        <v/>
      </c>
      <c r="AC236" t="str">
        <f>IF(L236="","",IF(AND($AO$2=1,ISNA(MATCH(L236,'03-آذار'!$L$2:$L$501,0))),"محذوف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IF(L237="","",IF($AO$1=1,IFERROR(MATCH(L237,'01-كانون الثاني'!$L$2:$L$501,0),0),0))</f>
        <v/>
      </c>
      <c r="W237" t="str">
        <f t="shared" si="71"/>
        <v/>
      </c>
      <c r="X237" s="38" t="str">
        <f>IF(L237="","",IF(V237&gt;0,INDEX('01-كانون الثاني'!$P$2:$P$501,V237),IF($AO$1=1,0,"")))</f>
        <v/>
      </c>
      <c r="Y237" s="38" t="str">
        <f t="shared" si="72"/>
        <v/>
      </c>
      <c r="Z237" s="39" t="str">
        <f>IF(L237="","",IF(V237&gt;0,INDEX('01-كانون الثاني'!$Q$2:$Q$501,V237),IF($AO$1=1,0,"")))</f>
        <v/>
      </c>
      <c r="AA237" s="39" t="str">
        <f t="shared" si="73"/>
        <v/>
      </c>
      <c r="AB237" s="40" t="str">
        <f>IF(OR(L237="",V237=0),"",IF(AND(N(I237)&gt;0,N(INDEX('01-كانون الثاني'!$I$2:$I$501,V237))&gt;0,INDEX('01-كانون الثاني'!$F$2:$F$501,V237)=F237),N(I237)/N(INDEX('01-كانون الثاني'!$I$2:$I$501,V237))-1,""))</f>
        <v/>
      </c>
      <c r="AC237" t="str">
        <f>IF(L237="","",IF(AND($AO$2=1,ISNA(MATCH(L237,'03-آذار'!$L$2:$L$501,0))),"محذوف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IF(L238="","",IF($AO$1=1,IFERROR(MATCH(L238,'01-كانون الثاني'!$L$2:$L$501,0),0),0))</f>
        <v/>
      </c>
      <c r="W238" t="str">
        <f t="shared" si="71"/>
        <v/>
      </c>
      <c r="X238" s="38" t="str">
        <f>IF(L238="","",IF(V238&gt;0,INDEX('01-كانون الثاني'!$P$2:$P$501,V238),IF($AO$1=1,0,"")))</f>
        <v/>
      </c>
      <c r="Y238" s="38" t="str">
        <f t="shared" si="72"/>
        <v/>
      </c>
      <c r="Z238" s="39" t="str">
        <f>IF(L238="","",IF(V238&gt;0,INDEX('01-كانون الثاني'!$Q$2:$Q$501,V238),IF($AO$1=1,0,"")))</f>
        <v/>
      </c>
      <c r="AA238" s="39" t="str">
        <f t="shared" si="73"/>
        <v/>
      </c>
      <c r="AB238" s="40" t="str">
        <f>IF(OR(L238="",V238=0),"",IF(AND(N(I238)&gt;0,N(INDEX('01-كانون الثاني'!$I$2:$I$501,V238))&gt;0,INDEX('01-كانون الثاني'!$F$2:$F$501,V238)=F238),N(I238)/N(INDEX('01-كانون الثاني'!$I$2:$I$501,V238))-1,""))</f>
        <v/>
      </c>
      <c r="AC238" t="str">
        <f>IF(L238="","",IF(AND($AO$2=1,ISNA(MATCH(L238,'03-آذار'!$L$2:$L$501,0))),"محذوف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IF(L239="","",IF($AO$1=1,IFERROR(MATCH(L239,'01-كانون الثاني'!$L$2:$L$501,0),0),0))</f>
        <v/>
      </c>
      <c r="W239" t="str">
        <f t="shared" si="71"/>
        <v/>
      </c>
      <c r="X239" s="38" t="str">
        <f>IF(L239="","",IF(V239&gt;0,INDEX('01-كانون الثاني'!$P$2:$P$501,V239),IF($AO$1=1,0,"")))</f>
        <v/>
      </c>
      <c r="Y239" s="38" t="str">
        <f t="shared" si="72"/>
        <v/>
      </c>
      <c r="Z239" s="39" t="str">
        <f>IF(L239="","",IF(V239&gt;0,INDEX('01-كانون الثاني'!$Q$2:$Q$501,V239),IF($AO$1=1,0,"")))</f>
        <v/>
      </c>
      <c r="AA239" s="39" t="str">
        <f t="shared" si="73"/>
        <v/>
      </c>
      <c r="AB239" s="40" t="str">
        <f>IF(OR(L239="",V239=0),"",IF(AND(N(I239)&gt;0,N(INDEX('01-كانون الثاني'!$I$2:$I$501,V239))&gt;0,INDEX('01-كانون الثاني'!$F$2:$F$501,V239)=F239),N(I239)/N(INDEX('01-كانون الثاني'!$I$2:$I$501,V239))-1,""))</f>
        <v/>
      </c>
      <c r="AC239" t="str">
        <f>IF(L239="","",IF(AND($AO$2=1,ISNA(MATCH(L239,'03-آذار'!$L$2:$L$501,0))),"محذوف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IF(L240="","",IF($AO$1=1,IFERROR(MATCH(L240,'01-كانون الثاني'!$L$2:$L$501,0),0),0))</f>
        <v/>
      </c>
      <c r="W240" t="str">
        <f t="shared" si="71"/>
        <v/>
      </c>
      <c r="X240" s="38" t="str">
        <f>IF(L240="","",IF(V240&gt;0,INDEX('01-كانون الثاني'!$P$2:$P$501,V240),IF($AO$1=1,0,"")))</f>
        <v/>
      </c>
      <c r="Y240" s="38" t="str">
        <f t="shared" si="72"/>
        <v/>
      </c>
      <c r="Z240" s="39" t="str">
        <f>IF(L240="","",IF(V240&gt;0,INDEX('01-كانون الثاني'!$Q$2:$Q$501,V240),IF($AO$1=1,0,"")))</f>
        <v/>
      </c>
      <c r="AA240" s="39" t="str">
        <f t="shared" si="73"/>
        <v/>
      </c>
      <c r="AB240" s="40" t="str">
        <f>IF(OR(L240="",V240=0),"",IF(AND(N(I240)&gt;0,N(INDEX('01-كانون الثاني'!$I$2:$I$501,V240))&gt;0,INDEX('01-كانون الثاني'!$F$2:$F$501,V240)=F240),N(I240)/N(INDEX('01-كانون الثاني'!$I$2:$I$501,V240))-1,""))</f>
        <v/>
      </c>
      <c r="AC240" t="str">
        <f>IF(L240="","",IF(AND($AO$2=1,ISNA(MATCH(L240,'03-آذار'!$L$2:$L$501,0))),"محذوف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IF(L241="","",IF($AO$1=1,IFERROR(MATCH(L241,'01-كانون الثاني'!$L$2:$L$501,0),0),0))</f>
        <v/>
      </c>
      <c r="W241" t="str">
        <f t="shared" si="71"/>
        <v/>
      </c>
      <c r="X241" s="38" t="str">
        <f>IF(L241="","",IF(V241&gt;0,INDEX('01-كانون الثاني'!$P$2:$P$501,V241),IF($AO$1=1,0,"")))</f>
        <v/>
      </c>
      <c r="Y241" s="38" t="str">
        <f t="shared" si="72"/>
        <v/>
      </c>
      <c r="Z241" s="39" t="str">
        <f>IF(L241="","",IF(V241&gt;0,INDEX('01-كانون الثاني'!$Q$2:$Q$501,V241),IF($AO$1=1,0,"")))</f>
        <v/>
      </c>
      <c r="AA241" s="39" t="str">
        <f t="shared" si="73"/>
        <v/>
      </c>
      <c r="AB241" s="40" t="str">
        <f>IF(OR(L241="",V241=0),"",IF(AND(N(I241)&gt;0,N(INDEX('01-كانون الثاني'!$I$2:$I$501,V241))&gt;0,INDEX('01-كانون الثاني'!$F$2:$F$501,V241)=F241),N(I241)/N(INDEX('01-كانون الثاني'!$I$2:$I$501,V241))-1,""))</f>
        <v/>
      </c>
      <c r="AC241" t="str">
        <f>IF(L241="","",IF(AND($AO$2=1,ISNA(MATCH(L241,'03-آذار'!$L$2:$L$501,0))),"محذوف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IF(L242="","",IF($AO$1=1,IFERROR(MATCH(L242,'01-كانون الثاني'!$L$2:$L$501,0),0),0))</f>
        <v/>
      </c>
      <c r="W242" t="str">
        <f t="shared" si="71"/>
        <v/>
      </c>
      <c r="X242" s="38" t="str">
        <f>IF(L242="","",IF(V242&gt;0,INDEX('01-كانون الثاني'!$P$2:$P$501,V242),IF($AO$1=1,0,"")))</f>
        <v/>
      </c>
      <c r="Y242" s="38" t="str">
        <f t="shared" si="72"/>
        <v/>
      </c>
      <c r="Z242" s="39" t="str">
        <f>IF(L242="","",IF(V242&gt;0,INDEX('01-كانون الثاني'!$Q$2:$Q$501,V242),IF($AO$1=1,0,"")))</f>
        <v/>
      </c>
      <c r="AA242" s="39" t="str">
        <f t="shared" si="73"/>
        <v/>
      </c>
      <c r="AB242" s="40" t="str">
        <f>IF(OR(L242="",V242=0),"",IF(AND(N(I242)&gt;0,N(INDEX('01-كانون الثاني'!$I$2:$I$501,V242))&gt;0,INDEX('01-كانون الثاني'!$F$2:$F$501,V242)=F242),N(I242)/N(INDEX('01-كانون الثاني'!$I$2:$I$501,V242))-1,""))</f>
        <v/>
      </c>
      <c r="AC242" t="str">
        <f>IF(L242="","",IF(AND($AO$2=1,ISNA(MATCH(L242,'03-آذار'!$L$2:$L$501,0))),"محذوف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IF(L243="","",IF($AO$1=1,IFERROR(MATCH(L243,'01-كانون الثاني'!$L$2:$L$501,0),0),0))</f>
        <v/>
      </c>
      <c r="W243" t="str">
        <f t="shared" si="71"/>
        <v/>
      </c>
      <c r="X243" s="38" t="str">
        <f>IF(L243="","",IF(V243&gt;0,INDEX('01-كانون الثاني'!$P$2:$P$501,V243),IF($AO$1=1,0,"")))</f>
        <v/>
      </c>
      <c r="Y243" s="38" t="str">
        <f t="shared" si="72"/>
        <v/>
      </c>
      <c r="Z243" s="39" t="str">
        <f>IF(L243="","",IF(V243&gt;0,INDEX('01-كانون الثاني'!$Q$2:$Q$501,V243),IF($AO$1=1,0,"")))</f>
        <v/>
      </c>
      <c r="AA243" s="39" t="str">
        <f t="shared" si="73"/>
        <v/>
      </c>
      <c r="AB243" s="40" t="str">
        <f>IF(OR(L243="",V243=0),"",IF(AND(N(I243)&gt;0,N(INDEX('01-كانون الثاني'!$I$2:$I$501,V243))&gt;0,INDEX('01-كانون الثاني'!$F$2:$F$501,V243)=F243),N(I243)/N(INDEX('01-كانون الثاني'!$I$2:$I$501,V243))-1,""))</f>
        <v/>
      </c>
      <c r="AC243" t="str">
        <f>IF(L243="","",IF(AND($AO$2=1,ISNA(MATCH(L243,'03-آذار'!$L$2:$L$501,0))),"محذوف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IF(L244="","",IF($AO$1=1,IFERROR(MATCH(L244,'01-كانون الثاني'!$L$2:$L$501,0),0),0))</f>
        <v/>
      </c>
      <c r="W244" t="str">
        <f t="shared" si="71"/>
        <v/>
      </c>
      <c r="X244" s="38" t="str">
        <f>IF(L244="","",IF(V244&gt;0,INDEX('01-كانون الثاني'!$P$2:$P$501,V244),IF($AO$1=1,0,"")))</f>
        <v/>
      </c>
      <c r="Y244" s="38" t="str">
        <f t="shared" si="72"/>
        <v/>
      </c>
      <c r="Z244" s="39" t="str">
        <f>IF(L244="","",IF(V244&gt;0,INDEX('01-كانون الثاني'!$Q$2:$Q$501,V244),IF($AO$1=1,0,"")))</f>
        <v/>
      </c>
      <c r="AA244" s="39" t="str">
        <f t="shared" si="73"/>
        <v/>
      </c>
      <c r="AB244" s="40" t="str">
        <f>IF(OR(L244="",V244=0),"",IF(AND(N(I244)&gt;0,N(INDEX('01-كانون الثاني'!$I$2:$I$501,V244))&gt;0,INDEX('01-كانون الثاني'!$F$2:$F$501,V244)=F244),N(I244)/N(INDEX('01-كانون الثاني'!$I$2:$I$501,V244))-1,""))</f>
        <v/>
      </c>
      <c r="AC244" t="str">
        <f>IF(L244="","",IF(AND($AO$2=1,ISNA(MATCH(L244,'03-آذار'!$L$2:$L$501,0))),"محذوف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IF(L245="","",IF($AO$1=1,IFERROR(MATCH(L245,'01-كانون الثاني'!$L$2:$L$501,0),0),0))</f>
        <v/>
      </c>
      <c r="W245" t="str">
        <f t="shared" si="71"/>
        <v/>
      </c>
      <c r="X245" s="38" t="str">
        <f>IF(L245="","",IF(V245&gt;0,INDEX('01-كانون الثاني'!$P$2:$P$501,V245),IF($AO$1=1,0,"")))</f>
        <v/>
      </c>
      <c r="Y245" s="38" t="str">
        <f t="shared" si="72"/>
        <v/>
      </c>
      <c r="Z245" s="39" t="str">
        <f>IF(L245="","",IF(V245&gt;0,INDEX('01-كانون الثاني'!$Q$2:$Q$501,V245),IF($AO$1=1,0,"")))</f>
        <v/>
      </c>
      <c r="AA245" s="39" t="str">
        <f t="shared" si="73"/>
        <v/>
      </c>
      <c r="AB245" s="40" t="str">
        <f>IF(OR(L245="",V245=0),"",IF(AND(N(I245)&gt;0,N(INDEX('01-كانون الثاني'!$I$2:$I$501,V245))&gt;0,INDEX('01-كانون الثاني'!$F$2:$F$501,V245)=F245),N(I245)/N(INDEX('01-كانون الثاني'!$I$2:$I$501,V245))-1,""))</f>
        <v/>
      </c>
      <c r="AC245" t="str">
        <f>IF(L245="","",IF(AND($AO$2=1,ISNA(MATCH(L245,'03-آذار'!$L$2:$L$501,0))),"محذوف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IF(L246="","",IF($AO$1=1,IFERROR(MATCH(L246,'01-كانون الثاني'!$L$2:$L$501,0),0),0))</f>
        <v/>
      </c>
      <c r="W246" t="str">
        <f t="shared" si="71"/>
        <v/>
      </c>
      <c r="X246" s="38" t="str">
        <f>IF(L246="","",IF(V246&gt;0,INDEX('01-كانون الثاني'!$P$2:$P$501,V246),IF($AO$1=1,0,"")))</f>
        <v/>
      </c>
      <c r="Y246" s="38" t="str">
        <f t="shared" si="72"/>
        <v/>
      </c>
      <c r="Z246" s="39" t="str">
        <f>IF(L246="","",IF(V246&gt;0,INDEX('01-كانون الثاني'!$Q$2:$Q$501,V246),IF($AO$1=1,0,"")))</f>
        <v/>
      </c>
      <c r="AA246" s="39" t="str">
        <f t="shared" si="73"/>
        <v/>
      </c>
      <c r="AB246" s="40" t="str">
        <f>IF(OR(L246="",V246=0),"",IF(AND(N(I246)&gt;0,N(INDEX('01-كانون الثاني'!$I$2:$I$501,V246))&gt;0,INDEX('01-كانون الثاني'!$F$2:$F$501,V246)=F246),N(I246)/N(INDEX('01-كانون الثاني'!$I$2:$I$501,V246))-1,""))</f>
        <v/>
      </c>
      <c r="AC246" t="str">
        <f>IF(L246="","",IF(AND($AO$2=1,ISNA(MATCH(L246,'03-آذار'!$L$2:$L$501,0))),"محذوف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IF(L247="","",IF($AO$1=1,IFERROR(MATCH(L247,'01-كانون الثاني'!$L$2:$L$501,0),0),0))</f>
        <v/>
      </c>
      <c r="W247" t="str">
        <f t="shared" si="71"/>
        <v/>
      </c>
      <c r="X247" s="38" t="str">
        <f>IF(L247="","",IF(V247&gt;0,INDEX('01-كانون الثاني'!$P$2:$P$501,V247),IF($AO$1=1,0,"")))</f>
        <v/>
      </c>
      <c r="Y247" s="38" t="str">
        <f t="shared" si="72"/>
        <v/>
      </c>
      <c r="Z247" s="39" t="str">
        <f>IF(L247="","",IF(V247&gt;0,INDEX('01-كانون الثاني'!$Q$2:$Q$501,V247),IF($AO$1=1,0,"")))</f>
        <v/>
      </c>
      <c r="AA247" s="39" t="str">
        <f t="shared" si="73"/>
        <v/>
      </c>
      <c r="AB247" s="40" t="str">
        <f>IF(OR(L247="",V247=0),"",IF(AND(N(I247)&gt;0,N(INDEX('01-كانون الثاني'!$I$2:$I$501,V247))&gt;0,INDEX('01-كانون الثاني'!$F$2:$F$501,V247)=F247),N(I247)/N(INDEX('01-كانون الثاني'!$I$2:$I$501,V247))-1,""))</f>
        <v/>
      </c>
      <c r="AC247" t="str">
        <f>IF(L247="","",IF(AND($AO$2=1,ISNA(MATCH(L247,'03-آذار'!$L$2:$L$501,0))),"محذوف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IF(L248="","",IF($AO$1=1,IFERROR(MATCH(L248,'01-كانون الثاني'!$L$2:$L$501,0),0),0))</f>
        <v/>
      </c>
      <c r="W248" t="str">
        <f t="shared" si="71"/>
        <v/>
      </c>
      <c r="X248" s="38" t="str">
        <f>IF(L248="","",IF(V248&gt;0,INDEX('01-كانون الثاني'!$P$2:$P$501,V248),IF($AO$1=1,0,"")))</f>
        <v/>
      </c>
      <c r="Y248" s="38" t="str">
        <f t="shared" si="72"/>
        <v/>
      </c>
      <c r="Z248" s="39" t="str">
        <f>IF(L248="","",IF(V248&gt;0,INDEX('01-كانون الثاني'!$Q$2:$Q$501,V248),IF($AO$1=1,0,"")))</f>
        <v/>
      </c>
      <c r="AA248" s="39" t="str">
        <f t="shared" si="73"/>
        <v/>
      </c>
      <c r="AB248" s="40" t="str">
        <f>IF(OR(L248="",V248=0),"",IF(AND(N(I248)&gt;0,N(INDEX('01-كانون الثاني'!$I$2:$I$501,V248))&gt;0,INDEX('01-كانون الثاني'!$F$2:$F$501,V248)=F248),N(I248)/N(INDEX('01-كانون الثاني'!$I$2:$I$501,V248))-1,""))</f>
        <v/>
      </c>
      <c r="AC248" t="str">
        <f>IF(L248="","",IF(AND($AO$2=1,ISNA(MATCH(L248,'03-آذار'!$L$2:$L$501,0))),"محذوف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IF(L249="","",IF($AO$1=1,IFERROR(MATCH(L249,'01-كانون الثاني'!$L$2:$L$501,0),0),0))</f>
        <v/>
      </c>
      <c r="W249" t="str">
        <f t="shared" si="71"/>
        <v/>
      </c>
      <c r="X249" s="38" t="str">
        <f>IF(L249="","",IF(V249&gt;0,INDEX('01-كانون الثاني'!$P$2:$P$501,V249),IF($AO$1=1,0,"")))</f>
        <v/>
      </c>
      <c r="Y249" s="38" t="str">
        <f t="shared" si="72"/>
        <v/>
      </c>
      <c r="Z249" s="39" t="str">
        <f>IF(L249="","",IF(V249&gt;0,INDEX('01-كانون الثاني'!$Q$2:$Q$501,V249),IF($AO$1=1,0,"")))</f>
        <v/>
      </c>
      <c r="AA249" s="39" t="str">
        <f t="shared" si="73"/>
        <v/>
      </c>
      <c r="AB249" s="40" t="str">
        <f>IF(OR(L249="",V249=0),"",IF(AND(N(I249)&gt;0,N(INDEX('01-كانون الثاني'!$I$2:$I$501,V249))&gt;0,INDEX('01-كانون الثاني'!$F$2:$F$501,V249)=F249),N(I249)/N(INDEX('01-كانون الثاني'!$I$2:$I$501,V249))-1,""))</f>
        <v/>
      </c>
      <c r="AC249" t="str">
        <f>IF(L249="","",IF(AND($AO$2=1,ISNA(MATCH(L249,'03-آذار'!$L$2:$L$501,0))),"محذوف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IF(L250="","",IF($AO$1=1,IFERROR(MATCH(L250,'01-كانون الثاني'!$L$2:$L$501,0),0),0))</f>
        <v/>
      </c>
      <c r="W250" t="str">
        <f t="shared" si="71"/>
        <v/>
      </c>
      <c r="X250" s="38" t="str">
        <f>IF(L250="","",IF(V250&gt;0,INDEX('01-كانون الثاني'!$P$2:$P$501,V250),IF($AO$1=1,0,"")))</f>
        <v/>
      </c>
      <c r="Y250" s="38" t="str">
        <f t="shared" si="72"/>
        <v/>
      </c>
      <c r="Z250" s="39" t="str">
        <f>IF(L250="","",IF(V250&gt;0,INDEX('01-كانون الثاني'!$Q$2:$Q$501,V250),IF($AO$1=1,0,"")))</f>
        <v/>
      </c>
      <c r="AA250" s="39" t="str">
        <f t="shared" si="73"/>
        <v/>
      </c>
      <c r="AB250" s="40" t="str">
        <f>IF(OR(L250="",V250=0),"",IF(AND(N(I250)&gt;0,N(INDEX('01-كانون الثاني'!$I$2:$I$501,V250))&gt;0,INDEX('01-كانون الثاني'!$F$2:$F$501,V250)=F250),N(I250)/N(INDEX('01-كانون الثاني'!$I$2:$I$501,V250))-1,""))</f>
        <v/>
      </c>
      <c r="AC250" t="str">
        <f>IF(L250="","",IF(AND($AO$2=1,ISNA(MATCH(L250,'03-آذار'!$L$2:$L$501,0))),"محذوف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IF(L251="","",IF($AO$1=1,IFERROR(MATCH(L251,'01-كانون الثاني'!$L$2:$L$501,0),0),0))</f>
        <v/>
      </c>
      <c r="W251" t="str">
        <f t="shared" si="71"/>
        <v/>
      </c>
      <c r="X251" s="38" t="str">
        <f>IF(L251="","",IF(V251&gt;0,INDEX('01-كانون الثاني'!$P$2:$P$501,V251),IF($AO$1=1,0,"")))</f>
        <v/>
      </c>
      <c r="Y251" s="38" t="str">
        <f t="shared" si="72"/>
        <v/>
      </c>
      <c r="Z251" s="39" t="str">
        <f>IF(L251="","",IF(V251&gt;0,INDEX('01-كانون الثاني'!$Q$2:$Q$501,V251),IF($AO$1=1,0,"")))</f>
        <v/>
      </c>
      <c r="AA251" s="39" t="str">
        <f t="shared" si="73"/>
        <v/>
      </c>
      <c r="AB251" s="40" t="str">
        <f>IF(OR(L251="",V251=0),"",IF(AND(N(I251)&gt;0,N(INDEX('01-كانون الثاني'!$I$2:$I$501,V251))&gt;0,INDEX('01-كانون الثاني'!$F$2:$F$501,V251)=F251),N(I251)/N(INDEX('01-كانون الثاني'!$I$2:$I$501,V251))-1,""))</f>
        <v/>
      </c>
      <c r="AC251" t="str">
        <f>IF(L251="","",IF(AND($AO$2=1,ISNA(MATCH(L251,'03-آذار'!$L$2:$L$501,0))),"محذوف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IF(L252="","",IF($AO$1=1,IFERROR(MATCH(L252,'01-كانون الثاني'!$L$2:$L$501,0),0),0))</f>
        <v/>
      </c>
      <c r="W252" t="str">
        <f t="shared" si="71"/>
        <v/>
      </c>
      <c r="X252" s="38" t="str">
        <f>IF(L252="","",IF(V252&gt;0,INDEX('01-كانون الثاني'!$P$2:$P$501,V252),IF($AO$1=1,0,"")))</f>
        <v/>
      </c>
      <c r="Y252" s="38" t="str">
        <f t="shared" si="72"/>
        <v/>
      </c>
      <c r="Z252" s="39" t="str">
        <f>IF(L252="","",IF(V252&gt;0,INDEX('01-كانون الثاني'!$Q$2:$Q$501,V252),IF($AO$1=1,0,"")))</f>
        <v/>
      </c>
      <c r="AA252" s="39" t="str">
        <f t="shared" si="73"/>
        <v/>
      </c>
      <c r="AB252" s="40" t="str">
        <f>IF(OR(L252="",V252=0),"",IF(AND(N(I252)&gt;0,N(INDEX('01-كانون الثاني'!$I$2:$I$501,V252))&gt;0,INDEX('01-كانون الثاني'!$F$2:$F$501,V252)=F252),N(I252)/N(INDEX('01-كانون الثاني'!$I$2:$I$501,V252))-1,""))</f>
        <v/>
      </c>
      <c r="AC252" t="str">
        <f>IF(L252="","",IF(AND($AO$2=1,ISNA(MATCH(L252,'03-آذار'!$L$2:$L$501,0))),"محذوف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IF(L253="","",IF($AO$1=1,IFERROR(MATCH(L253,'01-كانون الثاني'!$L$2:$L$501,0),0),0))</f>
        <v/>
      </c>
      <c r="W253" t="str">
        <f t="shared" si="71"/>
        <v/>
      </c>
      <c r="X253" s="38" t="str">
        <f>IF(L253="","",IF(V253&gt;0,INDEX('01-كانون الثاني'!$P$2:$P$501,V253),IF($AO$1=1,0,"")))</f>
        <v/>
      </c>
      <c r="Y253" s="38" t="str">
        <f t="shared" si="72"/>
        <v/>
      </c>
      <c r="Z253" s="39" t="str">
        <f>IF(L253="","",IF(V253&gt;0,INDEX('01-كانون الثاني'!$Q$2:$Q$501,V253),IF($AO$1=1,0,"")))</f>
        <v/>
      </c>
      <c r="AA253" s="39" t="str">
        <f t="shared" si="73"/>
        <v/>
      </c>
      <c r="AB253" s="40" t="str">
        <f>IF(OR(L253="",V253=0),"",IF(AND(N(I253)&gt;0,N(INDEX('01-كانون الثاني'!$I$2:$I$501,V253))&gt;0,INDEX('01-كانون الثاني'!$F$2:$F$501,V253)=F253),N(I253)/N(INDEX('01-كانون الثاني'!$I$2:$I$501,V253))-1,""))</f>
        <v/>
      </c>
      <c r="AC253" t="str">
        <f>IF(L253="","",IF(AND($AO$2=1,ISNA(MATCH(L253,'03-آذار'!$L$2:$L$501,0))),"محذوف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IF(L254="","",IF($AO$1=1,IFERROR(MATCH(L254,'01-كانون الثاني'!$L$2:$L$501,0),0),0))</f>
        <v/>
      </c>
      <c r="W254" t="str">
        <f t="shared" si="71"/>
        <v/>
      </c>
      <c r="X254" s="38" t="str">
        <f>IF(L254="","",IF(V254&gt;0,INDEX('01-كانون الثاني'!$P$2:$P$501,V254),IF($AO$1=1,0,"")))</f>
        <v/>
      </c>
      <c r="Y254" s="38" t="str">
        <f t="shared" si="72"/>
        <v/>
      </c>
      <c r="Z254" s="39" t="str">
        <f>IF(L254="","",IF(V254&gt;0,INDEX('01-كانون الثاني'!$Q$2:$Q$501,V254),IF($AO$1=1,0,"")))</f>
        <v/>
      </c>
      <c r="AA254" s="39" t="str">
        <f t="shared" si="73"/>
        <v/>
      </c>
      <c r="AB254" s="40" t="str">
        <f>IF(OR(L254="",V254=0),"",IF(AND(N(I254)&gt;0,N(INDEX('01-كانون الثاني'!$I$2:$I$501,V254))&gt;0,INDEX('01-كانون الثاني'!$F$2:$F$501,V254)=F254),N(I254)/N(INDEX('01-كانون الثاني'!$I$2:$I$501,V254))-1,""))</f>
        <v/>
      </c>
      <c r="AC254" t="str">
        <f>IF(L254="","",IF(AND($AO$2=1,ISNA(MATCH(L254,'03-آذار'!$L$2:$L$501,0))),"محذوف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IF(L255="","",IF($AO$1=1,IFERROR(MATCH(L255,'01-كانون الثاني'!$L$2:$L$501,0),0),0))</f>
        <v/>
      </c>
      <c r="W255" t="str">
        <f t="shared" si="71"/>
        <v/>
      </c>
      <c r="X255" s="38" t="str">
        <f>IF(L255="","",IF(V255&gt;0,INDEX('01-كانون الثاني'!$P$2:$P$501,V255),IF($AO$1=1,0,"")))</f>
        <v/>
      </c>
      <c r="Y255" s="38" t="str">
        <f t="shared" si="72"/>
        <v/>
      </c>
      <c r="Z255" s="39" t="str">
        <f>IF(L255="","",IF(V255&gt;0,INDEX('01-كانون الثاني'!$Q$2:$Q$501,V255),IF($AO$1=1,0,"")))</f>
        <v/>
      </c>
      <c r="AA255" s="39" t="str">
        <f t="shared" si="73"/>
        <v/>
      </c>
      <c r="AB255" s="40" t="str">
        <f>IF(OR(L255="",V255=0),"",IF(AND(N(I255)&gt;0,N(INDEX('01-كانون الثاني'!$I$2:$I$501,V255))&gt;0,INDEX('01-كانون الثاني'!$F$2:$F$501,V255)=F255),N(I255)/N(INDEX('01-كانون الثاني'!$I$2:$I$501,V255))-1,""))</f>
        <v/>
      </c>
      <c r="AC255" t="str">
        <f>IF(L255="","",IF(AND($AO$2=1,ISNA(MATCH(L255,'03-آذار'!$L$2:$L$501,0))),"محذوف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IF(L256="","",IF($AO$1=1,IFERROR(MATCH(L256,'01-كانون الثاني'!$L$2:$L$501,0),0),0))</f>
        <v/>
      </c>
      <c r="W256" t="str">
        <f t="shared" si="71"/>
        <v/>
      </c>
      <c r="X256" s="38" t="str">
        <f>IF(L256="","",IF(V256&gt;0,INDEX('01-كانون الثاني'!$P$2:$P$501,V256),IF($AO$1=1,0,"")))</f>
        <v/>
      </c>
      <c r="Y256" s="38" t="str">
        <f t="shared" si="72"/>
        <v/>
      </c>
      <c r="Z256" s="39" t="str">
        <f>IF(L256="","",IF(V256&gt;0,INDEX('01-كانون الثاني'!$Q$2:$Q$501,V256),IF($AO$1=1,0,"")))</f>
        <v/>
      </c>
      <c r="AA256" s="39" t="str">
        <f t="shared" si="73"/>
        <v/>
      </c>
      <c r="AB256" s="40" t="str">
        <f>IF(OR(L256="",V256=0),"",IF(AND(N(I256)&gt;0,N(INDEX('01-كانون الثاني'!$I$2:$I$501,V256))&gt;0,INDEX('01-كانون الثاني'!$F$2:$F$501,V256)=F256),N(I256)/N(INDEX('01-كانون الثاني'!$I$2:$I$501,V256))-1,""))</f>
        <v/>
      </c>
      <c r="AC256" t="str">
        <f>IF(L256="","",IF(AND($AO$2=1,ISNA(MATCH(L256,'03-آذار'!$L$2:$L$501,0))),"محذوف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IF(L257="","",IF($AO$1=1,IFERROR(MATCH(L257,'01-كانون الثاني'!$L$2:$L$501,0),0),0))</f>
        <v/>
      </c>
      <c r="W257" t="str">
        <f t="shared" si="71"/>
        <v/>
      </c>
      <c r="X257" s="38" t="str">
        <f>IF(L257="","",IF(V257&gt;0,INDEX('01-كانون الثاني'!$P$2:$P$501,V257),IF($AO$1=1,0,"")))</f>
        <v/>
      </c>
      <c r="Y257" s="38" t="str">
        <f t="shared" si="72"/>
        <v/>
      </c>
      <c r="Z257" s="39" t="str">
        <f>IF(L257="","",IF(V257&gt;0,INDEX('01-كانون الثاني'!$Q$2:$Q$501,V257),IF($AO$1=1,0,"")))</f>
        <v/>
      </c>
      <c r="AA257" s="39" t="str">
        <f t="shared" si="73"/>
        <v/>
      </c>
      <c r="AB257" s="40" t="str">
        <f>IF(OR(L257="",V257=0),"",IF(AND(N(I257)&gt;0,N(INDEX('01-كانون الثاني'!$I$2:$I$501,V257))&gt;0,INDEX('01-كانون الثاني'!$F$2:$F$501,V257)=F257),N(I257)/N(INDEX('01-كانون الثاني'!$I$2:$I$501,V257))-1,""))</f>
        <v/>
      </c>
      <c r="AC257" t="str">
        <f>IF(L257="","",IF(AND($AO$2=1,ISNA(MATCH(L257,'03-آذار'!$L$2:$L$501,0))),"محذوف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IF(L258="","",IF($AO$1=1,IFERROR(MATCH(L258,'01-كانون الثاني'!$L$2:$L$501,0),0),0))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IF(L258="","",IF(V258&gt;0,INDEX('01-كانون الثاني'!$P$2:$P$501,V258),IF($AO$1=1,0,"")))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IF(L258="","",IF(V258&gt;0,INDEX('01-كانون الثاني'!$Q$2:$Q$501,V258),IF($AO$1=1,0,"")))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IF(OR(L258="",V258=0),"",IF(AND(N(I258)&gt;0,N(INDEX('01-كانون الثاني'!$I$2:$I$501,V258))&gt;0,INDEX('01-كانون الثاني'!$F$2:$F$501,V258)=F258),N(I258)/N(INDEX('01-كانون الثاني'!$I$2:$I$501,V258))-1,""))</f>
        <v/>
      </c>
      <c r="AC258" t="str">
        <f>IF(L258="","",IF(AND($AO$2=1,ISNA(MATCH(L258,'03-آذار'!$L$2:$L$501,0))),"محذوف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IF(L259="","",IF($AO$1=1,IFERROR(MATCH(L259,'01-كانون الثاني'!$L$2:$L$501,0),0),0))</f>
        <v/>
      </c>
      <c r="W259" t="str">
        <f t="shared" si="91"/>
        <v/>
      </c>
      <c r="X259" s="38" t="str">
        <f>IF(L259="","",IF(V259&gt;0,INDEX('01-كانون الثاني'!$P$2:$P$501,V259),IF($AO$1=1,0,"")))</f>
        <v/>
      </c>
      <c r="Y259" s="38" t="str">
        <f t="shared" si="92"/>
        <v/>
      </c>
      <c r="Z259" s="39" t="str">
        <f>IF(L259="","",IF(V259&gt;0,INDEX('01-كانون الثاني'!$Q$2:$Q$501,V259),IF($AO$1=1,0,"")))</f>
        <v/>
      </c>
      <c r="AA259" s="39" t="str">
        <f t="shared" si="93"/>
        <v/>
      </c>
      <c r="AB259" s="40" t="str">
        <f>IF(OR(L259="",V259=0),"",IF(AND(N(I259)&gt;0,N(INDEX('01-كانون الثاني'!$I$2:$I$501,V259))&gt;0,INDEX('01-كانون الثاني'!$F$2:$F$501,V259)=F259),N(I259)/N(INDEX('01-كانون الثاني'!$I$2:$I$501,V259))-1,""))</f>
        <v/>
      </c>
      <c r="AC259" t="str">
        <f>IF(L259="","",IF(AND($AO$2=1,ISNA(MATCH(L259,'03-آذار'!$L$2:$L$501,0))),"محذوف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IF(L260="","",IF($AO$1=1,IFERROR(MATCH(L260,'01-كانون الثاني'!$L$2:$L$501,0),0),0))</f>
        <v/>
      </c>
      <c r="W260" t="str">
        <f t="shared" si="91"/>
        <v/>
      </c>
      <c r="X260" s="38" t="str">
        <f>IF(L260="","",IF(V260&gt;0,INDEX('01-كانون الثاني'!$P$2:$P$501,V260),IF($AO$1=1,0,"")))</f>
        <v/>
      </c>
      <c r="Y260" s="38" t="str">
        <f t="shared" si="92"/>
        <v/>
      </c>
      <c r="Z260" s="39" t="str">
        <f>IF(L260="","",IF(V260&gt;0,INDEX('01-كانون الثاني'!$Q$2:$Q$501,V260),IF($AO$1=1,0,"")))</f>
        <v/>
      </c>
      <c r="AA260" s="39" t="str">
        <f t="shared" si="93"/>
        <v/>
      </c>
      <c r="AB260" s="40" t="str">
        <f>IF(OR(L260="",V260=0),"",IF(AND(N(I260)&gt;0,N(INDEX('01-كانون الثاني'!$I$2:$I$501,V260))&gt;0,INDEX('01-كانون الثاني'!$F$2:$F$501,V260)=F260),N(I260)/N(INDEX('01-كانون الثاني'!$I$2:$I$501,V260))-1,""))</f>
        <v/>
      </c>
      <c r="AC260" t="str">
        <f>IF(L260="","",IF(AND($AO$2=1,ISNA(MATCH(L260,'03-آذار'!$L$2:$L$501,0))),"محذوف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IF(L261="","",IF($AO$1=1,IFERROR(MATCH(L261,'01-كانون الثاني'!$L$2:$L$501,0),0),0))</f>
        <v/>
      </c>
      <c r="W261" t="str">
        <f t="shared" si="91"/>
        <v/>
      </c>
      <c r="X261" s="38" t="str">
        <f>IF(L261="","",IF(V261&gt;0,INDEX('01-كانون الثاني'!$P$2:$P$501,V261),IF($AO$1=1,0,"")))</f>
        <v/>
      </c>
      <c r="Y261" s="38" t="str">
        <f t="shared" si="92"/>
        <v/>
      </c>
      <c r="Z261" s="39" t="str">
        <f>IF(L261="","",IF(V261&gt;0,INDEX('01-كانون الثاني'!$Q$2:$Q$501,V261),IF($AO$1=1,0,"")))</f>
        <v/>
      </c>
      <c r="AA261" s="39" t="str">
        <f t="shared" si="93"/>
        <v/>
      </c>
      <c r="AB261" s="40" t="str">
        <f>IF(OR(L261="",V261=0),"",IF(AND(N(I261)&gt;0,N(INDEX('01-كانون الثاني'!$I$2:$I$501,V261))&gt;0,INDEX('01-كانون الثاني'!$F$2:$F$501,V261)=F261),N(I261)/N(INDEX('01-كانون الثاني'!$I$2:$I$501,V261))-1,""))</f>
        <v/>
      </c>
      <c r="AC261" t="str">
        <f>IF(L261="","",IF(AND($AO$2=1,ISNA(MATCH(L261,'03-آذار'!$L$2:$L$501,0))),"محذوف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IF(L262="","",IF($AO$1=1,IFERROR(MATCH(L262,'01-كانون الثاني'!$L$2:$L$501,0),0),0))</f>
        <v/>
      </c>
      <c r="W262" t="str">
        <f t="shared" si="91"/>
        <v/>
      </c>
      <c r="X262" s="38" t="str">
        <f>IF(L262="","",IF(V262&gt;0,INDEX('01-كانون الثاني'!$P$2:$P$501,V262),IF($AO$1=1,0,"")))</f>
        <v/>
      </c>
      <c r="Y262" s="38" t="str">
        <f t="shared" si="92"/>
        <v/>
      </c>
      <c r="Z262" s="39" t="str">
        <f>IF(L262="","",IF(V262&gt;0,INDEX('01-كانون الثاني'!$Q$2:$Q$501,V262),IF($AO$1=1,0,"")))</f>
        <v/>
      </c>
      <c r="AA262" s="39" t="str">
        <f t="shared" si="93"/>
        <v/>
      </c>
      <c r="AB262" s="40" t="str">
        <f>IF(OR(L262="",V262=0),"",IF(AND(N(I262)&gt;0,N(INDEX('01-كانون الثاني'!$I$2:$I$501,V262))&gt;0,INDEX('01-كانون الثاني'!$F$2:$F$501,V262)=F262),N(I262)/N(INDEX('01-كانون الثاني'!$I$2:$I$501,V262))-1,""))</f>
        <v/>
      </c>
      <c r="AC262" t="str">
        <f>IF(L262="","",IF(AND($AO$2=1,ISNA(MATCH(L262,'03-آذار'!$L$2:$L$501,0))),"محذوف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IF(L263="","",IF($AO$1=1,IFERROR(MATCH(L263,'01-كانون الثاني'!$L$2:$L$501,0),0),0))</f>
        <v/>
      </c>
      <c r="W263" t="str">
        <f t="shared" si="91"/>
        <v/>
      </c>
      <c r="X263" s="38" t="str">
        <f>IF(L263="","",IF(V263&gt;0,INDEX('01-كانون الثاني'!$P$2:$P$501,V263),IF($AO$1=1,0,"")))</f>
        <v/>
      </c>
      <c r="Y263" s="38" t="str">
        <f t="shared" si="92"/>
        <v/>
      </c>
      <c r="Z263" s="39" t="str">
        <f>IF(L263="","",IF(V263&gt;0,INDEX('01-كانون الثاني'!$Q$2:$Q$501,V263),IF($AO$1=1,0,"")))</f>
        <v/>
      </c>
      <c r="AA263" s="39" t="str">
        <f t="shared" si="93"/>
        <v/>
      </c>
      <c r="AB263" s="40" t="str">
        <f>IF(OR(L263="",V263=0),"",IF(AND(N(I263)&gt;0,N(INDEX('01-كانون الثاني'!$I$2:$I$501,V263))&gt;0,INDEX('01-كانون الثاني'!$F$2:$F$501,V263)=F263),N(I263)/N(INDEX('01-كانون الثاني'!$I$2:$I$501,V263))-1,""))</f>
        <v/>
      </c>
      <c r="AC263" t="str">
        <f>IF(L263="","",IF(AND($AO$2=1,ISNA(MATCH(L263,'03-آذار'!$L$2:$L$501,0))),"محذوف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IF(L264="","",IF($AO$1=1,IFERROR(MATCH(L264,'01-كانون الثاني'!$L$2:$L$501,0),0),0))</f>
        <v/>
      </c>
      <c r="W264" t="str">
        <f t="shared" si="91"/>
        <v/>
      </c>
      <c r="X264" s="38" t="str">
        <f>IF(L264="","",IF(V264&gt;0,INDEX('01-كانون الثاني'!$P$2:$P$501,V264),IF($AO$1=1,0,"")))</f>
        <v/>
      </c>
      <c r="Y264" s="38" t="str">
        <f t="shared" si="92"/>
        <v/>
      </c>
      <c r="Z264" s="39" t="str">
        <f>IF(L264="","",IF(V264&gt;0,INDEX('01-كانون الثاني'!$Q$2:$Q$501,V264),IF($AO$1=1,0,"")))</f>
        <v/>
      </c>
      <c r="AA264" s="39" t="str">
        <f t="shared" si="93"/>
        <v/>
      </c>
      <c r="AB264" s="40" t="str">
        <f>IF(OR(L264="",V264=0),"",IF(AND(N(I264)&gt;0,N(INDEX('01-كانون الثاني'!$I$2:$I$501,V264))&gt;0,INDEX('01-كانون الثاني'!$F$2:$F$501,V264)=F264),N(I264)/N(INDEX('01-كانون الثاني'!$I$2:$I$501,V264))-1,""))</f>
        <v/>
      </c>
      <c r="AC264" t="str">
        <f>IF(L264="","",IF(AND($AO$2=1,ISNA(MATCH(L264,'03-آذار'!$L$2:$L$501,0))),"محذوف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IF(L265="","",IF($AO$1=1,IFERROR(MATCH(L265,'01-كانون الثاني'!$L$2:$L$501,0),0),0))</f>
        <v/>
      </c>
      <c r="W265" t="str">
        <f t="shared" si="91"/>
        <v/>
      </c>
      <c r="X265" s="38" t="str">
        <f>IF(L265="","",IF(V265&gt;0,INDEX('01-كانون الثاني'!$P$2:$P$501,V265),IF($AO$1=1,0,"")))</f>
        <v/>
      </c>
      <c r="Y265" s="38" t="str">
        <f t="shared" si="92"/>
        <v/>
      </c>
      <c r="Z265" s="39" t="str">
        <f>IF(L265="","",IF(V265&gt;0,INDEX('01-كانون الثاني'!$Q$2:$Q$501,V265),IF($AO$1=1,0,"")))</f>
        <v/>
      </c>
      <c r="AA265" s="39" t="str">
        <f t="shared" si="93"/>
        <v/>
      </c>
      <c r="AB265" s="40" t="str">
        <f>IF(OR(L265="",V265=0),"",IF(AND(N(I265)&gt;0,N(INDEX('01-كانون الثاني'!$I$2:$I$501,V265))&gt;0,INDEX('01-كانون الثاني'!$F$2:$F$501,V265)=F265),N(I265)/N(INDEX('01-كانون الثاني'!$I$2:$I$501,V265))-1,""))</f>
        <v/>
      </c>
      <c r="AC265" t="str">
        <f>IF(L265="","",IF(AND($AO$2=1,ISNA(MATCH(L265,'03-آذار'!$L$2:$L$501,0))),"محذوف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IF(L266="","",IF($AO$1=1,IFERROR(MATCH(L266,'01-كانون الثاني'!$L$2:$L$501,0),0),0))</f>
        <v/>
      </c>
      <c r="W266" t="str">
        <f t="shared" si="91"/>
        <v/>
      </c>
      <c r="X266" s="38" t="str">
        <f>IF(L266="","",IF(V266&gt;0,INDEX('01-كانون الثاني'!$P$2:$P$501,V266),IF($AO$1=1,0,"")))</f>
        <v/>
      </c>
      <c r="Y266" s="38" t="str">
        <f t="shared" si="92"/>
        <v/>
      </c>
      <c r="Z266" s="39" t="str">
        <f>IF(L266="","",IF(V266&gt;0,INDEX('01-كانون الثاني'!$Q$2:$Q$501,V266),IF($AO$1=1,0,"")))</f>
        <v/>
      </c>
      <c r="AA266" s="39" t="str">
        <f t="shared" si="93"/>
        <v/>
      </c>
      <c r="AB266" s="40" t="str">
        <f>IF(OR(L266="",V266=0),"",IF(AND(N(I266)&gt;0,N(INDEX('01-كانون الثاني'!$I$2:$I$501,V266))&gt;0,INDEX('01-كانون الثاني'!$F$2:$F$501,V266)=F266),N(I266)/N(INDEX('01-كانون الثاني'!$I$2:$I$501,V266))-1,""))</f>
        <v/>
      </c>
      <c r="AC266" t="str">
        <f>IF(L266="","",IF(AND($AO$2=1,ISNA(MATCH(L266,'03-آذار'!$L$2:$L$501,0))),"محذوف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IF(L267="","",IF($AO$1=1,IFERROR(MATCH(L267,'01-كانون الثاني'!$L$2:$L$501,0),0),0))</f>
        <v/>
      </c>
      <c r="W267" t="str">
        <f t="shared" si="91"/>
        <v/>
      </c>
      <c r="X267" s="38" t="str">
        <f>IF(L267="","",IF(V267&gt;0,INDEX('01-كانون الثاني'!$P$2:$P$501,V267),IF($AO$1=1,0,"")))</f>
        <v/>
      </c>
      <c r="Y267" s="38" t="str">
        <f t="shared" si="92"/>
        <v/>
      </c>
      <c r="Z267" s="39" t="str">
        <f>IF(L267="","",IF(V267&gt;0,INDEX('01-كانون الثاني'!$Q$2:$Q$501,V267),IF($AO$1=1,0,"")))</f>
        <v/>
      </c>
      <c r="AA267" s="39" t="str">
        <f t="shared" si="93"/>
        <v/>
      </c>
      <c r="AB267" s="40" t="str">
        <f>IF(OR(L267="",V267=0),"",IF(AND(N(I267)&gt;0,N(INDEX('01-كانون الثاني'!$I$2:$I$501,V267))&gt;0,INDEX('01-كانون الثاني'!$F$2:$F$501,V267)=F267),N(I267)/N(INDEX('01-كانون الثاني'!$I$2:$I$501,V267))-1,""))</f>
        <v/>
      </c>
      <c r="AC267" t="str">
        <f>IF(L267="","",IF(AND($AO$2=1,ISNA(MATCH(L267,'03-آذار'!$L$2:$L$501,0))),"محذوف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IF(L268="","",IF($AO$1=1,IFERROR(MATCH(L268,'01-كانون الثاني'!$L$2:$L$501,0),0),0))</f>
        <v/>
      </c>
      <c r="W268" t="str">
        <f t="shared" si="91"/>
        <v/>
      </c>
      <c r="X268" s="38" t="str">
        <f>IF(L268="","",IF(V268&gt;0,INDEX('01-كانون الثاني'!$P$2:$P$501,V268),IF($AO$1=1,0,"")))</f>
        <v/>
      </c>
      <c r="Y268" s="38" t="str">
        <f t="shared" si="92"/>
        <v/>
      </c>
      <c r="Z268" s="39" t="str">
        <f>IF(L268="","",IF(V268&gt;0,INDEX('01-كانون الثاني'!$Q$2:$Q$501,V268),IF($AO$1=1,0,"")))</f>
        <v/>
      </c>
      <c r="AA268" s="39" t="str">
        <f t="shared" si="93"/>
        <v/>
      </c>
      <c r="AB268" s="40" t="str">
        <f>IF(OR(L268="",V268=0),"",IF(AND(N(I268)&gt;0,N(INDEX('01-كانون الثاني'!$I$2:$I$501,V268))&gt;0,INDEX('01-كانون الثاني'!$F$2:$F$501,V268)=F268),N(I268)/N(INDEX('01-كانون الثاني'!$I$2:$I$501,V268))-1,""))</f>
        <v/>
      </c>
      <c r="AC268" t="str">
        <f>IF(L268="","",IF(AND($AO$2=1,ISNA(MATCH(L268,'03-آذار'!$L$2:$L$501,0))),"محذوف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IF(L269="","",IF($AO$1=1,IFERROR(MATCH(L269,'01-كانون الثاني'!$L$2:$L$501,0),0),0))</f>
        <v/>
      </c>
      <c r="W269" t="str">
        <f t="shared" si="91"/>
        <v/>
      </c>
      <c r="X269" s="38" t="str">
        <f>IF(L269="","",IF(V269&gt;0,INDEX('01-كانون الثاني'!$P$2:$P$501,V269),IF($AO$1=1,0,"")))</f>
        <v/>
      </c>
      <c r="Y269" s="38" t="str">
        <f t="shared" si="92"/>
        <v/>
      </c>
      <c r="Z269" s="39" t="str">
        <f>IF(L269="","",IF(V269&gt;0,INDEX('01-كانون الثاني'!$Q$2:$Q$501,V269),IF($AO$1=1,0,"")))</f>
        <v/>
      </c>
      <c r="AA269" s="39" t="str">
        <f t="shared" si="93"/>
        <v/>
      </c>
      <c r="AB269" s="40" t="str">
        <f>IF(OR(L269="",V269=0),"",IF(AND(N(I269)&gt;0,N(INDEX('01-كانون الثاني'!$I$2:$I$501,V269))&gt;0,INDEX('01-كانون الثاني'!$F$2:$F$501,V269)=F269),N(I269)/N(INDEX('01-كانون الثاني'!$I$2:$I$501,V269))-1,""))</f>
        <v/>
      </c>
      <c r="AC269" t="str">
        <f>IF(L269="","",IF(AND($AO$2=1,ISNA(MATCH(L269,'03-آذار'!$L$2:$L$501,0))),"محذوف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IF(L270="","",IF($AO$1=1,IFERROR(MATCH(L270,'01-كانون الثاني'!$L$2:$L$501,0),0),0))</f>
        <v/>
      </c>
      <c r="W270" t="str">
        <f t="shared" si="91"/>
        <v/>
      </c>
      <c r="X270" s="38" t="str">
        <f>IF(L270="","",IF(V270&gt;0,INDEX('01-كانون الثاني'!$P$2:$P$501,V270),IF($AO$1=1,0,"")))</f>
        <v/>
      </c>
      <c r="Y270" s="38" t="str">
        <f t="shared" si="92"/>
        <v/>
      </c>
      <c r="Z270" s="39" t="str">
        <f>IF(L270="","",IF(V270&gt;0,INDEX('01-كانون الثاني'!$Q$2:$Q$501,V270),IF($AO$1=1,0,"")))</f>
        <v/>
      </c>
      <c r="AA270" s="39" t="str">
        <f t="shared" si="93"/>
        <v/>
      </c>
      <c r="AB270" s="40" t="str">
        <f>IF(OR(L270="",V270=0),"",IF(AND(N(I270)&gt;0,N(INDEX('01-كانون الثاني'!$I$2:$I$501,V270))&gt;0,INDEX('01-كانون الثاني'!$F$2:$F$501,V270)=F270),N(I270)/N(INDEX('01-كانون الثاني'!$I$2:$I$501,V270))-1,""))</f>
        <v/>
      </c>
      <c r="AC270" t="str">
        <f>IF(L270="","",IF(AND($AO$2=1,ISNA(MATCH(L270,'03-آذار'!$L$2:$L$501,0))),"محذوف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IF(L271="","",IF($AO$1=1,IFERROR(MATCH(L271,'01-كانون الثاني'!$L$2:$L$501,0),0),0))</f>
        <v/>
      </c>
      <c r="W271" t="str">
        <f t="shared" si="91"/>
        <v/>
      </c>
      <c r="X271" s="38" t="str">
        <f>IF(L271="","",IF(V271&gt;0,INDEX('01-كانون الثاني'!$P$2:$P$501,V271),IF($AO$1=1,0,"")))</f>
        <v/>
      </c>
      <c r="Y271" s="38" t="str">
        <f t="shared" si="92"/>
        <v/>
      </c>
      <c r="Z271" s="39" t="str">
        <f>IF(L271="","",IF(V271&gt;0,INDEX('01-كانون الثاني'!$Q$2:$Q$501,V271),IF($AO$1=1,0,"")))</f>
        <v/>
      </c>
      <c r="AA271" s="39" t="str">
        <f t="shared" si="93"/>
        <v/>
      </c>
      <c r="AB271" s="40" t="str">
        <f>IF(OR(L271="",V271=0),"",IF(AND(N(I271)&gt;0,N(INDEX('01-كانون الثاني'!$I$2:$I$501,V271))&gt;0,INDEX('01-كانون الثاني'!$F$2:$F$501,V271)=F271),N(I271)/N(INDEX('01-كانون الثاني'!$I$2:$I$501,V271))-1,""))</f>
        <v/>
      </c>
      <c r="AC271" t="str">
        <f>IF(L271="","",IF(AND($AO$2=1,ISNA(MATCH(L271,'03-آذار'!$L$2:$L$501,0))),"محذوف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IF(L272="","",IF($AO$1=1,IFERROR(MATCH(L272,'01-كانون الثاني'!$L$2:$L$501,0),0),0))</f>
        <v/>
      </c>
      <c r="W272" t="str">
        <f t="shared" si="91"/>
        <v/>
      </c>
      <c r="X272" s="38" t="str">
        <f>IF(L272="","",IF(V272&gt;0,INDEX('01-كانون الثاني'!$P$2:$P$501,V272),IF($AO$1=1,0,"")))</f>
        <v/>
      </c>
      <c r="Y272" s="38" t="str">
        <f t="shared" si="92"/>
        <v/>
      </c>
      <c r="Z272" s="39" t="str">
        <f>IF(L272="","",IF(V272&gt;0,INDEX('01-كانون الثاني'!$Q$2:$Q$501,V272),IF($AO$1=1,0,"")))</f>
        <v/>
      </c>
      <c r="AA272" s="39" t="str">
        <f t="shared" si="93"/>
        <v/>
      </c>
      <c r="AB272" s="40" t="str">
        <f>IF(OR(L272="",V272=0),"",IF(AND(N(I272)&gt;0,N(INDEX('01-كانون الثاني'!$I$2:$I$501,V272))&gt;0,INDEX('01-كانون الثاني'!$F$2:$F$501,V272)=F272),N(I272)/N(INDEX('01-كانون الثاني'!$I$2:$I$501,V272))-1,""))</f>
        <v/>
      </c>
      <c r="AC272" t="str">
        <f>IF(L272="","",IF(AND($AO$2=1,ISNA(MATCH(L272,'03-آذار'!$L$2:$L$501,0))),"محذوف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IF(L273="","",IF($AO$1=1,IFERROR(MATCH(L273,'01-كانون الثاني'!$L$2:$L$501,0),0),0))</f>
        <v/>
      </c>
      <c r="W273" t="str">
        <f t="shared" si="91"/>
        <v/>
      </c>
      <c r="X273" s="38" t="str">
        <f>IF(L273="","",IF(V273&gt;0,INDEX('01-كانون الثاني'!$P$2:$P$501,V273),IF($AO$1=1,0,"")))</f>
        <v/>
      </c>
      <c r="Y273" s="38" t="str">
        <f t="shared" si="92"/>
        <v/>
      </c>
      <c r="Z273" s="39" t="str">
        <f>IF(L273="","",IF(V273&gt;0,INDEX('01-كانون الثاني'!$Q$2:$Q$501,V273),IF($AO$1=1,0,"")))</f>
        <v/>
      </c>
      <c r="AA273" s="39" t="str">
        <f t="shared" si="93"/>
        <v/>
      </c>
      <c r="AB273" s="40" t="str">
        <f>IF(OR(L273="",V273=0),"",IF(AND(N(I273)&gt;0,N(INDEX('01-كانون الثاني'!$I$2:$I$501,V273))&gt;0,INDEX('01-كانون الثاني'!$F$2:$F$501,V273)=F273),N(I273)/N(INDEX('01-كانون الثاني'!$I$2:$I$501,V273))-1,""))</f>
        <v/>
      </c>
      <c r="AC273" t="str">
        <f>IF(L273="","",IF(AND($AO$2=1,ISNA(MATCH(L273,'03-آذار'!$L$2:$L$501,0))),"محذوف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IF(L274="","",IF($AO$1=1,IFERROR(MATCH(L274,'01-كانون الثاني'!$L$2:$L$501,0),0),0))</f>
        <v/>
      </c>
      <c r="W274" t="str">
        <f t="shared" si="91"/>
        <v/>
      </c>
      <c r="X274" s="38" t="str">
        <f>IF(L274="","",IF(V274&gt;0,INDEX('01-كانون الثاني'!$P$2:$P$501,V274),IF($AO$1=1,0,"")))</f>
        <v/>
      </c>
      <c r="Y274" s="38" t="str">
        <f t="shared" si="92"/>
        <v/>
      </c>
      <c r="Z274" s="39" t="str">
        <f>IF(L274="","",IF(V274&gt;0,INDEX('01-كانون الثاني'!$Q$2:$Q$501,V274),IF($AO$1=1,0,"")))</f>
        <v/>
      </c>
      <c r="AA274" s="39" t="str">
        <f t="shared" si="93"/>
        <v/>
      </c>
      <c r="AB274" s="40" t="str">
        <f>IF(OR(L274="",V274=0),"",IF(AND(N(I274)&gt;0,N(INDEX('01-كانون الثاني'!$I$2:$I$501,V274))&gt;0,INDEX('01-كانون الثاني'!$F$2:$F$501,V274)=F274),N(I274)/N(INDEX('01-كانون الثاني'!$I$2:$I$501,V274))-1,""))</f>
        <v/>
      </c>
      <c r="AC274" t="str">
        <f>IF(L274="","",IF(AND($AO$2=1,ISNA(MATCH(L274,'03-آذار'!$L$2:$L$501,0))),"محذوف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IF(L275="","",IF($AO$1=1,IFERROR(MATCH(L275,'01-كانون الثاني'!$L$2:$L$501,0),0),0))</f>
        <v/>
      </c>
      <c r="W275" t="str">
        <f t="shared" si="91"/>
        <v/>
      </c>
      <c r="X275" s="38" t="str">
        <f>IF(L275="","",IF(V275&gt;0,INDEX('01-كانون الثاني'!$P$2:$P$501,V275),IF($AO$1=1,0,"")))</f>
        <v/>
      </c>
      <c r="Y275" s="38" t="str">
        <f t="shared" si="92"/>
        <v/>
      </c>
      <c r="Z275" s="39" t="str">
        <f>IF(L275="","",IF(V275&gt;0,INDEX('01-كانون الثاني'!$Q$2:$Q$501,V275),IF($AO$1=1,0,"")))</f>
        <v/>
      </c>
      <c r="AA275" s="39" t="str">
        <f t="shared" si="93"/>
        <v/>
      </c>
      <c r="AB275" s="40" t="str">
        <f>IF(OR(L275="",V275=0),"",IF(AND(N(I275)&gt;0,N(INDEX('01-كانون الثاني'!$I$2:$I$501,V275))&gt;0,INDEX('01-كانون الثاني'!$F$2:$F$501,V275)=F275),N(I275)/N(INDEX('01-كانون الثاني'!$I$2:$I$501,V275))-1,""))</f>
        <v/>
      </c>
      <c r="AC275" t="str">
        <f>IF(L275="","",IF(AND($AO$2=1,ISNA(MATCH(L275,'03-آذار'!$L$2:$L$501,0))),"محذوف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IF(L276="","",IF($AO$1=1,IFERROR(MATCH(L276,'01-كانون الثاني'!$L$2:$L$501,0),0),0))</f>
        <v/>
      </c>
      <c r="W276" t="str">
        <f t="shared" si="91"/>
        <v/>
      </c>
      <c r="X276" s="38" t="str">
        <f>IF(L276="","",IF(V276&gt;0,INDEX('01-كانون الثاني'!$P$2:$P$501,V276),IF($AO$1=1,0,"")))</f>
        <v/>
      </c>
      <c r="Y276" s="38" t="str">
        <f t="shared" si="92"/>
        <v/>
      </c>
      <c r="Z276" s="39" t="str">
        <f>IF(L276="","",IF(V276&gt;0,INDEX('01-كانون الثاني'!$Q$2:$Q$501,V276),IF($AO$1=1,0,"")))</f>
        <v/>
      </c>
      <c r="AA276" s="39" t="str">
        <f t="shared" si="93"/>
        <v/>
      </c>
      <c r="AB276" s="40" t="str">
        <f>IF(OR(L276="",V276=0),"",IF(AND(N(I276)&gt;0,N(INDEX('01-كانون الثاني'!$I$2:$I$501,V276))&gt;0,INDEX('01-كانون الثاني'!$F$2:$F$501,V276)=F276),N(I276)/N(INDEX('01-كانون الثاني'!$I$2:$I$501,V276))-1,""))</f>
        <v/>
      </c>
      <c r="AC276" t="str">
        <f>IF(L276="","",IF(AND($AO$2=1,ISNA(MATCH(L276,'03-آذار'!$L$2:$L$501,0))),"محذوف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IF(L277="","",IF($AO$1=1,IFERROR(MATCH(L277,'01-كانون الثاني'!$L$2:$L$501,0),0),0))</f>
        <v/>
      </c>
      <c r="W277" t="str">
        <f t="shared" si="91"/>
        <v/>
      </c>
      <c r="X277" s="38" t="str">
        <f>IF(L277="","",IF(V277&gt;0,INDEX('01-كانون الثاني'!$P$2:$P$501,V277),IF($AO$1=1,0,"")))</f>
        <v/>
      </c>
      <c r="Y277" s="38" t="str">
        <f t="shared" si="92"/>
        <v/>
      </c>
      <c r="Z277" s="39" t="str">
        <f>IF(L277="","",IF(V277&gt;0,INDEX('01-كانون الثاني'!$Q$2:$Q$501,V277),IF($AO$1=1,0,"")))</f>
        <v/>
      </c>
      <c r="AA277" s="39" t="str">
        <f t="shared" si="93"/>
        <v/>
      </c>
      <c r="AB277" s="40" t="str">
        <f>IF(OR(L277="",V277=0),"",IF(AND(N(I277)&gt;0,N(INDEX('01-كانون الثاني'!$I$2:$I$501,V277))&gt;0,INDEX('01-كانون الثاني'!$F$2:$F$501,V277)=F277),N(I277)/N(INDEX('01-كانون الثاني'!$I$2:$I$501,V277))-1,""))</f>
        <v/>
      </c>
      <c r="AC277" t="str">
        <f>IF(L277="","",IF(AND($AO$2=1,ISNA(MATCH(L277,'03-آذار'!$L$2:$L$501,0))),"محذوف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IF(L278="","",IF($AO$1=1,IFERROR(MATCH(L278,'01-كانون الثاني'!$L$2:$L$501,0),0),0))</f>
        <v/>
      </c>
      <c r="W278" t="str">
        <f t="shared" si="91"/>
        <v/>
      </c>
      <c r="X278" s="38" t="str">
        <f>IF(L278="","",IF(V278&gt;0,INDEX('01-كانون الثاني'!$P$2:$P$501,V278),IF($AO$1=1,0,"")))</f>
        <v/>
      </c>
      <c r="Y278" s="38" t="str">
        <f t="shared" si="92"/>
        <v/>
      </c>
      <c r="Z278" s="39" t="str">
        <f>IF(L278="","",IF(V278&gt;0,INDEX('01-كانون الثاني'!$Q$2:$Q$501,V278),IF($AO$1=1,0,"")))</f>
        <v/>
      </c>
      <c r="AA278" s="39" t="str">
        <f t="shared" si="93"/>
        <v/>
      </c>
      <c r="AB278" s="40" t="str">
        <f>IF(OR(L278="",V278=0),"",IF(AND(N(I278)&gt;0,N(INDEX('01-كانون الثاني'!$I$2:$I$501,V278))&gt;0,INDEX('01-كانون الثاني'!$F$2:$F$501,V278)=F278),N(I278)/N(INDEX('01-كانون الثاني'!$I$2:$I$501,V278))-1,""))</f>
        <v/>
      </c>
      <c r="AC278" t="str">
        <f>IF(L278="","",IF(AND($AO$2=1,ISNA(MATCH(L278,'03-آذار'!$L$2:$L$501,0))),"محذوف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IF(L279="","",IF($AO$1=1,IFERROR(MATCH(L279,'01-كانون الثاني'!$L$2:$L$501,0),0),0))</f>
        <v/>
      </c>
      <c r="W279" t="str">
        <f t="shared" si="91"/>
        <v/>
      </c>
      <c r="X279" s="38" t="str">
        <f>IF(L279="","",IF(V279&gt;0,INDEX('01-كانون الثاني'!$P$2:$P$501,V279),IF($AO$1=1,0,"")))</f>
        <v/>
      </c>
      <c r="Y279" s="38" t="str">
        <f t="shared" si="92"/>
        <v/>
      </c>
      <c r="Z279" s="39" t="str">
        <f>IF(L279="","",IF(V279&gt;0,INDEX('01-كانون الثاني'!$Q$2:$Q$501,V279),IF($AO$1=1,0,"")))</f>
        <v/>
      </c>
      <c r="AA279" s="39" t="str">
        <f t="shared" si="93"/>
        <v/>
      </c>
      <c r="AB279" s="40" t="str">
        <f>IF(OR(L279="",V279=0),"",IF(AND(N(I279)&gt;0,N(INDEX('01-كانون الثاني'!$I$2:$I$501,V279))&gt;0,INDEX('01-كانون الثاني'!$F$2:$F$501,V279)=F279),N(I279)/N(INDEX('01-كانون الثاني'!$I$2:$I$501,V279))-1,""))</f>
        <v/>
      </c>
      <c r="AC279" t="str">
        <f>IF(L279="","",IF(AND($AO$2=1,ISNA(MATCH(L279,'03-آذار'!$L$2:$L$501,0))),"محذوف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IF(L280="","",IF($AO$1=1,IFERROR(MATCH(L280,'01-كانون الثاني'!$L$2:$L$501,0),0),0))</f>
        <v/>
      </c>
      <c r="W280" t="str">
        <f t="shared" si="91"/>
        <v/>
      </c>
      <c r="X280" s="38" t="str">
        <f>IF(L280="","",IF(V280&gt;0,INDEX('01-كانون الثاني'!$P$2:$P$501,V280),IF($AO$1=1,0,"")))</f>
        <v/>
      </c>
      <c r="Y280" s="38" t="str">
        <f t="shared" si="92"/>
        <v/>
      </c>
      <c r="Z280" s="39" t="str">
        <f>IF(L280="","",IF(V280&gt;0,INDEX('01-كانون الثاني'!$Q$2:$Q$501,V280),IF($AO$1=1,0,"")))</f>
        <v/>
      </c>
      <c r="AA280" s="39" t="str">
        <f t="shared" si="93"/>
        <v/>
      </c>
      <c r="AB280" s="40" t="str">
        <f>IF(OR(L280="",V280=0),"",IF(AND(N(I280)&gt;0,N(INDEX('01-كانون الثاني'!$I$2:$I$501,V280))&gt;0,INDEX('01-كانون الثاني'!$F$2:$F$501,V280)=F280),N(I280)/N(INDEX('01-كانون الثاني'!$I$2:$I$501,V280))-1,""))</f>
        <v/>
      </c>
      <c r="AC280" t="str">
        <f>IF(L280="","",IF(AND($AO$2=1,ISNA(MATCH(L280,'03-آذار'!$L$2:$L$501,0))),"محذوف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IF(L281="","",IF($AO$1=1,IFERROR(MATCH(L281,'01-كانون الثاني'!$L$2:$L$501,0),0),0))</f>
        <v/>
      </c>
      <c r="W281" t="str">
        <f t="shared" si="91"/>
        <v/>
      </c>
      <c r="X281" s="38" t="str">
        <f>IF(L281="","",IF(V281&gt;0,INDEX('01-كانون الثاني'!$P$2:$P$501,V281),IF($AO$1=1,0,"")))</f>
        <v/>
      </c>
      <c r="Y281" s="38" t="str">
        <f t="shared" si="92"/>
        <v/>
      </c>
      <c r="Z281" s="39" t="str">
        <f>IF(L281="","",IF(V281&gt;0,INDEX('01-كانون الثاني'!$Q$2:$Q$501,V281),IF($AO$1=1,0,"")))</f>
        <v/>
      </c>
      <c r="AA281" s="39" t="str">
        <f t="shared" si="93"/>
        <v/>
      </c>
      <c r="AB281" s="40" t="str">
        <f>IF(OR(L281="",V281=0),"",IF(AND(N(I281)&gt;0,N(INDEX('01-كانون الثاني'!$I$2:$I$501,V281))&gt;0,INDEX('01-كانون الثاني'!$F$2:$F$501,V281)=F281),N(I281)/N(INDEX('01-كانون الثاني'!$I$2:$I$501,V281))-1,""))</f>
        <v/>
      </c>
      <c r="AC281" t="str">
        <f>IF(L281="","",IF(AND($AO$2=1,ISNA(MATCH(L281,'03-آذار'!$L$2:$L$501,0))),"محذوف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IF(L282="","",IF($AO$1=1,IFERROR(MATCH(L282,'01-كانون الثاني'!$L$2:$L$501,0),0),0))</f>
        <v/>
      </c>
      <c r="W282" t="str">
        <f t="shared" si="91"/>
        <v/>
      </c>
      <c r="X282" s="38" t="str">
        <f>IF(L282="","",IF(V282&gt;0,INDEX('01-كانون الثاني'!$P$2:$P$501,V282),IF($AO$1=1,0,"")))</f>
        <v/>
      </c>
      <c r="Y282" s="38" t="str">
        <f t="shared" si="92"/>
        <v/>
      </c>
      <c r="Z282" s="39" t="str">
        <f>IF(L282="","",IF(V282&gt;0,INDEX('01-كانون الثاني'!$Q$2:$Q$501,V282),IF($AO$1=1,0,"")))</f>
        <v/>
      </c>
      <c r="AA282" s="39" t="str">
        <f t="shared" si="93"/>
        <v/>
      </c>
      <c r="AB282" s="40" t="str">
        <f>IF(OR(L282="",V282=0),"",IF(AND(N(I282)&gt;0,N(INDEX('01-كانون الثاني'!$I$2:$I$501,V282))&gt;0,INDEX('01-كانون الثاني'!$F$2:$F$501,V282)=F282),N(I282)/N(INDEX('01-كانون الثاني'!$I$2:$I$501,V282))-1,""))</f>
        <v/>
      </c>
      <c r="AC282" t="str">
        <f>IF(L282="","",IF(AND($AO$2=1,ISNA(MATCH(L282,'03-آذار'!$L$2:$L$501,0))),"محذوف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IF(L283="","",IF($AO$1=1,IFERROR(MATCH(L283,'01-كانون الثاني'!$L$2:$L$501,0),0),0))</f>
        <v/>
      </c>
      <c r="W283" t="str">
        <f t="shared" si="91"/>
        <v/>
      </c>
      <c r="X283" s="38" t="str">
        <f>IF(L283="","",IF(V283&gt;0,INDEX('01-كانون الثاني'!$P$2:$P$501,V283),IF($AO$1=1,0,"")))</f>
        <v/>
      </c>
      <c r="Y283" s="38" t="str">
        <f t="shared" si="92"/>
        <v/>
      </c>
      <c r="Z283" s="39" t="str">
        <f>IF(L283="","",IF(V283&gt;0,INDEX('01-كانون الثاني'!$Q$2:$Q$501,V283),IF($AO$1=1,0,"")))</f>
        <v/>
      </c>
      <c r="AA283" s="39" t="str">
        <f t="shared" si="93"/>
        <v/>
      </c>
      <c r="AB283" s="40" t="str">
        <f>IF(OR(L283="",V283=0),"",IF(AND(N(I283)&gt;0,N(INDEX('01-كانون الثاني'!$I$2:$I$501,V283))&gt;0,INDEX('01-كانون الثاني'!$F$2:$F$501,V283)=F283),N(I283)/N(INDEX('01-كانون الثاني'!$I$2:$I$501,V283))-1,""))</f>
        <v/>
      </c>
      <c r="AC283" t="str">
        <f>IF(L283="","",IF(AND($AO$2=1,ISNA(MATCH(L283,'03-آذار'!$L$2:$L$501,0))),"محذوف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IF(L284="","",IF($AO$1=1,IFERROR(MATCH(L284,'01-كانون الثاني'!$L$2:$L$501,0),0),0))</f>
        <v/>
      </c>
      <c r="W284" t="str">
        <f t="shared" si="91"/>
        <v/>
      </c>
      <c r="X284" s="38" t="str">
        <f>IF(L284="","",IF(V284&gt;0,INDEX('01-كانون الثاني'!$P$2:$P$501,V284),IF($AO$1=1,0,"")))</f>
        <v/>
      </c>
      <c r="Y284" s="38" t="str">
        <f t="shared" si="92"/>
        <v/>
      </c>
      <c r="Z284" s="39" t="str">
        <f>IF(L284="","",IF(V284&gt;0,INDEX('01-كانون الثاني'!$Q$2:$Q$501,V284),IF($AO$1=1,0,"")))</f>
        <v/>
      </c>
      <c r="AA284" s="39" t="str">
        <f t="shared" si="93"/>
        <v/>
      </c>
      <c r="AB284" s="40" t="str">
        <f>IF(OR(L284="",V284=0),"",IF(AND(N(I284)&gt;0,N(INDEX('01-كانون الثاني'!$I$2:$I$501,V284))&gt;0,INDEX('01-كانون الثاني'!$F$2:$F$501,V284)=F284),N(I284)/N(INDEX('01-كانون الثاني'!$I$2:$I$501,V284))-1,""))</f>
        <v/>
      </c>
      <c r="AC284" t="str">
        <f>IF(L284="","",IF(AND($AO$2=1,ISNA(MATCH(L284,'03-آذار'!$L$2:$L$501,0))),"محذوف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IF(L285="","",IF($AO$1=1,IFERROR(MATCH(L285,'01-كانون الثاني'!$L$2:$L$501,0),0),0))</f>
        <v/>
      </c>
      <c r="W285" t="str">
        <f t="shared" si="91"/>
        <v/>
      </c>
      <c r="X285" s="38" t="str">
        <f>IF(L285="","",IF(V285&gt;0,INDEX('01-كانون الثاني'!$P$2:$P$501,V285),IF($AO$1=1,0,"")))</f>
        <v/>
      </c>
      <c r="Y285" s="38" t="str">
        <f t="shared" si="92"/>
        <v/>
      </c>
      <c r="Z285" s="39" t="str">
        <f>IF(L285="","",IF(V285&gt;0,INDEX('01-كانون الثاني'!$Q$2:$Q$501,V285),IF($AO$1=1,0,"")))</f>
        <v/>
      </c>
      <c r="AA285" s="39" t="str">
        <f t="shared" si="93"/>
        <v/>
      </c>
      <c r="AB285" s="40" t="str">
        <f>IF(OR(L285="",V285=0),"",IF(AND(N(I285)&gt;0,N(INDEX('01-كانون الثاني'!$I$2:$I$501,V285))&gt;0,INDEX('01-كانون الثاني'!$F$2:$F$501,V285)=F285),N(I285)/N(INDEX('01-كانون الثاني'!$I$2:$I$501,V285))-1,""))</f>
        <v/>
      </c>
      <c r="AC285" t="str">
        <f>IF(L285="","",IF(AND($AO$2=1,ISNA(MATCH(L285,'03-آذار'!$L$2:$L$501,0))),"محذوف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IF(L286="","",IF($AO$1=1,IFERROR(MATCH(L286,'01-كانون الثاني'!$L$2:$L$501,0),0),0))</f>
        <v/>
      </c>
      <c r="W286" t="str">
        <f t="shared" si="91"/>
        <v/>
      </c>
      <c r="X286" s="38" t="str">
        <f>IF(L286="","",IF(V286&gt;0,INDEX('01-كانون الثاني'!$P$2:$P$501,V286),IF($AO$1=1,0,"")))</f>
        <v/>
      </c>
      <c r="Y286" s="38" t="str">
        <f t="shared" si="92"/>
        <v/>
      </c>
      <c r="Z286" s="39" t="str">
        <f>IF(L286="","",IF(V286&gt;0,INDEX('01-كانون الثاني'!$Q$2:$Q$501,V286),IF($AO$1=1,0,"")))</f>
        <v/>
      </c>
      <c r="AA286" s="39" t="str">
        <f t="shared" si="93"/>
        <v/>
      </c>
      <c r="AB286" s="40" t="str">
        <f>IF(OR(L286="",V286=0),"",IF(AND(N(I286)&gt;0,N(INDEX('01-كانون الثاني'!$I$2:$I$501,V286))&gt;0,INDEX('01-كانون الثاني'!$F$2:$F$501,V286)=F286),N(I286)/N(INDEX('01-كانون الثاني'!$I$2:$I$501,V286))-1,""))</f>
        <v/>
      </c>
      <c r="AC286" t="str">
        <f>IF(L286="","",IF(AND($AO$2=1,ISNA(MATCH(L286,'03-آذار'!$L$2:$L$501,0))),"محذوف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IF(L287="","",IF($AO$1=1,IFERROR(MATCH(L287,'01-كانون الثاني'!$L$2:$L$501,0),0),0))</f>
        <v/>
      </c>
      <c r="W287" t="str">
        <f t="shared" si="91"/>
        <v/>
      </c>
      <c r="X287" s="38" t="str">
        <f>IF(L287="","",IF(V287&gt;0,INDEX('01-كانون الثاني'!$P$2:$P$501,V287),IF($AO$1=1,0,"")))</f>
        <v/>
      </c>
      <c r="Y287" s="38" t="str">
        <f t="shared" si="92"/>
        <v/>
      </c>
      <c r="Z287" s="39" t="str">
        <f>IF(L287="","",IF(V287&gt;0,INDEX('01-كانون الثاني'!$Q$2:$Q$501,V287),IF($AO$1=1,0,"")))</f>
        <v/>
      </c>
      <c r="AA287" s="39" t="str">
        <f t="shared" si="93"/>
        <v/>
      </c>
      <c r="AB287" s="40" t="str">
        <f>IF(OR(L287="",V287=0),"",IF(AND(N(I287)&gt;0,N(INDEX('01-كانون الثاني'!$I$2:$I$501,V287))&gt;0,INDEX('01-كانون الثاني'!$F$2:$F$501,V287)=F287),N(I287)/N(INDEX('01-كانون الثاني'!$I$2:$I$501,V287))-1,""))</f>
        <v/>
      </c>
      <c r="AC287" t="str">
        <f>IF(L287="","",IF(AND($AO$2=1,ISNA(MATCH(L287,'03-آذار'!$L$2:$L$501,0))),"محذوف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IF(L288="","",IF($AO$1=1,IFERROR(MATCH(L288,'01-كانون الثاني'!$L$2:$L$501,0),0),0))</f>
        <v/>
      </c>
      <c r="W288" t="str">
        <f t="shared" si="91"/>
        <v/>
      </c>
      <c r="X288" s="38" t="str">
        <f>IF(L288="","",IF(V288&gt;0,INDEX('01-كانون الثاني'!$P$2:$P$501,V288),IF($AO$1=1,0,"")))</f>
        <v/>
      </c>
      <c r="Y288" s="38" t="str">
        <f t="shared" si="92"/>
        <v/>
      </c>
      <c r="Z288" s="39" t="str">
        <f>IF(L288="","",IF(V288&gt;0,INDEX('01-كانون الثاني'!$Q$2:$Q$501,V288),IF($AO$1=1,0,"")))</f>
        <v/>
      </c>
      <c r="AA288" s="39" t="str">
        <f t="shared" si="93"/>
        <v/>
      </c>
      <c r="AB288" s="40" t="str">
        <f>IF(OR(L288="",V288=0),"",IF(AND(N(I288)&gt;0,N(INDEX('01-كانون الثاني'!$I$2:$I$501,V288))&gt;0,INDEX('01-كانون الثاني'!$F$2:$F$501,V288)=F288),N(I288)/N(INDEX('01-كانون الثاني'!$I$2:$I$501,V288))-1,""))</f>
        <v/>
      </c>
      <c r="AC288" t="str">
        <f>IF(L288="","",IF(AND($AO$2=1,ISNA(MATCH(L288,'03-آذار'!$L$2:$L$501,0))),"محذوف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IF(L289="","",IF($AO$1=1,IFERROR(MATCH(L289,'01-كانون الثاني'!$L$2:$L$501,0),0),0))</f>
        <v/>
      </c>
      <c r="W289" t="str">
        <f t="shared" si="91"/>
        <v/>
      </c>
      <c r="X289" s="38" t="str">
        <f>IF(L289="","",IF(V289&gt;0,INDEX('01-كانون الثاني'!$P$2:$P$501,V289),IF($AO$1=1,0,"")))</f>
        <v/>
      </c>
      <c r="Y289" s="38" t="str">
        <f t="shared" si="92"/>
        <v/>
      </c>
      <c r="Z289" s="39" t="str">
        <f>IF(L289="","",IF(V289&gt;0,INDEX('01-كانون الثاني'!$Q$2:$Q$501,V289),IF($AO$1=1,0,"")))</f>
        <v/>
      </c>
      <c r="AA289" s="39" t="str">
        <f t="shared" si="93"/>
        <v/>
      </c>
      <c r="AB289" s="40" t="str">
        <f>IF(OR(L289="",V289=0),"",IF(AND(N(I289)&gt;0,N(INDEX('01-كانون الثاني'!$I$2:$I$501,V289))&gt;0,INDEX('01-كانون الثاني'!$F$2:$F$501,V289)=F289),N(I289)/N(INDEX('01-كانون الثاني'!$I$2:$I$501,V289))-1,""))</f>
        <v/>
      </c>
      <c r="AC289" t="str">
        <f>IF(L289="","",IF(AND($AO$2=1,ISNA(MATCH(L289,'03-آذار'!$L$2:$L$501,0))),"محذوف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IF(L290="","",IF($AO$1=1,IFERROR(MATCH(L290,'01-كانون الثاني'!$L$2:$L$501,0),0),0))</f>
        <v/>
      </c>
      <c r="W290" t="str">
        <f t="shared" si="91"/>
        <v/>
      </c>
      <c r="X290" s="38" t="str">
        <f>IF(L290="","",IF(V290&gt;0,INDEX('01-كانون الثاني'!$P$2:$P$501,V290),IF($AO$1=1,0,"")))</f>
        <v/>
      </c>
      <c r="Y290" s="38" t="str">
        <f t="shared" si="92"/>
        <v/>
      </c>
      <c r="Z290" s="39" t="str">
        <f>IF(L290="","",IF(V290&gt;0,INDEX('01-كانون الثاني'!$Q$2:$Q$501,V290),IF($AO$1=1,0,"")))</f>
        <v/>
      </c>
      <c r="AA290" s="39" t="str">
        <f t="shared" si="93"/>
        <v/>
      </c>
      <c r="AB290" s="40" t="str">
        <f>IF(OR(L290="",V290=0),"",IF(AND(N(I290)&gt;0,N(INDEX('01-كانون الثاني'!$I$2:$I$501,V290))&gt;0,INDEX('01-كانون الثاني'!$F$2:$F$501,V290)=F290),N(I290)/N(INDEX('01-كانون الثاني'!$I$2:$I$501,V290))-1,""))</f>
        <v/>
      </c>
      <c r="AC290" t="str">
        <f>IF(L290="","",IF(AND($AO$2=1,ISNA(MATCH(L290,'03-آذار'!$L$2:$L$501,0))),"محذوف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IF(L291="","",IF($AO$1=1,IFERROR(MATCH(L291,'01-كانون الثاني'!$L$2:$L$501,0),0),0))</f>
        <v/>
      </c>
      <c r="W291" t="str">
        <f t="shared" si="91"/>
        <v/>
      </c>
      <c r="X291" s="38" t="str">
        <f>IF(L291="","",IF(V291&gt;0,INDEX('01-كانون الثاني'!$P$2:$P$501,V291),IF($AO$1=1,0,"")))</f>
        <v/>
      </c>
      <c r="Y291" s="38" t="str">
        <f t="shared" si="92"/>
        <v/>
      </c>
      <c r="Z291" s="39" t="str">
        <f>IF(L291="","",IF(V291&gt;0,INDEX('01-كانون الثاني'!$Q$2:$Q$501,V291),IF($AO$1=1,0,"")))</f>
        <v/>
      </c>
      <c r="AA291" s="39" t="str">
        <f t="shared" si="93"/>
        <v/>
      </c>
      <c r="AB291" s="40" t="str">
        <f>IF(OR(L291="",V291=0),"",IF(AND(N(I291)&gt;0,N(INDEX('01-كانون الثاني'!$I$2:$I$501,V291))&gt;0,INDEX('01-كانون الثاني'!$F$2:$F$501,V291)=F291),N(I291)/N(INDEX('01-كانون الثاني'!$I$2:$I$501,V291))-1,""))</f>
        <v/>
      </c>
      <c r="AC291" t="str">
        <f>IF(L291="","",IF(AND($AO$2=1,ISNA(MATCH(L291,'03-آذار'!$L$2:$L$501,0))),"محذوف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IF(L292="","",IF($AO$1=1,IFERROR(MATCH(L292,'01-كانون الثاني'!$L$2:$L$501,0),0),0))</f>
        <v/>
      </c>
      <c r="W292" t="str">
        <f t="shared" si="91"/>
        <v/>
      </c>
      <c r="X292" s="38" t="str">
        <f>IF(L292="","",IF(V292&gt;0,INDEX('01-كانون الثاني'!$P$2:$P$501,V292),IF($AO$1=1,0,"")))</f>
        <v/>
      </c>
      <c r="Y292" s="38" t="str">
        <f t="shared" si="92"/>
        <v/>
      </c>
      <c r="Z292" s="39" t="str">
        <f>IF(L292="","",IF(V292&gt;0,INDEX('01-كانون الثاني'!$Q$2:$Q$501,V292),IF($AO$1=1,0,"")))</f>
        <v/>
      </c>
      <c r="AA292" s="39" t="str">
        <f t="shared" si="93"/>
        <v/>
      </c>
      <c r="AB292" s="40" t="str">
        <f>IF(OR(L292="",V292=0),"",IF(AND(N(I292)&gt;0,N(INDEX('01-كانون الثاني'!$I$2:$I$501,V292))&gt;0,INDEX('01-كانون الثاني'!$F$2:$F$501,V292)=F292),N(I292)/N(INDEX('01-كانون الثاني'!$I$2:$I$501,V292))-1,""))</f>
        <v/>
      </c>
      <c r="AC292" t="str">
        <f>IF(L292="","",IF(AND($AO$2=1,ISNA(MATCH(L292,'03-آذار'!$L$2:$L$501,0))),"محذوف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IF(L293="","",IF($AO$1=1,IFERROR(MATCH(L293,'01-كانون الثاني'!$L$2:$L$501,0),0),0))</f>
        <v/>
      </c>
      <c r="W293" t="str">
        <f t="shared" si="91"/>
        <v/>
      </c>
      <c r="X293" s="38" t="str">
        <f>IF(L293="","",IF(V293&gt;0,INDEX('01-كانون الثاني'!$P$2:$P$501,V293),IF($AO$1=1,0,"")))</f>
        <v/>
      </c>
      <c r="Y293" s="38" t="str">
        <f t="shared" si="92"/>
        <v/>
      </c>
      <c r="Z293" s="39" t="str">
        <f>IF(L293="","",IF(V293&gt;0,INDEX('01-كانون الثاني'!$Q$2:$Q$501,V293),IF($AO$1=1,0,"")))</f>
        <v/>
      </c>
      <c r="AA293" s="39" t="str">
        <f t="shared" si="93"/>
        <v/>
      </c>
      <c r="AB293" s="40" t="str">
        <f>IF(OR(L293="",V293=0),"",IF(AND(N(I293)&gt;0,N(INDEX('01-كانون الثاني'!$I$2:$I$501,V293))&gt;0,INDEX('01-كانون الثاني'!$F$2:$F$501,V293)=F293),N(I293)/N(INDEX('01-كانون الثاني'!$I$2:$I$501,V293))-1,""))</f>
        <v/>
      </c>
      <c r="AC293" t="str">
        <f>IF(L293="","",IF(AND($AO$2=1,ISNA(MATCH(L293,'03-آذار'!$L$2:$L$501,0))),"محذوف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IF(L294="","",IF($AO$1=1,IFERROR(MATCH(L294,'01-كانون الثاني'!$L$2:$L$501,0),0),0))</f>
        <v/>
      </c>
      <c r="W294" t="str">
        <f t="shared" si="91"/>
        <v/>
      </c>
      <c r="X294" s="38" t="str">
        <f>IF(L294="","",IF(V294&gt;0,INDEX('01-كانون الثاني'!$P$2:$P$501,V294),IF($AO$1=1,0,"")))</f>
        <v/>
      </c>
      <c r="Y294" s="38" t="str">
        <f t="shared" si="92"/>
        <v/>
      </c>
      <c r="Z294" s="39" t="str">
        <f>IF(L294="","",IF(V294&gt;0,INDEX('01-كانون الثاني'!$Q$2:$Q$501,V294),IF($AO$1=1,0,"")))</f>
        <v/>
      </c>
      <c r="AA294" s="39" t="str">
        <f t="shared" si="93"/>
        <v/>
      </c>
      <c r="AB294" s="40" t="str">
        <f>IF(OR(L294="",V294=0),"",IF(AND(N(I294)&gt;0,N(INDEX('01-كانون الثاني'!$I$2:$I$501,V294))&gt;0,INDEX('01-كانون الثاني'!$F$2:$F$501,V294)=F294),N(I294)/N(INDEX('01-كانون الثاني'!$I$2:$I$501,V294))-1,""))</f>
        <v/>
      </c>
      <c r="AC294" t="str">
        <f>IF(L294="","",IF(AND($AO$2=1,ISNA(MATCH(L294,'03-آذار'!$L$2:$L$501,0))),"محذوف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IF(L295="","",IF($AO$1=1,IFERROR(MATCH(L295,'01-كانون الثاني'!$L$2:$L$501,0),0),0))</f>
        <v/>
      </c>
      <c r="W295" t="str">
        <f t="shared" si="91"/>
        <v/>
      </c>
      <c r="X295" s="38" t="str">
        <f>IF(L295="","",IF(V295&gt;0,INDEX('01-كانون الثاني'!$P$2:$P$501,V295),IF($AO$1=1,0,"")))</f>
        <v/>
      </c>
      <c r="Y295" s="38" t="str">
        <f t="shared" si="92"/>
        <v/>
      </c>
      <c r="Z295" s="39" t="str">
        <f>IF(L295="","",IF(V295&gt;0,INDEX('01-كانون الثاني'!$Q$2:$Q$501,V295),IF($AO$1=1,0,"")))</f>
        <v/>
      </c>
      <c r="AA295" s="39" t="str">
        <f t="shared" si="93"/>
        <v/>
      </c>
      <c r="AB295" s="40" t="str">
        <f>IF(OR(L295="",V295=0),"",IF(AND(N(I295)&gt;0,N(INDEX('01-كانون الثاني'!$I$2:$I$501,V295))&gt;0,INDEX('01-كانون الثاني'!$F$2:$F$501,V295)=F295),N(I295)/N(INDEX('01-كانون الثاني'!$I$2:$I$501,V295))-1,""))</f>
        <v/>
      </c>
      <c r="AC295" t="str">
        <f>IF(L295="","",IF(AND($AO$2=1,ISNA(MATCH(L295,'03-آذار'!$L$2:$L$501,0))),"محذوف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IF(L296="","",IF($AO$1=1,IFERROR(MATCH(L296,'01-كانون الثاني'!$L$2:$L$501,0),0),0))</f>
        <v/>
      </c>
      <c r="W296" t="str">
        <f t="shared" si="91"/>
        <v/>
      </c>
      <c r="X296" s="38" t="str">
        <f>IF(L296="","",IF(V296&gt;0,INDEX('01-كانون الثاني'!$P$2:$P$501,V296),IF($AO$1=1,0,"")))</f>
        <v/>
      </c>
      <c r="Y296" s="38" t="str">
        <f t="shared" si="92"/>
        <v/>
      </c>
      <c r="Z296" s="39" t="str">
        <f>IF(L296="","",IF(V296&gt;0,INDEX('01-كانون الثاني'!$Q$2:$Q$501,V296),IF($AO$1=1,0,"")))</f>
        <v/>
      </c>
      <c r="AA296" s="39" t="str">
        <f t="shared" si="93"/>
        <v/>
      </c>
      <c r="AB296" s="40" t="str">
        <f>IF(OR(L296="",V296=0),"",IF(AND(N(I296)&gt;0,N(INDEX('01-كانون الثاني'!$I$2:$I$501,V296))&gt;0,INDEX('01-كانون الثاني'!$F$2:$F$501,V296)=F296),N(I296)/N(INDEX('01-كانون الثاني'!$I$2:$I$501,V296))-1,""))</f>
        <v/>
      </c>
      <c r="AC296" t="str">
        <f>IF(L296="","",IF(AND($AO$2=1,ISNA(MATCH(L296,'03-آذار'!$L$2:$L$501,0))),"محذوف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IF(L297="","",IF($AO$1=1,IFERROR(MATCH(L297,'01-كانون الثاني'!$L$2:$L$501,0),0),0))</f>
        <v/>
      </c>
      <c r="W297" t="str">
        <f t="shared" si="91"/>
        <v/>
      </c>
      <c r="X297" s="38" t="str">
        <f>IF(L297="","",IF(V297&gt;0,INDEX('01-كانون الثاني'!$P$2:$P$501,V297),IF($AO$1=1,0,"")))</f>
        <v/>
      </c>
      <c r="Y297" s="38" t="str">
        <f t="shared" si="92"/>
        <v/>
      </c>
      <c r="Z297" s="39" t="str">
        <f>IF(L297="","",IF(V297&gt;0,INDEX('01-كانون الثاني'!$Q$2:$Q$501,V297),IF($AO$1=1,0,"")))</f>
        <v/>
      </c>
      <c r="AA297" s="39" t="str">
        <f t="shared" si="93"/>
        <v/>
      </c>
      <c r="AB297" s="40" t="str">
        <f>IF(OR(L297="",V297=0),"",IF(AND(N(I297)&gt;0,N(INDEX('01-كانون الثاني'!$I$2:$I$501,V297))&gt;0,INDEX('01-كانون الثاني'!$F$2:$F$501,V297)=F297),N(I297)/N(INDEX('01-كانون الثاني'!$I$2:$I$501,V297))-1,""))</f>
        <v/>
      </c>
      <c r="AC297" t="str">
        <f>IF(L297="","",IF(AND($AO$2=1,ISNA(MATCH(L297,'03-آذار'!$L$2:$L$501,0))),"محذوف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IF(L298="","",IF($AO$1=1,IFERROR(MATCH(L298,'01-كانون الثاني'!$L$2:$L$501,0),0),0))</f>
        <v/>
      </c>
      <c r="W298" t="str">
        <f t="shared" si="91"/>
        <v/>
      </c>
      <c r="X298" s="38" t="str">
        <f>IF(L298="","",IF(V298&gt;0,INDEX('01-كانون الثاني'!$P$2:$P$501,V298),IF($AO$1=1,0,"")))</f>
        <v/>
      </c>
      <c r="Y298" s="38" t="str">
        <f t="shared" si="92"/>
        <v/>
      </c>
      <c r="Z298" s="39" t="str">
        <f>IF(L298="","",IF(V298&gt;0,INDEX('01-كانون الثاني'!$Q$2:$Q$501,V298),IF($AO$1=1,0,"")))</f>
        <v/>
      </c>
      <c r="AA298" s="39" t="str">
        <f t="shared" si="93"/>
        <v/>
      </c>
      <c r="AB298" s="40" t="str">
        <f>IF(OR(L298="",V298=0),"",IF(AND(N(I298)&gt;0,N(INDEX('01-كانون الثاني'!$I$2:$I$501,V298))&gt;0,INDEX('01-كانون الثاني'!$F$2:$F$501,V298)=F298),N(I298)/N(INDEX('01-كانون الثاني'!$I$2:$I$501,V298))-1,""))</f>
        <v/>
      </c>
      <c r="AC298" t="str">
        <f>IF(L298="","",IF(AND($AO$2=1,ISNA(MATCH(L298,'03-آذار'!$L$2:$L$501,0))),"محذوف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IF(L299="","",IF($AO$1=1,IFERROR(MATCH(L299,'01-كانون الثاني'!$L$2:$L$501,0),0),0))</f>
        <v/>
      </c>
      <c r="W299" t="str">
        <f t="shared" si="91"/>
        <v/>
      </c>
      <c r="X299" s="38" t="str">
        <f>IF(L299="","",IF(V299&gt;0,INDEX('01-كانون الثاني'!$P$2:$P$501,V299),IF($AO$1=1,0,"")))</f>
        <v/>
      </c>
      <c r="Y299" s="38" t="str">
        <f t="shared" si="92"/>
        <v/>
      </c>
      <c r="Z299" s="39" t="str">
        <f>IF(L299="","",IF(V299&gt;0,INDEX('01-كانون الثاني'!$Q$2:$Q$501,V299),IF($AO$1=1,0,"")))</f>
        <v/>
      </c>
      <c r="AA299" s="39" t="str">
        <f t="shared" si="93"/>
        <v/>
      </c>
      <c r="AB299" s="40" t="str">
        <f>IF(OR(L299="",V299=0),"",IF(AND(N(I299)&gt;0,N(INDEX('01-كانون الثاني'!$I$2:$I$501,V299))&gt;0,INDEX('01-كانون الثاني'!$F$2:$F$501,V299)=F299),N(I299)/N(INDEX('01-كانون الثاني'!$I$2:$I$501,V299))-1,""))</f>
        <v/>
      </c>
      <c r="AC299" t="str">
        <f>IF(L299="","",IF(AND($AO$2=1,ISNA(MATCH(L299,'03-آذار'!$L$2:$L$501,0))),"محذوف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IF(L300="","",IF($AO$1=1,IFERROR(MATCH(L300,'01-كانون الثاني'!$L$2:$L$501,0),0),0))</f>
        <v/>
      </c>
      <c r="W300" t="str">
        <f t="shared" si="91"/>
        <v/>
      </c>
      <c r="X300" s="38" t="str">
        <f>IF(L300="","",IF(V300&gt;0,INDEX('01-كانون الثاني'!$P$2:$P$501,V300),IF($AO$1=1,0,"")))</f>
        <v/>
      </c>
      <c r="Y300" s="38" t="str">
        <f t="shared" si="92"/>
        <v/>
      </c>
      <c r="Z300" s="39" t="str">
        <f>IF(L300="","",IF(V300&gt;0,INDEX('01-كانون الثاني'!$Q$2:$Q$501,V300),IF($AO$1=1,0,"")))</f>
        <v/>
      </c>
      <c r="AA300" s="39" t="str">
        <f t="shared" si="93"/>
        <v/>
      </c>
      <c r="AB300" s="40" t="str">
        <f>IF(OR(L300="",V300=0),"",IF(AND(N(I300)&gt;0,N(INDEX('01-كانون الثاني'!$I$2:$I$501,V300))&gt;0,INDEX('01-كانون الثاني'!$F$2:$F$501,V300)=F300),N(I300)/N(INDEX('01-كانون الثاني'!$I$2:$I$501,V300))-1,""))</f>
        <v/>
      </c>
      <c r="AC300" t="str">
        <f>IF(L300="","",IF(AND($AO$2=1,ISNA(MATCH(L300,'03-آذار'!$L$2:$L$501,0))),"محذوف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IF(L301="","",IF($AO$1=1,IFERROR(MATCH(L301,'01-كانون الثاني'!$L$2:$L$501,0),0),0))</f>
        <v/>
      </c>
      <c r="W301" t="str">
        <f t="shared" si="91"/>
        <v/>
      </c>
      <c r="X301" s="38" t="str">
        <f>IF(L301="","",IF(V301&gt;0,INDEX('01-كانون الثاني'!$P$2:$P$501,V301),IF($AO$1=1,0,"")))</f>
        <v/>
      </c>
      <c r="Y301" s="38" t="str">
        <f t="shared" si="92"/>
        <v/>
      </c>
      <c r="Z301" s="39" t="str">
        <f>IF(L301="","",IF(V301&gt;0,INDEX('01-كانون الثاني'!$Q$2:$Q$501,V301),IF($AO$1=1,0,"")))</f>
        <v/>
      </c>
      <c r="AA301" s="39" t="str">
        <f t="shared" si="93"/>
        <v/>
      </c>
      <c r="AB301" s="40" t="str">
        <f>IF(OR(L301="",V301=0),"",IF(AND(N(I301)&gt;0,N(INDEX('01-كانون الثاني'!$I$2:$I$501,V301))&gt;0,INDEX('01-كانون الثاني'!$F$2:$F$501,V301)=F301),N(I301)/N(INDEX('01-كانون الثاني'!$I$2:$I$501,V301))-1,""))</f>
        <v/>
      </c>
      <c r="AC301" t="str">
        <f>IF(L301="","",IF(AND($AO$2=1,ISNA(MATCH(L301,'03-آذار'!$L$2:$L$501,0))),"محذوف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IF(L302="","",IF($AO$1=1,IFERROR(MATCH(L302,'01-كانون الثاني'!$L$2:$L$501,0),0),0))</f>
        <v/>
      </c>
      <c r="W302" t="str">
        <f t="shared" si="91"/>
        <v/>
      </c>
      <c r="X302" s="38" t="str">
        <f>IF(L302="","",IF(V302&gt;0,INDEX('01-كانون الثاني'!$P$2:$P$501,V302),IF($AO$1=1,0,"")))</f>
        <v/>
      </c>
      <c r="Y302" s="38" t="str">
        <f t="shared" si="92"/>
        <v/>
      </c>
      <c r="Z302" s="39" t="str">
        <f>IF(L302="","",IF(V302&gt;0,INDEX('01-كانون الثاني'!$Q$2:$Q$501,V302),IF($AO$1=1,0,"")))</f>
        <v/>
      </c>
      <c r="AA302" s="39" t="str">
        <f t="shared" si="93"/>
        <v/>
      </c>
      <c r="AB302" s="40" t="str">
        <f>IF(OR(L302="",V302=0),"",IF(AND(N(I302)&gt;0,N(INDEX('01-كانون الثاني'!$I$2:$I$501,V302))&gt;0,INDEX('01-كانون الثاني'!$F$2:$F$501,V302)=F302),N(I302)/N(INDEX('01-كانون الثاني'!$I$2:$I$501,V302))-1,""))</f>
        <v/>
      </c>
      <c r="AC302" t="str">
        <f>IF(L302="","",IF(AND($AO$2=1,ISNA(MATCH(L302,'03-آذار'!$L$2:$L$501,0))),"محذوف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IF(L303="","",IF($AO$1=1,IFERROR(MATCH(L303,'01-كانون الثاني'!$L$2:$L$501,0),0),0))</f>
        <v/>
      </c>
      <c r="W303" t="str">
        <f t="shared" si="91"/>
        <v/>
      </c>
      <c r="X303" s="38" t="str">
        <f>IF(L303="","",IF(V303&gt;0,INDEX('01-كانون الثاني'!$P$2:$P$501,V303),IF($AO$1=1,0,"")))</f>
        <v/>
      </c>
      <c r="Y303" s="38" t="str">
        <f t="shared" si="92"/>
        <v/>
      </c>
      <c r="Z303" s="39" t="str">
        <f>IF(L303="","",IF(V303&gt;0,INDEX('01-كانون الثاني'!$Q$2:$Q$501,V303),IF($AO$1=1,0,"")))</f>
        <v/>
      </c>
      <c r="AA303" s="39" t="str">
        <f t="shared" si="93"/>
        <v/>
      </c>
      <c r="AB303" s="40" t="str">
        <f>IF(OR(L303="",V303=0),"",IF(AND(N(I303)&gt;0,N(INDEX('01-كانون الثاني'!$I$2:$I$501,V303))&gt;0,INDEX('01-كانون الثاني'!$F$2:$F$501,V303)=F303),N(I303)/N(INDEX('01-كانون الثاني'!$I$2:$I$501,V303))-1,""))</f>
        <v/>
      </c>
      <c r="AC303" t="str">
        <f>IF(L303="","",IF(AND($AO$2=1,ISNA(MATCH(L303,'03-آذار'!$L$2:$L$501,0))),"محذوف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IF(L304="","",IF($AO$1=1,IFERROR(MATCH(L304,'01-كانون الثاني'!$L$2:$L$501,0),0),0))</f>
        <v/>
      </c>
      <c r="W304" t="str">
        <f t="shared" si="91"/>
        <v/>
      </c>
      <c r="X304" s="38" t="str">
        <f>IF(L304="","",IF(V304&gt;0,INDEX('01-كانون الثاني'!$P$2:$P$501,V304),IF($AO$1=1,0,"")))</f>
        <v/>
      </c>
      <c r="Y304" s="38" t="str">
        <f t="shared" si="92"/>
        <v/>
      </c>
      <c r="Z304" s="39" t="str">
        <f>IF(L304="","",IF(V304&gt;0,INDEX('01-كانون الثاني'!$Q$2:$Q$501,V304),IF($AO$1=1,0,"")))</f>
        <v/>
      </c>
      <c r="AA304" s="39" t="str">
        <f t="shared" si="93"/>
        <v/>
      </c>
      <c r="AB304" s="40" t="str">
        <f>IF(OR(L304="",V304=0),"",IF(AND(N(I304)&gt;0,N(INDEX('01-كانون الثاني'!$I$2:$I$501,V304))&gt;0,INDEX('01-كانون الثاني'!$F$2:$F$501,V304)=F304),N(I304)/N(INDEX('01-كانون الثاني'!$I$2:$I$501,V304))-1,""))</f>
        <v/>
      </c>
      <c r="AC304" t="str">
        <f>IF(L304="","",IF(AND($AO$2=1,ISNA(MATCH(L304,'03-آذار'!$L$2:$L$501,0))),"محذوف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IF(L305="","",IF($AO$1=1,IFERROR(MATCH(L305,'01-كانون الثاني'!$L$2:$L$501,0),0),0))</f>
        <v/>
      </c>
      <c r="W305" t="str">
        <f t="shared" si="91"/>
        <v/>
      </c>
      <c r="X305" s="38" t="str">
        <f>IF(L305="","",IF(V305&gt;0,INDEX('01-كانون الثاني'!$P$2:$P$501,V305),IF($AO$1=1,0,"")))</f>
        <v/>
      </c>
      <c r="Y305" s="38" t="str">
        <f t="shared" si="92"/>
        <v/>
      </c>
      <c r="Z305" s="39" t="str">
        <f>IF(L305="","",IF(V305&gt;0,INDEX('01-كانون الثاني'!$Q$2:$Q$501,V305),IF($AO$1=1,0,"")))</f>
        <v/>
      </c>
      <c r="AA305" s="39" t="str">
        <f t="shared" si="93"/>
        <v/>
      </c>
      <c r="AB305" s="40" t="str">
        <f>IF(OR(L305="",V305=0),"",IF(AND(N(I305)&gt;0,N(INDEX('01-كانون الثاني'!$I$2:$I$501,V305))&gt;0,INDEX('01-كانون الثاني'!$F$2:$F$501,V305)=F305),N(I305)/N(INDEX('01-كانون الثاني'!$I$2:$I$501,V305))-1,""))</f>
        <v/>
      </c>
      <c r="AC305" t="str">
        <f>IF(L305="","",IF(AND($AO$2=1,ISNA(MATCH(L305,'03-آذار'!$L$2:$L$501,0))),"محذوف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IF(L306="","",IF($AO$1=1,IFERROR(MATCH(L306,'01-كانون الثاني'!$L$2:$L$501,0),0),0))</f>
        <v/>
      </c>
      <c r="W306" t="str">
        <f t="shared" si="91"/>
        <v/>
      </c>
      <c r="X306" s="38" t="str">
        <f>IF(L306="","",IF(V306&gt;0,INDEX('01-كانون الثاني'!$P$2:$P$501,V306),IF($AO$1=1,0,"")))</f>
        <v/>
      </c>
      <c r="Y306" s="38" t="str">
        <f t="shared" si="92"/>
        <v/>
      </c>
      <c r="Z306" s="39" t="str">
        <f>IF(L306="","",IF(V306&gt;0,INDEX('01-كانون الثاني'!$Q$2:$Q$501,V306),IF($AO$1=1,0,"")))</f>
        <v/>
      </c>
      <c r="AA306" s="39" t="str">
        <f t="shared" si="93"/>
        <v/>
      </c>
      <c r="AB306" s="40" t="str">
        <f>IF(OR(L306="",V306=0),"",IF(AND(N(I306)&gt;0,N(INDEX('01-كانون الثاني'!$I$2:$I$501,V306))&gt;0,INDEX('01-كانون الثاني'!$F$2:$F$501,V306)=F306),N(I306)/N(INDEX('01-كانون الثاني'!$I$2:$I$501,V306))-1,""))</f>
        <v/>
      </c>
      <c r="AC306" t="str">
        <f>IF(L306="","",IF(AND($AO$2=1,ISNA(MATCH(L306,'03-آذار'!$L$2:$L$501,0))),"محذوف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IF(L307="","",IF($AO$1=1,IFERROR(MATCH(L307,'01-كانون الثاني'!$L$2:$L$501,0),0),0))</f>
        <v/>
      </c>
      <c r="W307" t="str">
        <f t="shared" si="91"/>
        <v/>
      </c>
      <c r="X307" s="38" t="str">
        <f>IF(L307="","",IF(V307&gt;0,INDEX('01-كانون الثاني'!$P$2:$P$501,V307),IF($AO$1=1,0,"")))</f>
        <v/>
      </c>
      <c r="Y307" s="38" t="str">
        <f t="shared" si="92"/>
        <v/>
      </c>
      <c r="Z307" s="39" t="str">
        <f>IF(L307="","",IF(V307&gt;0,INDEX('01-كانون الثاني'!$Q$2:$Q$501,V307),IF($AO$1=1,0,"")))</f>
        <v/>
      </c>
      <c r="AA307" s="39" t="str">
        <f t="shared" si="93"/>
        <v/>
      </c>
      <c r="AB307" s="40" t="str">
        <f>IF(OR(L307="",V307=0),"",IF(AND(N(I307)&gt;0,N(INDEX('01-كانون الثاني'!$I$2:$I$501,V307))&gt;0,INDEX('01-كانون الثاني'!$F$2:$F$501,V307)=F307),N(I307)/N(INDEX('01-كانون الثاني'!$I$2:$I$501,V307))-1,""))</f>
        <v/>
      </c>
      <c r="AC307" t="str">
        <f>IF(L307="","",IF(AND($AO$2=1,ISNA(MATCH(L307,'03-آذار'!$L$2:$L$501,0))),"محذوف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IF(L308="","",IF($AO$1=1,IFERROR(MATCH(L308,'01-كانون الثاني'!$L$2:$L$501,0),0),0))</f>
        <v/>
      </c>
      <c r="W308" t="str">
        <f t="shared" si="91"/>
        <v/>
      </c>
      <c r="X308" s="38" t="str">
        <f>IF(L308="","",IF(V308&gt;0,INDEX('01-كانون الثاني'!$P$2:$P$501,V308),IF($AO$1=1,0,"")))</f>
        <v/>
      </c>
      <c r="Y308" s="38" t="str">
        <f t="shared" si="92"/>
        <v/>
      </c>
      <c r="Z308" s="39" t="str">
        <f>IF(L308="","",IF(V308&gt;0,INDEX('01-كانون الثاني'!$Q$2:$Q$501,V308),IF($AO$1=1,0,"")))</f>
        <v/>
      </c>
      <c r="AA308" s="39" t="str">
        <f t="shared" si="93"/>
        <v/>
      </c>
      <c r="AB308" s="40" t="str">
        <f>IF(OR(L308="",V308=0),"",IF(AND(N(I308)&gt;0,N(INDEX('01-كانون الثاني'!$I$2:$I$501,V308))&gt;0,INDEX('01-كانون الثاني'!$F$2:$F$501,V308)=F308),N(I308)/N(INDEX('01-كانون الثاني'!$I$2:$I$501,V308))-1,""))</f>
        <v/>
      </c>
      <c r="AC308" t="str">
        <f>IF(L308="","",IF(AND($AO$2=1,ISNA(MATCH(L308,'03-آذار'!$L$2:$L$501,0))),"محذوف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IF(L309="","",IF($AO$1=1,IFERROR(MATCH(L309,'01-كانون الثاني'!$L$2:$L$501,0),0),0))</f>
        <v/>
      </c>
      <c r="W309" t="str">
        <f t="shared" si="91"/>
        <v/>
      </c>
      <c r="X309" s="38" t="str">
        <f>IF(L309="","",IF(V309&gt;0,INDEX('01-كانون الثاني'!$P$2:$P$501,V309),IF($AO$1=1,0,"")))</f>
        <v/>
      </c>
      <c r="Y309" s="38" t="str">
        <f t="shared" si="92"/>
        <v/>
      </c>
      <c r="Z309" s="39" t="str">
        <f>IF(L309="","",IF(V309&gt;0,INDEX('01-كانون الثاني'!$Q$2:$Q$501,V309),IF($AO$1=1,0,"")))</f>
        <v/>
      </c>
      <c r="AA309" s="39" t="str">
        <f t="shared" si="93"/>
        <v/>
      </c>
      <c r="AB309" s="40" t="str">
        <f>IF(OR(L309="",V309=0),"",IF(AND(N(I309)&gt;0,N(INDEX('01-كانون الثاني'!$I$2:$I$501,V309))&gt;0,INDEX('01-كانون الثاني'!$F$2:$F$501,V309)=F309),N(I309)/N(INDEX('01-كانون الثاني'!$I$2:$I$501,V309))-1,""))</f>
        <v/>
      </c>
      <c r="AC309" t="str">
        <f>IF(L309="","",IF(AND($AO$2=1,ISNA(MATCH(L309,'03-آذار'!$L$2:$L$501,0))),"محذوف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IF(L310="","",IF($AO$1=1,IFERROR(MATCH(L310,'01-كانون الثاني'!$L$2:$L$501,0),0),0))</f>
        <v/>
      </c>
      <c r="W310" t="str">
        <f t="shared" si="91"/>
        <v/>
      </c>
      <c r="X310" s="38" t="str">
        <f>IF(L310="","",IF(V310&gt;0,INDEX('01-كانون الثاني'!$P$2:$P$501,V310),IF($AO$1=1,0,"")))</f>
        <v/>
      </c>
      <c r="Y310" s="38" t="str">
        <f t="shared" si="92"/>
        <v/>
      </c>
      <c r="Z310" s="39" t="str">
        <f>IF(L310="","",IF(V310&gt;0,INDEX('01-كانون الثاني'!$Q$2:$Q$501,V310),IF($AO$1=1,0,"")))</f>
        <v/>
      </c>
      <c r="AA310" s="39" t="str">
        <f t="shared" si="93"/>
        <v/>
      </c>
      <c r="AB310" s="40" t="str">
        <f>IF(OR(L310="",V310=0),"",IF(AND(N(I310)&gt;0,N(INDEX('01-كانون الثاني'!$I$2:$I$501,V310))&gt;0,INDEX('01-كانون الثاني'!$F$2:$F$501,V310)=F310),N(I310)/N(INDEX('01-كانون الثاني'!$I$2:$I$501,V310))-1,""))</f>
        <v/>
      </c>
      <c r="AC310" t="str">
        <f>IF(L310="","",IF(AND($AO$2=1,ISNA(MATCH(L310,'03-آذار'!$L$2:$L$501,0))),"محذوف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IF(L311="","",IF($AO$1=1,IFERROR(MATCH(L311,'01-كانون الثاني'!$L$2:$L$501,0),0),0))</f>
        <v/>
      </c>
      <c r="W311" t="str">
        <f t="shared" si="91"/>
        <v/>
      </c>
      <c r="X311" s="38" t="str">
        <f>IF(L311="","",IF(V311&gt;0,INDEX('01-كانون الثاني'!$P$2:$P$501,V311),IF($AO$1=1,0,"")))</f>
        <v/>
      </c>
      <c r="Y311" s="38" t="str">
        <f t="shared" si="92"/>
        <v/>
      </c>
      <c r="Z311" s="39" t="str">
        <f>IF(L311="","",IF(V311&gt;0,INDEX('01-كانون الثاني'!$Q$2:$Q$501,V311),IF($AO$1=1,0,"")))</f>
        <v/>
      </c>
      <c r="AA311" s="39" t="str">
        <f t="shared" si="93"/>
        <v/>
      </c>
      <c r="AB311" s="40" t="str">
        <f>IF(OR(L311="",V311=0),"",IF(AND(N(I311)&gt;0,N(INDEX('01-كانون الثاني'!$I$2:$I$501,V311))&gt;0,INDEX('01-كانون الثاني'!$F$2:$F$501,V311)=F311),N(I311)/N(INDEX('01-كانون الثاني'!$I$2:$I$501,V311))-1,""))</f>
        <v/>
      </c>
      <c r="AC311" t="str">
        <f>IF(L311="","",IF(AND($AO$2=1,ISNA(MATCH(L311,'03-آذار'!$L$2:$L$501,0))),"محذوف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IF(L312="","",IF($AO$1=1,IFERROR(MATCH(L312,'01-كانون الثاني'!$L$2:$L$501,0),0),0))</f>
        <v/>
      </c>
      <c r="W312" t="str">
        <f t="shared" si="91"/>
        <v/>
      </c>
      <c r="X312" s="38" t="str">
        <f>IF(L312="","",IF(V312&gt;0,INDEX('01-كانون الثاني'!$P$2:$P$501,V312),IF($AO$1=1,0,"")))</f>
        <v/>
      </c>
      <c r="Y312" s="38" t="str">
        <f t="shared" si="92"/>
        <v/>
      </c>
      <c r="Z312" s="39" t="str">
        <f>IF(L312="","",IF(V312&gt;0,INDEX('01-كانون الثاني'!$Q$2:$Q$501,V312),IF($AO$1=1,0,"")))</f>
        <v/>
      </c>
      <c r="AA312" s="39" t="str">
        <f t="shared" si="93"/>
        <v/>
      </c>
      <c r="AB312" s="40" t="str">
        <f>IF(OR(L312="",V312=0),"",IF(AND(N(I312)&gt;0,N(INDEX('01-كانون الثاني'!$I$2:$I$501,V312))&gt;0,INDEX('01-كانون الثاني'!$F$2:$F$501,V312)=F312),N(I312)/N(INDEX('01-كانون الثاني'!$I$2:$I$501,V312))-1,""))</f>
        <v/>
      </c>
      <c r="AC312" t="str">
        <f>IF(L312="","",IF(AND($AO$2=1,ISNA(MATCH(L312,'03-آذار'!$L$2:$L$501,0))),"محذوف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IF(L313="","",IF($AO$1=1,IFERROR(MATCH(L313,'01-كانون الثاني'!$L$2:$L$501,0),0),0))</f>
        <v/>
      </c>
      <c r="W313" t="str">
        <f t="shared" si="91"/>
        <v/>
      </c>
      <c r="X313" s="38" t="str">
        <f>IF(L313="","",IF(V313&gt;0,INDEX('01-كانون الثاني'!$P$2:$P$501,V313),IF($AO$1=1,0,"")))</f>
        <v/>
      </c>
      <c r="Y313" s="38" t="str">
        <f t="shared" si="92"/>
        <v/>
      </c>
      <c r="Z313" s="39" t="str">
        <f>IF(L313="","",IF(V313&gt;0,INDEX('01-كانون الثاني'!$Q$2:$Q$501,V313),IF($AO$1=1,0,"")))</f>
        <v/>
      </c>
      <c r="AA313" s="39" t="str">
        <f t="shared" si="93"/>
        <v/>
      </c>
      <c r="AB313" s="40" t="str">
        <f>IF(OR(L313="",V313=0),"",IF(AND(N(I313)&gt;0,N(INDEX('01-كانون الثاني'!$I$2:$I$501,V313))&gt;0,INDEX('01-كانون الثاني'!$F$2:$F$501,V313)=F313),N(I313)/N(INDEX('01-كانون الثاني'!$I$2:$I$501,V313))-1,""))</f>
        <v/>
      </c>
      <c r="AC313" t="str">
        <f>IF(L313="","",IF(AND($AO$2=1,ISNA(MATCH(L313,'03-آذار'!$L$2:$L$501,0))),"محذوف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IF(L314="","",IF($AO$1=1,IFERROR(MATCH(L314,'01-كانون الثاني'!$L$2:$L$501,0),0),0))</f>
        <v/>
      </c>
      <c r="W314" t="str">
        <f t="shared" si="91"/>
        <v/>
      </c>
      <c r="X314" s="38" t="str">
        <f>IF(L314="","",IF(V314&gt;0,INDEX('01-كانون الثاني'!$P$2:$P$501,V314),IF($AO$1=1,0,"")))</f>
        <v/>
      </c>
      <c r="Y314" s="38" t="str">
        <f t="shared" si="92"/>
        <v/>
      </c>
      <c r="Z314" s="39" t="str">
        <f>IF(L314="","",IF(V314&gt;0,INDEX('01-كانون الثاني'!$Q$2:$Q$501,V314),IF($AO$1=1,0,"")))</f>
        <v/>
      </c>
      <c r="AA314" s="39" t="str">
        <f t="shared" si="93"/>
        <v/>
      </c>
      <c r="AB314" s="40" t="str">
        <f>IF(OR(L314="",V314=0),"",IF(AND(N(I314)&gt;0,N(INDEX('01-كانون الثاني'!$I$2:$I$501,V314))&gt;0,INDEX('01-كانون الثاني'!$F$2:$F$501,V314)=F314),N(I314)/N(INDEX('01-كانون الثاني'!$I$2:$I$501,V314))-1,""))</f>
        <v/>
      </c>
      <c r="AC314" t="str">
        <f>IF(L314="","",IF(AND($AO$2=1,ISNA(MATCH(L314,'03-آذار'!$L$2:$L$501,0))),"محذوف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IF(L315="","",IF($AO$1=1,IFERROR(MATCH(L315,'01-كانون الثاني'!$L$2:$L$501,0),0),0))</f>
        <v/>
      </c>
      <c r="W315" t="str">
        <f t="shared" si="91"/>
        <v/>
      </c>
      <c r="X315" s="38" t="str">
        <f>IF(L315="","",IF(V315&gt;0,INDEX('01-كانون الثاني'!$P$2:$P$501,V315),IF($AO$1=1,0,"")))</f>
        <v/>
      </c>
      <c r="Y315" s="38" t="str">
        <f t="shared" si="92"/>
        <v/>
      </c>
      <c r="Z315" s="39" t="str">
        <f>IF(L315="","",IF(V315&gt;0,INDEX('01-كانون الثاني'!$Q$2:$Q$501,V315),IF($AO$1=1,0,"")))</f>
        <v/>
      </c>
      <c r="AA315" s="39" t="str">
        <f t="shared" si="93"/>
        <v/>
      </c>
      <c r="AB315" s="40" t="str">
        <f>IF(OR(L315="",V315=0),"",IF(AND(N(I315)&gt;0,N(INDEX('01-كانون الثاني'!$I$2:$I$501,V315))&gt;0,INDEX('01-كانون الثاني'!$F$2:$F$501,V315)=F315),N(I315)/N(INDEX('01-كانون الثاني'!$I$2:$I$501,V315))-1,""))</f>
        <v/>
      </c>
      <c r="AC315" t="str">
        <f>IF(L315="","",IF(AND($AO$2=1,ISNA(MATCH(L315,'03-آذار'!$L$2:$L$501,0))),"محذوف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IF(L316="","",IF($AO$1=1,IFERROR(MATCH(L316,'01-كانون الثاني'!$L$2:$L$501,0),0),0))</f>
        <v/>
      </c>
      <c r="W316" t="str">
        <f t="shared" si="91"/>
        <v/>
      </c>
      <c r="X316" s="38" t="str">
        <f>IF(L316="","",IF(V316&gt;0,INDEX('01-كانون الثاني'!$P$2:$P$501,V316),IF($AO$1=1,0,"")))</f>
        <v/>
      </c>
      <c r="Y316" s="38" t="str">
        <f t="shared" si="92"/>
        <v/>
      </c>
      <c r="Z316" s="39" t="str">
        <f>IF(L316="","",IF(V316&gt;0,INDEX('01-كانون الثاني'!$Q$2:$Q$501,V316),IF($AO$1=1,0,"")))</f>
        <v/>
      </c>
      <c r="AA316" s="39" t="str">
        <f t="shared" si="93"/>
        <v/>
      </c>
      <c r="AB316" s="40" t="str">
        <f>IF(OR(L316="",V316=0),"",IF(AND(N(I316)&gt;0,N(INDEX('01-كانون الثاني'!$I$2:$I$501,V316))&gt;0,INDEX('01-كانون الثاني'!$F$2:$F$501,V316)=F316),N(I316)/N(INDEX('01-كانون الثاني'!$I$2:$I$501,V316))-1,""))</f>
        <v/>
      </c>
      <c r="AC316" t="str">
        <f>IF(L316="","",IF(AND($AO$2=1,ISNA(MATCH(L316,'03-آذار'!$L$2:$L$501,0))),"محذوف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IF(L317="","",IF($AO$1=1,IFERROR(MATCH(L317,'01-كانون الثاني'!$L$2:$L$501,0),0),0))</f>
        <v/>
      </c>
      <c r="W317" t="str">
        <f t="shared" si="91"/>
        <v/>
      </c>
      <c r="X317" s="38" t="str">
        <f>IF(L317="","",IF(V317&gt;0,INDEX('01-كانون الثاني'!$P$2:$P$501,V317),IF($AO$1=1,0,"")))</f>
        <v/>
      </c>
      <c r="Y317" s="38" t="str">
        <f t="shared" si="92"/>
        <v/>
      </c>
      <c r="Z317" s="39" t="str">
        <f>IF(L317="","",IF(V317&gt;0,INDEX('01-كانون الثاني'!$Q$2:$Q$501,V317),IF($AO$1=1,0,"")))</f>
        <v/>
      </c>
      <c r="AA317" s="39" t="str">
        <f t="shared" si="93"/>
        <v/>
      </c>
      <c r="AB317" s="40" t="str">
        <f>IF(OR(L317="",V317=0),"",IF(AND(N(I317)&gt;0,N(INDEX('01-كانون الثاني'!$I$2:$I$501,V317))&gt;0,INDEX('01-كانون الثاني'!$F$2:$F$501,V317)=F317),N(I317)/N(INDEX('01-كانون الثاني'!$I$2:$I$501,V317))-1,""))</f>
        <v/>
      </c>
      <c r="AC317" t="str">
        <f>IF(L317="","",IF(AND($AO$2=1,ISNA(MATCH(L317,'03-آذار'!$L$2:$L$501,0))),"محذوف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IF(L318="","",IF($AO$1=1,IFERROR(MATCH(L318,'01-كانون الثاني'!$L$2:$L$501,0),0),0))</f>
        <v/>
      </c>
      <c r="W318" t="str">
        <f t="shared" si="91"/>
        <v/>
      </c>
      <c r="X318" s="38" t="str">
        <f>IF(L318="","",IF(V318&gt;0,INDEX('01-كانون الثاني'!$P$2:$P$501,V318),IF($AO$1=1,0,"")))</f>
        <v/>
      </c>
      <c r="Y318" s="38" t="str">
        <f t="shared" si="92"/>
        <v/>
      </c>
      <c r="Z318" s="39" t="str">
        <f>IF(L318="","",IF(V318&gt;0,INDEX('01-كانون الثاني'!$Q$2:$Q$501,V318),IF($AO$1=1,0,"")))</f>
        <v/>
      </c>
      <c r="AA318" s="39" t="str">
        <f t="shared" si="93"/>
        <v/>
      </c>
      <c r="AB318" s="40" t="str">
        <f>IF(OR(L318="",V318=0),"",IF(AND(N(I318)&gt;0,N(INDEX('01-كانون الثاني'!$I$2:$I$501,V318))&gt;0,INDEX('01-كانون الثاني'!$F$2:$F$501,V318)=F318),N(I318)/N(INDEX('01-كانون الثاني'!$I$2:$I$501,V318))-1,""))</f>
        <v/>
      </c>
      <c r="AC318" t="str">
        <f>IF(L318="","",IF(AND($AO$2=1,ISNA(MATCH(L318,'03-آذار'!$L$2:$L$501,0))),"محذوف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IF(L319="","",IF($AO$1=1,IFERROR(MATCH(L319,'01-كانون الثاني'!$L$2:$L$501,0),0),0))</f>
        <v/>
      </c>
      <c r="W319" t="str">
        <f t="shared" si="91"/>
        <v/>
      </c>
      <c r="X319" s="38" t="str">
        <f>IF(L319="","",IF(V319&gt;0,INDEX('01-كانون الثاني'!$P$2:$P$501,V319),IF($AO$1=1,0,"")))</f>
        <v/>
      </c>
      <c r="Y319" s="38" t="str">
        <f t="shared" si="92"/>
        <v/>
      </c>
      <c r="Z319" s="39" t="str">
        <f>IF(L319="","",IF(V319&gt;0,INDEX('01-كانون الثاني'!$Q$2:$Q$501,V319),IF($AO$1=1,0,"")))</f>
        <v/>
      </c>
      <c r="AA319" s="39" t="str">
        <f t="shared" si="93"/>
        <v/>
      </c>
      <c r="AB319" s="40" t="str">
        <f>IF(OR(L319="",V319=0),"",IF(AND(N(I319)&gt;0,N(INDEX('01-كانون الثاني'!$I$2:$I$501,V319))&gt;0,INDEX('01-كانون الثاني'!$F$2:$F$501,V319)=F319),N(I319)/N(INDEX('01-كانون الثاني'!$I$2:$I$501,V319))-1,""))</f>
        <v/>
      </c>
      <c r="AC319" t="str">
        <f>IF(L319="","",IF(AND($AO$2=1,ISNA(MATCH(L319,'03-آذار'!$L$2:$L$501,0))),"محذوف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IF(L320="","",IF($AO$1=1,IFERROR(MATCH(L320,'01-كانون الثاني'!$L$2:$L$501,0),0),0))</f>
        <v/>
      </c>
      <c r="W320" t="str">
        <f t="shared" si="91"/>
        <v/>
      </c>
      <c r="X320" s="38" t="str">
        <f>IF(L320="","",IF(V320&gt;0,INDEX('01-كانون الثاني'!$P$2:$P$501,V320),IF($AO$1=1,0,"")))</f>
        <v/>
      </c>
      <c r="Y320" s="38" t="str">
        <f t="shared" si="92"/>
        <v/>
      </c>
      <c r="Z320" s="39" t="str">
        <f>IF(L320="","",IF(V320&gt;0,INDEX('01-كانون الثاني'!$Q$2:$Q$501,V320),IF($AO$1=1,0,"")))</f>
        <v/>
      </c>
      <c r="AA320" s="39" t="str">
        <f t="shared" si="93"/>
        <v/>
      </c>
      <c r="AB320" s="40" t="str">
        <f>IF(OR(L320="",V320=0),"",IF(AND(N(I320)&gt;0,N(INDEX('01-كانون الثاني'!$I$2:$I$501,V320))&gt;0,INDEX('01-كانون الثاني'!$F$2:$F$501,V320)=F320),N(I320)/N(INDEX('01-كانون الثاني'!$I$2:$I$501,V320))-1,""))</f>
        <v/>
      </c>
      <c r="AC320" t="str">
        <f>IF(L320="","",IF(AND($AO$2=1,ISNA(MATCH(L320,'03-آذار'!$L$2:$L$501,0))),"محذوف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IF(L321="","",IF($AO$1=1,IFERROR(MATCH(L321,'01-كانون الثاني'!$L$2:$L$501,0),0),0))</f>
        <v/>
      </c>
      <c r="W321" t="str">
        <f t="shared" si="91"/>
        <v/>
      </c>
      <c r="X321" s="38" t="str">
        <f>IF(L321="","",IF(V321&gt;0,INDEX('01-كانون الثاني'!$P$2:$P$501,V321),IF($AO$1=1,0,"")))</f>
        <v/>
      </c>
      <c r="Y321" s="38" t="str">
        <f t="shared" si="92"/>
        <v/>
      </c>
      <c r="Z321" s="39" t="str">
        <f>IF(L321="","",IF(V321&gt;0,INDEX('01-كانون الثاني'!$Q$2:$Q$501,V321),IF($AO$1=1,0,"")))</f>
        <v/>
      </c>
      <c r="AA321" s="39" t="str">
        <f t="shared" si="93"/>
        <v/>
      </c>
      <c r="AB321" s="40" t="str">
        <f>IF(OR(L321="",V321=0),"",IF(AND(N(I321)&gt;0,N(INDEX('01-كانون الثاني'!$I$2:$I$501,V321))&gt;0,INDEX('01-كانون الثاني'!$F$2:$F$501,V321)=F321),N(I321)/N(INDEX('01-كانون الثاني'!$I$2:$I$501,V321))-1,""))</f>
        <v/>
      </c>
      <c r="AC321" t="str">
        <f>IF(L321="","",IF(AND($AO$2=1,ISNA(MATCH(L321,'03-آذار'!$L$2:$L$501,0))),"محذوف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IF(L322="","",IF($AO$1=1,IFERROR(MATCH(L322,'01-كانون الثاني'!$L$2:$L$501,0),0),0))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IF(L322="","",IF(V322&gt;0,INDEX('01-كانون الثاني'!$P$2:$P$501,V322),IF($AO$1=1,0,"")))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IF(L322="","",IF(V322&gt;0,INDEX('01-كانون الثاني'!$Q$2:$Q$501,V322),IF($AO$1=1,0,"")))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IF(OR(L322="",V322=0),"",IF(AND(N(I322)&gt;0,N(INDEX('01-كانون الثاني'!$I$2:$I$501,V322))&gt;0,INDEX('01-كانون الثاني'!$F$2:$F$501,V322)=F322),N(I322)/N(INDEX('01-كانون الثاني'!$I$2:$I$501,V322))-1,""))</f>
        <v/>
      </c>
      <c r="AC322" t="str">
        <f>IF(L322="","",IF(AND($AO$2=1,ISNA(MATCH(L322,'03-آذار'!$L$2:$L$501,0))),"محذوف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IF(L323="","",IF($AO$1=1,IFERROR(MATCH(L323,'01-كانون الثاني'!$L$2:$L$501,0),0),0))</f>
        <v/>
      </c>
      <c r="W323" t="str">
        <f t="shared" si="111"/>
        <v/>
      </c>
      <c r="X323" s="38" t="str">
        <f>IF(L323="","",IF(V323&gt;0,INDEX('01-كانون الثاني'!$P$2:$P$501,V323),IF($AO$1=1,0,"")))</f>
        <v/>
      </c>
      <c r="Y323" s="38" t="str">
        <f t="shared" si="112"/>
        <v/>
      </c>
      <c r="Z323" s="39" t="str">
        <f>IF(L323="","",IF(V323&gt;0,INDEX('01-كانون الثاني'!$Q$2:$Q$501,V323),IF($AO$1=1,0,"")))</f>
        <v/>
      </c>
      <c r="AA323" s="39" t="str">
        <f t="shared" si="113"/>
        <v/>
      </c>
      <c r="AB323" s="40" t="str">
        <f>IF(OR(L323="",V323=0),"",IF(AND(N(I323)&gt;0,N(INDEX('01-كانون الثاني'!$I$2:$I$501,V323))&gt;0,INDEX('01-كانون الثاني'!$F$2:$F$501,V323)=F323),N(I323)/N(INDEX('01-كانون الثاني'!$I$2:$I$501,V323))-1,""))</f>
        <v/>
      </c>
      <c r="AC323" t="str">
        <f>IF(L323="","",IF(AND($AO$2=1,ISNA(MATCH(L323,'03-آذار'!$L$2:$L$501,0))),"محذوف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IF(L324="","",IF($AO$1=1,IFERROR(MATCH(L324,'01-كانون الثاني'!$L$2:$L$501,0),0),0))</f>
        <v/>
      </c>
      <c r="W324" t="str">
        <f t="shared" si="111"/>
        <v/>
      </c>
      <c r="X324" s="38" t="str">
        <f>IF(L324="","",IF(V324&gt;0,INDEX('01-كانون الثاني'!$P$2:$P$501,V324),IF($AO$1=1,0,"")))</f>
        <v/>
      </c>
      <c r="Y324" s="38" t="str">
        <f t="shared" si="112"/>
        <v/>
      </c>
      <c r="Z324" s="39" t="str">
        <f>IF(L324="","",IF(V324&gt;0,INDEX('01-كانون الثاني'!$Q$2:$Q$501,V324),IF($AO$1=1,0,"")))</f>
        <v/>
      </c>
      <c r="AA324" s="39" t="str">
        <f t="shared" si="113"/>
        <v/>
      </c>
      <c r="AB324" s="40" t="str">
        <f>IF(OR(L324="",V324=0),"",IF(AND(N(I324)&gt;0,N(INDEX('01-كانون الثاني'!$I$2:$I$501,V324))&gt;0,INDEX('01-كانون الثاني'!$F$2:$F$501,V324)=F324),N(I324)/N(INDEX('01-كانون الثاني'!$I$2:$I$501,V324))-1,""))</f>
        <v/>
      </c>
      <c r="AC324" t="str">
        <f>IF(L324="","",IF(AND($AO$2=1,ISNA(MATCH(L324,'03-آذار'!$L$2:$L$501,0))),"محذوف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IF(L325="","",IF($AO$1=1,IFERROR(MATCH(L325,'01-كانون الثاني'!$L$2:$L$501,0),0),0))</f>
        <v/>
      </c>
      <c r="W325" t="str">
        <f t="shared" si="111"/>
        <v/>
      </c>
      <c r="X325" s="38" t="str">
        <f>IF(L325="","",IF(V325&gt;0,INDEX('01-كانون الثاني'!$P$2:$P$501,V325),IF($AO$1=1,0,"")))</f>
        <v/>
      </c>
      <c r="Y325" s="38" t="str">
        <f t="shared" si="112"/>
        <v/>
      </c>
      <c r="Z325" s="39" t="str">
        <f>IF(L325="","",IF(V325&gt;0,INDEX('01-كانون الثاني'!$Q$2:$Q$501,V325),IF($AO$1=1,0,"")))</f>
        <v/>
      </c>
      <c r="AA325" s="39" t="str">
        <f t="shared" si="113"/>
        <v/>
      </c>
      <c r="AB325" s="40" t="str">
        <f>IF(OR(L325="",V325=0),"",IF(AND(N(I325)&gt;0,N(INDEX('01-كانون الثاني'!$I$2:$I$501,V325))&gt;0,INDEX('01-كانون الثاني'!$F$2:$F$501,V325)=F325),N(I325)/N(INDEX('01-كانون الثاني'!$I$2:$I$501,V325))-1,""))</f>
        <v/>
      </c>
      <c r="AC325" t="str">
        <f>IF(L325="","",IF(AND($AO$2=1,ISNA(MATCH(L325,'03-آذار'!$L$2:$L$501,0))),"محذوف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IF(L326="","",IF($AO$1=1,IFERROR(MATCH(L326,'01-كانون الثاني'!$L$2:$L$501,0),0),0))</f>
        <v/>
      </c>
      <c r="W326" t="str">
        <f t="shared" si="111"/>
        <v/>
      </c>
      <c r="X326" s="38" t="str">
        <f>IF(L326="","",IF(V326&gt;0,INDEX('01-كانون الثاني'!$P$2:$P$501,V326),IF($AO$1=1,0,"")))</f>
        <v/>
      </c>
      <c r="Y326" s="38" t="str">
        <f t="shared" si="112"/>
        <v/>
      </c>
      <c r="Z326" s="39" t="str">
        <f>IF(L326="","",IF(V326&gt;0,INDEX('01-كانون الثاني'!$Q$2:$Q$501,V326),IF($AO$1=1,0,"")))</f>
        <v/>
      </c>
      <c r="AA326" s="39" t="str">
        <f t="shared" si="113"/>
        <v/>
      </c>
      <c r="AB326" s="40" t="str">
        <f>IF(OR(L326="",V326=0),"",IF(AND(N(I326)&gt;0,N(INDEX('01-كانون الثاني'!$I$2:$I$501,V326))&gt;0,INDEX('01-كانون الثاني'!$F$2:$F$501,V326)=F326),N(I326)/N(INDEX('01-كانون الثاني'!$I$2:$I$501,V326))-1,""))</f>
        <v/>
      </c>
      <c r="AC326" t="str">
        <f>IF(L326="","",IF(AND($AO$2=1,ISNA(MATCH(L326,'03-آذار'!$L$2:$L$501,0))),"محذوف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IF(L327="","",IF($AO$1=1,IFERROR(MATCH(L327,'01-كانون الثاني'!$L$2:$L$501,0),0),0))</f>
        <v/>
      </c>
      <c r="W327" t="str">
        <f t="shared" si="111"/>
        <v/>
      </c>
      <c r="X327" s="38" t="str">
        <f>IF(L327="","",IF(V327&gt;0,INDEX('01-كانون الثاني'!$P$2:$P$501,V327),IF($AO$1=1,0,"")))</f>
        <v/>
      </c>
      <c r="Y327" s="38" t="str">
        <f t="shared" si="112"/>
        <v/>
      </c>
      <c r="Z327" s="39" t="str">
        <f>IF(L327="","",IF(V327&gt;0,INDEX('01-كانون الثاني'!$Q$2:$Q$501,V327),IF($AO$1=1,0,"")))</f>
        <v/>
      </c>
      <c r="AA327" s="39" t="str">
        <f t="shared" si="113"/>
        <v/>
      </c>
      <c r="AB327" s="40" t="str">
        <f>IF(OR(L327="",V327=0),"",IF(AND(N(I327)&gt;0,N(INDEX('01-كانون الثاني'!$I$2:$I$501,V327))&gt;0,INDEX('01-كانون الثاني'!$F$2:$F$501,V327)=F327),N(I327)/N(INDEX('01-كانون الثاني'!$I$2:$I$501,V327))-1,""))</f>
        <v/>
      </c>
      <c r="AC327" t="str">
        <f>IF(L327="","",IF(AND($AO$2=1,ISNA(MATCH(L327,'03-آذار'!$L$2:$L$501,0))),"محذوف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IF(L328="","",IF($AO$1=1,IFERROR(MATCH(L328,'01-كانون الثاني'!$L$2:$L$501,0),0),0))</f>
        <v/>
      </c>
      <c r="W328" t="str">
        <f t="shared" si="111"/>
        <v/>
      </c>
      <c r="X328" s="38" t="str">
        <f>IF(L328="","",IF(V328&gt;0,INDEX('01-كانون الثاني'!$P$2:$P$501,V328),IF($AO$1=1,0,"")))</f>
        <v/>
      </c>
      <c r="Y328" s="38" t="str">
        <f t="shared" si="112"/>
        <v/>
      </c>
      <c r="Z328" s="39" t="str">
        <f>IF(L328="","",IF(V328&gt;0,INDEX('01-كانون الثاني'!$Q$2:$Q$501,V328),IF($AO$1=1,0,"")))</f>
        <v/>
      </c>
      <c r="AA328" s="39" t="str">
        <f t="shared" si="113"/>
        <v/>
      </c>
      <c r="AB328" s="40" t="str">
        <f>IF(OR(L328="",V328=0),"",IF(AND(N(I328)&gt;0,N(INDEX('01-كانون الثاني'!$I$2:$I$501,V328))&gt;0,INDEX('01-كانون الثاني'!$F$2:$F$501,V328)=F328),N(I328)/N(INDEX('01-كانون الثاني'!$I$2:$I$501,V328))-1,""))</f>
        <v/>
      </c>
      <c r="AC328" t="str">
        <f>IF(L328="","",IF(AND($AO$2=1,ISNA(MATCH(L328,'03-آذار'!$L$2:$L$501,0))),"محذوف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IF(L329="","",IF($AO$1=1,IFERROR(MATCH(L329,'01-كانون الثاني'!$L$2:$L$501,0),0),0))</f>
        <v/>
      </c>
      <c r="W329" t="str">
        <f t="shared" si="111"/>
        <v/>
      </c>
      <c r="X329" s="38" t="str">
        <f>IF(L329="","",IF(V329&gt;0,INDEX('01-كانون الثاني'!$P$2:$P$501,V329),IF($AO$1=1,0,"")))</f>
        <v/>
      </c>
      <c r="Y329" s="38" t="str">
        <f t="shared" si="112"/>
        <v/>
      </c>
      <c r="Z329" s="39" t="str">
        <f>IF(L329="","",IF(V329&gt;0,INDEX('01-كانون الثاني'!$Q$2:$Q$501,V329),IF($AO$1=1,0,"")))</f>
        <v/>
      </c>
      <c r="AA329" s="39" t="str">
        <f t="shared" si="113"/>
        <v/>
      </c>
      <c r="AB329" s="40" t="str">
        <f>IF(OR(L329="",V329=0),"",IF(AND(N(I329)&gt;0,N(INDEX('01-كانون الثاني'!$I$2:$I$501,V329))&gt;0,INDEX('01-كانون الثاني'!$F$2:$F$501,V329)=F329),N(I329)/N(INDEX('01-كانون الثاني'!$I$2:$I$501,V329))-1,""))</f>
        <v/>
      </c>
      <c r="AC329" t="str">
        <f>IF(L329="","",IF(AND($AO$2=1,ISNA(MATCH(L329,'03-آذار'!$L$2:$L$501,0))),"محذوف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IF(L330="","",IF($AO$1=1,IFERROR(MATCH(L330,'01-كانون الثاني'!$L$2:$L$501,0),0),0))</f>
        <v/>
      </c>
      <c r="W330" t="str">
        <f t="shared" si="111"/>
        <v/>
      </c>
      <c r="X330" s="38" t="str">
        <f>IF(L330="","",IF(V330&gt;0,INDEX('01-كانون الثاني'!$P$2:$P$501,V330),IF($AO$1=1,0,"")))</f>
        <v/>
      </c>
      <c r="Y330" s="38" t="str">
        <f t="shared" si="112"/>
        <v/>
      </c>
      <c r="Z330" s="39" t="str">
        <f>IF(L330="","",IF(V330&gt;0,INDEX('01-كانون الثاني'!$Q$2:$Q$501,V330),IF($AO$1=1,0,"")))</f>
        <v/>
      </c>
      <c r="AA330" s="39" t="str">
        <f t="shared" si="113"/>
        <v/>
      </c>
      <c r="AB330" s="40" t="str">
        <f>IF(OR(L330="",V330=0),"",IF(AND(N(I330)&gt;0,N(INDEX('01-كانون الثاني'!$I$2:$I$501,V330))&gt;0,INDEX('01-كانون الثاني'!$F$2:$F$501,V330)=F330),N(I330)/N(INDEX('01-كانون الثاني'!$I$2:$I$501,V330))-1,""))</f>
        <v/>
      </c>
      <c r="AC330" t="str">
        <f>IF(L330="","",IF(AND($AO$2=1,ISNA(MATCH(L330,'03-آذار'!$L$2:$L$501,0))),"محذوف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IF(L331="","",IF($AO$1=1,IFERROR(MATCH(L331,'01-كانون الثاني'!$L$2:$L$501,0),0),0))</f>
        <v/>
      </c>
      <c r="W331" t="str">
        <f t="shared" si="111"/>
        <v/>
      </c>
      <c r="X331" s="38" t="str">
        <f>IF(L331="","",IF(V331&gt;0,INDEX('01-كانون الثاني'!$P$2:$P$501,V331),IF($AO$1=1,0,"")))</f>
        <v/>
      </c>
      <c r="Y331" s="38" t="str">
        <f t="shared" si="112"/>
        <v/>
      </c>
      <c r="Z331" s="39" t="str">
        <f>IF(L331="","",IF(V331&gt;0,INDEX('01-كانون الثاني'!$Q$2:$Q$501,V331),IF($AO$1=1,0,"")))</f>
        <v/>
      </c>
      <c r="AA331" s="39" t="str">
        <f t="shared" si="113"/>
        <v/>
      </c>
      <c r="AB331" s="40" t="str">
        <f>IF(OR(L331="",V331=0),"",IF(AND(N(I331)&gt;0,N(INDEX('01-كانون الثاني'!$I$2:$I$501,V331))&gt;0,INDEX('01-كانون الثاني'!$F$2:$F$501,V331)=F331),N(I331)/N(INDEX('01-كانون الثاني'!$I$2:$I$501,V331))-1,""))</f>
        <v/>
      </c>
      <c r="AC331" t="str">
        <f>IF(L331="","",IF(AND($AO$2=1,ISNA(MATCH(L331,'03-آذار'!$L$2:$L$501,0))),"محذوف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IF(L332="","",IF($AO$1=1,IFERROR(MATCH(L332,'01-كانون الثاني'!$L$2:$L$501,0),0),0))</f>
        <v/>
      </c>
      <c r="W332" t="str">
        <f t="shared" si="111"/>
        <v/>
      </c>
      <c r="X332" s="38" t="str">
        <f>IF(L332="","",IF(V332&gt;0,INDEX('01-كانون الثاني'!$P$2:$P$501,V332),IF($AO$1=1,0,"")))</f>
        <v/>
      </c>
      <c r="Y332" s="38" t="str">
        <f t="shared" si="112"/>
        <v/>
      </c>
      <c r="Z332" s="39" t="str">
        <f>IF(L332="","",IF(V332&gt;0,INDEX('01-كانون الثاني'!$Q$2:$Q$501,V332),IF($AO$1=1,0,"")))</f>
        <v/>
      </c>
      <c r="AA332" s="39" t="str">
        <f t="shared" si="113"/>
        <v/>
      </c>
      <c r="AB332" s="40" t="str">
        <f>IF(OR(L332="",V332=0),"",IF(AND(N(I332)&gt;0,N(INDEX('01-كانون الثاني'!$I$2:$I$501,V332))&gt;0,INDEX('01-كانون الثاني'!$F$2:$F$501,V332)=F332),N(I332)/N(INDEX('01-كانون الثاني'!$I$2:$I$501,V332))-1,""))</f>
        <v/>
      </c>
      <c r="AC332" t="str">
        <f>IF(L332="","",IF(AND($AO$2=1,ISNA(MATCH(L332,'03-آذار'!$L$2:$L$501,0))),"محذوف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IF(L333="","",IF($AO$1=1,IFERROR(MATCH(L333,'01-كانون الثاني'!$L$2:$L$501,0),0),0))</f>
        <v/>
      </c>
      <c r="W333" t="str">
        <f t="shared" si="111"/>
        <v/>
      </c>
      <c r="X333" s="38" t="str">
        <f>IF(L333="","",IF(V333&gt;0,INDEX('01-كانون الثاني'!$P$2:$P$501,V333),IF($AO$1=1,0,"")))</f>
        <v/>
      </c>
      <c r="Y333" s="38" t="str">
        <f t="shared" si="112"/>
        <v/>
      </c>
      <c r="Z333" s="39" t="str">
        <f>IF(L333="","",IF(V333&gt;0,INDEX('01-كانون الثاني'!$Q$2:$Q$501,V333),IF($AO$1=1,0,"")))</f>
        <v/>
      </c>
      <c r="AA333" s="39" t="str">
        <f t="shared" si="113"/>
        <v/>
      </c>
      <c r="AB333" s="40" t="str">
        <f>IF(OR(L333="",V333=0),"",IF(AND(N(I333)&gt;0,N(INDEX('01-كانون الثاني'!$I$2:$I$501,V333))&gt;0,INDEX('01-كانون الثاني'!$F$2:$F$501,V333)=F333),N(I333)/N(INDEX('01-كانون الثاني'!$I$2:$I$501,V333))-1,""))</f>
        <v/>
      </c>
      <c r="AC333" t="str">
        <f>IF(L333="","",IF(AND($AO$2=1,ISNA(MATCH(L333,'03-آذار'!$L$2:$L$501,0))),"محذوف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IF(L334="","",IF($AO$1=1,IFERROR(MATCH(L334,'01-كانون الثاني'!$L$2:$L$501,0),0),0))</f>
        <v/>
      </c>
      <c r="W334" t="str">
        <f t="shared" si="111"/>
        <v/>
      </c>
      <c r="X334" s="38" t="str">
        <f>IF(L334="","",IF(V334&gt;0,INDEX('01-كانون الثاني'!$P$2:$P$501,V334),IF($AO$1=1,0,"")))</f>
        <v/>
      </c>
      <c r="Y334" s="38" t="str">
        <f t="shared" si="112"/>
        <v/>
      </c>
      <c r="Z334" s="39" t="str">
        <f>IF(L334="","",IF(V334&gt;0,INDEX('01-كانون الثاني'!$Q$2:$Q$501,V334),IF($AO$1=1,0,"")))</f>
        <v/>
      </c>
      <c r="AA334" s="39" t="str">
        <f t="shared" si="113"/>
        <v/>
      </c>
      <c r="AB334" s="40" t="str">
        <f>IF(OR(L334="",V334=0),"",IF(AND(N(I334)&gt;0,N(INDEX('01-كانون الثاني'!$I$2:$I$501,V334))&gt;0,INDEX('01-كانون الثاني'!$F$2:$F$501,V334)=F334),N(I334)/N(INDEX('01-كانون الثاني'!$I$2:$I$501,V334))-1,""))</f>
        <v/>
      </c>
      <c r="AC334" t="str">
        <f>IF(L334="","",IF(AND($AO$2=1,ISNA(MATCH(L334,'03-آذار'!$L$2:$L$501,0))),"محذوف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IF(L335="","",IF($AO$1=1,IFERROR(MATCH(L335,'01-كانون الثاني'!$L$2:$L$501,0),0),0))</f>
        <v/>
      </c>
      <c r="W335" t="str">
        <f t="shared" si="111"/>
        <v/>
      </c>
      <c r="X335" s="38" t="str">
        <f>IF(L335="","",IF(V335&gt;0,INDEX('01-كانون الثاني'!$P$2:$P$501,V335),IF($AO$1=1,0,"")))</f>
        <v/>
      </c>
      <c r="Y335" s="38" t="str">
        <f t="shared" si="112"/>
        <v/>
      </c>
      <c r="Z335" s="39" t="str">
        <f>IF(L335="","",IF(V335&gt;0,INDEX('01-كانون الثاني'!$Q$2:$Q$501,V335),IF($AO$1=1,0,"")))</f>
        <v/>
      </c>
      <c r="AA335" s="39" t="str">
        <f t="shared" si="113"/>
        <v/>
      </c>
      <c r="AB335" s="40" t="str">
        <f>IF(OR(L335="",V335=0),"",IF(AND(N(I335)&gt;0,N(INDEX('01-كانون الثاني'!$I$2:$I$501,V335))&gt;0,INDEX('01-كانون الثاني'!$F$2:$F$501,V335)=F335),N(I335)/N(INDEX('01-كانون الثاني'!$I$2:$I$501,V335))-1,""))</f>
        <v/>
      </c>
      <c r="AC335" t="str">
        <f>IF(L335="","",IF(AND($AO$2=1,ISNA(MATCH(L335,'03-آذار'!$L$2:$L$501,0))),"محذوف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IF(L336="","",IF($AO$1=1,IFERROR(MATCH(L336,'01-كانون الثاني'!$L$2:$L$501,0),0),0))</f>
        <v/>
      </c>
      <c r="W336" t="str">
        <f t="shared" si="111"/>
        <v/>
      </c>
      <c r="X336" s="38" t="str">
        <f>IF(L336="","",IF(V336&gt;0,INDEX('01-كانون الثاني'!$P$2:$P$501,V336),IF($AO$1=1,0,"")))</f>
        <v/>
      </c>
      <c r="Y336" s="38" t="str">
        <f t="shared" si="112"/>
        <v/>
      </c>
      <c r="Z336" s="39" t="str">
        <f>IF(L336="","",IF(V336&gt;0,INDEX('01-كانون الثاني'!$Q$2:$Q$501,V336),IF($AO$1=1,0,"")))</f>
        <v/>
      </c>
      <c r="AA336" s="39" t="str">
        <f t="shared" si="113"/>
        <v/>
      </c>
      <c r="AB336" s="40" t="str">
        <f>IF(OR(L336="",V336=0),"",IF(AND(N(I336)&gt;0,N(INDEX('01-كانون الثاني'!$I$2:$I$501,V336))&gt;0,INDEX('01-كانون الثاني'!$F$2:$F$501,V336)=F336),N(I336)/N(INDEX('01-كانون الثاني'!$I$2:$I$501,V336))-1,""))</f>
        <v/>
      </c>
      <c r="AC336" t="str">
        <f>IF(L336="","",IF(AND($AO$2=1,ISNA(MATCH(L336,'03-آذار'!$L$2:$L$501,0))),"محذوف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IF(L337="","",IF($AO$1=1,IFERROR(MATCH(L337,'01-كانون الثاني'!$L$2:$L$501,0),0),0))</f>
        <v/>
      </c>
      <c r="W337" t="str">
        <f t="shared" si="111"/>
        <v/>
      </c>
      <c r="X337" s="38" t="str">
        <f>IF(L337="","",IF(V337&gt;0,INDEX('01-كانون الثاني'!$P$2:$P$501,V337),IF($AO$1=1,0,"")))</f>
        <v/>
      </c>
      <c r="Y337" s="38" t="str">
        <f t="shared" si="112"/>
        <v/>
      </c>
      <c r="Z337" s="39" t="str">
        <f>IF(L337="","",IF(V337&gt;0,INDEX('01-كانون الثاني'!$Q$2:$Q$501,V337),IF($AO$1=1,0,"")))</f>
        <v/>
      </c>
      <c r="AA337" s="39" t="str">
        <f t="shared" si="113"/>
        <v/>
      </c>
      <c r="AB337" s="40" t="str">
        <f>IF(OR(L337="",V337=0),"",IF(AND(N(I337)&gt;0,N(INDEX('01-كانون الثاني'!$I$2:$I$501,V337))&gt;0,INDEX('01-كانون الثاني'!$F$2:$F$501,V337)=F337),N(I337)/N(INDEX('01-كانون الثاني'!$I$2:$I$501,V337))-1,""))</f>
        <v/>
      </c>
      <c r="AC337" t="str">
        <f>IF(L337="","",IF(AND($AO$2=1,ISNA(MATCH(L337,'03-آذار'!$L$2:$L$501,0))),"محذوف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IF(L338="","",IF($AO$1=1,IFERROR(MATCH(L338,'01-كانون الثاني'!$L$2:$L$501,0),0),0))</f>
        <v/>
      </c>
      <c r="W338" t="str">
        <f t="shared" si="111"/>
        <v/>
      </c>
      <c r="X338" s="38" t="str">
        <f>IF(L338="","",IF(V338&gt;0,INDEX('01-كانون الثاني'!$P$2:$P$501,V338),IF($AO$1=1,0,"")))</f>
        <v/>
      </c>
      <c r="Y338" s="38" t="str">
        <f t="shared" si="112"/>
        <v/>
      </c>
      <c r="Z338" s="39" t="str">
        <f>IF(L338="","",IF(V338&gt;0,INDEX('01-كانون الثاني'!$Q$2:$Q$501,V338),IF($AO$1=1,0,"")))</f>
        <v/>
      </c>
      <c r="AA338" s="39" t="str">
        <f t="shared" si="113"/>
        <v/>
      </c>
      <c r="AB338" s="40" t="str">
        <f>IF(OR(L338="",V338=0),"",IF(AND(N(I338)&gt;0,N(INDEX('01-كانون الثاني'!$I$2:$I$501,V338))&gt;0,INDEX('01-كانون الثاني'!$F$2:$F$501,V338)=F338),N(I338)/N(INDEX('01-كانون الثاني'!$I$2:$I$501,V338))-1,""))</f>
        <v/>
      </c>
      <c r="AC338" t="str">
        <f>IF(L338="","",IF(AND($AO$2=1,ISNA(MATCH(L338,'03-آذار'!$L$2:$L$501,0))),"محذوف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IF(L339="","",IF($AO$1=1,IFERROR(MATCH(L339,'01-كانون الثاني'!$L$2:$L$501,0),0),0))</f>
        <v/>
      </c>
      <c r="W339" t="str">
        <f t="shared" si="111"/>
        <v/>
      </c>
      <c r="X339" s="38" t="str">
        <f>IF(L339="","",IF(V339&gt;0,INDEX('01-كانون الثاني'!$P$2:$P$501,V339),IF($AO$1=1,0,"")))</f>
        <v/>
      </c>
      <c r="Y339" s="38" t="str">
        <f t="shared" si="112"/>
        <v/>
      </c>
      <c r="Z339" s="39" t="str">
        <f>IF(L339="","",IF(V339&gt;0,INDEX('01-كانون الثاني'!$Q$2:$Q$501,V339),IF($AO$1=1,0,"")))</f>
        <v/>
      </c>
      <c r="AA339" s="39" t="str">
        <f t="shared" si="113"/>
        <v/>
      </c>
      <c r="AB339" s="40" t="str">
        <f>IF(OR(L339="",V339=0),"",IF(AND(N(I339)&gt;0,N(INDEX('01-كانون الثاني'!$I$2:$I$501,V339))&gt;0,INDEX('01-كانون الثاني'!$F$2:$F$501,V339)=F339),N(I339)/N(INDEX('01-كانون الثاني'!$I$2:$I$501,V339))-1,""))</f>
        <v/>
      </c>
      <c r="AC339" t="str">
        <f>IF(L339="","",IF(AND($AO$2=1,ISNA(MATCH(L339,'03-آذار'!$L$2:$L$501,0))),"محذوف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IF(L340="","",IF($AO$1=1,IFERROR(MATCH(L340,'01-كانون الثاني'!$L$2:$L$501,0),0),0))</f>
        <v/>
      </c>
      <c r="W340" t="str">
        <f t="shared" si="111"/>
        <v/>
      </c>
      <c r="X340" s="38" t="str">
        <f>IF(L340="","",IF(V340&gt;0,INDEX('01-كانون الثاني'!$P$2:$P$501,V340),IF($AO$1=1,0,"")))</f>
        <v/>
      </c>
      <c r="Y340" s="38" t="str">
        <f t="shared" si="112"/>
        <v/>
      </c>
      <c r="Z340" s="39" t="str">
        <f>IF(L340="","",IF(V340&gt;0,INDEX('01-كانون الثاني'!$Q$2:$Q$501,V340),IF($AO$1=1,0,"")))</f>
        <v/>
      </c>
      <c r="AA340" s="39" t="str">
        <f t="shared" si="113"/>
        <v/>
      </c>
      <c r="AB340" s="40" t="str">
        <f>IF(OR(L340="",V340=0),"",IF(AND(N(I340)&gt;0,N(INDEX('01-كانون الثاني'!$I$2:$I$501,V340))&gt;0,INDEX('01-كانون الثاني'!$F$2:$F$501,V340)=F340),N(I340)/N(INDEX('01-كانون الثاني'!$I$2:$I$501,V340))-1,""))</f>
        <v/>
      </c>
      <c r="AC340" t="str">
        <f>IF(L340="","",IF(AND($AO$2=1,ISNA(MATCH(L340,'03-آذار'!$L$2:$L$501,0))),"محذوف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IF(L341="","",IF($AO$1=1,IFERROR(MATCH(L341,'01-كانون الثاني'!$L$2:$L$501,0),0),0))</f>
        <v/>
      </c>
      <c r="W341" t="str">
        <f t="shared" si="111"/>
        <v/>
      </c>
      <c r="X341" s="38" t="str">
        <f>IF(L341="","",IF(V341&gt;0,INDEX('01-كانون الثاني'!$P$2:$P$501,V341),IF($AO$1=1,0,"")))</f>
        <v/>
      </c>
      <c r="Y341" s="38" t="str">
        <f t="shared" si="112"/>
        <v/>
      </c>
      <c r="Z341" s="39" t="str">
        <f>IF(L341="","",IF(V341&gt;0,INDEX('01-كانون الثاني'!$Q$2:$Q$501,V341),IF($AO$1=1,0,"")))</f>
        <v/>
      </c>
      <c r="AA341" s="39" t="str">
        <f t="shared" si="113"/>
        <v/>
      </c>
      <c r="AB341" s="40" t="str">
        <f>IF(OR(L341="",V341=0),"",IF(AND(N(I341)&gt;0,N(INDEX('01-كانون الثاني'!$I$2:$I$501,V341))&gt;0,INDEX('01-كانون الثاني'!$F$2:$F$501,V341)=F341),N(I341)/N(INDEX('01-كانون الثاني'!$I$2:$I$501,V341))-1,""))</f>
        <v/>
      </c>
      <c r="AC341" t="str">
        <f>IF(L341="","",IF(AND($AO$2=1,ISNA(MATCH(L341,'03-آذار'!$L$2:$L$501,0))),"محذوف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IF(L342="","",IF($AO$1=1,IFERROR(MATCH(L342,'01-كانون الثاني'!$L$2:$L$501,0),0),0))</f>
        <v/>
      </c>
      <c r="W342" t="str">
        <f t="shared" si="111"/>
        <v/>
      </c>
      <c r="X342" s="38" t="str">
        <f>IF(L342="","",IF(V342&gt;0,INDEX('01-كانون الثاني'!$P$2:$P$501,V342),IF($AO$1=1,0,"")))</f>
        <v/>
      </c>
      <c r="Y342" s="38" t="str">
        <f t="shared" si="112"/>
        <v/>
      </c>
      <c r="Z342" s="39" t="str">
        <f>IF(L342="","",IF(V342&gt;0,INDEX('01-كانون الثاني'!$Q$2:$Q$501,V342),IF($AO$1=1,0,"")))</f>
        <v/>
      </c>
      <c r="AA342" s="39" t="str">
        <f t="shared" si="113"/>
        <v/>
      </c>
      <c r="AB342" s="40" t="str">
        <f>IF(OR(L342="",V342=0),"",IF(AND(N(I342)&gt;0,N(INDEX('01-كانون الثاني'!$I$2:$I$501,V342))&gt;0,INDEX('01-كانون الثاني'!$F$2:$F$501,V342)=F342),N(I342)/N(INDEX('01-كانون الثاني'!$I$2:$I$501,V342))-1,""))</f>
        <v/>
      </c>
      <c r="AC342" t="str">
        <f>IF(L342="","",IF(AND($AO$2=1,ISNA(MATCH(L342,'03-آذار'!$L$2:$L$501,0))),"محذوف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IF(L343="","",IF($AO$1=1,IFERROR(MATCH(L343,'01-كانون الثاني'!$L$2:$L$501,0),0),0))</f>
        <v/>
      </c>
      <c r="W343" t="str">
        <f t="shared" si="111"/>
        <v/>
      </c>
      <c r="X343" s="38" t="str">
        <f>IF(L343="","",IF(V343&gt;0,INDEX('01-كانون الثاني'!$P$2:$P$501,V343),IF($AO$1=1,0,"")))</f>
        <v/>
      </c>
      <c r="Y343" s="38" t="str">
        <f t="shared" si="112"/>
        <v/>
      </c>
      <c r="Z343" s="39" t="str">
        <f>IF(L343="","",IF(V343&gt;0,INDEX('01-كانون الثاني'!$Q$2:$Q$501,V343),IF($AO$1=1,0,"")))</f>
        <v/>
      </c>
      <c r="AA343" s="39" t="str">
        <f t="shared" si="113"/>
        <v/>
      </c>
      <c r="AB343" s="40" t="str">
        <f>IF(OR(L343="",V343=0),"",IF(AND(N(I343)&gt;0,N(INDEX('01-كانون الثاني'!$I$2:$I$501,V343))&gt;0,INDEX('01-كانون الثاني'!$F$2:$F$501,V343)=F343),N(I343)/N(INDEX('01-كانون الثاني'!$I$2:$I$501,V343))-1,""))</f>
        <v/>
      </c>
      <c r="AC343" t="str">
        <f>IF(L343="","",IF(AND($AO$2=1,ISNA(MATCH(L343,'03-آذار'!$L$2:$L$501,0))),"محذوف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IF(L344="","",IF($AO$1=1,IFERROR(MATCH(L344,'01-كانون الثاني'!$L$2:$L$501,0),0),0))</f>
        <v/>
      </c>
      <c r="W344" t="str">
        <f t="shared" si="111"/>
        <v/>
      </c>
      <c r="X344" s="38" t="str">
        <f>IF(L344="","",IF(V344&gt;0,INDEX('01-كانون الثاني'!$P$2:$P$501,V344),IF($AO$1=1,0,"")))</f>
        <v/>
      </c>
      <c r="Y344" s="38" t="str">
        <f t="shared" si="112"/>
        <v/>
      </c>
      <c r="Z344" s="39" t="str">
        <f>IF(L344="","",IF(V344&gt;0,INDEX('01-كانون الثاني'!$Q$2:$Q$501,V344),IF($AO$1=1,0,"")))</f>
        <v/>
      </c>
      <c r="AA344" s="39" t="str">
        <f t="shared" si="113"/>
        <v/>
      </c>
      <c r="AB344" s="40" t="str">
        <f>IF(OR(L344="",V344=0),"",IF(AND(N(I344)&gt;0,N(INDEX('01-كانون الثاني'!$I$2:$I$501,V344))&gt;0,INDEX('01-كانون الثاني'!$F$2:$F$501,V344)=F344),N(I344)/N(INDEX('01-كانون الثاني'!$I$2:$I$501,V344))-1,""))</f>
        <v/>
      </c>
      <c r="AC344" t="str">
        <f>IF(L344="","",IF(AND($AO$2=1,ISNA(MATCH(L344,'03-آذار'!$L$2:$L$501,0))),"محذوف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IF(L345="","",IF($AO$1=1,IFERROR(MATCH(L345,'01-كانون الثاني'!$L$2:$L$501,0),0),0))</f>
        <v/>
      </c>
      <c r="W345" t="str">
        <f t="shared" si="111"/>
        <v/>
      </c>
      <c r="X345" s="38" t="str">
        <f>IF(L345="","",IF(V345&gt;0,INDEX('01-كانون الثاني'!$P$2:$P$501,V345),IF($AO$1=1,0,"")))</f>
        <v/>
      </c>
      <c r="Y345" s="38" t="str">
        <f t="shared" si="112"/>
        <v/>
      </c>
      <c r="Z345" s="39" t="str">
        <f>IF(L345="","",IF(V345&gt;0,INDEX('01-كانون الثاني'!$Q$2:$Q$501,V345),IF($AO$1=1,0,"")))</f>
        <v/>
      </c>
      <c r="AA345" s="39" t="str">
        <f t="shared" si="113"/>
        <v/>
      </c>
      <c r="AB345" s="40" t="str">
        <f>IF(OR(L345="",V345=0),"",IF(AND(N(I345)&gt;0,N(INDEX('01-كانون الثاني'!$I$2:$I$501,V345))&gt;0,INDEX('01-كانون الثاني'!$F$2:$F$501,V345)=F345),N(I345)/N(INDEX('01-كانون الثاني'!$I$2:$I$501,V345))-1,""))</f>
        <v/>
      </c>
      <c r="AC345" t="str">
        <f>IF(L345="","",IF(AND($AO$2=1,ISNA(MATCH(L345,'03-آذار'!$L$2:$L$501,0))),"محذوف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IF(L346="","",IF($AO$1=1,IFERROR(MATCH(L346,'01-كانون الثاني'!$L$2:$L$501,0),0),0))</f>
        <v/>
      </c>
      <c r="W346" t="str">
        <f t="shared" si="111"/>
        <v/>
      </c>
      <c r="X346" s="38" t="str">
        <f>IF(L346="","",IF(V346&gt;0,INDEX('01-كانون الثاني'!$P$2:$P$501,V346),IF($AO$1=1,0,"")))</f>
        <v/>
      </c>
      <c r="Y346" s="38" t="str">
        <f t="shared" si="112"/>
        <v/>
      </c>
      <c r="Z346" s="39" t="str">
        <f>IF(L346="","",IF(V346&gt;0,INDEX('01-كانون الثاني'!$Q$2:$Q$501,V346),IF($AO$1=1,0,"")))</f>
        <v/>
      </c>
      <c r="AA346" s="39" t="str">
        <f t="shared" si="113"/>
        <v/>
      </c>
      <c r="AB346" s="40" t="str">
        <f>IF(OR(L346="",V346=0),"",IF(AND(N(I346)&gt;0,N(INDEX('01-كانون الثاني'!$I$2:$I$501,V346))&gt;0,INDEX('01-كانون الثاني'!$F$2:$F$501,V346)=F346),N(I346)/N(INDEX('01-كانون الثاني'!$I$2:$I$501,V346))-1,""))</f>
        <v/>
      </c>
      <c r="AC346" t="str">
        <f>IF(L346="","",IF(AND($AO$2=1,ISNA(MATCH(L346,'03-آذار'!$L$2:$L$501,0))),"محذوف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IF(L347="","",IF($AO$1=1,IFERROR(MATCH(L347,'01-كانون الثاني'!$L$2:$L$501,0),0),0))</f>
        <v/>
      </c>
      <c r="W347" t="str">
        <f t="shared" si="111"/>
        <v/>
      </c>
      <c r="X347" s="38" t="str">
        <f>IF(L347="","",IF(V347&gt;0,INDEX('01-كانون الثاني'!$P$2:$P$501,V347),IF($AO$1=1,0,"")))</f>
        <v/>
      </c>
      <c r="Y347" s="38" t="str">
        <f t="shared" si="112"/>
        <v/>
      </c>
      <c r="Z347" s="39" t="str">
        <f>IF(L347="","",IF(V347&gt;0,INDEX('01-كانون الثاني'!$Q$2:$Q$501,V347),IF($AO$1=1,0,"")))</f>
        <v/>
      </c>
      <c r="AA347" s="39" t="str">
        <f t="shared" si="113"/>
        <v/>
      </c>
      <c r="AB347" s="40" t="str">
        <f>IF(OR(L347="",V347=0),"",IF(AND(N(I347)&gt;0,N(INDEX('01-كانون الثاني'!$I$2:$I$501,V347))&gt;0,INDEX('01-كانون الثاني'!$F$2:$F$501,V347)=F347),N(I347)/N(INDEX('01-كانون الثاني'!$I$2:$I$501,V347))-1,""))</f>
        <v/>
      </c>
      <c r="AC347" t="str">
        <f>IF(L347="","",IF(AND($AO$2=1,ISNA(MATCH(L347,'03-آذار'!$L$2:$L$501,0))),"محذوف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IF(L348="","",IF($AO$1=1,IFERROR(MATCH(L348,'01-كانون الثاني'!$L$2:$L$501,0),0),0))</f>
        <v/>
      </c>
      <c r="W348" t="str">
        <f t="shared" si="111"/>
        <v/>
      </c>
      <c r="X348" s="38" t="str">
        <f>IF(L348="","",IF(V348&gt;0,INDEX('01-كانون الثاني'!$P$2:$P$501,V348),IF($AO$1=1,0,"")))</f>
        <v/>
      </c>
      <c r="Y348" s="38" t="str">
        <f t="shared" si="112"/>
        <v/>
      </c>
      <c r="Z348" s="39" t="str">
        <f>IF(L348="","",IF(V348&gt;0,INDEX('01-كانون الثاني'!$Q$2:$Q$501,V348),IF($AO$1=1,0,"")))</f>
        <v/>
      </c>
      <c r="AA348" s="39" t="str">
        <f t="shared" si="113"/>
        <v/>
      </c>
      <c r="AB348" s="40" t="str">
        <f>IF(OR(L348="",V348=0),"",IF(AND(N(I348)&gt;0,N(INDEX('01-كانون الثاني'!$I$2:$I$501,V348))&gt;0,INDEX('01-كانون الثاني'!$F$2:$F$501,V348)=F348),N(I348)/N(INDEX('01-كانون الثاني'!$I$2:$I$501,V348))-1,""))</f>
        <v/>
      </c>
      <c r="AC348" t="str">
        <f>IF(L348="","",IF(AND($AO$2=1,ISNA(MATCH(L348,'03-آذار'!$L$2:$L$501,0))),"محذوف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IF(L349="","",IF($AO$1=1,IFERROR(MATCH(L349,'01-كانون الثاني'!$L$2:$L$501,0),0),0))</f>
        <v/>
      </c>
      <c r="W349" t="str">
        <f t="shared" si="111"/>
        <v/>
      </c>
      <c r="X349" s="38" t="str">
        <f>IF(L349="","",IF(V349&gt;0,INDEX('01-كانون الثاني'!$P$2:$P$501,V349),IF($AO$1=1,0,"")))</f>
        <v/>
      </c>
      <c r="Y349" s="38" t="str">
        <f t="shared" si="112"/>
        <v/>
      </c>
      <c r="Z349" s="39" t="str">
        <f>IF(L349="","",IF(V349&gt;0,INDEX('01-كانون الثاني'!$Q$2:$Q$501,V349),IF($AO$1=1,0,"")))</f>
        <v/>
      </c>
      <c r="AA349" s="39" t="str">
        <f t="shared" si="113"/>
        <v/>
      </c>
      <c r="AB349" s="40" t="str">
        <f>IF(OR(L349="",V349=0),"",IF(AND(N(I349)&gt;0,N(INDEX('01-كانون الثاني'!$I$2:$I$501,V349))&gt;0,INDEX('01-كانون الثاني'!$F$2:$F$501,V349)=F349),N(I349)/N(INDEX('01-كانون الثاني'!$I$2:$I$501,V349))-1,""))</f>
        <v/>
      </c>
      <c r="AC349" t="str">
        <f>IF(L349="","",IF(AND($AO$2=1,ISNA(MATCH(L349,'03-آذار'!$L$2:$L$501,0))),"محذوف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IF(L350="","",IF($AO$1=1,IFERROR(MATCH(L350,'01-كانون الثاني'!$L$2:$L$501,0),0),0))</f>
        <v/>
      </c>
      <c r="W350" t="str">
        <f t="shared" si="111"/>
        <v/>
      </c>
      <c r="X350" s="38" t="str">
        <f>IF(L350="","",IF(V350&gt;0,INDEX('01-كانون الثاني'!$P$2:$P$501,V350),IF($AO$1=1,0,"")))</f>
        <v/>
      </c>
      <c r="Y350" s="38" t="str">
        <f t="shared" si="112"/>
        <v/>
      </c>
      <c r="Z350" s="39" t="str">
        <f>IF(L350="","",IF(V350&gt;0,INDEX('01-كانون الثاني'!$Q$2:$Q$501,V350),IF($AO$1=1,0,"")))</f>
        <v/>
      </c>
      <c r="AA350" s="39" t="str">
        <f t="shared" si="113"/>
        <v/>
      </c>
      <c r="AB350" s="40" t="str">
        <f>IF(OR(L350="",V350=0),"",IF(AND(N(I350)&gt;0,N(INDEX('01-كانون الثاني'!$I$2:$I$501,V350))&gt;0,INDEX('01-كانون الثاني'!$F$2:$F$501,V350)=F350),N(I350)/N(INDEX('01-كانون الثاني'!$I$2:$I$501,V350))-1,""))</f>
        <v/>
      </c>
      <c r="AC350" t="str">
        <f>IF(L350="","",IF(AND($AO$2=1,ISNA(MATCH(L350,'03-آذار'!$L$2:$L$501,0))),"محذوف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IF(L351="","",IF($AO$1=1,IFERROR(MATCH(L351,'01-كانون الثاني'!$L$2:$L$501,0),0),0))</f>
        <v/>
      </c>
      <c r="W351" t="str">
        <f t="shared" si="111"/>
        <v/>
      </c>
      <c r="X351" s="38" t="str">
        <f>IF(L351="","",IF(V351&gt;0,INDEX('01-كانون الثاني'!$P$2:$P$501,V351),IF($AO$1=1,0,"")))</f>
        <v/>
      </c>
      <c r="Y351" s="38" t="str">
        <f t="shared" si="112"/>
        <v/>
      </c>
      <c r="Z351" s="39" t="str">
        <f>IF(L351="","",IF(V351&gt;0,INDEX('01-كانون الثاني'!$Q$2:$Q$501,V351),IF($AO$1=1,0,"")))</f>
        <v/>
      </c>
      <c r="AA351" s="39" t="str">
        <f t="shared" si="113"/>
        <v/>
      </c>
      <c r="AB351" s="40" t="str">
        <f>IF(OR(L351="",V351=0),"",IF(AND(N(I351)&gt;0,N(INDEX('01-كانون الثاني'!$I$2:$I$501,V351))&gt;0,INDEX('01-كانون الثاني'!$F$2:$F$501,V351)=F351),N(I351)/N(INDEX('01-كانون الثاني'!$I$2:$I$501,V351))-1,""))</f>
        <v/>
      </c>
      <c r="AC351" t="str">
        <f>IF(L351="","",IF(AND($AO$2=1,ISNA(MATCH(L351,'03-آذار'!$L$2:$L$501,0))),"محذوف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IF(L352="","",IF($AO$1=1,IFERROR(MATCH(L352,'01-كانون الثاني'!$L$2:$L$501,0),0),0))</f>
        <v/>
      </c>
      <c r="W352" t="str">
        <f t="shared" si="111"/>
        <v/>
      </c>
      <c r="X352" s="38" t="str">
        <f>IF(L352="","",IF(V352&gt;0,INDEX('01-كانون الثاني'!$P$2:$P$501,V352),IF($AO$1=1,0,"")))</f>
        <v/>
      </c>
      <c r="Y352" s="38" t="str">
        <f t="shared" si="112"/>
        <v/>
      </c>
      <c r="Z352" s="39" t="str">
        <f>IF(L352="","",IF(V352&gt;0,INDEX('01-كانون الثاني'!$Q$2:$Q$501,V352),IF($AO$1=1,0,"")))</f>
        <v/>
      </c>
      <c r="AA352" s="39" t="str">
        <f t="shared" si="113"/>
        <v/>
      </c>
      <c r="AB352" s="40" t="str">
        <f>IF(OR(L352="",V352=0),"",IF(AND(N(I352)&gt;0,N(INDEX('01-كانون الثاني'!$I$2:$I$501,V352))&gt;0,INDEX('01-كانون الثاني'!$F$2:$F$501,V352)=F352),N(I352)/N(INDEX('01-كانون الثاني'!$I$2:$I$501,V352))-1,""))</f>
        <v/>
      </c>
      <c r="AC352" t="str">
        <f>IF(L352="","",IF(AND($AO$2=1,ISNA(MATCH(L352,'03-آذار'!$L$2:$L$501,0))),"محذوف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IF(L353="","",IF($AO$1=1,IFERROR(MATCH(L353,'01-كانون الثاني'!$L$2:$L$501,0),0),0))</f>
        <v/>
      </c>
      <c r="W353" t="str">
        <f t="shared" si="111"/>
        <v/>
      </c>
      <c r="X353" s="38" t="str">
        <f>IF(L353="","",IF(V353&gt;0,INDEX('01-كانون الثاني'!$P$2:$P$501,V353),IF($AO$1=1,0,"")))</f>
        <v/>
      </c>
      <c r="Y353" s="38" t="str">
        <f t="shared" si="112"/>
        <v/>
      </c>
      <c r="Z353" s="39" t="str">
        <f>IF(L353="","",IF(V353&gt;0,INDEX('01-كانون الثاني'!$Q$2:$Q$501,V353),IF($AO$1=1,0,"")))</f>
        <v/>
      </c>
      <c r="AA353" s="39" t="str">
        <f t="shared" si="113"/>
        <v/>
      </c>
      <c r="AB353" s="40" t="str">
        <f>IF(OR(L353="",V353=0),"",IF(AND(N(I353)&gt;0,N(INDEX('01-كانون الثاني'!$I$2:$I$501,V353))&gt;0,INDEX('01-كانون الثاني'!$F$2:$F$501,V353)=F353),N(I353)/N(INDEX('01-كانون الثاني'!$I$2:$I$501,V353))-1,""))</f>
        <v/>
      </c>
      <c r="AC353" t="str">
        <f>IF(L353="","",IF(AND($AO$2=1,ISNA(MATCH(L353,'03-آذار'!$L$2:$L$501,0))),"محذوف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IF(L354="","",IF($AO$1=1,IFERROR(MATCH(L354,'01-كانون الثاني'!$L$2:$L$501,0),0),0))</f>
        <v/>
      </c>
      <c r="W354" t="str">
        <f t="shared" si="111"/>
        <v/>
      </c>
      <c r="X354" s="38" t="str">
        <f>IF(L354="","",IF(V354&gt;0,INDEX('01-كانون الثاني'!$P$2:$P$501,V354),IF($AO$1=1,0,"")))</f>
        <v/>
      </c>
      <c r="Y354" s="38" t="str">
        <f t="shared" si="112"/>
        <v/>
      </c>
      <c r="Z354" s="39" t="str">
        <f>IF(L354="","",IF(V354&gt;0,INDEX('01-كانون الثاني'!$Q$2:$Q$501,V354),IF($AO$1=1,0,"")))</f>
        <v/>
      </c>
      <c r="AA354" s="39" t="str">
        <f t="shared" si="113"/>
        <v/>
      </c>
      <c r="AB354" s="40" t="str">
        <f>IF(OR(L354="",V354=0),"",IF(AND(N(I354)&gt;0,N(INDEX('01-كانون الثاني'!$I$2:$I$501,V354))&gt;0,INDEX('01-كانون الثاني'!$F$2:$F$501,V354)=F354),N(I354)/N(INDEX('01-كانون الثاني'!$I$2:$I$501,V354))-1,""))</f>
        <v/>
      </c>
      <c r="AC354" t="str">
        <f>IF(L354="","",IF(AND($AO$2=1,ISNA(MATCH(L354,'03-آذار'!$L$2:$L$501,0))),"محذوف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IF(L355="","",IF($AO$1=1,IFERROR(MATCH(L355,'01-كانون الثاني'!$L$2:$L$501,0),0),0))</f>
        <v/>
      </c>
      <c r="W355" t="str">
        <f t="shared" si="111"/>
        <v/>
      </c>
      <c r="X355" s="38" t="str">
        <f>IF(L355="","",IF(V355&gt;0,INDEX('01-كانون الثاني'!$P$2:$P$501,V355),IF($AO$1=1,0,"")))</f>
        <v/>
      </c>
      <c r="Y355" s="38" t="str">
        <f t="shared" si="112"/>
        <v/>
      </c>
      <c r="Z355" s="39" t="str">
        <f>IF(L355="","",IF(V355&gt;0,INDEX('01-كانون الثاني'!$Q$2:$Q$501,V355),IF($AO$1=1,0,"")))</f>
        <v/>
      </c>
      <c r="AA355" s="39" t="str">
        <f t="shared" si="113"/>
        <v/>
      </c>
      <c r="AB355" s="40" t="str">
        <f>IF(OR(L355="",V355=0),"",IF(AND(N(I355)&gt;0,N(INDEX('01-كانون الثاني'!$I$2:$I$501,V355))&gt;0,INDEX('01-كانون الثاني'!$F$2:$F$501,V355)=F355),N(I355)/N(INDEX('01-كانون الثاني'!$I$2:$I$501,V355))-1,""))</f>
        <v/>
      </c>
      <c r="AC355" t="str">
        <f>IF(L355="","",IF(AND($AO$2=1,ISNA(MATCH(L355,'03-آذار'!$L$2:$L$501,0))),"محذوف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IF(L356="","",IF($AO$1=1,IFERROR(MATCH(L356,'01-كانون الثاني'!$L$2:$L$501,0),0),0))</f>
        <v/>
      </c>
      <c r="W356" t="str">
        <f t="shared" si="111"/>
        <v/>
      </c>
      <c r="X356" s="38" t="str">
        <f>IF(L356="","",IF(V356&gt;0,INDEX('01-كانون الثاني'!$P$2:$P$501,V356),IF($AO$1=1,0,"")))</f>
        <v/>
      </c>
      <c r="Y356" s="38" t="str">
        <f t="shared" si="112"/>
        <v/>
      </c>
      <c r="Z356" s="39" t="str">
        <f>IF(L356="","",IF(V356&gt;0,INDEX('01-كانون الثاني'!$Q$2:$Q$501,V356),IF($AO$1=1,0,"")))</f>
        <v/>
      </c>
      <c r="AA356" s="39" t="str">
        <f t="shared" si="113"/>
        <v/>
      </c>
      <c r="AB356" s="40" t="str">
        <f>IF(OR(L356="",V356=0),"",IF(AND(N(I356)&gt;0,N(INDEX('01-كانون الثاني'!$I$2:$I$501,V356))&gt;0,INDEX('01-كانون الثاني'!$F$2:$F$501,V356)=F356),N(I356)/N(INDEX('01-كانون الثاني'!$I$2:$I$501,V356))-1,""))</f>
        <v/>
      </c>
      <c r="AC356" t="str">
        <f>IF(L356="","",IF(AND($AO$2=1,ISNA(MATCH(L356,'03-آذار'!$L$2:$L$501,0))),"محذوف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IF(L357="","",IF($AO$1=1,IFERROR(MATCH(L357,'01-كانون الثاني'!$L$2:$L$501,0),0),0))</f>
        <v/>
      </c>
      <c r="W357" t="str">
        <f t="shared" si="111"/>
        <v/>
      </c>
      <c r="X357" s="38" t="str">
        <f>IF(L357="","",IF(V357&gt;0,INDEX('01-كانون الثاني'!$P$2:$P$501,V357),IF($AO$1=1,0,"")))</f>
        <v/>
      </c>
      <c r="Y357" s="38" t="str">
        <f t="shared" si="112"/>
        <v/>
      </c>
      <c r="Z357" s="39" t="str">
        <f>IF(L357="","",IF(V357&gt;0,INDEX('01-كانون الثاني'!$Q$2:$Q$501,V357),IF($AO$1=1,0,"")))</f>
        <v/>
      </c>
      <c r="AA357" s="39" t="str">
        <f t="shared" si="113"/>
        <v/>
      </c>
      <c r="AB357" s="40" t="str">
        <f>IF(OR(L357="",V357=0),"",IF(AND(N(I357)&gt;0,N(INDEX('01-كانون الثاني'!$I$2:$I$501,V357))&gt;0,INDEX('01-كانون الثاني'!$F$2:$F$501,V357)=F357),N(I357)/N(INDEX('01-كانون الثاني'!$I$2:$I$501,V357))-1,""))</f>
        <v/>
      </c>
      <c r="AC357" t="str">
        <f>IF(L357="","",IF(AND($AO$2=1,ISNA(MATCH(L357,'03-آذار'!$L$2:$L$501,0))),"محذوف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IF(L358="","",IF($AO$1=1,IFERROR(MATCH(L358,'01-كانون الثاني'!$L$2:$L$501,0),0),0))</f>
        <v/>
      </c>
      <c r="W358" t="str">
        <f t="shared" si="111"/>
        <v/>
      </c>
      <c r="X358" s="38" t="str">
        <f>IF(L358="","",IF(V358&gt;0,INDEX('01-كانون الثاني'!$P$2:$P$501,V358),IF($AO$1=1,0,"")))</f>
        <v/>
      </c>
      <c r="Y358" s="38" t="str">
        <f t="shared" si="112"/>
        <v/>
      </c>
      <c r="Z358" s="39" t="str">
        <f>IF(L358="","",IF(V358&gt;0,INDEX('01-كانون الثاني'!$Q$2:$Q$501,V358),IF($AO$1=1,0,"")))</f>
        <v/>
      </c>
      <c r="AA358" s="39" t="str">
        <f t="shared" si="113"/>
        <v/>
      </c>
      <c r="AB358" s="40" t="str">
        <f>IF(OR(L358="",V358=0),"",IF(AND(N(I358)&gt;0,N(INDEX('01-كانون الثاني'!$I$2:$I$501,V358))&gt;0,INDEX('01-كانون الثاني'!$F$2:$F$501,V358)=F358),N(I358)/N(INDEX('01-كانون الثاني'!$I$2:$I$501,V358))-1,""))</f>
        <v/>
      </c>
      <c r="AC358" t="str">
        <f>IF(L358="","",IF(AND($AO$2=1,ISNA(MATCH(L358,'03-آذار'!$L$2:$L$501,0))),"محذوف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IF(L359="","",IF($AO$1=1,IFERROR(MATCH(L359,'01-كانون الثاني'!$L$2:$L$501,0),0),0))</f>
        <v/>
      </c>
      <c r="W359" t="str">
        <f t="shared" si="111"/>
        <v/>
      </c>
      <c r="X359" s="38" t="str">
        <f>IF(L359="","",IF(V359&gt;0,INDEX('01-كانون الثاني'!$P$2:$P$501,V359),IF($AO$1=1,0,"")))</f>
        <v/>
      </c>
      <c r="Y359" s="38" t="str">
        <f t="shared" si="112"/>
        <v/>
      </c>
      <c r="Z359" s="39" t="str">
        <f>IF(L359="","",IF(V359&gt;0,INDEX('01-كانون الثاني'!$Q$2:$Q$501,V359),IF($AO$1=1,0,"")))</f>
        <v/>
      </c>
      <c r="AA359" s="39" t="str">
        <f t="shared" si="113"/>
        <v/>
      </c>
      <c r="AB359" s="40" t="str">
        <f>IF(OR(L359="",V359=0),"",IF(AND(N(I359)&gt;0,N(INDEX('01-كانون الثاني'!$I$2:$I$501,V359))&gt;0,INDEX('01-كانون الثاني'!$F$2:$F$501,V359)=F359),N(I359)/N(INDEX('01-كانون الثاني'!$I$2:$I$501,V359))-1,""))</f>
        <v/>
      </c>
      <c r="AC359" t="str">
        <f>IF(L359="","",IF(AND($AO$2=1,ISNA(MATCH(L359,'03-آذار'!$L$2:$L$501,0))),"محذوف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IF(L360="","",IF($AO$1=1,IFERROR(MATCH(L360,'01-كانون الثاني'!$L$2:$L$501,0),0),0))</f>
        <v/>
      </c>
      <c r="W360" t="str">
        <f t="shared" si="111"/>
        <v/>
      </c>
      <c r="X360" s="38" t="str">
        <f>IF(L360="","",IF(V360&gt;0,INDEX('01-كانون الثاني'!$P$2:$P$501,V360),IF($AO$1=1,0,"")))</f>
        <v/>
      </c>
      <c r="Y360" s="38" t="str">
        <f t="shared" si="112"/>
        <v/>
      </c>
      <c r="Z360" s="39" t="str">
        <f>IF(L360="","",IF(V360&gt;0,INDEX('01-كانون الثاني'!$Q$2:$Q$501,V360),IF($AO$1=1,0,"")))</f>
        <v/>
      </c>
      <c r="AA360" s="39" t="str">
        <f t="shared" si="113"/>
        <v/>
      </c>
      <c r="AB360" s="40" t="str">
        <f>IF(OR(L360="",V360=0),"",IF(AND(N(I360)&gt;0,N(INDEX('01-كانون الثاني'!$I$2:$I$501,V360))&gt;0,INDEX('01-كانون الثاني'!$F$2:$F$501,V360)=F360),N(I360)/N(INDEX('01-كانون الثاني'!$I$2:$I$501,V360))-1,""))</f>
        <v/>
      </c>
      <c r="AC360" t="str">
        <f>IF(L360="","",IF(AND($AO$2=1,ISNA(MATCH(L360,'03-آذار'!$L$2:$L$501,0))),"محذوف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IF(L361="","",IF($AO$1=1,IFERROR(MATCH(L361,'01-كانون الثاني'!$L$2:$L$501,0),0),0))</f>
        <v/>
      </c>
      <c r="W361" t="str">
        <f t="shared" si="111"/>
        <v/>
      </c>
      <c r="X361" s="38" t="str">
        <f>IF(L361="","",IF(V361&gt;0,INDEX('01-كانون الثاني'!$P$2:$P$501,V361),IF($AO$1=1,0,"")))</f>
        <v/>
      </c>
      <c r="Y361" s="38" t="str">
        <f t="shared" si="112"/>
        <v/>
      </c>
      <c r="Z361" s="39" t="str">
        <f>IF(L361="","",IF(V361&gt;0,INDEX('01-كانون الثاني'!$Q$2:$Q$501,V361),IF($AO$1=1,0,"")))</f>
        <v/>
      </c>
      <c r="AA361" s="39" t="str">
        <f t="shared" si="113"/>
        <v/>
      </c>
      <c r="AB361" s="40" t="str">
        <f>IF(OR(L361="",V361=0),"",IF(AND(N(I361)&gt;0,N(INDEX('01-كانون الثاني'!$I$2:$I$501,V361))&gt;0,INDEX('01-كانون الثاني'!$F$2:$F$501,V361)=F361),N(I361)/N(INDEX('01-كانون الثاني'!$I$2:$I$501,V361))-1,""))</f>
        <v/>
      </c>
      <c r="AC361" t="str">
        <f>IF(L361="","",IF(AND($AO$2=1,ISNA(MATCH(L361,'03-آذار'!$L$2:$L$501,0))),"محذوف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IF(L362="","",IF($AO$1=1,IFERROR(MATCH(L362,'01-كانون الثاني'!$L$2:$L$501,0),0),0))</f>
        <v/>
      </c>
      <c r="W362" t="str">
        <f t="shared" si="111"/>
        <v/>
      </c>
      <c r="X362" s="38" t="str">
        <f>IF(L362="","",IF(V362&gt;0,INDEX('01-كانون الثاني'!$P$2:$P$501,V362),IF($AO$1=1,0,"")))</f>
        <v/>
      </c>
      <c r="Y362" s="38" t="str">
        <f t="shared" si="112"/>
        <v/>
      </c>
      <c r="Z362" s="39" t="str">
        <f>IF(L362="","",IF(V362&gt;0,INDEX('01-كانون الثاني'!$Q$2:$Q$501,V362),IF($AO$1=1,0,"")))</f>
        <v/>
      </c>
      <c r="AA362" s="39" t="str">
        <f t="shared" si="113"/>
        <v/>
      </c>
      <c r="AB362" s="40" t="str">
        <f>IF(OR(L362="",V362=0),"",IF(AND(N(I362)&gt;0,N(INDEX('01-كانون الثاني'!$I$2:$I$501,V362))&gt;0,INDEX('01-كانون الثاني'!$F$2:$F$501,V362)=F362),N(I362)/N(INDEX('01-كانون الثاني'!$I$2:$I$501,V362))-1,""))</f>
        <v/>
      </c>
      <c r="AC362" t="str">
        <f>IF(L362="","",IF(AND($AO$2=1,ISNA(MATCH(L362,'03-آذار'!$L$2:$L$501,0))),"محذوف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IF(L363="","",IF($AO$1=1,IFERROR(MATCH(L363,'01-كانون الثاني'!$L$2:$L$501,0),0),0))</f>
        <v/>
      </c>
      <c r="W363" t="str">
        <f t="shared" si="111"/>
        <v/>
      </c>
      <c r="X363" s="38" t="str">
        <f>IF(L363="","",IF(V363&gt;0,INDEX('01-كانون الثاني'!$P$2:$P$501,V363),IF($AO$1=1,0,"")))</f>
        <v/>
      </c>
      <c r="Y363" s="38" t="str">
        <f t="shared" si="112"/>
        <v/>
      </c>
      <c r="Z363" s="39" t="str">
        <f>IF(L363="","",IF(V363&gt;0,INDEX('01-كانون الثاني'!$Q$2:$Q$501,V363),IF($AO$1=1,0,"")))</f>
        <v/>
      </c>
      <c r="AA363" s="39" t="str">
        <f t="shared" si="113"/>
        <v/>
      </c>
      <c r="AB363" s="40" t="str">
        <f>IF(OR(L363="",V363=0),"",IF(AND(N(I363)&gt;0,N(INDEX('01-كانون الثاني'!$I$2:$I$501,V363))&gt;0,INDEX('01-كانون الثاني'!$F$2:$F$501,V363)=F363),N(I363)/N(INDEX('01-كانون الثاني'!$I$2:$I$501,V363))-1,""))</f>
        <v/>
      </c>
      <c r="AC363" t="str">
        <f>IF(L363="","",IF(AND($AO$2=1,ISNA(MATCH(L363,'03-آذار'!$L$2:$L$501,0))),"محذوف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IF(L364="","",IF($AO$1=1,IFERROR(MATCH(L364,'01-كانون الثاني'!$L$2:$L$501,0),0),0))</f>
        <v/>
      </c>
      <c r="W364" t="str">
        <f t="shared" si="111"/>
        <v/>
      </c>
      <c r="X364" s="38" t="str">
        <f>IF(L364="","",IF(V364&gt;0,INDEX('01-كانون الثاني'!$P$2:$P$501,V364),IF($AO$1=1,0,"")))</f>
        <v/>
      </c>
      <c r="Y364" s="38" t="str">
        <f t="shared" si="112"/>
        <v/>
      </c>
      <c r="Z364" s="39" t="str">
        <f>IF(L364="","",IF(V364&gt;0,INDEX('01-كانون الثاني'!$Q$2:$Q$501,V364),IF($AO$1=1,0,"")))</f>
        <v/>
      </c>
      <c r="AA364" s="39" t="str">
        <f t="shared" si="113"/>
        <v/>
      </c>
      <c r="AB364" s="40" t="str">
        <f>IF(OR(L364="",V364=0),"",IF(AND(N(I364)&gt;0,N(INDEX('01-كانون الثاني'!$I$2:$I$501,V364))&gt;0,INDEX('01-كانون الثاني'!$F$2:$F$501,V364)=F364),N(I364)/N(INDEX('01-كانون الثاني'!$I$2:$I$501,V364))-1,""))</f>
        <v/>
      </c>
      <c r="AC364" t="str">
        <f>IF(L364="","",IF(AND($AO$2=1,ISNA(MATCH(L364,'03-آذار'!$L$2:$L$501,0))),"محذوف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IF(L365="","",IF($AO$1=1,IFERROR(MATCH(L365,'01-كانون الثاني'!$L$2:$L$501,0),0),0))</f>
        <v/>
      </c>
      <c r="W365" t="str">
        <f t="shared" si="111"/>
        <v/>
      </c>
      <c r="X365" s="38" t="str">
        <f>IF(L365="","",IF(V365&gt;0,INDEX('01-كانون الثاني'!$P$2:$P$501,V365),IF($AO$1=1,0,"")))</f>
        <v/>
      </c>
      <c r="Y365" s="38" t="str">
        <f t="shared" si="112"/>
        <v/>
      </c>
      <c r="Z365" s="39" t="str">
        <f>IF(L365="","",IF(V365&gt;0,INDEX('01-كانون الثاني'!$Q$2:$Q$501,V365),IF($AO$1=1,0,"")))</f>
        <v/>
      </c>
      <c r="AA365" s="39" t="str">
        <f t="shared" si="113"/>
        <v/>
      </c>
      <c r="AB365" s="40" t="str">
        <f>IF(OR(L365="",V365=0),"",IF(AND(N(I365)&gt;0,N(INDEX('01-كانون الثاني'!$I$2:$I$501,V365))&gt;0,INDEX('01-كانون الثاني'!$F$2:$F$501,V365)=F365),N(I365)/N(INDEX('01-كانون الثاني'!$I$2:$I$501,V365))-1,""))</f>
        <v/>
      </c>
      <c r="AC365" t="str">
        <f>IF(L365="","",IF(AND($AO$2=1,ISNA(MATCH(L365,'03-آذار'!$L$2:$L$501,0))),"محذوف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IF(L366="","",IF($AO$1=1,IFERROR(MATCH(L366,'01-كانون الثاني'!$L$2:$L$501,0),0),0))</f>
        <v/>
      </c>
      <c r="W366" t="str">
        <f t="shared" si="111"/>
        <v/>
      </c>
      <c r="X366" s="38" t="str">
        <f>IF(L366="","",IF(V366&gt;0,INDEX('01-كانون الثاني'!$P$2:$P$501,V366),IF($AO$1=1,0,"")))</f>
        <v/>
      </c>
      <c r="Y366" s="38" t="str">
        <f t="shared" si="112"/>
        <v/>
      </c>
      <c r="Z366" s="39" t="str">
        <f>IF(L366="","",IF(V366&gt;0,INDEX('01-كانون الثاني'!$Q$2:$Q$501,V366),IF($AO$1=1,0,"")))</f>
        <v/>
      </c>
      <c r="AA366" s="39" t="str">
        <f t="shared" si="113"/>
        <v/>
      </c>
      <c r="AB366" s="40" t="str">
        <f>IF(OR(L366="",V366=0),"",IF(AND(N(I366)&gt;0,N(INDEX('01-كانون الثاني'!$I$2:$I$501,V366))&gt;0,INDEX('01-كانون الثاني'!$F$2:$F$501,V366)=F366),N(I366)/N(INDEX('01-كانون الثاني'!$I$2:$I$501,V366))-1,""))</f>
        <v/>
      </c>
      <c r="AC366" t="str">
        <f>IF(L366="","",IF(AND($AO$2=1,ISNA(MATCH(L366,'03-آذار'!$L$2:$L$501,0))),"محذوف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IF(L367="","",IF($AO$1=1,IFERROR(MATCH(L367,'01-كانون الثاني'!$L$2:$L$501,0),0),0))</f>
        <v/>
      </c>
      <c r="W367" t="str">
        <f t="shared" si="111"/>
        <v/>
      </c>
      <c r="X367" s="38" t="str">
        <f>IF(L367="","",IF(V367&gt;0,INDEX('01-كانون الثاني'!$P$2:$P$501,V367),IF($AO$1=1,0,"")))</f>
        <v/>
      </c>
      <c r="Y367" s="38" t="str">
        <f t="shared" si="112"/>
        <v/>
      </c>
      <c r="Z367" s="39" t="str">
        <f>IF(L367="","",IF(V367&gt;0,INDEX('01-كانون الثاني'!$Q$2:$Q$501,V367),IF($AO$1=1,0,"")))</f>
        <v/>
      </c>
      <c r="AA367" s="39" t="str">
        <f t="shared" si="113"/>
        <v/>
      </c>
      <c r="AB367" s="40" t="str">
        <f>IF(OR(L367="",V367=0),"",IF(AND(N(I367)&gt;0,N(INDEX('01-كانون الثاني'!$I$2:$I$501,V367))&gt;0,INDEX('01-كانون الثاني'!$F$2:$F$501,V367)=F367),N(I367)/N(INDEX('01-كانون الثاني'!$I$2:$I$501,V367))-1,""))</f>
        <v/>
      </c>
      <c r="AC367" t="str">
        <f>IF(L367="","",IF(AND($AO$2=1,ISNA(MATCH(L367,'03-آذار'!$L$2:$L$501,0))),"محذوف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IF(L368="","",IF($AO$1=1,IFERROR(MATCH(L368,'01-كانون الثاني'!$L$2:$L$501,0),0),0))</f>
        <v/>
      </c>
      <c r="W368" t="str">
        <f t="shared" si="111"/>
        <v/>
      </c>
      <c r="X368" s="38" t="str">
        <f>IF(L368="","",IF(V368&gt;0,INDEX('01-كانون الثاني'!$P$2:$P$501,V368),IF($AO$1=1,0,"")))</f>
        <v/>
      </c>
      <c r="Y368" s="38" t="str">
        <f t="shared" si="112"/>
        <v/>
      </c>
      <c r="Z368" s="39" t="str">
        <f>IF(L368="","",IF(V368&gt;0,INDEX('01-كانون الثاني'!$Q$2:$Q$501,V368),IF($AO$1=1,0,"")))</f>
        <v/>
      </c>
      <c r="AA368" s="39" t="str">
        <f t="shared" si="113"/>
        <v/>
      </c>
      <c r="AB368" s="40" t="str">
        <f>IF(OR(L368="",V368=0),"",IF(AND(N(I368)&gt;0,N(INDEX('01-كانون الثاني'!$I$2:$I$501,V368))&gt;0,INDEX('01-كانون الثاني'!$F$2:$F$501,V368)=F368),N(I368)/N(INDEX('01-كانون الثاني'!$I$2:$I$501,V368))-1,""))</f>
        <v/>
      </c>
      <c r="AC368" t="str">
        <f>IF(L368="","",IF(AND($AO$2=1,ISNA(MATCH(L368,'03-آذار'!$L$2:$L$501,0))),"محذوف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IF(L369="","",IF($AO$1=1,IFERROR(MATCH(L369,'01-كانون الثاني'!$L$2:$L$501,0),0),0))</f>
        <v/>
      </c>
      <c r="W369" t="str">
        <f t="shared" si="111"/>
        <v/>
      </c>
      <c r="X369" s="38" t="str">
        <f>IF(L369="","",IF(V369&gt;0,INDEX('01-كانون الثاني'!$P$2:$P$501,V369),IF($AO$1=1,0,"")))</f>
        <v/>
      </c>
      <c r="Y369" s="38" t="str">
        <f t="shared" si="112"/>
        <v/>
      </c>
      <c r="Z369" s="39" t="str">
        <f>IF(L369="","",IF(V369&gt;0,INDEX('01-كانون الثاني'!$Q$2:$Q$501,V369),IF($AO$1=1,0,"")))</f>
        <v/>
      </c>
      <c r="AA369" s="39" t="str">
        <f t="shared" si="113"/>
        <v/>
      </c>
      <c r="AB369" s="40" t="str">
        <f>IF(OR(L369="",V369=0),"",IF(AND(N(I369)&gt;0,N(INDEX('01-كانون الثاني'!$I$2:$I$501,V369))&gt;0,INDEX('01-كانون الثاني'!$F$2:$F$501,V369)=F369),N(I369)/N(INDEX('01-كانون الثاني'!$I$2:$I$501,V369))-1,""))</f>
        <v/>
      </c>
      <c r="AC369" t="str">
        <f>IF(L369="","",IF(AND($AO$2=1,ISNA(MATCH(L369,'03-آذار'!$L$2:$L$501,0))),"محذوف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IF(L370="","",IF($AO$1=1,IFERROR(MATCH(L370,'01-كانون الثاني'!$L$2:$L$501,0),0),0))</f>
        <v/>
      </c>
      <c r="W370" t="str">
        <f t="shared" si="111"/>
        <v/>
      </c>
      <c r="X370" s="38" t="str">
        <f>IF(L370="","",IF(V370&gt;0,INDEX('01-كانون الثاني'!$P$2:$P$501,V370),IF($AO$1=1,0,"")))</f>
        <v/>
      </c>
      <c r="Y370" s="38" t="str">
        <f t="shared" si="112"/>
        <v/>
      </c>
      <c r="Z370" s="39" t="str">
        <f>IF(L370="","",IF(V370&gt;0,INDEX('01-كانون الثاني'!$Q$2:$Q$501,V370),IF($AO$1=1,0,"")))</f>
        <v/>
      </c>
      <c r="AA370" s="39" t="str">
        <f t="shared" si="113"/>
        <v/>
      </c>
      <c r="AB370" s="40" t="str">
        <f>IF(OR(L370="",V370=0),"",IF(AND(N(I370)&gt;0,N(INDEX('01-كانون الثاني'!$I$2:$I$501,V370))&gt;0,INDEX('01-كانون الثاني'!$F$2:$F$501,V370)=F370),N(I370)/N(INDEX('01-كانون الثاني'!$I$2:$I$501,V370))-1,""))</f>
        <v/>
      </c>
      <c r="AC370" t="str">
        <f>IF(L370="","",IF(AND($AO$2=1,ISNA(MATCH(L370,'03-آذار'!$L$2:$L$501,0))),"محذوف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IF(L371="","",IF($AO$1=1,IFERROR(MATCH(L371,'01-كانون الثاني'!$L$2:$L$501,0),0),0))</f>
        <v/>
      </c>
      <c r="W371" t="str">
        <f t="shared" si="111"/>
        <v/>
      </c>
      <c r="X371" s="38" t="str">
        <f>IF(L371="","",IF(V371&gt;0,INDEX('01-كانون الثاني'!$P$2:$P$501,V371),IF($AO$1=1,0,"")))</f>
        <v/>
      </c>
      <c r="Y371" s="38" t="str">
        <f t="shared" si="112"/>
        <v/>
      </c>
      <c r="Z371" s="39" t="str">
        <f>IF(L371="","",IF(V371&gt;0,INDEX('01-كانون الثاني'!$Q$2:$Q$501,V371),IF($AO$1=1,0,"")))</f>
        <v/>
      </c>
      <c r="AA371" s="39" t="str">
        <f t="shared" si="113"/>
        <v/>
      </c>
      <c r="AB371" s="40" t="str">
        <f>IF(OR(L371="",V371=0),"",IF(AND(N(I371)&gt;0,N(INDEX('01-كانون الثاني'!$I$2:$I$501,V371))&gt;0,INDEX('01-كانون الثاني'!$F$2:$F$501,V371)=F371),N(I371)/N(INDEX('01-كانون الثاني'!$I$2:$I$501,V371))-1,""))</f>
        <v/>
      </c>
      <c r="AC371" t="str">
        <f>IF(L371="","",IF(AND($AO$2=1,ISNA(MATCH(L371,'03-آذار'!$L$2:$L$501,0))),"محذوف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IF(L372="","",IF($AO$1=1,IFERROR(MATCH(L372,'01-كانون الثاني'!$L$2:$L$501,0),0),0))</f>
        <v/>
      </c>
      <c r="W372" t="str">
        <f t="shared" si="111"/>
        <v/>
      </c>
      <c r="X372" s="38" t="str">
        <f>IF(L372="","",IF(V372&gt;0,INDEX('01-كانون الثاني'!$P$2:$P$501,V372),IF($AO$1=1,0,"")))</f>
        <v/>
      </c>
      <c r="Y372" s="38" t="str">
        <f t="shared" si="112"/>
        <v/>
      </c>
      <c r="Z372" s="39" t="str">
        <f>IF(L372="","",IF(V372&gt;0,INDEX('01-كانون الثاني'!$Q$2:$Q$501,V372),IF($AO$1=1,0,"")))</f>
        <v/>
      </c>
      <c r="AA372" s="39" t="str">
        <f t="shared" si="113"/>
        <v/>
      </c>
      <c r="AB372" s="40" t="str">
        <f>IF(OR(L372="",V372=0),"",IF(AND(N(I372)&gt;0,N(INDEX('01-كانون الثاني'!$I$2:$I$501,V372))&gt;0,INDEX('01-كانون الثاني'!$F$2:$F$501,V372)=F372),N(I372)/N(INDEX('01-كانون الثاني'!$I$2:$I$501,V372))-1,""))</f>
        <v/>
      </c>
      <c r="AC372" t="str">
        <f>IF(L372="","",IF(AND($AO$2=1,ISNA(MATCH(L372,'03-آذار'!$L$2:$L$501,0))),"محذوف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IF(L373="","",IF($AO$1=1,IFERROR(MATCH(L373,'01-كانون الثاني'!$L$2:$L$501,0),0),0))</f>
        <v/>
      </c>
      <c r="W373" t="str">
        <f t="shared" si="111"/>
        <v/>
      </c>
      <c r="X373" s="38" t="str">
        <f>IF(L373="","",IF(V373&gt;0,INDEX('01-كانون الثاني'!$P$2:$P$501,V373),IF($AO$1=1,0,"")))</f>
        <v/>
      </c>
      <c r="Y373" s="38" t="str">
        <f t="shared" si="112"/>
        <v/>
      </c>
      <c r="Z373" s="39" t="str">
        <f>IF(L373="","",IF(V373&gt;0,INDEX('01-كانون الثاني'!$Q$2:$Q$501,V373),IF($AO$1=1,0,"")))</f>
        <v/>
      </c>
      <c r="AA373" s="39" t="str">
        <f t="shared" si="113"/>
        <v/>
      </c>
      <c r="AB373" s="40" t="str">
        <f>IF(OR(L373="",V373=0),"",IF(AND(N(I373)&gt;0,N(INDEX('01-كانون الثاني'!$I$2:$I$501,V373))&gt;0,INDEX('01-كانون الثاني'!$F$2:$F$501,V373)=F373),N(I373)/N(INDEX('01-كانون الثاني'!$I$2:$I$501,V373))-1,""))</f>
        <v/>
      </c>
      <c r="AC373" t="str">
        <f>IF(L373="","",IF(AND($AO$2=1,ISNA(MATCH(L373,'03-آذار'!$L$2:$L$501,0))),"محذوف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IF(L374="","",IF($AO$1=1,IFERROR(MATCH(L374,'01-كانون الثاني'!$L$2:$L$501,0),0),0))</f>
        <v/>
      </c>
      <c r="W374" t="str">
        <f t="shared" si="111"/>
        <v/>
      </c>
      <c r="X374" s="38" t="str">
        <f>IF(L374="","",IF(V374&gt;0,INDEX('01-كانون الثاني'!$P$2:$P$501,V374),IF($AO$1=1,0,"")))</f>
        <v/>
      </c>
      <c r="Y374" s="38" t="str">
        <f t="shared" si="112"/>
        <v/>
      </c>
      <c r="Z374" s="39" t="str">
        <f>IF(L374="","",IF(V374&gt;0,INDEX('01-كانون الثاني'!$Q$2:$Q$501,V374),IF($AO$1=1,0,"")))</f>
        <v/>
      </c>
      <c r="AA374" s="39" t="str">
        <f t="shared" si="113"/>
        <v/>
      </c>
      <c r="AB374" s="40" t="str">
        <f>IF(OR(L374="",V374=0),"",IF(AND(N(I374)&gt;0,N(INDEX('01-كانون الثاني'!$I$2:$I$501,V374))&gt;0,INDEX('01-كانون الثاني'!$F$2:$F$501,V374)=F374),N(I374)/N(INDEX('01-كانون الثاني'!$I$2:$I$501,V374))-1,""))</f>
        <v/>
      </c>
      <c r="AC374" t="str">
        <f>IF(L374="","",IF(AND($AO$2=1,ISNA(MATCH(L374,'03-آذار'!$L$2:$L$501,0))),"محذوف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IF(L375="","",IF($AO$1=1,IFERROR(MATCH(L375,'01-كانون الثاني'!$L$2:$L$501,0),0),0))</f>
        <v/>
      </c>
      <c r="W375" t="str">
        <f t="shared" si="111"/>
        <v/>
      </c>
      <c r="X375" s="38" t="str">
        <f>IF(L375="","",IF(V375&gt;0,INDEX('01-كانون الثاني'!$P$2:$P$501,V375),IF($AO$1=1,0,"")))</f>
        <v/>
      </c>
      <c r="Y375" s="38" t="str">
        <f t="shared" si="112"/>
        <v/>
      </c>
      <c r="Z375" s="39" t="str">
        <f>IF(L375="","",IF(V375&gt;0,INDEX('01-كانون الثاني'!$Q$2:$Q$501,V375),IF($AO$1=1,0,"")))</f>
        <v/>
      </c>
      <c r="AA375" s="39" t="str">
        <f t="shared" si="113"/>
        <v/>
      </c>
      <c r="AB375" s="40" t="str">
        <f>IF(OR(L375="",V375=0),"",IF(AND(N(I375)&gt;0,N(INDEX('01-كانون الثاني'!$I$2:$I$501,V375))&gt;0,INDEX('01-كانون الثاني'!$F$2:$F$501,V375)=F375),N(I375)/N(INDEX('01-كانون الثاني'!$I$2:$I$501,V375))-1,""))</f>
        <v/>
      </c>
      <c r="AC375" t="str">
        <f>IF(L375="","",IF(AND($AO$2=1,ISNA(MATCH(L375,'03-آذار'!$L$2:$L$501,0))),"محذوف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IF(L376="","",IF($AO$1=1,IFERROR(MATCH(L376,'01-كانون الثاني'!$L$2:$L$501,0),0),0))</f>
        <v/>
      </c>
      <c r="W376" t="str">
        <f t="shared" si="111"/>
        <v/>
      </c>
      <c r="X376" s="38" t="str">
        <f>IF(L376="","",IF(V376&gt;0,INDEX('01-كانون الثاني'!$P$2:$P$501,V376),IF($AO$1=1,0,"")))</f>
        <v/>
      </c>
      <c r="Y376" s="38" t="str">
        <f t="shared" si="112"/>
        <v/>
      </c>
      <c r="Z376" s="39" t="str">
        <f>IF(L376="","",IF(V376&gt;0,INDEX('01-كانون الثاني'!$Q$2:$Q$501,V376),IF($AO$1=1,0,"")))</f>
        <v/>
      </c>
      <c r="AA376" s="39" t="str">
        <f t="shared" si="113"/>
        <v/>
      </c>
      <c r="AB376" s="40" t="str">
        <f>IF(OR(L376="",V376=0),"",IF(AND(N(I376)&gt;0,N(INDEX('01-كانون الثاني'!$I$2:$I$501,V376))&gt;0,INDEX('01-كانون الثاني'!$F$2:$F$501,V376)=F376),N(I376)/N(INDEX('01-كانون الثاني'!$I$2:$I$501,V376))-1,""))</f>
        <v/>
      </c>
      <c r="AC376" t="str">
        <f>IF(L376="","",IF(AND($AO$2=1,ISNA(MATCH(L376,'03-آذار'!$L$2:$L$501,0))),"محذوف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IF(L377="","",IF($AO$1=1,IFERROR(MATCH(L377,'01-كانون الثاني'!$L$2:$L$501,0),0),0))</f>
        <v/>
      </c>
      <c r="W377" t="str">
        <f t="shared" si="111"/>
        <v/>
      </c>
      <c r="X377" s="38" t="str">
        <f>IF(L377="","",IF(V377&gt;0,INDEX('01-كانون الثاني'!$P$2:$P$501,V377),IF($AO$1=1,0,"")))</f>
        <v/>
      </c>
      <c r="Y377" s="38" t="str">
        <f t="shared" si="112"/>
        <v/>
      </c>
      <c r="Z377" s="39" t="str">
        <f>IF(L377="","",IF(V377&gt;0,INDEX('01-كانون الثاني'!$Q$2:$Q$501,V377),IF($AO$1=1,0,"")))</f>
        <v/>
      </c>
      <c r="AA377" s="39" t="str">
        <f t="shared" si="113"/>
        <v/>
      </c>
      <c r="AB377" s="40" t="str">
        <f>IF(OR(L377="",V377=0),"",IF(AND(N(I377)&gt;0,N(INDEX('01-كانون الثاني'!$I$2:$I$501,V377))&gt;0,INDEX('01-كانون الثاني'!$F$2:$F$501,V377)=F377),N(I377)/N(INDEX('01-كانون الثاني'!$I$2:$I$501,V377))-1,""))</f>
        <v/>
      </c>
      <c r="AC377" t="str">
        <f>IF(L377="","",IF(AND($AO$2=1,ISNA(MATCH(L377,'03-آذار'!$L$2:$L$501,0))),"محذوف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IF(L378="","",IF($AO$1=1,IFERROR(MATCH(L378,'01-كانون الثاني'!$L$2:$L$501,0),0),0))</f>
        <v/>
      </c>
      <c r="W378" t="str">
        <f t="shared" si="111"/>
        <v/>
      </c>
      <c r="X378" s="38" t="str">
        <f>IF(L378="","",IF(V378&gt;0,INDEX('01-كانون الثاني'!$P$2:$P$501,V378),IF($AO$1=1,0,"")))</f>
        <v/>
      </c>
      <c r="Y378" s="38" t="str">
        <f t="shared" si="112"/>
        <v/>
      </c>
      <c r="Z378" s="39" t="str">
        <f>IF(L378="","",IF(V378&gt;0,INDEX('01-كانون الثاني'!$Q$2:$Q$501,V378),IF($AO$1=1,0,"")))</f>
        <v/>
      </c>
      <c r="AA378" s="39" t="str">
        <f t="shared" si="113"/>
        <v/>
      </c>
      <c r="AB378" s="40" t="str">
        <f>IF(OR(L378="",V378=0),"",IF(AND(N(I378)&gt;0,N(INDEX('01-كانون الثاني'!$I$2:$I$501,V378))&gt;0,INDEX('01-كانون الثاني'!$F$2:$F$501,V378)=F378),N(I378)/N(INDEX('01-كانون الثاني'!$I$2:$I$501,V378))-1,""))</f>
        <v/>
      </c>
      <c r="AC378" t="str">
        <f>IF(L378="","",IF(AND($AO$2=1,ISNA(MATCH(L378,'03-آذار'!$L$2:$L$501,0))),"محذوف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IF(L379="","",IF($AO$1=1,IFERROR(MATCH(L379,'01-كانون الثاني'!$L$2:$L$501,0),0),0))</f>
        <v/>
      </c>
      <c r="W379" t="str">
        <f t="shared" si="111"/>
        <v/>
      </c>
      <c r="X379" s="38" t="str">
        <f>IF(L379="","",IF(V379&gt;0,INDEX('01-كانون الثاني'!$P$2:$P$501,V379),IF($AO$1=1,0,"")))</f>
        <v/>
      </c>
      <c r="Y379" s="38" t="str">
        <f t="shared" si="112"/>
        <v/>
      </c>
      <c r="Z379" s="39" t="str">
        <f>IF(L379="","",IF(V379&gt;0,INDEX('01-كانون الثاني'!$Q$2:$Q$501,V379),IF($AO$1=1,0,"")))</f>
        <v/>
      </c>
      <c r="AA379" s="39" t="str">
        <f t="shared" si="113"/>
        <v/>
      </c>
      <c r="AB379" s="40" t="str">
        <f>IF(OR(L379="",V379=0),"",IF(AND(N(I379)&gt;0,N(INDEX('01-كانون الثاني'!$I$2:$I$501,V379))&gt;0,INDEX('01-كانون الثاني'!$F$2:$F$501,V379)=F379),N(I379)/N(INDEX('01-كانون الثاني'!$I$2:$I$501,V379))-1,""))</f>
        <v/>
      </c>
      <c r="AC379" t="str">
        <f>IF(L379="","",IF(AND($AO$2=1,ISNA(MATCH(L379,'03-آذار'!$L$2:$L$501,0))),"محذوف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IF(L380="","",IF($AO$1=1,IFERROR(MATCH(L380,'01-كانون الثاني'!$L$2:$L$501,0),0),0))</f>
        <v/>
      </c>
      <c r="W380" t="str">
        <f t="shared" si="111"/>
        <v/>
      </c>
      <c r="X380" s="38" t="str">
        <f>IF(L380="","",IF(V380&gt;0,INDEX('01-كانون الثاني'!$P$2:$P$501,V380),IF($AO$1=1,0,"")))</f>
        <v/>
      </c>
      <c r="Y380" s="38" t="str">
        <f t="shared" si="112"/>
        <v/>
      </c>
      <c r="Z380" s="39" t="str">
        <f>IF(L380="","",IF(V380&gt;0,INDEX('01-كانون الثاني'!$Q$2:$Q$501,V380),IF($AO$1=1,0,"")))</f>
        <v/>
      </c>
      <c r="AA380" s="39" t="str">
        <f t="shared" si="113"/>
        <v/>
      </c>
      <c r="AB380" s="40" t="str">
        <f>IF(OR(L380="",V380=0),"",IF(AND(N(I380)&gt;0,N(INDEX('01-كانون الثاني'!$I$2:$I$501,V380))&gt;0,INDEX('01-كانون الثاني'!$F$2:$F$501,V380)=F380),N(I380)/N(INDEX('01-كانون الثاني'!$I$2:$I$501,V380))-1,""))</f>
        <v/>
      </c>
      <c r="AC380" t="str">
        <f>IF(L380="","",IF(AND($AO$2=1,ISNA(MATCH(L380,'03-آذار'!$L$2:$L$501,0))),"محذوف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IF(L381="","",IF($AO$1=1,IFERROR(MATCH(L381,'01-كانون الثاني'!$L$2:$L$501,0),0),0))</f>
        <v/>
      </c>
      <c r="W381" t="str">
        <f t="shared" si="111"/>
        <v/>
      </c>
      <c r="X381" s="38" t="str">
        <f>IF(L381="","",IF(V381&gt;0,INDEX('01-كانون الثاني'!$P$2:$P$501,V381),IF($AO$1=1,0,"")))</f>
        <v/>
      </c>
      <c r="Y381" s="38" t="str">
        <f t="shared" si="112"/>
        <v/>
      </c>
      <c r="Z381" s="39" t="str">
        <f>IF(L381="","",IF(V381&gt;0,INDEX('01-كانون الثاني'!$Q$2:$Q$501,V381),IF($AO$1=1,0,"")))</f>
        <v/>
      </c>
      <c r="AA381" s="39" t="str">
        <f t="shared" si="113"/>
        <v/>
      </c>
      <c r="AB381" s="40" t="str">
        <f>IF(OR(L381="",V381=0),"",IF(AND(N(I381)&gt;0,N(INDEX('01-كانون الثاني'!$I$2:$I$501,V381))&gt;0,INDEX('01-كانون الثاني'!$F$2:$F$501,V381)=F381),N(I381)/N(INDEX('01-كانون الثاني'!$I$2:$I$501,V381))-1,""))</f>
        <v/>
      </c>
      <c r="AC381" t="str">
        <f>IF(L381="","",IF(AND($AO$2=1,ISNA(MATCH(L381,'03-آذار'!$L$2:$L$501,0))),"محذوف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IF(L382="","",IF($AO$1=1,IFERROR(MATCH(L382,'01-كانون الثاني'!$L$2:$L$501,0),0),0))</f>
        <v/>
      </c>
      <c r="W382" t="str">
        <f t="shared" si="111"/>
        <v/>
      </c>
      <c r="X382" s="38" t="str">
        <f>IF(L382="","",IF(V382&gt;0,INDEX('01-كانون الثاني'!$P$2:$P$501,V382),IF($AO$1=1,0,"")))</f>
        <v/>
      </c>
      <c r="Y382" s="38" t="str">
        <f t="shared" si="112"/>
        <v/>
      </c>
      <c r="Z382" s="39" t="str">
        <f>IF(L382="","",IF(V382&gt;0,INDEX('01-كانون الثاني'!$Q$2:$Q$501,V382),IF($AO$1=1,0,"")))</f>
        <v/>
      </c>
      <c r="AA382" s="39" t="str">
        <f t="shared" si="113"/>
        <v/>
      </c>
      <c r="AB382" s="40" t="str">
        <f>IF(OR(L382="",V382=0),"",IF(AND(N(I382)&gt;0,N(INDEX('01-كانون الثاني'!$I$2:$I$501,V382))&gt;0,INDEX('01-كانون الثاني'!$F$2:$F$501,V382)=F382),N(I382)/N(INDEX('01-كانون الثاني'!$I$2:$I$501,V382))-1,""))</f>
        <v/>
      </c>
      <c r="AC382" t="str">
        <f>IF(L382="","",IF(AND($AO$2=1,ISNA(MATCH(L382,'03-آذار'!$L$2:$L$501,0))),"محذوف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IF(L383="","",IF($AO$1=1,IFERROR(MATCH(L383,'01-كانون الثاني'!$L$2:$L$501,0),0),0))</f>
        <v/>
      </c>
      <c r="W383" t="str">
        <f t="shared" si="111"/>
        <v/>
      </c>
      <c r="X383" s="38" t="str">
        <f>IF(L383="","",IF(V383&gt;0,INDEX('01-كانون الثاني'!$P$2:$P$501,V383),IF($AO$1=1,0,"")))</f>
        <v/>
      </c>
      <c r="Y383" s="38" t="str">
        <f t="shared" si="112"/>
        <v/>
      </c>
      <c r="Z383" s="39" t="str">
        <f>IF(L383="","",IF(V383&gt;0,INDEX('01-كانون الثاني'!$Q$2:$Q$501,V383),IF($AO$1=1,0,"")))</f>
        <v/>
      </c>
      <c r="AA383" s="39" t="str">
        <f t="shared" si="113"/>
        <v/>
      </c>
      <c r="AB383" s="40" t="str">
        <f>IF(OR(L383="",V383=0),"",IF(AND(N(I383)&gt;0,N(INDEX('01-كانون الثاني'!$I$2:$I$501,V383))&gt;0,INDEX('01-كانون الثاني'!$F$2:$F$501,V383)=F383),N(I383)/N(INDEX('01-كانون الثاني'!$I$2:$I$501,V383))-1,""))</f>
        <v/>
      </c>
      <c r="AC383" t="str">
        <f>IF(L383="","",IF(AND($AO$2=1,ISNA(MATCH(L383,'03-آذار'!$L$2:$L$501,0))),"محذوف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IF(L384="","",IF($AO$1=1,IFERROR(MATCH(L384,'01-كانون الثاني'!$L$2:$L$501,0),0),0))</f>
        <v/>
      </c>
      <c r="W384" t="str">
        <f t="shared" si="111"/>
        <v/>
      </c>
      <c r="X384" s="38" t="str">
        <f>IF(L384="","",IF(V384&gt;0,INDEX('01-كانون الثاني'!$P$2:$P$501,V384),IF($AO$1=1,0,"")))</f>
        <v/>
      </c>
      <c r="Y384" s="38" t="str">
        <f t="shared" si="112"/>
        <v/>
      </c>
      <c r="Z384" s="39" t="str">
        <f>IF(L384="","",IF(V384&gt;0,INDEX('01-كانون الثاني'!$Q$2:$Q$501,V384),IF($AO$1=1,0,"")))</f>
        <v/>
      </c>
      <c r="AA384" s="39" t="str">
        <f t="shared" si="113"/>
        <v/>
      </c>
      <c r="AB384" s="40" t="str">
        <f>IF(OR(L384="",V384=0),"",IF(AND(N(I384)&gt;0,N(INDEX('01-كانون الثاني'!$I$2:$I$501,V384))&gt;0,INDEX('01-كانون الثاني'!$F$2:$F$501,V384)=F384),N(I384)/N(INDEX('01-كانون الثاني'!$I$2:$I$501,V384))-1,""))</f>
        <v/>
      </c>
      <c r="AC384" t="str">
        <f>IF(L384="","",IF(AND($AO$2=1,ISNA(MATCH(L384,'03-آذار'!$L$2:$L$501,0))),"محذوف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IF(L385="","",IF($AO$1=1,IFERROR(MATCH(L385,'01-كانون الثاني'!$L$2:$L$501,0),0),0))</f>
        <v/>
      </c>
      <c r="W385" t="str">
        <f t="shared" si="111"/>
        <v/>
      </c>
      <c r="X385" s="38" t="str">
        <f>IF(L385="","",IF(V385&gt;0,INDEX('01-كانون الثاني'!$P$2:$P$501,V385),IF($AO$1=1,0,"")))</f>
        <v/>
      </c>
      <c r="Y385" s="38" t="str">
        <f t="shared" si="112"/>
        <v/>
      </c>
      <c r="Z385" s="39" t="str">
        <f>IF(L385="","",IF(V385&gt;0,INDEX('01-كانون الثاني'!$Q$2:$Q$501,V385),IF($AO$1=1,0,"")))</f>
        <v/>
      </c>
      <c r="AA385" s="39" t="str">
        <f t="shared" si="113"/>
        <v/>
      </c>
      <c r="AB385" s="40" t="str">
        <f>IF(OR(L385="",V385=0),"",IF(AND(N(I385)&gt;0,N(INDEX('01-كانون الثاني'!$I$2:$I$501,V385))&gt;0,INDEX('01-كانون الثاني'!$F$2:$F$501,V385)=F385),N(I385)/N(INDEX('01-كانون الثاني'!$I$2:$I$501,V385))-1,""))</f>
        <v/>
      </c>
      <c r="AC385" t="str">
        <f>IF(L385="","",IF(AND($AO$2=1,ISNA(MATCH(L385,'03-آذار'!$L$2:$L$501,0))),"محذوف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IF(L386="","",IF($AO$1=1,IFERROR(MATCH(L386,'01-كانون الثاني'!$L$2:$L$501,0),0),0))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IF(L386="","",IF(V386&gt;0,INDEX('01-كانون الثاني'!$P$2:$P$501,V386),IF($AO$1=1,0,"")))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IF(L386="","",IF(V386&gt;0,INDEX('01-كانون الثاني'!$Q$2:$Q$501,V386),IF($AO$1=1,0,"")))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IF(OR(L386="",V386=0),"",IF(AND(N(I386)&gt;0,N(INDEX('01-كانون الثاني'!$I$2:$I$501,V386))&gt;0,INDEX('01-كانون الثاني'!$F$2:$F$501,V386)=F386),N(I386)/N(INDEX('01-كانون الثاني'!$I$2:$I$501,V386))-1,""))</f>
        <v/>
      </c>
      <c r="AC386" t="str">
        <f>IF(L386="","",IF(AND($AO$2=1,ISNA(MATCH(L386,'03-آذار'!$L$2:$L$501,0))),"محذوف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IF(L387="","",IF($AO$1=1,IFERROR(MATCH(L387,'01-كانون الثاني'!$L$2:$L$501,0),0),0))</f>
        <v/>
      </c>
      <c r="W387" t="str">
        <f t="shared" si="131"/>
        <v/>
      </c>
      <c r="X387" s="38" t="str">
        <f>IF(L387="","",IF(V387&gt;0,INDEX('01-كانون الثاني'!$P$2:$P$501,V387),IF($AO$1=1,0,"")))</f>
        <v/>
      </c>
      <c r="Y387" s="38" t="str">
        <f t="shared" si="132"/>
        <v/>
      </c>
      <c r="Z387" s="39" t="str">
        <f>IF(L387="","",IF(V387&gt;0,INDEX('01-كانون الثاني'!$Q$2:$Q$501,V387),IF($AO$1=1,0,"")))</f>
        <v/>
      </c>
      <c r="AA387" s="39" t="str">
        <f t="shared" si="133"/>
        <v/>
      </c>
      <c r="AB387" s="40" t="str">
        <f>IF(OR(L387="",V387=0),"",IF(AND(N(I387)&gt;0,N(INDEX('01-كانون الثاني'!$I$2:$I$501,V387))&gt;0,INDEX('01-كانون الثاني'!$F$2:$F$501,V387)=F387),N(I387)/N(INDEX('01-كانون الثاني'!$I$2:$I$501,V387))-1,""))</f>
        <v/>
      </c>
      <c r="AC387" t="str">
        <f>IF(L387="","",IF(AND($AO$2=1,ISNA(MATCH(L387,'03-آذار'!$L$2:$L$501,0))),"محذوف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IF(L388="","",IF($AO$1=1,IFERROR(MATCH(L388,'01-كانون الثاني'!$L$2:$L$501,0),0),0))</f>
        <v/>
      </c>
      <c r="W388" t="str">
        <f t="shared" si="131"/>
        <v/>
      </c>
      <c r="X388" s="38" t="str">
        <f>IF(L388="","",IF(V388&gt;0,INDEX('01-كانون الثاني'!$P$2:$P$501,V388),IF($AO$1=1,0,"")))</f>
        <v/>
      </c>
      <c r="Y388" s="38" t="str">
        <f t="shared" si="132"/>
        <v/>
      </c>
      <c r="Z388" s="39" t="str">
        <f>IF(L388="","",IF(V388&gt;0,INDEX('01-كانون الثاني'!$Q$2:$Q$501,V388),IF($AO$1=1,0,"")))</f>
        <v/>
      </c>
      <c r="AA388" s="39" t="str">
        <f t="shared" si="133"/>
        <v/>
      </c>
      <c r="AB388" s="40" t="str">
        <f>IF(OR(L388="",V388=0),"",IF(AND(N(I388)&gt;0,N(INDEX('01-كانون الثاني'!$I$2:$I$501,V388))&gt;0,INDEX('01-كانون الثاني'!$F$2:$F$501,V388)=F388),N(I388)/N(INDEX('01-كانون الثاني'!$I$2:$I$501,V388))-1,""))</f>
        <v/>
      </c>
      <c r="AC388" t="str">
        <f>IF(L388="","",IF(AND($AO$2=1,ISNA(MATCH(L388,'03-آذار'!$L$2:$L$501,0))),"محذوف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IF(L389="","",IF($AO$1=1,IFERROR(MATCH(L389,'01-كانون الثاني'!$L$2:$L$501,0),0),0))</f>
        <v/>
      </c>
      <c r="W389" t="str">
        <f t="shared" si="131"/>
        <v/>
      </c>
      <c r="X389" s="38" t="str">
        <f>IF(L389="","",IF(V389&gt;0,INDEX('01-كانون الثاني'!$P$2:$P$501,V389),IF($AO$1=1,0,"")))</f>
        <v/>
      </c>
      <c r="Y389" s="38" t="str">
        <f t="shared" si="132"/>
        <v/>
      </c>
      <c r="Z389" s="39" t="str">
        <f>IF(L389="","",IF(V389&gt;0,INDEX('01-كانون الثاني'!$Q$2:$Q$501,V389),IF($AO$1=1,0,"")))</f>
        <v/>
      </c>
      <c r="AA389" s="39" t="str">
        <f t="shared" si="133"/>
        <v/>
      </c>
      <c r="AB389" s="40" t="str">
        <f>IF(OR(L389="",V389=0),"",IF(AND(N(I389)&gt;0,N(INDEX('01-كانون الثاني'!$I$2:$I$501,V389))&gt;0,INDEX('01-كانون الثاني'!$F$2:$F$501,V389)=F389),N(I389)/N(INDEX('01-كانون الثاني'!$I$2:$I$501,V389))-1,""))</f>
        <v/>
      </c>
      <c r="AC389" t="str">
        <f>IF(L389="","",IF(AND($AO$2=1,ISNA(MATCH(L389,'03-آذار'!$L$2:$L$501,0))),"محذوف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IF(L390="","",IF($AO$1=1,IFERROR(MATCH(L390,'01-كانون الثاني'!$L$2:$L$501,0),0),0))</f>
        <v/>
      </c>
      <c r="W390" t="str">
        <f t="shared" si="131"/>
        <v/>
      </c>
      <c r="X390" s="38" t="str">
        <f>IF(L390="","",IF(V390&gt;0,INDEX('01-كانون الثاني'!$P$2:$P$501,V390),IF($AO$1=1,0,"")))</f>
        <v/>
      </c>
      <c r="Y390" s="38" t="str">
        <f t="shared" si="132"/>
        <v/>
      </c>
      <c r="Z390" s="39" t="str">
        <f>IF(L390="","",IF(V390&gt;0,INDEX('01-كانون الثاني'!$Q$2:$Q$501,V390),IF($AO$1=1,0,"")))</f>
        <v/>
      </c>
      <c r="AA390" s="39" t="str">
        <f t="shared" si="133"/>
        <v/>
      </c>
      <c r="AB390" s="40" t="str">
        <f>IF(OR(L390="",V390=0),"",IF(AND(N(I390)&gt;0,N(INDEX('01-كانون الثاني'!$I$2:$I$501,V390))&gt;0,INDEX('01-كانون الثاني'!$F$2:$F$501,V390)=F390),N(I390)/N(INDEX('01-كانون الثاني'!$I$2:$I$501,V390))-1,""))</f>
        <v/>
      </c>
      <c r="AC390" t="str">
        <f>IF(L390="","",IF(AND($AO$2=1,ISNA(MATCH(L390,'03-آذار'!$L$2:$L$501,0))),"محذوف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IF(L391="","",IF($AO$1=1,IFERROR(MATCH(L391,'01-كانون الثاني'!$L$2:$L$501,0),0),0))</f>
        <v/>
      </c>
      <c r="W391" t="str">
        <f t="shared" si="131"/>
        <v/>
      </c>
      <c r="X391" s="38" t="str">
        <f>IF(L391="","",IF(V391&gt;0,INDEX('01-كانون الثاني'!$P$2:$P$501,V391),IF($AO$1=1,0,"")))</f>
        <v/>
      </c>
      <c r="Y391" s="38" t="str">
        <f t="shared" si="132"/>
        <v/>
      </c>
      <c r="Z391" s="39" t="str">
        <f>IF(L391="","",IF(V391&gt;0,INDEX('01-كانون الثاني'!$Q$2:$Q$501,V391),IF($AO$1=1,0,"")))</f>
        <v/>
      </c>
      <c r="AA391" s="39" t="str">
        <f t="shared" si="133"/>
        <v/>
      </c>
      <c r="AB391" s="40" t="str">
        <f>IF(OR(L391="",V391=0),"",IF(AND(N(I391)&gt;0,N(INDEX('01-كانون الثاني'!$I$2:$I$501,V391))&gt;0,INDEX('01-كانون الثاني'!$F$2:$F$501,V391)=F391),N(I391)/N(INDEX('01-كانون الثاني'!$I$2:$I$501,V391))-1,""))</f>
        <v/>
      </c>
      <c r="AC391" t="str">
        <f>IF(L391="","",IF(AND($AO$2=1,ISNA(MATCH(L391,'03-آذار'!$L$2:$L$501,0))),"محذوف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IF(L392="","",IF($AO$1=1,IFERROR(MATCH(L392,'01-كانون الثاني'!$L$2:$L$501,0),0),0))</f>
        <v/>
      </c>
      <c r="W392" t="str">
        <f t="shared" si="131"/>
        <v/>
      </c>
      <c r="X392" s="38" t="str">
        <f>IF(L392="","",IF(V392&gt;0,INDEX('01-كانون الثاني'!$P$2:$P$501,V392),IF($AO$1=1,0,"")))</f>
        <v/>
      </c>
      <c r="Y392" s="38" t="str">
        <f t="shared" si="132"/>
        <v/>
      </c>
      <c r="Z392" s="39" t="str">
        <f>IF(L392="","",IF(V392&gt;0,INDEX('01-كانون الثاني'!$Q$2:$Q$501,V392),IF($AO$1=1,0,"")))</f>
        <v/>
      </c>
      <c r="AA392" s="39" t="str">
        <f t="shared" si="133"/>
        <v/>
      </c>
      <c r="AB392" s="40" t="str">
        <f>IF(OR(L392="",V392=0),"",IF(AND(N(I392)&gt;0,N(INDEX('01-كانون الثاني'!$I$2:$I$501,V392))&gt;0,INDEX('01-كانون الثاني'!$F$2:$F$501,V392)=F392),N(I392)/N(INDEX('01-كانون الثاني'!$I$2:$I$501,V392))-1,""))</f>
        <v/>
      </c>
      <c r="AC392" t="str">
        <f>IF(L392="","",IF(AND($AO$2=1,ISNA(MATCH(L392,'03-آذار'!$L$2:$L$501,0))),"محذوف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IF(L393="","",IF($AO$1=1,IFERROR(MATCH(L393,'01-كانون الثاني'!$L$2:$L$501,0),0),0))</f>
        <v/>
      </c>
      <c r="W393" t="str">
        <f t="shared" si="131"/>
        <v/>
      </c>
      <c r="X393" s="38" t="str">
        <f>IF(L393="","",IF(V393&gt;0,INDEX('01-كانون الثاني'!$P$2:$P$501,V393),IF($AO$1=1,0,"")))</f>
        <v/>
      </c>
      <c r="Y393" s="38" t="str">
        <f t="shared" si="132"/>
        <v/>
      </c>
      <c r="Z393" s="39" t="str">
        <f>IF(L393="","",IF(V393&gt;0,INDEX('01-كانون الثاني'!$Q$2:$Q$501,V393),IF($AO$1=1,0,"")))</f>
        <v/>
      </c>
      <c r="AA393" s="39" t="str">
        <f t="shared" si="133"/>
        <v/>
      </c>
      <c r="AB393" s="40" t="str">
        <f>IF(OR(L393="",V393=0),"",IF(AND(N(I393)&gt;0,N(INDEX('01-كانون الثاني'!$I$2:$I$501,V393))&gt;0,INDEX('01-كانون الثاني'!$F$2:$F$501,V393)=F393),N(I393)/N(INDEX('01-كانون الثاني'!$I$2:$I$501,V393))-1,""))</f>
        <v/>
      </c>
      <c r="AC393" t="str">
        <f>IF(L393="","",IF(AND($AO$2=1,ISNA(MATCH(L393,'03-آذار'!$L$2:$L$501,0))),"محذوف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IF(L394="","",IF($AO$1=1,IFERROR(MATCH(L394,'01-كانون الثاني'!$L$2:$L$501,0),0),0))</f>
        <v/>
      </c>
      <c r="W394" t="str">
        <f t="shared" si="131"/>
        <v/>
      </c>
      <c r="X394" s="38" t="str">
        <f>IF(L394="","",IF(V394&gt;0,INDEX('01-كانون الثاني'!$P$2:$P$501,V394),IF($AO$1=1,0,"")))</f>
        <v/>
      </c>
      <c r="Y394" s="38" t="str">
        <f t="shared" si="132"/>
        <v/>
      </c>
      <c r="Z394" s="39" t="str">
        <f>IF(L394="","",IF(V394&gt;0,INDEX('01-كانون الثاني'!$Q$2:$Q$501,V394),IF($AO$1=1,0,"")))</f>
        <v/>
      </c>
      <c r="AA394" s="39" t="str">
        <f t="shared" si="133"/>
        <v/>
      </c>
      <c r="AB394" s="40" t="str">
        <f>IF(OR(L394="",V394=0),"",IF(AND(N(I394)&gt;0,N(INDEX('01-كانون الثاني'!$I$2:$I$501,V394))&gt;0,INDEX('01-كانون الثاني'!$F$2:$F$501,V394)=F394),N(I394)/N(INDEX('01-كانون الثاني'!$I$2:$I$501,V394))-1,""))</f>
        <v/>
      </c>
      <c r="AC394" t="str">
        <f>IF(L394="","",IF(AND($AO$2=1,ISNA(MATCH(L394,'03-آذار'!$L$2:$L$501,0))),"محذوف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IF(L395="","",IF($AO$1=1,IFERROR(MATCH(L395,'01-كانون الثاني'!$L$2:$L$501,0),0),0))</f>
        <v/>
      </c>
      <c r="W395" t="str">
        <f t="shared" si="131"/>
        <v/>
      </c>
      <c r="X395" s="38" t="str">
        <f>IF(L395="","",IF(V395&gt;0,INDEX('01-كانون الثاني'!$P$2:$P$501,V395),IF($AO$1=1,0,"")))</f>
        <v/>
      </c>
      <c r="Y395" s="38" t="str">
        <f t="shared" si="132"/>
        <v/>
      </c>
      <c r="Z395" s="39" t="str">
        <f>IF(L395="","",IF(V395&gt;0,INDEX('01-كانون الثاني'!$Q$2:$Q$501,V395),IF($AO$1=1,0,"")))</f>
        <v/>
      </c>
      <c r="AA395" s="39" t="str">
        <f t="shared" si="133"/>
        <v/>
      </c>
      <c r="AB395" s="40" t="str">
        <f>IF(OR(L395="",V395=0),"",IF(AND(N(I395)&gt;0,N(INDEX('01-كانون الثاني'!$I$2:$I$501,V395))&gt;0,INDEX('01-كانون الثاني'!$F$2:$F$501,V395)=F395),N(I395)/N(INDEX('01-كانون الثاني'!$I$2:$I$501,V395))-1,""))</f>
        <v/>
      </c>
      <c r="AC395" t="str">
        <f>IF(L395="","",IF(AND($AO$2=1,ISNA(MATCH(L395,'03-آذار'!$L$2:$L$501,0))),"محذوف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IF(L396="","",IF($AO$1=1,IFERROR(MATCH(L396,'01-كانون الثاني'!$L$2:$L$501,0),0),0))</f>
        <v/>
      </c>
      <c r="W396" t="str">
        <f t="shared" si="131"/>
        <v/>
      </c>
      <c r="X396" s="38" t="str">
        <f>IF(L396="","",IF(V396&gt;0,INDEX('01-كانون الثاني'!$P$2:$P$501,V396),IF($AO$1=1,0,"")))</f>
        <v/>
      </c>
      <c r="Y396" s="38" t="str">
        <f t="shared" si="132"/>
        <v/>
      </c>
      <c r="Z396" s="39" t="str">
        <f>IF(L396="","",IF(V396&gt;0,INDEX('01-كانون الثاني'!$Q$2:$Q$501,V396),IF($AO$1=1,0,"")))</f>
        <v/>
      </c>
      <c r="AA396" s="39" t="str">
        <f t="shared" si="133"/>
        <v/>
      </c>
      <c r="AB396" s="40" t="str">
        <f>IF(OR(L396="",V396=0),"",IF(AND(N(I396)&gt;0,N(INDEX('01-كانون الثاني'!$I$2:$I$501,V396))&gt;0,INDEX('01-كانون الثاني'!$F$2:$F$501,V396)=F396),N(I396)/N(INDEX('01-كانون الثاني'!$I$2:$I$501,V396))-1,""))</f>
        <v/>
      </c>
      <c r="AC396" t="str">
        <f>IF(L396="","",IF(AND($AO$2=1,ISNA(MATCH(L396,'03-آذار'!$L$2:$L$501,0))),"محذوف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IF(L397="","",IF($AO$1=1,IFERROR(MATCH(L397,'01-كانون الثاني'!$L$2:$L$501,0),0),0))</f>
        <v/>
      </c>
      <c r="W397" t="str">
        <f t="shared" si="131"/>
        <v/>
      </c>
      <c r="X397" s="38" t="str">
        <f>IF(L397="","",IF(V397&gt;0,INDEX('01-كانون الثاني'!$P$2:$P$501,V397),IF($AO$1=1,0,"")))</f>
        <v/>
      </c>
      <c r="Y397" s="38" t="str">
        <f t="shared" si="132"/>
        <v/>
      </c>
      <c r="Z397" s="39" t="str">
        <f>IF(L397="","",IF(V397&gt;0,INDEX('01-كانون الثاني'!$Q$2:$Q$501,V397),IF($AO$1=1,0,"")))</f>
        <v/>
      </c>
      <c r="AA397" s="39" t="str">
        <f t="shared" si="133"/>
        <v/>
      </c>
      <c r="AB397" s="40" t="str">
        <f>IF(OR(L397="",V397=0),"",IF(AND(N(I397)&gt;0,N(INDEX('01-كانون الثاني'!$I$2:$I$501,V397))&gt;0,INDEX('01-كانون الثاني'!$F$2:$F$501,V397)=F397),N(I397)/N(INDEX('01-كانون الثاني'!$I$2:$I$501,V397))-1,""))</f>
        <v/>
      </c>
      <c r="AC397" t="str">
        <f>IF(L397="","",IF(AND($AO$2=1,ISNA(MATCH(L397,'03-آذار'!$L$2:$L$501,0))),"محذوف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IF(L398="","",IF($AO$1=1,IFERROR(MATCH(L398,'01-كانون الثاني'!$L$2:$L$501,0),0),0))</f>
        <v/>
      </c>
      <c r="W398" t="str">
        <f t="shared" si="131"/>
        <v/>
      </c>
      <c r="X398" s="38" t="str">
        <f>IF(L398="","",IF(V398&gt;0,INDEX('01-كانون الثاني'!$P$2:$P$501,V398),IF($AO$1=1,0,"")))</f>
        <v/>
      </c>
      <c r="Y398" s="38" t="str">
        <f t="shared" si="132"/>
        <v/>
      </c>
      <c r="Z398" s="39" t="str">
        <f>IF(L398="","",IF(V398&gt;0,INDEX('01-كانون الثاني'!$Q$2:$Q$501,V398),IF($AO$1=1,0,"")))</f>
        <v/>
      </c>
      <c r="AA398" s="39" t="str">
        <f t="shared" si="133"/>
        <v/>
      </c>
      <c r="AB398" s="40" t="str">
        <f>IF(OR(L398="",V398=0),"",IF(AND(N(I398)&gt;0,N(INDEX('01-كانون الثاني'!$I$2:$I$501,V398))&gt;0,INDEX('01-كانون الثاني'!$F$2:$F$501,V398)=F398),N(I398)/N(INDEX('01-كانون الثاني'!$I$2:$I$501,V398))-1,""))</f>
        <v/>
      </c>
      <c r="AC398" t="str">
        <f>IF(L398="","",IF(AND($AO$2=1,ISNA(MATCH(L398,'03-آذار'!$L$2:$L$501,0))),"محذوف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IF(L399="","",IF($AO$1=1,IFERROR(MATCH(L399,'01-كانون الثاني'!$L$2:$L$501,0),0),0))</f>
        <v/>
      </c>
      <c r="W399" t="str">
        <f t="shared" si="131"/>
        <v/>
      </c>
      <c r="X399" s="38" t="str">
        <f>IF(L399="","",IF(V399&gt;0,INDEX('01-كانون الثاني'!$P$2:$P$501,V399),IF($AO$1=1,0,"")))</f>
        <v/>
      </c>
      <c r="Y399" s="38" t="str">
        <f t="shared" si="132"/>
        <v/>
      </c>
      <c r="Z399" s="39" t="str">
        <f>IF(L399="","",IF(V399&gt;0,INDEX('01-كانون الثاني'!$Q$2:$Q$501,V399),IF($AO$1=1,0,"")))</f>
        <v/>
      </c>
      <c r="AA399" s="39" t="str">
        <f t="shared" si="133"/>
        <v/>
      </c>
      <c r="AB399" s="40" t="str">
        <f>IF(OR(L399="",V399=0),"",IF(AND(N(I399)&gt;0,N(INDEX('01-كانون الثاني'!$I$2:$I$501,V399))&gt;0,INDEX('01-كانون الثاني'!$F$2:$F$501,V399)=F399),N(I399)/N(INDEX('01-كانون الثاني'!$I$2:$I$501,V399))-1,""))</f>
        <v/>
      </c>
      <c r="AC399" t="str">
        <f>IF(L399="","",IF(AND($AO$2=1,ISNA(MATCH(L399,'03-آذار'!$L$2:$L$501,0))),"محذوف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IF(L400="","",IF($AO$1=1,IFERROR(MATCH(L400,'01-كانون الثاني'!$L$2:$L$501,0),0),0))</f>
        <v/>
      </c>
      <c r="W400" t="str">
        <f t="shared" si="131"/>
        <v/>
      </c>
      <c r="X400" s="38" t="str">
        <f>IF(L400="","",IF(V400&gt;0,INDEX('01-كانون الثاني'!$P$2:$P$501,V400),IF($AO$1=1,0,"")))</f>
        <v/>
      </c>
      <c r="Y400" s="38" t="str">
        <f t="shared" si="132"/>
        <v/>
      </c>
      <c r="Z400" s="39" t="str">
        <f>IF(L400="","",IF(V400&gt;0,INDEX('01-كانون الثاني'!$Q$2:$Q$501,V400),IF($AO$1=1,0,"")))</f>
        <v/>
      </c>
      <c r="AA400" s="39" t="str">
        <f t="shared" si="133"/>
        <v/>
      </c>
      <c r="AB400" s="40" t="str">
        <f>IF(OR(L400="",V400=0),"",IF(AND(N(I400)&gt;0,N(INDEX('01-كانون الثاني'!$I$2:$I$501,V400))&gt;0,INDEX('01-كانون الثاني'!$F$2:$F$501,V400)=F400),N(I400)/N(INDEX('01-كانون الثاني'!$I$2:$I$501,V400))-1,""))</f>
        <v/>
      </c>
      <c r="AC400" t="str">
        <f>IF(L400="","",IF(AND($AO$2=1,ISNA(MATCH(L400,'03-آذار'!$L$2:$L$501,0))),"محذوف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IF(L401="","",IF($AO$1=1,IFERROR(MATCH(L401,'01-كانون الثاني'!$L$2:$L$501,0),0),0))</f>
        <v/>
      </c>
      <c r="W401" t="str">
        <f t="shared" si="131"/>
        <v/>
      </c>
      <c r="X401" s="38" t="str">
        <f>IF(L401="","",IF(V401&gt;0,INDEX('01-كانون الثاني'!$P$2:$P$501,V401),IF($AO$1=1,0,"")))</f>
        <v/>
      </c>
      <c r="Y401" s="38" t="str">
        <f t="shared" si="132"/>
        <v/>
      </c>
      <c r="Z401" s="39" t="str">
        <f>IF(L401="","",IF(V401&gt;0,INDEX('01-كانون الثاني'!$Q$2:$Q$501,V401),IF($AO$1=1,0,"")))</f>
        <v/>
      </c>
      <c r="AA401" s="39" t="str">
        <f t="shared" si="133"/>
        <v/>
      </c>
      <c r="AB401" s="40" t="str">
        <f>IF(OR(L401="",V401=0),"",IF(AND(N(I401)&gt;0,N(INDEX('01-كانون الثاني'!$I$2:$I$501,V401))&gt;0,INDEX('01-كانون الثاني'!$F$2:$F$501,V401)=F401),N(I401)/N(INDEX('01-كانون الثاني'!$I$2:$I$501,V401))-1,""))</f>
        <v/>
      </c>
      <c r="AC401" t="str">
        <f>IF(L401="","",IF(AND($AO$2=1,ISNA(MATCH(L401,'03-آذار'!$L$2:$L$501,0))),"محذوف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IF(L402="","",IF($AO$1=1,IFERROR(MATCH(L402,'01-كانون الثاني'!$L$2:$L$501,0),0),0))</f>
        <v/>
      </c>
      <c r="W402" t="str">
        <f t="shared" si="131"/>
        <v/>
      </c>
      <c r="X402" s="38" t="str">
        <f>IF(L402="","",IF(V402&gt;0,INDEX('01-كانون الثاني'!$P$2:$P$501,V402),IF($AO$1=1,0,"")))</f>
        <v/>
      </c>
      <c r="Y402" s="38" t="str">
        <f t="shared" si="132"/>
        <v/>
      </c>
      <c r="Z402" s="39" t="str">
        <f>IF(L402="","",IF(V402&gt;0,INDEX('01-كانون الثاني'!$Q$2:$Q$501,V402),IF($AO$1=1,0,"")))</f>
        <v/>
      </c>
      <c r="AA402" s="39" t="str">
        <f t="shared" si="133"/>
        <v/>
      </c>
      <c r="AB402" s="40" t="str">
        <f>IF(OR(L402="",V402=0),"",IF(AND(N(I402)&gt;0,N(INDEX('01-كانون الثاني'!$I$2:$I$501,V402))&gt;0,INDEX('01-كانون الثاني'!$F$2:$F$501,V402)=F402),N(I402)/N(INDEX('01-كانون الثاني'!$I$2:$I$501,V402))-1,""))</f>
        <v/>
      </c>
      <c r="AC402" t="str">
        <f>IF(L402="","",IF(AND($AO$2=1,ISNA(MATCH(L402,'03-آذار'!$L$2:$L$501,0))),"محذوف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IF(L403="","",IF($AO$1=1,IFERROR(MATCH(L403,'01-كانون الثاني'!$L$2:$L$501,0),0),0))</f>
        <v/>
      </c>
      <c r="W403" t="str">
        <f t="shared" si="131"/>
        <v/>
      </c>
      <c r="X403" s="38" t="str">
        <f>IF(L403="","",IF(V403&gt;0,INDEX('01-كانون الثاني'!$P$2:$P$501,V403),IF($AO$1=1,0,"")))</f>
        <v/>
      </c>
      <c r="Y403" s="38" t="str">
        <f t="shared" si="132"/>
        <v/>
      </c>
      <c r="Z403" s="39" t="str">
        <f>IF(L403="","",IF(V403&gt;0,INDEX('01-كانون الثاني'!$Q$2:$Q$501,V403),IF($AO$1=1,0,"")))</f>
        <v/>
      </c>
      <c r="AA403" s="39" t="str">
        <f t="shared" si="133"/>
        <v/>
      </c>
      <c r="AB403" s="40" t="str">
        <f>IF(OR(L403="",V403=0),"",IF(AND(N(I403)&gt;0,N(INDEX('01-كانون الثاني'!$I$2:$I$501,V403))&gt;0,INDEX('01-كانون الثاني'!$F$2:$F$501,V403)=F403),N(I403)/N(INDEX('01-كانون الثاني'!$I$2:$I$501,V403))-1,""))</f>
        <v/>
      </c>
      <c r="AC403" t="str">
        <f>IF(L403="","",IF(AND($AO$2=1,ISNA(MATCH(L403,'03-آذار'!$L$2:$L$501,0))),"محذوف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IF(L404="","",IF($AO$1=1,IFERROR(MATCH(L404,'01-كانون الثاني'!$L$2:$L$501,0),0),0))</f>
        <v/>
      </c>
      <c r="W404" t="str">
        <f t="shared" si="131"/>
        <v/>
      </c>
      <c r="X404" s="38" t="str">
        <f>IF(L404="","",IF(V404&gt;0,INDEX('01-كانون الثاني'!$P$2:$P$501,V404),IF($AO$1=1,0,"")))</f>
        <v/>
      </c>
      <c r="Y404" s="38" t="str">
        <f t="shared" si="132"/>
        <v/>
      </c>
      <c r="Z404" s="39" t="str">
        <f>IF(L404="","",IF(V404&gt;0,INDEX('01-كانون الثاني'!$Q$2:$Q$501,V404),IF($AO$1=1,0,"")))</f>
        <v/>
      </c>
      <c r="AA404" s="39" t="str">
        <f t="shared" si="133"/>
        <v/>
      </c>
      <c r="AB404" s="40" t="str">
        <f>IF(OR(L404="",V404=0),"",IF(AND(N(I404)&gt;0,N(INDEX('01-كانون الثاني'!$I$2:$I$501,V404))&gt;0,INDEX('01-كانون الثاني'!$F$2:$F$501,V404)=F404),N(I404)/N(INDEX('01-كانون الثاني'!$I$2:$I$501,V404))-1,""))</f>
        <v/>
      </c>
      <c r="AC404" t="str">
        <f>IF(L404="","",IF(AND($AO$2=1,ISNA(MATCH(L404,'03-آذار'!$L$2:$L$501,0))),"محذوف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IF(L405="","",IF($AO$1=1,IFERROR(MATCH(L405,'01-كانون الثاني'!$L$2:$L$501,0),0),0))</f>
        <v/>
      </c>
      <c r="W405" t="str">
        <f t="shared" si="131"/>
        <v/>
      </c>
      <c r="X405" s="38" t="str">
        <f>IF(L405="","",IF(V405&gt;0,INDEX('01-كانون الثاني'!$P$2:$P$501,V405),IF($AO$1=1,0,"")))</f>
        <v/>
      </c>
      <c r="Y405" s="38" t="str">
        <f t="shared" si="132"/>
        <v/>
      </c>
      <c r="Z405" s="39" t="str">
        <f>IF(L405="","",IF(V405&gt;0,INDEX('01-كانون الثاني'!$Q$2:$Q$501,V405),IF($AO$1=1,0,"")))</f>
        <v/>
      </c>
      <c r="AA405" s="39" t="str">
        <f t="shared" si="133"/>
        <v/>
      </c>
      <c r="AB405" s="40" t="str">
        <f>IF(OR(L405="",V405=0),"",IF(AND(N(I405)&gt;0,N(INDEX('01-كانون الثاني'!$I$2:$I$501,V405))&gt;0,INDEX('01-كانون الثاني'!$F$2:$F$501,V405)=F405),N(I405)/N(INDEX('01-كانون الثاني'!$I$2:$I$501,V405))-1,""))</f>
        <v/>
      </c>
      <c r="AC405" t="str">
        <f>IF(L405="","",IF(AND($AO$2=1,ISNA(MATCH(L405,'03-آذار'!$L$2:$L$501,0))),"محذوف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IF(L406="","",IF($AO$1=1,IFERROR(MATCH(L406,'01-كانون الثاني'!$L$2:$L$501,0),0),0))</f>
        <v/>
      </c>
      <c r="W406" t="str">
        <f t="shared" si="131"/>
        <v/>
      </c>
      <c r="X406" s="38" t="str">
        <f>IF(L406="","",IF(V406&gt;0,INDEX('01-كانون الثاني'!$P$2:$P$501,V406),IF($AO$1=1,0,"")))</f>
        <v/>
      </c>
      <c r="Y406" s="38" t="str">
        <f t="shared" si="132"/>
        <v/>
      </c>
      <c r="Z406" s="39" t="str">
        <f>IF(L406="","",IF(V406&gt;0,INDEX('01-كانون الثاني'!$Q$2:$Q$501,V406),IF($AO$1=1,0,"")))</f>
        <v/>
      </c>
      <c r="AA406" s="39" t="str">
        <f t="shared" si="133"/>
        <v/>
      </c>
      <c r="AB406" s="40" t="str">
        <f>IF(OR(L406="",V406=0),"",IF(AND(N(I406)&gt;0,N(INDEX('01-كانون الثاني'!$I$2:$I$501,V406))&gt;0,INDEX('01-كانون الثاني'!$F$2:$F$501,V406)=F406),N(I406)/N(INDEX('01-كانون الثاني'!$I$2:$I$501,V406))-1,""))</f>
        <v/>
      </c>
      <c r="AC406" t="str">
        <f>IF(L406="","",IF(AND($AO$2=1,ISNA(MATCH(L406,'03-آذار'!$L$2:$L$501,0))),"محذوف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IF(L407="","",IF($AO$1=1,IFERROR(MATCH(L407,'01-كانون الثاني'!$L$2:$L$501,0),0),0))</f>
        <v/>
      </c>
      <c r="W407" t="str">
        <f t="shared" si="131"/>
        <v/>
      </c>
      <c r="X407" s="38" t="str">
        <f>IF(L407="","",IF(V407&gt;0,INDEX('01-كانون الثاني'!$P$2:$P$501,V407),IF($AO$1=1,0,"")))</f>
        <v/>
      </c>
      <c r="Y407" s="38" t="str">
        <f t="shared" si="132"/>
        <v/>
      </c>
      <c r="Z407" s="39" t="str">
        <f>IF(L407="","",IF(V407&gt;0,INDEX('01-كانون الثاني'!$Q$2:$Q$501,V407),IF($AO$1=1,0,"")))</f>
        <v/>
      </c>
      <c r="AA407" s="39" t="str">
        <f t="shared" si="133"/>
        <v/>
      </c>
      <c r="AB407" s="40" t="str">
        <f>IF(OR(L407="",V407=0),"",IF(AND(N(I407)&gt;0,N(INDEX('01-كانون الثاني'!$I$2:$I$501,V407))&gt;0,INDEX('01-كانون الثاني'!$F$2:$F$501,V407)=F407),N(I407)/N(INDEX('01-كانون الثاني'!$I$2:$I$501,V407))-1,""))</f>
        <v/>
      </c>
      <c r="AC407" t="str">
        <f>IF(L407="","",IF(AND($AO$2=1,ISNA(MATCH(L407,'03-آذار'!$L$2:$L$501,0))),"محذوف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IF(L408="","",IF($AO$1=1,IFERROR(MATCH(L408,'01-كانون الثاني'!$L$2:$L$501,0),0),0))</f>
        <v/>
      </c>
      <c r="W408" t="str">
        <f t="shared" si="131"/>
        <v/>
      </c>
      <c r="X408" s="38" t="str">
        <f>IF(L408="","",IF(V408&gt;0,INDEX('01-كانون الثاني'!$P$2:$P$501,V408),IF($AO$1=1,0,"")))</f>
        <v/>
      </c>
      <c r="Y408" s="38" t="str">
        <f t="shared" si="132"/>
        <v/>
      </c>
      <c r="Z408" s="39" t="str">
        <f>IF(L408="","",IF(V408&gt;0,INDEX('01-كانون الثاني'!$Q$2:$Q$501,V408),IF($AO$1=1,0,"")))</f>
        <v/>
      </c>
      <c r="AA408" s="39" t="str">
        <f t="shared" si="133"/>
        <v/>
      </c>
      <c r="AB408" s="40" t="str">
        <f>IF(OR(L408="",V408=0),"",IF(AND(N(I408)&gt;0,N(INDEX('01-كانون الثاني'!$I$2:$I$501,V408))&gt;0,INDEX('01-كانون الثاني'!$F$2:$F$501,V408)=F408),N(I408)/N(INDEX('01-كانون الثاني'!$I$2:$I$501,V408))-1,""))</f>
        <v/>
      </c>
      <c r="AC408" t="str">
        <f>IF(L408="","",IF(AND($AO$2=1,ISNA(MATCH(L408,'03-آذار'!$L$2:$L$501,0))),"محذوف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IF(L409="","",IF($AO$1=1,IFERROR(MATCH(L409,'01-كانون الثاني'!$L$2:$L$501,0),0),0))</f>
        <v/>
      </c>
      <c r="W409" t="str">
        <f t="shared" si="131"/>
        <v/>
      </c>
      <c r="X409" s="38" t="str">
        <f>IF(L409="","",IF(V409&gt;0,INDEX('01-كانون الثاني'!$P$2:$P$501,V409),IF($AO$1=1,0,"")))</f>
        <v/>
      </c>
      <c r="Y409" s="38" t="str">
        <f t="shared" si="132"/>
        <v/>
      </c>
      <c r="Z409" s="39" t="str">
        <f>IF(L409="","",IF(V409&gt;0,INDEX('01-كانون الثاني'!$Q$2:$Q$501,V409),IF($AO$1=1,0,"")))</f>
        <v/>
      </c>
      <c r="AA409" s="39" t="str">
        <f t="shared" si="133"/>
        <v/>
      </c>
      <c r="AB409" s="40" t="str">
        <f>IF(OR(L409="",V409=0),"",IF(AND(N(I409)&gt;0,N(INDEX('01-كانون الثاني'!$I$2:$I$501,V409))&gt;0,INDEX('01-كانون الثاني'!$F$2:$F$501,V409)=F409),N(I409)/N(INDEX('01-كانون الثاني'!$I$2:$I$501,V409))-1,""))</f>
        <v/>
      </c>
      <c r="AC409" t="str">
        <f>IF(L409="","",IF(AND($AO$2=1,ISNA(MATCH(L409,'03-آذار'!$L$2:$L$501,0))),"محذوف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IF(L410="","",IF($AO$1=1,IFERROR(MATCH(L410,'01-كانون الثاني'!$L$2:$L$501,0),0),0))</f>
        <v/>
      </c>
      <c r="W410" t="str">
        <f t="shared" si="131"/>
        <v/>
      </c>
      <c r="X410" s="38" t="str">
        <f>IF(L410="","",IF(V410&gt;0,INDEX('01-كانون الثاني'!$P$2:$P$501,V410),IF($AO$1=1,0,"")))</f>
        <v/>
      </c>
      <c r="Y410" s="38" t="str">
        <f t="shared" si="132"/>
        <v/>
      </c>
      <c r="Z410" s="39" t="str">
        <f>IF(L410="","",IF(V410&gt;0,INDEX('01-كانون الثاني'!$Q$2:$Q$501,V410),IF($AO$1=1,0,"")))</f>
        <v/>
      </c>
      <c r="AA410" s="39" t="str">
        <f t="shared" si="133"/>
        <v/>
      </c>
      <c r="AB410" s="40" t="str">
        <f>IF(OR(L410="",V410=0),"",IF(AND(N(I410)&gt;0,N(INDEX('01-كانون الثاني'!$I$2:$I$501,V410))&gt;0,INDEX('01-كانون الثاني'!$F$2:$F$501,V410)=F410),N(I410)/N(INDEX('01-كانون الثاني'!$I$2:$I$501,V410))-1,""))</f>
        <v/>
      </c>
      <c r="AC410" t="str">
        <f>IF(L410="","",IF(AND($AO$2=1,ISNA(MATCH(L410,'03-آذار'!$L$2:$L$501,0))),"محذوف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IF(L411="","",IF($AO$1=1,IFERROR(MATCH(L411,'01-كانون الثاني'!$L$2:$L$501,0),0),0))</f>
        <v/>
      </c>
      <c r="W411" t="str">
        <f t="shared" si="131"/>
        <v/>
      </c>
      <c r="X411" s="38" t="str">
        <f>IF(L411="","",IF(V411&gt;0,INDEX('01-كانون الثاني'!$P$2:$P$501,V411),IF($AO$1=1,0,"")))</f>
        <v/>
      </c>
      <c r="Y411" s="38" t="str">
        <f t="shared" si="132"/>
        <v/>
      </c>
      <c r="Z411" s="39" t="str">
        <f>IF(L411="","",IF(V411&gt;0,INDEX('01-كانون الثاني'!$Q$2:$Q$501,V411),IF($AO$1=1,0,"")))</f>
        <v/>
      </c>
      <c r="AA411" s="39" t="str">
        <f t="shared" si="133"/>
        <v/>
      </c>
      <c r="AB411" s="40" t="str">
        <f>IF(OR(L411="",V411=0),"",IF(AND(N(I411)&gt;0,N(INDEX('01-كانون الثاني'!$I$2:$I$501,V411))&gt;0,INDEX('01-كانون الثاني'!$F$2:$F$501,V411)=F411),N(I411)/N(INDEX('01-كانون الثاني'!$I$2:$I$501,V411))-1,""))</f>
        <v/>
      </c>
      <c r="AC411" t="str">
        <f>IF(L411="","",IF(AND($AO$2=1,ISNA(MATCH(L411,'03-آذار'!$L$2:$L$501,0))),"محذوف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IF(L412="","",IF($AO$1=1,IFERROR(MATCH(L412,'01-كانون الثاني'!$L$2:$L$501,0),0),0))</f>
        <v/>
      </c>
      <c r="W412" t="str">
        <f t="shared" si="131"/>
        <v/>
      </c>
      <c r="X412" s="38" t="str">
        <f>IF(L412="","",IF(V412&gt;0,INDEX('01-كانون الثاني'!$P$2:$P$501,V412),IF($AO$1=1,0,"")))</f>
        <v/>
      </c>
      <c r="Y412" s="38" t="str">
        <f t="shared" si="132"/>
        <v/>
      </c>
      <c r="Z412" s="39" t="str">
        <f>IF(L412="","",IF(V412&gt;0,INDEX('01-كانون الثاني'!$Q$2:$Q$501,V412),IF($AO$1=1,0,"")))</f>
        <v/>
      </c>
      <c r="AA412" s="39" t="str">
        <f t="shared" si="133"/>
        <v/>
      </c>
      <c r="AB412" s="40" t="str">
        <f>IF(OR(L412="",V412=0),"",IF(AND(N(I412)&gt;0,N(INDEX('01-كانون الثاني'!$I$2:$I$501,V412))&gt;0,INDEX('01-كانون الثاني'!$F$2:$F$501,V412)=F412),N(I412)/N(INDEX('01-كانون الثاني'!$I$2:$I$501,V412))-1,""))</f>
        <v/>
      </c>
      <c r="AC412" t="str">
        <f>IF(L412="","",IF(AND($AO$2=1,ISNA(MATCH(L412,'03-آذار'!$L$2:$L$501,0))),"محذوف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IF(L413="","",IF($AO$1=1,IFERROR(MATCH(L413,'01-كانون الثاني'!$L$2:$L$501,0),0),0))</f>
        <v/>
      </c>
      <c r="W413" t="str">
        <f t="shared" si="131"/>
        <v/>
      </c>
      <c r="X413" s="38" t="str">
        <f>IF(L413="","",IF(V413&gt;0,INDEX('01-كانون الثاني'!$P$2:$P$501,V413),IF($AO$1=1,0,"")))</f>
        <v/>
      </c>
      <c r="Y413" s="38" t="str">
        <f t="shared" si="132"/>
        <v/>
      </c>
      <c r="Z413" s="39" t="str">
        <f>IF(L413="","",IF(V413&gt;0,INDEX('01-كانون الثاني'!$Q$2:$Q$501,V413),IF($AO$1=1,0,"")))</f>
        <v/>
      </c>
      <c r="AA413" s="39" t="str">
        <f t="shared" si="133"/>
        <v/>
      </c>
      <c r="AB413" s="40" t="str">
        <f>IF(OR(L413="",V413=0),"",IF(AND(N(I413)&gt;0,N(INDEX('01-كانون الثاني'!$I$2:$I$501,V413))&gt;0,INDEX('01-كانون الثاني'!$F$2:$F$501,V413)=F413),N(I413)/N(INDEX('01-كانون الثاني'!$I$2:$I$501,V413))-1,""))</f>
        <v/>
      </c>
      <c r="AC413" t="str">
        <f>IF(L413="","",IF(AND($AO$2=1,ISNA(MATCH(L413,'03-آذار'!$L$2:$L$501,0))),"محذوف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IF(L414="","",IF($AO$1=1,IFERROR(MATCH(L414,'01-كانون الثاني'!$L$2:$L$501,0),0),0))</f>
        <v/>
      </c>
      <c r="W414" t="str">
        <f t="shared" si="131"/>
        <v/>
      </c>
      <c r="X414" s="38" t="str">
        <f>IF(L414="","",IF(V414&gt;0,INDEX('01-كانون الثاني'!$P$2:$P$501,V414),IF($AO$1=1,0,"")))</f>
        <v/>
      </c>
      <c r="Y414" s="38" t="str">
        <f t="shared" si="132"/>
        <v/>
      </c>
      <c r="Z414" s="39" t="str">
        <f>IF(L414="","",IF(V414&gt;0,INDEX('01-كانون الثاني'!$Q$2:$Q$501,V414),IF($AO$1=1,0,"")))</f>
        <v/>
      </c>
      <c r="AA414" s="39" t="str">
        <f t="shared" si="133"/>
        <v/>
      </c>
      <c r="AB414" s="40" t="str">
        <f>IF(OR(L414="",V414=0),"",IF(AND(N(I414)&gt;0,N(INDEX('01-كانون الثاني'!$I$2:$I$501,V414))&gt;0,INDEX('01-كانون الثاني'!$F$2:$F$501,V414)=F414),N(I414)/N(INDEX('01-كانون الثاني'!$I$2:$I$501,V414))-1,""))</f>
        <v/>
      </c>
      <c r="AC414" t="str">
        <f>IF(L414="","",IF(AND($AO$2=1,ISNA(MATCH(L414,'03-آذار'!$L$2:$L$501,0))),"محذوف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IF(L415="","",IF($AO$1=1,IFERROR(MATCH(L415,'01-كانون الثاني'!$L$2:$L$501,0),0),0))</f>
        <v/>
      </c>
      <c r="W415" t="str">
        <f t="shared" si="131"/>
        <v/>
      </c>
      <c r="X415" s="38" t="str">
        <f>IF(L415="","",IF(V415&gt;0,INDEX('01-كانون الثاني'!$P$2:$P$501,V415),IF($AO$1=1,0,"")))</f>
        <v/>
      </c>
      <c r="Y415" s="38" t="str">
        <f t="shared" si="132"/>
        <v/>
      </c>
      <c r="Z415" s="39" t="str">
        <f>IF(L415="","",IF(V415&gt;0,INDEX('01-كانون الثاني'!$Q$2:$Q$501,V415),IF($AO$1=1,0,"")))</f>
        <v/>
      </c>
      <c r="AA415" s="39" t="str">
        <f t="shared" si="133"/>
        <v/>
      </c>
      <c r="AB415" s="40" t="str">
        <f>IF(OR(L415="",V415=0),"",IF(AND(N(I415)&gt;0,N(INDEX('01-كانون الثاني'!$I$2:$I$501,V415))&gt;0,INDEX('01-كانون الثاني'!$F$2:$F$501,V415)=F415),N(I415)/N(INDEX('01-كانون الثاني'!$I$2:$I$501,V415))-1,""))</f>
        <v/>
      </c>
      <c r="AC415" t="str">
        <f>IF(L415="","",IF(AND($AO$2=1,ISNA(MATCH(L415,'03-آذار'!$L$2:$L$501,0))),"محذوف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IF(L416="","",IF($AO$1=1,IFERROR(MATCH(L416,'01-كانون الثاني'!$L$2:$L$501,0),0),0))</f>
        <v/>
      </c>
      <c r="W416" t="str">
        <f t="shared" si="131"/>
        <v/>
      </c>
      <c r="X416" s="38" t="str">
        <f>IF(L416="","",IF(V416&gt;0,INDEX('01-كانون الثاني'!$P$2:$P$501,V416),IF($AO$1=1,0,"")))</f>
        <v/>
      </c>
      <c r="Y416" s="38" t="str">
        <f t="shared" si="132"/>
        <v/>
      </c>
      <c r="Z416" s="39" t="str">
        <f>IF(L416="","",IF(V416&gt;0,INDEX('01-كانون الثاني'!$Q$2:$Q$501,V416),IF($AO$1=1,0,"")))</f>
        <v/>
      </c>
      <c r="AA416" s="39" t="str">
        <f t="shared" si="133"/>
        <v/>
      </c>
      <c r="AB416" s="40" t="str">
        <f>IF(OR(L416="",V416=0),"",IF(AND(N(I416)&gt;0,N(INDEX('01-كانون الثاني'!$I$2:$I$501,V416))&gt;0,INDEX('01-كانون الثاني'!$F$2:$F$501,V416)=F416),N(I416)/N(INDEX('01-كانون الثاني'!$I$2:$I$501,V416))-1,""))</f>
        <v/>
      </c>
      <c r="AC416" t="str">
        <f>IF(L416="","",IF(AND($AO$2=1,ISNA(MATCH(L416,'03-آذار'!$L$2:$L$501,0))),"محذوف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IF(L417="","",IF($AO$1=1,IFERROR(MATCH(L417,'01-كانون الثاني'!$L$2:$L$501,0),0),0))</f>
        <v/>
      </c>
      <c r="W417" t="str">
        <f t="shared" si="131"/>
        <v/>
      </c>
      <c r="X417" s="38" t="str">
        <f>IF(L417="","",IF(V417&gt;0,INDEX('01-كانون الثاني'!$P$2:$P$501,V417),IF($AO$1=1,0,"")))</f>
        <v/>
      </c>
      <c r="Y417" s="38" t="str">
        <f t="shared" si="132"/>
        <v/>
      </c>
      <c r="Z417" s="39" t="str">
        <f>IF(L417="","",IF(V417&gt;0,INDEX('01-كانون الثاني'!$Q$2:$Q$501,V417),IF($AO$1=1,0,"")))</f>
        <v/>
      </c>
      <c r="AA417" s="39" t="str">
        <f t="shared" si="133"/>
        <v/>
      </c>
      <c r="AB417" s="40" t="str">
        <f>IF(OR(L417="",V417=0),"",IF(AND(N(I417)&gt;0,N(INDEX('01-كانون الثاني'!$I$2:$I$501,V417))&gt;0,INDEX('01-كانون الثاني'!$F$2:$F$501,V417)=F417),N(I417)/N(INDEX('01-كانون الثاني'!$I$2:$I$501,V417))-1,""))</f>
        <v/>
      </c>
      <c r="AC417" t="str">
        <f>IF(L417="","",IF(AND($AO$2=1,ISNA(MATCH(L417,'03-آذار'!$L$2:$L$501,0))),"محذوف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IF(L418="","",IF($AO$1=1,IFERROR(MATCH(L418,'01-كانون الثاني'!$L$2:$L$501,0),0),0))</f>
        <v/>
      </c>
      <c r="W418" t="str">
        <f t="shared" si="131"/>
        <v/>
      </c>
      <c r="X418" s="38" t="str">
        <f>IF(L418="","",IF(V418&gt;0,INDEX('01-كانون الثاني'!$P$2:$P$501,V418),IF($AO$1=1,0,"")))</f>
        <v/>
      </c>
      <c r="Y418" s="38" t="str">
        <f t="shared" si="132"/>
        <v/>
      </c>
      <c r="Z418" s="39" t="str">
        <f>IF(L418="","",IF(V418&gt;0,INDEX('01-كانون الثاني'!$Q$2:$Q$501,V418),IF($AO$1=1,0,"")))</f>
        <v/>
      </c>
      <c r="AA418" s="39" t="str">
        <f t="shared" si="133"/>
        <v/>
      </c>
      <c r="AB418" s="40" t="str">
        <f>IF(OR(L418="",V418=0),"",IF(AND(N(I418)&gt;0,N(INDEX('01-كانون الثاني'!$I$2:$I$501,V418))&gt;0,INDEX('01-كانون الثاني'!$F$2:$F$501,V418)=F418),N(I418)/N(INDEX('01-كانون الثاني'!$I$2:$I$501,V418))-1,""))</f>
        <v/>
      </c>
      <c r="AC418" t="str">
        <f>IF(L418="","",IF(AND($AO$2=1,ISNA(MATCH(L418,'03-آذار'!$L$2:$L$501,0))),"محذوف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IF(L419="","",IF($AO$1=1,IFERROR(MATCH(L419,'01-كانون الثاني'!$L$2:$L$501,0),0),0))</f>
        <v/>
      </c>
      <c r="W419" t="str">
        <f t="shared" si="131"/>
        <v/>
      </c>
      <c r="X419" s="38" t="str">
        <f>IF(L419="","",IF(V419&gt;0,INDEX('01-كانون الثاني'!$P$2:$P$501,V419),IF($AO$1=1,0,"")))</f>
        <v/>
      </c>
      <c r="Y419" s="38" t="str">
        <f t="shared" si="132"/>
        <v/>
      </c>
      <c r="Z419" s="39" t="str">
        <f>IF(L419="","",IF(V419&gt;0,INDEX('01-كانون الثاني'!$Q$2:$Q$501,V419),IF($AO$1=1,0,"")))</f>
        <v/>
      </c>
      <c r="AA419" s="39" t="str">
        <f t="shared" si="133"/>
        <v/>
      </c>
      <c r="AB419" s="40" t="str">
        <f>IF(OR(L419="",V419=0),"",IF(AND(N(I419)&gt;0,N(INDEX('01-كانون الثاني'!$I$2:$I$501,V419))&gt;0,INDEX('01-كانون الثاني'!$F$2:$F$501,V419)=F419),N(I419)/N(INDEX('01-كانون الثاني'!$I$2:$I$501,V419))-1,""))</f>
        <v/>
      </c>
      <c r="AC419" t="str">
        <f>IF(L419="","",IF(AND($AO$2=1,ISNA(MATCH(L419,'03-آذار'!$L$2:$L$501,0))),"محذوف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IF(L420="","",IF($AO$1=1,IFERROR(MATCH(L420,'01-كانون الثاني'!$L$2:$L$501,0),0),0))</f>
        <v/>
      </c>
      <c r="W420" t="str">
        <f t="shared" si="131"/>
        <v/>
      </c>
      <c r="X420" s="38" t="str">
        <f>IF(L420="","",IF(V420&gt;0,INDEX('01-كانون الثاني'!$P$2:$P$501,V420),IF($AO$1=1,0,"")))</f>
        <v/>
      </c>
      <c r="Y420" s="38" t="str">
        <f t="shared" si="132"/>
        <v/>
      </c>
      <c r="Z420" s="39" t="str">
        <f>IF(L420="","",IF(V420&gt;0,INDEX('01-كانون الثاني'!$Q$2:$Q$501,V420),IF($AO$1=1,0,"")))</f>
        <v/>
      </c>
      <c r="AA420" s="39" t="str">
        <f t="shared" si="133"/>
        <v/>
      </c>
      <c r="AB420" s="40" t="str">
        <f>IF(OR(L420="",V420=0),"",IF(AND(N(I420)&gt;0,N(INDEX('01-كانون الثاني'!$I$2:$I$501,V420))&gt;0,INDEX('01-كانون الثاني'!$F$2:$F$501,V420)=F420),N(I420)/N(INDEX('01-كانون الثاني'!$I$2:$I$501,V420))-1,""))</f>
        <v/>
      </c>
      <c r="AC420" t="str">
        <f>IF(L420="","",IF(AND($AO$2=1,ISNA(MATCH(L420,'03-آذار'!$L$2:$L$501,0))),"محذوف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IF(L421="","",IF($AO$1=1,IFERROR(MATCH(L421,'01-كانون الثاني'!$L$2:$L$501,0),0),0))</f>
        <v/>
      </c>
      <c r="W421" t="str">
        <f t="shared" si="131"/>
        <v/>
      </c>
      <c r="X421" s="38" t="str">
        <f>IF(L421="","",IF(V421&gt;0,INDEX('01-كانون الثاني'!$P$2:$P$501,V421),IF($AO$1=1,0,"")))</f>
        <v/>
      </c>
      <c r="Y421" s="38" t="str">
        <f t="shared" si="132"/>
        <v/>
      </c>
      <c r="Z421" s="39" t="str">
        <f>IF(L421="","",IF(V421&gt;0,INDEX('01-كانون الثاني'!$Q$2:$Q$501,V421),IF($AO$1=1,0,"")))</f>
        <v/>
      </c>
      <c r="AA421" s="39" t="str">
        <f t="shared" si="133"/>
        <v/>
      </c>
      <c r="AB421" s="40" t="str">
        <f>IF(OR(L421="",V421=0),"",IF(AND(N(I421)&gt;0,N(INDEX('01-كانون الثاني'!$I$2:$I$501,V421))&gt;0,INDEX('01-كانون الثاني'!$F$2:$F$501,V421)=F421),N(I421)/N(INDEX('01-كانون الثاني'!$I$2:$I$501,V421))-1,""))</f>
        <v/>
      </c>
      <c r="AC421" t="str">
        <f>IF(L421="","",IF(AND($AO$2=1,ISNA(MATCH(L421,'03-آذار'!$L$2:$L$501,0))),"محذوف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IF(L422="","",IF($AO$1=1,IFERROR(MATCH(L422,'01-كانون الثاني'!$L$2:$L$501,0),0),0))</f>
        <v/>
      </c>
      <c r="W422" t="str">
        <f t="shared" si="131"/>
        <v/>
      </c>
      <c r="X422" s="38" t="str">
        <f>IF(L422="","",IF(V422&gt;0,INDEX('01-كانون الثاني'!$P$2:$P$501,V422),IF($AO$1=1,0,"")))</f>
        <v/>
      </c>
      <c r="Y422" s="38" t="str">
        <f t="shared" si="132"/>
        <v/>
      </c>
      <c r="Z422" s="39" t="str">
        <f>IF(L422="","",IF(V422&gt;0,INDEX('01-كانون الثاني'!$Q$2:$Q$501,V422),IF($AO$1=1,0,"")))</f>
        <v/>
      </c>
      <c r="AA422" s="39" t="str">
        <f t="shared" si="133"/>
        <v/>
      </c>
      <c r="AB422" s="40" t="str">
        <f>IF(OR(L422="",V422=0),"",IF(AND(N(I422)&gt;0,N(INDEX('01-كانون الثاني'!$I$2:$I$501,V422))&gt;0,INDEX('01-كانون الثاني'!$F$2:$F$501,V422)=F422),N(I422)/N(INDEX('01-كانون الثاني'!$I$2:$I$501,V422))-1,""))</f>
        <v/>
      </c>
      <c r="AC422" t="str">
        <f>IF(L422="","",IF(AND($AO$2=1,ISNA(MATCH(L422,'03-آذار'!$L$2:$L$501,0))),"محذوف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IF(L423="","",IF($AO$1=1,IFERROR(MATCH(L423,'01-كانون الثاني'!$L$2:$L$501,0),0),0))</f>
        <v/>
      </c>
      <c r="W423" t="str">
        <f t="shared" si="131"/>
        <v/>
      </c>
      <c r="X423" s="38" t="str">
        <f>IF(L423="","",IF(V423&gt;0,INDEX('01-كانون الثاني'!$P$2:$P$501,V423),IF($AO$1=1,0,"")))</f>
        <v/>
      </c>
      <c r="Y423" s="38" t="str">
        <f t="shared" si="132"/>
        <v/>
      </c>
      <c r="Z423" s="39" t="str">
        <f>IF(L423="","",IF(V423&gt;0,INDEX('01-كانون الثاني'!$Q$2:$Q$501,V423),IF($AO$1=1,0,"")))</f>
        <v/>
      </c>
      <c r="AA423" s="39" t="str">
        <f t="shared" si="133"/>
        <v/>
      </c>
      <c r="AB423" s="40" t="str">
        <f>IF(OR(L423="",V423=0),"",IF(AND(N(I423)&gt;0,N(INDEX('01-كانون الثاني'!$I$2:$I$501,V423))&gt;0,INDEX('01-كانون الثاني'!$F$2:$F$501,V423)=F423),N(I423)/N(INDEX('01-كانون الثاني'!$I$2:$I$501,V423))-1,""))</f>
        <v/>
      </c>
      <c r="AC423" t="str">
        <f>IF(L423="","",IF(AND($AO$2=1,ISNA(MATCH(L423,'03-آذار'!$L$2:$L$501,0))),"محذوف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IF(L424="","",IF($AO$1=1,IFERROR(MATCH(L424,'01-كانون الثاني'!$L$2:$L$501,0),0),0))</f>
        <v/>
      </c>
      <c r="W424" t="str">
        <f t="shared" si="131"/>
        <v/>
      </c>
      <c r="X424" s="38" t="str">
        <f>IF(L424="","",IF(V424&gt;0,INDEX('01-كانون الثاني'!$P$2:$P$501,V424),IF($AO$1=1,0,"")))</f>
        <v/>
      </c>
      <c r="Y424" s="38" t="str">
        <f t="shared" si="132"/>
        <v/>
      </c>
      <c r="Z424" s="39" t="str">
        <f>IF(L424="","",IF(V424&gt;0,INDEX('01-كانون الثاني'!$Q$2:$Q$501,V424),IF($AO$1=1,0,"")))</f>
        <v/>
      </c>
      <c r="AA424" s="39" t="str">
        <f t="shared" si="133"/>
        <v/>
      </c>
      <c r="AB424" s="40" t="str">
        <f>IF(OR(L424="",V424=0),"",IF(AND(N(I424)&gt;0,N(INDEX('01-كانون الثاني'!$I$2:$I$501,V424))&gt;0,INDEX('01-كانون الثاني'!$F$2:$F$501,V424)=F424),N(I424)/N(INDEX('01-كانون الثاني'!$I$2:$I$501,V424))-1,""))</f>
        <v/>
      </c>
      <c r="AC424" t="str">
        <f>IF(L424="","",IF(AND($AO$2=1,ISNA(MATCH(L424,'03-آذار'!$L$2:$L$501,0))),"محذوف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IF(L425="","",IF($AO$1=1,IFERROR(MATCH(L425,'01-كانون الثاني'!$L$2:$L$501,0),0),0))</f>
        <v/>
      </c>
      <c r="W425" t="str">
        <f t="shared" si="131"/>
        <v/>
      </c>
      <c r="X425" s="38" t="str">
        <f>IF(L425="","",IF(V425&gt;0,INDEX('01-كانون الثاني'!$P$2:$P$501,V425),IF($AO$1=1,0,"")))</f>
        <v/>
      </c>
      <c r="Y425" s="38" t="str">
        <f t="shared" si="132"/>
        <v/>
      </c>
      <c r="Z425" s="39" t="str">
        <f>IF(L425="","",IF(V425&gt;0,INDEX('01-كانون الثاني'!$Q$2:$Q$501,V425),IF($AO$1=1,0,"")))</f>
        <v/>
      </c>
      <c r="AA425" s="39" t="str">
        <f t="shared" si="133"/>
        <v/>
      </c>
      <c r="AB425" s="40" t="str">
        <f>IF(OR(L425="",V425=0),"",IF(AND(N(I425)&gt;0,N(INDEX('01-كانون الثاني'!$I$2:$I$501,V425))&gt;0,INDEX('01-كانون الثاني'!$F$2:$F$501,V425)=F425),N(I425)/N(INDEX('01-كانون الثاني'!$I$2:$I$501,V425))-1,""))</f>
        <v/>
      </c>
      <c r="AC425" t="str">
        <f>IF(L425="","",IF(AND($AO$2=1,ISNA(MATCH(L425,'03-آذار'!$L$2:$L$501,0))),"محذوف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IF(L426="","",IF($AO$1=1,IFERROR(MATCH(L426,'01-كانون الثاني'!$L$2:$L$501,0),0),0))</f>
        <v/>
      </c>
      <c r="W426" t="str">
        <f t="shared" si="131"/>
        <v/>
      </c>
      <c r="X426" s="38" t="str">
        <f>IF(L426="","",IF(V426&gt;0,INDEX('01-كانون الثاني'!$P$2:$P$501,V426),IF($AO$1=1,0,"")))</f>
        <v/>
      </c>
      <c r="Y426" s="38" t="str">
        <f t="shared" si="132"/>
        <v/>
      </c>
      <c r="Z426" s="39" t="str">
        <f>IF(L426="","",IF(V426&gt;0,INDEX('01-كانون الثاني'!$Q$2:$Q$501,V426),IF($AO$1=1,0,"")))</f>
        <v/>
      </c>
      <c r="AA426" s="39" t="str">
        <f t="shared" si="133"/>
        <v/>
      </c>
      <c r="AB426" s="40" t="str">
        <f>IF(OR(L426="",V426=0),"",IF(AND(N(I426)&gt;0,N(INDEX('01-كانون الثاني'!$I$2:$I$501,V426))&gt;0,INDEX('01-كانون الثاني'!$F$2:$F$501,V426)=F426),N(I426)/N(INDEX('01-كانون الثاني'!$I$2:$I$501,V426))-1,""))</f>
        <v/>
      </c>
      <c r="AC426" t="str">
        <f>IF(L426="","",IF(AND($AO$2=1,ISNA(MATCH(L426,'03-آذار'!$L$2:$L$501,0))),"محذوف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IF(L427="","",IF($AO$1=1,IFERROR(MATCH(L427,'01-كانون الثاني'!$L$2:$L$501,0),0),0))</f>
        <v/>
      </c>
      <c r="W427" t="str">
        <f t="shared" si="131"/>
        <v/>
      </c>
      <c r="X427" s="38" t="str">
        <f>IF(L427="","",IF(V427&gt;0,INDEX('01-كانون الثاني'!$P$2:$P$501,V427),IF($AO$1=1,0,"")))</f>
        <v/>
      </c>
      <c r="Y427" s="38" t="str">
        <f t="shared" si="132"/>
        <v/>
      </c>
      <c r="Z427" s="39" t="str">
        <f>IF(L427="","",IF(V427&gt;0,INDEX('01-كانون الثاني'!$Q$2:$Q$501,V427),IF($AO$1=1,0,"")))</f>
        <v/>
      </c>
      <c r="AA427" s="39" t="str">
        <f t="shared" si="133"/>
        <v/>
      </c>
      <c r="AB427" s="40" t="str">
        <f>IF(OR(L427="",V427=0),"",IF(AND(N(I427)&gt;0,N(INDEX('01-كانون الثاني'!$I$2:$I$501,V427))&gt;0,INDEX('01-كانون الثاني'!$F$2:$F$501,V427)=F427),N(I427)/N(INDEX('01-كانون الثاني'!$I$2:$I$501,V427))-1,""))</f>
        <v/>
      </c>
      <c r="AC427" t="str">
        <f>IF(L427="","",IF(AND($AO$2=1,ISNA(MATCH(L427,'03-آذار'!$L$2:$L$501,0))),"محذوف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IF(L428="","",IF($AO$1=1,IFERROR(MATCH(L428,'01-كانون الثاني'!$L$2:$L$501,0),0),0))</f>
        <v/>
      </c>
      <c r="W428" t="str">
        <f t="shared" si="131"/>
        <v/>
      </c>
      <c r="X428" s="38" t="str">
        <f>IF(L428="","",IF(V428&gt;0,INDEX('01-كانون الثاني'!$P$2:$P$501,V428),IF($AO$1=1,0,"")))</f>
        <v/>
      </c>
      <c r="Y428" s="38" t="str">
        <f t="shared" si="132"/>
        <v/>
      </c>
      <c r="Z428" s="39" t="str">
        <f>IF(L428="","",IF(V428&gt;0,INDEX('01-كانون الثاني'!$Q$2:$Q$501,V428),IF($AO$1=1,0,"")))</f>
        <v/>
      </c>
      <c r="AA428" s="39" t="str">
        <f t="shared" si="133"/>
        <v/>
      </c>
      <c r="AB428" s="40" t="str">
        <f>IF(OR(L428="",V428=0),"",IF(AND(N(I428)&gt;0,N(INDEX('01-كانون الثاني'!$I$2:$I$501,V428))&gt;0,INDEX('01-كانون الثاني'!$F$2:$F$501,V428)=F428),N(I428)/N(INDEX('01-كانون الثاني'!$I$2:$I$501,V428))-1,""))</f>
        <v/>
      </c>
      <c r="AC428" t="str">
        <f>IF(L428="","",IF(AND($AO$2=1,ISNA(MATCH(L428,'03-آذار'!$L$2:$L$501,0))),"محذوف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IF(L429="","",IF($AO$1=1,IFERROR(MATCH(L429,'01-كانون الثاني'!$L$2:$L$501,0),0),0))</f>
        <v/>
      </c>
      <c r="W429" t="str">
        <f t="shared" si="131"/>
        <v/>
      </c>
      <c r="X429" s="38" t="str">
        <f>IF(L429="","",IF(V429&gt;0,INDEX('01-كانون الثاني'!$P$2:$P$501,V429),IF($AO$1=1,0,"")))</f>
        <v/>
      </c>
      <c r="Y429" s="38" t="str">
        <f t="shared" si="132"/>
        <v/>
      </c>
      <c r="Z429" s="39" t="str">
        <f>IF(L429="","",IF(V429&gt;0,INDEX('01-كانون الثاني'!$Q$2:$Q$501,V429),IF($AO$1=1,0,"")))</f>
        <v/>
      </c>
      <c r="AA429" s="39" t="str">
        <f t="shared" si="133"/>
        <v/>
      </c>
      <c r="AB429" s="40" t="str">
        <f>IF(OR(L429="",V429=0),"",IF(AND(N(I429)&gt;0,N(INDEX('01-كانون الثاني'!$I$2:$I$501,V429))&gt;0,INDEX('01-كانون الثاني'!$F$2:$F$501,V429)=F429),N(I429)/N(INDEX('01-كانون الثاني'!$I$2:$I$501,V429))-1,""))</f>
        <v/>
      </c>
      <c r="AC429" t="str">
        <f>IF(L429="","",IF(AND($AO$2=1,ISNA(MATCH(L429,'03-آذار'!$L$2:$L$501,0))),"محذوف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IF(L430="","",IF($AO$1=1,IFERROR(MATCH(L430,'01-كانون الثاني'!$L$2:$L$501,0),0),0))</f>
        <v/>
      </c>
      <c r="W430" t="str">
        <f t="shared" si="131"/>
        <v/>
      </c>
      <c r="X430" s="38" t="str">
        <f>IF(L430="","",IF(V430&gt;0,INDEX('01-كانون الثاني'!$P$2:$P$501,V430),IF($AO$1=1,0,"")))</f>
        <v/>
      </c>
      <c r="Y430" s="38" t="str">
        <f t="shared" si="132"/>
        <v/>
      </c>
      <c r="Z430" s="39" t="str">
        <f>IF(L430="","",IF(V430&gt;0,INDEX('01-كانون الثاني'!$Q$2:$Q$501,V430),IF($AO$1=1,0,"")))</f>
        <v/>
      </c>
      <c r="AA430" s="39" t="str">
        <f t="shared" si="133"/>
        <v/>
      </c>
      <c r="AB430" s="40" t="str">
        <f>IF(OR(L430="",V430=0),"",IF(AND(N(I430)&gt;0,N(INDEX('01-كانون الثاني'!$I$2:$I$501,V430))&gt;0,INDEX('01-كانون الثاني'!$F$2:$F$501,V430)=F430),N(I430)/N(INDEX('01-كانون الثاني'!$I$2:$I$501,V430))-1,""))</f>
        <v/>
      </c>
      <c r="AC430" t="str">
        <f>IF(L430="","",IF(AND($AO$2=1,ISNA(MATCH(L430,'03-آذار'!$L$2:$L$501,0))),"محذوف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IF(L431="","",IF($AO$1=1,IFERROR(MATCH(L431,'01-كانون الثاني'!$L$2:$L$501,0),0),0))</f>
        <v/>
      </c>
      <c r="W431" t="str">
        <f t="shared" si="131"/>
        <v/>
      </c>
      <c r="X431" s="38" t="str">
        <f>IF(L431="","",IF(V431&gt;0,INDEX('01-كانون الثاني'!$P$2:$P$501,V431),IF($AO$1=1,0,"")))</f>
        <v/>
      </c>
      <c r="Y431" s="38" t="str">
        <f t="shared" si="132"/>
        <v/>
      </c>
      <c r="Z431" s="39" t="str">
        <f>IF(L431="","",IF(V431&gt;0,INDEX('01-كانون الثاني'!$Q$2:$Q$501,V431),IF($AO$1=1,0,"")))</f>
        <v/>
      </c>
      <c r="AA431" s="39" t="str">
        <f t="shared" si="133"/>
        <v/>
      </c>
      <c r="AB431" s="40" t="str">
        <f>IF(OR(L431="",V431=0),"",IF(AND(N(I431)&gt;0,N(INDEX('01-كانون الثاني'!$I$2:$I$501,V431))&gt;0,INDEX('01-كانون الثاني'!$F$2:$F$501,V431)=F431),N(I431)/N(INDEX('01-كانون الثاني'!$I$2:$I$501,V431))-1,""))</f>
        <v/>
      </c>
      <c r="AC431" t="str">
        <f>IF(L431="","",IF(AND($AO$2=1,ISNA(MATCH(L431,'03-آذار'!$L$2:$L$501,0))),"محذوف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IF(L432="","",IF($AO$1=1,IFERROR(MATCH(L432,'01-كانون الثاني'!$L$2:$L$501,0),0),0))</f>
        <v/>
      </c>
      <c r="W432" t="str">
        <f t="shared" si="131"/>
        <v/>
      </c>
      <c r="X432" s="38" t="str">
        <f>IF(L432="","",IF(V432&gt;0,INDEX('01-كانون الثاني'!$P$2:$P$501,V432),IF($AO$1=1,0,"")))</f>
        <v/>
      </c>
      <c r="Y432" s="38" t="str">
        <f t="shared" si="132"/>
        <v/>
      </c>
      <c r="Z432" s="39" t="str">
        <f>IF(L432="","",IF(V432&gt;0,INDEX('01-كانون الثاني'!$Q$2:$Q$501,V432),IF($AO$1=1,0,"")))</f>
        <v/>
      </c>
      <c r="AA432" s="39" t="str">
        <f t="shared" si="133"/>
        <v/>
      </c>
      <c r="AB432" s="40" t="str">
        <f>IF(OR(L432="",V432=0),"",IF(AND(N(I432)&gt;0,N(INDEX('01-كانون الثاني'!$I$2:$I$501,V432))&gt;0,INDEX('01-كانون الثاني'!$F$2:$F$501,V432)=F432),N(I432)/N(INDEX('01-كانون الثاني'!$I$2:$I$501,V432))-1,""))</f>
        <v/>
      </c>
      <c r="AC432" t="str">
        <f>IF(L432="","",IF(AND($AO$2=1,ISNA(MATCH(L432,'03-آذار'!$L$2:$L$501,0))),"محذوف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IF(L433="","",IF($AO$1=1,IFERROR(MATCH(L433,'01-كانون الثاني'!$L$2:$L$501,0),0),0))</f>
        <v/>
      </c>
      <c r="W433" t="str">
        <f t="shared" si="131"/>
        <v/>
      </c>
      <c r="X433" s="38" t="str">
        <f>IF(L433="","",IF(V433&gt;0,INDEX('01-كانون الثاني'!$P$2:$P$501,V433),IF($AO$1=1,0,"")))</f>
        <v/>
      </c>
      <c r="Y433" s="38" t="str">
        <f t="shared" si="132"/>
        <v/>
      </c>
      <c r="Z433" s="39" t="str">
        <f>IF(L433="","",IF(V433&gt;0,INDEX('01-كانون الثاني'!$Q$2:$Q$501,V433),IF($AO$1=1,0,"")))</f>
        <v/>
      </c>
      <c r="AA433" s="39" t="str">
        <f t="shared" si="133"/>
        <v/>
      </c>
      <c r="AB433" s="40" t="str">
        <f>IF(OR(L433="",V433=0),"",IF(AND(N(I433)&gt;0,N(INDEX('01-كانون الثاني'!$I$2:$I$501,V433))&gt;0,INDEX('01-كانون الثاني'!$F$2:$F$501,V433)=F433),N(I433)/N(INDEX('01-كانون الثاني'!$I$2:$I$501,V433))-1,""))</f>
        <v/>
      </c>
      <c r="AC433" t="str">
        <f>IF(L433="","",IF(AND($AO$2=1,ISNA(MATCH(L433,'03-آذار'!$L$2:$L$501,0))),"محذوف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IF(L434="","",IF($AO$1=1,IFERROR(MATCH(L434,'01-كانون الثاني'!$L$2:$L$501,0),0),0))</f>
        <v/>
      </c>
      <c r="W434" t="str">
        <f t="shared" si="131"/>
        <v/>
      </c>
      <c r="X434" s="38" t="str">
        <f>IF(L434="","",IF(V434&gt;0,INDEX('01-كانون الثاني'!$P$2:$P$501,V434),IF($AO$1=1,0,"")))</f>
        <v/>
      </c>
      <c r="Y434" s="38" t="str">
        <f t="shared" si="132"/>
        <v/>
      </c>
      <c r="Z434" s="39" t="str">
        <f>IF(L434="","",IF(V434&gt;0,INDEX('01-كانون الثاني'!$Q$2:$Q$501,V434),IF($AO$1=1,0,"")))</f>
        <v/>
      </c>
      <c r="AA434" s="39" t="str">
        <f t="shared" si="133"/>
        <v/>
      </c>
      <c r="AB434" s="40" t="str">
        <f>IF(OR(L434="",V434=0),"",IF(AND(N(I434)&gt;0,N(INDEX('01-كانون الثاني'!$I$2:$I$501,V434))&gt;0,INDEX('01-كانون الثاني'!$F$2:$F$501,V434)=F434),N(I434)/N(INDEX('01-كانون الثاني'!$I$2:$I$501,V434))-1,""))</f>
        <v/>
      </c>
      <c r="AC434" t="str">
        <f>IF(L434="","",IF(AND($AO$2=1,ISNA(MATCH(L434,'03-آذار'!$L$2:$L$501,0))),"محذوف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IF(L435="","",IF($AO$1=1,IFERROR(MATCH(L435,'01-كانون الثاني'!$L$2:$L$501,0),0),0))</f>
        <v/>
      </c>
      <c r="W435" t="str">
        <f t="shared" si="131"/>
        <v/>
      </c>
      <c r="X435" s="38" t="str">
        <f>IF(L435="","",IF(V435&gt;0,INDEX('01-كانون الثاني'!$P$2:$P$501,V435),IF($AO$1=1,0,"")))</f>
        <v/>
      </c>
      <c r="Y435" s="38" t="str">
        <f t="shared" si="132"/>
        <v/>
      </c>
      <c r="Z435" s="39" t="str">
        <f>IF(L435="","",IF(V435&gt;0,INDEX('01-كانون الثاني'!$Q$2:$Q$501,V435),IF($AO$1=1,0,"")))</f>
        <v/>
      </c>
      <c r="AA435" s="39" t="str">
        <f t="shared" si="133"/>
        <v/>
      </c>
      <c r="AB435" s="40" t="str">
        <f>IF(OR(L435="",V435=0),"",IF(AND(N(I435)&gt;0,N(INDEX('01-كانون الثاني'!$I$2:$I$501,V435))&gt;0,INDEX('01-كانون الثاني'!$F$2:$F$501,V435)=F435),N(I435)/N(INDEX('01-كانون الثاني'!$I$2:$I$501,V435))-1,""))</f>
        <v/>
      </c>
      <c r="AC435" t="str">
        <f>IF(L435="","",IF(AND($AO$2=1,ISNA(MATCH(L435,'03-آذار'!$L$2:$L$501,0))),"محذوف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IF(L436="","",IF($AO$1=1,IFERROR(MATCH(L436,'01-كانون الثاني'!$L$2:$L$501,0),0),0))</f>
        <v/>
      </c>
      <c r="W436" t="str">
        <f t="shared" si="131"/>
        <v/>
      </c>
      <c r="X436" s="38" t="str">
        <f>IF(L436="","",IF(V436&gt;0,INDEX('01-كانون الثاني'!$P$2:$P$501,V436),IF($AO$1=1,0,"")))</f>
        <v/>
      </c>
      <c r="Y436" s="38" t="str">
        <f t="shared" si="132"/>
        <v/>
      </c>
      <c r="Z436" s="39" t="str">
        <f>IF(L436="","",IF(V436&gt;0,INDEX('01-كانون الثاني'!$Q$2:$Q$501,V436),IF($AO$1=1,0,"")))</f>
        <v/>
      </c>
      <c r="AA436" s="39" t="str">
        <f t="shared" si="133"/>
        <v/>
      </c>
      <c r="AB436" s="40" t="str">
        <f>IF(OR(L436="",V436=0),"",IF(AND(N(I436)&gt;0,N(INDEX('01-كانون الثاني'!$I$2:$I$501,V436))&gt;0,INDEX('01-كانون الثاني'!$F$2:$F$501,V436)=F436),N(I436)/N(INDEX('01-كانون الثاني'!$I$2:$I$501,V436))-1,""))</f>
        <v/>
      </c>
      <c r="AC436" t="str">
        <f>IF(L436="","",IF(AND($AO$2=1,ISNA(MATCH(L436,'03-آذار'!$L$2:$L$501,0))),"محذوف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IF(L437="","",IF($AO$1=1,IFERROR(MATCH(L437,'01-كانون الثاني'!$L$2:$L$501,0),0),0))</f>
        <v/>
      </c>
      <c r="W437" t="str">
        <f t="shared" si="131"/>
        <v/>
      </c>
      <c r="X437" s="38" t="str">
        <f>IF(L437="","",IF(V437&gt;0,INDEX('01-كانون الثاني'!$P$2:$P$501,V437),IF($AO$1=1,0,"")))</f>
        <v/>
      </c>
      <c r="Y437" s="38" t="str">
        <f t="shared" si="132"/>
        <v/>
      </c>
      <c r="Z437" s="39" t="str">
        <f>IF(L437="","",IF(V437&gt;0,INDEX('01-كانون الثاني'!$Q$2:$Q$501,V437),IF($AO$1=1,0,"")))</f>
        <v/>
      </c>
      <c r="AA437" s="39" t="str">
        <f t="shared" si="133"/>
        <v/>
      </c>
      <c r="AB437" s="40" t="str">
        <f>IF(OR(L437="",V437=0),"",IF(AND(N(I437)&gt;0,N(INDEX('01-كانون الثاني'!$I$2:$I$501,V437))&gt;0,INDEX('01-كانون الثاني'!$F$2:$F$501,V437)=F437),N(I437)/N(INDEX('01-كانون الثاني'!$I$2:$I$501,V437))-1,""))</f>
        <v/>
      </c>
      <c r="AC437" t="str">
        <f>IF(L437="","",IF(AND($AO$2=1,ISNA(MATCH(L437,'03-آذار'!$L$2:$L$501,0))),"محذوف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IF(L438="","",IF($AO$1=1,IFERROR(MATCH(L438,'01-كانون الثاني'!$L$2:$L$501,0),0),0))</f>
        <v/>
      </c>
      <c r="W438" t="str">
        <f t="shared" si="131"/>
        <v/>
      </c>
      <c r="X438" s="38" t="str">
        <f>IF(L438="","",IF(V438&gt;0,INDEX('01-كانون الثاني'!$P$2:$P$501,V438),IF($AO$1=1,0,"")))</f>
        <v/>
      </c>
      <c r="Y438" s="38" t="str">
        <f t="shared" si="132"/>
        <v/>
      </c>
      <c r="Z438" s="39" t="str">
        <f>IF(L438="","",IF(V438&gt;0,INDEX('01-كانون الثاني'!$Q$2:$Q$501,V438),IF($AO$1=1,0,"")))</f>
        <v/>
      </c>
      <c r="AA438" s="39" t="str">
        <f t="shared" si="133"/>
        <v/>
      </c>
      <c r="AB438" s="40" t="str">
        <f>IF(OR(L438="",V438=0),"",IF(AND(N(I438)&gt;0,N(INDEX('01-كانون الثاني'!$I$2:$I$501,V438))&gt;0,INDEX('01-كانون الثاني'!$F$2:$F$501,V438)=F438),N(I438)/N(INDEX('01-كانون الثاني'!$I$2:$I$501,V438))-1,""))</f>
        <v/>
      </c>
      <c r="AC438" t="str">
        <f>IF(L438="","",IF(AND($AO$2=1,ISNA(MATCH(L438,'03-آذار'!$L$2:$L$501,0))),"محذوف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IF(L439="","",IF($AO$1=1,IFERROR(MATCH(L439,'01-كانون الثاني'!$L$2:$L$501,0),0),0))</f>
        <v/>
      </c>
      <c r="W439" t="str">
        <f t="shared" si="131"/>
        <v/>
      </c>
      <c r="X439" s="38" t="str">
        <f>IF(L439="","",IF(V439&gt;0,INDEX('01-كانون الثاني'!$P$2:$P$501,V439),IF($AO$1=1,0,"")))</f>
        <v/>
      </c>
      <c r="Y439" s="38" t="str">
        <f t="shared" si="132"/>
        <v/>
      </c>
      <c r="Z439" s="39" t="str">
        <f>IF(L439="","",IF(V439&gt;0,INDEX('01-كانون الثاني'!$Q$2:$Q$501,V439),IF($AO$1=1,0,"")))</f>
        <v/>
      </c>
      <c r="AA439" s="39" t="str">
        <f t="shared" si="133"/>
        <v/>
      </c>
      <c r="AB439" s="40" t="str">
        <f>IF(OR(L439="",V439=0),"",IF(AND(N(I439)&gt;0,N(INDEX('01-كانون الثاني'!$I$2:$I$501,V439))&gt;0,INDEX('01-كانون الثاني'!$F$2:$F$501,V439)=F439),N(I439)/N(INDEX('01-كانون الثاني'!$I$2:$I$501,V439))-1,""))</f>
        <v/>
      </c>
      <c r="AC439" t="str">
        <f>IF(L439="","",IF(AND($AO$2=1,ISNA(MATCH(L439,'03-آذار'!$L$2:$L$501,0))),"محذوف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IF(L440="","",IF($AO$1=1,IFERROR(MATCH(L440,'01-كانون الثاني'!$L$2:$L$501,0),0),0))</f>
        <v/>
      </c>
      <c r="W440" t="str">
        <f t="shared" si="131"/>
        <v/>
      </c>
      <c r="X440" s="38" t="str">
        <f>IF(L440="","",IF(V440&gt;0,INDEX('01-كانون الثاني'!$P$2:$P$501,V440),IF($AO$1=1,0,"")))</f>
        <v/>
      </c>
      <c r="Y440" s="38" t="str">
        <f t="shared" si="132"/>
        <v/>
      </c>
      <c r="Z440" s="39" t="str">
        <f>IF(L440="","",IF(V440&gt;0,INDEX('01-كانون الثاني'!$Q$2:$Q$501,V440),IF($AO$1=1,0,"")))</f>
        <v/>
      </c>
      <c r="AA440" s="39" t="str">
        <f t="shared" si="133"/>
        <v/>
      </c>
      <c r="AB440" s="40" t="str">
        <f>IF(OR(L440="",V440=0),"",IF(AND(N(I440)&gt;0,N(INDEX('01-كانون الثاني'!$I$2:$I$501,V440))&gt;0,INDEX('01-كانون الثاني'!$F$2:$F$501,V440)=F440),N(I440)/N(INDEX('01-كانون الثاني'!$I$2:$I$501,V440))-1,""))</f>
        <v/>
      </c>
      <c r="AC440" t="str">
        <f>IF(L440="","",IF(AND($AO$2=1,ISNA(MATCH(L440,'03-آذار'!$L$2:$L$501,0))),"محذوف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IF(L441="","",IF($AO$1=1,IFERROR(MATCH(L441,'01-كانون الثاني'!$L$2:$L$501,0),0),0))</f>
        <v/>
      </c>
      <c r="W441" t="str">
        <f t="shared" si="131"/>
        <v/>
      </c>
      <c r="X441" s="38" t="str">
        <f>IF(L441="","",IF(V441&gt;0,INDEX('01-كانون الثاني'!$P$2:$P$501,V441),IF($AO$1=1,0,"")))</f>
        <v/>
      </c>
      <c r="Y441" s="38" t="str">
        <f t="shared" si="132"/>
        <v/>
      </c>
      <c r="Z441" s="39" t="str">
        <f>IF(L441="","",IF(V441&gt;0,INDEX('01-كانون الثاني'!$Q$2:$Q$501,V441),IF($AO$1=1,0,"")))</f>
        <v/>
      </c>
      <c r="AA441" s="39" t="str">
        <f t="shared" si="133"/>
        <v/>
      </c>
      <c r="AB441" s="40" t="str">
        <f>IF(OR(L441="",V441=0),"",IF(AND(N(I441)&gt;0,N(INDEX('01-كانون الثاني'!$I$2:$I$501,V441))&gt;0,INDEX('01-كانون الثاني'!$F$2:$F$501,V441)=F441),N(I441)/N(INDEX('01-كانون الثاني'!$I$2:$I$501,V441))-1,""))</f>
        <v/>
      </c>
      <c r="AC441" t="str">
        <f>IF(L441="","",IF(AND($AO$2=1,ISNA(MATCH(L441,'03-آذار'!$L$2:$L$501,0))),"محذوف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IF(L442="","",IF($AO$1=1,IFERROR(MATCH(L442,'01-كانون الثاني'!$L$2:$L$501,0),0),0))</f>
        <v/>
      </c>
      <c r="W442" t="str">
        <f t="shared" si="131"/>
        <v/>
      </c>
      <c r="X442" s="38" t="str">
        <f>IF(L442="","",IF(V442&gt;0,INDEX('01-كانون الثاني'!$P$2:$P$501,V442),IF($AO$1=1,0,"")))</f>
        <v/>
      </c>
      <c r="Y442" s="38" t="str">
        <f t="shared" si="132"/>
        <v/>
      </c>
      <c r="Z442" s="39" t="str">
        <f>IF(L442="","",IF(V442&gt;0,INDEX('01-كانون الثاني'!$Q$2:$Q$501,V442),IF($AO$1=1,0,"")))</f>
        <v/>
      </c>
      <c r="AA442" s="39" t="str">
        <f t="shared" si="133"/>
        <v/>
      </c>
      <c r="AB442" s="40" t="str">
        <f>IF(OR(L442="",V442=0),"",IF(AND(N(I442)&gt;0,N(INDEX('01-كانون الثاني'!$I$2:$I$501,V442))&gt;0,INDEX('01-كانون الثاني'!$F$2:$F$501,V442)=F442),N(I442)/N(INDEX('01-كانون الثاني'!$I$2:$I$501,V442))-1,""))</f>
        <v/>
      </c>
      <c r="AC442" t="str">
        <f>IF(L442="","",IF(AND($AO$2=1,ISNA(MATCH(L442,'03-آذار'!$L$2:$L$501,0))),"محذوف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IF(L443="","",IF($AO$1=1,IFERROR(MATCH(L443,'01-كانون الثاني'!$L$2:$L$501,0),0),0))</f>
        <v/>
      </c>
      <c r="W443" t="str">
        <f t="shared" si="131"/>
        <v/>
      </c>
      <c r="X443" s="38" t="str">
        <f>IF(L443="","",IF(V443&gt;0,INDEX('01-كانون الثاني'!$P$2:$P$501,V443),IF($AO$1=1,0,"")))</f>
        <v/>
      </c>
      <c r="Y443" s="38" t="str">
        <f t="shared" si="132"/>
        <v/>
      </c>
      <c r="Z443" s="39" t="str">
        <f>IF(L443="","",IF(V443&gt;0,INDEX('01-كانون الثاني'!$Q$2:$Q$501,V443),IF($AO$1=1,0,"")))</f>
        <v/>
      </c>
      <c r="AA443" s="39" t="str">
        <f t="shared" si="133"/>
        <v/>
      </c>
      <c r="AB443" s="40" t="str">
        <f>IF(OR(L443="",V443=0),"",IF(AND(N(I443)&gt;0,N(INDEX('01-كانون الثاني'!$I$2:$I$501,V443))&gt;0,INDEX('01-كانون الثاني'!$F$2:$F$501,V443)=F443),N(I443)/N(INDEX('01-كانون الثاني'!$I$2:$I$501,V443))-1,""))</f>
        <v/>
      </c>
      <c r="AC443" t="str">
        <f>IF(L443="","",IF(AND($AO$2=1,ISNA(MATCH(L443,'03-آذار'!$L$2:$L$501,0))),"محذوف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IF(L444="","",IF($AO$1=1,IFERROR(MATCH(L444,'01-كانون الثاني'!$L$2:$L$501,0),0),0))</f>
        <v/>
      </c>
      <c r="W444" t="str">
        <f t="shared" si="131"/>
        <v/>
      </c>
      <c r="X444" s="38" t="str">
        <f>IF(L444="","",IF(V444&gt;0,INDEX('01-كانون الثاني'!$P$2:$P$501,V444),IF($AO$1=1,0,"")))</f>
        <v/>
      </c>
      <c r="Y444" s="38" t="str">
        <f t="shared" si="132"/>
        <v/>
      </c>
      <c r="Z444" s="39" t="str">
        <f>IF(L444="","",IF(V444&gt;0,INDEX('01-كانون الثاني'!$Q$2:$Q$501,V444),IF($AO$1=1,0,"")))</f>
        <v/>
      </c>
      <c r="AA444" s="39" t="str">
        <f t="shared" si="133"/>
        <v/>
      </c>
      <c r="AB444" s="40" t="str">
        <f>IF(OR(L444="",V444=0),"",IF(AND(N(I444)&gt;0,N(INDEX('01-كانون الثاني'!$I$2:$I$501,V444))&gt;0,INDEX('01-كانون الثاني'!$F$2:$F$501,V444)=F444),N(I444)/N(INDEX('01-كانون الثاني'!$I$2:$I$501,V444))-1,""))</f>
        <v/>
      </c>
      <c r="AC444" t="str">
        <f>IF(L444="","",IF(AND($AO$2=1,ISNA(MATCH(L444,'03-آذار'!$L$2:$L$501,0))),"محذوف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IF(L445="","",IF($AO$1=1,IFERROR(MATCH(L445,'01-كانون الثاني'!$L$2:$L$501,0),0),0))</f>
        <v/>
      </c>
      <c r="W445" t="str">
        <f t="shared" si="131"/>
        <v/>
      </c>
      <c r="X445" s="38" t="str">
        <f>IF(L445="","",IF(V445&gt;0,INDEX('01-كانون الثاني'!$P$2:$P$501,V445),IF($AO$1=1,0,"")))</f>
        <v/>
      </c>
      <c r="Y445" s="38" t="str">
        <f t="shared" si="132"/>
        <v/>
      </c>
      <c r="Z445" s="39" t="str">
        <f>IF(L445="","",IF(V445&gt;0,INDEX('01-كانون الثاني'!$Q$2:$Q$501,V445),IF($AO$1=1,0,"")))</f>
        <v/>
      </c>
      <c r="AA445" s="39" t="str">
        <f t="shared" si="133"/>
        <v/>
      </c>
      <c r="AB445" s="40" t="str">
        <f>IF(OR(L445="",V445=0),"",IF(AND(N(I445)&gt;0,N(INDEX('01-كانون الثاني'!$I$2:$I$501,V445))&gt;0,INDEX('01-كانون الثاني'!$F$2:$F$501,V445)=F445),N(I445)/N(INDEX('01-كانون الثاني'!$I$2:$I$501,V445))-1,""))</f>
        <v/>
      </c>
      <c r="AC445" t="str">
        <f>IF(L445="","",IF(AND($AO$2=1,ISNA(MATCH(L445,'03-آذار'!$L$2:$L$501,0))),"محذوف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IF(L446="","",IF($AO$1=1,IFERROR(MATCH(L446,'01-كانون الثاني'!$L$2:$L$501,0),0),0))</f>
        <v/>
      </c>
      <c r="W446" t="str">
        <f t="shared" si="131"/>
        <v/>
      </c>
      <c r="X446" s="38" t="str">
        <f>IF(L446="","",IF(V446&gt;0,INDEX('01-كانون الثاني'!$P$2:$P$501,V446),IF($AO$1=1,0,"")))</f>
        <v/>
      </c>
      <c r="Y446" s="38" t="str">
        <f t="shared" si="132"/>
        <v/>
      </c>
      <c r="Z446" s="39" t="str">
        <f>IF(L446="","",IF(V446&gt;0,INDEX('01-كانون الثاني'!$Q$2:$Q$501,V446),IF($AO$1=1,0,"")))</f>
        <v/>
      </c>
      <c r="AA446" s="39" t="str">
        <f t="shared" si="133"/>
        <v/>
      </c>
      <c r="AB446" s="40" t="str">
        <f>IF(OR(L446="",V446=0),"",IF(AND(N(I446)&gt;0,N(INDEX('01-كانون الثاني'!$I$2:$I$501,V446))&gt;0,INDEX('01-كانون الثاني'!$F$2:$F$501,V446)=F446),N(I446)/N(INDEX('01-كانون الثاني'!$I$2:$I$501,V446))-1,""))</f>
        <v/>
      </c>
      <c r="AC446" t="str">
        <f>IF(L446="","",IF(AND($AO$2=1,ISNA(MATCH(L446,'03-آذار'!$L$2:$L$501,0))),"محذوف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IF(L447="","",IF($AO$1=1,IFERROR(MATCH(L447,'01-كانون الثاني'!$L$2:$L$501,0),0),0))</f>
        <v/>
      </c>
      <c r="W447" t="str">
        <f t="shared" si="131"/>
        <v/>
      </c>
      <c r="X447" s="38" t="str">
        <f>IF(L447="","",IF(V447&gt;0,INDEX('01-كانون الثاني'!$P$2:$P$501,V447),IF($AO$1=1,0,"")))</f>
        <v/>
      </c>
      <c r="Y447" s="38" t="str">
        <f t="shared" si="132"/>
        <v/>
      </c>
      <c r="Z447" s="39" t="str">
        <f>IF(L447="","",IF(V447&gt;0,INDEX('01-كانون الثاني'!$Q$2:$Q$501,V447),IF($AO$1=1,0,"")))</f>
        <v/>
      </c>
      <c r="AA447" s="39" t="str">
        <f t="shared" si="133"/>
        <v/>
      </c>
      <c r="AB447" s="40" t="str">
        <f>IF(OR(L447="",V447=0),"",IF(AND(N(I447)&gt;0,N(INDEX('01-كانون الثاني'!$I$2:$I$501,V447))&gt;0,INDEX('01-كانون الثاني'!$F$2:$F$501,V447)=F447),N(I447)/N(INDEX('01-كانون الثاني'!$I$2:$I$501,V447))-1,""))</f>
        <v/>
      </c>
      <c r="AC447" t="str">
        <f>IF(L447="","",IF(AND($AO$2=1,ISNA(MATCH(L447,'03-آذار'!$L$2:$L$501,0))),"محذوف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IF(L448="","",IF($AO$1=1,IFERROR(MATCH(L448,'01-كانون الثاني'!$L$2:$L$501,0),0),0))</f>
        <v/>
      </c>
      <c r="W448" t="str">
        <f t="shared" si="131"/>
        <v/>
      </c>
      <c r="X448" s="38" t="str">
        <f>IF(L448="","",IF(V448&gt;0,INDEX('01-كانون الثاني'!$P$2:$P$501,V448),IF($AO$1=1,0,"")))</f>
        <v/>
      </c>
      <c r="Y448" s="38" t="str">
        <f t="shared" si="132"/>
        <v/>
      </c>
      <c r="Z448" s="39" t="str">
        <f>IF(L448="","",IF(V448&gt;0,INDEX('01-كانون الثاني'!$Q$2:$Q$501,V448),IF($AO$1=1,0,"")))</f>
        <v/>
      </c>
      <c r="AA448" s="39" t="str">
        <f t="shared" si="133"/>
        <v/>
      </c>
      <c r="AB448" s="40" t="str">
        <f>IF(OR(L448="",V448=0),"",IF(AND(N(I448)&gt;0,N(INDEX('01-كانون الثاني'!$I$2:$I$501,V448))&gt;0,INDEX('01-كانون الثاني'!$F$2:$F$501,V448)=F448),N(I448)/N(INDEX('01-كانون الثاني'!$I$2:$I$501,V448))-1,""))</f>
        <v/>
      </c>
      <c r="AC448" t="str">
        <f>IF(L448="","",IF(AND($AO$2=1,ISNA(MATCH(L448,'03-آذار'!$L$2:$L$501,0))),"محذوف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IF(L449="","",IF($AO$1=1,IFERROR(MATCH(L449,'01-كانون الثاني'!$L$2:$L$501,0),0),0))</f>
        <v/>
      </c>
      <c r="W449" t="str">
        <f t="shared" si="131"/>
        <v/>
      </c>
      <c r="X449" s="38" t="str">
        <f>IF(L449="","",IF(V449&gt;0,INDEX('01-كانون الثاني'!$P$2:$P$501,V449),IF($AO$1=1,0,"")))</f>
        <v/>
      </c>
      <c r="Y449" s="38" t="str">
        <f t="shared" si="132"/>
        <v/>
      </c>
      <c r="Z449" s="39" t="str">
        <f>IF(L449="","",IF(V449&gt;0,INDEX('01-كانون الثاني'!$Q$2:$Q$501,V449),IF($AO$1=1,0,"")))</f>
        <v/>
      </c>
      <c r="AA449" s="39" t="str">
        <f t="shared" si="133"/>
        <v/>
      </c>
      <c r="AB449" s="40" t="str">
        <f>IF(OR(L449="",V449=0),"",IF(AND(N(I449)&gt;0,N(INDEX('01-كانون الثاني'!$I$2:$I$501,V449))&gt;0,INDEX('01-كانون الثاني'!$F$2:$F$501,V449)=F449),N(I449)/N(INDEX('01-كانون الثاني'!$I$2:$I$501,V449))-1,""))</f>
        <v/>
      </c>
      <c r="AC449" t="str">
        <f>IF(L449="","",IF(AND($AO$2=1,ISNA(MATCH(L449,'03-آذار'!$L$2:$L$501,0))),"محذوف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IF(L450="","",IF($AO$1=1,IFERROR(MATCH(L450,'01-كانون الثاني'!$L$2:$L$501,0),0),0))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IF(L450="","",IF(V450&gt;0,INDEX('01-كانون الثاني'!$P$2:$P$501,V450),IF($AO$1=1,0,"")))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IF(L450="","",IF(V450&gt;0,INDEX('01-كانون الثاني'!$Q$2:$Q$501,V450),IF($AO$1=1,0,"")))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IF(OR(L450="",V450=0),"",IF(AND(N(I450)&gt;0,N(INDEX('01-كانون الثاني'!$I$2:$I$501,V450))&gt;0,INDEX('01-كانون الثاني'!$F$2:$F$501,V450)=F450),N(I450)/N(INDEX('01-كانون الثاني'!$I$2:$I$501,V450))-1,""))</f>
        <v/>
      </c>
      <c r="AC450" t="str">
        <f>IF(L450="","",IF(AND($AO$2=1,ISNA(MATCH(L450,'03-آذار'!$L$2:$L$501,0))),"محذوف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IF(L451="","",IF($AO$1=1,IFERROR(MATCH(L451,'01-كانون الثاني'!$L$2:$L$501,0),0),0))</f>
        <v/>
      </c>
      <c r="W451" t="str">
        <f t="shared" si="151"/>
        <v/>
      </c>
      <c r="X451" s="38" t="str">
        <f>IF(L451="","",IF(V451&gt;0,INDEX('01-كانون الثاني'!$P$2:$P$501,V451),IF($AO$1=1,0,"")))</f>
        <v/>
      </c>
      <c r="Y451" s="38" t="str">
        <f t="shared" si="152"/>
        <v/>
      </c>
      <c r="Z451" s="39" t="str">
        <f>IF(L451="","",IF(V451&gt;0,INDEX('01-كانون الثاني'!$Q$2:$Q$501,V451),IF($AO$1=1,0,"")))</f>
        <v/>
      </c>
      <c r="AA451" s="39" t="str">
        <f t="shared" si="153"/>
        <v/>
      </c>
      <c r="AB451" s="40" t="str">
        <f>IF(OR(L451="",V451=0),"",IF(AND(N(I451)&gt;0,N(INDEX('01-كانون الثاني'!$I$2:$I$501,V451))&gt;0,INDEX('01-كانون الثاني'!$F$2:$F$501,V451)=F451),N(I451)/N(INDEX('01-كانون الثاني'!$I$2:$I$501,V451))-1,""))</f>
        <v/>
      </c>
      <c r="AC451" t="str">
        <f>IF(L451="","",IF(AND($AO$2=1,ISNA(MATCH(L451,'03-آذار'!$L$2:$L$501,0))),"محذوف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IF(L452="","",IF($AO$1=1,IFERROR(MATCH(L452,'01-كانون الثاني'!$L$2:$L$501,0),0),0))</f>
        <v/>
      </c>
      <c r="W452" t="str">
        <f t="shared" si="151"/>
        <v/>
      </c>
      <c r="X452" s="38" t="str">
        <f>IF(L452="","",IF(V452&gt;0,INDEX('01-كانون الثاني'!$P$2:$P$501,V452),IF($AO$1=1,0,"")))</f>
        <v/>
      </c>
      <c r="Y452" s="38" t="str">
        <f t="shared" si="152"/>
        <v/>
      </c>
      <c r="Z452" s="39" t="str">
        <f>IF(L452="","",IF(V452&gt;0,INDEX('01-كانون الثاني'!$Q$2:$Q$501,V452),IF($AO$1=1,0,"")))</f>
        <v/>
      </c>
      <c r="AA452" s="39" t="str">
        <f t="shared" si="153"/>
        <v/>
      </c>
      <c r="AB452" s="40" t="str">
        <f>IF(OR(L452="",V452=0),"",IF(AND(N(I452)&gt;0,N(INDEX('01-كانون الثاني'!$I$2:$I$501,V452))&gt;0,INDEX('01-كانون الثاني'!$F$2:$F$501,V452)=F452),N(I452)/N(INDEX('01-كانون الثاني'!$I$2:$I$501,V452))-1,""))</f>
        <v/>
      </c>
      <c r="AC452" t="str">
        <f>IF(L452="","",IF(AND($AO$2=1,ISNA(MATCH(L452,'03-آذار'!$L$2:$L$501,0))),"محذوف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IF(L453="","",IF($AO$1=1,IFERROR(MATCH(L453,'01-كانون الثاني'!$L$2:$L$501,0),0),0))</f>
        <v/>
      </c>
      <c r="W453" t="str">
        <f t="shared" si="151"/>
        <v/>
      </c>
      <c r="X453" s="38" t="str">
        <f>IF(L453="","",IF(V453&gt;0,INDEX('01-كانون الثاني'!$P$2:$P$501,V453),IF($AO$1=1,0,"")))</f>
        <v/>
      </c>
      <c r="Y453" s="38" t="str">
        <f t="shared" si="152"/>
        <v/>
      </c>
      <c r="Z453" s="39" t="str">
        <f>IF(L453="","",IF(V453&gt;0,INDEX('01-كانون الثاني'!$Q$2:$Q$501,V453),IF($AO$1=1,0,"")))</f>
        <v/>
      </c>
      <c r="AA453" s="39" t="str">
        <f t="shared" si="153"/>
        <v/>
      </c>
      <c r="AB453" s="40" t="str">
        <f>IF(OR(L453="",V453=0),"",IF(AND(N(I453)&gt;0,N(INDEX('01-كانون الثاني'!$I$2:$I$501,V453))&gt;0,INDEX('01-كانون الثاني'!$F$2:$F$501,V453)=F453),N(I453)/N(INDEX('01-كانون الثاني'!$I$2:$I$501,V453))-1,""))</f>
        <v/>
      </c>
      <c r="AC453" t="str">
        <f>IF(L453="","",IF(AND($AO$2=1,ISNA(MATCH(L453,'03-آذار'!$L$2:$L$501,0))),"محذوف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IF(L454="","",IF($AO$1=1,IFERROR(MATCH(L454,'01-كانون الثاني'!$L$2:$L$501,0),0),0))</f>
        <v/>
      </c>
      <c r="W454" t="str">
        <f t="shared" si="151"/>
        <v/>
      </c>
      <c r="X454" s="38" t="str">
        <f>IF(L454="","",IF(V454&gt;0,INDEX('01-كانون الثاني'!$P$2:$P$501,V454),IF($AO$1=1,0,"")))</f>
        <v/>
      </c>
      <c r="Y454" s="38" t="str">
        <f t="shared" si="152"/>
        <v/>
      </c>
      <c r="Z454" s="39" t="str">
        <f>IF(L454="","",IF(V454&gt;0,INDEX('01-كانون الثاني'!$Q$2:$Q$501,V454),IF($AO$1=1,0,"")))</f>
        <v/>
      </c>
      <c r="AA454" s="39" t="str">
        <f t="shared" si="153"/>
        <v/>
      </c>
      <c r="AB454" s="40" t="str">
        <f>IF(OR(L454="",V454=0),"",IF(AND(N(I454)&gt;0,N(INDEX('01-كانون الثاني'!$I$2:$I$501,V454))&gt;0,INDEX('01-كانون الثاني'!$F$2:$F$501,V454)=F454),N(I454)/N(INDEX('01-كانون الثاني'!$I$2:$I$501,V454))-1,""))</f>
        <v/>
      </c>
      <c r="AC454" t="str">
        <f>IF(L454="","",IF(AND($AO$2=1,ISNA(MATCH(L454,'03-آذار'!$L$2:$L$501,0))),"محذوف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IF(L455="","",IF($AO$1=1,IFERROR(MATCH(L455,'01-كانون الثاني'!$L$2:$L$501,0),0),0))</f>
        <v/>
      </c>
      <c r="W455" t="str">
        <f t="shared" si="151"/>
        <v/>
      </c>
      <c r="X455" s="38" t="str">
        <f>IF(L455="","",IF(V455&gt;0,INDEX('01-كانون الثاني'!$P$2:$P$501,V455),IF($AO$1=1,0,"")))</f>
        <v/>
      </c>
      <c r="Y455" s="38" t="str">
        <f t="shared" si="152"/>
        <v/>
      </c>
      <c r="Z455" s="39" t="str">
        <f>IF(L455="","",IF(V455&gt;0,INDEX('01-كانون الثاني'!$Q$2:$Q$501,V455),IF($AO$1=1,0,"")))</f>
        <v/>
      </c>
      <c r="AA455" s="39" t="str">
        <f t="shared" si="153"/>
        <v/>
      </c>
      <c r="AB455" s="40" t="str">
        <f>IF(OR(L455="",V455=0),"",IF(AND(N(I455)&gt;0,N(INDEX('01-كانون الثاني'!$I$2:$I$501,V455))&gt;0,INDEX('01-كانون الثاني'!$F$2:$F$501,V455)=F455),N(I455)/N(INDEX('01-كانون الثاني'!$I$2:$I$501,V455))-1,""))</f>
        <v/>
      </c>
      <c r="AC455" t="str">
        <f>IF(L455="","",IF(AND($AO$2=1,ISNA(MATCH(L455,'03-آذار'!$L$2:$L$501,0))),"محذوف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IF(L456="","",IF($AO$1=1,IFERROR(MATCH(L456,'01-كانون الثاني'!$L$2:$L$501,0),0),0))</f>
        <v/>
      </c>
      <c r="W456" t="str">
        <f t="shared" si="151"/>
        <v/>
      </c>
      <c r="X456" s="38" t="str">
        <f>IF(L456="","",IF(V456&gt;0,INDEX('01-كانون الثاني'!$P$2:$P$501,V456),IF($AO$1=1,0,"")))</f>
        <v/>
      </c>
      <c r="Y456" s="38" t="str">
        <f t="shared" si="152"/>
        <v/>
      </c>
      <c r="Z456" s="39" t="str">
        <f>IF(L456="","",IF(V456&gt;0,INDEX('01-كانون الثاني'!$Q$2:$Q$501,V456),IF($AO$1=1,0,"")))</f>
        <v/>
      </c>
      <c r="AA456" s="39" t="str">
        <f t="shared" si="153"/>
        <v/>
      </c>
      <c r="AB456" s="40" t="str">
        <f>IF(OR(L456="",V456=0),"",IF(AND(N(I456)&gt;0,N(INDEX('01-كانون الثاني'!$I$2:$I$501,V456))&gt;0,INDEX('01-كانون الثاني'!$F$2:$F$501,V456)=F456),N(I456)/N(INDEX('01-كانون الثاني'!$I$2:$I$501,V456))-1,""))</f>
        <v/>
      </c>
      <c r="AC456" t="str">
        <f>IF(L456="","",IF(AND($AO$2=1,ISNA(MATCH(L456,'03-آذار'!$L$2:$L$501,0))),"محذوف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IF(L457="","",IF($AO$1=1,IFERROR(MATCH(L457,'01-كانون الثاني'!$L$2:$L$501,0),0),0))</f>
        <v/>
      </c>
      <c r="W457" t="str">
        <f t="shared" si="151"/>
        <v/>
      </c>
      <c r="X457" s="38" t="str">
        <f>IF(L457="","",IF(V457&gt;0,INDEX('01-كانون الثاني'!$P$2:$P$501,V457),IF($AO$1=1,0,"")))</f>
        <v/>
      </c>
      <c r="Y457" s="38" t="str">
        <f t="shared" si="152"/>
        <v/>
      </c>
      <c r="Z457" s="39" t="str">
        <f>IF(L457="","",IF(V457&gt;0,INDEX('01-كانون الثاني'!$Q$2:$Q$501,V457),IF($AO$1=1,0,"")))</f>
        <v/>
      </c>
      <c r="AA457" s="39" t="str">
        <f t="shared" si="153"/>
        <v/>
      </c>
      <c r="AB457" s="40" t="str">
        <f>IF(OR(L457="",V457=0),"",IF(AND(N(I457)&gt;0,N(INDEX('01-كانون الثاني'!$I$2:$I$501,V457))&gt;0,INDEX('01-كانون الثاني'!$F$2:$F$501,V457)=F457),N(I457)/N(INDEX('01-كانون الثاني'!$I$2:$I$501,V457))-1,""))</f>
        <v/>
      </c>
      <c r="AC457" t="str">
        <f>IF(L457="","",IF(AND($AO$2=1,ISNA(MATCH(L457,'03-آذار'!$L$2:$L$501,0))),"محذوف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IF(L458="","",IF($AO$1=1,IFERROR(MATCH(L458,'01-كانون الثاني'!$L$2:$L$501,0),0),0))</f>
        <v/>
      </c>
      <c r="W458" t="str">
        <f t="shared" si="151"/>
        <v/>
      </c>
      <c r="X458" s="38" t="str">
        <f>IF(L458="","",IF(V458&gt;0,INDEX('01-كانون الثاني'!$P$2:$P$501,V458),IF($AO$1=1,0,"")))</f>
        <v/>
      </c>
      <c r="Y458" s="38" t="str">
        <f t="shared" si="152"/>
        <v/>
      </c>
      <c r="Z458" s="39" t="str">
        <f>IF(L458="","",IF(V458&gt;0,INDEX('01-كانون الثاني'!$Q$2:$Q$501,V458),IF($AO$1=1,0,"")))</f>
        <v/>
      </c>
      <c r="AA458" s="39" t="str">
        <f t="shared" si="153"/>
        <v/>
      </c>
      <c r="AB458" s="40" t="str">
        <f>IF(OR(L458="",V458=0),"",IF(AND(N(I458)&gt;0,N(INDEX('01-كانون الثاني'!$I$2:$I$501,V458))&gt;0,INDEX('01-كانون الثاني'!$F$2:$F$501,V458)=F458),N(I458)/N(INDEX('01-كانون الثاني'!$I$2:$I$501,V458))-1,""))</f>
        <v/>
      </c>
      <c r="AC458" t="str">
        <f>IF(L458="","",IF(AND($AO$2=1,ISNA(MATCH(L458,'03-آذار'!$L$2:$L$501,0))),"محذوف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IF(L459="","",IF($AO$1=1,IFERROR(MATCH(L459,'01-كانون الثاني'!$L$2:$L$501,0),0),0))</f>
        <v/>
      </c>
      <c r="W459" t="str">
        <f t="shared" si="151"/>
        <v/>
      </c>
      <c r="X459" s="38" t="str">
        <f>IF(L459="","",IF(V459&gt;0,INDEX('01-كانون الثاني'!$P$2:$P$501,V459),IF($AO$1=1,0,"")))</f>
        <v/>
      </c>
      <c r="Y459" s="38" t="str">
        <f t="shared" si="152"/>
        <v/>
      </c>
      <c r="Z459" s="39" t="str">
        <f>IF(L459="","",IF(V459&gt;0,INDEX('01-كانون الثاني'!$Q$2:$Q$501,V459),IF($AO$1=1,0,"")))</f>
        <v/>
      </c>
      <c r="AA459" s="39" t="str">
        <f t="shared" si="153"/>
        <v/>
      </c>
      <c r="AB459" s="40" t="str">
        <f>IF(OR(L459="",V459=0),"",IF(AND(N(I459)&gt;0,N(INDEX('01-كانون الثاني'!$I$2:$I$501,V459))&gt;0,INDEX('01-كانون الثاني'!$F$2:$F$501,V459)=F459),N(I459)/N(INDEX('01-كانون الثاني'!$I$2:$I$501,V459))-1,""))</f>
        <v/>
      </c>
      <c r="AC459" t="str">
        <f>IF(L459="","",IF(AND($AO$2=1,ISNA(MATCH(L459,'03-آذار'!$L$2:$L$501,0))),"محذوف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IF(L460="","",IF($AO$1=1,IFERROR(MATCH(L460,'01-كانون الثاني'!$L$2:$L$501,0),0),0))</f>
        <v/>
      </c>
      <c r="W460" t="str">
        <f t="shared" si="151"/>
        <v/>
      </c>
      <c r="X460" s="38" t="str">
        <f>IF(L460="","",IF(V460&gt;0,INDEX('01-كانون الثاني'!$P$2:$P$501,V460),IF($AO$1=1,0,"")))</f>
        <v/>
      </c>
      <c r="Y460" s="38" t="str">
        <f t="shared" si="152"/>
        <v/>
      </c>
      <c r="Z460" s="39" t="str">
        <f>IF(L460="","",IF(V460&gt;0,INDEX('01-كانون الثاني'!$Q$2:$Q$501,V460),IF($AO$1=1,0,"")))</f>
        <v/>
      </c>
      <c r="AA460" s="39" t="str">
        <f t="shared" si="153"/>
        <v/>
      </c>
      <c r="AB460" s="40" t="str">
        <f>IF(OR(L460="",V460=0),"",IF(AND(N(I460)&gt;0,N(INDEX('01-كانون الثاني'!$I$2:$I$501,V460))&gt;0,INDEX('01-كانون الثاني'!$F$2:$F$501,V460)=F460),N(I460)/N(INDEX('01-كانون الثاني'!$I$2:$I$501,V460))-1,""))</f>
        <v/>
      </c>
      <c r="AC460" t="str">
        <f>IF(L460="","",IF(AND($AO$2=1,ISNA(MATCH(L460,'03-آذار'!$L$2:$L$501,0))),"محذوف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IF(L461="","",IF($AO$1=1,IFERROR(MATCH(L461,'01-كانون الثاني'!$L$2:$L$501,0),0),0))</f>
        <v/>
      </c>
      <c r="W461" t="str">
        <f t="shared" si="151"/>
        <v/>
      </c>
      <c r="X461" s="38" t="str">
        <f>IF(L461="","",IF(V461&gt;0,INDEX('01-كانون الثاني'!$P$2:$P$501,V461),IF($AO$1=1,0,"")))</f>
        <v/>
      </c>
      <c r="Y461" s="38" t="str">
        <f t="shared" si="152"/>
        <v/>
      </c>
      <c r="Z461" s="39" t="str">
        <f>IF(L461="","",IF(V461&gt;0,INDEX('01-كانون الثاني'!$Q$2:$Q$501,V461),IF($AO$1=1,0,"")))</f>
        <v/>
      </c>
      <c r="AA461" s="39" t="str">
        <f t="shared" si="153"/>
        <v/>
      </c>
      <c r="AB461" s="40" t="str">
        <f>IF(OR(L461="",V461=0),"",IF(AND(N(I461)&gt;0,N(INDEX('01-كانون الثاني'!$I$2:$I$501,V461))&gt;0,INDEX('01-كانون الثاني'!$F$2:$F$501,V461)=F461),N(I461)/N(INDEX('01-كانون الثاني'!$I$2:$I$501,V461))-1,""))</f>
        <v/>
      </c>
      <c r="AC461" t="str">
        <f>IF(L461="","",IF(AND($AO$2=1,ISNA(MATCH(L461,'03-آذار'!$L$2:$L$501,0))),"محذوف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IF(L462="","",IF($AO$1=1,IFERROR(MATCH(L462,'01-كانون الثاني'!$L$2:$L$501,0),0),0))</f>
        <v/>
      </c>
      <c r="W462" t="str">
        <f t="shared" si="151"/>
        <v/>
      </c>
      <c r="X462" s="38" t="str">
        <f>IF(L462="","",IF(V462&gt;0,INDEX('01-كانون الثاني'!$P$2:$P$501,V462),IF($AO$1=1,0,"")))</f>
        <v/>
      </c>
      <c r="Y462" s="38" t="str">
        <f t="shared" si="152"/>
        <v/>
      </c>
      <c r="Z462" s="39" t="str">
        <f>IF(L462="","",IF(V462&gt;0,INDEX('01-كانون الثاني'!$Q$2:$Q$501,V462),IF($AO$1=1,0,"")))</f>
        <v/>
      </c>
      <c r="AA462" s="39" t="str">
        <f t="shared" si="153"/>
        <v/>
      </c>
      <c r="AB462" s="40" t="str">
        <f>IF(OR(L462="",V462=0),"",IF(AND(N(I462)&gt;0,N(INDEX('01-كانون الثاني'!$I$2:$I$501,V462))&gt;0,INDEX('01-كانون الثاني'!$F$2:$F$501,V462)=F462),N(I462)/N(INDEX('01-كانون الثاني'!$I$2:$I$501,V462))-1,""))</f>
        <v/>
      </c>
      <c r="AC462" t="str">
        <f>IF(L462="","",IF(AND($AO$2=1,ISNA(MATCH(L462,'03-آذار'!$L$2:$L$501,0))),"محذوف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IF(L463="","",IF($AO$1=1,IFERROR(MATCH(L463,'01-كانون الثاني'!$L$2:$L$501,0),0),0))</f>
        <v/>
      </c>
      <c r="W463" t="str">
        <f t="shared" si="151"/>
        <v/>
      </c>
      <c r="X463" s="38" t="str">
        <f>IF(L463="","",IF(V463&gt;0,INDEX('01-كانون الثاني'!$P$2:$P$501,V463),IF($AO$1=1,0,"")))</f>
        <v/>
      </c>
      <c r="Y463" s="38" t="str">
        <f t="shared" si="152"/>
        <v/>
      </c>
      <c r="Z463" s="39" t="str">
        <f>IF(L463="","",IF(V463&gt;0,INDEX('01-كانون الثاني'!$Q$2:$Q$501,V463),IF($AO$1=1,0,"")))</f>
        <v/>
      </c>
      <c r="AA463" s="39" t="str">
        <f t="shared" si="153"/>
        <v/>
      </c>
      <c r="AB463" s="40" t="str">
        <f>IF(OR(L463="",V463=0),"",IF(AND(N(I463)&gt;0,N(INDEX('01-كانون الثاني'!$I$2:$I$501,V463))&gt;0,INDEX('01-كانون الثاني'!$F$2:$F$501,V463)=F463),N(I463)/N(INDEX('01-كانون الثاني'!$I$2:$I$501,V463))-1,""))</f>
        <v/>
      </c>
      <c r="AC463" t="str">
        <f>IF(L463="","",IF(AND($AO$2=1,ISNA(MATCH(L463,'03-آذار'!$L$2:$L$501,0))),"محذوف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IF(L464="","",IF($AO$1=1,IFERROR(MATCH(L464,'01-كانون الثاني'!$L$2:$L$501,0),0),0))</f>
        <v/>
      </c>
      <c r="W464" t="str">
        <f t="shared" si="151"/>
        <v/>
      </c>
      <c r="X464" s="38" t="str">
        <f>IF(L464="","",IF(V464&gt;0,INDEX('01-كانون الثاني'!$P$2:$P$501,V464),IF($AO$1=1,0,"")))</f>
        <v/>
      </c>
      <c r="Y464" s="38" t="str">
        <f t="shared" si="152"/>
        <v/>
      </c>
      <c r="Z464" s="39" t="str">
        <f>IF(L464="","",IF(V464&gt;0,INDEX('01-كانون الثاني'!$Q$2:$Q$501,V464),IF($AO$1=1,0,"")))</f>
        <v/>
      </c>
      <c r="AA464" s="39" t="str">
        <f t="shared" si="153"/>
        <v/>
      </c>
      <c r="AB464" s="40" t="str">
        <f>IF(OR(L464="",V464=0),"",IF(AND(N(I464)&gt;0,N(INDEX('01-كانون الثاني'!$I$2:$I$501,V464))&gt;0,INDEX('01-كانون الثاني'!$F$2:$F$501,V464)=F464),N(I464)/N(INDEX('01-كانون الثاني'!$I$2:$I$501,V464))-1,""))</f>
        <v/>
      </c>
      <c r="AC464" t="str">
        <f>IF(L464="","",IF(AND($AO$2=1,ISNA(MATCH(L464,'03-آذار'!$L$2:$L$501,0))),"محذوف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IF(L465="","",IF($AO$1=1,IFERROR(MATCH(L465,'01-كانون الثاني'!$L$2:$L$501,0),0),0))</f>
        <v/>
      </c>
      <c r="W465" t="str">
        <f t="shared" si="151"/>
        <v/>
      </c>
      <c r="X465" s="38" t="str">
        <f>IF(L465="","",IF(V465&gt;0,INDEX('01-كانون الثاني'!$P$2:$P$501,V465),IF($AO$1=1,0,"")))</f>
        <v/>
      </c>
      <c r="Y465" s="38" t="str">
        <f t="shared" si="152"/>
        <v/>
      </c>
      <c r="Z465" s="39" t="str">
        <f>IF(L465="","",IF(V465&gt;0,INDEX('01-كانون الثاني'!$Q$2:$Q$501,V465),IF($AO$1=1,0,"")))</f>
        <v/>
      </c>
      <c r="AA465" s="39" t="str">
        <f t="shared" si="153"/>
        <v/>
      </c>
      <c r="AB465" s="40" t="str">
        <f>IF(OR(L465="",V465=0),"",IF(AND(N(I465)&gt;0,N(INDEX('01-كانون الثاني'!$I$2:$I$501,V465))&gt;0,INDEX('01-كانون الثاني'!$F$2:$F$501,V465)=F465),N(I465)/N(INDEX('01-كانون الثاني'!$I$2:$I$501,V465))-1,""))</f>
        <v/>
      </c>
      <c r="AC465" t="str">
        <f>IF(L465="","",IF(AND($AO$2=1,ISNA(MATCH(L465,'03-آذار'!$L$2:$L$501,0))),"محذوف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IF(L466="","",IF($AO$1=1,IFERROR(MATCH(L466,'01-كانون الثاني'!$L$2:$L$501,0),0),0))</f>
        <v/>
      </c>
      <c r="W466" t="str">
        <f t="shared" si="151"/>
        <v/>
      </c>
      <c r="X466" s="38" t="str">
        <f>IF(L466="","",IF(V466&gt;0,INDEX('01-كانون الثاني'!$P$2:$P$501,V466),IF($AO$1=1,0,"")))</f>
        <v/>
      </c>
      <c r="Y466" s="38" t="str">
        <f t="shared" si="152"/>
        <v/>
      </c>
      <c r="Z466" s="39" t="str">
        <f>IF(L466="","",IF(V466&gt;0,INDEX('01-كانون الثاني'!$Q$2:$Q$501,V466),IF($AO$1=1,0,"")))</f>
        <v/>
      </c>
      <c r="AA466" s="39" t="str">
        <f t="shared" si="153"/>
        <v/>
      </c>
      <c r="AB466" s="40" t="str">
        <f>IF(OR(L466="",V466=0),"",IF(AND(N(I466)&gt;0,N(INDEX('01-كانون الثاني'!$I$2:$I$501,V466))&gt;0,INDEX('01-كانون الثاني'!$F$2:$F$501,V466)=F466),N(I466)/N(INDEX('01-كانون الثاني'!$I$2:$I$501,V466))-1,""))</f>
        <v/>
      </c>
      <c r="AC466" t="str">
        <f>IF(L466="","",IF(AND($AO$2=1,ISNA(MATCH(L466,'03-آذار'!$L$2:$L$501,0))),"محذوف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IF(L467="","",IF($AO$1=1,IFERROR(MATCH(L467,'01-كانون الثاني'!$L$2:$L$501,0),0),0))</f>
        <v/>
      </c>
      <c r="W467" t="str">
        <f t="shared" si="151"/>
        <v/>
      </c>
      <c r="X467" s="38" t="str">
        <f>IF(L467="","",IF(V467&gt;0,INDEX('01-كانون الثاني'!$P$2:$P$501,V467),IF($AO$1=1,0,"")))</f>
        <v/>
      </c>
      <c r="Y467" s="38" t="str">
        <f t="shared" si="152"/>
        <v/>
      </c>
      <c r="Z467" s="39" t="str">
        <f>IF(L467="","",IF(V467&gt;0,INDEX('01-كانون الثاني'!$Q$2:$Q$501,V467),IF($AO$1=1,0,"")))</f>
        <v/>
      </c>
      <c r="AA467" s="39" t="str">
        <f t="shared" si="153"/>
        <v/>
      </c>
      <c r="AB467" s="40" t="str">
        <f>IF(OR(L467="",V467=0),"",IF(AND(N(I467)&gt;0,N(INDEX('01-كانون الثاني'!$I$2:$I$501,V467))&gt;0,INDEX('01-كانون الثاني'!$F$2:$F$501,V467)=F467),N(I467)/N(INDEX('01-كانون الثاني'!$I$2:$I$501,V467))-1,""))</f>
        <v/>
      </c>
      <c r="AC467" t="str">
        <f>IF(L467="","",IF(AND($AO$2=1,ISNA(MATCH(L467,'03-آذار'!$L$2:$L$501,0))),"محذوف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IF(L468="","",IF($AO$1=1,IFERROR(MATCH(L468,'01-كانون الثاني'!$L$2:$L$501,0),0),0))</f>
        <v/>
      </c>
      <c r="W468" t="str">
        <f t="shared" si="151"/>
        <v/>
      </c>
      <c r="X468" s="38" t="str">
        <f>IF(L468="","",IF(V468&gt;0,INDEX('01-كانون الثاني'!$P$2:$P$501,V468),IF($AO$1=1,0,"")))</f>
        <v/>
      </c>
      <c r="Y468" s="38" t="str">
        <f t="shared" si="152"/>
        <v/>
      </c>
      <c r="Z468" s="39" t="str">
        <f>IF(L468="","",IF(V468&gt;0,INDEX('01-كانون الثاني'!$Q$2:$Q$501,V468),IF($AO$1=1,0,"")))</f>
        <v/>
      </c>
      <c r="AA468" s="39" t="str">
        <f t="shared" si="153"/>
        <v/>
      </c>
      <c r="AB468" s="40" t="str">
        <f>IF(OR(L468="",V468=0),"",IF(AND(N(I468)&gt;0,N(INDEX('01-كانون الثاني'!$I$2:$I$501,V468))&gt;0,INDEX('01-كانون الثاني'!$F$2:$F$501,V468)=F468),N(I468)/N(INDEX('01-كانون الثاني'!$I$2:$I$501,V468))-1,""))</f>
        <v/>
      </c>
      <c r="AC468" t="str">
        <f>IF(L468="","",IF(AND($AO$2=1,ISNA(MATCH(L468,'03-آذار'!$L$2:$L$501,0))),"محذوف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IF(L469="","",IF($AO$1=1,IFERROR(MATCH(L469,'01-كانون الثاني'!$L$2:$L$501,0),0),0))</f>
        <v/>
      </c>
      <c r="W469" t="str">
        <f t="shared" si="151"/>
        <v/>
      </c>
      <c r="X469" s="38" t="str">
        <f>IF(L469="","",IF(V469&gt;0,INDEX('01-كانون الثاني'!$P$2:$P$501,V469),IF($AO$1=1,0,"")))</f>
        <v/>
      </c>
      <c r="Y469" s="38" t="str">
        <f t="shared" si="152"/>
        <v/>
      </c>
      <c r="Z469" s="39" t="str">
        <f>IF(L469="","",IF(V469&gt;0,INDEX('01-كانون الثاني'!$Q$2:$Q$501,V469),IF($AO$1=1,0,"")))</f>
        <v/>
      </c>
      <c r="AA469" s="39" t="str">
        <f t="shared" si="153"/>
        <v/>
      </c>
      <c r="AB469" s="40" t="str">
        <f>IF(OR(L469="",V469=0),"",IF(AND(N(I469)&gt;0,N(INDEX('01-كانون الثاني'!$I$2:$I$501,V469))&gt;0,INDEX('01-كانون الثاني'!$F$2:$F$501,V469)=F469),N(I469)/N(INDEX('01-كانون الثاني'!$I$2:$I$501,V469))-1,""))</f>
        <v/>
      </c>
      <c r="AC469" t="str">
        <f>IF(L469="","",IF(AND($AO$2=1,ISNA(MATCH(L469,'03-آذار'!$L$2:$L$501,0))),"محذوف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IF(L470="","",IF($AO$1=1,IFERROR(MATCH(L470,'01-كانون الثاني'!$L$2:$L$501,0),0),0))</f>
        <v/>
      </c>
      <c r="W470" t="str">
        <f t="shared" si="151"/>
        <v/>
      </c>
      <c r="X470" s="38" t="str">
        <f>IF(L470="","",IF(V470&gt;0,INDEX('01-كانون الثاني'!$P$2:$P$501,V470),IF($AO$1=1,0,"")))</f>
        <v/>
      </c>
      <c r="Y470" s="38" t="str">
        <f t="shared" si="152"/>
        <v/>
      </c>
      <c r="Z470" s="39" t="str">
        <f>IF(L470="","",IF(V470&gt;0,INDEX('01-كانون الثاني'!$Q$2:$Q$501,V470),IF($AO$1=1,0,"")))</f>
        <v/>
      </c>
      <c r="AA470" s="39" t="str">
        <f t="shared" si="153"/>
        <v/>
      </c>
      <c r="AB470" s="40" t="str">
        <f>IF(OR(L470="",V470=0),"",IF(AND(N(I470)&gt;0,N(INDEX('01-كانون الثاني'!$I$2:$I$501,V470))&gt;0,INDEX('01-كانون الثاني'!$F$2:$F$501,V470)=F470),N(I470)/N(INDEX('01-كانون الثاني'!$I$2:$I$501,V470))-1,""))</f>
        <v/>
      </c>
      <c r="AC470" t="str">
        <f>IF(L470="","",IF(AND($AO$2=1,ISNA(MATCH(L470,'03-آذار'!$L$2:$L$501,0))),"محذوف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IF(L471="","",IF($AO$1=1,IFERROR(MATCH(L471,'01-كانون الثاني'!$L$2:$L$501,0),0),0))</f>
        <v/>
      </c>
      <c r="W471" t="str">
        <f t="shared" si="151"/>
        <v/>
      </c>
      <c r="X471" s="38" t="str">
        <f>IF(L471="","",IF(V471&gt;0,INDEX('01-كانون الثاني'!$P$2:$P$501,V471),IF($AO$1=1,0,"")))</f>
        <v/>
      </c>
      <c r="Y471" s="38" t="str">
        <f t="shared" si="152"/>
        <v/>
      </c>
      <c r="Z471" s="39" t="str">
        <f>IF(L471="","",IF(V471&gt;0,INDEX('01-كانون الثاني'!$Q$2:$Q$501,V471),IF($AO$1=1,0,"")))</f>
        <v/>
      </c>
      <c r="AA471" s="39" t="str">
        <f t="shared" si="153"/>
        <v/>
      </c>
      <c r="AB471" s="40" t="str">
        <f>IF(OR(L471="",V471=0),"",IF(AND(N(I471)&gt;0,N(INDEX('01-كانون الثاني'!$I$2:$I$501,V471))&gt;0,INDEX('01-كانون الثاني'!$F$2:$F$501,V471)=F471),N(I471)/N(INDEX('01-كانون الثاني'!$I$2:$I$501,V471))-1,""))</f>
        <v/>
      </c>
      <c r="AC471" t="str">
        <f>IF(L471="","",IF(AND($AO$2=1,ISNA(MATCH(L471,'03-آذار'!$L$2:$L$501,0))),"محذوف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IF(L472="","",IF($AO$1=1,IFERROR(MATCH(L472,'01-كانون الثاني'!$L$2:$L$501,0),0),0))</f>
        <v/>
      </c>
      <c r="W472" t="str">
        <f t="shared" si="151"/>
        <v/>
      </c>
      <c r="X472" s="38" t="str">
        <f>IF(L472="","",IF(V472&gt;0,INDEX('01-كانون الثاني'!$P$2:$P$501,V472),IF($AO$1=1,0,"")))</f>
        <v/>
      </c>
      <c r="Y472" s="38" t="str">
        <f t="shared" si="152"/>
        <v/>
      </c>
      <c r="Z472" s="39" t="str">
        <f>IF(L472="","",IF(V472&gt;0,INDEX('01-كانون الثاني'!$Q$2:$Q$501,V472),IF($AO$1=1,0,"")))</f>
        <v/>
      </c>
      <c r="AA472" s="39" t="str">
        <f t="shared" si="153"/>
        <v/>
      </c>
      <c r="AB472" s="40" t="str">
        <f>IF(OR(L472="",V472=0),"",IF(AND(N(I472)&gt;0,N(INDEX('01-كانون الثاني'!$I$2:$I$501,V472))&gt;0,INDEX('01-كانون الثاني'!$F$2:$F$501,V472)=F472),N(I472)/N(INDEX('01-كانون الثاني'!$I$2:$I$501,V472))-1,""))</f>
        <v/>
      </c>
      <c r="AC472" t="str">
        <f>IF(L472="","",IF(AND($AO$2=1,ISNA(MATCH(L472,'03-آذار'!$L$2:$L$501,0))),"محذوف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IF(L473="","",IF($AO$1=1,IFERROR(MATCH(L473,'01-كانون الثاني'!$L$2:$L$501,0),0),0))</f>
        <v/>
      </c>
      <c r="W473" t="str">
        <f t="shared" si="151"/>
        <v/>
      </c>
      <c r="X473" s="38" t="str">
        <f>IF(L473="","",IF(V473&gt;0,INDEX('01-كانون الثاني'!$P$2:$P$501,V473),IF($AO$1=1,0,"")))</f>
        <v/>
      </c>
      <c r="Y473" s="38" t="str">
        <f t="shared" si="152"/>
        <v/>
      </c>
      <c r="Z473" s="39" t="str">
        <f>IF(L473="","",IF(V473&gt;0,INDEX('01-كانون الثاني'!$Q$2:$Q$501,V473),IF($AO$1=1,0,"")))</f>
        <v/>
      </c>
      <c r="AA473" s="39" t="str">
        <f t="shared" si="153"/>
        <v/>
      </c>
      <c r="AB473" s="40" t="str">
        <f>IF(OR(L473="",V473=0),"",IF(AND(N(I473)&gt;0,N(INDEX('01-كانون الثاني'!$I$2:$I$501,V473))&gt;0,INDEX('01-كانون الثاني'!$F$2:$F$501,V473)=F473),N(I473)/N(INDEX('01-كانون الثاني'!$I$2:$I$501,V473))-1,""))</f>
        <v/>
      </c>
      <c r="AC473" t="str">
        <f>IF(L473="","",IF(AND($AO$2=1,ISNA(MATCH(L473,'03-آذار'!$L$2:$L$501,0))),"محذوف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IF(L474="","",IF($AO$1=1,IFERROR(MATCH(L474,'01-كانون الثاني'!$L$2:$L$501,0),0),0))</f>
        <v/>
      </c>
      <c r="W474" t="str">
        <f t="shared" si="151"/>
        <v/>
      </c>
      <c r="X474" s="38" t="str">
        <f>IF(L474="","",IF(V474&gt;0,INDEX('01-كانون الثاني'!$P$2:$P$501,V474),IF($AO$1=1,0,"")))</f>
        <v/>
      </c>
      <c r="Y474" s="38" t="str">
        <f t="shared" si="152"/>
        <v/>
      </c>
      <c r="Z474" s="39" t="str">
        <f>IF(L474="","",IF(V474&gt;0,INDEX('01-كانون الثاني'!$Q$2:$Q$501,V474),IF($AO$1=1,0,"")))</f>
        <v/>
      </c>
      <c r="AA474" s="39" t="str">
        <f t="shared" si="153"/>
        <v/>
      </c>
      <c r="AB474" s="40" t="str">
        <f>IF(OR(L474="",V474=0),"",IF(AND(N(I474)&gt;0,N(INDEX('01-كانون الثاني'!$I$2:$I$501,V474))&gt;0,INDEX('01-كانون الثاني'!$F$2:$F$501,V474)=F474),N(I474)/N(INDEX('01-كانون الثاني'!$I$2:$I$501,V474))-1,""))</f>
        <v/>
      </c>
      <c r="AC474" t="str">
        <f>IF(L474="","",IF(AND($AO$2=1,ISNA(MATCH(L474,'03-آذار'!$L$2:$L$501,0))),"محذوف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IF(L475="","",IF($AO$1=1,IFERROR(MATCH(L475,'01-كانون الثاني'!$L$2:$L$501,0),0),0))</f>
        <v/>
      </c>
      <c r="W475" t="str">
        <f t="shared" si="151"/>
        <v/>
      </c>
      <c r="X475" s="38" t="str">
        <f>IF(L475="","",IF(V475&gt;0,INDEX('01-كانون الثاني'!$P$2:$P$501,V475),IF($AO$1=1,0,"")))</f>
        <v/>
      </c>
      <c r="Y475" s="38" t="str">
        <f t="shared" si="152"/>
        <v/>
      </c>
      <c r="Z475" s="39" t="str">
        <f>IF(L475="","",IF(V475&gt;0,INDEX('01-كانون الثاني'!$Q$2:$Q$501,V475),IF($AO$1=1,0,"")))</f>
        <v/>
      </c>
      <c r="AA475" s="39" t="str">
        <f t="shared" si="153"/>
        <v/>
      </c>
      <c r="AB475" s="40" t="str">
        <f>IF(OR(L475="",V475=0),"",IF(AND(N(I475)&gt;0,N(INDEX('01-كانون الثاني'!$I$2:$I$501,V475))&gt;0,INDEX('01-كانون الثاني'!$F$2:$F$501,V475)=F475),N(I475)/N(INDEX('01-كانون الثاني'!$I$2:$I$501,V475))-1,""))</f>
        <v/>
      </c>
      <c r="AC475" t="str">
        <f>IF(L475="","",IF(AND($AO$2=1,ISNA(MATCH(L475,'03-آذار'!$L$2:$L$501,0))),"محذوف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IF(L476="","",IF($AO$1=1,IFERROR(MATCH(L476,'01-كانون الثاني'!$L$2:$L$501,0),0),0))</f>
        <v/>
      </c>
      <c r="W476" t="str">
        <f t="shared" si="151"/>
        <v/>
      </c>
      <c r="X476" s="38" t="str">
        <f>IF(L476="","",IF(V476&gt;0,INDEX('01-كانون الثاني'!$P$2:$P$501,V476),IF($AO$1=1,0,"")))</f>
        <v/>
      </c>
      <c r="Y476" s="38" t="str">
        <f t="shared" si="152"/>
        <v/>
      </c>
      <c r="Z476" s="39" t="str">
        <f>IF(L476="","",IF(V476&gt;0,INDEX('01-كانون الثاني'!$Q$2:$Q$501,V476),IF($AO$1=1,0,"")))</f>
        <v/>
      </c>
      <c r="AA476" s="39" t="str">
        <f t="shared" si="153"/>
        <v/>
      </c>
      <c r="AB476" s="40" t="str">
        <f>IF(OR(L476="",V476=0),"",IF(AND(N(I476)&gt;0,N(INDEX('01-كانون الثاني'!$I$2:$I$501,V476))&gt;0,INDEX('01-كانون الثاني'!$F$2:$F$501,V476)=F476),N(I476)/N(INDEX('01-كانون الثاني'!$I$2:$I$501,V476))-1,""))</f>
        <v/>
      </c>
      <c r="AC476" t="str">
        <f>IF(L476="","",IF(AND($AO$2=1,ISNA(MATCH(L476,'03-آذار'!$L$2:$L$501,0))),"محذوف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IF(L477="","",IF($AO$1=1,IFERROR(MATCH(L477,'01-كانون الثاني'!$L$2:$L$501,0),0),0))</f>
        <v/>
      </c>
      <c r="W477" t="str">
        <f t="shared" si="151"/>
        <v/>
      </c>
      <c r="X477" s="38" t="str">
        <f>IF(L477="","",IF(V477&gt;0,INDEX('01-كانون الثاني'!$P$2:$P$501,V477),IF($AO$1=1,0,"")))</f>
        <v/>
      </c>
      <c r="Y477" s="38" t="str">
        <f t="shared" si="152"/>
        <v/>
      </c>
      <c r="Z477" s="39" t="str">
        <f>IF(L477="","",IF(V477&gt;0,INDEX('01-كانون الثاني'!$Q$2:$Q$501,V477),IF($AO$1=1,0,"")))</f>
        <v/>
      </c>
      <c r="AA477" s="39" t="str">
        <f t="shared" si="153"/>
        <v/>
      </c>
      <c r="AB477" s="40" t="str">
        <f>IF(OR(L477="",V477=0),"",IF(AND(N(I477)&gt;0,N(INDEX('01-كانون الثاني'!$I$2:$I$501,V477))&gt;0,INDEX('01-كانون الثاني'!$F$2:$F$501,V477)=F477),N(I477)/N(INDEX('01-كانون الثاني'!$I$2:$I$501,V477))-1,""))</f>
        <v/>
      </c>
      <c r="AC477" t="str">
        <f>IF(L477="","",IF(AND($AO$2=1,ISNA(MATCH(L477,'03-آذار'!$L$2:$L$501,0))),"محذوف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IF(L478="","",IF($AO$1=1,IFERROR(MATCH(L478,'01-كانون الثاني'!$L$2:$L$501,0),0),0))</f>
        <v/>
      </c>
      <c r="W478" t="str">
        <f t="shared" si="151"/>
        <v/>
      </c>
      <c r="X478" s="38" t="str">
        <f>IF(L478="","",IF(V478&gt;0,INDEX('01-كانون الثاني'!$P$2:$P$501,V478),IF($AO$1=1,0,"")))</f>
        <v/>
      </c>
      <c r="Y478" s="38" t="str">
        <f t="shared" si="152"/>
        <v/>
      </c>
      <c r="Z478" s="39" t="str">
        <f>IF(L478="","",IF(V478&gt;0,INDEX('01-كانون الثاني'!$Q$2:$Q$501,V478),IF($AO$1=1,0,"")))</f>
        <v/>
      </c>
      <c r="AA478" s="39" t="str">
        <f t="shared" si="153"/>
        <v/>
      </c>
      <c r="AB478" s="40" t="str">
        <f>IF(OR(L478="",V478=0),"",IF(AND(N(I478)&gt;0,N(INDEX('01-كانون الثاني'!$I$2:$I$501,V478))&gt;0,INDEX('01-كانون الثاني'!$F$2:$F$501,V478)=F478),N(I478)/N(INDEX('01-كانون الثاني'!$I$2:$I$501,V478))-1,""))</f>
        <v/>
      </c>
      <c r="AC478" t="str">
        <f>IF(L478="","",IF(AND($AO$2=1,ISNA(MATCH(L478,'03-آذار'!$L$2:$L$501,0))),"محذوف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IF(L479="","",IF($AO$1=1,IFERROR(MATCH(L479,'01-كانون الثاني'!$L$2:$L$501,0),0),0))</f>
        <v/>
      </c>
      <c r="W479" t="str">
        <f t="shared" si="151"/>
        <v/>
      </c>
      <c r="X479" s="38" t="str">
        <f>IF(L479="","",IF(V479&gt;0,INDEX('01-كانون الثاني'!$P$2:$P$501,V479),IF($AO$1=1,0,"")))</f>
        <v/>
      </c>
      <c r="Y479" s="38" t="str">
        <f t="shared" si="152"/>
        <v/>
      </c>
      <c r="Z479" s="39" t="str">
        <f>IF(L479="","",IF(V479&gt;0,INDEX('01-كانون الثاني'!$Q$2:$Q$501,V479),IF($AO$1=1,0,"")))</f>
        <v/>
      </c>
      <c r="AA479" s="39" t="str">
        <f t="shared" si="153"/>
        <v/>
      </c>
      <c r="AB479" s="40" t="str">
        <f>IF(OR(L479="",V479=0),"",IF(AND(N(I479)&gt;0,N(INDEX('01-كانون الثاني'!$I$2:$I$501,V479))&gt;0,INDEX('01-كانون الثاني'!$F$2:$F$501,V479)=F479),N(I479)/N(INDEX('01-كانون الثاني'!$I$2:$I$501,V479))-1,""))</f>
        <v/>
      </c>
      <c r="AC479" t="str">
        <f>IF(L479="","",IF(AND($AO$2=1,ISNA(MATCH(L479,'03-آذار'!$L$2:$L$501,0))),"محذوف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IF(L480="","",IF($AO$1=1,IFERROR(MATCH(L480,'01-كانون الثاني'!$L$2:$L$501,0),0),0))</f>
        <v/>
      </c>
      <c r="W480" t="str">
        <f t="shared" si="151"/>
        <v/>
      </c>
      <c r="X480" s="38" t="str">
        <f>IF(L480="","",IF(V480&gt;0,INDEX('01-كانون الثاني'!$P$2:$P$501,V480),IF($AO$1=1,0,"")))</f>
        <v/>
      </c>
      <c r="Y480" s="38" t="str">
        <f t="shared" si="152"/>
        <v/>
      </c>
      <c r="Z480" s="39" t="str">
        <f>IF(L480="","",IF(V480&gt;0,INDEX('01-كانون الثاني'!$Q$2:$Q$501,V480),IF($AO$1=1,0,"")))</f>
        <v/>
      </c>
      <c r="AA480" s="39" t="str">
        <f t="shared" si="153"/>
        <v/>
      </c>
      <c r="AB480" s="40" t="str">
        <f>IF(OR(L480="",V480=0),"",IF(AND(N(I480)&gt;0,N(INDEX('01-كانون الثاني'!$I$2:$I$501,V480))&gt;0,INDEX('01-كانون الثاني'!$F$2:$F$501,V480)=F480),N(I480)/N(INDEX('01-كانون الثاني'!$I$2:$I$501,V480))-1,""))</f>
        <v/>
      </c>
      <c r="AC480" t="str">
        <f>IF(L480="","",IF(AND($AO$2=1,ISNA(MATCH(L480,'03-آذار'!$L$2:$L$501,0))),"محذوف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IF(L481="","",IF($AO$1=1,IFERROR(MATCH(L481,'01-كانون الثاني'!$L$2:$L$501,0),0),0))</f>
        <v/>
      </c>
      <c r="W481" t="str">
        <f t="shared" si="151"/>
        <v/>
      </c>
      <c r="X481" s="38" t="str">
        <f>IF(L481="","",IF(V481&gt;0,INDEX('01-كانون الثاني'!$P$2:$P$501,V481),IF($AO$1=1,0,"")))</f>
        <v/>
      </c>
      <c r="Y481" s="38" t="str">
        <f t="shared" si="152"/>
        <v/>
      </c>
      <c r="Z481" s="39" t="str">
        <f>IF(L481="","",IF(V481&gt;0,INDEX('01-كانون الثاني'!$Q$2:$Q$501,V481),IF($AO$1=1,0,"")))</f>
        <v/>
      </c>
      <c r="AA481" s="39" t="str">
        <f t="shared" si="153"/>
        <v/>
      </c>
      <c r="AB481" s="40" t="str">
        <f>IF(OR(L481="",V481=0),"",IF(AND(N(I481)&gt;0,N(INDEX('01-كانون الثاني'!$I$2:$I$501,V481))&gt;0,INDEX('01-كانون الثاني'!$F$2:$F$501,V481)=F481),N(I481)/N(INDEX('01-كانون الثاني'!$I$2:$I$501,V481))-1,""))</f>
        <v/>
      </c>
      <c r="AC481" t="str">
        <f>IF(L481="","",IF(AND($AO$2=1,ISNA(MATCH(L481,'03-آذار'!$L$2:$L$501,0))),"محذوف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IF(L482="","",IF($AO$1=1,IFERROR(MATCH(L482,'01-كانون الثاني'!$L$2:$L$501,0),0),0))</f>
        <v/>
      </c>
      <c r="W482" t="str">
        <f t="shared" si="151"/>
        <v/>
      </c>
      <c r="X482" s="38" t="str">
        <f>IF(L482="","",IF(V482&gt;0,INDEX('01-كانون الثاني'!$P$2:$P$501,V482),IF($AO$1=1,0,"")))</f>
        <v/>
      </c>
      <c r="Y482" s="38" t="str">
        <f t="shared" si="152"/>
        <v/>
      </c>
      <c r="Z482" s="39" t="str">
        <f>IF(L482="","",IF(V482&gt;0,INDEX('01-كانون الثاني'!$Q$2:$Q$501,V482),IF($AO$1=1,0,"")))</f>
        <v/>
      </c>
      <c r="AA482" s="39" t="str">
        <f t="shared" si="153"/>
        <v/>
      </c>
      <c r="AB482" s="40" t="str">
        <f>IF(OR(L482="",V482=0),"",IF(AND(N(I482)&gt;0,N(INDEX('01-كانون الثاني'!$I$2:$I$501,V482))&gt;0,INDEX('01-كانون الثاني'!$F$2:$F$501,V482)=F482),N(I482)/N(INDEX('01-كانون الثاني'!$I$2:$I$501,V482))-1,""))</f>
        <v/>
      </c>
      <c r="AC482" t="str">
        <f>IF(L482="","",IF(AND($AO$2=1,ISNA(MATCH(L482,'03-آذار'!$L$2:$L$501,0))),"محذوف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IF(L483="","",IF($AO$1=1,IFERROR(MATCH(L483,'01-كانون الثاني'!$L$2:$L$501,0),0),0))</f>
        <v/>
      </c>
      <c r="W483" t="str">
        <f t="shared" si="151"/>
        <v/>
      </c>
      <c r="X483" s="38" t="str">
        <f>IF(L483="","",IF(V483&gt;0,INDEX('01-كانون الثاني'!$P$2:$P$501,V483),IF($AO$1=1,0,"")))</f>
        <v/>
      </c>
      <c r="Y483" s="38" t="str">
        <f t="shared" si="152"/>
        <v/>
      </c>
      <c r="Z483" s="39" t="str">
        <f>IF(L483="","",IF(V483&gt;0,INDEX('01-كانون الثاني'!$Q$2:$Q$501,V483),IF($AO$1=1,0,"")))</f>
        <v/>
      </c>
      <c r="AA483" s="39" t="str">
        <f t="shared" si="153"/>
        <v/>
      </c>
      <c r="AB483" s="40" t="str">
        <f>IF(OR(L483="",V483=0),"",IF(AND(N(I483)&gt;0,N(INDEX('01-كانون الثاني'!$I$2:$I$501,V483))&gt;0,INDEX('01-كانون الثاني'!$F$2:$F$501,V483)=F483),N(I483)/N(INDEX('01-كانون الثاني'!$I$2:$I$501,V483))-1,""))</f>
        <v/>
      </c>
      <c r="AC483" t="str">
        <f>IF(L483="","",IF(AND($AO$2=1,ISNA(MATCH(L483,'03-آذار'!$L$2:$L$501,0))),"محذوف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IF(L484="","",IF($AO$1=1,IFERROR(MATCH(L484,'01-كانون الثاني'!$L$2:$L$501,0),0),0))</f>
        <v/>
      </c>
      <c r="W484" t="str">
        <f t="shared" si="151"/>
        <v/>
      </c>
      <c r="X484" s="38" t="str">
        <f>IF(L484="","",IF(V484&gt;0,INDEX('01-كانون الثاني'!$P$2:$P$501,V484),IF($AO$1=1,0,"")))</f>
        <v/>
      </c>
      <c r="Y484" s="38" t="str">
        <f t="shared" si="152"/>
        <v/>
      </c>
      <c r="Z484" s="39" t="str">
        <f>IF(L484="","",IF(V484&gt;0,INDEX('01-كانون الثاني'!$Q$2:$Q$501,V484),IF($AO$1=1,0,"")))</f>
        <v/>
      </c>
      <c r="AA484" s="39" t="str">
        <f t="shared" si="153"/>
        <v/>
      </c>
      <c r="AB484" s="40" t="str">
        <f>IF(OR(L484="",V484=0),"",IF(AND(N(I484)&gt;0,N(INDEX('01-كانون الثاني'!$I$2:$I$501,V484))&gt;0,INDEX('01-كانون الثاني'!$F$2:$F$501,V484)=F484),N(I484)/N(INDEX('01-كانون الثاني'!$I$2:$I$501,V484))-1,""))</f>
        <v/>
      </c>
      <c r="AC484" t="str">
        <f>IF(L484="","",IF(AND($AO$2=1,ISNA(MATCH(L484,'03-آذار'!$L$2:$L$501,0))),"محذوف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IF(L485="","",IF($AO$1=1,IFERROR(MATCH(L485,'01-كانون الثاني'!$L$2:$L$501,0),0),0))</f>
        <v/>
      </c>
      <c r="W485" t="str">
        <f t="shared" si="151"/>
        <v/>
      </c>
      <c r="X485" s="38" t="str">
        <f>IF(L485="","",IF(V485&gt;0,INDEX('01-كانون الثاني'!$P$2:$P$501,V485),IF($AO$1=1,0,"")))</f>
        <v/>
      </c>
      <c r="Y485" s="38" t="str">
        <f t="shared" si="152"/>
        <v/>
      </c>
      <c r="Z485" s="39" t="str">
        <f>IF(L485="","",IF(V485&gt;0,INDEX('01-كانون الثاني'!$Q$2:$Q$501,V485),IF($AO$1=1,0,"")))</f>
        <v/>
      </c>
      <c r="AA485" s="39" t="str">
        <f t="shared" si="153"/>
        <v/>
      </c>
      <c r="AB485" s="40" t="str">
        <f>IF(OR(L485="",V485=0),"",IF(AND(N(I485)&gt;0,N(INDEX('01-كانون الثاني'!$I$2:$I$501,V485))&gt;0,INDEX('01-كانون الثاني'!$F$2:$F$501,V485)=F485),N(I485)/N(INDEX('01-كانون الثاني'!$I$2:$I$501,V485))-1,""))</f>
        <v/>
      </c>
      <c r="AC485" t="str">
        <f>IF(L485="","",IF(AND($AO$2=1,ISNA(MATCH(L485,'03-آذار'!$L$2:$L$501,0))),"محذوف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IF(L486="","",IF($AO$1=1,IFERROR(MATCH(L486,'01-كانون الثاني'!$L$2:$L$501,0),0),0))</f>
        <v/>
      </c>
      <c r="W486" t="str">
        <f t="shared" si="151"/>
        <v/>
      </c>
      <c r="X486" s="38" t="str">
        <f>IF(L486="","",IF(V486&gt;0,INDEX('01-كانون الثاني'!$P$2:$P$501,V486),IF($AO$1=1,0,"")))</f>
        <v/>
      </c>
      <c r="Y486" s="38" t="str">
        <f t="shared" si="152"/>
        <v/>
      </c>
      <c r="Z486" s="39" t="str">
        <f>IF(L486="","",IF(V486&gt;0,INDEX('01-كانون الثاني'!$Q$2:$Q$501,V486),IF($AO$1=1,0,"")))</f>
        <v/>
      </c>
      <c r="AA486" s="39" t="str">
        <f t="shared" si="153"/>
        <v/>
      </c>
      <c r="AB486" s="40" t="str">
        <f>IF(OR(L486="",V486=0),"",IF(AND(N(I486)&gt;0,N(INDEX('01-كانون الثاني'!$I$2:$I$501,V486))&gt;0,INDEX('01-كانون الثاني'!$F$2:$F$501,V486)=F486),N(I486)/N(INDEX('01-كانون الثاني'!$I$2:$I$501,V486))-1,""))</f>
        <v/>
      </c>
      <c r="AC486" t="str">
        <f>IF(L486="","",IF(AND($AO$2=1,ISNA(MATCH(L486,'03-آذار'!$L$2:$L$501,0))),"محذوف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IF(L487="","",IF($AO$1=1,IFERROR(MATCH(L487,'01-كانون الثاني'!$L$2:$L$501,0),0),0))</f>
        <v/>
      </c>
      <c r="W487" t="str">
        <f t="shared" si="151"/>
        <v/>
      </c>
      <c r="X487" s="38" t="str">
        <f>IF(L487="","",IF(V487&gt;0,INDEX('01-كانون الثاني'!$P$2:$P$501,V487),IF($AO$1=1,0,"")))</f>
        <v/>
      </c>
      <c r="Y487" s="38" t="str">
        <f t="shared" si="152"/>
        <v/>
      </c>
      <c r="Z487" s="39" t="str">
        <f>IF(L487="","",IF(V487&gt;0,INDEX('01-كانون الثاني'!$Q$2:$Q$501,V487),IF($AO$1=1,0,"")))</f>
        <v/>
      </c>
      <c r="AA487" s="39" t="str">
        <f t="shared" si="153"/>
        <v/>
      </c>
      <c r="AB487" s="40" t="str">
        <f>IF(OR(L487="",V487=0),"",IF(AND(N(I487)&gt;0,N(INDEX('01-كانون الثاني'!$I$2:$I$501,V487))&gt;0,INDEX('01-كانون الثاني'!$F$2:$F$501,V487)=F487),N(I487)/N(INDEX('01-كانون الثاني'!$I$2:$I$501,V487))-1,""))</f>
        <v/>
      </c>
      <c r="AC487" t="str">
        <f>IF(L487="","",IF(AND($AO$2=1,ISNA(MATCH(L487,'03-آذار'!$L$2:$L$501,0))),"محذوف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IF(L488="","",IF($AO$1=1,IFERROR(MATCH(L488,'01-كانون الثاني'!$L$2:$L$501,0),0),0))</f>
        <v/>
      </c>
      <c r="W488" t="str">
        <f t="shared" si="151"/>
        <v/>
      </c>
      <c r="X488" s="38" t="str">
        <f>IF(L488="","",IF(V488&gt;0,INDEX('01-كانون الثاني'!$P$2:$P$501,V488),IF($AO$1=1,0,"")))</f>
        <v/>
      </c>
      <c r="Y488" s="38" t="str">
        <f t="shared" si="152"/>
        <v/>
      </c>
      <c r="Z488" s="39" t="str">
        <f>IF(L488="","",IF(V488&gt;0,INDEX('01-كانون الثاني'!$Q$2:$Q$501,V488),IF($AO$1=1,0,"")))</f>
        <v/>
      </c>
      <c r="AA488" s="39" t="str">
        <f t="shared" si="153"/>
        <v/>
      </c>
      <c r="AB488" s="40" t="str">
        <f>IF(OR(L488="",V488=0),"",IF(AND(N(I488)&gt;0,N(INDEX('01-كانون الثاني'!$I$2:$I$501,V488))&gt;0,INDEX('01-كانون الثاني'!$F$2:$F$501,V488)=F488),N(I488)/N(INDEX('01-كانون الثاني'!$I$2:$I$501,V488))-1,""))</f>
        <v/>
      </c>
      <c r="AC488" t="str">
        <f>IF(L488="","",IF(AND($AO$2=1,ISNA(MATCH(L488,'03-آذار'!$L$2:$L$501,0))),"محذوف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IF(L489="","",IF($AO$1=1,IFERROR(MATCH(L489,'01-كانون الثاني'!$L$2:$L$501,0),0),0))</f>
        <v/>
      </c>
      <c r="W489" t="str">
        <f t="shared" si="151"/>
        <v/>
      </c>
      <c r="X489" s="38" t="str">
        <f>IF(L489="","",IF(V489&gt;0,INDEX('01-كانون الثاني'!$P$2:$P$501,V489),IF($AO$1=1,0,"")))</f>
        <v/>
      </c>
      <c r="Y489" s="38" t="str">
        <f t="shared" si="152"/>
        <v/>
      </c>
      <c r="Z489" s="39" t="str">
        <f>IF(L489="","",IF(V489&gt;0,INDEX('01-كانون الثاني'!$Q$2:$Q$501,V489),IF($AO$1=1,0,"")))</f>
        <v/>
      </c>
      <c r="AA489" s="39" t="str">
        <f t="shared" si="153"/>
        <v/>
      </c>
      <c r="AB489" s="40" t="str">
        <f>IF(OR(L489="",V489=0),"",IF(AND(N(I489)&gt;0,N(INDEX('01-كانون الثاني'!$I$2:$I$501,V489))&gt;0,INDEX('01-كانون الثاني'!$F$2:$F$501,V489)=F489),N(I489)/N(INDEX('01-كانون الثاني'!$I$2:$I$501,V489))-1,""))</f>
        <v/>
      </c>
      <c r="AC489" t="str">
        <f>IF(L489="","",IF(AND($AO$2=1,ISNA(MATCH(L489,'03-آذار'!$L$2:$L$501,0))),"محذوف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IF(L490="","",IF($AO$1=1,IFERROR(MATCH(L490,'01-كانون الثاني'!$L$2:$L$501,0),0),0))</f>
        <v/>
      </c>
      <c r="W490" t="str">
        <f t="shared" si="151"/>
        <v/>
      </c>
      <c r="X490" s="38" t="str">
        <f>IF(L490="","",IF(V490&gt;0,INDEX('01-كانون الثاني'!$P$2:$P$501,V490),IF($AO$1=1,0,"")))</f>
        <v/>
      </c>
      <c r="Y490" s="38" t="str">
        <f t="shared" si="152"/>
        <v/>
      </c>
      <c r="Z490" s="39" t="str">
        <f>IF(L490="","",IF(V490&gt;0,INDEX('01-كانون الثاني'!$Q$2:$Q$501,V490),IF($AO$1=1,0,"")))</f>
        <v/>
      </c>
      <c r="AA490" s="39" t="str">
        <f t="shared" si="153"/>
        <v/>
      </c>
      <c r="AB490" s="40" t="str">
        <f>IF(OR(L490="",V490=0),"",IF(AND(N(I490)&gt;0,N(INDEX('01-كانون الثاني'!$I$2:$I$501,V490))&gt;0,INDEX('01-كانون الثاني'!$F$2:$F$501,V490)=F490),N(I490)/N(INDEX('01-كانون الثاني'!$I$2:$I$501,V490))-1,""))</f>
        <v/>
      </c>
      <c r="AC490" t="str">
        <f>IF(L490="","",IF(AND($AO$2=1,ISNA(MATCH(L490,'03-آذار'!$L$2:$L$501,0))),"محذوف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IF(L491="","",IF($AO$1=1,IFERROR(MATCH(L491,'01-كانون الثاني'!$L$2:$L$501,0),0),0))</f>
        <v/>
      </c>
      <c r="W491" t="str">
        <f t="shared" si="151"/>
        <v/>
      </c>
      <c r="X491" s="38" t="str">
        <f>IF(L491="","",IF(V491&gt;0,INDEX('01-كانون الثاني'!$P$2:$P$501,V491),IF($AO$1=1,0,"")))</f>
        <v/>
      </c>
      <c r="Y491" s="38" t="str">
        <f t="shared" si="152"/>
        <v/>
      </c>
      <c r="Z491" s="39" t="str">
        <f>IF(L491="","",IF(V491&gt;0,INDEX('01-كانون الثاني'!$Q$2:$Q$501,V491),IF($AO$1=1,0,"")))</f>
        <v/>
      </c>
      <c r="AA491" s="39" t="str">
        <f t="shared" si="153"/>
        <v/>
      </c>
      <c r="AB491" s="40" t="str">
        <f>IF(OR(L491="",V491=0),"",IF(AND(N(I491)&gt;0,N(INDEX('01-كانون الثاني'!$I$2:$I$501,V491))&gt;0,INDEX('01-كانون الثاني'!$F$2:$F$501,V491)=F491),N(I491)/N(INDEX('01-كانون الثاني'!$I$2:$I$501,V491))-1,""))</f>
        <v/>
      </c>
      <c r="AC491" t="str">
        <f>IF(L491="","",IF(AND($AO$2=1,ISNA(MATCH(L491,'03-آذار'!$L$2:$L$501,0))),"محذوف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IF(L492="","",IF($AO$1=1,IFERROR(MATCH(L492,'01-كانون الثاني'!$L$2:$L$501,0),0),0))</f>
        <v/>
      </c>
      <c r="W492" t="str">
        <f t="shared" si="151"/>
        <v/>
      </c>
      <c r="X492" s="38" t="str">
        <f>IF(L492="","",IF(V492&gt;0,INDEX('01-كانون الثاني'!$P$2:$P$501,V492),IF($AO$1=1,0,"")))</f>
        <v/>
      </c>
      <c r="Y492" s="38" t="str">
        <f t="shared" si="152"/>
        <v/>
      </c>
      <c r="Z492" s="39" t="str">
        <f>IF(L492="","",IF(V492&gt;0,INDEX('01-كانون الثاني'!$Q$2:$Q$501,V492),IF($AO$1=1,0,"")))</f>
        <v/>
      </c>
      <c r="AA492" s="39" t="str">
        <f t="shared" si="153"/>
        <v/>
      </c>
      <c r="AB492" s="40" t="str">
        <f>IF(OR(L492="",V492=0),"",IF(AND(N(I492)&gt;0,N(INDEX('01-كانون الثاني'!$I$2:$I$501,V492))&gt;0,INDEX('01-كانون الثاني'!$F$2:$F$501,V492)=F492),N(I492)/N(INDEX('01-كانون الثاني'!$I$2:$I$501,V492))-1,""))</f>
        <v/>
      </c>
      <c r="AC492" t="str">
        <f>IF(L492="","",IF(AND($AO$2=1,ISNA(MATCH(L492,'03-آذار'!$L$2:$L$501,0))),"محذوف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IF(L493="","",IF($AO$1=1,IFERROR(MATCH(L493,'01-كانون الثاني'!$L$2:$L$501,0),0),0))</f>
        <v/>
      </c>
      <c r="W493" t="str">
        <f t="shared" si="151"/>
        <v/>
      </c>
      <c r="X493" s="38" t="str">
        <f>IF(L493="","",IF(V493&gt;0,INDEX('01-كانون الثاني'!$P$2:$P$501,V493),IF($AO$1=1,0,"")))</f>
        <v/>
      </c>
      <c r="Y493" s="38" t="str">
        <f t="shared" si="152"/>
        <v/>
      </c>
      <c r="Z493" s="39" t="str">
        <f>IF(L493="","",IF(V493&gt;0,INDEX('01-كانون الثاني'!$Q$2:$Q$501,V493),IF($AO$1=1,0,"")))</f>
        <v/>
      </c>
      <c r="AA493" s="39" t="str">
        <f t="shared" si="153"/>
        <v/>
      </c>
      <c r="AB493" s="40" t="str">
        <f>IF(OR(L493="",V493=0),"",IF(AND(N(I493)&gt;0,N(INDEX('01-كانون الثاني'!$I$2:$I$501,V493))&gt;0,INDEX('01-كانون الثاني'!$F$2:$F$501,V493)=F493),N(I493)/N(INDEX('01-كانون الثاني'!$I$2:$I$501,V493))-1,""))</f>
        <v/>
      </c>
      <c r="AC493" t="str">
        <f>IF(L493="","",IF(AND($AO$2=1,ISNA(MATCH(L493,'03-آذار'!$L$2:$L$501,0))),"محذوف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IF(L494="","",IF($AO$1=1,IFERROR(MATCH(L494,'01-كانون الثاني'!$L$2:$L$501,0),0),0))</f>
        <v/>
      </c>
      <c r="W494" t="str">
        <f t="shared" si="151"/>
        <v/>
      </c>
      <c r="X494" s="38" t="str">
        <f>IF(L494="","",IF(V494&gt;0,INDEX('01-كانون الثاني'!$P$2:$P$501,V494),IF($AO$1=1,0,"")))</f>
        <v/>
      </c>
      <c r="Y494" s="38" t="str">
        <f t="shared" si="152"/>
        <v/>
      </c>
      <c r="Z494" s="39" t="str">
        <f>IF(L494="","",IF(V494&gt;0,INDEX('01-كانون الثاني'!$Q$2:$Q$501,V494),IF($AO$1=1,0,"")))</f>
        <v/>
      </c>
      <c r="AA494" s="39" t="str">
        <f t="shared" si="153"/>
        <v/>
      </c>
      <c r="AB494" s="40" t="str">
        <f>IF(OR(L494="",V494=0),"",IF(AND(N(I494)&gt;0,N(INDEX('01-كانون الثاني'!$I$2:$I$501,V494))&gt;0,INDEX('01-كانون الثاني'!$F$2:$F$501,V494)=F494),N(I494)/N(INDEX('01-كانون الثاني'!$I$2:$I$501,V494))-1,""))</f>
        <v/>
      </c>
      <c r="AC494" t="str">
        <f>IF(L494="","",IF(AND($AO$2=1,ISNA(MATCH(L494,'03-آذار'!$L$2:$L$501,0))),"محذوف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IF(L495="","",IF($AO$1=1,IFERROR(MATCH(L495,'01-كانون الثاني'!$L$2:$L$501,0),0),0))</f>
        <v/>
      </c>
      <c r="W495" t="str">
        <f t="shared" si="151"/>
        <v/>
      </c>
      <c r="X495" s="38" t="str">
        <f>IF(L495="","",IF(V495&gt;0,INDEX('01-كانون الثاني'!$P$2:$P$501,V495),IF($AO$1=1,0,"")))</f>
        <v/>
      </c>
      <c r="Y495" s="38" t="str">
        <f t="shared" si="152"/>
        <v/>
      </c>
      <c r="Z495" s="39" t="str">
        <f>IF(L495="","",IF(V495&gt;0,INDEX('01-كانون الثاني'!$Q$2:$Q$501,V495),IF($AO$1=1,0,"")))</f>
        <v/>
      </c>
      <c r="AA495" s="39" t="str">
        <f t="shared" si="153"/>
        <v/>
      </c>
      <c r="AB495" s="40" t="str">
        <f>IF(OR(L495="",V495=0),"",IF(AND(N(I495)&gt;0,N(INDEX('01-كانون الثاني'!$I$2:$I$501,V495))&gt;0,INDEX('01-كانون الثاني'!$F$2:$F$501,V495)=F495),N(I495)/N(INDEX('01-كانون الثاني'!$I$2:$I$501,V495))-1,""))</f>
        <v/>
      </c>
      <c r="AC495" t="str">
        <f>IF(L495="","",IF(AND($AO$2=1,ISNA(MATCH(L495,'03-آذار'!$L$2:$L$501,0))),"محذوف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IF(L496="","",IF($AO$1=1,IFERROR(MATCH(L496,'01-كانون الثاني'!$L$2:$L$501,0),0),0))</f>
        <v/>
      </c>
      <c r="W496" t="str">
        <f t="shared" si="151"/>
        <v/>
      </c>
      <c r="X496" s="38" t="str">
        <f>IF(L496="","",IF(V496&gt;0,INDEX('01-كانون الثاني'!$P$2:$P$501,V496),IF($AO$1=1,0,"")))</f>
        <v/>
      </c>
      <c r="Y496" s="38" t="str">
        <f t="shared" si="152"/>
        <v/>
      </c>
      <c r="Z496" s="39" t="str">
        <f>IF(L496="","",IF(V496&gt;0,INDEX('01-كانون الثاني'!$Q$2:$Q$501,V496),IF($AO$1=1,0,"")))</f>
        <v/>
      </c>
      <c r="AA496" s="39" t="str">
        <f t="shared" si="153"/>
        <v/>
      </c>
      <c r="AB496" s="40" t="str">
        <f>IF(OR(L496="",V496=0),"",IF(AND(N(I496)&gt;0,N(INDEX('01-كانون الثاني'!$I$2:$I$501,V496))&gt;0,INDEX('01-كانون الثاني'!$F$2:$F$501,V496)=F496),N(I496)/N(INDEX('01-كانون الثاني'!$I$2:$I$501,V496))-1,""))</f>
        <v/>
      </c>
      <c r="AC496" t="str">
        <f>IF(L496="","",IF(AND($AO$2=1,ISNA(MATCH(L496,'03-آذار'!$L$2:$L$501,0))),"محذوف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IF(L497="","",IF($AO$1=1,IFERROR(MATCH(L497,'01-كانون الثاني'!$L$2:$L$501,0),0),0))</f>
        <v/>
      </c>
      <c r="W497" t="str">
        <f t="shared" si="151"/>
        <v/>
      </c>
      <c r="X497" s="38" t="str">
        <f>IF(L497="","",IF(V497&gt;0,INDEX('01-كانون الثاني'!$P$2:$P$501,V497),IF($AO$1=1,0,"")))</f>
        <v/>
      </c>
      <c r="Y497" s="38" t="str">
        <f t="shared" si="152"/>
        <v/>
      </c>
      <c r="Z497" s="39" t="str">
        <f>IF(L497="","",IF(V497&gt;0,INDEX('01-كانون الثاني'!$Q$2:$Q$501,V497),IF($AO$1=1,0,"")))</f>
        <v/>
      </c>
      <c r="AA497" s="39" t="str">
        <f t="shared" si="153"/>
        <v/>
      </c>
      <c r="AB497" s="40" t="str">
        <f>IF(OR(L497="",V497=0),"",IF(AND(N(I497)&gt;0,N(INDEX('01-كانون الثاني'!$I$2:$I$501,V497))&gt;0,INDEX('01-كانون الثاني'!$F$2:$F$501,V497)=F497),N(I497)/N(INDEX('01-كانون الثاني'!$I$2:$I$501,V497))-1,""))</f>
        <v/>
      </c>
      <c r="AC497" t="str">
        <f>IF(L497="","",IF(AND($AO$2=1,ISNA(MATCH(L497,'03-آذار'!$L$2:$L$501,0))),"محذوف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IF(L498="","",IF($AO$1=1,IFERROR(MATCH(L498,'01-كانون الثاني'!$L$2:$L$501,0),0),0))</f>
        <v/>
      </c>
      <c r="W498" t="str">
        <f t="shared" si="151"/>
        <v/>
      </c>
      <c r="X498" s="38" t="str">
        <f>IF(L498="","",IF(V498&gt;0,INDEX('01-كانون الثاني'!$P$2:$P$501,V498),IF($AO$1=1,0,"")))</f>
        <v/>
      </c>
      <c r="Y498" s="38" t="str">
        <f t="shared" si="152"/>
        <v/>
      </c>
      <c r="Z498" s="39" t="str">
        <f>IF(L498="","",IF(V498&gt;0,INDEX('01-كانون الثاني'!$Q$2:$Q$501,V498),IF($AO$1=1,0,"")))</f>
        <v/>
      </c>
      <c r="AA498" s="39" t="str">
        <f t="shared" si="153"/>
        <v/>
      </c>
      <c r="AB498" s="40" t="str">
        <f>IF(OR(L498="",V498=0),"",IF(AND(N(I498)&gt;0,N(INDEX('01-كانون الثاني'!$I$2:$I$501,V498))&gt;0,INDEX('01-كانون الثاني'!$F$2:$F$501,V498)=F498),N(I498)/N(INDEX('01-كانون الثاني'!$I$2:$I$501,V498))-1,""))</f>
        <v/>
      </c>
      <c r="AC498" t="str">
        <f>IF(L498="","",IF(AND($AO$2=1,ISNA(MATCH(L498,'03-آذار'!$L$2:$L$501,0))),"محذوف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IF(L499="","",IF($AO$1=1,IFERROR(MATCH(L499,'01-كانون الثاني'!$L$2:$L$501,0),0),0))</f>
        <v/>
      </c>
      <c r="W499" t="str">
        <f t="shared" si="151"/>
        <v/>
      </c>
      <c r="X499" s="38" t="str">
        <f>IF(L499="","",IF(V499&gt;0,INDEX('01-كانون الثاني'!$P$2:$P$501,V499),IF($AO$1=1,0,"")))</f>
        <v/>
      </c>
      <c r="Y499" s="38" t="str">
        <f t="shared" si="152"/>
        <v/>
      </c>
      <c r="Z499" s="39" t="str">
        <f>IF(L499="","",IF(V499&gt;0,INDEX('01-كانون الثاني'!$Q$2:$Q$501,V499),IF($AO$1=1,0,"")))</f>
        <v/>
      </c>
      <c r="AA499" s="39" t="str">
        <f t="shared" si="153"/>
        <v/>
      </c>
      <c r="AB499" s="40" t="str">
        <f>IF(OR(L499="",V499=0),"",IF(AND(N(I499)&gt;0,N(INDEX('01-كانون الثاني'!$I$2:$I$501,V499))&gt;0,INDEX('01-كانون الثاني'!$F$2:$F$501,V499)=F499),N(I499)/N(INDEX('01-كانون الثاني'!$I$2:$I$501,V499))-1,""))</f>
        <v/>
      </c>
      <c r="AC499" t="str">
        <f>IF(L499="","",IF(AND($AO$2=1,ISNA(MATCH(L499,'03-آذار'!$L$2:$L$501,0))),"محذوف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IF(L500="","",IF($AO$1=1,IFERROR(MATCH(L500,'01-كانون الثاني'!$L$2:$L$501,0),0),0))</f>
        <v/>
      </c>
      <c r="W500" t="str">
        <f t="shared" si="151"/>
        <v/>
      </c>
      <c r="X500" s="38" t="str">
        <f>IF(L500="","",IF(V500&gt;0,INDEX('01-كانون الثاني'!$P$2:$P$501,V500),IF($AO$1=1,0,"")))</f>
        <v/>
      </c>
      <c r="Y500" s="38" t="str">
        <f t="shared" si="152"/>
        <v/>
      </c>
      <c r="Z500" s="39" t="str">
        <f>IF(L500="","",IF(V500&gt;0,INDEX('01-كانون الثاني'!$Q$2:$Q$501,V500),IF($AO$1=1,0,"")))</f>
        <v/>
      </c>
      <c r="AA500" s="39" t="str">
        <f t="shared" si="153"/>
        <v/>
      </c>
      <c r="AB500" s="40" t="str">
        <f>IF(OR(L500="",V500=0),"",IF(AND(N(I500)&gt;0,N(INDEX('01-كانون الثاني'!$I$2:$I$501,V500))&gt;0,INDEX('01-كانون الثاني'!$F$2:$F$501,V500)=F500),N(I500)/N(INDEX('01-كانون الثاني'!$I$2:$I$501,V500))-1,""))</f>
        <v/>
      </c>
      <c r="AC500" t="str">
        <f>IF(L500="","",IF(AND($AO$2=1,ISNA(MATCH(L500,'03-آذار'!$L$2:$L$501,0))),"محذوف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IF(L501="","",IF($AO$1=1,IFERROR(MATCH(L501,'01-كانون الثاني'!$L$2:$L$501,0),0),0))</f>
        <v/>
      </c>
      <c r="W501" t="str">
        <f t="shared" si="151"/>
        <v/>
      </c>
      <c r="X501" s="38" t="str">
        <f>IF(L501="","",IF(V501&gt;0,INDEX('01-كانون الثاني'!$P$2:$P$501,V501),IF($AO$1=1,0,"")))</f>
        <v/>
      </c>
      <c r="Y501" s="38" t="str">
        <f t="shared" si="152"/>
        <v/>
      </c>
      <c r="Z501" s="39" t="str">
        <f>IF(L501="","",IF(V501&gt;0,INDEX('01-كانون الثاني'!$Q$2:$Q$501,V501),IF($AO$1=1,0,"")))</f>
        <v/>
      </c>
      <c r="AA501" s="39" t="str">
        <f t="shared" si="153"/>
        <v/>
      </c>
      <c r="AB501" s="40" t="str">
        <f>IF(OR(L501="",V501=0),"",IF(AND(N(I501)&gt;0,N(INDEX('01-كانون الثاني'!$I$2:$I$501,V501))&gt;0,INDEX('01-كانون الثاني'!$F$2:$F$501,V501)=F501),N(I501)/N(INDEX('01-كانون الثاني'!$I$2:$I$501,V501))-1,""))</f>
        <v/>
      </c>
      <c r="AC501" t="str">
        <f>IF(L501="","",IF(AND($AO$2=1,ISNA(MATCH(L501,'03-آذار'!$L$2:$L$501,0))),"محذوف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7000000}"/>
  <conditionalFormatting sqref="K1">
    <cfRule type="expression" dxfId="54" priority="2">
      <formula>LEFT(K1,1)="⚠"</formula>
    </cfRule>
    <cfRule type="expression" dxfId="53" priority="3">
      <formula>LEFT(K1,1)="✓"</formula>
    </cfRule>
  </conditionalFormatting>
  <conditionalFormatting sqref="K2:U501">
    <cfRule type="expression" dxfId="52" priority="4">
      <formula>$U2&lt;&gt;""</formula>
    </cfRule>
  </conditionalFormatting>
  <conditionalFormatting sqref="W2:W501">
    <cfRule type="expression" dxfId="51" priority="5">
      <formula>$W2="جديد"</formula>
    </cfRule>
  </conditionalFormatting>
  <conditionalFormatting sqref="AC2:AC501">
    <cfRule type="expression" dxfId="5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IF(COUNTA('02-شباط'!$A$2:$A$501)&gt;0,1,0)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IF(L2="","",IF($AO$1=1,IFERROR(MATCH(L2,'02-شباط'!$L$2:$L$501,0),0),0))</f>
        <v/>
      </c>
      <c r="W2" t="str">
        <f t="shared" ref="W2:W65" si="11">IF(L2="","",IF(AND($AO$1=1,V2=0),"جديد",""))</f>
        <v/>
      </c>
      <c r="X2" s="38" t="str">
        <f>IF(L2="","",IF(V2&gt;0,INDEX('02-شباط'!$P$2:$P$501,V2),IF($AO$1=1,0,"")))</f>
        <v/>
      </c>
      <c r="Y2" s="38" t="str">
        <f t="shared" ref="Y2:Y65" si="12">IF(OR(L2="",X2=""),"",P2-X2)</f>
        <v/>
      </c>
      <c r="Z2" s="39" t="str">
        <f>IF(L2="","",IF(V2&gt;0,INDEX('02-شباط'!$Q$2:$Q$501,V2),IF($AO$1=1,0,"")))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IF(OR(L2="",V2=0),"",IF(AND(N(I2)&gt;0,N(INDEX('02-شباط'!$I$2:$I$501,V2))&gt;0,INDEX('02-شباط'!$F$2:$F$501,V2)=F2),N(I2)/N(INDEX('02-شباط'!$I$2:$I$501,V2))-1,""))</f>
        <v/>
      </c>
      <c r="AC2" t="str">
        <f>IF(L2="","",IF(AND($AO$2=1,ISNA(MATCH(L2,'04-نيسان'!$L$2:$L$501,0))),"محذوف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IF(COUNTA('04-نيسان'!$A$2:$A$501)&gt;0,1,0)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IF(L3="","",IF($AO$1=1,IFERROR(MATCH(L3,'02-شباط'!$L$2:$L$501,0),0),0))</f>
        <v/>
      </c>
      <c r="W3" t="str">
        <f t="shared" si="11"/>
        <v/>
      </c>
      <c r="X3" s="38" t="str">
        <f>IF(L3="","",IF(V3&gt;0,INDEX('02-شباط'!$P$2:$P$501,V3),IF($AO$1=1,0,"")))</f>
        <v/>
      </c>
      <c r="Y3" s="38" t="str">
        <f t="shared" si="12"/>
        <v/>
      </c>
      <c r="Z3" s="39" t="str">
        <f>IF(L3="","",IF(V3&gt;0,INDEX('02-شباط'!$Q$2:$Q$501,V3),IF($AO$1=1,0,"")))</f>
        <v/>
      </c>
      <c r="AA3" s="39" t="str">
        <f t="shared" si="13"/>
        <v/>
      </c>
      <c r="AB3" s="40" t="str">
        <f>IF(OR(L3="",V3=0),"",IF(AND(N(I3)&gt;0,N(INDEX('02-شباط'!$I$2:$I$501,V3))&gt;0,INDEX('02-شباط'!$F$2:$F$501,V3)=F3),N(I3)/N(INDEX('02-شباط'!$I$2:$I$501,V3))-1,""))</f>
        <v/>
      </c>
      <c r="AC3" t="str">
        <f>IF(L3="","",IF(AND($AO$2=1,ISNA(MATCH(L3,'04-نيسان'!$L$2:$L$501,0))),"محذوف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التحكم'!$C$18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IF(L4="","",IF($AO$1=1,IFERROR(MATCH(L4,'02-شباط'!$L$2:$L$501,0),0),0))</f>
        <v/>
      </c>
      <c r="W4" t="str">
        <f t="shared" si="11"/>
        <v/>
      </c>
      <c r="X4" s="38" t="str">
        <f>IF(L4="","",IF(V4&gt;0,INDEX('02-شباط'!$P$2:$P$501,V4),IF($AO$1=1,0,"")))</f>
        <v/>
      </c>
      <c r="Y4" s="38" t="str">
        <f t="shared" si="12"/>
        <v/>
      </c>
      <c r="Z4" s="39" t="str">
        <f>IF(L4="","",IF(V4&gt;0,INDEX('02-شباط'!$Q$2:$Q$501,V4),IF($AO$1=1,0,"")))</f>
        <v/>
      </c>
      <c r="AA4" s="39" t="str">
        <f t="shared" si="13"/>
        <v/>
      </c>
      <c r="AB4" s="40" t="str">
        <f>IF(OR(L4="",V4=0),"",IF(AND(N(I4)&gt;0,N(INDEX('02-شباط'!$I$2:$I$501,V4))&gt;0,INDEX('02-شباط'!$F$2:$F$501,V4)=F4),N(I4)/N(INDEX('02-شباط'!$I$2:$I$501,V4))-1,""))</f>
        <v/>
      </c>
      <c r="AC4" t="str">
        <f>IF(L4="","",IF(AND($AO$2=1,ISNA(MATCH(L4,'04-نيسان'!$L$2:$L$501,0))),"محذوف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IF(L5="","",IF($AO$1=1,IFERROR(MATCH(L5,'02-شباط'!$L$2:$L$501,0),0),0))</f>
        <v/>
      </c>
      <c r="W5" t="str">
        <f t="shared" si="11"/>
        <v/>
      </c>
      <c r="X5" s="38" t="str">
        <f>IF(L5="","",IF(V5&gt;0,INDEX('02-شباط'!$P$2:$P$501,V5),IF($AO$1=1,0,"")))</f>
        <v/>
      </c>
      <c r="Y5" s="38" t="str">
        <f t="shared" si="12"/>
        <v/>
      </c>
      <c r="Z5" s="39" t="str">
        <f>IF(L5="","",IF(V5&gt;0,INDEX('02-شباط'!$Q$2:$Q$501,V5),IF($AO$1=1,0,"")))</f>
        <v/>
      </c>
      <c r="AA5" s="39" t="str">
        <f t="shared" si="13"/>
        <v/>
      </c>
      <c r="AB5" s="40" t="str">
        <f>IF(OR(L5="",V5=0),"",IF(AND(N(I5)&gt;0,N(INDEX('02-شباط'!$I$2:$I$501,V5))&gt;0,INDEX('02-شباط'!$F$2:$F$501,V5)=F5),N(I5)/N(INDEX('02-شباط'!$I$2:$I$501,V5))-1,""))</f>
        <v/>
      </c>
      <c r="AC5" t="str">
        <f>IF(L5="","",IF(AND($AO$2=1,ISNA(MATCH(L5,'04-نيسان'!$L$2:$L$501,0))),"محذوف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IF(L6="","",IF($AO$1=1,IFERROR(MATCH(L6,'02-شباط'!$L$2:$L$501,0),0),0))</f>
        <v/>
      </c>
      <c r="W6" t="str">
        <f t="shared" si="11"/>
        <v/>
      </c>
      <c r="X6" s="38" t="str">
        <f>IF(L6="","",IF(V6&gt;0,INDEX('02-شباط'!$P$2:$P$501,V6),IF($AO$1=1,0,"")))</f>
        <v/>
      </c>
      <c r="Y6" s="38" t="str">
        <f t="shared" si="12"/>
        <v/>
      </c>
      <c r="Z6" s="39" t="str">
        <f>IF(L6="","",IF(V6&gt;0,INDEX('02-شباط'!$Q$2:$Q$501,V6),IF($AO$1=1,0,"")))</f>
        <v/>
      </c>
      <c r="AA6" s="39" t="str">
        <f t="shared" si="13"/>
        <v/>
      </c>
      <c r="AB6" s="40" t="str">
        <f>IF(OR(L6="",V6=0),"",IF(AND(N(I6)&gt;0,N(INDEX('02-شباط'!$I$2:$I$501,V6))&gt;0,INDEX('02-شباط'!$F$2:$F$501,V6)=F6),N(I6)/N(INDEX('02-شباط'!$I$2:$I$501,V6))-1,""))</f>
        <v/>
      </c>
      <c r="AC6" t="str">
        <f>IF(L6="","",IF(AND($AO$2=1,ISNA(MATCH(L6,'04-نيسان'!$L$2:$L$501,0))),"محذوف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IF(L7="","",IF($AO$1=1,IFERROR(MATCH(L7,'02-شباط'!$L$2:$L$501,0),0),0))</f>
        <v/>
      </c>
      <c r="W7" t="str">
        <f t="shared" si="11"/>
        <v/>
      </c>
      <c r="X7" s="38" t="str">
        <f>IF(L7="","",IF(V7&gt;0,INDEX('02-شباط'!$P$2:$P$501,V7),IF($AO$1=1,0,"")))</f>
        <v/>
      </c>
      <c r="Y7" s="38" t="str">
        <f t="shared" si="12"/>
        <v/>
      </c>
      <c r="Z7" s="39" t="str">
        <f>IF(L7="","",IF(V7&gt;0,INDEX('02-شباط'!$Q$2:$Q$501,V7),IF($AO$1=1,0,"")))</f>
        <v/>
      </c>
      <c r="AA7" s="39" t="str">
        <f t="shared" si="13"/>
        <v/>
      </c>
      <c r="AB7" s="40" t="str">
        <f>IF(OR(L7="",V7=0),"",IF(AND(N(I7)&gt;0,N(INDEX('02-شباط'!$I$2:$I$501,V7))&gt;0,INDEX('02-شباط'!$F$2:$F$501,V7)=F7),N(I7)/N(INDEX('02-شباط'!$I$2:$I$501,V7))-1,""))</f>
        <v/>
      </c>
      <c r="AC7" t="str">
        <f>IF(L7="","",IF(AND($AO$2=1,ISNA(MATCH(L7,'04-نيسان'!$L$2:$L$501,0))),"محذوف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IF(L8="","",IF($AO$1=1,IFERROR(MATCH(L8,'02-شباط'!$L$2:$L$501,0),0),0))</f>
        <v/>
      </c>
      <c r="W8" t="str">
        <f t="shared" si="11"/>
        <v/>
      </c>
      <c r="X8" s="38" t="str">
        <f>IF(L8="","",IF(V8&gt;0,INDEX('02-شباط'!$P$2:$P$501,V8),IF($AO$1=1,0,"")))</f>
        <v/>
      </c>
      <c r="Y8" s="38" t="str">
        <f t="shared" si="12"/>
        <v/>
      </c>
      <c r="Z8" s="39" t="str">
        <f>IF(L8="","",IF(V8&gt;0,INDEX('02-شباط'!$Q$2:$Q$501,V8),IF($AO$1=1,0,"")))</f>
        <v/>
      </c>
      <c r="AA8" s="39" t="str">
        <f t="shared" si="13"/>
        <v/>
      </c>
      <c r="AB8" s="40" t="str">
        <f>IF(OR(L8="",V8=0),"",IF(AND(N(I8)&gt;0,N(INDEX('02-شباط'!$I$2:$I$501,V8))&gt;0,INDEX('02-شباط'!$F$2:$F$501,V8)=F8),N(I8)/N(INDEX('02-شباط'!$I$2:$I$501,V8))-1,""))</f>
        <v/>
      </c>
      <c r="AC8" t="str">
        <f>IF(L8="","",IF(AND($AO$2=1,ISNA(MATCH(L8,'04-نيسان'!$L$2:$L$501,0))),"محذوف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IF(L9="","",IF($AO$1=1,IFERROR(MATCH(L9,'02-شباط'!$L$2:$L$501,0),0),0))</f>
        <v/>
      </c>
      <c r="W9" t="str">
        <f t="shared" si="11"/>
        <v/>
      </c>
      <c r="X9" s="38" t="str">
        <f>IF(L9="","",IF(V9&gt;0,INDEX('02-شباط'!$P$2:$P$501,V9),IF($AO$1=1,0,"")))</f>
        <v/>
      </c>
      <c r="Y9" s="38" t="str">
        <f t="shared" si="12"/>
        <v/>
      </c>
      <c r="Z9" s="39" t="str">
        <f>IF(L9="","",IF(V9&gt;0,INDEX('02-شباط'!$Q$2:$Q$501,V9),IF($AO$1=1,0,"")))</f>
        <v/>
      </c>
      <c r="AA9" s="39" t="str">
        <f t="shared" si="13"/>
        <v/>
      </c>
      <c r="AB9" s="40" t="str">
        <f>IF(OR(L9="",V9=0),"",IF(AND(N(I9)&gt;0,N(INDEX('02-شباط'!$I$2:$I$501,V9))&gt;0,INDEX('02-شباط'!$F$2:$F$501,V9)=F9),N(I9)/N(INDEX('02-شباط'!$I$2:$I$501,V9))-1,""))</f>
        <v/>
      </c>
      <c r="AC9" t="str">
        <f>IF(L9="","",IF(AND($AO$2=1,ISNA(MATCH(L9,'04-نيسان'!$L$2:$L$501,0))),"محذوف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IF(L10="","",IF($AO$1=1,IFERROR(MATCH(L10,'02-شباط'!$L$2:$L$501,0),0),0))</f>
        <v/>
      </c>
      <c r="W10" t="str">
        <f t="shared" si="11"/>
        <v/>
      </c>
      <c r="X10" s="38" t="str">
        <f>IF(L10="","",IF(V10&gt;0,INDEX('02-شباط'!$P$2:$P$501,V10),IF($AO$1=1,0,"")))</f>
        <v/>
      </c>
      <c r="Y10" s="38" t="str">
        <f t="shared" si="12"/>
        <v/>
      </c>
      <c r="Z10" s="39" t="str">
        <f>IF(L10="","",IF(V10&gt;0,INDEX('02-شباط'!$Q$2:$Q$501,V10),IF($AO$1=1,0,"")))</f>
        <v/>
      </c>
      <c r="AA10" s="39" t="str">
        <f t="shared" si="13"/>
        <v/>
      </c>
      <c r="AB10" s="40" t="str">
        <f>IF(OR(L10="",V10=0),"",IF(AND(N(I10)&gt;0,N(INDEX('02-شباط'!$I$2:$I$501,V10))&gt;0,INDEX('02-شباط'!$F$2:$F$501,V10)=F10),N(I10)/N(INDEX('02-شباط'!$I$2:$I$501,V10))-1,""))</f>
        <v/>
      </c>
      <c r="AC10" t="str">
        <f>IF(L10="","",IF(AND($AO$2=1,ISNA(MATCH(L10,'04-نيسان'!$L$2:$L$501,0))),"محذوف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IF(L11="","",IF($AO$1=1,IFERROR(MATCH(L11,'02-شباط'!$L$2:$L$501,0),0),0))</f>
        <v/>
      </c>
      <c r="W11" t="str">
        <f t="shared" si="11"/>
        <v/>
      </c>
      <c r="X11" s="38" t="str">
        <f>IF(L11="","",IF(V11&gt;0,INDEX('02-شباط'!$P$2:$P$501,V11),IF($AO$1=1,0,"")))</f>
        <v/>
      </c>
      <c r="Y11" s="38" t="str">
        <f t="shared" si="12"/>
        <v/>
      </c>
      <c r="Z11" s="39" t="str">
        <f>IF(L11="","",IF(V11&gt;0,INDEX('02-شباط'!$Q$2:$Q$501,V11),IF($AO$1=1,0,"")))</f>
        <v/>
      </c>
      <c r="AA11" s="39" t="str">
        <f t="shared" si="13"/>
        <v/>
      </c>
      <c r="AB11" s="40" t="str">
        <f>IF(OR(L11="",V11=0),"",IF(AND(N(I11)&gt;0,N(INDEX('02-شباط'!$I$2:$I$501,V11))&gt;0,INDEX('02-شباط'!$F$2:$F$501,V11)=F11),N(I11)/N(INDEX('02-شباط'!$I$2:$I$501,V11))-1,""))</f>
        <v/>
      </c>
      <c r="AC11" t="str">
        <f>IF(L11="","",IF(AND($AO$2=1,ISNA(MATCH(L11,'04-نيسان'!$L$2:$L$501,0))),"محذوف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IF(L12="","",IF($AO$1=1,IFERROR(MATCH(L12,'02-شباط'!$L$2:$L$501,0),0),0))</f>
        <v/>
      </c>
      <c r="W12" t="str">
        <f t="shared" si="11"/>
        <v/>
      </c>
      <c r="X12" s="38" t="str">
        <f>IF(L12="","",IF(V12&gt;0,INDEX('02-شباط'!$P$2:$P$501,V12),IF($AO$1=1,0,"")))</f>
        <v/>
      </c>
      <c r="Y12" s="38" t="str">
        <f t="shared" si="12"/>
        <v/>
      </c>
      <c r="Z12" s="39" t="str">
        <f>IF(L12="","",IF(V12&gt;0,INDEX('02-شباط'!$Q$2:$Q$501,V12),IF($AO$1=1,0,"")))</f>
        <v/>
      </c>
      <c r="AA12" s="39" t="str">
        <f t="shared" si="13"/>
        <v/>
      </c>
      <c r="AB12" s="40" t="str">
        <f>IF(OR(L12="",V12=0),"",IF(AND(N(I12)&gt;0,N(INDEX('02-شباط'!$I$2:$I$501,V12))&gt;0,INDEX('02-شباط'!$F$2:$F$501,V12)=F12),N(I12)/N(INDEX('02-شباط'!$I$2:$I$501,V12))-1,""))</f>
        <v/>
      </c>
      <c r="AC12" t="str">
        <f>IF(L12="","",IF(AND($AO$2=1,ISNA(MATCH(L12,'04-نيسان'!$L$2:$L$501,0))),"محذوف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IF(L13="","",IF($AO$1=1,IFERROR(MATCH(L13,'02-شباط'!$L$2:$L$501,0),0),0))</f>
        <v/>
      </c>
      <c r="W13" t="str">
        <f t="shared" si="11"/>
        <v/>
      </c>
      <c r="X13" s="38" t="str">
        <f>IF(L13="","",IF(V13&gt;0,INDEX('02-شباط'!$P$2:$P$501,V13),IF($AO$1=1,0,"")))</f>
        <v/>
      </c>
      <c r="Y13" s="38" t="str">
        <f t="shared" si="12"/>
        <v/>
      </c>
      <c r="Z13" s="39" t="str">
        <f>IF(L13="","",IF(V13&gt;0,INDEX('02-شباط'!$Q$2:$Q$501,V13),IF($AO$1=1,0,"")))</f>
        <v/>
      </c>
      <c r="AA13" s="39" t="str">
        <f t="shared" si="13"/>
        <v/>
      </c>
      <c r="AB13" s="40" t="str">
        <f>IF(OR(L13="",V13=0),"",IF(AND(N(I13)&gt;0,N(INDEX('02-شباط'!$I$2:$I$501,V13))&gt;0,INDEX('02-شباط'!$F$2:$F$501,V13)=F13),N(I13)/N(INDEX('02-شباط'!$I$2:$I$501,V13))-1,""))</f>
        <v/>
      </c>
      <c r="AC13" t="str">
        <f>IF(L13="","",IF(AND($AO$2=1,ISNA(MATCH(L13,'04-نيسان'!$L$2:$L$501,0))),"محذوف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IF(L14="","",IF($AO$1=1,IFERROR(MATCH(L14,'02-شباط'!$L$2:$L$501,0),0),0))</f>
        <v/>
      </c>
      <c r="W14" t="str">
        <f t="shared" si="11"/>
        <v/>
      </c>
      <c r="X14" s="38" t="str">
        <f>IF(L14="","",IF(V14&gt;0,INDEX('02-شباط'!$P$2:$P$501,V14),IF($AO$1=1,0,"")))</f>
        <v/>
      </c>
      <c r="Y14" s="38" t="str">
        <f t="shared" si="12"/>
        <v/>
      </c>
      <c r="Z14" s="39" t="str">
        <f>IF(L14="","",IF(V14&gt;0,INDEX('02-شباط'!$Q$2:$Q$501,V14),IF($AO$1=1,0,"")))</f>
        <v/>
      </c>
      <c r="AA14" s="39" t="str">
        <f t="shared" si="13"/>
        <v/>
      </c>
      <c r="AB14" s="40" t="str">
        <f>IF(OR(L14="",V14=0),"",IF(AND(N(I14)&gt;0,N(INDEX('02-شباط'!$I$2:$I$501,V14))&gt;0,INDEX('02-شباط'!$F$2:$F$501,V14)=F14),N(I14)/N(INDEX('02-شباط'!$I$2:$I$501,V14))-1,""))</f>
        <v/>
      </c>
      <c r="AC14" t="str">
        <f>IF(L14="","",IF(AND($AO$2=1,ISNA(MATCH(L14,'04-نيسان'!$L$2:$L$501,0))),"محذوف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IF(L15="","",IF($AO$1=1,IFERROR(MATCH(L15,'02-شباط'!$L$2:$L$501,0),0),0))</f>
        <v/>
      </c>
      <c r="W15" t="str">
        <f t="shared" si="11"/>
        <v/>
      </c>
      <c r="X15" s="38" t="str">
        <f>IF(L15="","",IF(V15&gt;0,INDEX('02-شباط'!$P$2:$P$501,V15),IF($AO$1=1,0,"")))</f>
        <v/>
      </c>
      <c r="Y15" s="38" t="str">
        <f t="shared" si="12"/>
        <v/>
      </c>
      <c r="Z15" s="39" t="str">
        <f>IF(L15="","",IF(V15&gt;0,INDEX('02-شباط'!$Q$2:$Q$501,V15),IF($AO$1=1,0,"")))</f>
        <v/>
      </c>
      <c r="AA15" s="39" t="str">
        <f t="shared" si="13"/>
        <v/>
      </c>
      <c r="AB15" s="40" t="str">
        <f>IF(OR(L15="",V15=0),"",IF(AND(N(I15)&gt;0,N(INDEX('02-شباط'!$I$2:$I$501,V15))&gt;0,INDEX('02-شباط'!$F$2:$F$501,V15)=F15),N(I15)/N(INDEX('02-شباط'!$I$2:$I$501,V15))-1,""))</f>
        <v/>
      </c>
      <c r="AC15" t="str">
        <f>IF(L15="","",IF(AND($AO$2=1,ISNA(MATCH(L15,'04-نيسان'!$L$2:$L$501,0))),"محذوف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IF(L16="","",IF($AO$1=1,IFERROR(MATCH(L16,'02-شباط'!$L$2:$L$501,0),0),0))</f>
        <v/>
      </c>
      <c r="W16" t="str">
        <f t="shared" si="11"/>
        <v/>
      </c>
      <c r="X16" s="38" t="str">
        <f>IF(L16="","",IF(V16&gt;0,INDEX('02-شباط'!$P$2:$P$501,V16),IF($AO$1=1,0,"")))</f>
        <v/>
      </c>
      <c r="Y16" s="38" t="str">
        <f t="shared" si="12"/>
        <v/>
      </c>
      <c r="Z16" s="39" t="str">
        <f>IF(L16="","",IF(V16&gt;0,INDEX('02-شباط'!$Q$2:$Q$501,V16),IF($AO$1=1,0,"")))</f>
        <v/>
      </c>
      <c r="AA16" s="39" t="str">
        <f t="shared" si="13"/>
        <v/>
      </c>
      <c r="AB16" s="40" t="str">
        <f>IF(OR(L16="",V16=0),"",IF(AND(N(I16)&gt;0,N(INDEX('02-شباط'!$I$2:$I$501,V16))&gt;0,INDEX('02-شباط'!$F$2:$F$501,V16)=F16),N(I16)/N(INDEX('02-شباط'!$I$2:$I$501,V16))-1,""))</f>
        <v/>
      </c>
      <c r="AC16" t="str">
        <f>IF(L16="","",IF(AND($AO$2=1,ISNA(MATCH(L16,'04-نيسان'!$L$2:$L$501,0))),"محذوف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IF(L17="","",IF($AO$1=1,IFERROR(MATCH(L17,'02-شباط'!$L$2:$L$501,0),0),0))</f>
        <v/>
      </c>
      <c r="W17" t="str">
        <f t="shared" si="11"/>
        <v/>
      </c>
      <c r="X17" s="38" t="str">
        <f>IF(L17="","",IF(V17&gt;0,INDEX('02-شباط'!$P$2:$P$501,V17),IF($AO$1=1,0,"")))</f>
        <v/>
      </c>
      <c r="Y17" s="38" t="str">
        <f t="shared" si="12"/>
        <v/>
      </c>
      <c r="Z17" s="39" t="str">
        <f>IF(L17="","",IF(V17&gt;0,INDEX('02-شباط'!$Q$2:$Q$501,V17),IF($AO$1=1,0,"")))</f>
        <v/>
      </c>
      <c r="AA17" s="39" t="str">
        <f t="shared" si="13"/>
        <v/>
      </c>
      <c r="AB17" s="40" t="str">
        <f>IF(OR(L17="",V17=0),"",IF(AND(N(I17)&gt;0,N(INDEX('02-شباط'!$I$2:$I$501,V17))&gt;0,INDEX('02-شباط'!$F$2:$F$501,V17)=F17),N(I17)/N(INDEX('02-شباط'!$I$2:$I$501,V17))-1,""))</f>
        <v/>
      </c>
      <c r="AC17" t="str">
        <f>IF(L17="","",IF(AND($AO$2=1,ISNA(MATCH(L17,'04-نيسان'!$L$2:$L$501,0))),"محذوف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IF(L18="","",IF($AO$1=1,IFERROR(MATCH(L18,'02-شباط'!$L$2:$L$501,0),0),0))</f>
        <v/>
      </c>
      <c r="W18" t="str">
        <f t="shared" si="11"/>
        <v/>
      </c>
      <c r="X18" s="38" t="str">
        <f>IF(L18="","",IF(V18&gt;0,INDEX('02-شباط'!$P$2:$P$501,V18),IF($AO$1=1,0,"")))</f>
        <v/>
      </c>
      <c r="Y18" s="38" t="str">
        <f t="shared" si="12"/>
        <v/>
      </c>
      <c r="Z18" s="39" t="str">
        <f>IF(L18="","",IF(V18&gt;0,INDEX('02-شباط'!$Q$2:$Q$501,V18),IF($AO$1=1,0,"")))</f>
        <v/>
      </c>
      <c r="AA18" s="39" t="str">
        <f t="shared" si="13"/>
        <v/>
      </c>
      <c r="AB18" s="40" t="str">
        <f>IF(OR(L18="",V18=0),"",IF(AND(N(I18)&gt;0,N(INDEX('02-شباط'!$I$2:$I$501,V18))&gt;0,INDEX('02-شباط'!$F$2:$F$501,V18)=F18),N(I18)/N(INDEX('02-شباط'!$I$2:$I$501,V18))-1,""))</f>
        <v/>
      </c>
      <c r="AC18" t="str">
        <f>IF(L18="","",IF(AND($AO$2=1,ISNA(MATCH(L18,'04-نيسان'!$L$2:$L$501,0))),"محذوف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IF(L19="","",IF($AO$1=1,IFERROR(MATCH(L19,'02-شباط'!$L$2:$L$501,0),0),0))</f>
        <v/>
      </c>
      <c r="W19" t="str">
        <f t="shared" si="11"/>
        <v/>
      </c>
      <c r="X19" s="38" t="str">
        <f>IF(L19="","",IF(V19&gt;0,INDEX('02-شباط'!$P$2:$P$501,V19),IF($AO$1=1,0,"")))</f>
        <v/>
      </c>
      <c r="Y19" s="38" t="str">
        <f t="shared" si="12"/>
        <v/>
      </c>
      <c r="Z19" s="39" t="str">
        <f>IF(L19="","",IF(V19&gt;0,INDEX('02-شباط'!$Q$2:$Q$501,V19),IF($AO$1=1,0,"")))</f>
        <v/>
      </c>
      <c r="AA19" s="39" t="str">
        <f t="shared" si="13"/>
        <v/>
      </c>
      <c r="AB19" s="40" t="str">
        <f>IF(OR(L19="",V19=0),"",IF(AND(N(I19)&gt;0,N(INDEX('02-شباط'!$I$2:$I$501,V19))&gt;0,INDEX('02-شباط'!$F$2:$F$501,V19)=F19),N(I19)/N(INDEX('02-شباط'!$I$2:$I$501,V19))-1,""))</f>
        <v/>
      </c>
      <c r="AC19" t="str">
        <f>IF(L19="","",IF(AND($AO$2=1,ISNA(MATCH(L19,'04-نيسان'!$L$2:$L$501,0))),"محذوف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IF(L20="","",IF($AO$1=1,IFERROR(MATCH(L20,'02-شباط'!$L$2:$L$501,0),0),0))</f>
        <v/>
      </c>
      <c r="W20" t="str">
        <f t="shared" si="11"/>
        <v/>
      </c>
      <c r="X20" s="38" t="str">
        <f>IF(L20="","",IF(V20&gt;0,INDEX('02-شباط'!$P$2:$P$501,V20),IF($AO$1=1,0,"")))</f>
        <v/>
      </c>
      <c r="Y20" s="38" t="str">
        <f t="shared" si="12"/>
        <v/>
      </c>
      <c r="Z20" s="39" t="str">
        <f>IF(L20="","",IF(V20&gt;0,INDEX('02-شباط'!$Q$2:$Q$501,V20),IF($AO$1=1,0,"")))</f>
        <v/>
      </c>
      <c r="AA20" s="39" t="str">
        <f t="shared" si="13"/>
        <v/>
      </c>
      <c r="AB20" s="40" t="str">
        <f>IF(OR(L20="",V20=0),"",IF(AND(N(I20)&gt;0,N(INDEX('02-شباط'!$I$2:$I$501,V20))&gt;0,INDEX('02-شباط'!$F$2:$F$501,V20)=F20),N(I20)/N(INDEX('02-شباط'!$I$2:$I$501,V20))-1,""))</f>
        <v/>
      </c>
      <c r="AC20" t="str">
        <f>IF(L20="","",IF(AND($AO$2=1,ISNA(MATCH(L20,'04-نيسان'!$L$2:$L$501,0))),"محذوف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IF(L21="","",IF($AO$1=1,IFERROR(MATCH(L21,'02-شباط'!$L$2:$L$501,0),0),0))</f>
        <v/>
      </c>
      <c r="W21" t="str">
        <f t="shared" si="11"/>
        <v/>
      </c>
      <c r="X21" s="38" t="str">
        <f>IF(L21="","",IF(V21&gt;0,INDEX('02-شباط'!$P$2:$P$501,V21),IF($AO$1=1,0,"")))</f>
        <v/>
      </c>
      <c r="Y21" s="38" t="str">
        <f t="shared" si="12"/>
        <v/>
      </c>
      <c r="Z21" s="39" t="str">
        <f>IF(L21="","",IF(V21&gt;0,INDEX('02-شباط'!$Q$2:$Q$501,V21),IF($AO$1=1,0,"")))</f>
        <v/>
      </c>
      <c r="AA21" s="39" t="str">
        <f t="shared" si="13"/>
        <v/>
      </c>
      <c r="AB21" s="40" t="str">
        <f>IF(OR(L21="",V21=0),"",IF(AND(N(I21)&gt;0,N(INDEX('02-شباط'!$I$2:$I$501,V21))&gt;0,INDEX('02-شباط'!$F$2:$F$501,V21)=F21),N(I21)/N(INDEX('02-شباط'!$I$2:$I$501,V21))-1,""))</f>
        <v/>
      </c>
      <c r="AC21" t="str">
        <f>IF(L21="","",IF(AND($AO$2=1,ISNA(MATCH(L21,'04-نيسان'!$L$2:$L$501,0))),"محذوف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IF(L22="","",IF($AO$1=1,IFERROR(MATCH(L22,'02-شباط'!$L$2:$L$501,0),0),0))</f>
        <v/>
      </c>
      <c r="W22" t="str">
        <f t="shared" si="11"/>
        <v/>
      </c>
      <c r="X22" s="38" t="str">
        <f>IF(L22="","",IF(V22&gt;0,INDEX('02-شباط'!$P$2:$P$501,V22),IF($AO$1=1,0,"")))</f>
        <v/>
      </c>
      <c r="Y22" s="38" t="str">
        <f t="shared" si="12"/>
        <v/>
      </c>
      <c r="Z22" s="39" t="str">
        <f>IF(L22="","",IF(V22&gt;0,INDEX('02-شباط'!$Q$2:$Q$501,V22),IF($AO$1=1,0,"")))</f>
        <v/>
      </c>
      <c r="AA22" s="39" t="str">
        <f t="shared" si="13"/>
        <v/>
      </c>
      <c r="AB22" s="40" t="str">
        <f>IF(OR(L22="",V22=0),"",IF(AND(N(I22)&gt;0,N(INDEX('02-شباط'!$I$2:$I$501,V22))&gt;0,INDEX('02-شباط'!$F$2:$F$501,V22)=F22),N(I22)/N(INDEX('02-شباط'!$I$2:$I$501,V22))-1,""))</f>
        <v/>
      </c>
      <c r="AC22" t="str">
        <f>IF(L22="","",IF(AND($AO$2=1,ISNA(MATCH(L22,'04-نيسان'!$L$2:$L$501,0))),"محذوف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IF(L23="","",IF($AO$1=1,IFERROR(MATCH(L23,'02-شباط'!$L$2:$L$501,0),0),0))</f>
        <v/>
      </c>
      <c r="W23" t="str">
        <f t="shared" si="11"/>
        <v/>
      </c>
      <c r="X23" s="38" t="str">
        <f>IF(L23="","",IF(V23&gt;0,INDEX('02-شباط'!$P$2:$P$501,V23),IF($AO$1=1,0,"")))</f>
        <v/>
      </c>
      <c r="Y23" s="38" t="str">
        <f t="shared" si="12"/>
        <v/>
      </c>
      <c r="Z23" s="39" t="str">
        <f>IF(L23="","",IF(V23&gt;0,INDEX('02-شباط'!$Q$2:$Q$501,V23),IF($AO$1=1,0,"")))</f>
        <v/>
      </c>
      <c r="AA23" s="39" t="str">
        <f t="shared" si="13"/>
        <v/>
      </c>
      <c r="AB23" s="40" t="str">
        <f>IF(OR(L23="",V23=0),"",IF(AND(N(I23)&gt;0,N(INDEX('02-شباط'!$I$2:$I$501,V23))&gt;0,INDEX('02-شباط'!$F$2:$F$501,V23)=F23),N(I23)/N(INDEX('02-شباط'!$I$2:$I$501,V23))-1,""))</f>
        <v/>
      </c>
      <c r="AC23" t="str">
        <f>IF(L23="","",IF(AND($AO$2=1,ISNA(MATCH(L23,'04-نيسان'!$L$2:$L$501,0))),"محذوف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IF(L24="","",IF($AO$1=1,IFERROR(MATCH(L24,'02-شباط'!$L$2:$L$501,0),0),0))</f>
        <v/>
      </c>
      <c r="W24" t="str">
        <f t="shared" si="11"/>
        <v/>
      </c>
      <c r="X24" s="38" t="str">
        <f>IF(L24="","",IF(V24&gt;0,INDEX('02-شباط'!$P$2:$P$501,V24),IF($AO$1=1,0,"")))</f>
        <v/>
      </c>
      <c r="Y24" s="38" t="str">
        <f t="shared" si="12"/>
        <v/>
      </c>
      <c r="Z24" s="39" t="str">
        <f>IF(L24="","",IF(V24&gt;0,INDEX('02-شباط'!$Q$2:$Q$501,V24),IF($AO$1=1,0,"")))</f>
        <v/>
      </c>
      <c r="AA24" s="39" t="str">
        <f t="shared" si="13"/>
        <v/>
      </c>
      <c r="AB24" s="40" t="str">
        <f>IF(OR(L24="",V24=0),"",IF(AND(N(I24)&gt;0,N(INDEX('02-شباط'!$I$2:$I$501,V24))&gt;0,INDEX('02-شباط'!$F$2:$F$501,V24)=F24),N(I24)/N(INDEX('02-شباط'!$I$2:$I$501,V24))-1,""))</f>
        <v/>
      </c>
      <c r="AC24" t="str">
        <f>IF(L24="","",IF(AND($AO$2=1,ISNA(MATCH(L24,'04-نيسان'!$L$2:$L$501,0))),"محذوف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IF(L25="","",IF($AO$1=1,IFERROR(MATCH(L25,'02-شباط'!$L$2:$L$501,0),0),0))</f>
        <v/>
      </c>
      <c r="W25" t="str">
        <f t="shared" si="11"/>
        <v/>
      </c>
      <c r="X25" s="38" t="str">
        <f>IF(L25="","",IF(V25&gt;0,INDEX('02-شباط'!$P$2:$P$501,V25),IF($AO$1=1,0,"")))</f>
        <v/>
      </c>
      <c r="Y25" s="38" t="str">
        <f t="shared" si="12"/>
        <v/>
      </c>
      <c r="Z25" s="39" t="str">
        <f>IF(L25="","",IF(V25&gt;0,INDEX('02-شباط'!$Q$2:$Q$501,V25),IF($AO$1=1,0,"")))</f>
        <v/>
      </c>
      <c r="AA25" s="39" t="str">
        <f t="shared" si="13"/>
        <v/>
      </c>
      <c r="AB25" s="40" t="str">
        <f>IF(OR(L25="",V25=0),"",IF(AND(N(I25)&gt;0,N(INDEX('02-شباط'!$I$2:$I$501,V25))&gt;0,INDEX('02-شباط'!$F$2:$F$501,V25)=F25),N(I25)/N(INDEX('02-شباط'!$I$2:$I$501,V25))-1,""))</f>
        <v/>
      </c>
      <c r="AC25" t="str">
        <f>IF(L25="","",IF(AND($AO$2=1,ISNA(MATCH(L25,'04-نيسان'!$L$2:$L$501,0))),"محذوف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IF(L26="","",IF($AO$1=1,IFERROR(MATCH(L26,'02-شباط'!$L$2:$L$501,0),0),0))</f>
        <v/>
      </c>
      <c r="W26" t="str">
        <f t="shared" si="11"/>
        <v/>
      </c>
      <c r="X26" s="38" t="str">
        <f>IF(L26="","",IF(V26&gt;0,INDEX('02-شباط'!$P$2:$P$501,V26),IF($AO$1=1,0,"")))</f>
        <v/>
      </c>
      <c r="Y26" s="38" t="str">
        <f t="shared" si="12"/>
        <v/>
      </c>
      <c r="Z26" s="39" t="str">
        <f>IF(L26="","",IF(V26&gt;0,INDEX('02-شباط'!$Q$2:$Q$501,V26),IF($AO$1=1,0,"")))</f>
        <v/>
      </c>
      <c r="AA26" s="39" t="str">
        <f t="shared" si="13"/>
        <v/>
      </c>
      <c r="AB26" s="40" t="str">
        <f>IF(OR(L26="",V26=0),"",IF(AND(N(I26)&gt;0,N(INDEX('02-شباط'!$I$2:$I$501,V26))&gt;0,INDEX('02-شباط'!$F$2:$F$501,V26)=F26),N(I26)/N(INDEX('02-شباط'!$I$2:$I$501,V26))-1,""))</f>
        <v/>
      </c>
      <c r="AC26" t="str">
        <f>IF(L26="","",IF(AND($AO$2=1,ISNA(MATCH(L26,'04-نيسان'!$L$2:$L$501,0))),"محذوف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IF(L27="","",IF($AO$1=1,IFERROR(MATCH(L27,'02-شباط'!$L$2:$L$501,0),0),0))</f>
        <v/>
      </c>
      <c r="W27" t="str">
        <f t="shared" si="11"/>
        <v/>
      </c>
      <c r="X27" s="38" t="str">
        <f>IF(L27="","",IF(V27&gt;0,INDEX('02-شباط'!$P$2:$P$501,V27),IF($AO$1=1,0,"")))</f>
        <v/>
      </c>
      <c r="Y27" s="38" t="str">
        <f t="shared" si="12"/>
        <v/>
      </c>
      <c r="Z27" s="39" t="str">
        <f>IF(L27="","",IF(V27&gt;0,INDEX('02-شباط'!$Q$2:$Q$501,V27),IF($AO$1=1,0,"")))</f>
        <v/>
      </c>
      <c r="AA27" s="39" t="str">
        <f t="shared" si="13"/>
        <v/>
      </c>
      <c r="AB27" s="40" t="str">
        <f>IF(OR(L27="",V27=0),"",IF(AND(N(I27)&gt;0,N(INDEX('02-شباط'!$I$2:$I$501,V27))&gt;0,INDEX('02-شباط'!$F$2:$F$501,V27)=F27),N(I27)/N(INDEX('02-شباط'!$I$2:$I$501,V27))-1,""))</f>
        <v/>
      </c>
      <c r="AC27" t="str">
        <f>IF(L27="","",IF(AND($AO$2=1,ISNA(MATCH(L27,'04-نيسان'!$L$2:$L$501,0))),"محذوف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IF(L28="","",IF($AO$1=1,IFERROR(MATCH(L28,'02-شباط'!$L$2:$L$501,0),0),0))</f>
        <v/>
      </c>
      <c r="W28" t="str">
        <f t="shared" si="11"/>
        <v/>
      </c>
      <c r="X28" s="38" t="str">
        <f>IF(L28="","",IF(V28&gt;0,INDEX('02-شباط'!$P$2:$P$501,V28),IF($AO$1=1,0,"")))</f>
        <v/>
      </c>
      <c r="Y28" s="38" t="str">
        <f t="shared" si="12"/>
        <v/>
      </c>
      <c r="Z28" s="39" t="str">
        <f>IF(L28="","",IF(V28&gt;0,INDEX('02-شباط'!$Q$2:$Q$501,V28),IF($AO$1=1,0,"")))</f>
        <v/>
      </c>
      <c r="AA28" s="39" t="str">
        <f t="shared" si="13"/>
        <v/>
      </c>
      <c r="AB28" s="40" t="str">
        <f>IF(OR(L28="",V28=0),"",IF(AND(N(I28)&gt;0,N(INDEX('02-شباط'!$I$2:$I$501,V28))&gt;0,INDEX('02-شباط'!$F$2:$F$501,V28)=F28),N(I28)/N(INDEX('02-شباط'!$I$2:$I$501,V28))-1,""))</f>
        <v/>
      </c>
      <c r="AC28" t="str">
        <f>IF(L28="","",IF(AND($AO$2=1,ISNA(MATCH(L28,'04-نيسان'!$L$2:$L$501,0))),"محذوف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IF(L29="","",IF($AO$1=1,IFERROR(MATCH(L29,'02-شباط'!$L$2:$L$501,0),0),0))</f>
        <v/>
      </c>
      <c r="W29" t="str">
        <f t="shared" si="11"/>
        <v/>
      </c>
      <c r="X29" s="38" t="str">
        <f>IF(L29="","",IF(V29&gt;0,INDEX('02-شباط'!$P$2:$P$501,V29),IF($AO$1=1,0,"")))</f>
        <v/>
      </c>
      <c r="Y29" s="38" t="str">
        <f t="shared" si="12"/>
        <v/>
      </c>
      <c r="Z29" s="39" t="str">
        <f>IF(L29="","",IF(V29&gt;0,INDEX('02-شباط'!$Q$2:$Q$501,V29),IF($AO$1=1,0,"")))</f>
        <v/>
      </c>
      <c r="AA29" s="39" t="str">
        <f t="shared" si="13"/>
        <v/>
      </c>
      <c r="AB29" s="40" t="str">
        <f>IF(OR(L29="",V29=0),"",IF(AND(N(I29)&gt;0,N(INDEX('02-شباط'!$I$2:$I$501,V29))&gt;0,INDEX('02-شباط'!$F$2:$F$501,V29)=F29),N(I29)/N(INDEX('02-شباط'!$I$2:$I$501,V29))-1,""))</f>
        <v/>
      </c>
      <c r="AC29" t="str">
        <f>IF(L29="","",IF(AND($AO$2=1,ISNA(MATCH(L29,'04-نيسان'!$L$2:$L$501,0))),"محذوف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IF(L30="","",IF($AO$1=1,IFERROR(MATCH(L30,'02-شباط'!$L$2:$L$501,0),0),0))</f>
        <v/>
      </c>
      <c r="W30" t="str">
        <f t="shared" si="11"/>
        <v/>
      </c>
      <c r="X30" s="38" t="str">
        <f>IF(L30="","",IF(V30&gt;0,INDEX('02-شباط'!$P$2:$P$501,V30),IF($AO$1=1,0,"")))</f>
        <v/>
      </c>
      <c r="Y30" s="38" t="str">
        <f t="shared" si="12"/>
        <v/>
      </c>
      <c r="Z30" s="39" t="str">
        <f>IF(L30="","",IF(V30&gt;0,INDEX('02-شباط'!$Q$2:$Q$501,V30),IF($AO$1=1,0,"")))</f>
        <v/>
      </c>
      <c r="AA30" s="39" t="str">
        <f t="shared" si="13"/>
        <v/>
      </c>
      <c r="AB30" s="40" t="str">
        <f>IF(OR(L30="",V30=0),"",IF(AND(N(I30)&gt;0,N(INDEX('02-شباط'!$I$2:$I$501,V30))&gt;0,INDEX('02-شباط'!$F$2:$F$501,V30)=F30),N(I30)/N(INDEX('02-شباط'!$I$2:$I$501,V30))-1,""))</f>
        <v/>
      </c>
      <c r="AC30" t="str">
        <f>IF(L30="","",IF(AND($AO$2=1,ISNA(MATCH(L30,'04-نيسان'!$L$2:$L$501,0))),"محذوف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IF(L31="","",IF($AO$1=1,IFERROR(MATCH(L31,'02-شباط'!$L$2:$L$501,0),0),0))</f>
        <v/>
      </c>
      <c r="W31" t="str">
        <f t="shared" si="11"/>
        <v/>
      </c>
      <c r="X31" s="38" t="str">
        <f>IF(L31="","",IF(V31&gt;0,INDEX('02-شباط'!$P$2:$P$501,V31),IF($AO$1=1,0,"")))</f>
        <v/>
      </c>
      <c r="Y31" s="38" t="str">
        <f t="shared" si="12"/>
        <v/>
      </c>
      <c r="Z31" s="39" t="str">
        <f>IF(L31="","",IF(V31&gt;0,INDEX('02-شباط'!$Q$2:$Q$501,V31),IF($AO$1=1,0,"")))</f>
        <v/>
      </c>
      <c r="AA31" s="39" t="str">
        <f t="shared" si="13"/>
        <v/>
      </c>
      <c r="AB31" s="40" t="str">
        <f>IF(OR(L31="",V31=0),"",IF(AND(N(I31)&gt;0,N(INDEX('02-شباط'!$I$2:$I$501,V31))&gt;0,INDEX('02-شباط'!$F$2:$F$501,V31)=F31),N(I31)/N(INDEX('02-شباط'!$I$2:$I$501,V31))-1,""))</f>
        <v/>
      </c>
      <c r="AC31" t="str">
        <f>IF(L31="","",IF(AND($AO$2=1,ISNA(MATCH(L31,'04-نيسان'!$L$2:$L$501,0))),"محذوف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IF(L32="","",IF($AO$1=1,IFERROR(MATCH(L32,'02-شباط'!$L$2:$L$501,0),0),0))</f>
        <v/>
      </c>
      <c r="W32" t="str">
        <f t="shared" si="11"/>
        <v/>
      </c>
      <c r="X32" s="38" t="str">
        <f>IF(L32="","",IF(V32&gt;0,INDEX('02-شباط'!$P$2:$P$501,V32),IF($AO$1=1,0,"")))</f>
        <v/>
      </c>
      <c r="Y32" s="38" t="str">
        <f t="shared" si="12"/>
        <v/>
      </c>
      <c r="Z32" s="39" t="str">
        <f>IF(L32="","",IF(V32&gt;0,INDEX('02-شباط'!$Q$2:$Q$501,V32),IF($AO$1=1,0,"")))</f>
        <v/>
      </c>
      <c r="AA32" s="39" t="str">
        <f t="shared" si="13"/>
        <v/>
      </c>
      <c r="AB32" s="40" t="str">
        <f>IF(OR(L32="",V32=0),"",IF(AND(N(I32)&gt;0,N(INDEX('02-شباط'!$I$2:$I$501,V32))&gt;0,INDEX('02-شباط'!$F$2:$F$501,V32)=F32),N(I32)/N(INDEX('02-شباط'!$I$2:$I$501,V32))-1,""))</f>
        <v/>
      </c>
      <c r="AC32" t="str">
        <f>IF(L32="","",IF(AND($AO$2=1,ISNA(MATCH(L32,'04-نيسان'!$L$2:$L$501,0))),"محذوف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IF(L33="","",IF($AO$1=1,IFERROR(MATCH(L33,'02-شباط'!$L$2:$L$501,0),0),0))</f>
        <v/>
      </c>
      <c r="W33" t="str">
        <f t="shared" si="11"/>
        <v/>
      </c>
      <c r="X33" s="38" t="str">
        <f>IF(L33="","",IF(V33&gt;0,INDEX('02-شباط'!$P$2:$P$501,V33),IF($AO$1=1,0,"")))</f>
        <v/>
      </c>
      <c r="Y33" s="38" t="str">
        <f t="shared" si="12"/>
        <v/>
      </c>
      <c r="Z33" s="39" t="str">
        <f>IF(L33="","",IF(V33&gt;0,INDEX('02-شباط'!$Q$2:$Q$501,V33),IF($AO$1=1,0,"")))</f>
        <v/>
      </c>
      <c r="AA33" s="39" t="str">
        <f t="shared" si="13"/>
        <v/>
      </c>
      <c r="AB33" s="40" t="str">
        <f>IF(OR(L33="",V33=0),"",IF(AND(N(I33)&gt;0,N(INDEX('02-شباط'!$I$2:$I$501,V33))&gt;0,INDEX('02-شباط'!$F$2:$F$501,V33)=F33),N(I33)/N(INDEX('02-شباط'!$I$2:$I$501,V33))-1,""))</f>
        <v/>
      </c>
      <c r="AC33" t="str">
        <f>IF(L33="","",IF(AND($AO$2=1,ISNA(MATCH(L33,'04-نيسان'!$L$2:$L$501,0))),"محذوف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IF(L34="","",IF($AO$1=1,IFERROR(MATCH(L34,'02-شباط'!$L$2:$L$501,0),0),0))</f>
        <v/>
      </c>
      <c r="W34" t="str">
        <f t="shared" si="11"/>
        <v/>
      </c>
      <c r="X34" s="38" t="str">
        <f>IF(L34="","",IF(V34&gt;0,INDEX('02-شباط'!$P$2:$P$501,V34),IF($AO$1=1,0,"")))</f>
        <v/>
      </c>
      <c r="Y34" s="38" t="str">
        <f t="shared" si="12"/>
        <v/>
      </c>
      <c r="Z34" s="39" t="str">
        <f>IF(L34="","",IF(V34&gt;0,INDEX('02-شباط'!$Q$2:$Q$501,V34),IF($AO$1=1,0,"")))</f>
        <v/>
      </c>
      <c r="AA34" s="39" t="str">
        <f t="shared" si="13"/>
        <v/>
      </c>
      <c r="AB34" s="40" t="str">
        <f>IF(OR(L34="",V34=0),"",IF(AND(N(I34)&gt;0,N(INDEX('02-شباط'!$I$2:$I$501,V34))&gt;0,INDEX('02-شباط'!$F$2:$F$501,V34)=F34),N(I34)/N(INDEX('02-شباط'!$I$2:$I$501,V34))-1,""))</f>
        <v/>
      </c>
      <c r="AC34" t="str">
        <f>IF(L34="","",IF(AND($AO$2=1,ISNA(MATCH(L34,'04-نيسان'!$L$2:$L$501,0))),"محذوف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IF(L35="","",IF($AO$1=1,IFERROR(MATCH(L35,'02-شباط'!$L$2:$L$501,0),0),0))</f>
        <v/>
      </c>
      <c r="W35" t="str">
        <f t="shared" si="11"/>
        <v/>
      </c>
      <c r="X35" s="38" t="str">
        <f>IF(L35="","",IF(V35&gt;0,INDEX('02-شباط'!$P$2:$P$501,V35),IF($AO$1=1,0,"")))</f>
        <v/>
      </c>
      <c r="Y35" s="38" t="str">
        <f t="shared" si="12"/>
        <v/>
      </c>
      <c r="Z35" s="39" t="str">
        <f>IF(L35="","",IF(V35&gt;0,INDEX('02-شباط'!$Q$2:$Q$501,V35),IF($AO$1=1,0,"")))</f>
        <v/>
      </c>
      <c r="AA35" s="39" t="str">
        <f t="shared" si="13"/>
        <v/>
      </c>
      <c r="AB35" s="40" t="str">
        <f>IF(OR(L35="",V35=0),"",IF(AND(N(I35)&gt;0,N(INDEX('02-شباط'!$I$2:$I$501,V35))&gt;0,INDEX('02-شباط'!$F$2:$F$501,V35)=F35),N(I35)/N(INDEX('02-شباط'!$I$2:$I$501,V35))-1,""))</f>
        <v/>
      </c>
      <c r="AC35" t="str">
        <f>IF(L35="","",IF(AND($AO$2=1,ISNA(MATCH(L35,'04-نيسان'!$L$2:$L$501,0))),"محذوف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IF(L36="","",IF($AO$1=1,IFERROR(MATCH(L36,'02-شباط'!$L$2:$L$501,0),0),0))</f>
        <v/>
      </c>
      <c r="W36" t="str">
        <f t="shared" si="11"/>
        <v/>
      </c>
      <c r="X36" s="38" t="str">
        <f>IF(L36="","",IF(V36&gt;0,INDEX('02-شباط'!$P$2:$P$501,V36),IF($AO$1=1,0,"")))</f>
        <v/>
      </c>
      <c r="Y36" s="38" t="str">
        <f t="shared" si="12"/>
        <v/>
      </c>
      <c r="Z36" s="39" t="str">
        <f>IF(L36="","",IF(V36&gt;0,INDEX('02-شباط'!$Q$2:$Q$501,V36),IF($AO$1=1,0,"")))</f>
        <v/>
      </c>
      <c r="AA36" s="39" t="str">
        <f t="shared" si="13"/>
        <v/>
      </c>
      <c r="AB36" s="40" t="str">
        <f>IF(OR(L36="",V36=0),"",IF(AND(N(I36)&gt;0,N(INDEX('02-شباط'!$I$2:$I$501,V36))&gt;0,INDEX('02-شباط'!$F$2:$F$501,V36)=F36),N(I36)/N(INDEX('02-شباط'!$I$2:$I$501,V36))-1,""))</f>
        <v/>
      </c>
      <c r="AC36" t="str">
        <f>IF(L36="","",IF(AND($AO$2=1,ISNA(MATCH(L36,'04-نيسان'!$L$2:$L$501,0))),"محذوف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IF(L37="","",IF($AO$1=1,IFERROR(MATCH(L37,'02-شباط'!$L$2:$L$501,0),0),0))</f>
        <v/>
      </c>
      <c r="W37" t="str">
        <f t="shared" si="11"/>
        <v/>
      </c>
      <c r="X37" s="38" t="str">
        <f>IF(L37="","",IF(V37&gt;0,INDEX('02-شباط'!$P$2:$P$501,V37),IF($AO$1=1,0,"")))</f>
        <v/>
      </c>
      <c r="Y37" s="38" t="str">
        <f t="shared" si="12"/>
        <v/>
      </c>
      <c r="Z37" s="39" t="str">
        <f>IF(L37="","",IF(V37&gt;0,INDEX('02-شباط'!$Q$2:$Q$501,V37),IF($AO$1=1,0,"")))</f>
        <v/>
      </c>
      <c r="AA37" s="39" t="str">
        <f t="shared" si="13"/>
        <v/>
      </c>
      <c r="AB37" s="40" t="str">
        <f>IF(OR(L37="",V37=0),"",IF(AND(N(I37)&gt;0,N(INDEX('02-شباط'!$I$2:$I$501,V37))&gt;0,INDEX('02-شباط'!$F$2:$F$501,V37)=F37),N(I37)/N(INDEX('02-شباط'!$I$2:$I$501,V37))-1,""))</f>
        <v/>
      </c>
      <c r="AC37" t="str">
        <f>IF(L37="","",IF(AND($AO$2=1,ISNA(MATCH(L37,'04-نيسان'!$L$2:$L$501,0))),"محذوف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IF(L38="","",IF($AO$1=1,IFERROR(MATCH(L38,'02-شباط'!$L$2:$L$501,0),0),0))</f>
        <v/>
      </c>
      <c r="W38" t="str">
        <f t="shared" si="11"/>
        <v/>
      </c>
      <c r="X38" s="38" t="str">
        <f>IF(L38="","",IF(V38&gt;0,INDEX('02-شباط'!$P$2:$P$501,V38),IF($AO$1=1,0,"")))</f>
        <v/>
      </c>
      <c r="Y38" s="38" t="str">
        <f t="shared" si="12"/>
        <v/>
      </c>
      <c r="Z38" s="39" t="str">
        <f>IF(L38="","",IF(V38&gt;0,INDEX('02-شباط'!$Q$2:$Q$501,V38),IF($AO$1=1,0,"")))</f>
        <v/>
      </c>
      <c r="AA38" s="39" t="str">
        <f t="shared" si="13"/>
        <v/>
      </c>
      <c r="AB38" s="40" t="str">
        <f>IF(OR(L38="",V38=0),"",IF(AND(N(I38)&gt;0,N(INDEX('02-شباط'!$I$2:$I$501,V38))&gt;0,INDEX('02-شباط'!$F$2:$F$501,V38)=F38),N(I38)/N(INDEX('02-شباط'!$I$2:$I$501,V38))-1,""))</f>
        <v/>
      </c>
      <c r="AC38" t="str">
        <f>IF(L38="","",IF(AND($AO$2=1,ISNA(MATCH(L38,'04-نيسان'!$L$2:$L$501,0))),"محذوف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IF(L39="","",IF($AO$1=1,IFERROR(MATCH(L39,'02-شباط'!$L$2:$L$501,0),0),0))</f>
        <v/>
      </c>
      <c r="W39" t="str">
        <f t="shared" si="11"/>
        <v/>
      </c>
      <c r="X39" s="38" t="str">
        <f>IF(L39="","",IF(V39&gt;0,INDEX('02-شباط'!$P$2:$P$501,V39),IF($AO$1=1,0,"")))</f>
        <v/>
      </c>
      <c r="Y39" s="38" t="str">
        <f t="shared" si="12"/>
        <v/>
      </c>
      <c r="Z39" s="39" t="str">
        <f>IF(L39="","",IF(V39&gt;0,INDEX('02-شباط'!$Q$2:$Q$501,V39),IF($AO$1=1,0,"")))</f>
        <v/>
      </c>
      <c r="AA39" s="39" t="str">
        <f t="shared" si="13"/>
        <v/>
      </c>
      <c r="AB39" s="40" t="str">
        <f>IF(OR(L39="",V39=0),"",IF(AND(N(I39)&gt;0,N(INDEX('02-شباط'!$I$2:$I$501,V39))&gt;0,INDEX('02-شباط'!$F$2:$F$501,V39)=F39),N(I39)/N(INDEX('02-شباط'!$I$2:$I$501,V39))-1,""))</f>
        <v/>
      </c>
      <c r="AC39" t="str">
        <f>IF(L39="","",IF(AND($AO$2=1,ISNA(MATCH(L39,'04-نيسان'!$L$2:$L$501,0))),"محذوف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IF(L40="","",IF($AO$1=1,IFERROR(MATCH(L40,'02-شباط'!$L$2:$L$501,0),0),0))</f>
        <v/>
      </c>
      <c r="W40" t="str">
        <f t="shared" si="11"/>
        <v/>
      </c>
      <c r="X40" s="38" t="str">
        <f>IF(L40="","",IF(V40&gt;0,INDEX('02-شباط'!$P$2:$P$501,V40),IF($AO$1=1,0,"")))</f>
        <v/>
      </c>
      <c r="Y40" s="38" t="str">
        <f t="shared" si="12"/>
        <v/>
      </c>
      <c r="Z40" s="39" t="str">
        <f>IF(L40="","",IF(V40&gt;0,INDEX('02-شباط'!$Q$2:$Q$501,V40),IF($AO$1=1,0,"")))</f>
        <v/>
      </c>
      <c r="AA40" s="39" t="str">
        <f t="shared" si="13"/>
        <v/>
      </c>
      <c r="AB40" s="40" t="str">
        <f>IF(OR(L40="",V40=0),"",IF(AND(N(I40)&gt;0,N(INDEX('02-شباط'!$I$2:$I$501,V40))&gt;0,INDEX('02-شباط'!$F$2:$F$501,V40)=F40),N(I40)/N(INDEX('02-شباط'!$I$2:$I$501,V40))-1,""))</f>
        <v/>
      </c>
      <c r="AC40" t="str">
        <f>IF(L40="","",IF(AND($AO$2=1,ISNA(MATCH(L40,'04-نيسان'!$L$2:$L$501,0))),"محذوف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IF(L41="","",IF($AO$1=1,IFERROR(MATCH(L41,'02-شباط'!$L$2:$L$501,0),0),0))</f>
        <v/>
      </c>
      <c r="W41" t="str">
        <f t="shared" si="11"/>
        <v/>
      </c>
      <c r="X41" s="38" t="str">
        <f>IF(L41="","",IF(V41&gt;0,INDEX('02-شباط'!$P$2:$P$501,V41),IF($AO$1=1,0,"")))</f>
        <v/>
      </c>
      <c r="Y41" s="38" t="str">
        <f t="shared" si="12"/>
        <v/>
      </c>
      <c r="Z41" s="39" t="str">
        <f>IF(L41="","",IF(V41&gt;0,INDEX('02-شباط'!$Q$2:$Q$501,V41),IF($AO$1=1,0,"")))</f>
        <v/>
      </c>
      <c r="AA41" s="39" t="str">
        <f t="shared" si="13"/>
        <v/>
      </c>
      <c r="AB41" s="40" t="str">
        <f>IF(OR(L41="",V41=0),"",IF(AND(N(I41)&gt;0,N(INDEX('02-شباط'!$I$2:$I$501,V41))&gt;0,INDEX('02-شباط'!$F$2:$F$501,V41)=F41),N(I41)/N(INDEX('02-شباط'!$I$2:$I$501,V41))-1,""))</f>
        <v/>
      </c>
      <c r="AC41" t="str">
        <f>IF(L41="","",IF(AND($AO$2=1,ISNA(MATCH(L41,'04-نيسان'!$L$2:$L$501,0))),"محذوف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IF(L42="","",IF($AO$1=1,IFERROR(MATCH(L42,'02-شباط'!$L$2:$L$501,0),0),0))</f>
        <v/>
      </c>
      <c r="W42" t="str">
        <f t="shared" si="11"/>
        <v/>
      </c>
      <c r="X42" s="38" t="str">
        <f>IF(L42="","",IF(V42&gt;0,INDEX('02-شباط'!$P$2:$P$501,V42),IF($AO$1=1,0,"")))</f>
        <v/>
      </c>
      <c r="Y42" s="38" t="str">
        <f t="shared" si="12"/>
        <v/>
      </c>
      <c r="Z42" s="39" t="str">
        <f>IF(L42="","",IF(V42&gt;0,INDEX('02-شباط'!$Q$2:$Q$501,V42),IF($AO$1=1,0,"")))</f>
        <v/>
      </c>
      <c r="AA42" s="39" t="str">
        <f t="shared" si="13"/>
        <v/>
      </c>
      <c r="AB42" s="40" t="str">
        <f>IF(OR(L42="",V42=0),"",IF(AND(N(I42)&gt;0,N(INDEX('02-شباط'!$I$2:$I$501,V42))&gt;0,INDEX('02-شباط'!$F$2:$F$501,V42)=F42),N(I42)/N(INDEX('02-شباط'!$I$2:$I$501,V42))-1,""))</f>
        <v/>
      </c>
      <c r="AC42" t="str">
        <f>IF(L42="","",IF(AND($AO$2=1,ISNA(MATCH(L42,'04-نيسان'!$L$2:$L$501,0))),"محذوف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IF(L43="","",IF($AO$1=1,IFERROR(MATCH(L43,'02-شباط'!$L$2:$L$501,0),0),0))</f>
        <v/>
      </c>
      <c r="W43" t="str">
        <f t="shared" si="11"/>
        <v/>
      </c>
      <c r="X43" s="38" t="str">
        <f>IF(L43="","",IF(V43&gt;0,INDEX('02-شباط'!$P$2:$P$501,V43),IF($AO$1=1,0,"")))</f>
        <v/>
      </c>
      <c r="Y43" s="38" t="str">
        <f t="shared" si="12"/>
        <v/>
      </c>
      <c r="Z43" s="39" t="str">
        <f>IF(L43="","",IF(V43&gt;0,INDEX('02-شباط'!$Q$2:$Q$501,V43),IF($AO$1=1,0,"")))</f>
        <v/>
      </c>
      <c r="AA43" s="39" t="str">
        <f t="shared" si="13"/>
        <v/>
      </c>
      <c r="AB43" s="40" t="str">
        <f>IF(OR(L43="",V43=0),"",IF(AND(N(I43)&gt;0,N(INDEX('02-شباط'!$I$2:$I$501,V43))&gt;0,INDEX('02-شباط'!$F$2:$F$501,V43)=F43),N(I43)/N(INDEX('02-شباط'!$I$2:$I$501,V43))-1,""))</f>
        <v/>
      </c>
      <c r="AC43" t="str">
        <f>IF(L43="","",IF(AND($AO$2=1,ISNA(MATCH(L43,'04-نيسان'!$L$2:$L$501,0))),"محذوف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IF(L44="","",IF($AO$1=1,IFERROR(MATCH(L44,'02-شباط'!$L$2:$L$501,0),0),0))</f>
        <v/>
      </c>
      <c r="W44" t="str">
        <f t="shared" si="11"/>
        <v/>
      </c>
      <c r="X44" s="38" t="str">
        <f>IF(L44="","",IF(V44&gt;0,INDEX('02-شباط'!$P$2:$P$501,V44),IF($AO$1=1,0,"")))</f>
        <v/>
      </c>
      <c r="Y44" s="38" t="str">
        <f t="shared" si="12"/>
        <v/>
      </c>
      <c r="Z44" s="39" t="str">
        <f>IF(L44="","",IF(V44&gt;0,INDEX('02-شباط'!$Q$2:$Q$501,V44),IF($AO$1=1,0,"")))</f>
        <v/>
      </c>
      <c r="AA44" s="39" t="str">
        <f t="shared" si="13"/>
        <v/>
      </c>
      <c r="AB44" s="40" t="str">
        <f>IF(OR(L44="",V44=0),"",IF(AND(N(I44)&gt;0,N(INDEX('02-شباط'!$I$2:$I$501,V44))&gt;0,INDEX('02-شباط'!$F$2:$F$501,V44)=F44),N(I44)/N(INDEX('02-شباط'!$I$2:$I$501,V44))-1,""))</f>
        <v/>
      </c>
      <c r="AC44" t="str">
        <f>IF(L44="","",IF(AND($AO$2=1,ISNA(MATCH(L44,'04-نيسان'!$L$2:$L$501,0))),"محذوف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IF(L45="","",IF($AO$1=1,IFERROR(MATCH(L45,'02-شباط'!$L$2:$L$501,0),0),0))</f>
        <v/>
      </c>
      <c r="W45" t="str">
        <f t="shared" si="11"/>
        <v/>
      </c>
      <c r="X45" s="38" t="str">
        <f>IF(L45="","",IF(V45&gt;0,INDEX('02-شباط'!$P$2:$P$501,V45),IF($AO$1=1,0,"")))</f>
        <v/>
      </c>
      <c r="Y45" s="38" t="str">
        <f t="shared" si="12"/>
        <v/>
      </c>
      <c r="Z45" s="39" t="str">
        <f>IF(L45="","",IF(V45&gt;0,INDEX('02-شباط'!$Q$2:$Q$501,V45),IF($AO$1=1,0,"")))</f>
        <v/>
      </c>
      <c r="AA45" s="39" t="str">
        <f t="shared" si="13"/>
        <v/>
      </c>
      <c r="AB45" s="40" t="str">
        <f>IF(OR(L45="",V45=0),"",IF(AND(N(I45)&gt;0,N(INDEX('02-شباط'!$I$2:$I$501,V45))&gt;0,INDEX('02-شباط'!$F$2:$F$501,V45)=F45),N(I45)/N(INDEX('02-شباط'!$I$2:$I$501,V45))-1,""))</f>
        <v/>
      </c>
      <c r="AC45" t="str">
        <f>IF(L45="","",IF(AND($AO$2=1,ISNA(MATCH(L45,'04-نيسان'!$L$2:$L$501,0))),"محذوف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IF(L46="","",IF($AO$1=1,IFERROR(MATCH(L46,'02-شباط'!$L$2:$L$501,0),0),0))</f>
        <v/>
      </c>
      <c r="W46" t="str">
        <f t="shared" si="11"/>
        <v/>
      </c>
      <c r="X46" s="38" t="str">
        <f>IF(L46="","",IF(V46&gt;0,INDEX('02-شباط'!$P$2:$P$501,V46),IF($AO$1=1,0,"")))</f>
        <v/>
      </c>
      <c r="Y46" s="38" t="str">
        <f t="shared" si="12"/>
        <v/>
      </c>
      <c r="Z46" s="39" t="str">
        <f>IF(L46="","",IF(V46&gt;0,INDEX('02-شباط'!$Q$2:$Q$501,V46),IF($AO$1=1,0,"")))</f>
        <v/>
      </c>
      <c r="AA46" s="39" t="str">
        <f t="shared" si="13"/>
        <v/>
      </c>
      <c r="AB46" s="40" t="str">
        <f>IF(OR(L46="",V46=0),"",IF(AND(N(I46)&gt;0,N(INDEX('02-شباط'!$I$2:$I$501,V46))&gt;0,INDEX('02-شباط'!$F$2:$F$501,V46)=F46),N(I46)/N(INDEX('02-شباط'!$I$2:$I$501,V46))-1,""))</f>
        <v/>
      </c>
      <c r="AC46" t="str">
        <f>IF(L46="","",IF(AND($AO$2=1,ISNA(MATCH(L46,'04-نيسان'!$L$2:$L$501,0))),"محذوف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IF(L47="","",IF($AO$1=1,IFERROR(MATCH(L47,'02-شباط'!$L$2:$L$501,0),0),0))</f>
        <v/>
      </c>
      <c r="W47" t="str">
        <f t="shared" si="11"/>
        <v/>
      </c>
      <c r="X47" s="38" t="str">
        <f>IF(L47="","",IF(V47&gt;0,INDEX('02-شباط'!$P$2:$P$501,V47),IF($AO$1=1,0,"")))</f>
        <v/>
      </c>
      <c r="Y47" s="38" t="str">
        <f t="shared" si="12"/>
        <v/>
      </c>
      <c r="Z47" s="39" t="str">
        <f>IF(L47="","",IF(V47&gt;0,INDEX('02-شباط'!$Q$2:$Q$501,V47),IF($AO$1=1,0,"")))</f>
        <v/>
      </c>
      <c r="AA47" s="39" t="str">
        <f t="shared" si="13"/>
        <v/>
      </c>
      <c r="AB47" s="40" t="str">
        <f>IF(OR(L47="",V47=0),"",IF(AND(N(I47)&gt;0,N(INDEX('02-شباط'!$I$2:$I$501,V47))&gt;0,INDEX('02-شباط'!$F$2:$F$501,V47)=F47),N(I47)/N(INDEX('02-شباط'!$I$2:$I$501,V47))-1,""))</f>
        <v/>
      </c>
      <c r="AC47" t="str">
        <f>IF(L47="","",IF(AND($AO$2=1,ISNA(MATCH(L47,'04-نيسان'!$L$2:$L$501,0))),"محذوف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IF(L48="","",IF($AO$1=1,IFERROR(MATCH(L48,'02-شباط'!$L$2:$L$501,0),0),0))</f>
        <v/>
      </c>
      <c r="W48" t="str">
        <f t="shared" si="11"/>
        <v/>
      </c>
      <c r="X48" s="38" t="str">
        <f>IF(L48="","",IF(V48&gt;0,INDEX('02-شباط'!$P$2:$P$501,V48),IF($AO$1=1,0,"")))</f>
        <v/>
      </c>
      <c r="Y48" s="38" t="str">
        <f t="shared" si="12"/>
        <v/>
      </c>
      <c r="Z48" s="39" t="str">
        <f>IF(L48="","",IF(V48&gt;0,INDEX('02-شباط'!$Q$2:$Q$501,V48),IF($AO$1=1,0,"")))</f>
        <v/>
      </c>
      <c r="AA48" s="39" t="str">
        <f t="shared" si="13"/>
        <v/>
      </c>
      <c r="AB48" s="40" t="str">
        <f>IF(OR(L48="",V48=0),"",IF(AND(N(I48)&gt;0,N(INDEX('02-شباط'!$I$2:$I$501,V48))&gt;0,INDEX('02-شباط'!$F$2:$F$501,V48)=F48),N(I48)/N(INDEX('02-شباط'!$I$2:$I$501,V48))-1,""))</f>
        <v/>
      </c>
      <c r="AC48" t="str">
        <f>IF(L48="","",IF(AND($AO$2=1,ISNA(MATCH(L48,'04-نيسان'!$L$2:$L$501,0))),"محذوف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IF(L49="","",IF($AO$1=1,IFERROR(MATCH(L49,'02-شباط'!$L$2:$L$501,0),0),0))</f>
        <v/>
      </c>
      <c r="W49" t="str">
        <f t="shared" si="11"/>
        <v/>
      </c>
      <c r="X49" s="38" t="str">
        <f>IF(L49="","",IF(V49&gt;0,INDEX('02-شباط'!$P$2:$P$501,V49),IF($AO$1=1,0,"")))</f>
        <v/>
      </c>
      <c r="Y49" s="38" t="str">
        <f t="shared" si="12"/>
        <v/>
      </c>
      <c r="Z49" s="39" t="str">
        <f>IF(L49="","",IF(V49&gt;0,INDEX('02-شباط'!$Q$2:$Q$501,V49),IF($AO$1=1,0,"")))</f>
        <v/>
      </c>
      <c r="AA49" s="39" t="str">
        <f t="shared" si="13"/>
        <v/>
      </c>
      <c r="AB49" s="40" t="str">
        <f>IF(OR(L49="",V49=0),"",IF(AND(N(I49)&gt;0,N(INDEX('02-شباط'!$I$2:$I$501,V49))&gt;0,INDEX('02-شباط'!$F$2:$F$501,V49)=F49),N(I49)/N(INDEX('02-شباط'!$I$2:$I$501,V49))-1,""))</f>
        <v/>
      </c>
      <c r="AC49" t="str">
        <f>IF(L49="","",IF(AND($AO$2=1,ISNA(MATCH(L49,'04-نيسان'!$L$2:$L$501,0))),"محذوف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IF(L50="","",IF($AO$1=1,IFERROR(MATCH(L50,'02-شباط'!$L$2:$L$501,0),0),0))</f>
        <v/>
      </c>
      <c r="W50" t="str">
        <f t="shared" si="11"/>
        <v/>
      </c>
      <c r="X50" s="38" t="str">
        <f>IF(L50="","",IF(V50&gt;0,INDEX('02-شباط'!$P$2:$P$501,V50),IF($AO$1=1,0,"")))</f>
        <v/>
      </c>
      <c r="Y50" s="38" t="str">
        <f t="shared" si="12"/>
        <v/>
      </c>
      <c r="Z50" s="39" t="str">
        <f>IF(L50="","",IF(V50&gt;0,INDEX('02-شباط'!$Q$2:$Q$501,V50),IF($AO$1=1,0,"")))</f>
        <v/>
      </c>
      <c r="AA50" s="39" t="str">
        <f t="shared" si="13"/>
        <v/>
      </c>
      <c r="AB50" s="40" t="str">
        <f>IF(OR(L50="",V50=0),"",IF(AND(N(I50)&gt;0,N(INDEX('02-شباط'!$I$2:$I$501,V50))&gt;0,INDEX('02-شباط'!$F$2:$F$501,V50)=F50),N(I50)/N(INDEX('02-شباط'!$I$2:$I$501,V50))-1,""))</f>
        <v/>
      </c>
      <c r="AC50" t="str">
        <f>IF(L50="","",IF(AND($AO$2=1,ISNA(MATCH(L50,'04-نيسان'!$L$2:$L$501,0))),"محذوف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IF(L51="","",IF($AO$1=1,IFERROR(MATCH(L51,'02-شباط'!$L$2:$L$501,0),0),0))</f>
        <v/>
      </c>
      <c r="W51" t="str">
        <f t="shared" si="11"/>
        <v/>
      </c>
      <c r="X51" s="38" t="str">
        <f>IF(L51="","",IF(V51&gt;0,INDEX('02-شباط'!$P$2:$P$501,V51),IF($AO$1=1,0,"")))</f>
        <v/>
      </c>
      <c r="Y51" s="38" t="str">
        <f t="shared" si="12"/>
        <v/>
      </c>
      <c r="Z51" s="39" t="str">
        <f>IF(L51="","",IF(V51&gt;0,INDEX('02-شباط'!$Q$2:$Q$501,V51),IF($AO$1=1,0,"")))</f>
        <v/>
      </c>
      <c r="AA51" s="39" t="str">
        <f t="shared" si="13"/>
        <v/>
      </c>
      <c r="AB51" s="40" t="str">
        <f>IF(OR(L51="",V51=0),"",IF(AND(N(I51)&gt;0,N(INDEX('02-شباط'!$I$2:$I$501,V51))&gt;0,INDEX('02-شباط'!$F$2:$F$501,V51)=F51),N(I51)/N(INDEX('02-شباط'!$I$2:$I$501,V51))-1,""))</f>
        <v/>
      </c>
      <c r="AC51" t="str">
        <f>IF(L51="","",IF(AND($AO$2=1,ISNA(MATCH(L51,'04-نيسان'!$L$2:$L$501,0))),"محذوف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IF(L52="","",IF($AO$1=1,IFERROR(MATCH(L52,'02-شباط'!$L$2:$L$501,0),0),0))</f>
        <v/>
      </c>
      <c r="W52" t="str">
        <f t="shared" si="11"/>
        <v/>
      </c>
      <c r="X52" s="38" t="str">
        <f>IF(L52="","",IF(V52&gt;0,INDEX('02-شباط'!$P$2:$P$501,V52),IF($AO$1=1,0,"")))</f>
        <v/>
      </c>
      <c r="Y52" s="38" t="str">
        <f t="shared" si="12"/>
        <v/>
      </c>
      <c r="Z52" s="39" t="str">
        <f>IF(L52="","",IF(V52&gt;0,INDEX('02-شباط'!$Q$2:$Q$501,V52),IF($AO$1=1,0,"")))</f>
        <v/>
      </c>
      <c r="AA52" s="39" t="str">
        <f t="shared" si="13"/>
        <v/>
      </c>
      <c r="AB52" s="40" t="str">
        <f>IF(OR(L52="",V52=0),"",IF(AND(N(I52)&gt;0,N(INDEX('02-شباط'!$I$2:$I$501,V52))&gt;0,INDEX('02-شباط'!$F$2:$F$501,V52)=F52),N(I52)/N(INDEX('02-شباط'!$I$2:$I$501,V52))-1,""))</f>
        <v/>
      </c>
      <c r="AC52" t="str">
        <f>IF(L52="","",IF(AND($AO$2=1,ISNA(MATCH(L52,'04-نيسان'!$L$2:$L$501,0))),"محذوف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IF(L53="","",IF($AO$1=1,IFERROR(MATCH(L53,'02-شباط'!$L$2:$L$501,0),0),0))</f>
        <v/>
      </c>
      <c r="W53" t="str">
        <f t="shared" si="11"/>
        <v/>
      </c>
      <c r="X53" s="38" t="str">
        <f>IF(L53="","",IF(V53&gt;0,INDEX('02-شباط'!$P$2:$P$501,V53),IF($AO$1=1,0,"")))</f>
        <v/>
      </c>
      <c r="Y53" s="38" t="str">
        <f t="shared" si="12"/>
        <v/>
      </c>
      <c r="Z53" s="39" t="str">
        <f>IF(L53="","",IF(V53&gt;0,INDEX('02-شباط'!$Q$2:$Q$501,V53),IF($AO$1=1,0,"")))</f>
        <v/>
      </c>
      <c r="AA53" s="39" t="str">
        <f t="shared" si="13"/>
        <v/>
      </c>
      <c r="AB53" s="40" t="str">
        <f>IF(OR(L53="",V53=0),"",IF(AND(N(I53)&gt;0,N(INDEX('02-شباط'!$I$2:$I$501,V53))&gt;0,INDEX('02-شباط'!$F$2:$F$501,V53)=F53),N(I53)/N(INDEX('02-شباط'!$I$2:$I$501,V53))-1,""))</f>
        <v/>
      </c>
      <c r="AC53" t="str">
        <f>IF(L53="","",IF(AND($AO$2=1,ISNA(MATCH(L53,'04-نيسان'!$L$2:$L$501,0))),"محذوف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IF(L54="","",IF($AO$1=1,IFERROR(MATCH(L54,'02-شباط'!$L$2:$L$501,0),0),0))</f>
        <v/>
      </c>
      <c r="W54" t="str">
        <f t="shared" si="11"/>
        <v/>
      </c>
      <c r="X54" s="38" t="str">
        <f>IF(L54="","",IF(V54&gt;0,INDEX('02-شباط'!$P$2:$P$501,V54),IF($AO$1=1,0,"")))</f>
        <v/>
      </c>
      <c r="Y54" s="38" t="str">
        <f t="shared" si="12"/>
        <v/>
      </c>
      <c r="Z54" s="39" t="str">
        <f>IF(L54="","",IF(V54&gt;0,INDEX('02-شباط'!$Q$2:$Q$501,V54),IF($AO$1=1,0,"")))</f>
        <v/>
      </c>
      <c r="AA54" s="39" t="str">
        <f t="shared" si="13"/>
        <v/>
      </c>
      <c r="AB54" s="40" t="str">
        <f>IF(OR(L54="",V54=0),"",IF(AND(N(I54)&gt;0,N(INDEX('02-شباط'!$I$2:$I$501,V54))&gt;0,INDEX('02-شباط'!$F$2:$F$501,V54)=F54),N(I54)/N(INDEX('02-شباط'!$I$2:$I$501,V54))-1,""))</f>
        <v/>
      </c>
      <c r="AC54" t="str">
        <f>IF(L54="","",IF(AND($AO$2=1,ISNA(MATCH(L54,'04-نيسان'!$L$2:$L$501,0))),"محذوف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IF(L55="","",IF($AO$1=1,IFERROR(MATCH(L55,'02-شباط'!$L$2:$L$501,0),0),0))</f>
        <v/>
      </c>
      <c r="W55" t="str">
        <f t="shared" si="11"/>
        <v/>
      </c>
      <c r="X55" s="38" t="str">
        <f>IF(L55="","",IF(V55&gt;0,INDEX('02-شباط'!$P$2:$P$501,V55),IF($AO$1=1,0,"")))</f>
        <v/>
      </c>
      <c r="Y55" s="38" t="str">
        <f t="shared" si="12"/>
        <v/>
      </c>
      <c r="Z55" s="39" t="str">
        <f>IF(L55="","",IF(V55&gt;0,INDEX('02-شباط'!$Q$2:$Q$501,V55),IF($AO$1=1,0,"")))</f>
        <v/>
      </c>
      <c r="AA55" s="39" t="str">
        <f t="shared" si="13"/>
        <v/>
      </c>
      <c r="AB55" s="40" t="str">
        <f>IF(OR(L55="",V55=0),"",IF(AND(N(I55)&gt;0,N(INDEX('02-شباط'!$I$2:$I$501,V55))&gt;0,INDEX('02-شباط'!$F$2:$F$501,V55)=F55),N(I55)/N(INDEX('02-شباط'!$I$2:$I$501,V55))-1,""))</f>
        <v/>
      </c>
      <c r="AC55" t="str">
        <f>IF(L55="","",IF(AND($AO$2=1,ISNA(MATCH(L55,'04-نيسان'!$L$2:$L$501,0))),"محذوف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IF(L56="","",IF($AO$1=1,IFERROR(MATCH(L56,'02-شباط'!$L$2:$L$501,0),0),0))</f>
        <v/>
      </c>
      <c r="W56" t="str">
        <f t="shared" si="11"/>
        <v/>
      </c>
      <c r="X56" s="38" t="str">
        <f>IF(L56="","",IF(V56&gt;0,INDEX('02-شباط'!$P$2:$P$501,V56),IF($AO$1=1,0,"")))</f>
        <v/>
      </c>
      <c r="Y56" s="38" t="str">
        <f t="shared" si="12"/>
        <v/>
      </c>
      <c r="Z56" s="39" t="str">
        <f>IF(L56="","",IF(V56&gt;0,INDEX('02-شباط'!$Q$2:$Q$501,V56),IF($AO$1=1,0,"")))</f>
        <v/>
      </c>
      <c r="AA56" s="39" t="str">
        <f t="shared" si="13"/>
        <v/>
      </c>
      <c r="AB56" s="40" t="str">
        <f>IF(OR(L56="",V56=0),"",IF(AND(N(I56)&gt;0,N(INDEX('02-شباط'!$I$2:$I$501,V56))&gt;0,INDEX('02-شباط'!$F$2:$F$501,V56)=F56),N(I56)/N(INDEX('02-شباط'!$I$2:$I$501,V56))-1,""))</f>
        <v/>
      </c>
      <c r="AC56" t="str">
        <f>IF(L56="","",IF(AND($AO$2=1,ISNA(MATCH(L56,'04-نيسان'!$L$2:$L$501,0))),"محذوف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IF(L57="","",IF($AO$1=1,IFERROR(MATCH(L57,'02-شباط'!$L$2:$L$501,0),0),0))</f>
        <v/>
      </c>
      <c r="W57" t="str">
        <f t="shared" si="11"/>
        <v/>
      </c>
      <c r="X57" s="38" t="str">
        <f>IF(L57="","",IF(V57&gt;0,INDEX('02-شباط'!$P$2:$P$501,V57),IF($AO$1=1,0,"")))</f>
        <v/>
      </c>
      <c r="Y57" s="38" t="str">
        <f t="shared" si="12"/>
        <v/>
      </c>
      <c r="Z57" s="39" t="str">
        <f>IF(L57="","",IF(V57&gt;0,INDEX('02-شباط'!$Q$2:$Q$501,V57),IF($AO$1=1,0,"")))</f>
        <v/>
      </c>
      <c r="AA57" s="39" t="str">
        <f t="shared" si="13"/>
        <v/>
      </c>
      <c r="AB57" s="40" t="str">
        <f>IF(OR(L57="",V57=0),"",IF(AND(N(I57)&gt;0,N(INDEX('02-شباط'!$I$2:$I$501,V57))&gt;0,INDEX('02-شباط'!$F$2:$F$501,V57)=F57),N(I57)/N(INDEX('02-شباط'!$I$2:$I$501,V57))-1,""))</f>
        <v/>
      </c>
      <c r="AC57" t="str">
        <f>IF(L57="","",IF(AND($AO$2=1,ISNA(MATCH(L57,'04-نيسان'!$L$2:$L$501,0))),"محذوف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IF(L58="","",IF($AO$1=1,IFERROR(MATCH(L58,'02-شباط'!$L$2:$L$501,0),0),0))</f>
        <v/>
      </c>
      <c r="W58" t="str">
        <f t="shared" si="11"/>
        <v/>
      </c>
      <c r="X58" s="38" t="str">
        <f>IF(L58="","",IF(V58&gt;0,INDEX('02-شباط'!$P$2:$P$501,V58),IF($AO$1=1,0,"")))</f>
        <v/>
      </c>
      <c r="Y58" s="38" t="str">
        <f t="shared" si="12"/>
        <v/>
      </c>
      <c r="Z58" s="39" t="str">
        <f>IF(L58="","",IF(V58&gt;0,INDEX('02-شباط'!$Q$2:$Q$501,V58),IF($AO$1=1,0,"")))</f>
        <v/>
      </c>
      <c r="AA58" s="39" t="str">
        <f t="shared" si="13"/>
        <v/>
      </c>
      <c r="AB58" s="40" t="str">
        <f>IF(OR(L58="",V58=0),"",IF(AND(N(I58)&gt;0,N(INDEX('02-شباط'!$I$2:$I$501,V58))&gt;0,INDEX('02-شباط'!$F$2:$F$501,V58)=F58),N(I58)/N(INDEX('02-شباط'!$I$2:$I$501,V58))-1,""))</f>
        <v/>
      </c>
      <c r="AC58" t="str">
        <f>IF(L58="","",IF(AND($AO$2=1,ISNA(MATCH(L58,'04-نيسان'!$L$2:$L$501,0))),"محذوف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IF(L59="","",IF($AO$1=1,IFERROR(MATCH(L59,'02-شباط'!$L$2:$L$501,0),0),0))</f>
        <v/>
      </c>
      <c r="W59" t="str">
        <f t="shared" si="11"/>
        <v/>
      </c>
      <c r="X59" s="38" t="str">
        <f>IF(L59="","",IF(V59&gt;0,INDEX('02-شباط'!$P$2:$P$501,V59),IF($AO$1=1,0,"")))</f>
        <v/>
      </c>
      <c r="Y59" s="38" t="str">
        <f t="shared" si="12"/>
        <v/>
      </c>
      <c r="Z59" s="39" t="str">
        <f>IF(L59="","",IF(V59&gt;0,INDEX('02-شباط'!$Q$2:$Q$501,V59),IF($AO$1=1,0,"")))</f>
        <v/>
      </c>
      <c r="AA59" s="39" t="str">
        <f t="shared" si="13"/>
        <v/>
      </c>
      <c r="AB59" s="40" t="str">
        <f>IF(OR(L59="",V59=0),"",IF(AND(N(I59)&gt;0,N(INDEX('02-شباط'!$I$2:$I$501,V59))&gt;0,INDEX('02-شباط'!$F$2:$F$501,V59)=F59),N(I59)/N(INDEX('02-شباط'!$I$2:$I$501,V59))-1,""))</f>
        <v/>
      </c>
      <c r="AC59" t="str">
        <f>IF(L59="","",IF(AND($AO$2=1,ISNA(MATCH(L59,'04-نيسان'!$L$2:$L$501,0))),"محذوف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IF(L60="","",IF($AO$1=1,IFERROR(MATCH(L60,'02-شباط'!$L$2:$L$501,0),0),0))</f>
        <v/>
      </c>
      <c r="W60" t="str">
        <f t="shared" si="11"/>
        <v/>
      </c>
      <c r="X60" s="38" t="str">
        <f>IF(L60="","",IF(V60&gt;0,INDEX('02-شباط'!$P$2:$P$501,V60),IF($AO$1=1,0,"")))</f>
        <v/>
      </c>
      <c r="Y60" s="38" t="str">
        <f t="shared" si="12"/>
        <v/>
      </c>
      <c r="Z60" s="39" t="str">
        <f>IF(L60="","",IF(V60&gt;0,INDEX('02-شباط'!$Q$2:$Q$501,V60),IF($AO$1=1,0,"")))</f>
        <v/>
      </c>
      <c r="AA60" s="39" t="str">
        <f t="shared" si="13"/>
        <v/>
      </c>
      <c r="AB60" s="40" t="str">
        <f>IF(OR(L60="",V60=0),"",IF(AND(N(I60)&gt;0,N(INDEX('02-شباط'!$I$2:$I$501,V60))&gt;0,INDEX('02-شباط'!$F$2:$F$501,V60)=F60),N(I60)/N(INDEX('02-شباط'!$I$2:$I$501,V60))-1,""))</f>
        <v/>
      </c>
      <c r="AC60" t="str">
        <f>IF(L60="","",IF(AND($AO$2=1,ISNA(MATCH(L60,'04-نيسان'!$L$2:$L$501,0))),"محذوف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IF(L61="","",IF($AO$1=1,IFERROR(MATCH(L61,'02-شباط'!$L$2:$L$501,0),0),0))</f>
        <v/>
      </c>
      <c r="W61" t="str">
        <f t="shared" si="11"/>
        <v/>
      </c>
      <c r="X61" s="38" t="str">
        <f>IF(L61="","",IF(V61&gt;0,INDEX('02-شباط'!$P$2:$P$501,V61),IF($AO$1=1,0,"")))</f>
        <v/>
      </c>
      <c r="Y61" s="38" t="str">
        <f t="shared" si="12"/>
        <v/>
      </c>
      <c r="Z61" s="39" t="str">
        <f>IF(L61="","",IF(V61&gt;0,INDEX('02-شباط'!$Q$2:$Q$501,V61),IF($AO$1=1,0,"")))</f>
        <v/>
      </c>
      <c r="AA61" s="39" t="str">
        <f t="shared" si="13"/>
        <v/>
      </c>
      <c r="AB61" s="40" t="str">
        <f>IF(OR(L61="",V61=0),"",IF(AND(N(I61)&gt;0,N(INDEX('02-شباط'!$I$2:$I$501,V61))&gt;0,INDEX('02-شباط'!$F$2:$F$501,V61)=F61),N(I61)/N(INDEX('02-شباط'!$I$2:$I$501,V61))-1,""))</f>
        <v/>
      </c>
      <c r="AC61" t="str">
        <f>IF(L61="","",IF(AND($AO$2=1,ISNA(MATCH(L61,'04-نيسان'!$L$2:$L$501,0))),"محذوف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IF(L62="","",IF($AO$1=1,IFERROR(MATCH(L62,'02-شباط'!$L$2:$L$501,0),0),0))</f>
        <v/>
      </c>
      <c r="W62" t="str">
        <f t="shared" si="11"/>
        <v/>
      </c>
      <c r="X62" s="38" t="str">
        <f>IF(L62="","",IF(V62&gt;0,INDEX('02-شباط'!$P$2:$P$501,V62),IF($AO$1=1,0,"")))</f>
        <v/>
      </c>
      <c r="Y62" s="38" t="str">
        <f t="shared" si="12"/>
        <v/>
      </c>
      <c r="Z62" s="39" t="str">
        <f>IF(L62="","",IF(V62&gt;0,INDEX('02-شباط'!$Q$2:$Q$501,V62),IF($AO$1=1,0,"")))</f>
        <v/>
      </c>
      <c r="AA62" s="39" t="str">
        <f t="shared" si="13"/>
        <v/>
      </c>
      <c r="AB62" s="40" t="str">
        <f>IF(OR(L62="",V62=0),"",IF(AND(N(I62)&gt;0,N(INDEX('02-شباط'!$I$2:$I$501,V62))&gt;0,INDEX('02-شباط'!$F$2:$F$501,V62)=F62),N(I62)/N(INDEX('02-شباط'!$I$2:$I$501,V62))-1,""))</f>
        <v/>
      </c>
      <c r="AC62" t="str">
        <f>IF(L62="","",IF(AND($AO$2=1,ISNA(MATCH(L62,'04-نيسان'!$L$2:$L$501,0))),"محذوف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IF(L63="","",IF($AO$1=1,IFERROR(MATCH(L63,'02-شباط'!$L$2:$L$501,0),0),0))</f>
        <v/>
      </c>
      <c r="W63" t="str">
        <f t="shared" si="11"/>
        <v/>
      </c>
      <c r="X63" s="38" t="str">
        <f>IF(L63="","",IF(V63&gt;0,INDEX('02-شباط'!$P$2:$P$501,V63),IF($AO$1=1,0,"")))</f>
        <v/>
      </c>
      <c r="Y63" s="38" t="str">
        <f t="shared" si="12"/>
        <v/>
      </c>
      <c r="Z63" s="39" t="str">
        <f>IF(L63="","",IF(V63&gt;0,INDEX('02-شباط'!$Q$2:$Q$501,V63),IF($AO$1=1,0,"")))</f>
        <v/>
      </c>
      <c r="AA63" s="39" t="str">
        <f t="shared" si="13"/>
        <v/>
      </c>
      <c r="AB63" s="40" t="str">
        <f>IF(OR(L63="",V63=0),"",IF(AND(N(I63)&gt;0,N(INDEX('02-شباط'!$I$2:$I$501,V63))&gt;0,INDEX('02-شباط'!$F$2:$F$501,V63)=F63),N(I63)/N(INDEX('02-شباط'!$I$2:$I$501,V63))-1,""))</f>
        <v/>
      </c>
      <c r="AC63" t="str">
        <f>IF(L63="","",IF(AND($AO$2=1,ISNA(MATCH(L63,'04-نيسان'!$L$2:$L$501,0))),"محذوف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IF(L64="","",IF($AO$1=1,IFERROR(MATCH(L64,'02-شباط'!$L$2:$L$501,0),0),0))</f>
        <v/>
      </c>
      <c r="W64" t="str">
        <f t="shared" si="11"/>
        <v/>
      </c>
      <c r="X64" s="38" t="str">
        <f>IF(L64="","",IF(V64&gt;0,INDEX('02-شباط'!$P$2:$P$501,V64),IF($AO$1=1,0,"")))</f>
        <v/>
      </c>
      <c r="Y64" s="38" t="str">
        <f t="shared" si="12"/>
        <v/>
      </c>
      <c r="Z64" s="39" t="str">
        <f>IF(L64="","",IF(V64&gt;0,INDEX('02-شباط'!$Q$2:$Q$501,V64),IF($AO$1=1,0,"")))</f>
        <v/>
      </c>
      <c r="AA64" s="39" t="str">
        <f t="shared" si="13"/>
        <v/>
      </c>
      <c r="AB64" s="40" t="str">
        <f>IF(OR(L64="",V64=0),"",IF(AND(N(I64)&gt;0,N(INDEX('02-شباط'!$I$2:$I$501,V64))&gt;0,INDEX('02-شباط'!$F$2:$F$501,V64)=F64),N(I64)/N(INDEX('02-شباط'!$I$2:$I$501,V64))-1,""))</f>
        <v/>
      </c>
      <c r="AC64" t="str">
        <f>IF(L64="","",IF(AND($AO$2=1,ISNA(MATCH(L64,'04-نيسان'!$L$2:$L$501,0))),"محذوف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IF(L65="","",IF($AO$1=1,IFERROR(MATCH(L65,'02-شباط'!$L$2:$L$501,0),0),0))</f>
        <v/>
      </c>
      <c r="W65" t="str">
        <f t="shared" si="11"/>
        <v/>
      </c>
      <c r="X65" s="38" t="str">
        <f>IF(L65="","",IF(V65&gt;0,INDEX('02-شباط'!$P$2:$P$501,V65),IF($AO$1=1,0,"")))</f>
        <v/>
      </c>
      <c r="Y65" s="38" t="str">
        <f t="shared" si="12"/>
        <v/>
      </c>
      <c r="Z65" s="39" t="str">
        <f>IF(L65="","",IF(V65&gt;0,INDEX('02-شباط'!$Q$2:$Q$501,V65),IF($AO$1=1,0,"")))</f>
        <v/>
      </c>
      <c r="AA65" s="39" t="str">
        <f t="shared" si="13"/>
        <v/>
      </c>
      <c r="AB65" s="40" t="str">
        <f>IF(OR(L65="",V65=0),"",IF(AND(N(I65)&gt;0,N(INDEX('02-شباط'!$I$2:$I$501,V65))&gt;0,INDEX('02-شباط'!$F$2:$F$501,V65)=F65),N(I65)/N(INDEX('02-شباط'!$I$2:$I$501,V65))-1,""))</f>
        <v/>
      </c>
      <c r="AC65" t="str">
        <f>IF(L65="","",IF(AND($AO$2=1,ISNA(MATCH(L65,'04-نيسان'!$L$2:$L$501,0))),"محذوف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IF(L66="","",IF($AO$1=1,IFERROR(MATCH(L66,'02-شباط'!$L$2:$L$501,0),0),0))</f>
        <v/>
      </c>
      <c r="W66" t="str">
        <f t="shared" ref="W66:W129" si="31">IF(L66="","",IF(AND($AO$1=1,V66=0),"جديد",""))</f>
        <v/>
      </c>
      <c r="X66" s="38" t="str">
        <f>IF(L66="","",IF(V66&gt;0,INDEX('02-شباط'!$P$2:$P$501,V66),IF($AO$1=1,0,"")))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IF(L66="","",IF(V66&gt;0,INDEX('02-شباط'!$Q$2:$Q$501,V66),IF($AO$1=1,0,"")))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IF(OR(L66="",V66=0),"",IF(AND(N(I66)&gt;0,N(INDEX('02-شباط'!$I$2:$I$501,V66))&gt;0,INDEX('02-شباط'!$F$2:$F$501,V66)=F66),N(I66)/N(INDEX('02-شباط'!$I$2:$I$501,V66))-1,""))</f>
        <v/>
      </c>
      <c r="AC66" t="str">
        <f>IF(L66="","",IF(AND($AO$2=1,ISNA(MATCH(L66,'04-نيسان'!$L$2:$L$501,0))),"محذوف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IF(L67="","",IF($AO$1=1,IFERROR(MATCH(L67,'02-شباط'!$L$2:$L$501,0),0),0))</f>
        <v/>
      </c>
      <c r="W67" t="str">
        <f t="shared" si="31"/>
        <v/>
      </c>
      <c r="X67" s="38" t="str">
        <f>IF(L67="","",IF(V67&gt;0,INDEX('02-شباط'!$P$2:$P$501,V67),IF($AO$1=1,0,"")))</f>
        <v/>
      </c>
      <c r="Y67" s="38" t="str">
        <f t="shared" si="32"/>
        <v/>
      </c>
      <c r="Z67" s="39" t="str">
        <f>IF(L67="","",IF(V67&gt;0,INDEX('02-شباط'!$Q$2:$Q$501,V67),IF($AO$1=1,0,"")))</f>
        <v/>
      </c>
      <c r="AA67" s="39" t="str">
        <f t="shared" si="33"/>
        <v/>
      </c>
      <c r="AB67" s="40" t="str">
        <f>IF(OR(L67="",V67=0),"",IF(AND(N(I67)&gt;0,N(INDEX('02-شباط'!$I$2:$I$501,V67))&gt;0,INDEX('02-شباط'!$F$2:$F$501,V67)=F67),N(I67)/N(INDEX('02-شباط'!$I$2:$I$501,V67))-1,""))</f>
        <v/>
      </c>
      <c r="AC67" t="str">
        <f>IF(L67="","",IF(AND($AO$2=1,ISNA(MATCH(L67,'04-نيسان'!$L$2:$L$501,0))),"محذوف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IF(L68="","",IF($AO$1=1,IFERROR(MATCH(L68,'02-شباط'!$L$2:$L$501,0),0),0))</f>
        <v/>
      </c>
      <c r="W68" t="str">
        <f t="shared" si="31"/>
        <v/>
      </c>
      <c r="X68" s="38" t="str">
        <f>IF(L68="","",IF(V68&gt;0,INDEX('02-شباط'!$P$2:$P$501,V68),IF($AO$1=1,0,"")))</f>
        <v/>
      </c>
      <c r="Y68" s="38" t="str">
        <f t="shared" si="32"/>
        <v/>
      </c>
      <c r="Z68" s="39" t="str">
        <f>IF(L68="","",IF(V68&gt;0,INDEX('02-شباط'!$Q$2:$Q$501,V68),IF($AO$1=1,0,"")))</f>
        <v/>
      </c>
      <c r="AA68" s="39" t="str">
        <f t="shared" si="33"/>
        <v/>
      </c>
      <c r="AB68" s="40" t="str">
        <f>IF(OR(L68="",V68=0),"",IF(AND(N(I68)&gt;0,N(INDEX('02-شباط'!$I$2:$I$501,V68))&gt;0,INDEX('02-شباط'!$F$2:$F$501,V68)=F68),N(I68)/N(INDEX('02-شباط'!$I$2:$I$501,V68))-1,""))</f>
        <v/>
      </c>
      <c r="AC68" t="str">
        <f>IF(L68="","",IF(AND($AO$2=1,ISNA(MATCH(L68,'04-نيسان'!$L$2:$L$501,0))),"محذوف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IF(L69="","",IF($AO$1=1,IFERROR(MATCH(L69,'02-شباط'!$L$2:$L$501,0),0),0))</f>
        <v/>
      </c>
      <c r="W69" t="str">
        <f t="shared" si="31"/>
        <v/>
      </c>
      <c r="X69" s="38" t="str">
        <f>IF(L69="","",IF(V69&gt;0,INDEX('02-شباط'!$P$2:$P$501,V69),IF($AO$1=1,0,"")))</f>
        <v/>
      </c>
      <c r="Y69" s="38" t="str">
        <f t="shared" si="32"/>
        <v/>
      </c>
      <c r="Z69" s="39" t="str">
        <f>IF(L69="","",IF(V69&gt;0,INDEX('02-شباط'!$Q$2:$Q$501,V69),IF($AO$1=1,0,"")))</f>
        <v/>
      </c>
      <c r="AA69" s="39" t="str">
        <f t="shared" si="33"/>
        <v/>
      </c>
      <c r="AB69" s="40" t="str">
        <f>IF(OR(L69="",V69=0),"",IF(AND(N(I69)&gt;0,N(INDEX('02-شباط'!$I$2:$I$501,V69))&gt;0,INDEX('02-شباط'!$F$2:$F$501,V69)=F69),N(I69)/N(INDEX('02-شباط'!$I$2:$I$501,V69))-1,""))</f>
        <v/>
      </c>
      <c r="AC69" t="str">
        <f>IF(L69="","",IF(AND($AO$2=1,ISNA(MATCH(L69,'04-نيسان'!$L$2:$L$501,0))),"محذوف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IF(L70="","",IF($AO$1=1,IFERROR(MATCH(L70,'02-شباط'!$L$2:$L$501,0),0),0))</f>
        <v/>
      </c>
      <c r="W70" t="str">
        <f t="shared" si="31"/>
        <v/>
      </c>
      <c r="X70" s="38" t="str">
        <f>IF(L70="","",IF(V70&gt;0,INDEX('02-شباط'!$P$2:$P$501,V70),IF($AO$1=1,0,"")))</f>
        <v/>
      </c>
      <c r="Y70" s="38" t="str">
        <f t="shared" si="32"/>
        <v/>
      </c>
      <c r="Z70" s="39" t="str">
        <f>IF(L70="","",IF(V70&gt;0,INDEX('02-شباط'!$Q$2:$Q$501,V70),IF($AO$1=1,0,"")))</f>
        <v/>
      </c>
      <c r="AA70" s="39" t="str">
        <f t="shared" si="33"/>
        <v/>
      </c>
      <c r="AB70" s="40" t="str">
        <f>IF(OR(L70="",V70=0),"",IF(AND(N(I70)&gt;0,N(INDEX('02-شباط'!$I$2:$I$501,V70))&gt;0,INDEX('02-شباط'!$F$2:$F$501,V70)=F70),N(I70)/N(INDEX('02-شباط'!$I$2:$I$501,V70))-1,""))</f>
        <v/>
      </c>
      <c r="AC70" t="str">
        <f>IF(L70="","",IF(AND($AO$2=1,ISNA(MATCH(L70,'04-نيسان'!$L$2:$L$501,0))),"محذوف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IF(L71="","",IF($AO$1=1,IFERROR(MATCH(L71,'02-شباط'!$L$2:$L$501,0),0),0))</f>
        <v/>
      </c>
      <c r="W71" t="str">
        <f t="shared" si="31"/>
        <v/>
      </c>
      <c r="X71" s="38" t="str">
        <f>IF(L71="","",IF(V71&gt;0,INDEX('02-شباط'!$P$2:$P$501,V71),IF($AO$1=1,0,"")))</f>
        <v/>
      </c>
      <c r="Y71" s="38" t="str">
        <f t="shared" si="32"/>
        <v/>
      </c>
      <c r="Z71" s="39" t="str">
        <f>IF(L71="","",IF(V71&gt;0,INDEX('02-شباط'!$Q$2:$Q$501,V71),IF($AO$1=1,0,"")))</f>
        <v/>
      </c>
      <c r="AA71" s="39" t="str">
        <f t="shared" si="33"/>
        <v/>
      </c>
      <c r="AB71" s="40" t="str">
        <f>IF(OR(L71="",V71=0),"",IF(AND(N(I71)&gt;0,N(INDEX('02-شباط'!$I$2:$I$501,V71))&gt;0,INDEX('02-شباط'!$F$2:$F$501,V71)=F71),N(I71)/N(INDEX('02-شباط'!$I$2:$I$501,V71))-1,""))</f>
        <v/>
      </c>
      <c r="AC71" t="str">
        <f>IF(L71="","",IF(AND($AO$2=1,ISNA(MATCH(L71,'04-نيسان'!$L$2:$L$501,0))),"محذوف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IF(L72="","",IF($AO$1=1,IFERROR(MATCH(L72,'02-شباط'!$L$2:$L$501,0),0),0))</f>
        <v/>
      </c>
      <c r="W72" t="str">
        <f t="shared" si="31"/>
        <v/>
      </c>
      <c r="X72" s="38" t="str">
        <f>IF(L72="","",IF(V72&gt;0,INDEX('02-شباط'!$P$2:$P$501,V72),IF($AO$1=1,0,"")))</f>
        <v/>
      </c>
      <c r="Y72" s="38" t="str">
        <f t="shared" si="32"/>
        <v/>
      </c>
      <c r="Z72" s="39" t="str">
        <f>IF(L72="","",IF(V72&gt;0,INDEX('02-شباط'!$Q$2:$Q$501,V72),IF($AO$1=1,0,"")))</f>
        <v/>
      </c>
      <c r="AA72" s="39" t="str">
        <f t="shared" si="33"/>
        <v/>
      </c>
      <c r="AB72" s="40" t="str">
        <f>IF(OR(L72="",V72=0),"",IF(AND(N(I72)&gt;0,N(INDEX('02-شباط'!$I$2:$I$501,V72))&gt;0,INDEX('02-شباط'!$F$2:$F$501,V72)=F72),N(I72)/N(INDEX('02-شباط'!$I$2:$I$501,V72))-1,""))</f>
        <v/>
      </c>
      <c r="AC72" t="str">
        <f>IF(L72="","",IF(AND($AO$2=1,ISNA(MATCH(L72,'04-نيسان'!$L$2:$L$501,0))),"محذوف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IF(L73="","",IF($AO$1=1,IFERROR(MATCH(L73,'02-شباط'!$L$2:$L$501,0),0),0))</f>
        <v/>
      </c>
      <c r="W73" t="str">
        <f t="shared" si="31"/>
        <v/>
      </c>
      <c r="X73" s="38" t="str">
        <f>IF(L73="","",IF(V73&gt;0,INDEX('02-شباط'!$P$2:$P$501,V73),IF($AO$1=1,0,"")))</f>
        <v/>
      </c>
      <c r="Y73" s="38" t="str">
        <f t="shared" si="32"/>
        <v/>
      </c>
      <c r="Z73" s="39" t="str">
        <f>IF(L73="","",IF(V73&gt;0,INDEX('02-شباط'!$Q$2:$Q$501,V73),IF($AO$1=1,0,"")))</f>
        <v/>
      </c>
      <c r="AA73" s="39" t="str">
        <f t="shared" si="33"/>
        <v/>
      </c>
      <c r="AB73" s="40" t="str">
        <f>IF(OR(L73="",V73=0),"",IF(AND(N(I73)&gt;0,N(INDEX('02-شباط'!$I$2:$I$501,V73))&gt;0,INDEX('02-شباط'!$F$2:$F$501,V73)=F73),N(I73)/N(INDEX('02-شباط'!$I$2:$I$501,V73))-1,""))</f>
        <v/>
      </c>
      <c r="AC73" t="str">
        <f>IF(L73="","",IF(AND($AO$2=1,ISNA(MATCH(L73,'04-نيسان'!$L$2:$L$501,0))),"محذوف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IF(L74="","",IF($AO$1=1,IFERROR(MATCH(L74,'02-شباط'!$L$2:$L$501,0),0),0))</f>
        <v/>
      </c>
      <c r="W74" t="str">
        <f t="shared" si="31"/>
        <v/>
      </c>
      <c r="X74" s="38" t="str">
        <f>IF(L74="","",IF(V74&gt;0,INDEX('02-شباط'!$P$2:$P$501,V74),IF($AO$1=1,0,"")))</f>
        <v/>
      </c>
      <c r="Y74" s="38" t="str">
        <f t="shared" si="32"/>
        <v/>
      </c>
      <c r="Z74" s="39" t="str">
        <f>IF(L74="","",IF(V74&gt;0,INDEX('02-شباط'!$Q$2:$Q$501,V74),IF($AO$1=1,0,"")))</f>
        <v/>
      </c>
      <c r="AA74" s="39" t="str">
        <f t="shared" si="33"/>
        <v/>
      </c>
      <c r="AB74" s="40" t="str">
        <f>IF(OR(L74="",V74=0),"",IF(AND(N(I74)&gt;0,N(INDEX('02-شباط'!$I$2:$I$501,V74))&gt;0,INDEX('02-شباط'!$F$2:$F$501,V74)=F74),N(I74)/N(INDEX('02-شباط'!$I$2:$I$501,V74))-1,""))</f>
        <v/>
      </c>
      <c r="AC74" t="str">
        <f>IF(L74="","",IF(AND($AO$2=1,ISNA(MATCH(L74,'04-نيسان'!$L$2:$L$501,0))),"محذوف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IF(L75="","",IF($AO$1=1,IFERROR(MATCH(L75,'02-شباط'!$L$2:$L$501,0),0),0))</f>
        <v/>
      </c>
      <c r="W75" t="str">
        <f t="shared" si="31"/>
        <v/>
      </c>
      <c r="X75" s="38" t="str">
        <f>IF(L75="","",IF(V75&gt;0,INDEX('02-شباط'!$P$2:$P$501,V75),IF($AO$1=1,0,"")))</f>
        <v/>
      </c>
      <c r="Y75" s="38" t="str">
        <f t="shared" si="32"/>
        <v/>
      </c>
      <c r="Z75" s="39" t="str">
        <f>IF(L75="","",IF(V75&gt;0,INDEX('02-شباط'!$Q$2:$Q$501,V75),IF($AO$1=1,0,"")))</f>
        <v/>
      </c>
      <c r="AA75" s="39" t="str">
        <f t="shared" si="33"/>
        <v/>
      </c>
      <c r="AB75" s="40" t="str">
        <f>IF(OR(L75="",V75=0),"",IF(AND(N(I75)&gt;0,N(INDEX('02-شباط'!$I$2:$I$501,V75))&gt;0,INDEX('02-شباط'!$F$2:$F$501,V75)=F75),N(I75)/N(INDEX('02-شباط'!$I$2:$I$501,V75))-1,""))</f>
        <v/>
      </c>
      <c r="AC75" t="str">
        <f>IF(L75="","",IF(AND($AO$2=1,ISNA(MATCH(L75,'04-نيسان'!$L$2:$L$501,0))),"محذوف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IF(L76="","",IF($AO$1=1,IFERROR(MATCH(L76,'02-شباط'!$L$2:$L$501,0),0),0))</f>
        <v/>
      </c>
      <c r="W76" t="str">
        <f t="shared" si="31"/>
        <v/>
      </c>
      <c r="X76" s="38" t="str">
        <f>IF(L76="","",IF(V76&gt;0,INDEX('02-شباط'!$P$2:$P$501,V76),IF($AO$1=1,0,"")))</f>
        <v/>
      </c>
      <c r="Y76" s="38" t="str">
        <f t="shared" si="32"/>
        <v/>
      </c>
      <c r="Z76" s="39" t="str">
        <f>IF(L76="","",IF(V76&gt;0,INDEX('02-شباط'!$Q$2:$Q$501,V76),IF($AO$1=1,0,"")))</f>
        <v/>
      </c>
      <c r="AA76" s="39" t="str">
        <f t="shared" si="33"/>
        <v/>
      </c>
      <c r="AB76" s="40" t="str">
        <f>IF(OR(L76="",V76=0),"",IF(AND(N(I76)&gt;0,N(INDEX('02-شباط'!$I$2:$I$501,V76))&gt;0,INDEX('02-شباط'!$F$2:$F$501,V76)=F76),N(I76)/N(INDEX('02-شباط'!$I$2:$I$501,V76))-1,""))</f>
        <v/>
      </c>
      <c r="AC76" t="str">
        <f>IF(L76="","",IF(AND($AO$2=1,ISNA(MATCH(L76,'04-نيسان'!$L$2:$L$501,0))),"محذوف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IF(L77="","",IF($AO$1=1,IFERROR(MATCH(L77,'02-شباط'!$L$2:$L$501,0),0),0))</f>
        <v/>
      </c>
      <c r="W77" t="str">
        <f t="shared" si="31"/>
        <v/>
      </c>
      <c r="X77" s="38" t="str">
        <f>IF(L77="","",IF(V77&gt;0,INDEX('02-شباط'!$P$2:$P$501,V77),IF($AO$1=1,0,"")))</f>
        <v/>
      </c>
      <c r="Y77" s="38" t="str">
        <f t="shared" si="32"/>
        <v/>
      </c>
      <c r="Z77" s="39" t="str">
        <f>IF(L77="","",IF(V77&gt;0,INDEX('02-شباط'!$Q$2:$Q$501,V77),IF($AO$1=1,0,"")))</f>
        <v/>
      </c>
      <c r="AA77" s="39" t="str">
        <f t="shared" si="33"/>
        <v/>
      </c>
      <c r="AB77" s="40" t="str">
        <f>IF(OR(L77="",V77=0),"",IF(AND(N(I77)&gt;0,N(INDEX('02-شباط'!$I$2:$I$501,V77))&gt;0,INDEX('02-شباط'!$F$2:$F$501,V77)=F77),N(I77)/N(INDEX('02-شباط'!$I$2:$I$501,V77))-1,""))</f>
        <v/>
      </c>
      <c r="AC77" t="str">
        <f>IF(L77="","",IF(AND($AO$2=1,ISNA(MATCH(L77,'04-نيسان'!$L$2:$L$501,0))),"محذوف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IF(L78="","",IF($AO$1=1,IFERROR(MATCH(L78,'02-شباط'!$L$2:$L$501,0),0),0))</f>
        <v/>
      </c>
      <c r="W78" t="str">
        <f t="shared" si="31"/>
        <v/>
      </c>
      <c r="X78" s="38" t="str">
        <f>IF(L78="","",IF(V78&gt;0,INDEX('02-شباط'!$P$2:$P$501,V78),IF($AO$1=1,0,"")))</f>
        <v/>
      </c>
      <c r="Y78" s="38" t="str">
        <f t="shared" si="32"/>
        <v/>
      </c>
      <c r="Z78" s="39" t="str">
        <f>IF(L78="","",IF(V78&gt;0,INDEX('02-شباط'!$Q$2:$Q$501,V78),IF($AO$1=1,0,"")))</f>
        <v/>
      </c>
      <c r="AA78" s="39" t="str">
        <f t="shared" si="33"/>
        <v/>
      </c>
      <c r="AB78" s="40" t="str">
        <f>IF(OR(L78="",V78=0),"",IF(AND(N(I78)&gt;0,N(INDEX('02-شباط'!$I$2:$I$501,V78))&gt;0,INDEX('02-شباط'!$F$2:$F$501,V78)=F78),N(I78)/N(INDEX('02-شباط'!$I$2:$I$501,V78))-1,""))</f>
        <v/>
      </c>
      <c r="AC78" t="str">
        <f>IF(L78="","",IF(AND($AO$2=1,ISNA(MATCH(L78,'04-نيسان'!$L$2:$L$501,0))),"محذوف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IF(L79="","",IF($AO$1=1,IFERROR(MATCH(L79,'02-شباط'!$L$2:$L$501,0),0),0))</f>
        <v/>
      </c>
      <c r="W79" t="str">
        <f t="shared" si="31"/>
        <v/>
      </c>
      <c r="X79" s="38" t="str">
        <f>IF(L79="","",IF(V79&gt;0,INDEX('02-شباط'!$P$2:$P$501,V79),IF($AO$1=1,0,"")))</f>
        <v/>
      </c>
      <c r="Y79" s="38" t="str">
        <f t="shared" si="32"/>
        <v/>
      </c>
      <c r="Z79" s="39" t="str">
        <f>IF(L79="","",IF(V79&gt;0,INDEX('02-شباط'!$Q$2:$Q$501,V79),IF($AO$1=1,0,"")))</f>
        <v/>
      </c>
      <c r="AA79" s="39" t="str">
        <f t="shared" si="33"/>
        <v/>
      </c>
      <c r="AB79" s="40" t="str">
        <f>IF(OR(L79="",V79=0),"",IF(AND(N(I79)&gt;0,N(INDEX('02-شباط'!$I$2:$I$501,V79))&gt;0,INDEX('02-شباط'!$F$2:$F$501,V79)=F79),N(I79)/N(INDEX('02-شباط'!$I$2:$I$501,V79))-1,""))</f>
        <v/>
      </c>
      <c r="AC79" t="str">
        <f>IF(L79="","",IF(AND($AO$2=1,ISNA(MATCH(L79,'04-نيسان'!$L$2:$L$501,0))),"محذوف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IF(L80="","",IF($AO$1=1,IFERROR(MATCH(L80,'02-شباط'!$L$2:$L$501,0),0),0))</f>
        <v/>
      </c>
      <c r="W80" t="str">
        <f t="shared" si="31"/>
        <v/>
      </c>
      <c r="X80" s="38" t="str">
        <f>IF(L80="","",IF(V80&gt;0,INDEX('02-شباط'!$P$2:$P$501,V80),IF($AO$1=1,0,"")))</f>
        <v/>
      </c>
      <c r="Y80" s="38" t="str">
        <f t="shared" si="32"/>
        <v/>
      </c>
      <c r="Z80" s="39" t="str">
        <f>IF(L80="","",IF(V80&gt;0,INDEX('02-شباط'!$Q$2:$Q$501,V80),IF($AO$1=1,0,"")))</f>
        <v/>
      </c>
      <c r="AA80" s="39" t="str">
        <f t="shared" si="33"/>
        <v/>
      </c>
      <c r="AB80" s="40" t="str">
        <f>IF(OR(L80="",V80=0),"",IF(AND(N(I80)&gt;0,N(INDEX('02-شباط'!$I$2:$I$501,V80))&gt;0,INDEX('02-شباط'!$F$2:$F$501,V80)=F80),N(I80)/N(INDEX('02-شباط'!$I$2:$I$501,V80))-1,""))</f>
        <v/>
      </c>
      <c r="AC80" t="str">
        <f>IF(L80="","",IF(AND($AO$2=1,ISNA(MATCH(L80,'04-نيسان'!$L$2:$L$501,0))),"محذوف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IF(L81="","",IF($AO$1=1,IFERROR(MATCH(L81,'02-شباط'!$L$2:$L$501,0),0),0))</f>
        <v/>
      </c>
      <c r="W81" t="str">
        <f t="shared" si="31"/>
        <v/>
      </c>
      <c r="X81" s="38" t="str">
        <f>IF(L81="","",IF(V81&gt;0,INDEX('02-شباط'!$P$2:$P$501,V81),IF($AO$1=1,0,"")))</f>
        <v/>
      </c>
      <c r="Y81" s="38" t="str">
        <f t="shared" si="32"/>
        <v/>
      </c>
      <c r="Z81" s="39" t="str">
        <f>IF(L81="","",IF(V81&gt;0,INDEX('02-شباط'!$Q$2:$Q$501,V81),IF($AO$1=1,0,"")))</f>
        <v/>
      </c>
      <c r="AA81" s="39" t="str">
        <f t="shared" si="33"/>
        <v/>
      </c>
      <c r="AB81" s="40" t="str">
        <f>IF(OR(L81="",V81=0),"",IF(AND(N(I81)&gt;0,N(INDEX('02-شباط'!$I$2:$I$501,V81))&gt;0,INDEX('02-شباط'!$F$2:$F$501,V81)=F81),N(I81)/N(INDEX('02-شباط'!$I$2:$I$501,V81))-1,""))</f>
        <v/>
      </c>
      <c r="AC81" t="str">
        <f>IF(L81="","",IF(AND($AO$2=1,ISNA(MATCH(L81,'04-نيسان'!$L$2:$L$501,0))),"محذوف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IF(L82="","",IF($AO$1=1,IFERROR(MATCH(L82,'02-شباط'!$L$2:$L$501,0),0),0))</f>
        <v/>
      </c>
      <c r="W82" t="str">
        <f t="shared" si="31"/>
        <v/>
      </c>
      <c r="X82" s="38" t="str">
        <f>IF(L82="","",IF(V82&gt;0,INDEX('02-شباط'!$P$2:$P$501,V82),IF($AO$1=1,0,"")))</f>
        <v/>
      </c>
      <c r="Y82" s="38" t="str">
        <f t="shared" si="32"/>
        <v/>
      </c>
      <c r="Z82" s="39" t="str">
        <f>IF(L82="","",IF(V82&gt;0,INDEX('02-شباط'!$Q$2:$Q$501,V82),IF($AO$1=1,0,"")))</f>
        <v/>
      </c>
      <c r="AA82" s="39" t="str">
        <f t="shared" si="33"/>
        <v/>
      </c>
      <c r="AB82" s="40" t="str">
        <f>IF(OR(L82="",V82=0),"",IF(AND(N(I82)&gt;0,N(INDEX('02-شباط'!$I$2:$I$501,V82))&gt;0,INDEX('02-شباط'!$F$2:$F$501,V82)=F82),N(I82)/N(INDEX('02-شباط'!$I$2:$I$501,V82))-1,""))</f>
        <v/>
      </c>
      <c r="AC82" t="str">
        <f>IF(L82="","",IF(AND($AO$2=1,ISNA(MATCH(L82,'04-نيسان'!$L$2:$L$501,0))),"محذوف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IF(L83="","",IF($AO$1=1,IFERROR(MATCH(L83,'02-شباط'!$L$2:$L$501,0),0),0))</f>
        <v/>
      </c>
      <c r="W83" t="str">
        <f t="shared" si="31"/>
        <v/>
      </c>
      <c r="X83" s="38" t="str">
        <f>IF(L83="","",IF(V83&gt;0,INDEX('02-شباط'!$P$2:$P$501,V83),IF($AO$1=1,0,"")))</f>
        <v/>
      </c>
      <c r="Y83" s="38" t="str">
        <f t="shared" si="32"/>
        <v/>
      </c>
      <c r="Z83" s="39" t="str">
        <f>IF(L83="","",IF(V83&gt;0,INDEX('02-شباط'!$Q$2:$Q$501,V83),IF($AO$1=1,0,"")))</f>
        <v/>
      </c>
      <c r="AA83" s="39" t="str">
        <f t="shared" si="33"/>
        <v/>
      </c>
      <c r="AB83" s="40" t="str">
        <f>IF(OR(L83="",V83=0),"",IF(AND(N(I83)&gt;0,N(INDEX('02-شباط'!$I$2:$I$501,V83))&gt;0,INDEX('02-شباط'!$F$2:$F$501,V83)=F83),N(I83)/N(INDEX('02-شباط'!$I$2:$I$501,V83))-1,""))</f>
        <v/>
      </c>
      <c r="AC83" t="str">
        <f>IF(L83="","",IF(AND($AO$2=1,ISNA(MATCH(L83,'04-نيسان'!$L$2:$L$501,0))),"محذوف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IF(L84="","",IF($AO$1=1,IFERROR(MATCH(L84,'02-شباط'!$L$2:$L$501,0),0),0))</f>
        <v/>
      </c>
      <c r="W84" t="str">
        <f t="shared" si="31"/>
        <v/>
      </c>
      <c r="X84" s="38" t="str">
        <f>IF(L84="","",IF(V84&gt;0,INDEX('02-شباط'!$P$2:$P$501,V84),IF($AO$1=1,0,"")))</f>
        <v/>
      </c>
      <c r="Y84" s="38" t="str">
        <f t="shared" si="32"/>
        <v/>
      </c>
      <c r="Z84" s="39" t="str">
        <f>IF(L84="","",IF(V84&gt;0,INDEX('02-شباط'!$Q$2:$Q$501,V84),IF($AO$1=1,0,"")))</f>
        <v/>
      </c>
      <c r="AA84" s="39" t="str">
        <f t="shared" si="33"/>
        <v/>
      </c>
      <c r="AB84" s="40" t="str">
        <f>IF(OR(L84="",V84=0),"",IF(AND(N(I84)&gt;0,N(INDEX('02-شباط'!$I$2:$I$501,V84))&gt;0,INDEX('02-شباط'!$F$2:$F$501,V84)=F84),N(I84)/N(INDEX('02-شباط'!$I$2:$I$501,V84))-1,""))</f>
        <v/>
      </c>
      <c r="AC84" t="str">
        <f>IF(L84="","",IF(AND($AO$2=1,ISNA(MATCH(L84,'04-نيسان'!$L$2:$L$501,0))),"محذوف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IF(L85="","",IF($AO$1=1,IFERROR(MATCH(L85,'02-شباط'!$L$2:$L$501,0),0),0))</f>
        <v/>
      </c>
      <c r="W85" t="str">
        <f t="shared" si="31"/>
        <v/>
      </c>
      <c r="X85" s="38" t="str">
        <f>IF(L85="","",IF(V85&gt;0,INDEX('02-شباط'!$P$2:$P$501,V85),IF($AO$1=1,0,"")))</f>
        <v/>
      </c>
      <c r="Y85" s="38" t="str">
        <f t="shared" si="32"/>
        <v/>
      </c>
      <c r="Z85" s="39" t="str">
        <f>IF(L85="","",IF(V85&gt;0,INDEX('02-شباط'!$Q$2:$Q$501,V85),IF($AO$1=1,0,"")))</f>
        <v/>
      </c>
      <c r="AA85" s="39" t="str">
        <f t="shared" si="33"/>
        <v/>
      </c>
      <c r="AB85" s="40" t="str">
        <f>IF(OR(L85="",V85=0),"",IF(AND(N(I85)&gt;0,N(INDEX('02-شباط'!$I$2:$I$501,V85))&gt;0,INDEX('02-شباط'!$F$2:$F$501,V85)=F85),N(I85)/N(INDEX('02-شباط'!$I$2:$I$501,V85))-1,""))</f>
        <v/>
      </c>
      <c r="AC85" t="str">
        <f>IF(L85="","",IF(AND($AO$2=1,ISNA(MATCH(L85,'04-نيسان'!$L$2:$L$501,0))),"محذوف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IF(L86="","",IF($AO$1=1,IFERROR(MATCH(L86,'02-شباط'!$L$2:$L$501,0),0),0))</f>
        <v/>
      </c>
      <c r="W86" t="str">
        <f t="shared" si="31"/>
        <v/>
      </c>
      <c r="X86" s="38" t="str">
        <f>IF(L86="","",IF(V86&gt;0,INDEX('02-شباط'!$P$2:$P$501,V86),IF($AO$1=1,0,"")))</f>
        <v/>
      </c>
      <c r="Y86" s="38" t="str">
        <f t="shared" si="32"/>
        <v/>
      </c>
      <c r="Z86" s="39" t="str">
        <f>IF(L86="","",IF(V86&gt;0,INDEX('02-شباط'!$Q$2:$Q$501,V86),IF($AO$1=1,0,"")))</f>
        <v/>
      </c>
      <c r="AA86" s="39" t="str">
        <f t="shared" si="33"/>
        <v/>
      </c>
      <c r="AB86" s="40" t="str">
        <f>IF(OR(L86="",V86=0),"",IF(AND(N(I86)&gt;0,N(INDEX('02-شباط'!$I$2:$I$501,V86))&gt;0,INDEX('02-شباط'!$F$2:$F$501,V86)=F86),N(I86)/N(INDEX('02-شباط'!$I$2:$I$501,V86))-1,""))</f>
        <v/>
      </c>
      <c r="AC86" t="str">
        <f>IF(L86="","",IF(AND($AO$2=1,ISNA(MATCH(L86,'04-نيسان'!$L$2:$L$501,0))),"محذوف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IF(L87="","",IF($AO$1=1,IFERROR(MATCH(L87,'02-شباط'!$L$2:$L$501,0),0),0))</f>
        <v/>
      </c>
      <c r="W87" t="str">
        <f t="shared" si="31"/>
        <v/>
      </c>
      <c r="X87" s="38" t="str">
        <f>IF(L87="","",IF(V87&gt;0,INDEX('02-شباط'!$P$2:$P$501,V87),IF($AO$1=1,0,"")))</f>
        <v/>
      </c>
      <c r="Y87" s="38" t="str">
        <f t="shared" si="32"/>
        <v/>
      </c>
      <c r="Z87" s="39" t="str">
        <f>IF(L87="","",IF(V87&gt;0,INDEX('02-شباط'!$Q$2:$Q$501,V87),IF($AO$1=1,0,"")))</f>
        <v/>
      </c>
      <c r="AA87" s="39" t="str">
        <f t="shared" si="33"/>
        <v/>
      </c>
      <c r="AB87" s="40" t="str">
        <f>IF(OR(L87="",V87=0),"",IF(AND(N(I87)&gt;0,N(INDEX('02-شباط'!$I$2:$I$501,V87))&gt;0,INDEX('02-شباط'!$F$2:$F$501,V87)=F87),N(I87)/N(INDEX('02-شباط'!$I$2:$I$501,V87))-1,""))</f>
        <v/>
      </c>
      <c r="AC87" t="str">
        <f>IF(L87="","",IF(AND($AO$2=1,ISNA(MATCH(L87,'04-نيسان'!$L$2:$L$501,0))),"محذوف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IF(L88="","",IF($AO$1=1,IFERROR(MATCH(L88,'02-شباط'!$L$2:$L$501,0),0),0))</f>
        <v/>
      </c>
      <c r="W88" t="str">
        <f t="shared" si="31"/>
        <v/>
      </c>
      <c r="X88" s="38" t="str">
        <f>IF(L88="","",IF(V88&gt;0,INDEX('02-شباط'!$P$2:$P$501,V88),IF($AO$1=1,0,"")))</f>
        <v/>
      </c>
      <c r="Y88" s="38" t="str">
        <f t="shared" si="32"/>
        <v/>
      </c>
      <c r="Z88" s="39" t="str">
        <f>IF(L88="","",IF(V88&gt;0,INDEX('02-شباط'!$Q$2:$Q$501,V88),IF($AO$1=1,0,"")))</f>
        <v/>
      </c>
      <c r="AA88" s="39" t="str">
        <f t="shared" si="33"/>
        <v/>
      </c>
      <c r="AB88" s="40" t="str">
        <f>IF(OR(L88="",V88=0),"",IF(AND(N(I88)&gt;0,N(INDEX('02-شباط'!$I$2:$I$501,V88))&gt;0,INDEX('02-شباط'!$F$2:$F$501,V88)=F88),N(I88)/N(INDEX('02-شباط'!$I$2:$I$501,V88))-1,""))</f>
        <v/>
      </c>
      <c r="AC88" t="str">
        <f>IF(L88="","",IF(AND($AO$2=1,ISNA(MATCH(L88,'04-نيسان'!$L$2:$L$501,0))),"محذوف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IF(L89="","",IF($AO$1=1,IFERROR(MATCH(L89,'02-شباط'!$L$2:$L$501,0),0),0))</f>
        <v/>
      </c>
      <c r="W89" t="str">
        <f t="shared" si="31"/>
        <v/>
      </c>
      <c r="X89" s="38" t="str">
        <f>IF(L89="","",IF(V89&gt;0,INDEX('02-شباط'!$P$2:$P$501,V89),IF($AO$1=1,0,"")))</f>
        <v/>
      </c>
      <c r="Y89" s="38" t="str">
        <f t="shared" si="32"/>
        <v/>
      </c>
      <c r="Z89" s="39" t="str">
        <f>IF(L89="","",IF(V89&gt;0,INDEX('02-شباط'!$Q$2:$Q$501,V89),IF($AO$1=1,0,"")))</f>
        <v/>
      </c>
      <c r="AA89" s="39" t="str">
        <f t="shared" si="33"/>
        <v/>
      </c>
      <c r="AB89" s="40" t="str">
        <f>IF(OR(L89="",V89=0),"",IF(AND(N(I89)&gt;0,N(INDEX('02-شباط'!$I$2:$I$501,V89))&gt;0,INDEX('02-شباط'!$F$2:$F$501,V89)=F89),N(I89)/N(INDEX('02-شباط'!$I$2:$I$501,V89))-1,""))</f>
        <v/>
      </c>
      <c r="AC89" t="str">
        <f>IF(L89="","",IF(AND($AO$2=1,ISNA(MATCH(L89,'04-نيسان'!$L$2:$L$501,0))),"محذوف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IF(L90="","",IF($AO$1=1,IFERROR(MATCH(L90,'02-شباط'!$L$2:$L$501,0),0),0))</f>
        <v/>
      </c>
      <c r="W90" t="str">
        <f t="shared" si="31"/>
        <v/>
      </c>
      <c r="X90" s="38" t="str">
        <f>IF(L90="","",IF(V90&gt;0,INDEX('02-شباط'!$P$2:$P$501,V90),IF($AO$1=1,0,"")))</f>
        <v/>
      </c>
      <c r="Y90" s="38" t="str">
        <f t="shared" si="32"/>
        <v/>
      </c>
      <c r="Z90" s="39" t="str">
        <f>IF(L90="","",IF(V90&gt;0,INDEX('02-شباط'!$Q$2:$Q$501,V90),IF($AO$1=1,0,"")))</f>
        <v/>
      </c>
      <c r="AA90" s="39" t="str">
        <f t="shared" si="33"/>
        <v/>
      </c>
      <c r="AB90" s="40" t="str">
        <f>IF(OR(L90="",V90=0),"",IF(AND(N(I90)&gt;0,N(INDEX('02-شباط'!$I$2:$I$501,V90))&gt;0,INDEX('02-شباط'!$F$2:$F$501,V90)=F90),N(I90)/N(INDEX('02-شباط'!$I$2:$I$501,V90))-1,""))</f>
        <v/>
      </c>
      <c r="AC90" t="str">
        <f>IF(L90="","",IF(AND($AO$2=1,ISNA(MATCH(L90,'04-نيسان'!$L$2:$L$501,0))),"محذوف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IF(L91="","",IF($AO$1=1,IFERROR(MATCH(L91,'02-شباط'!$L$2:$L$501,0),0),0))</f>
        <v/>
      </c>
      <c r="W91" t="str">
        <f t="shared" si="31"/>
        <v/>
      </c>
      <c r="X91" s="38" t="str">
        <f>IF(L91="","",IF(V91&gt;0,INDEX('02-شباط'!$P$2:$P$501,V91),IF($AO$1=1,0,"")))</f>
        <v/>
      </c>
      <c r="Y91" s="38" t="str">
        <f t="shared" si="32"/>
        <v/>
      </c>
      <c r="Z91" s="39" t="str">
        <f>IF(L91="","",IF(V91&gt;0,INDEX('02-شباط'!$Q$2:$Q$501,V91),IF($AO$1=1,0,"")))</f>
        <v/>
      </c>
      <c r="AA91" s="39" t="str">
        <f t="shared" si="33"/>
        <v/>
      </c>
      <c r="AB91" s="40" t="str">
        <f>IF(OR(L91="",V91=0),"",IF(AND(N(I91)&gt;0,N(INDEX('02-شباط'!$I$2:$I$501,V91))&gt;0,INDEX('02-شباط'!$F$2:$F$501,V91)=F91),N(I91)/N(INDEX('02-شباط'!$I$2:$I$501,V91))-1,""))</f>
        <v/>
      </c>
      <c r="AC91" t="str">
        <f>IF(L91="","",IF(AND($AO$2=1,ISNA(MATCH(L91,'04-نيسان'!$L$2:$L$501,0))),"محذوف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IF(L92="","",IF($AO$1=1,IFERROR(MATCH(L92,'02-شباط'!$L$2:$L$501,0),0),0))</f>
        <v/>
      </c>
      <c r="W92" t="str">
        <f t="shared" si="31"/>
        <v/>
      </c>
      <c r="X92" s="38" t="str">
        <f>IF(L92="","",IF(V92&gt;0,INDEX('02-شباط'!$P$2:$P$501,V92),IF($AO$1=1,0,"")))</f>
        <v/>
      </c>
      <c r="Y92" s="38" t="str">
        <f t="shared" si="32"/>
        <v/>
      </c>
      <c r="Z92" s="39" t="str">
        <f>IF(L92="","",IF(V92&gt;0,INDEX('02-شباط'!$Q$2:$Q$501,V92),IF($AO$1=1,0,"")))</f>
        <v/>
      </c>
      <c r="AA92" s="39" t="str">
        <f t="shared" si="33"/>
        <v/>
      </c>
      <c r="AB92" s="40" t="str">
        <f>IF(OR(L92="",V92=0),"",IF(AND(N(I92)&gt;0,N(INDEX('02-شباط'!$I$2:$I$501,V92))&gt;0,INDEX('02-شباط'!$F$2:$F$501,V92)=F92),N(I92)/N(INDEX('02-شباط'!$I$2:$I$501,V92))-1,""))</f>
        <v/>
      </c>
      <c r="AC92" t="str">
        <f>IF(L92="","",IF(AND($AO$2=1,ISNA(MATCH(L92,'04-نيسان'!$L$2:$L$501,0))),"محذوف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IF(L93="","",IF($AO$1=1,IFERROR(MATCH(L93,'02-شباط'!$L$2:$L$501,0),0),0))</f>
        <v/>
      </c>
      <c r="W93" t="str">
        <f t="shared" si="31"/>
        <v/>
      </c>
      <c r="X93" s="38" t="str">
        <f>IF(L93="","",IF(V93&gt;0,INDEX('02-شباط'!$P$2:$P$501,V93),IF($AO$1=1,0,"")))</f>
        <v/>
      </c>
      <c r="Y93" s="38" t="str">
        <f t="shared" si="32"/>
        <v/>
      </c>
      <c r="Z93" s="39" t="str">
        <f>IF(L93="","",IF(V93&gt;0,INDEX('02-شباط'!$Q$2:$Q$501,V93),IF($AO$1=1,0,"")))</f>
        <v/>
      </c>
      <c r="AA93" s="39" t="str">
        <f t="shared" si="33"/>
        <v/>
      </c>
      <c r="AB93" s="40" t="str">
        <f>IF(OR(L93="",V93=0),"",IF(AND(N(I93)&gt;0,N(INDEX('02-شباط'!$I$2:$I$501,V93))&gt;0,INDEX('02-شباط'!$F$2:$F$501,V93)=F93),N(I93)/N(INDEX('02-شباط'!$I$2:$I$501,V93))-1,""))</f>
        <v/>
      </c>
      <c r="AC93" t="str">
        <f>IF(L93="","",IF(AND($AO$2=1,ISNA(MATCH(L93,'04-نيسان'!$L$2:$L$501,0))),"محذوف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IF(L94="","",IF($AO$1=1,IFERROR(MATCH(L94,'02-شباط'!$L$2:$L$501,0),0),0))</f>
        <v/>
      </c>
      <c r="W94" t="str">
        <f t="shared" si="31"/>
        <v/>
      </c>
      <c r="X94" s="38" t="str">
        <f>IF(L94="","",IF(V94&gt;0,INDEX('02-شباط'!$P$2:$P$501,V94),IF($AO$1=1,0,"")))</f>
        <v/>
      </c>
      <c r="Y94" s="38" t="str">
        <f t="shared" si="32"/>
        <v/>
      </c>
      <c r="Z94" s="39" t="str">
        <f>IF(L94="","",IF(V94&gt;0,INDEX('02-شباط'!$Q$2:$Q$501,V94),IF($AO$1=1,0,"")))</f>
        <v/>
      </c>
      <c r="AA94" s="39" t="str">
        <f t="shared" si="33"/>
        <v/>
      </c>
      <c r="AB94" s="40" t="str">
        <f>IF(OR(L94="",V94=0),"",IF(AND(N(I94)&gt;0,N(INDEX('02-شباط'!$I$2:$I$501,V94))&gt;0,INDEX('02-شباط'!$F$2:$F$501,V94)=F94),N(I94)/N(INDEX('02-شباط'!$I$2:$I$501,V94))-1,""))</f>
        <v/>
      </c>
      <c r="AC94" t="str">
        <f>IF(L94="","",IF(AND($AO$2=1,ISNA(MATCH(L94,'04-نيسان'!$L$2:$L$501,0))),"محذوف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IF(L95="","",IF($AO$1=1,IFERROR(MATCH(L95,'02-شباط'!$L$2:$L$501,0),0),0))</f>
        <v/>
      </c>
      <c r="W95" t="str">
        <f t="shared" si="31"/>
        <v/>
      </c>
      <c r="X95" s="38" t="str">
        <f>IF(L95="","",IF(V95&gt;0,INDEX('02-شباط'!$P$2:$P$501,V95),IF($AO$1=1,0,"")))</f>
        <v/>
      </c>
      <c r="Y95" s="38" t="str">
        <f t="shared" si="32"/>
        <v/>
      </c>
      <c r="Z95" s="39" t="str">
        <f>IF(L95="","",IF(V95&gt;0,INDEX('02-شباط'!$Q$2:$Q$501,V95),IF($AO$1=1,0,"")))</f>
        <v/>
      </c>
      <c r="AA95" s="39" t="str">
        <f t="shared" si="33"/>
        <v/>
      </c>
      <c r="AB95" s="40" t="str">
        <f>IF(OR(L95="",V95=0),"",IF(AND(N(I95)&gt;0,N(INDEX('02-شباط'!$I$2:$I$501,V95))&gt;0,INDEX('02-شباط'!$F$2:$F$501,V95)=F95),N(I95)/N(INDEX('02-شباط'!$I$2:$I$501,V95))-1,""))</f>
        <v/>
      </c>
      <c r="AC95" t="str">
        <f>IF(L95="","",IF(AND($AO$2=1,ISNA(MATCH(L95,'04-نيسان'!$L$2:$L$501,0))),"محذوف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IF(L96="","",IF($AO$1=1,IFERROR(MATCH(L96,'02-شباط'!$L$2:$L$501,0),0),0))</f>
        <v/>
      </c>
      <c r="W96" t="str">
        <f t="shared" si="31"/>
        <v/>
      </c>
      <c r="X96" s="38" t="str">
        <f>IF(L96="","",IF(V96&gt;0,INDEX('02-شباط'!$P$2:$P$501,V96),IF($AO$1=1,0,"")))</f>
        <v/>
      </c>
      <c r="Y96" s="38" t="str">
        <f t="shared" si="32"/>
        <v/>
      </c>
      <c r="Z96" s="39" t="str">
        <f>IF(L96="","",IF(V96&gt;0,INDEX('02-شباط'!$Q$2:$Q$501,V96),IF($AO$1=1,0,"")))</f>
        <v/>
      </c>
      <c r="AA96" s="39" t="str">
        <f t="shared" si="33"/>
        <v/>
      </c>
      <c r="AB96" s="40" t="str">
        <f>IF(OR(L96="",V96=0),"",IF(AND(N(I96)&gt;0,N(INDEX('02-شباط'!$I$2:$I$501,V96))&gt;0,INDEX('02-شباط'!$F$2:$F$501,V96)=F96),N(I96)/N(INDEX('02-شباط'!$I$2:$I$501,V96))-1,""))</f>
        <v/>
      </c>
      <c r="AC96" t="str">
        <f>IF(L96="","",IF(AND($AO$2=1,ISNA(MATCH(L96,'04-نيسان'!$L$2:$L$501,0))),"محذوف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IF(L97="","",IF($AO$1=1,IFERROR(MATCH(L97,'02-شباط'!$L$2:$L$501,0),0),0))</f>
        <v/>
      </c>
      <c r="W97" t="str">
        <f t="shared" si="31"/>
        <v/>
      </c>
      <c r="X97" s="38" t="str">
        <f>IF(L97="","",IF(V97&gt;0,INDEX('02-شباط'!$P$2:$P$501,V97),IF($AO$1=1,0,"")))</f>
        <v/>
      </c>
      <c r="Y97" s="38" t="str">
        <f t="shared" si="32"/>
        <v/>
      </c>
      <c r="Z97" s="39" t="str">
        <f>IF(L97="","",IF(V97&gt;0,INDEX('02-شباط'!$Q$2:$Q$501,V97),IF($AO$1=1,0,"")))</f>
        <v/>
      </c>
      <c r="AA97" s="39" t="str">
        <f t="shared" si="33"/>
        <v/>
      </c>
      <c r="AB97" s="40" t="str">
        <f>IF(OR(L97="",V97=0),"",IF(AND(N(I97)&gt;0,N(INDEX('02-شباط'!$I$2:$I$501,V97))&gt;0,INDEX('02-شباط'!$F$2:$F$501,V97)=F97),N(I97)/N(INDEX('02-شباط'!$I$2:$I$501,V97))-1,""))</f>
        <v/>
      </c>
      <c r="AC97" t="str">
        <f>IF(L97="","",IF(AND($AO$2=1,ISNA(MATCH(L97,'04-نيسان'!$L$2:$L$501,0))),"محذوف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IF(L98="","",IF($AO$1=1,IFERROR(MATCH(L98,'02-شباط'!$L$2:$L$501,0),0),0))</f>
        <v/>
      </c>
      <c r="W98" t="str">
        <f t="shared" si="31"/>
        <v/>
      </c>
      <c r="X98" s="38" t="str">
        <f>IF(L98="","",IF(V98&gt;0,INDEX('02-شباط'!$P$2:$P$501,V98),IF($AO$1=1,0,"")))</f>
        <v/>
      </c>
      <c r="Y98" s="38" t="str">
        <f t="shared" si="32"/>
        <v/>
      </c>
      <c r="Z98" s="39" t="str">
        <f>IF(L98="","",IF(V98&gt;0,INDEX('02-شباط'!$Q$2:$Q$501,V98),IF($AO$1=1,0,"")))</f>
        <v/>
      </c>
      <c r="AA98" s="39" t="str">
        <f t="shared" si="33"/>
        <v/>
      </c>
      <c r="AB98" s="40" t="str">
        <f>IF(OR(L98="",V98=0),"",IF(AND(N(I98)&gt;0,N(INDEX('02-شباط'!$I$2:$I$501,V98))&gt;0,INDEX('02-شباط'!$F$2:$F$501,V98)=F98),N(I98)/N(INDEX('02-شباط'!$I$2:$I$501,V98))-1,""))</f>
        <v/>
      </c>
      <c r="AC98" t="str">
        <f>IF(L98="","",IF(AND($AO$2=1,ISNA(MATCH(L98,'04-نيسان'!$L$2:$L$501,0))),"محذوف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IF(L99="","",IF($AO$1=1,IFERROR(MATCH(L99,'02-شباط'!$L$2:$L$501,0),0),0))</f>
        <v/>
      </c>
      <c r="W99" t="str">
        <f t="shared" si="31"/>
        <v/>
      </c>
      <c r="X99" s="38" t="str">
        <f>IF(L99="","",IF(V99&gt;0,INDEX('02-شباط'!$P$2:$P$501,V99),IF($AO$1=1,0,"")))</f>
        <v/>
      </c>
      <c r="Y99" s="38" t="str">
        <f t="shared" si="32"/>
        <v/>
      </c>
      <c r="Z99" s="39" t="str">
        <f>IF(L99="","",IF(V99&gt;0,INDEX('02-شباط'!$Q$2:$Q$501,V99),IF($AO$1=1,0,"")))</f>
        <v/>
      </c>
      <c r="AA99" s="39" t="str">
        <f t="shared" si="33"/>
        <v/>
      </c>
      <c r="AB99" s="40" t="str">
        <f>IF(OR(L99="",V99=0),"",IF(AND(N(I99)&gt;0,N(INDEX('02-شباط'!$I$2:$I$501,V99))&gt;0,INDEX('02-شباط'!$F$2:$F$501,V99)=F99),N(I99)/N(INDEX('02-شباط'!$I$2:$I$501,V99))-1,""))</f>
        <v/>
      </c>
      <c r="AC99" t="str">
        <f>IF(L99="","",IF(AND($AO$2=1,ISNA(MATCH(L99,'04-نيسان'!$L$2:$L$501,0))),"محذوف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IF(L100="","",IF($AO$1=1,IFERROR(MATCH(L100,'02-شباط'!$L$2:$L$501,0),0),0))</f>
        <v/>
      </c>
      <c r="W100" t="str">
        <f t="shared" si="31"/>
        <v/>
      </c>
      <c r="X100" s="38" t="str">
        <f>IF(L100="","",IF(V100&gt;0,INDEX('02-شباط'!$P$2:$P$501,V100),IF($AO$1=1,0,"")))</f>
        <v/>
      </c>
      <c r="Y100" s="38" t="str">
        <f t="shared" si="32"/>
        <v/>
      </c>
      <c r="Z100" s="39" t="str">
        <f>IF(L100="","",IF(V100&gt;0,INDEX('02-شباط'!$Q$2:$Q$501,V100),IF($AO$1=1,0,"")))</f>
        <v/>
      </c>
      <c r="AA100" s="39" t="str">
        <f t="shared" si="33"/>
        <v/>
      </c>
      <c r="AB100" s="40" t="str">
        <f>IF(OR(L100="",V100=0),"",IF(AND(N(I100)&gt;0,N(INDEX('02-شباط'!$I$2:$I$501,V100))&gt;0,INDEX('02-شباط'!$F$2:$F$501,V100)=F100),N(I100)/N(INDEX('02-شباط'!$I$2:$I$501,V100))-1,""))</f>
        <v/>
      </c>
      <c r="AC100" t="str">
        <f>IF(L100="","",IF(AND($AO$2=1,ISNA(MATCH(L100,'04-نيسان'!$L$2:$L$501,0))),"محذوف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IF(L101="","",IF($AO$1=1,IFERROR(MATCH(L101,'02-شباط'!$L$2:$L$501,0),0),0))</f>
        <v/>
      </c>
      <c r="W101" t="str">
        <f t="shared" si="31"/>
        <v/>
      </c>
      <c r="X101" s="38" t="str">
        <f>IF(L101="","",IF(V101&gt;0,INDEX('02-شباط'!$P$2:$P$501,V101),IF($AO$1=1,0,"")))</f>
        <v/>
      </c>
      <c r="Y101" s="38" t="str">
        <f t="shared" si="32"/>
        <v/>
      </c>
      <c r="Z101" s="39" t="str">
        <f>IF(L101="","",IF(V101&gt;0,INDEX('02-شباط'!$Q$2:$Q$501,V101),IF($AO$1=1,0,"")))</f>
        <v/>
      </c>
      <c r="AA101" s="39" t="str">
        <f t="shared" si="33"/>
        <v/>
      </c>
      <c r="AB101" s="40" t="str">
        <f>IF(OR(L101="",V101=0),"",IF(AND(N(I101)&gt;0,N(INDEX('02-شباط'!$I$2:$I$501,V101))&gt;0,INDEX('02-شباط'!$F$2:$F$501,V101)=F101),N(I101)/N(INDEX('02-شباط'!$I$2:$I$501,V101))-1,""))</f>
        <v/>
      </c>
      <c r="AC101" t="str">
        <f>IF(L101="","",IF(AND($AO$2=1,ISNA(MATCH(L101,'04-نيسان'!$L$2:$L$501,0))),"محذوف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IF(L102="","",IF($AO$1=1,IFERROR(MATCH(L102,'02-شباط'!$L$2:$L$501,0),0),0))</f>
        <v/>
      </c>
      <c r="W102" t="str">
        <f t="shared" si="31"/>
        <v/>
      </c>
      <c r="X102" s="38" t="str">
        <f>IF(L102="","",IF(V102&gt;0,INDEX('02-شباط'!$P$2:$P$501,V102),IF($AO$1=1,0,"")))</f>
        <v/>
      </c>
      <c r="Y102" s="38" t="str">
        <f t="shared" si="32"/>
        <v/>
      </c>
      <c r="Z102" s="39" t="str">
        <f>IF(L102="","",IF(V102&gt;0,INDEX('02-شباط'!$Q$2:$Q$501,V102),IF($AO$1=1,0,"")))</f>
        <v/>
      </c>
      <c r="AA102" s="39" t="str">
        <f t="shared" si="33"/>
        <v/>
      </c>
      <c r="AB102" s="40" t="str">
        <f>IF(OR(L102="",V102=0),"",IF(AND(N(I102)&gt;0,N(INDEX('02-شباط'!$I$2:$I$501,V102))&gt;0,INDEX('02-شباط'!$F$2:$F$501,V102)=F102),N(I102)/N(INDEX('02-شباط'!$I$2:$I$501,V102))-1,""))</f>
        <v/>
      </c>
      <c r="AC102" t="str">
        <f>IF(L102="","",IF(AND($AO$2=1,ISNA(MATCH(L102,'04-نيسان'!$L$2:$L$501,0))),"محذوف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IF(L103="","",IF($AO$1=1,IFERROR(MATCH(L103,'02-شباط'!$L$2:$L$501,0),0),0))</f>
        <v/>
      </c>
      <c r="W103" t="str">
        <f t="shared" si="31"/>
        <v/>
      </c>
      <c r="X103" s="38" t="str">
        <f>IF(L103="","",IF(V103&gt;0,INDEX('02-شباط'!$P$2:$P$501,V103),IF($AO$1=1,0,"")))</f>
        <v/>
      </c>
      <c r="Y103" s="38" t="str">
        <f t="shared" si="32"/>
        <v/>
      </c>
      <c r="Z103" s="39" t="str">
        <f>IF(L103="","",IF(V103&gt;0,INDEX('02-شباط'!$Q$2:$Q$501,V103),IF($AO$1=1,0,"")))</f>
        <v/>
      </c>
      <c r="AA103" s="39" t="str">
        <f t="shared" si="33"/>
        <v/>
      </c>
      <c r="AB103" s="40" t="str">
        <f>IF(OR(L103="",V103=0),"",IF(AND(N(I103)&gt;0,N(INDEX('02-شباط'!$I$2:$I$501,V103))&gt;0,INDEX('02-شباط'!$F$2:$F$501,V103)=F103),N(I103)/N(INDEX('02-شباط'!$I$2:$I$501,V103))-1,""))</f>
        <v/>
      </c>
      <c r="AC103" t="str">
        <f>IF(L103="","",IF(AND($AO$2=1,ISNA(MATCH(L103,'04-نيسان'!$L$2:$L$501,0))),"محذوف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IF(L104="","",IF($AO$1=1,IFERROR(MATCH(L104,'02-شباط'!$L$2:$L$501,0),0),0))</f>
        <v/>
      </c>
      <c r="W104" t="str">
        <f t="shared" si="31"/>
        <v/>
      </c>
      <c r="X104" s="38" t="str">
        <f>IF(L104="","",IF(V104&gt;0,INDEX('02-شباط'!$P$2:$P$501,V104),IF($AO$1=1,0,"")))</f>
        <v/>
      </c>
      <c r="Y104" s="38" t="str">
        <f t="shared" si="32"/>
        <v/>
      </c>
      <c r="Z104" s="39" t="str">
        <f>IF(L104="","",IF(V104&gt;0,INDEX('02-شباط'!$Q$2:$Q$501,V104),IF($AO$1=1,0,"")))</f>
        <v/>
      </c>
      <c r="AA104" s="39" t="str">
        <f t="shared" si="33"/>
        <v/>
      </c>
      <c r="AB104" s="40" t="str">
        <f>IF(OR(L104="",V104=0),"",IF(AND(N(I104)&gt;0,N(INDEX('02-شباط'!$I$2:$I$501,V104))&gt;0,INDEX('02-شباط'!$F$2:$F$501,V104)=F104),N(I104)/N(INDEX('02-شباط'!$I$2:$I$501,V104))-1,""))</f>
        <v/>
      </c>
      <c r="AC104" t="str">
        <f>IF(L104="","",IF(AND($AO$2=1,ISNA(MATCH(L104,'04-نيسان'!$L$2:$L$501,0))),"محذوف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IF(L105="","",IF($AO$1=1,IFERROR(MATCH(L105,'02-شباط'!$L$2:$L$501,0),0),0))</f>
        <v/>
      </c>
      <c r="W105" t="str">
        <f t="shared" si="31"/>
        <v/>
      </c>
      <c r="X105" s="38" t="str">
        <f>IF(L105="","",IF(V105&gt;0,INDEX('02-شباط'!$P$2:$P$501,V105),IF($AO$1=1,0,"")))</f>
        <v/>
      </c>
      <c r="Y105" s="38" t="str">
        <f t="shared" si="32"/>
        <v/>
      </c>
      <c r="Z105" s="39" t="str">
        <f>IF(L105="","",IF(V105&gt;0,INDEX('02-شباط'!$Q$2:$Q$501,V105),IF($AO$1=1,0,"")))</f>
        <v/>
      </c>
      <c r="AA105" s="39" t="str">
        <f t="shared" si="33"/>
        <v/>
      </c>
      <c r="AB105" s="40" t="str">
        <f>IF(OR(L105="",V105=0),"",IF(AND(N(I105)&gt;0,N(INDEX('02-شباط'!$I$2:$I$501,V105))&gt;0,INDEX('02-شباط'!$F$2:$F$501,V105)=F105),N(I105)/N(INDEX('02-شباط'!$I$2:$I$501,V105))-1,""))</f>
        <v/>
      </c>
      <c r="AC105" t="str">
        <f>IF(L105="","",IF(AND($AO$2=1,ISNA(MATCH(L105,'04-نيسان'!$L$2:$L$501,0))),"محذوف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IF(L106="","",IF($AO$1=1,IFERROR(MATCH(L106,'02-شباط'!$L$2:$L$501,0),0),0))</f>
        <v/>
      </c>
      <c r="W106" t="str">
        <f t="shared" si="31"/>
        <v/>
      </c>
      <c r="X106" s="38" t="str">
        <f>IF(L106="","",IF(V106&gt;0,INDEX('02-شباط'!$P$2:$P$501,V106),IF($AO$1=1,0,"")))</f>
        <v/>
      </c>
      <c r="Y106" s="38" t="str">
        <f t="shared" si="32"/>
        <v/>
      </c>
      <c r="Z106" s="39" t="str">
        <f>IF(L106="","",IF(V106&gt;0,INDEX('02-شباط'!$Q$2:$Q$501,V106),IF($AO$1=1,0,"")))</f>
        <v/>
      </c>
      <c r="AA106" s="39" t="str">
        <f t="shared" si="33"/>
        <v/>
      </c>
      <c r="AB106" s="40" t="str">
        <f>IF(OR(L106="",V106=0),"",IF(AND(N(I106)&gt;0,N(INDEX('02-شباط'!$I$2:$I$501,V106))&gt;0,INDEX('02-شباط'!$F$2:$F$501,V106)=F106),N(I106)/N(INDEX('02-شباط'!$I$2:$I$501,V106))-1,""))</f>
        <v/>
      </c>
      <c r="AC106" t="str">
        <f>IF(L106="","",IF(AND($AO$2=1,ISNA(MATCH(L106,'04-نيسان'!$L$2:$L$501,0))),"محذوف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IF(L107="","",IF($AO$1=1,IFERROR(MATCH(L107,'02-شباط'!$L$2:$L$501,0),0),0))</f>
        <v/>
      </c>
      <c r="W107" t="str">
        <f t="shared" si="31"/>
        <v/>
      </c>
      <c r="X107" s="38" t="str">
        <f>IF(L107="","",IF(V107&gt;0,INDEX('02-شباط'!$P$2:$P$501,V107),IF($AO$1=1,0,"")))</f>
        <v/>
      </c>
      <c r="Y107" s="38" t="str">
        <f t="shared" si="32"/>
        <v/>
      </c>
      <c r="Z107" s="39" t="str">
        <f>IF(L107="","",IF(V107&gt;0,INDEX('02-شباط'!$Q$2:$Q$501,V107),IF($AO$1=1,0,"")))</f>
        <v/>
      </c>
      <c r="AA107" s="39" t="str">
        <f t="shared" si="33"/>
        <v/>
      </c>
      <c r="AB107" s="40" t="str">
        <f>IF(OR(L107="",V107=0),"",IF(AND(N(I107)&gt;0,N(INDEX('02-شباط'!$I$2:$I$501,V107))&gt;0,INDEX('02-شباط'!$F$2:$F$501,V107)=F107),N(I107)/N(INDEX('02-شباط'!$I$2:$I$501,V107))-1,""))</f>
        <v/>
      </c>
      <c r="AC107" t="str">
        <f>IF(L107="","",IF(AND($AO$2=1,ISNA(MATCH(L107,'04-نيسان'!$L$2:$L$501,0))),"محذوف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IF(L108="","",IF($AO$1=1,IFERROR(MATCH(L108,'02-شباط'!$L$2:$L$501,0),0),0))</f>
        <v/>
      </c>
      <c r="W108" t="str">
        <f t="shared" si="31"/>
        <v/>
      </c>
      <c r="X108" s="38" t="str">
        <f>IF(L108="","",IF(V108&gt;0,INDEX('02-شباط'!$P$2:$P$501,V108),IF($AO$1=1,0,"")))</f>
        <v/>
      </c>
      <c r="Y108" s="38" t="str">
        <f t="shared" si="32"/>
        <v/>
      </c>
      <c r="Z108" s="39" t="str">
        <f>IF(L108="","",IF(V108&gt;0,INDEX('02-شباط'!$Q$2:$Q$501,V108),IF($AO$1=1,0,"")))</f>
        <v/>
      </c>
      <c r="AA108" s="39" t="str">
        <f t="shared" si="33"/>
        <v/>
      </c>
      <c r="AB108" s="40" t="str">
        <f>IF(OR(L108="",V108=0),"",IF(AND(N(I108)&gt;0,N(INDEX('02-شباط'!$I$2:$I$501,V108))&gt;0,INDEX('02-شباط'!$F$2:$F$501,V108)=F108),N(I108)/N(INDEX('02-شباط'!$I$2:$I$501,V108))-1,""))</f>
        <v/>
      </c>
      <c r="AC108" t="str">
        <f>IF(L108="","",IF(AND($AO$2=1,ISNA(MATCH(L108,'04-نيسان'!$L$2:$L$501,0))),"محذوف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IF(L109="","",IF($AO$1=1,IFERROR(MATCH(L109,'02-شباط'!$L$2:$L$501,0),0),0))</f>
        <v/>
      </c>
      <c r="W109" t="str">
        <f t="shared" si="31"/>
        <v/>
      </c>
      <c r="X109" s="38" t="str">
        <f>IF(L109="","",IF(V109&gt;0,INDEX('02-شباط'!$P$2:$P$501,V109),IF($AO$1=1,0,"")))</f>
        <v/>
      </c>
      <c r="Y109" s="38" t="str">
        <f t="shared" si="32"/>
        <v/>
      </c>
      <c r="Z109" s="39" t="str">
        <f>IF(L109="","",IF(V109&gt;0,INDEX('02-شباط'!$Q$2:$Q$501,V109),IF($AO$1=1,0,"")))</f>
        <v/>
      </c>
      <c r="AA109" s="39" t="str">
        <f t="shared" si="33"/>
        <v/>
      </c>
      <c r="AB109" s="40" t="str">
        <f>IF(OR(L109="",V109=0),"",IF(AND(N(I109)&gt;0,N(INDEX('02-شباط'!$I$2:$I$501,V109))&gt;0,INDEX('02-شباط'!$F$2:$F$501,V109)=F109),N(I109)/N(INDEX('02-شباط'!$I$2:$I$501,V109))-1,""))</f>
        <v/>
      </c>
      <c r="AC109" t="str">
        <f>IF(L109="","",IF(AND($AO$2=1,ISNA(MATCH(L109,'04-نيسان'!$L$2:$L$501,0))),"محذوف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IF(L110="","",IF($AO$1=1,IFERROR(MATCH(L110,'02-شباط'!$L$2:$L$501,0),0),0))</f>
        <v/>
      </c>
      <c r="W110" t="str">
        <f t="shared" si="31"/>
        <v/>
      </c>
      <c r="X110" s="38" t="str">
        <f>IF(L110="","",IF(V110&gt;0,INDEX('02-شباط'!$P$2:$P$501,V110),IF($AO$1=1,0,"")))</f>
        <v/>
      </c>
      <c r="Y110" s="38" t="str">
        <f t="shared" si="32"/>
        <v/>
      </c>
      <c r="Z110" s="39" t="str">
        <f>IF(L110="","",IF(V110&gt;0,INDEX('02-شباط'!$Q$2:$Q$501,V110),IF($AO$1=1,0,"")))</f>
        <v/>
      </c>
      <c r="AA110" s="39" t="str">
        <f t="shared" si="33"/>
        <v/>
      </c>
      <c r="AB110" s="40" t="str">
        <f>IF(OR(L110="",V110=0),"",IF(AND(N(I110)&gt;0,N(INDEX('02-شباط'!$I$2:$I$501,V110))&gt;0,INDEX('02-شباط'!$F$2:$F$501,V110)=F110),N(I110)/N(INDEX('02-شباط'!$I$2:$I$501,V110))-1,""))</f>
        <v/>
      </c>
      <c r="AC110" t="str">
        <f>IF(L110="","",IF(AND($AO$2=1,ISNA(MATCH(L110,'04-نيسان'!$L$2:$L$501,0))),"محذوف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IF(L111="","",IF($AO$1=1,IFERROR(MATCH(L111,'02-شباط'!$L$2:$L$501,0),0),0))</f>
        <v/>
      </c>
      <c r="W111" t="str">
        <f t="shared" si="31"/>
        <v/>
      </c>
      <c r="X111" s="38" t="str">
        <f>IF(L111="","",IF(V111&gt;0,INDEX('02-شباط'!$P$2:$P$501,V111),IF($AO$1=1,0,"")))</f>
        <v/>
      </c>
      <c r="Y111" s="38" t="str">
        <f t="shared" si="32"/>
        <v/>
      </c>
      <c r="Z111" s="39" t="str">
        <f>IF(L111="","",IF(V111&gt;0,INDEX('02-شباط'!$Q$2:$Q$501,V111),IF($AO$1=1,0,"")))</f>
        <v/>
      </c>
      <c r="AA111" s="39" t="str">
        <f t="shared" si="33"/>
        <v/>
      </c>
      <c r="AB111" s="40" t="str">
        <f>IF(OR(L111="",V111=0),"",IF(AND(N(I111)&gt;0,N(INDEX('02-شباط'!$I$2:$I$501,V111))&gt;0,INDEX('02-شباط'!$F$2:$F$501,V111)=F111),N(I111)/N(INDEX('02-شباط'!$I$2:$I$501,V111))-1,""))</f>
        <v/>
      </c>
      <c r="AC111" t="str">
        <f>IF(L111="","",IF(AND($AO$2=1,ISNA(MATCH(L111,'04-نيسان'!$L$2:$L$501,0))),"محذوف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IF(L112="","",IF($AO$1=1,IFERROR(MATCH(L112,'02-شباط'!$L$2:$L$501,0),0),0))</f>
        <v/>
      </c>
      <c r="W112" t="str">
        <f t="shared" si="31"/>
        <v/>
      </c>
      <c r="X112" s="38" t="str">
        <f>IF(L112="","",IF(V112&gt;0,INDEX('02-شباط'!$P$2:$P$501,V112),IF($AO$1=1,0,"")))</f>
        <v/>
      </c>
      <c r="Y112" s="38" t="str">
        <f t="shared" si="32"/>
        <v/>
      </c>
      <c r="Z112" s="39" t="str">
        <f>IF(L112="","",IF(V112&gt;0,INDEX('02-شباط'!$Q$2:$Q$501,V112),IF($AO$1=1,0,"")))</f>
        <v/>
      </c>
      <c r="AA112" s="39" t="str">
        <f t="shared" si="33"/>
        <v/>
      </c>
      <c r="AB112" s="40" t="str">
        <f>IF(OR(L112="",V112=0),"",IF(AND(N(I112)&gt;0,N(INDEX('02-شباط'!$I$2:$I$501,V112))&gt;0,INDEX('02-شباط'!$F$2:$F$501,V112)=F112),N(I112)/N(INDEX('02-شباط'!$I$2:$I$501,V112))-1,""))</f>
        <v/>
      </c>
      <c r="AC112" t="str">
        <f>IF(L112="","",IF(AND($AO$2=1,ISNA(MATCH(L112,'04-نيسان'!$L$2:$L$501,0))),"محذوف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IF(L113="","",IF($AO$1=1,IFERROR(MATCH(L113,'02-شباط'!$L$2:$L$501,0),0),0))</f>
        <v/>
      </c>
      <c r="W113" t="str">
        <f t="shared" si="31"/>
        <v/>
      </c>
      <c r="X113" s="38" t="str">
        <f>IF(L113="","",IF(V113&gt;0,INDEX('02-شباط'!$P$2:$P$501,V113),IF($AO$1=1,0,"")))</f>
        <v/>
      </c>
      <c r="Y113" s="38" t="str">
        <f t="shared" si="32"/>
        <v/>
      </c>
      <c r="Z113" s="39" t="str">
        <f>IF(L113="","",IF(V113&gt;0,INDEX('02-شباط'!$Q$2:$Q$501,V113),IF($AO$1=1,0,"")))</f>
        <v/>
      </c>
      <c r="AA113" s="39" t="str">
        <f t="shared" si="33"/>
        <v/>
      </c>
      <c r="AB113" s="40" t="str">
        <f>IF(OR(L113="",V113=0),"",IF(AND(N(I113)&gt;0,N(INDEX('02-شباط'!$I$2:$I$501,V113))&gt;0,INDEX('02-شباط'!$F$2:$F$501,V113)=F113),N(I113)/N(INDEX('02-شباط'!$I$2:$I$501,V113))-1,""))</f>
        <v/>
      </c>
      <c r="AC113" t="str">
        <f>IF(L113="","",IF(AND($AO$2=1,ISNA(MATCH(L113,'04-نيسان'!$L$2:$L$501,0))),"محذوف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IF(L114="","",IF($AO$1=1,IFERROR(MATCH(L114,'02-شباط'!$L$2:$L$501,0),0),0))</f>
        <v/>
      </c>
      <c r="W114" t="str">
        <f t="shared" si="31"/>
        <v/>
      </c>
      <c r="X114" s="38" t="str">
        <f>IF(L114="","",IF(V114&gt;0,INDEX('02-شباط'!$P$2:$P$501,V114),IF($AO$1=1,0,"")))</f>
        <v/>
      </c>
      <c r="Y114" s="38" t="str">
        <f t="shared" si="32"/>
        <v/>
      </c>
      <c r="Z114" s="39" t="str">
        <f>IF(L114="","",IF(V114&gt;0,INDEX('02-شباط'!$Q$2:$Q$501,V114),IF($AO$1=1,0,"")))</f>
        <v/>
      </c>
      <c r="AA114" s="39" t="str">
        <f t="shared" si="33"/>
        <v/>
      </c>
      <c r="AB114" s="40" t="str">
        <f>IF(OR(L114="",V114=0),"",IF(AND(N(I114)&gt;0,N(INDEX('02-شباط'!$I$2:$I$501,V114))&gt;0,INDEX('02-شباط'!$F$2:$F$501,V114)=F114),N(I114)/N(INDEX('02-شباط'!$I$2:$I$501,V114))-1,""))</f>
        <v/>
      </c>
      <c r="AC114" t="str">
        <f>IF(L114="","",IF(AND($AO$2=1,ISNA(MATCH(L114,'04-نيسان'!$L$2:$L$501,0))),"محذوف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IF(L115="","",IF($AO$1=1,IFERROR(MATCH(L115,'02-شباط'!$L$2:$L$501,0),0),0))</f>
        <v/>
      </c>
      <c r="W115" t="str">
        <f t="shared" si="31"/>
        <v/>
      </c>
      <c r="X115" s="38" t="str">
        <f>IF(L115="","",IF(V115&gt;0,INDEX('02-شباط'!$P$2:$P$501,V115),IF($AO$1=1,0,"")))</f>
        <v/>
      </c>
      <c r="Y115" s="38" t="str">
        <f t="shared" si="32"/>
        <v/>
      </c>
      <c r="Z115" s="39" t="str">
        <f>IF(L115="","",IF(V115&gt;0,INDEX('02-شباط'!$Q$2:$Q$501,V115),IF($AO$1=1,0,"")))</f>
        <v/>
      </c>
      <c r="AA115" s="39" t="str">
        <f t="shared" si="33"/>
        <v/>
      </c>
      <c r="AB115" s="40" t="str">
        <f>IF(OR(L115="",V115=0),"",IF(AND(N(I115)&gt;0,N(INDEX('02-شباط'!$I$2:$I$501,V115))&gt;0,INDEX('02-شباط'!$F$2:$F$501,V115)=F115),N(I115)/N(INDEX('02-شباط'!$I$2:$I$501,V115))-1,""))</f>
        <v/>
      </c>
      <c r="AC115" t="str">
        <f>IF(L115="","",IF(AND($AO$2=1,ISNA(MATCH(L115,'04-نيسان'!$L$2:$L$501,0))),"محذوف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IF(L116="","",IF($AO$1=1,IFERROR(MATCH(L116,'02-شباط'!$L$2:$L$501,0),0),0))</f>
        <v/>
      </c>
      <c r="W116" t="str">
        <f t="shared" si="31"/>
        <v/>
      </c>
      <c r="X116" s="38" t="str">
        <f>IF(L116="","",IF(V116&gt;0,INDEX('02-شباط'!$P$2:$P$501,V116),IF($AO$1=1,0,"")))</f>
        <v/>
      </c>
      <c r="Y116" s="38" t="str">
        <f t="shared" si="32"/>
        <v/>
      </c>
      <c r="Z116" s="39" t="str">
        <f>IF(L116="","",IF(V116&gt;0,INDEX('02-شباط'!$Q$2:$Q$501,V116),IF($AO$1=1,0,"")))</f>
        <v/>
      </c>
      <c r="AA116" s="39" t="str">
        <f t="shared" si="33"/>
        <v/>
      </c>
      <c r="AB116" s="40" t="str">
        <f>IF(OR(L116="",V116=0),"",IF(AND(N(I116)&gt;0,N(INDEX('02-شباط'!$I$2:$I$501,V116))&gt;0,INDEX('02-شباط'!$F$2:$F$501,V116)=F116),N(I116)/N(INDEX('02-شباط'!$I$2:$I$501,V116))-1,""))</f>
        <v/>
      </c>
      <c r="AC116" t="str">
        <f>IF(L116="","",IF(AND($AO$2=1,ISNA(MATCH(L116,'04-نيسان'!$L$2:$L$501,0))),"محذوف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IF(L117="","",IF($AO$1=1,IFERROR(MATCH(L117,'02-شباط'!$L$2:$L$501,0),0),0))</f>
        <v/>
      </c>
      <c r="W117" t="str">
        <f t="shared" si="31"/>
        <v/>
      </c>
      <c r="X117" s="38" t="str">
        <f>IF(L117="","",IF(V117&gt;0,INDEX('02-شباط'!$P$2:$P$501,V117),IF($AO$1=1,0,"")))</f>
        <v/>
      </c>
      <c r="Y117" s="38" t="str">
        <f t="shared" si="32"/>
        <v/>
      </c>
      <c r="Z117" s="39" t="str">
        <f>IF(L117="","",IF(V117&gt;0,INDEX('02-شباط'!$Q$2:$Q$501,V117),IF($AO$1=1,0,"")))</f>
        <v/>
      </c>
      <c r="AA117" s="39" t="str">
        <f t="shared" si="33"/>
        <v/>
      </c>
      <c r="AB117" s="40" t="str">
        <f>IF(OR(L117="",V117=0),"",IF(AND(N(I117)&gt;0,N(INDEX('02-شباط'!$I$2:$I$501,V117))&gt;0,INDEX('02-شباط'!$F$2:$F$501,V117)=F117),N(I117)/N(INDEX('02-شباط'!$I$2:$I$501,V117))-1,""))</f>
        <v/>
      </c>
      <c r="AC117" t="str">
        <f>IF(L117="","",IF(AND($AO$2=1,ISNA(MATCH(L117,'04-نيسان'!$L$2:$L$501,0))),"محذوف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IF(L118="","",IF($AO$1=1,IFERROR(MATCH(L118,'02-شباط'!$L$2:$L$501,0),0),0))</f>
        <v/>
      </c>
      <c r="W118" t="str">
        <f t="shared" si="31"/>
        <v/>
      </c>
      <c r="X118" s="38" t="str">
        <f>IF(L118="","",IF(V118&gt;0,INDEX('02-شباط'!$P$2:$P$501,V118),IF($AO$1=1,0,"")))</f>
        <v/>
      </c>
      <c r="Y118" s="38" t="str">
        <f t="shared" si="32"/>
        <v/>
      </c>
      <c r="Z118" s="39" t="str">
        <f>IF(L118="","",IF(V118&gt;0,INDEX('02-شباط'!$Q$2:$Q$501,V118),IF($AO$1=1,0,"")))</f>
        <v/>
      </c>
      <c r="AA118" s="39" t="str">
        <f t="shared" si="33"/>
        <v/>
      </c>
      <c r="AB118" s="40" t="str">
        <f>IF(OR(L118="",V118=0),"",IF(AND(N(I118)&gt;0,N(INDEX('02-شباط'!$I$2:$I$501,V118))&gt;0,INDEX('02-شباط'!$F$2:$F$501,V118)=F118),N(I118)/N(INDEX('02-شباط'!$I$2:$I$501,V118))-1,""))</f>
        <v/>
      </c>
      <c r="AC118" t="str">
        <f>IF(L118="","",IF(AND($AO$2=1,ISNA(MATCH(L118,'04-نيسان'!$L$2:$L$501,0))),"محذوف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IF(L119="","",IF($AO$1=1,IFERROR(MATCH(L119,'02-شباط'!$L$2:$L$501,0),0),0))</f>
        <v/>
      </c>
      <c r="W119" t="str">
        <f t="shared" si="31"/>
        <v/>
      </c>
      <c r="X119" s="38" t="str">
        <f>IF(L119="","",IF(V119&gt;0,INDEX('02-شباط'!$P$2:$P$501,V119),IF($AO$1=1,0,"")))</f>
        <v/>
      </c>
      <c r="Y119" s="38" t="str">
        <f t="shared" si="32"/>
        <v/>
      </c>
      <c r="Z119" s="39" t="str">
        <f>IF(L119="","",IF(V119&gt;0,INDEX('02-شباط'!$Q$2:$Q$501,V119),IF($AO$1=1,0,"")))</f>
        <v/>
      </c>
      <c r="AA119" s="39" t="str">
        <f t="shared" si="33"/>
        <v/>
      </c>
      <c r="AB119" s="40" t="str">
        <f>IF(OR(L119="",V119=0),"",IF(AND(N(I119)&gt;0,N(INDEX('02-شباط'!$I$2:$I$501,V119))&gt;0,INDEX('02-شباط'!$F$2:$F$501,V119)=F119),N(I119)/N(INDEX('02-شباط'!$I$2:$I$501,V119))-1,""))</f>
        <v/>
      </c>
      <c r="AC119" t="str">
        <f>IF(L119="","",IF(AND($AO$2=1,ISNA(MATCH(L119,'04-نيسان'!$L$2:$L$501,0))),"محذوف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IF(L120="","",IF($AO$1=1,IFERROR(MATCH(L120,'02-شباط'!$L$2:$L$501,0),0),0))</f>
        <v/>
      </c>
      <c r="W120" t="str">
        <f t="shared" si="31"/>
        <v/>
      </c>
      <c r="X120" s="38" t="str">
        <f>IF(L120="","",IF(V120&gt;0,INDEX('02-شباط'!$P$2:$P$501,V120),IF($AO$1=1,0,"")))</f>
        <v/>
      </c>
      <c r="Y120" s="38" t="str">
        <f t="shared" si="32"/>
        <v/>
      </c>
      <c r="Z120" s="39" t="str">
        <f>IF(L120="","",IF(V120&gt;0,INDEX('02-شباط'!$Q$2:$Q$501,V120),IF($AO$1=1,0,"")))</f>
        <v/>
      </c>
      <c r="AA120" s="39" t="str">
        <f t="shared" si="33"/>
        <v/>
      </c>
      <c r="AB120" s="40" t="str">
        <f>IF(OR(L120="",V120=0),"",IF(AND(N(I120)&gt;0,N(INDEX('02-شباط'!$I$2:$I$501,V120))&gt;0,INDEX('02-شباط'!$F$2:$F$501,V120)=F120),N(I120)/N(INDEX('02-شباط'!$I$2:$I$501,V120))-1,""))</f>
        <v/>
      </c>
      <c r="AC120" t="str">
        <f>IF(L120="","",IF(AND($AO$2=1,ISNA(MATCH(L120,'04-نيسان'!$L$2:$L$501,0))),"محذوف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IF(L121="","",IF($AO$1=1,IFERROR(MATCH(L121,'02-شباط'!$L$2:$L$501,0),0),0))</f>
        <v/>
      </c>
      <c r="W121" t="str">
        <f t="shared" si="31"/>
        <v/>
      </c>
      <c r="X121" s="38" t="str">
        <f>IF(L121="","",IF(V121&gt;0,INDEX('02-شباط'!$P$2:$P$501,V121),IF($AO$1=1,0,"")))</f>
        <v/>
      </c>
      <c r="Y121" s="38" t="str">
        <f t="shared" si="32"/>
        <v/>
      </c>
      <c r="Z121" s="39" t="str">
        <f>IF(L121="","",IF(V121&gt;0,INDEX('02-شباط'!$Q$2:$Q$501,V121),IF($AO$1=1,0,"")))</f>
        <v/>
      </c>
      <c r="AA121" s="39" t="str">
        <f t="shared" si="33"/>
        <v/>
      </c>
      <c r="AB121" s="40" t="str">
        <f>IF(OR(L121="",V121=0),"",IF(AND(N(I121)&gt;0,N(INDEX('02-شباط'!$I$2:$I$501,V121))&gt;0,INDEX('02-شباط'!$F$2:$F$501,V121)=F121),N(I121)/N(INDEX('02-شباط'!$I$2:$I$501,V121))-1,""))</f>
        <v/>
      </c>
      <c r="AC121" t="str">
        <f>IF(L121="","",IF(AND($AO$2=1,ISNA(MATCH(L121,'04-نيسان'!$L$2:$L$501,0))),"محذوف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IF(L122="","",IF($AO$1=1,IFERROR(MATCH(L122,'02-شباط'!$L$2:$L$501,0),0),0))</f>
        <v/>
      </c>
      <c r="W122" t="str">
        <f t="shared" si="31"/>
        <v/>
      </c>
      <c r="X122" s="38" t="str">
        <f>IF(L122="","",IF(V122&gt;0,INDEX('02-شباط'!$P$2:$P$501,V122),IF($AO$1=1,0,"")))</f>
        <v/>
      </c>
      <c r="Y122" s="38" t="str">
        <f t="shared" si="32"/>
        <v/>
      </c>
      <c r="Z122" s="39" t="str">
        <f>IF(L122="","",IF(V122&gt;0,INDEX('02-شباط'!$Q$2:$Q$501,V122),IF($AO$1=1,0,"")))</f>
        <v/>
      </c>
      <c r="AA122" s="39" t="str">
        <f t="shared" si="33"/>
        <v/>
      </c>
      <c r="AB122" s="40" t="str">
        <f>IF(OR(L122="",V122=0),"",IF(AND(N(I122)&gt;0,N(INDEX('02-شباط'!$I$2:$I$501,V122))&gt;0,INDEX('02-شباط'!$F$2:$F$501,V122)=F122),N(I122)/N(INDEX('02-شباط'!$I$2:$I$501,V122))-1,""))</f>
        <v/>
      </c>
      <c r="AC122" t="str">
        <f>IF(L122="","",IF(AND($AO$2=1,ISNA(MATCH(L122,'04-نيسان'!$L$2:$L$501,0))),"محذوف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IF(L123="","",IF($AO$1=1,IFERROR(MATCH(L123,'02-شباط'!$L$2:$L$501,0),0),0))</f>
        <v/>
      </c>
      <c r="W123" t="str">
        <f t="shared" si="31"/>
        <v/>
      </c>
      <c r="X123" s="38" t="str">
        <f>IF(L123="","",IF(V123&gt;0,INDEX('02-شباط'!$P$2:$P$501,V123),IF($AO$1=1,0,"")))</f>
        <v/>
      </c>
      <c r="Y123" s="38" t="str">
        <f t="shared" si="32"/>
        <v/>
      </c>
      <c r="Z123" s="39" t="str">
        <f>IF(L123="","",IF(V123&gt;0,INDEX('02-شباط'!$Q$2:$Q$501,V123),IF($AO$1=1,0,"")))</f>
        <v/>
      </c>
      <c r="AA123" s="39" t="str">
        <f t="shared" si="33"/>
        <v/>
      </c>
      <c r="AB123" s="40" t="str">
        <f>IF(OR(L123="",V123=0),"",IF(AND(N(I123)&gt;0,N(INDEX('02-شباط'!$I$2:$I$501,V123))&gt;0,INDEX('02-شباط'!$F$2:$F$501,V123)=F123),N(I123)/N(INDEX('02-شباط'!$I$2:$I$501,V123))-1,""))</f>
        <v/>
      </c>
      <c r="AC123" t="str">
        <f>IF(L123="","",IF(AND($AO$2=1,ISNA(MATCH(L123,'04-نيسان'!$L$2:$L$501,0))),"محذوف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IF(L124="","",IF($AO$1=1,IFERROR(MATCH(L124,'02-شباط'!$L$2:$L$501,0),0),0))</f>
        <v/>
      </c>
      <c r="W124" t="str">
        <f t="shared" si="31"/>
        <v/>
      </c>
      <c r="X124" s="38" t="str">
        <f>IF(L124="","",IF(V124&gt;0,INDEX('02-شباط'!$P$2:$P$501,V124),IF($AO$1=1,0,"")))</f>
        <v/>
      </c>
      <c r="Y124" s="38" t="str">
        <f t="shared" si="32"/>
        <v/>
      </c>
      <c r="Z124" s="39" t="str">
        <f>IF(L124="","",IF(V124&gt;0,INDEX('02-شباط'!$Q$2:$Q$501,V124),IF($AO$1=1,0,"")))</f>
        <v/>
      </c>
      <c r="AA124" s="39" t="str">
        <f t="shared" si="33"/>
        <v/>
      </c>
      <c r="AB124" s="40" t="str">
        <f>IF(OR(L124="",V124=0),"",IF(AND(N(I124)&gt;0,N(INDEX('02-شباط'!$I$2:$I$501,V124))&gt;0,INDEX('02-شباط'!$F$2:$F$501,V124)=F124),N(I124)/N(INDEX('02-شباط'!$I$2:$I$501,V124))-1,""))</f>
        <v/>
      </c>
      <c r="AC124" t="str">
        <f>IF(L124="","",IF(AND($AO$2=1,ISNA(MATCH(L124,'04-نيسان'!$L$2:$L$501,0))),"محذوف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IF(L125="","",IF($AO$1=1,IFERROR(MATCH(L125,'02-شباط'!$L$2:$L$501,0),0),0))</f>
        <v/>
      </c>
      <c r="W125" t="str">
        <f t="shared" si="31"/>
        <v/>
      </c>
      <c r="X125" s="38" t="str">
        <f>IF(L125="","",IF(V125&gt;0,INDEX('02-شباط'!$P$2:$P$501,V125),IF($AO$1=1,0,"")))</f>
        <v/>
      </c>
      <c r="Y125" s="38" t="str">
        <f t="shared" si="32"/>
        <v/>
      </c>
      <c r="Z125" s="39" t="str">
        <f>IF(L125="","",IF(V125&gt;0,INDEX('02-شباط'!$Q$2:$Q$501,V125),IF($AO$1=1,0,"")))</f>
        <v/>
      </c>
      <c r="AA125" s="39" t="str">
        <f t="shared" si="33"/>
        <v/>
      </c>
      <c r="AB125" s="40" t="str">
        <f>IF(OR(L125="",V125=0),"",IF(AND(N(I125)&gt;0,N(INDEX('02-شباط'!$I$2:$I$501,V125))&gt;0,INDEX('02-شباط'!$F$2:$F$501,V125)=F125),N(I125)/N(INDEX('02-شباط'!$I$2:$I$501,V125))-1,""))</f>
        <v/>
      </c>
      <c r="AC125" t="str">
        <f>IF(L125="","",IF(AND($AO$2=1,ISNA(MATCH(L125,'04-نيسان'!$L$2:$L$501,0))),"محذوف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IF(L126="","",IF($AO$1=1,IFERROR(MATCH(L126,'02-شباط'!$L$2:$L$501,0),0),0))</f>
        <v/>
      </c>
      <c r="W126" t="str">
        <f t="shared" si="31"/>
        <v/>
      </c>
      <c r="X126" s="38" t="str">
        <f>IF(L126="","",IF(V126&gt;0,INDEX('02-شباط'!$P$2:$P$501,V126),IF($AO$1=1,0,"")))</f>
        <v/>
      </c>
      <c r="Y126" s="38" t="str">
        <f t="shared" si="32"/>
        <v/>
      </c>
      <c r="Z126" s="39" t="str">
        <f>IF(L126="","",IF(V126&gt;0,INDEX('02-شباط'!$Q$2:$Q$501,V126),IF($AO$1=1,0,"")))</f>
        <v/>
      </c>
      <c r="AA126" s="39" t="str">
        <f t="shared" si="33"/>
        <v/>
      </c>
      <c r="AB126" s="40" t="str">
        <f>IF(OR(L126="",V126=0),"",IF(AND(N(I126)&gt;0,N(INDEX('02-شباط'!$I$2:$I$501,V126))&gt;0,INDEX('02-شباط'!$F$2:$F$501,V126)=F126),N(I126)/N(INDEX('02-شباط'!$I$2:$I$501,V126))-1,""))</f>
        <v/>
      </c>
      <c r="AC126" t="str">
        <f>IF(L126="","",IF(AND($AO$2=1,ISNA(MATCH(L126,'04-نيسان'!$L$2:$L$501,0))),"محذوف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IF(L127="","",IF($AO$1=1,IFERROR(MATCH(L127,'02-شباط'!$L$2:$L$501,0),0),0))</f>
        <v/>
      </c>
      <c r="W127" t="str">
        <f t="shared" si="31"/>
        <v/>
      </c>
      <c r="X127" s="38" t="str">
        <f>IF(L127="","",IF(V127&gt;0,INDEX('02-شباط'!$P$2:$P$501,V127),IF($AO$1=1,0,"")))</f>
        <v/>
      </c>
      <c r="Y127" s="38" t="str">
        <f t="shared" si="32"/>
        <v/>
      </c>
      <c r="Z127" s="39" t="str">
        <f>IF(L127="","",IF(V127&gt;0,INDEX('02-شباط'!$Q$2:$Q$501,V127),IF($AO$1=1,0,"")))</f>
        <v/>
      </c>
      <c r="AA127" s="39" t="str">
        <f t="shared" si="33"/>
        <v/>
      </c>
      <c r="AB127" s="40" t="str">
        <f>IF(OR(L127="",V127=0),"",IF(AND(N(I127)&gt;0,N(INDEX('02-شباط'!$I$2:$I$501,V127))&gt;0,INDEX('02-شباط'!$F$2:$F$501,V127)=F127),N(I127)/N(INDEX('02-شباط'!$I$2:$I$501,V127))-1,""))</f>
        <v/>
      </c>
      <c r="AC127" t="str">
        <f>IF(L127="","",IF(AND($AO$2=1,ISNA(MATCH(L127,'04-نيسان'!$L$2:$L$501,0))),"محذوف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IF(L128="","",IF($AO$1=1,IFERROR(MATCH(L128,'02-شباط'!$L$2:$L$501,0),0),0))</f>
        <v/>
      </c>
      <c r="W128" t="str">
        <f t="shared" si="31"/>
        <v/>
      </c>
      <c r="X128" s="38" t="str">
        <f>IF(L128="","",IF(V128&gt;0,INDEX('02-شباط'!$P$2:$P$501,V128),IF($AO$1=1,0,"")))</f>
        <v/>
      </c>
      <c r="Y128" s="38" t="str">
        <f t="shared" si="32"/>
        <v/>
      </c>
      <c r="Z128" s="39" t="str">
        <f>IF(L128="","",IF(V128&gt;0,INDEX('02-شباط'!$Q$2:$Q$501,V128),IF($AO$1=1,0,"")))</f>
        <v/>
      </c>
      <c r="AA128" s="39" t="str">
        <f t="shared" si="33"/>
        <v/>
      </c>
      <c r="AB128" s="40" t="str">
        <f>IF(OR(L128="",V128=0),"",IF(AND(N(I128)&gt;0,N(INDEX('02-شباط'!$I$2:$I$501,V128))&gt;0,INDEX('02-شباط'!$F$2:$F$501,V128)=F128),N(I128)/N(INDEX('02-شباط'!$I$2:$I$501,V128))-1,""))</f>
        <v/>
      </c>
      <c r="AC128" t="str">
        <f>IF(L128="","",IF(AND($AO$2=1,ISNA(MATCH(L128,'04-نيسان'!$L$2:$L$501,0))),"محذوف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IF(L129="","",IF($AO$1=1,IFERROR(MATCH(L129,'02-شباط'!$L$2:$L$501,0),0),0))</f>
        <v/>
      </c>
      <c r="W129" t="str">
        <f t="shared" si="31"/>
        <v/>
      </c>
      <c r="X129" s="38" t="str">
        <f>IF(L129="","",IF(V129&gt;0,INDEX('02-شباط'!$P$2:$P$501,V129),IF($AO$1=1,0,"")))</f>
        <v/>
      </c>
      <c r="Y129" s="38" t="str">
        <f t="shared" si="32"/>
        <v/>
      </c>
      <c r="Z129" s="39" t="str">
        <f>IF(L129="","",IF(V129&gt;0,INDEX('02-شباط'!$Q$2:$Q$501,V129),IF($AO$1=1,0,"")))</f>
        <v/>
      </c>
      <c r="AA129" s="39" t="str">
        <f t="shared" si="33"/>
        <v/>
      </c>
      <c r="AB129" s="40" t="str">
        <f>IF(OR(L129="",V129=0),"",IF(AND(N(I129)&gt;0,N(INDEX('02-شباط'!$I$2:$I$501,V129))&gt;0,INDEX('02-شباط'!$F$2:$F$501,V129)=F129),N(I129)/N(INDEX('02-شباط'!$I$2:$I$501,V129))-1,""))</f>
        <v/>
      </c>
      <c r="AC129" t="str">
        <f>IF(L129="","",IF(AND($AO$2=1,ISNA(MATCH(L129,'04-نيسان'!$L$2:$L$501,0))),"محذوف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IF(L130="","",IF($AO$1=1,IFERROR(MATCH(L130,'02-شباط'!$L$2:$L$501,0),0),0))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IF(L130="","",IF(V130&gt;0,INDEX('02-شباط'!$P$2:$P$501,V130),IF($AO$1=1,0,"")))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IF(L130="","",IF(V130&gt;0,INDEX('02-شباط'!$Q$2:$Q$501,V130),IF($AO$1=1,0,"")))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IF(OR(L130="",V130=0),"",IF(AND(N(I130)&gt;0,N(INDEX('02-شباط'!$I$2:$I$501,V130))&gt;0,INDEX('02-شباط'!$F$2:$F$501,V130)=F130),N(I130)/N(INDEX('02-شباط'!$I$2:$I$501,V130))-1,""))</f>
        <v/>
      </c>
      <c r="AC130" t="str">
        <f>IF(L130="","",IF(AND($AO$2=1,ISNA(MATCH(L130,'04-نيسان'!$L$2:$L$501,0))),"محذوف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IF(L131="","",IF($AO$1=1,IFERROR(MATCH(L131,'02-شباط'!$L$2:$L$501,0),0),0))</f>
        <v/>
      </c>
      <c r="W131" t="str">
        <f t="shared" si="51"/>
        <v/>
      </c>
      <c r="X131" s="38" t="str">
        <f>IF(L131="","",IF(V131&gt;0,INDEX('02-شباط'!$P$2:$P$501,V131),IF($AO$1=1,0,"")))</f>
        <v/>
      </c>
      <c r="Y131" s="38" t="str">
        <f t="shared" si="52"/>
        <v/>
      </c>
      <c r="Z131" s="39" t="str">
        <f>IF(L131="","",IF(V131&gt;0,INDEX('02-شباط'!$Q$2:$Q$501,V131),IF($AO$1=1,0,"")))</f>
        <v/>
      </c>
      <c r="AA131" s="39" t="str">
        <f t="shared" si="53"/>
        <v/>
      </c>
      <c r="AB131" s="40" t="str">
        <f>IF(OR(L131="",V131=0),"",IF(AND(N(I131)&gt;0,N(INDEX('02-شباط'!$I$2:$I$501,V131))&gt;0,INDEX('02-شباط'!$F$2:$F$501,V131)=F131),N(I131)/N(INDEX('02-شباط'!$I$2:$I$501,V131))-1,""))</f>
        <v/>
      </c>
      <c r="AC131" t="str">
        <f>IF(L131="","",IF(AND($AO$2=1,ISNA(MATCH(L131,'04-نيسان'!$L$2:$L$501,0))),"محذوف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IF(L132="","",IF($AO$1=1,IFERROR(MATCH(L132,'02-شباط'!$L$2:$L$501,0),0),0))</f>
        <v/>
      </c>
      <c r="W132" t="str">
        <f t="shared" si="51"/>
        <v/>
      </c>
      <c r="X132" s="38" t="str">
        <f>IF(L132="","",IF(V132&gt;0,INDEX('02-شباط'!$P$2:$P$501,V132),IF($AO$1=1,0,"")))</f>
        <v/>
      </c>
      <c r="Y132" s="38" t="str">
        <f t="shared" si="52"/>
        <v/>
      </c>
      <c r="Z132" s="39" t="str">
        <f>IF(L132="","",IF(V132&gt;0,INDEX('02-شباط'!$Q$2:$Q$501,V132),IF($AO$1=1,0,"")))</f>
        <v/>
      </c>
      <c r="AA132" s="39" t="str">
        <f t="shared" si="53"/>
        <v/>
      </c>
      <c r="AB132" s="40" t="str">
        <f>IF(OR(L132="",V132=0),"",IF(AND(N(I132)&gt;0,N(INDEX('02-شباط'!$I$2:$I$501,V132))&gt;0,INDEX('02-شباط'!$F$2:$F$501,V132)=F132),N(I132)/N(INDEX('02-شباط'!$I$2:$I$501,V132))-1,""))</f>
        <v/>
      </c>
      <c r="AC132" t="str">
        <f>IF(L132="","",IF(AND($AO$2=1,ISNA(MATCH(L132,'04-نيسان'!$L$2:$L$501,0))),"محذوف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IF(L133="","",IF($AO$1=1,IFERROR(MATCH(L133,'02-شباط'!$L$2:$L$501,0),0),0))</f>
        <v/>
      </c>
      <c r="W133" t="str">
        <f t="shared" si="51"/>
        <v/>
      </c>
      <c r="X133" s="38" t="str">
        <f>IF(L133="","",IF(V133&gt;0,INDEX('02-شباط'!$P$2:$P$501,V133),IF($AO$1=1,0,"")))</f>
        <v/>
      </c>
      <c r="Y133" s="38" t="str">
        <f t="shared" si="52"/>
        <v/>
      </c>
      <c r="Z133" s="39" t="str">
        <f>IF(L133="","",IF(V133&gt;0,INDEX('02-شباط'!$Q$2:$Q$501,V133),IF($AO$1=1,0,"")))</f>
        <v/>
      </c>
      <c r="AA133" s="39" t="str">
        <f t="shared" si="53"/>
        <v/>
      </c>
      <c r="AB133" s="40" t="str">
        <f>IF(OR(L133="",V133=0),"",IF(AND(N(I133)&gt;0,N(INDEX('02-شباط'!$I$2:$I$501,V133))&gt;0,INDEX('02-شباط'!$F$2:$F$501,V133)=F133),N(I133)/N(INDEX('02-شباط'!$I$2:$I$501,V133))-1,""))</f>
        <v/>
      </c>
      <c r="AC133" t="str">
        <f>IF(L133="","",IF(AND($AO$2=1,ISNA(MATCH(L133,'04-نيسان'!$L$2:$L$501,0))),"محذوف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IF(L134="","",IF($AO$1=1,IFERROR(MATCH(L134,'02-شباط'!$L$2:$L$501,0),0),0))</f>
        <v/>
      </c>
      <c r="W134" t="str">
        <f t="shared" si="51"/>
        <v/>
      </c>
      <c r="X134" s="38" t="str">
        <f>IF(L134="","",IF(V134&gt;0,INDEX('02-شباط'!$P$2:$P$501,V134),IF($AO$1=1,0,"")))</f>
        <v/>
      </c>
      <c r="Y134" s="38" t="str">
        <f t="shared" si="52"/>
        <v/>
      </c>
      <c r="Z134" s="39" t="str">
        <f>IF(L134="","",IF(V134&gt;0,INDEX('02-شباط'!$Q$2:$Q$501,V134),IF($AO$1=1,0,"")))</f>
        <v/>
      </c>
      <c r="AA134" s="39" t="str">
        <f t="shared" si="53"/>
        <v/>
      </c>
      <c r="AB134" s="40" t="str">
        <f>IF(OR(L134="",V134=0),"",IF(AND(N(I134)&gt;0,N(INDEX('02-شباط'!$I$2:$I$501,V134))&gt;0,INDEX('02-شباط'!$F$2:$F$501,V134)=F134),N(I134)/N(INDEX('02-شباط'!$I$2:$I$501,V134))-1,""))</f>
        <v/>
      </c>
      <c r="AC134" t="str">
        <f>IF(L134="","",IF(AND($AO$2=1,ISNA(MATCH(L134,'04-نيسان'!$L$2:$L$501,0))),"محذوف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IF(L135="","",IF($AO$1=1,IFERROR(MATCH(L135,'02-شباط'!$L$2:$L$501,0),0),0))</f>
        <v/>
      </c>
      <c r="W135" t="str">
        <f t="shared" si="51"/>
        <v/>
      </c>
      <c r="X135" s="38" t="str">
        <f>IF(L135="","",IF(V135&gt;0,INDEX('02-شباط'!$P$2:$P$501,V135),IF($AO$1=1,0,"")))</f>
        <v/>
      </c>
      <c r="Y135" s="38" t="str">
        <f t="shared" si="52"/>
        <v/>
      </c>
      <c r="Z135" s="39" t="str">
        <f>IF(L135="","",IF(V135&gt;0,INDEX('02-شباط'!$Q$2:$Q$501,V135),IF($AO$1=1,0,"")))</f>
        <v/>
      </c>
      <c r="AA135" s="39" t="str">
        <f t="shared" si="53"/>
        <v/>
      </c>
      <c r="AB135" s="40" t="str">
        <f>IF(OR(L135="",V135=0),"",IF(AND(N(I135)&gt;0,N(INDEX('02-شباط'!$I$2:$I$501,V135))&gt;0,INDEX('02-شباط'!$F$2:$F$501,V135)=F135),N(I135)/N(INDEX('02-شباط'!$I$2:$I$501,V135))-1,""))</f>
        <v/>
      </c>
      <c r="AC135" t="str">
        <f>IF(L135="","",IF(AND($AO$2=1,ISNA(MATCH(L135,'04-نيسان'!$L$2:$L$501,0))),"محذوف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IF(L136="","",IF($AO$1=1,IFERROR(MATCH(L136,'02-شباط'!$L$2:$L$501,0),0),0))</f>
        <v/>
      </c>
      <c r="W136" t="str">
        <f t="shared" si="51"/>
        <v/>
      </c>
      <c r="X136" s="38" t="str">
        <f>IF(L136="","",IF(V136&gt;0,INDEX('02-شباط'!$P$2:$P$501,V136),IF($AO$1=1,0,"")))</f>
        <v/>
      </c>
      <c r="Y136" s="38" t="str">
        <f t="shared" si="52"/>
        <v/>
      </c>
      <c r="Z136" s="39" t="str">
        <f>IF(L136="","",IF(V136&gt;0,INDEX('02-شباط'!$Q$2:$Q$501,V136),IF($AO$1=1,0,"")))</f>
        <v/>
      </c>
      <c r="AA136" s="39" t="str">
        <f t="shared" si="53"/>
        <v/>
      </c>
      <c r="AB136" s="40" t="str">
        <f>IF(OR(L136="",V136=0),"",IF(AND(N(I136)&gt;0,N(INDEX('02-شباط'!$I$2:$I$501,V136))&gt;0,INDEX('02-شباط'!$F$2:$F$501,V136)=F136),N(I136)/N(INDEX('02-شباط'!$I$2:$I$501,V136))-1,""))</f>
        <v/>
      </c>
      <c r="AC136" t="str">
        <f>IF(L136="","",IF(AND($AO$2=1,ISNA(MATCH(L136,'04-نيسان'!$L$2:$L$501,0))),"محذوف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IF(L137="","",IF($AO$1=1,IFERROR(MATCH(L137,'02-شباط'!$L$2:$L$501,0),0),0))</f>
        <v/>
      </c>
      <c r="W137" t="str">
        <f t="shared" si="51"/>
        <v/>
      </c>
      <c r="X137" s="38" t="str">
        <f>IF(L137="","",IF(V137&gt;0,INDEX('02-شباط'!$P$2:$P$501,V137),IF($AO$1=1,0,"")))</f>
        <v/>
      </c>
      <c r="Y137" s="38" t="str">
        <f t="shared" si="52"/>
        <v/>
      </c>
      <c r="Z137" s="39" t="str">
        <f>IF(L137="","",IF(V137&gt;0,INDEX('02-شباط'!$Q$2:$Q$501,V137),IF($AO$1=1,0,"")))</f>
        <v/>
      </c>
      <c r="AA137" s="39" t="str">
        <f t="shared" si="53"/>
        <v/>
      </c>
      <c r="AB137" s="40" t="str">
        <f>IF(OR(L137="",V137=0),"",IF(AND(N(I137)&gt;0,N(INDEX('02-شباط'!$I$2:$I$501,V137))&gt;0,INDEX('02-شباط'!$F$2:$F$501,V137)=F137),N(I137)/N(INDEX('02-شباط'!$I$2:$I$501,V137))-1,""))</f>
        <v/>
      </c>
      <c r="AC137" t="str">
        <f>IF(L137="","",IF(AND($AO$2=1,ISNA(MATCH(L137,'04-نيسان'!$L$2:$L$501,0))),"محذوف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IF(L138="","",IF($AO$1=1,IFERROR(MATCH(L138,'02-شباط'!$L$2:$L$501,0),0),0))</f>
        <v/>
      </c>
      <c r="W138" t="str">
        <f t="shared" si="51"/>
        <v/>
      </c>
      <c r="X138" s="38" t="str">
        <f>IF(L138="","",IF(V138&gt;0,INDEX('02-شباط'!$P$2:$P$501,V138),IF($AO$1=1,0,"")))</f>
        <v/>
      </c>
      <c r="Y138" s="38" t="str">
        <f t="shared" si="52"/>
        <v/>
      </c>
      <c r="Z138" s="39" t="str">
        <f>IF(L138="","",IF(V138&gt;0,INDEX('02-شباط'!$Q$2:$Q$501,V138),IF($AO$1=1,0,"")))</f>
        <v/>
      </c>
      <c r="AA138" s="39" t="str">
        <f t="shared" si="53"/>
        <v/>
      </c>
      <c r="AB138" s="40" t="str">
        <f>IF(OR(L138="",V138=0),"",IF(AND(N(I138)&gt;0,N(INDEX('02-شباط'!$I$2:$I$501,V138))&gt;0,INDEX('02-شباط'!$F$2:$F$501,V138)=F138),N(I138)/N(INDEX('02-شباط'!$I$2:$I$501,V138))-1,""))</f>
        <v/>
      </c>
      <c r="AC138" t="str">
        <f>IF(L138="","",IF(AND($AO$2=1,ISNA(MATCH(L138,'04-نيسان'!$L$2:$L$501,0))),"محذوف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IF(L139="","",IF($AO$1=1,IFERROR(MATCH(L139,'02-شباط'!$L$2:$L$501,0),0),0))</f>
        <v/>
      </c>
      <c r="W139" t="str">
        <f t="shared" si="51"/>
        <v/>
      </c>
      <c r="X139" s="38" t="str">
        <f>IF(L139="","",IF(V139&gt;0,INDEX('02-شباط'!$P$2:$P$501,V139),IF($AO$1=1,0,"")))</f>
        <v/>
      </c>
      <c r="Y139" s="38" t="str">
        <f t="shared" si="52"/>
        <v/>
      </c>
      <c r="Z139" s="39" t="str">
        <f>IF(L139="","",IF(V139&gt;0,INDEX('02-شباط'!$Q$2:$Q$501,V139),IF($AO$1=1,0,"")))</f>
        <v/>
      </c>
      <c r="AA139" s="39" t="str">
        <f t="shared" si="53"/>
        <v/>
      </c>
      <c r="AB139" s="40" t="str">
        <f>IF(OR(L139="",V139=0),"",IF(AND(N(I139)&gt;0,N(INDEX('02-شباط'!$I$2:$I$501,V139))&gt;0,INDEX('02-شباط'!$F$2:$F$501,V139)=F139),N(I139)/N(INDEX('02-شباط'!$I$2:$I$501,V139))-1,""))</f>
        <v/>
      </c>
      <c r="AC139" t="str">
        <f>IF(L139="","",IF(AND($AO$2=1,ISNA(MATCH(L139,'04-نيسان'!$L$2:$L$501,0))),"محذوف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IF(L140="","",IF($AO$1=1,IFERROR(MATCH(L140,'02-شباط'!$L$2:$L$501,0),0),0))</f>
        <v/>
      </c>
      <c r="W140" t="str">
        <f t="shared" si="51"/>
        <v/>
      </c>
      <c r="X140" s="38" t="str">
        <f>IF(L140="","",IF(V140&gt;0,INDEX('02-شباط'!$P$2:$P$501,V140),IF($AO$1=1,0,"")))</f>
        <v/>
      </c>
      <c r="Y140" s="38" t="str">
        <f t="shared" si="52"/>
        <v/>
      </c>
      <c r="Z140" s="39" t="str">
        <f>IF(L140="","",IF(V140&gt;0,INDEX('02-شباط'!$Q$2:$Q$501,V140),IF($AO$1=1,0,"")))</f>
        <v/>
      </c>
      <c r="AA140" s="39" t="str">
        <f t="shared" si="53"/>
        <v/>
      </c>
      <c r="AB140" s="40" t="str">
        <f>IF(OR(L140="",V140=0),"",IF(AND(N(I140)&gt;0,N(INDEX('02-شباط'!$I$2:$I$501,V140))&gt;0,INDEX('02-شباط'!$F$2:$F$501,V140)=F140),N(I140)/N(INDEX('02-شباط'!$I$2:$I$501,V140))-1,""))</f>
        <v/>
      </c>
      <c r="AC140" t="str">
        <f>IF(L140="","",IF(AND($AO$2=1,ISNA(MATCH(L140,'04-نيسان'!$L$2:$L$501,0))),"محذوف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IF(L141="","",IF($AO$1=1,IFERROR(MATCH(L141,'02-شباط'!$L$2:$L$501,0),0),0))</f>
        <v/>
      </c>
      <c r="W141" t="str">
        <f t="shared" si="51"/>
        <v/>
      </c>
      <c r="X141" s="38" t="str">
        <f>IF(L141="","",IF(V141&gt;0,INDEX('02-شباط'!$P$2:$P$501,V141),IF($AO$1=1,0,"")))</f>
        <v/>
      </c>
      <c r="Y141" s="38" t="str">
        <f t="shared" si="52"/>
        <v/>
      </c>
      <c r="Z141" s="39" t="str">
        <f>IF(L141="","",IF(V141&gt;0,INDEX('02-شباط'!$Q$2:$Q$501,V141),IF($AO$1=1,0,"")))</f>
        <v/>
      </c>
      <c r="AA141" s="39" t="str">
        <f t="shared" si="53"/>
        <v/>
      </c>
      <c r="AB141" s="40" t="str">
        <f>IF(OR(L141="",V141=0),"",IF(AND(N(I141)&gt;0,N(INDEX('02-شباط'!$I$2:$I$501,V141))&gt;0,INDEX('02-شباط'!$F$2:$F$501,V141)=F141),N(I141)/N(INDEX('02-شباط'!$I$2:$I$501,V141))-1,""))</f>
        <v/>
      </c>
      <c r="AC141" t="str">
        <f>IF(L141="","",IF(AND($AO$2=1,ISNA(MATCH(L141,'04-نيسان'!$L$2:$L$501,0))),"محذوف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IF(L142="","",IF($AO$1=1,IFERROR(MATCH(L142,'02-شباط'!$L$2:$L$501,0),0),0))</f>
        <v/>
      </c>
      <c r="W142" t="str">
        <f t="shared" si="51"/>
        <v/>
      </c>
      <c r="X142" s="38" t="str">
        <f>IF(L142="","",IF(V142&gt;0,INDEX('02-شباط'!$P$2:$P$501,V142),IF($AO$1=1,0,"")))</f>
        <v/>
      </c>
      <c r="Y142" s="38" t="str">
        <f t="shared" si="52"/>
        <v/>
      </c>
      <c r="Z142" s="39" t="str">
        <f>IF(L142="","",IF(V142&gt;0,INDEX('02-شباط'!$Q$2:$Q$501,V142),IF($AO$1=1,0,"")))</f>
        <v/>
      </c>
      <c r="AA142" s="39" t="str">
        <f t="shared" si="53"/>
        <v/>
      </c>
      <c r="AB142" s="40" t="str">
        <f>IF(OR(L142="",V142=0),"",IF(AND(N(I142)&gt;0,N(INDEX('02-شباط'!$I$2:$I$501,V142))&gt;0,INDEX('02-شباط'!$F$2:$F$501,V142)=F142),N(I142)/N(INDEX('02-شباط'!$I$2:$I$501,V142))-1,""))</f>
        <v/>
      </c>
      <c r="AC142" t="str">
        <f>IF(L142="","",IF(AND($AO$2=1,ISNA(MATCH(L142,'04-نيسان'!$L$2:$L$501,0))),"محذوف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IF(L143="","",IF($AO$1=1,IFERROR(MATCH(L143,'02-شباط'!$L$2:$L$501,0),0),0))</f>
        <v/>
      </c>
      <c r="W143" t="str">
        <f t="shared" si="51"/>
        <v/>
      </c>
      <c r="X143" s="38" t="str">
        <f>IF(L143="","",IF(V143&gt;0,INDEX('02-شباط'!$P$2:$P$501,V143),IF($AO$1=1,0,"")))</f>
        <v/>
      </c>
      <c r="Y143" s="38" t="str">
        <f t="shared" si="52"/>
        <v/>
      </c>
      <c r="Z143" s="39" t="str">
        <f>IF(L143="","",IF(V143&gt;0,INDEX('02-شباط'!$Q$2:$Q$501,V143),IF($AO$1=1,0,"")))</f>
        <v/>
      </c>
      <c r="AA143" s="39" t="str">
        <f t="shared" si="53"/>
        <v/>
      </c>
      <c r="AB143" s="40" t="str">
        <f>IF(OR(L143="",V143=0),"",IF(AND(N(I143)&gt;0,N(INDEX('02-شباط'!$I$2:$I$501,V143))&gt;0,INDEX('02-شباط'!$F$2:$F$501,V143)=F143),N(I143)/N(INDEX('02-شباط'!$I$2:$I$501,V143))-1,""))</f>
        <v/>
      </c>
      <c r="AC143" t="str">
        <f>IF(L143="","",IF(AND($AO$2=1,ISNA(MATCH(L143,'04-نيسان'!$L$2:$L$501,0))),"محذوف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IF(L144="","",IF($AO$1=1,IFERROR(MATCH(L144,'02-شباط'!$L$2:$L$501,0),0),0))</f>
        <v/>
      </c>
      <c r="W144" t="str">
        <f t="shared" si="51"/>
        <v/>
      </c>
      <c r="X144" s="38" t="str">
        <f>IF(L144="","",IF(V144&gt;0,INDEX('02-شباط'!$P$2:$P$501,V144),IF($AO$1=1,0,"")))</f>
        <v/>
      </c>
      <c r="Y144" s="38" t="str">
        <f t="shared" si="52"/>
        <v/>
      </c>
      <c r="Z144" s="39" t="str">
        <f>IF(L144="","",IF(V144&gt;0,INDEX('02-شباط'!$Q$2:$Q$501,V144),IF($AO$1=1,0,"")))</f>
        <v/>
      </c>
      <c r="AA144" s="39" t="str">
        <f t="shared" si="53"/>
        <v/>
      </c>
      <c r="AB144" s="40" t="str">
        <f>IF(OR(L144="",V144=0),"",IF(AND(N(I144)&gt;0,N(INDEX('02-شباط'!$I$2:$I$501,V144))&gt;0,INDEX('02-شباط'!$F$2:$F$501,V144)=F144),N(I144)/N(INDEX('02-شباط'!$I$2:$I$501,V144))-1,""))</f>
        <v/>
      </c>
      <c r="AC144" t="str">
        <f>IF(L144="","",IF(AND($AO$2=1,ISNA(MATCH(L144,'04-نيسان'!$L$2:$L$501,0))),"محذوف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IF(L145="","",IF($AO$1=1,IFERROR(MATCH(L145,'02-شباط'!$L$2:$L$501,0),0),0))</f>
        <v/>
      </c>
      <c r="W145" t="str">
        <f t="shared" si="51"/>
        <v/>
      </c>
      <c r="X145" s="38" t="str">
        <f>IF(L145="","",IF(V145&gt;0,INDEX('02-شباط'!$P$2:$P$501,V145),IF($AO$1=1,0,"")))</f>
        <v/>
      </c>
      <c r="Y145" s="38" t="str">
        <f t="shared" si="52"/>
        <v/>
      </c>
      <c r="Z145" s="39" t="str">
        <f>IF(L145="","",IF(V145&gt;0,INDEX('02-شباط'!$Q$2:$Q$501,V145),IF($AO$1=1,0,"")))</f>
        <v/>
      </c>
      <c r="AA145" s="39" t="str">
        <f t="shared" si="53"/>
        <v/>
      </c>
      <c r="AB145" s="40" t="str">
        <f>IF(OR(L145="",V145=0),"",IF(AND(N(I145)&gt;0,N(INDEX('02-شباط'!$I$2:$I$501,V145))&gt;0,INDEX('02-شباط'!$F$2:$F$501,V145)=F145),N(I145)/N(INDEX('02-شباط'!$I$2:$I$501,V145))-1,""))</f>
        <v/>
      </c>
      <c r="AC145" t="str">
        <f>IF(L145="","",IF(AND($AO$2=1,ISNA(MATCH(L145,'04-نيسان'!$L$2:$L$501,0))),"محذوف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IF(L146="","",IF($AO$1=1,IFERROR(MATCH(L146,'02-شباط'!$L$2:$L$501,0),0),0))</f>
        <v/>
      </c>
      <c r="W146" t="str">
        <f t="shared" si="51"/>
        <v/>
      </c>
      <c r="X146" s="38" t="str">
        <f>IF(L146="","",IF(V146&gt;0,INDEX('02-شباط'!$P$2:$P$501,V146),IF($AO$1=1,0,"")))</f>
        <v/>
      </c>
      <c r="Y146" s="38" t="str">
        <f t="shared" si="52"/>
        <v/>
      </c>
      <c r="Z146" s="39" t="str">
        <f>IF(L146="","",IF(V146&gt;0,INDEX('02-شباط'!$Q$2:$Q$501,V146),IF($AO$1=1,0,"")))</f>
        <v/>
      </c>
      <c r="AA146" s="39" t="str">
        <f t="shared" si="53"/>
        <v/>
      </c>
      <c r="AB146" s="40" t="str">
        <f>IF(OR(L146="",V146=0),"",IF(AND(N(I146)&gt;0,N(INDEX('02-شباط'!$I$2:$I$501,V146))&gt;0,INDEX('02-شباط'!$F$2:$F$501,V146)=F146),N(I146)/N(INDEX('02-شباط'!$I$2:$I$501,V146))-1,""))</f>
        <v/>
      </c>
      <c r="AC146" t="str">
        <f>IF(L146="","",IF(AND($AO$2=1,ISNA(MATCH(L146,'04-نيسان'!$L$2:$L$501,0))),"محذوف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IF(L147="","",IF($AO$1=1,IFERROR(MATCH(L147,'02-شباط'!$L$2:$L$501,0),0),0))</f>
        <v/>
      </c>
      <c r="W147" t="str">
        <f t="shared" si="51"/>
        <v/>
      </c>
      <c r="X147" s="38" t="str">
        <f>IF(L147="","",IF(V147&gt;0,INDEX('02-شباط'!$P$2:$P$501,V147),IF($AO$1=1,0,"")))</f>
        <v/>
      </c>
      <c r="Y147" s="38" t="str">
        <f t="shared" si="52"/>
        <v/>
      </c>
      <c r="Z147" s="39" t="str">
        <f>IF(L147="","",IF(V147&gt;0,INDEX('02-شباط'!$Q$2:$Q$501,V147),IF($AO$1=1,0,"")))</f>
        <v/>
      </c>
      <c r="AA147" s="39" t="str">
        <f t="shared" si="53"/>
        <v/>
      </c>
      <c r="AB147" s="40" t="str">
        <f>IF(OR(L147="",V147=0),"",IF(AND(N(I147)&gt;0,N(INDEX('02-شباط'!$I$2:$I$501,V147))&gt;0,INDEX('02-شباط'!$F$2:$F$501,V147)=F147),N(I147)/N(INDEX('02-شباط'!$I$2:$I$501,V147))-1,""))</f>
        <v/>
      </c>
      <c r="AC147" t="str">
        <f>IF(L147="","",IF(AND($AO$2=1,ISNA(MATCH(L147,'04-نيسان'!$L$2:$L$501,0))),"محذوف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IF(L148="","",IF($AO$1=1,IFERROR(MATCH(L148,'02-شباط'!$L$2:$L$501,0),0),0))</f>
        <v/>
      </c>
      <c r="W148" t="str">
        <f t="shared" si="51"/>
        <v/>
      </c>
      <c r="X148" s="38" t="str">
        <f>IF(L148="","",IF(V148&gt;0,INDEX('02-شباط'!$P$2:$P$501,V148),IF($AO$1=1,0,"")))</f>
        <v/>
      </c>
      <c r="Y148" s="38" t="str">
        <f t="shared" si="52"/>
        <v/>
      </c>
      <c r="Z148" s="39" t="str">
        <f>IF(L148="","",IF(V148&gt;0,INDEX('02-شباط'!$Q$2:$Q$501,V148),IF($AO$1=1,0,"")))</f>
        <v/>
      </c>
      <c r="AA148" s="39" t="str">
        <f t="shared" si="53"/>
        <v/>
      </c>
      <c r="AB148" s="40" t="str">
        <f>IF(OR(L148="",V148=0),"",IF(AND(N(I148)&gt;0,N(INDEX('02-شباط'!$I$2:$I$501,V148))&gt;0,INDEX('02-شباط'!$F$2:$F$501,V148)=F148),N(I148)/N(INDEX('02-شباط'!$I$2:$I$501,V148))-1,""))</f>
        <v/>
      </c>
      <c r="AC148" t="str">
        <f>IF(L148="","",IF(AND($AO$2=1,ISNA(MATCH(L148,'04-نيسان'!$L$2:$L$501,0))),"محذوف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IF(L149="","",IF($AO$1=1,IFERROR(MATCH(L149,'02-شباط'!$L$2:$L$501,0),0),0))</f>
        <v/>
      </c>
      <c r="W149" t="str">
        <f t="shared" si="51"/>
        <v/>
      </c>
      <c r="X149" s="38" t="str">
        <f>IF(L149="","",IF(V149&gt;0,INDEX('02-شباط'!$P$2:$P$501,V149),IF($AO$1=1,0,"")))</f>
        <v/>
      </c>
      <c r="Y149" s="38" t="str">
        <f t="shared" si="52"/>
        <v/>
      </c>
      <c r="Z149" s="39" t="str">
        <f>IF(L149="","",IF(V149&gt;0,INDEX('02-شباط'!$Q$2:$Q$501,V149),IF($AO$1=1,0,"")))</f>
        <v/>
      </c>
      <c r="AA149" s="39" t="str">
        <f t="shared" si="53"/>
        <v/>
      </c>
      <c r="AB149" s="40" t="str">
        <f>IF(OR(L149="",V149=0),"",IF(AND(N(I149)&gt;0,N(INDEX('02-شباط'!$I$2:$I$501,V149))&gt;0,INDEX('02-شباط'!$F$2:$F$501,V149)=F149),N(I149)/N(INDEX('02-شباط'!$I$2:$I$501,V149))-1,""))</f>
        <v/>
      </c>
      <c r="AC149" t="str">
        <f>IF(L149="","",IF(AND($AO$2=1,ISNA(MATCH(L149,'04-نيسان'!$L$2:$L$501,0))),"محذوف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IF(L150="","",IF($AO$1=1,IFERROR(MATCH(L150,'02-شباط'!$L$2:$L$501,0),0),0))</f>
        <v/>
      </c>
      <c r="W150" t="str">
        <f t="shared" si="51"/>
        <v/>
      </c>
      <c r="X150" s="38" t="str">
        <f>IF(L150="","",IF(V150&gt;0,INDEX('02-شباط'!$P$2:$P$501,V150),IF($AO$1=1,0,"")))</f>
        <v/>
      </c>
      <c r="Y150" s="38" t="str">
        <f t="shared" si="52"/>
        <v/>
      </c>
      <c r="Z150" s="39" t="str">
        <f>IF(L150="","",IF(V150&gt;0,INDEX('02-شباط'!$Q$2:$Q$501,V150),IF($AO$1=1,0,"")))</f>
        <v/>
      </c>
      <c r="AA150" s="39" t="str">
        <f t="shared" si="53"/>
        <v/>
      </c>
      <c r="AB150" s="40" t="str">
        <f>IF(OR(L150="",V150=0),"",IF(AND(N(I150)&gt;0,N(INDEX('02-شباط'!$I$2:$I$501,V150))&gt;0,INDEX('02-شباط'!$F$2:$F$501,V150)=F150),N(I150)/N(INDEX('02-شباط'!$I$2:$I$501,V150))-1,""))</f>
        <v/>
      </c>
      <c r="AC150" t="str">
        <f>IF(L150="","",IF(AND($AO$2=1,ISNA(MATCH(L150,'04-نيسان'!$L$2:$L$501,0))),"محذوف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IF(L151="","",IF($AO$1=1,IFERROR(MATCH(L151,'02-شباط'!$L$2:$L$501,0),0),0))</f>
        <v/>
      </c>
      <c r="W151" t="str">
        <f t="shared" si="51"/>
        <v/>
      </c>
      <c r="X151" s="38" t="str">
        <f>IF(L151="","",IF(V151&gt;0,INDEX('02-شباط'!$P$2:$P$501,V151),IF($AO$1=1,0,"")))</f>
        <v/>
      </c>
      <c r="Y151" s="38" t="str">
        <f t="shared" si="52"/>
        <v/>
      </c>
      <c r="Z151" s="39" t="str">
        <f>IF(L151="","",IF(V151&gt;0,INDEX('02-شباط'!$Q$2:$Q$501,V151),IF($AO$1=1,0,"")))</f>
        <v/>
      </c>
      <c r="AA151" s="39" t="str">
        <f t="shared" si="53"/>
        <v/>
      </c>
      <c r="AB151" s="40" t="str">
        <f>IF(OR(L151="",V151=0),"",IF(AND(N(I151)&gt;0,N(INDEX('02-شباط'!$I$2:$I$501,V151))&gt;0,INDEX('02-شباط'!$F$2:$F$501,V151)=F151),N(I151)/N(INDEX('02-شباط'!$I$2:$I$501,V151))-1,""))</f>
        <v/>
      </c>
      <c r="AC151" t="str">
        <f>IF(L151="","",IF(AND($AO$2=1,ISNA(MATCH(L151,'04-نيسان'!$L$2:$L$501,0))),"محذوف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IF(L152="","",IF($AO$1=1,IFERROR(MATCH(L152,'02-شباط'!$L$2:$L$501,0),0),0))</f>
        <v/>
      </c>
      <c r="W152" t="str">
        <f t="shared" si="51"/>
        <v/>
      </c>
      <c r="X152" s="38" t="str">
        <f>IF(L152="","",IF(V152&gt;0,INDEX('02-شباط'!$P$2:$P$501,V152),IF($AO$1=1,0,"")))</f>
        <v/>
      </c>
      <c r="Y152" s="38" t="str">
        <f t="shared" si="52"/>
        <v/>
      </c>
      <c r="Z152" s="39" t="str">
        <f>IF(L152="","",IF(V152&gt;0,INDEX('02-شباط'!$Q$2:$Q$501,V152),IF($AO$1=1,0,"")))</f>
        <v/>
      </c>
      <c r="AA152" s="39" t="str">
        <f t="shared" si="53"/>
        <v/>
      </c>
      <c r="AB152" s="40" t="str">
        <f>IF(OR(L152="",V152=0),"",IF(AND(N(I152)&gt;0,N(INDEX('02-شباط'!$I$2:$I$501,V152))&gt;0,INDEX('02-شباط'!$F$2:$F$501,V152)=F152),N(I152)/N(INDEX('02-شباط'!$I$2:$I$501,V152))-1,""))</f>
        <v/>
      </c>
      <c r="AC152" t="str">
        <f>IF(L152="","",IF(AND($AO$2=1,ISNA(MATCH(L152,'04-نيسان'!$L$2:$L$501,0))),"محذوف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IF(L153="","",IF($AO$1=1,IFERROR(MATCH(L153,'02-شباط'!$L$2:$L$501,0),0),0))</f>
        <v/>
      </c>
      <c r="W153" t="str">
        <f t="shared" si="51"/>
        <v/>
      </c>
      <c r="X153" s="38" t="str">
        <f>IF(L153="","",IF(V153&gt;0,INDEX('02-شباط'!$P$2:$P$501,V153),IF($AO$1=1,0,"")))</f>
        <v/>
      </c>
      <c r="Y153" s="38" t="str">
        <f t="shared" si="52"/>
        <v/>
      </c>
      <c r="Z153" s="39" t="str">
        <f>IF(L153="","",IF(V153&gt;0,INDEX('02-شباط'!$Q$2:$Q$501,V153),IF($AO$1=1,0,"")))</f>
        <v/>
      </c>
      <c r="AA153" s="39" t="str">
        <f t="shared" si="53"/>
        <v/>
      </c>
      <c r="AB153" s="40" t="str">
        <f>IF(OR(L153="",V153=0),"",IF(AND(N(I153)&gt;0,N(INDEX('02-شباط'!$I$2:$I$501,V153))&gt;0,INDEX('02-شباط'!$F$2:$F$501,V153)=F153),N(I153)/N(INDEX('02-شباط'!$I$2:$I$501,V153))-1,""))</f>
        <v/>
      </c>
      <c r="AC153" t="str">
        <f>IF(L153="","",IF(AND($AO$2=1,ISNA(MATCH(L153,'04-نيسان'!$L$2:$L$501,0))),"محذوف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IF(L154="","",IF($AO$1=1,IFERROR(MATCH(L154,'02-شباط'!$L$2:$L$501,0),0),0))</f>
        <v/>
      </c>
      <c r="W154" t="str">
        <f t="shared" si="51"/>
        <v/>
      </c>
      <c r="X154" s="38" t="str">
        <f>IF(L154="","",IF(V154&gt;0,INDEX('02-شباط'!$P$2:$P$501,V154),IF($AO$1=1,0,"")))</f>
        <v/>
      </c>
      <c r="Y154" s="38" t="str">
        <f t="shared" si="52"/>
        <v/>
      </c>
      <c r="Z154" s="39" t="str">
        <f>IF(L154="","",IF(V154&gt;0,INDEX('02-شباط'!$Q$2:$Q$501,V154),IF($AO$1=1,0,"")))</f>
        <v/>
      </c>
      <c r="AA154" s="39" t="str">
        <f t="shared" si="53"/>
        <v/>
      </c>
      <c r="AB154" s="40" t="str">
        <f>IF(OR(L154="",V154=0),"",IF(AND(N(I154)&gt;0,N(INDEX('02-شباط'!$I$2:$I$501,V154))&gt;0,INDEX('02-شباط'!$F$2:$F$501,V154)=F154),N(I154)/N(INDEX('02-شباط'!$I$2:$I$501,V154))-1,""))</f>
        <v/>
      </c>
      <c r="AC154" t="str">
        <f>IF(L154="","",IF(AND($AO$2=1,ISNA(MATCH(L154,'04-نيسان'!$L$2:$L$501,0))),"محذوف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IF(L155="","",IF($AO$1=1,IFERROR(MATCH(L155,'02-شباط'!$L$2:$L$501,0),0),0))</f>
        <v/>
      </c>
      <c r="W155" t="str">
        <f t="shared" si="51"/>
        <v/>
      </c>
      <c r="X155" s="38" t="str">
        <f>IF(L155="","",IF(V155&gt;0,INDEX('02-شباط'!$P$2:$P$501,V155),IF($AO$1=1,0,"")))</f>
        <v/>
      </c>
      <c r="Y155" s="38" t="str">
        <f t="shared" si="52"/>
        <v/>
      </c>
      <c r="Z155" s="39" t="str">
        <f>IF(L155="","",IF(V155&gt;0,INDEX('02-شباط'!$Q$2:$Q$501,V155),IF($AO$1=1,0,"")))</f>
        <v/>
      </c>
      <c r="AA155" s="39" t="str">
        <f t="shared" si="53"/>
        <v/>
      </c>
      <c r="AB155" s="40" t="str">
        <f>IF(OR(L155="",V155=0),"",IF(AND(N(I155)&gt;0,N(INDEX('02-شباط'!$I$2:$I$501,V155))&gt;0,INDEX('02-شباط'!$F$2:$F$501,V155)=F155),N(I155)/N(INDEX('02-شباط'!$I$2:$I$501,V155))-1,""))</f>
        <v/>
      </c>
      <c r="AC155" t="str">
        <f>IF(L155="","",IF(AND($AO$2=1,ISNA(MATCH(L155,'04-نيسان'!$L$2:$L$501,0))),"محذوف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IF(L156="","",IF($AO$1=1,IFERROR(MATCH(L156,'02-شباط'!$L$2:$L$501,0),0),0))</f>
        <v/>
      </c>
      <c r="W156" t="str">
        <f t="shared" si="51"/>
        <v/>
      </c>
      <c r="X156" s="38" t="str">
        <f>IF(L156="","",IF(V156&gt;0,INDEX('02-شباط'!$P$2:$P$501,V156),IF($AO$1=1,0,"")))</f>
        <v/>
      </c>
      <c r="Y156" s="38" t="str">
        <f t="shared" si="52"/>
        <v/>
      </c>
      <c r="Z156" s="39" t="str">
        <f>IF(L156="","",IF(V156&gt;0,INDEX('02-شباط'!$Q$2:$Q$501,V156),IF($AO$1=1,0,"")))</f>
        <v/>
      </c>
      <c r="AA156" s="39" t="str">
        <f t="shared" si="53"/>
        <v/>
      </c>
      <c r="AB156" s="40" t="str">
        <f>IF(OR(L156="",V156=0),"",IF(AND(N(I156)&gt;0,N(INDEX('02-شباط'!$I$2:$I$501,V156))&gt;0,INDEX('02-شباط'!$F$2:$F$501,V156)=F156),N(I156)/N(INDEX('02-شباط'!$I$2:$I$501,V156))-1,""))</f>
        <v/>
      </c>
      <c r="AC156" t="str">
        <f>IF(L156="","",IF(AND($AO$2=1,ISNA(MATCH(L156,'04-نيسان'!$L$2:$L$501,0))),"محذوف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IF(L157="","",IF($AO$1=1,IFERROR(MATCH(L157,'02-شباط'!$L$2:$L$501,0),0),0))</f>
        <v/>
      </c>
      <c r="W157" t="str">
        <f t="shared" si="51"/>
        <v/>
      </c>
      <c r="X157" s="38" t="str">
        <f>IF(L157="","",IF(V157&gt;0,INDEX('02-شباط'!$P$2:$P$501,V157),IF($AO$1=1,0,"")))</f>
        <v/>
      </c>
      <c r="Y157" s="38" t="str">
        <f t="shared" si="52"/>
        <v/>
      </c>
      <c r="Z157" s="39" t="str">
        <f>IF(L157="","",IF(V157&gt;0,INDEX('02-شباط'!$Q$2:$Q$501,V157),IF($AO$1=1,0,"")))</f>
        <v/>
      </c>
      <c r="AA157" s="39" t="str">
        <f t="shared" si="53"/>
        <v/>
      </c>
      <c r="AB157" s="40" t="str">
        <f>IF(OR(L157="",V157=0),"",IF(AND(N(I157)&gt;0,N(INDEX('02-شباط'!$I$2:$I$501,V157))&gt;0,INDEX('02-شباط'!$F$2:$F$501,V157)=F157),N(I157)/N(INDEX('02-شباط'!$I$2:$I$501,V157))-1,""))</f>
        <v/>
      </c>
      <c r="AC157" t="str">
        <f>IF(L157="","",IF(AND($AO$2=1,ISNA(MATCH(L157,'04-نيسان'!$L$2:$L$501,0))),"محذوف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IF(L158="","",IF($AO$1=1,IFERROR(MATCH(L158,'02-شباط'!$L$2:$L$501,0),0),0))</f>
        <v/>
      </c>
      <c r="W158" t="str">
        <f t="shared" si="51"/>
        <v/>
      </c>
      <c r="X158" s="38" t="str">
        <f>IF(L158="","",IF(V158&gt;0,INDEX('02-شباط'!$P$2:$P$501,V158),IF($AO$1=1,0,"")))</f>
        <v/>
      </c>
      <c r="Y158" s="38" t="str">
        <f t="shared" si="52"/>
        <v/>
      </c>
      <c r="Z158" s="39" t="str">
        <f>IF(L158="","",IF(V158&gt;0,INDEX('02-شباط'!$Q$2:$Q$501,V158),IF($AO$1=1,0,"")))</f>
        <v/>
      </c>
      <c r="AA158" s="39" t="str">
        <f t="shared" si="53"/>
        <v/>
      </c>
      <c r="AB158" s="40" t="str">
        <f>IF(OR(L158="",V158=0),"",IF(AND(N(I158)&gt;0,N(INDEX('02-شباط'!$I$2:$I$501,V158))&gt;0,INDEX('02-شباط'!$F$2:$F$501,V158)=F158),N(I158)/N(INDEX('02-شباط'!$I$2:$I$501,V158))-1,""))</f>
        <v/>
      </c>
      <c r="AC158" t="str">
        <f>IF(L158="","",IF(AND($AO$2=1,ISNA(MATCH(L158,'04-نيسان'!$L$2:$L$501,0))),"محذوف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IF(L159="","",IF($AO$1=1,IFERROR(MATCH(L159,'02-شباط'!$L$2:$L$501,0),0),0))</f>
        <v/>
      </c>
      <c r="W159" t="str">
        <f t="shared" si="51"/>
        <v/>
      </c>
      <c r="X159" s="38" t="str">
        <f>IF(L159="","",IF(V159&gt;0,INDEX('02-شباط'!$P$2:$P$501,V159),IF($AO$1=1,0,"")))</f>
        <v/>
      </c>
      <c r="Y159" s="38" t="str">
        <f t="shared" si="52"/>
        <v/>
      </c>
      <c r="Z159" s="39" t="str">
        <f>IF(L159="","",IF(V159&gt;0,INDEX('02-شباط'!$Q$2:$Q$501,V159),IF($AO$1=1,0,"")))</f>
        <v/>
      </c>
      <c r="AA159" s="39" t="str">
        <f t="shared" si="53"/>
        <v/>
      </c>
      <c r="AB159" s="40" t="str">
        <f>IF(OR(L159="",V159=0),"",IF(AND(N(I159)&gt;0,N(INDEX('02-شباط'!$I$2:$I$501,V159))&gt;0,INDEX('02-شباط'!$F$2:$F$501,V159)=F159),N(I159)/N(INDEX('02-شباط'!$I$2:$I$501,V159))-1,""))</f>
        <v/>
      </c>
      <c r="AC159" t="str">
        <f>IF(L159="","",IF(AND($AO$2=1,ISNA(MATCH(L159,'04-نيسان'!$L$2:$L$501,0))),"محذوف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IF(L160="","",IF($AO$1=1,IFERROR(MATCH(L160,'02-شباط'!$L$2:$L$501,0),0),0))</f>
        <v/>
      </c>
      <c r="W160" t="str">
        <f t="shared" si="51"/>
        <v/>
      </c>
      <c r="X160" s="38" t="str">
        <f>IF(L160="","",IF(V160&gt;0,INDEX('02-شباط'!$P$2:$P$501,V160),IF($AO$1=1,0,"")))</f>
        <v/>
      </c>
      <c r="Y160" s="38" t="str">
        <f t="shared" si="52"/>
        <v/>
      </c>
      <c r="Z160" s="39" t="str">
        <f>IF(L160="","",IF(V160&gt;0,INDEX('02-شباط'!$Q$2:$Q$501,V160),IF($AO$1=1,0,"")))</f>
        <v/>
      </c>
      <c r="AA160" s="39" t="str">
        <f t="shared" si="53"/>
        <v/>
      </c>
      <c r="AB160" s="40" t="str">
        <f>IF(OR(L160="",V160=0),"",IF(AND(N(I160)&gt;0,N(INDEX('02-شباط'!$I$2:$I$501,V160))&gt;0,INDEX('02-شباط'!$F$2:$F$501,V160)=F160),N(I160)/N(INDEX('02-شباط'!$I$2:$I$501,V160))-1,""))</f>
        <v/>
      </c>
      <c r="AC160" t="str">
        <f>IF(L160="","",IF(AND($AO$2=1,ISNA(MATCH(L160,'04-نيسان'!$L$2:$L$501,0))),"محذوف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IF(L161="","",IF($AO$1=1,IFERROR(MATCH(L161,'02-شباط'!$L$2:$L$501,0),0),0))</f>
        <v/>
      </c>
      <c r="W161" t="str">
        <f t="shared" si="51"/>
        <v/>
      </c>
      <c r="X161" s="38" t="str">
        <f>IF(L161="","",IF(V161&gt;0,INDEX('02-شباط'!$P$2:$P$501,V161),IF($AO$1=1,0,"")))</f>
        <v/>
      </c>
      <c r="Y161" s="38" t="str">
        <f t="shared" si="52"/>
        <v/>
      </c>
      <c r="Z161" s="39" t="str">
        <f>IF(L161="","",IF(V161&gt;0,INDEX('02-شباط'!$Q$2:$Q$501,V161),IF($AO$1=1,0,"")))</f>
        <v/>
      </c>
      <c r="AA161" s="39" t="str">
        <f t="shared" si="53"/>
        <v/>
      </c>
      <c r="AB161" s="40" t="str">
        <f>IF(OR(L161="",V161=0),"",IF(AND(N(I161)&gt;0,N(INDEX('02-شباط'!$I$2:$I$501,V161))&gt;0,INDEX('02-شباط'!$F$2:$F$501,V161)=F161),N(I161)/N(INDEX('02-شباط'!$I$2:$I$501,V161))-1,""))</f>
        <v/>
      </c>
      <c r="AC161" t="str">
        <f>IF(L161="","",IF(AND($AO$2=1,ISNA(MATCH(L161,'04-نيسان'!$L$2:$L$501,0))),"محذوف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IF(L162="","",IF($AO$1=1,IFERROR(MATCH(L162,'02-شباط'!$L$2:$L$501,0),0),0))</f>
        <v/>
      </c>
      <c r="W162" t="str">
        <f t="shared" si="51"/>
        <v/>
      </c>
      <c r="X162" s="38" t="str">
        <f>IF(L162="","",IF(V162&gt;0,INDEX('02-شباط'!$P$2:$P$501,V162),IF($AO$1=1,0,"")))</f>
        <v/>
      </c>
      <c r="Y162" s="38" t="str">
        <f t="shared" si="52"/>
        <v/>
      </c>
      <c r="Z162" s="39" t="str">
        <f>IF(L162="","",IF(V162&gt;0,INDEX('02-شباط'!$Q$2:$Q$501,V162),IF($AO$1=1,0,"")))</f>
        <v/>
      </c>
      <c r="AA162" s="39" t="str">
        <f t="shared" si="53"/>
        <v/>
      </c>
      <c r="AB162" s="40" t="str">
        <f>IF(OR(L162="",V162=0),"",IF(AND(N(I162)&gt;0,N(INDEX('02-شباط'!$I$2:$I$501,V162))&gt;0,INDEX('02-شباط'!$F$2:$F$501,V162)=F162),N(I162)/N(INDEX('02-شباط'!$I$2:$I$501,V162))-1,""))</f>
        <v/>
      </c>
      <c r="AC162" t="str">
        <f>IF(L162="","",IF(AND($AO$2=1,ISNA(MATCH(L162,'04-نيسان'!$L$2:$L$501,0))),"محذوف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IF(L163="","",IF($AO$1=1,IFERROR(MATCH(L163,'02-شباط'!$L$2:$L$501,0),0),0))</f>
        <v/>
      </c>
      <c r="W163" t="str">
        <f t="shared" si="51"/>
        <v/>
      </c>
      <c r="X163" s="38" t="str">
        <f>IF(L163="","",IF(V163&gt;0,INDEX('02-شباط'!$P$2:$P$501,V163),IF($AO$1=1,0,"")))</f>
        <v/>
      </c>
      <c r="Y163" s="38" t="str">
        <f t="shared" si="52"/>
        <v/>
      </c>
      <c r="Z163" s="39" t="str">
        <f>IF(L163="","",IF(V163&gt;0,INDEX('02-شباط'!$Q$2:$Q$501,V163),IF($AO$1=1,0,"")))</f>
        <v/>
      </c>
      <c r="AA163" s="39" t="str">
        <f t="shared" si="53"/>
        <v/>
      </c>
      <c r="AB163" s="40" t="str">
        <f>IF(OR(L163="",V163=0),"",IF(AND(N(I163)&gt;0,N(INDEX('02-شباط'!$I$2:$I$501,V163))&gt;0,INDEX('02-شباط'!$F$2:$F$501,V163)=F163),N(I163)/N(INDEX('02-شباط'!$I$2:$I$501,V163))-1,""))</f>
        <v/>
      </c>
      <c r="AC163" t="str">
        <f>IF(L163="","",IF(AND($AO$2=1,ISNA(MATCH(L163,'04-نيسان'!$L$2:$L$501,0))),"محذوف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IF(L164="","",IF($AO$1=1,IFERROR(MATCH(L164,'02-شباط'!$L$2:$L$501,0),0),0))</f>
        <v/>
      </c>
      <c r="W164" t="str">
        <f t="shared" si="51"/>
        <v/>
      </c>
      <c r="X164" s="38" t="str">
        <f>IF(L164="","",IF(V164&gt;0,INDEX('02-شباط'!$P$2:$P$501,V164),IF($AO$1=1,0,"")))</f>
        <v/>
      </c>
      <c r="Y164" s="38" t="str">
        <f t="shared" si="52"/>
        <v/>
      </c>
      <c r="Z164" s="39" t="str">
        <f>IF(L164="","",IF(V164&gt;0,INDEX('02-شباط'!$Q$2:$Q$501,V164),IF($AO$1=1,0,"")))</f>
        <v/>
      </c>
      <c r="AA164" s="39" t="str">
        <f t="shared" si="53"/>
        <v/>
      </c>
      <c r="AB164" s="40" t="str">
        <f>IF(OR(L164="",V164=0),"",IF(AND(N(I164)&gt;0,N(INDEX('02-شباط'!$I$2:$I$501,V164))&gt;0,INDEX('02-شباط'!$F$2:$F$501,V164)=F164),N(I164)/N(INDEX('02-شباط'!$I$2:$I$501,V164))-1,""))</f>
        <v/>
      </c>
      <c r="AC164" t="str">
        <f>IF(L164="","",IF(AND($AO$2=1,ISNA(MATCH(L164,'04-نيسان'!$L$2:$L$501,0))),"محذوف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IF(L165="","",IF($AO$1=1,IFERROR(MATCH(L165,'02-شباط'!$L$2:$L$501,0),0),0))</f>
        <v/>
      </c>
      <c r="W165" t="str">
        <f t="shared" si="51"/>
        <v/>
      </c>
      <c r="X165" s="38" t="str">
        <f>IF(L165="","",IF(V165&gt;0,INDEX('02-شباط'!$P$2:$P$501,V165),IF($AO$1=1,0,"")))</f>
        <v/>
      </c>
      <c r="Y165" s="38" t="str">
        <f t="shared" si="52"/>
        <v/>
      </c>
      <c r="Z165" s="39" t="str">
        <f>IF(L165="","",IF(V165&gt;0,INDEX('02-شباط'!$Q$2:$Q$501,V165),IF($AO$1=1,0,"")))</f>
        <v/>
      </c>
      <c r="AA165" s="39" t="str">
        <f t="shared" si="53"/>
        <v/>
      </c>
      <c r="AB165" s="40" t="str">
        <f>IF(OR(L165="",V165=0),"",IF(AND(N(I165)&gt;0,N(INDEX('02-شباط'!$I$2:$I$501,V165))&gt;0,INDEX('02-شباط'!$F$2:$F$501,V165)=F165),N(I165)/N(INDEX('02-شباط'!$I$2:$I$501,V165))-1,""))</f>
        <v/>
      </c>
      <c r="AC165" t="str">
        <f>IF(L165="","",IF(AND($AO$2=1,ISNA(MATCH(L165,'04-نيسان'!$L$2:$L$501,0))),"محذوف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IF(L166="","",IF($AO$1=1,IFERROR(MATCH(L166,'02-شباط'!$L$2:$L$501,0),0),0))</f>
        <v/>
      </c>
      <c r="W166" t="str">
        <f t="shared" si="51"/>
        <v/>
      </c>
      <c r="X166" s="38" t="str">
        <f>IF(L166="","",IF(V166&gt;0,INDEX('02-شباط'!$P$2:$P$501,V166),IF($AO$1=1,0,"")))</f>
        <v/>
      </c>
      <c r="Y166" s="38" t="str">
        <f t="shared" si="52"/>
        <v/>
      </c>
      <c r="Z166" s="39" t="str">
        <f>IF(L166="","",IF(V166&gt;0,INDEX('02-شباط'!$Q$2:$Q$501,V166),IF($AO$1=1,0,"")))</f>
        <v/>
      </c>
      <c r="AA166" s="39" t="str">
        <f t="shared" si="53"/>
        <v/>
      </c>
      <c r="AB166" s="40" t="str">
        <f>IF(OR(L166="",V166=0),"",IF(AND(N(I166)&gt;0,N(INDEX('02-شباط'!$I$2:$I$501,V166))&gt;0,INDEX('02-شباط'!$F$2:$F$501,V166)=F166),N(I166)/N(INDEX('02-شباط'!$I$2:$I$501,V166))-1,""))</f>
        <v/>
      </c>
      <c r="AC166" t="str">
        <f>IF(L166="","",IF(AND($AO$2=1,ISNA(MATCH(L166,'04-نيسان'!$L$2:$L$501,0))),"محذوف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IF(L167="","",IF($AO$1=1,IFERROR(MATCH(L167,'02-شباط'!$L$2:$L$501,0),0),0))</f>
        <v/>
      </c>
      <c r="W167" t="str">
        <f t="shared" si="51"/>
        <v/>
      </c>
      <c r="X167" s="38" t="str">
        <f>IF(L167="","",IF(V167&gt;0,INDEX('02-شباط'!$P$2:$P$501,V167),IF($AO$1=1,0,"")))</f>
        <v/>
      </c>
      <c r="Y167" s="38" t="str">
        <f t="shared" si="52"/>
        <v/>
      </c>
      <c r="Z167" s="39" t="str">
        <f>IF(L167="","",IF(V167&gt;0,INDEX('02-شباط'!$Q$2:$Q$501,V167),IF($AO$1=1,0,"")))</f>
        <v/>
      </c>
      <c r="AA167" s="39" t="str">
        <f t="shared" si="53"/>
        <v/>
      </c>
      <c r="AB167" s="40" t="str">
        <f>IF(OR(L167="",V167=0),"",IF(AND(N(I167)&gt;0,N(INDEX('02-شباط'!$I$2:$I$501,V167))&gt;0,INDEX('02-شباط'!$F$2:$F$501,V167)=F167),N(I167)/N(INDEX('02-شباط'!$I$2:$I$501,V167))-1,""))</f>
        <v/>
      </c>
      <c r="AC167" t="str">
        <f>IF(L167="","",IF(AND($AO$2=1,ISNA(MATCH(L167,'04-نيسان'!$L$2:$L$501,0))),"محذوف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IF(L168="","",IF($AO$1=1,IFERROR(MATCH(L168,'02-شباط'!$L$2:$L$501,0),0),0))</f>
        <v/>
      </c>
      <c r="W168" t="str">
        <f t="shared" si="51"/>
        <v/>
      </c>
      <c r="X168" s="38" t="str">
        <f>IF(L168="","",IF(V168&gt;0,INDEX('02-شباط'!$P$2:$P$501,V168),IF($AO$1=1,0,"")))</f>
        <v/>
      </c>
      <c r="Y168" s="38" t="str">
        <f t="shared" si="52"/>
        <v/>
      </c>
      <c r="Z168" s="39" t="str">
        <f>IF(L168="","",IF(V168&gt;0,INDEX('02-شباط'!$Q$2:$Q$501,V168),IF($AO$1=1,0,"")))</f>
        <v/>
      </c>
      <c r="AA168" s="39" t="str">
        <f t="shared" si="53"/>
        <v/>
      </c>
      <c r="AB168" s="40" t="str">
        <f>IF(OR(L168="",V168=0),"",IF(AND(N(I168)&gt;0,N(INDEX('02-شباط'!$I$2:$I$501,V168))&gt;0,INDEX('02-شباط'!$F$2:$F$501,V168)=F168),N(I168)/N(INDEX('02-شباط'!$I$2:$I$501,V168))-1,""))</f>
        <v/>
      </c>
      <c r="AC168" t="str">
        <f>IF(L168="","",IF(AND($AO$2=1,ISNA(MATCH(L168,'04-نيسان'!$L$2:$L$501,0))),"محذوف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IF(L169="","",IF($AO$1=1,IFERROR(MATCH(L169,'02-شباط'!$L$2:$L$501,0),0),0))</f>
        <v/>
      </c>
      <c r="W169" t="str">
        <f t="shared" si="51"/>
        <v/>
      </c>
      <c r="X169" s="38" t="str">
        <f>IF(L169="","",IF(V169&gt;0,INDEX('02-شباط'!$P$2:$P$501,V169),IF($AO$1=1,0,"")))</f>
        <v/>
      </c>
      <c r="Y169" s="38" t="str">
        <f t="shared" si="52"/>
        <v/>
      </c>
      <c r="Z169" s="39" t="str">
        <f>IF(L169="","",IF(V169&gt;0,INDEX('02-شباط'!$Q$2:$Q$501,V169),IF($AO$1=1,0,"")))</f>
        <v/>
      </c>
      <c r="AA169" s="39" t="str">
        <f t="shared" si="53"/>
        <v/>
      </c>
      <c r="AB169" s="40" t="str">
        <f>IF(OR(L169="",V169=0),"",IF(AND(N(I169)&gt;0,N(INDEX('02-شباط'!$I$2:$I$501,V169))&gt;0,INDEX('02-شباط'!$F$2:$F$501,V169)=F169),N(I169)/N(INDEX('02-شباط'!$I$2:$I$501,V169))-1,""))</f>
        <v/>
      </c>
      <c r="AC169" t="str">
        <f>IF(L169="","",IF(AND($AO$2=1,ISNA(MATCH(L169,'04-نيسان'!$L$2:$L$501,0))),"محذوف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IF(L170="","",IF($AO$1=1,IFERROR(MATCH(L170,'02-شباط'!$L$2:$L$501,0),0),0))</f>
        <v/>
      </c>
      <c r="W170" t="str">
        <f t="shared" si="51"/>
        <v/>
      </c>
      <c r="X170" s="38" t="str">
        <f>IF(L170="","",IF(V170&gt;0,INDEX('02-شباط'!$P$2:$P$501,V170),IF($AO$1=1,0,"")))</f>
        <v/>
      </c>
      <c r="Y170" s="38" t="str">
        <f t="shared" si="52"/>
        <v/>
      </c>
      <c r="Z170" s="39" t="str">
        <f>IF(L170="","",IF(V170&gt;0,INDEX('02-شباط'!$Q$2:$Q$501,V170),IF($AO$1=1,0,"")))</f>
        <v/>
      </c>
      <c r="AA170" s="39" t="str">
        <f t="shared" si="53"/>
        <v/>
      </c>
      <c r="AB170" s="40" t="str">
        <f>IF(OR(L170="",V170=0),"",IF(AND(N(I170)&gt;0,N(INDEX('02-شباط'!$I$2:$I$501,V170))&gt;0,INDEX('02-شباط'!$F$2:$F$501,V170)=F170),N(I170)/N(INDEX('02-شباط'!$I$2:$I$501,V170))-1,""))</f>
        <v/>
      </c>
      <c r="AC170" t="str">
        <f>IF(L170="","",IF(AND($AO$2=1,ISNA(MATCH(L170,'04-نيسان'!$L$2:$L$501,0))),"محذوف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IF(L171="","",IF($AO$1=1,IFERROR(MATCH(L171,'02-شباط'!$L$2:$L$501,0),0),0))</f>
        <v/>
      </c>
      <c r="W171" t="str">
        <f t="shared" si="51"/>
        <v/>
      </c>
      <c r="X171" s="38" t="str">
        <f>IF(L171="","",IF(V171&gt;0,INDEX('02-شباط'!$P$2:$P$501,V171),IF($AO$1=1,0,"")))</f>
        <v/>
      </c>
      <c r="Y171" s="38" t="str">
        <f t="shared" si="52"/>
        <v/>
      </c>
      <c r="Z171" s="39" t="str">
        <f>IF(L171="","",IF(V171&gt;0,INDEX('02-شباط'!$Q$2:$Q$501,V171),IF($AO$1=1,0,"")))</f>
        <v/>
      </c>
      <c r="AA171" s="39" t="str">
        <f t="shared" si="53"/>
        <v/>
      </c>
      <c r="AB171" s="40" t="str">
        <f>IF(OR(L171="",V171=0),"",IF(AND(N(I171)&gt;0,N(INDEX('02-شباط'!$I$2:$I$501,V171))&gt;0,INDEX('02-شباط'!$F$2:$F$501,V171)=F171),N(I171)/N(INDEX('02-شباط'!$I$2:$I$501,V171))-1,""))</f>
        <v/>
      </c>
      <c r="AC171" t="str">
        <f>IF(L171="","",IF(AND($AO$2=1,ISNA(MATCH(L171,'04-نيسان'!$L$2:$L$501,0))),"محذوف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IF(L172="","",IF($AO$1=1,IFERROR(MATCH(L172,'02-شباط'!$L$2:$L$501,0),0),0))</f>
        <v/>
      </c>
      <c r="W172" t="str">
        <f t="shared" si="51"/>
        <v/>
      </c>
      <c r="X172" s="38" t="str">
        <f>IF(L172="","",IF(V172&gt;0,INDEX('02-شباط'!$P$2:$P$501,V172),IF($AO$1=1,0,"")))</f>
        <v/>
      </c>
      <c r="Y172" s="38" t="str">
        <f t="shared" si="52"/>
        <v/>
      </c>
      <c r="Z172" s="39" t="str">
        <f>IF(L172="","",IF(V172&gt;0,INDEX('02-شباط'!$Q$2:$Q$501,V172),IF($AO$1=1,0,"")))</f>
        <v/>
      </c>
      <c r="AA172" s="39" t="str">
        <f t="shared" si="53"/>
        <v/>
      </c>
      <c r="AB172" s="40" t="str">
        <f>IF(OR(L172="",V172=0),"",IF(AND(N(I172)&gt;0,N(INDEX('02-شباط'!$I$2:$I$501,V172))&gt;0,INDEX('02-شباط'!$F$2:$F$501,V172)=F172),N(I172)/N(INDEX('02-شباط'!$I$2:$I$501,V172))-1,""))</f>
        <v/>
      </c>
      <c r="AC172" t="str">
        <f>IF(L172="","",IF(AND($AO$2=1,ISNA(MATCH(L172,'04-نيسان'!$L$2:$L$501,0))),"محذوف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IF(L173="","",IF($AO$1=1,IFERROR(MATCH(L173,'02-شباط'!$L$2:$L$501,0),0),0))</f>
        <v/>
      </c>
      <c r="W173" t="str">
        <f t="shared" si="51"/>
        <v/>
      </c>
      <c r="X173" s="38" t="str">
        <f>IF(L173="","",IF(V173&gt;0,INDEX('02-شباط'!$P$2:$P$501,V173),IF($AO$1=1,0,"")))</f>
        <v/>
      </c>
      <c r="Y173" s="38" t="str">
        <f t="shared" si="52"/>
        <v/>
      </c>
      <c r="Z173" s="39" t="str">
        <f>IF(L173="","",IF(V173&gt;0,INDEX('02-شباط'!$Q$2:$Q$501,V173),IF($AO$1=1,0,"")))</f>
        <v/>
      </c>
      <c r="AA173" s="39" t="str">
        <f t="shared" si="53"/>
        <v/>
      </c>
      <c r="AB173" s="40" t="str">
        <f>IF(OR(L173="",V173=0),"",IF(AND(N(I173)&gt;0,N(INDEX('02-شباط'!$I$2:$I$501,V173))&gt;0,INDEX('02-شباط'!$F$2:$F$501,V173)=F173),N(I173)/N(INDEX('02-شباط'!$I$2:$I$501,V173))-1,""))</f>
        <v/>
      </c>
      <c r="AC173" t="str">
        <f>IF(L173="","",IF(AND($AO$2=1,ISNA(MATCH(L173,'04-نيسان'!$L$2:$L$501,0))),"محذوف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IF(L174="","",IF($AO$1=1,IFERROR(MATCH(L174,'02-شباط'!$L$2:$L$501,0),0),0))</f>
        <v/>
      </c>
      <c r="W174" t="str">
        <f t="shared" si="51"/>
        <v/>
      </c>
      <c r="X174" s="38" t="str">
        <f>IF(L174="","",IF(V174&gt;0,INDEX('02-شباط'!$P$2:$P$501,V174),IF($AO$1=1,0,"")))</f>
        <v/>
      </c>
      <c r="Y174" s="38" t="str">
        <f t="shared" si="52"/>
        <v/>
      </c>
      <c r="Z174" s="39" t="str">
        <f>IF(L174="","",IF(V174&gt;0,INDEX('02-شباط'!$Q$2:$Q$501,V174),IF($AO$1=1,0,"")))</f>
        <v/>
      </c>
      <c r="AA174" s="39" t="str">
        <f t="shared" si="53"/>
        <v/>
      </c>
      <c r="AB174" s="40" t="str">
        <f>IF(OR(L174="",V174=0),"",IF(AND(N(I174)&gt;0,N(INDEX('02-شباط'!$I$2:$I$501,V174))&gt;0,INDEX('02-شباط'!$F$2:$F$501,V174)=F174),N(I174)/N(INDEX('02-شباط'!$I$2:$I$501,V174))-1,""))</f>
        <v/>
      </c>
      <c r="AC174" t="str">
        <f>IF(L174="","",IF(AND($AO$2=1,ISNA(MATCH(L174,'04-نيسان'!$L$2:$L$501,0))),"محذوف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IF(L175="","",IF($AO$1=1,IFERROR(MATCH(L175,'02-شباط'!$L$2:$L$501,0),0),0))</f>
        <v/>
      </c>
      <c r="W175" t="str">
        <f t="shared" si="51"/>
        <v/>
      </c>
      <c r="X175" s="38" t="str">
        <f>IF(L175="","",IF(V175&gt;0,INDEX('02-شباط'!$P$2:$P$501,V175),IF($AO$1=1,0,"")))</f>
        <v/>
      </c>
      <c r="Y175" s="38" t="str">
        <f t="shared" si="52"/>
        <v/>
      </c>
      <c r="Z175" s="39" t="str">
        <f>IF(L175="","",IF(V175&gt;0,INDEX('02-شباط'!$Q$2:$Q$501,V175),IF($AO$1=1,0,"")))</f>
        <v/>
      </c>
      <c r="AA175" s="39" t="str">
        <f t="shared" si="53"/>
        <v/>
      </c>
      <c r="AB175" s="40" t="str">
        <f>IF(OR(L175="",V175=0),"",IF(AND(N(I175)&gt;0,N(INDEX('02-شباط'!$I$2:$I$501,V175))&gt;0,INDEX('02-شباط'!$F$2:$F$501,V175)=F175),N(I175)/N(INDEX('02-شباط'!$I$2:$I$501,V175))-1,""))</f>
        <v/>
      </c>
      <c r="AC175" t="str">
        <f>IF(L175="","",IF(AND($AO$2=1,ISNA(MATCH(L175,'04-نيسان'!$L$2:$L$501,0))),"محذوف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IF(L176="","",IF($AO$1=1,IFERROR(MATCH(L176,'02-شباط'!$L$2:$L$501,0),0),0))</f>
        <v/>
      </c>
      <c r="W176" t="str">
        <f t="shared" si="51"/>
        <v/>
      </c>
      <c r="X176" s="38" t="str">
        <f>IF(L176="","",IF(V176&gt;0,INDEX('02-شباط'!$P$2:$P$501,V176),IF($AO$1=1,0,"")))</f>
        <v/>
      </c>
      <c r="Y176" s="38" t="str">
        <f t="shared" si="52"/>
        <v/>
      </c>
      <c r="Z176" s="39" t="str">
        <f>IF(L176="","",IF(V176&gt;0,INDEX('02-شباط'!$Q$2:$Q$501,V176),IF($AO$1=1,0,"")))</f>
        <v/>
      </c>
      <c r="AA176" s="39" t="str">
        <f t="shared" si="53"/>
        <v/>
      </c>
      <c r="AB176" s="40" t="str">
        <f>IF(OR(L176="",V176=0),"",IF(AND(N(I176)&gt;0,N(INDEX('02-شباط'!$I$2:$I$501,V176))&gt;0,INDEX('02-شباط'!$F$2:$F$501,V176)=F176),N(I176)/N(INDEX('02-شباط'!$I$2:$I$501,V176))-1,""))</f>
        <v/>
      </c>
      <c r="AC176" t="str">
        <f>IF(L176="","",IF(AND($AO$2=1,ISNA(MATCH(L176,'04-نيسان'!$L$2:$L$501,0))),"محذوف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IF(L177="","",IF($AO$1=1,IFERROR(MATCH(L177,'02-شباط'!$L$2:$L$501,0),0),0))</f>
        <v/>
      </c>
      <c r="W177" t="str">
        <f t="shared" si="51"/>
        <v/>
      </c>
      <c r="X177" s="38" t="str">
        <f>IF(L177="","",IF(V177&gt;0,INDEX('02-شباط'!$P$2:$P$501,V177),IF($AO$1=1,0,"")))</f>
        <v/>
      </c>
      <c r="Y177" s="38" t="str">
        <f t="shared" si="52"/>
        <v/>
      </c>
      <c r="Z177" s="39" t="str">
        <f>IF(L177="","",IF(V177&gt;0,INDEX('02-شباط'!$Q$2:$Q$501,V177),IF($AO$1=1,0,"")))</f>
        <v/>
      </c>
      <c r="AA177" s="39" t="str">
        <f t="shared" si="53"/>
        <v/>
      </c>
      <c r="AB177" s="40" t="str">
        <f>IF(OR(L177="",V177=0),"",IF(AND(N(I177)&gt;0,N(INDEX('02-شباط'!$I$2:$I$501,V177))&gt;0,INDEX('02-شباط'!$F$2:$F$501,V177)=F177),N(I177)/N(INDEX('02-شباط'!$I$2:$I$501,V177))-1,""))</f>
        <v/>
      </c>
      <c r="AC177" t="str">
        <f>IF(L177="","",IF(AND($AO$2=1,ISNA(MATCH(L177,'04-نيسان'!$L$2:$L$501,0))),"محذوف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IF(L178="","",IF($AO$1=1,IFERROR(MATCH(L178,'02-شباط'!$L$2:$L$501,0),0),0))</f>
        <v/>
      </c>
      <c r="W178" t="str">
        <f t="shared" si="51"/>
        <v/>
      </c>
      <c r="X178" s="38" t="str">
        <f>IF(L178="","",IF(V178&gt;0,INDEX('02-شباط'!$P$2:$P$501,V178),IF($AO$1=1,0,"")))</f>
        <v/>
      </c>
      <c r="Y178" s="38" t="str">
        <f t="shared" si="52"/>
        <v/>
      </c>
      <c r="Z178" s="39" t="str">
        <f>IF(L178="","",IF(V178&gt;0,INDEX('02-شباط'!$Q$2:$Q$501,V178),IF($AO$1=1,0,"")))</f>
        <v/>
      </c>
      <c r="AA178" s="39" t="str">
        <f t="shared" si="53"/>
        <v/>
      </c>
      <c r="AB178" s="40" t="str">
        <f>IF(OR(L178="",V178=0),"",IF(AND(N(I178)&gt;0,N(INDEX('02-شباط'!$I$2:$I$501,V178))&gt;0,INDEX('02-شباط'!$F$2:$F$501,V178)=F178),N(I178)/N(INDEX('02-شباط'!$I$2:$I$501,V178))-1,""))</f>
        <v/>
      </c>
      <c r="AC178" t="str">
        <f>IF(L178="","",IF(AND($AO$2=1,ISNA(MATCH(L178,'04-نيسان'!$L$2:$L$501,0))),"محذوف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IF(L179="","",IF($AO$1=1,IFERROR(MATCH(L179,'02-شباط'!$L$2:$L$501,0),0),0))</f>
        <v/>
      </c>
      <c r="W179" t="str">
        <f t="shared" si="51"/>
        <v/>
      </c>
      <c r="X179" s="38" t="str">
        <f>IF(L179="","",IF(V179&gt;0,INDEX('02-شباط'!$P$2:$P$501,V179),IF($AO$1=1,0,"")))</f>
        <v/>
      </c>
      <c r="Y179" s="38" t="str">
        <f t="shared" si="52"/>
        <v/>
      </c>
      <c r="Z179" s="39" t="str">
        <f>IF(L179="","",IF(V179&gt;0,INDEX('02-شباط'!$Q$2:$Q$501,V179),IF($AO$1=1,0,"")))</f>
        <v/>
      </c>
      <c r="AA179" s="39" t="str">
        <f t="shared" si="53"/>
        <v/>
      </c>
      <c r="AB179" s="40" t="str">
        <f>IF(OR(L179="",V179=0),"",IF(AND(N(I179)&gt;0,N(INDEX('02-شباط'!$I$2:$I$501,V179))&gt;0,INDEX('02-شباط'!$F$2:$F$501,V179)=F179),N(I179)/N(INDEX('02-شباط'!$I$2:$I$501,V179))-1,""))</f>
        <v/>
      </c>
      <c r="AC179" t="str">
        <f>IF(L179="","",IF(AND($AO$2=1,ISNA(MATCH(L179,'04-نيسان'!$L$2:$L$501,0))),"محذوف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IF(L180="","",IF($AO$1=1,IFERROR(MATCH(L180,'02-شباط'!$L$2:$L$501,0),0),0))</f>
        <v/>
      </c>
      <c r="W180" t="str">
        <f t="shared" si="51"/>
        <v/>
      </c>
      <c r="X180" s="38" t="str">
        <f>IF(L180="","",IF(V180&gt;0,INDEX('02-شباط'!$P$2:$P$501,V180),IF($AO$1=1,0,"")))</f>
        <v/>
      </c>
      <c r="Y180" s="38" t="str">
        <f t="shared" si="52"/>
        <v/>
      </c>
      <c r="Z180" s="39" t="str">
        <f>IF(L180="","",IF(V180&gt;0,INDEX('02-شباط'!$Q$2:$Q$501,V180),IF($AO$1=1,0,"")))</f>
        <v/>
      </c>
      <c r="AA180" s="39" t="str">
        <f t="shared" si="53"/>
        <v/>
      </c>
      <c r="AB180" s="40" t="str">
        <f>IF(OR(L180="",V180=0),"",IF(AND(N(I180)&gt;0,N(INDEX('02-شباط'!$I$2:$I$501,V180))&gt;0,INDEX('02-شباط'!$F$2:$F$501,V180)=F180),N(I180)/N(INDEX('02-شباط'!$I$2:$I$501,V180))-1,""))</f>
        <v/>
      </c>
      <c r="AC180" t="str">
        <f>IF(L180="","",IF(AND($AO$2=1,ISNA(MATCH(L180,'04-نيسان'!$L$2:$L$501,0))),"محذوف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IF(L181="","",IF($AO$1=1,IFERROR(MATCH(L181,'02-شباط'!$L$2:$L$501,0),0),0))</f>
        <v/>
      </c>
      <c r="W181" t="str">
        <f t="shared" si="51"/>
        <v/>
      </c>
      <c r="X181" s="38" t="str">
        <f>IF(L181="","",IF(V181&gt;0,INDEX('02-شباط'!$P$2:$P$501,V181),IF($AO$1=1,0,"")))</f>
        <v/>
      </c>
      <c r="Y181" s="38" t="str">
        <f t="shared" si="52"/>
        <v/>
      </c>
      <c r="Z181" s="39" t="str">
        <f>IF(L181="","",IF(V181&gt;0,INDEX('02-شباط'!$Q$2:$Q$501,V181),IF($AO$1=1,0,"")))</f>
        <v/>
      </c>
      <c r="AA181" s="39" t="str">
        <f t="shared" si="53"/>
        <v/>
      </c>
      <c r="AB181" s="40" t="str">
        <f>IF(OR(L181="",V181=0),"",IF(AND(N(I181)&gt;0,N(INDEX('02-شباط'!$I$2:$I$501,V181))&gt;0,INDEX('02-شباط'!$F$2:$F$501,V181)=F181),N(I181)/N(INDEX('02-شباط'!$I$2:$I$501,V181))-1,""))</f>
        <v/>
      </c>
      <c r="AC181" t="str">
        <f>IF(L181="","",IF(AND($AO$2=1,ISNA(MATCH(L181,'04-نيسان'!$L$2:$L$501,0))),"محذوف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IF(L182="","",IF($AO$1=1,IFERROR(MATCH(L182,'02-شباط'!$L$2:$L$501,0),0),0))</f>
        <v/>
      </c>
      <c r="W182" t="str">
        <f t="shared" si="51"/>
        <v/>
      </c>
      <c r="X182" s="38" t="str">
        <f>IF(L182="","",IF(V182&gt;0,INDEX('02-شباط'!$P$2:$P$501,V182),IF($AO$1=1,0,"")))</f>
        <v/>
      </c>
      <c r="Y182" s="38" t="str">
        <f t="shared" si="52"/>
        <v/>
      </c>
      <c r="Z182" s="39" t="str">
        <f>IF(L182="","",IF(V182&gt;0,INDEX('02-شباط'!$Q$2:$Q$501,V182),IF($AO$1=1,0,"")))</f>
        <v/>
      </c>
      <c r="AA182" s="39" t="str">
        <f t="shared" si="53"/>
        <v/>
      </c>
      <c r="AB182" s="40" t="str">
        <f>IF(OR(L182="",V182=0),"",IF(AND(N(I182)&gt;0,N(INDEX('02-شباط'!$I$2:$I$501,V182))&gt;0,INDEX('02-شباط'!$F$2:$F$501,V182)=F182),N(I182)/N(INDEX('02-شباط'!$I$2:$I$501,V182))-1,""))</f>
        <v/>
      </c>
      <c r="AC182" t="str">
        <f>IF(L182="","",IF(AND($AO$2=1,ISNA(MATCH(L182,'04-نيسان'!$L$2:$L$501,0))),"محذوف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IF(L183="","",IF($AO$1=1,IFERROR(MATCH(L183,'02-شباط'!$L$2:$L$501,0),0),0))</f>
        <v/>
      </c>
      <c r="W183" t="str">
        <f t="shared" si="51"/>
        <v/>
      </c>
      <c r="X183" s="38" t="str">
        <f>IF(L183="","",IF(V183&gt;0,INDEX('02-شباط'!$P$2:$P$501,V183),IF($AO$1=1,0,"")))</f>
        <v/>
      </c>
      <c r="Y183" s="38" t="str">
        <f t="shared" si="52"/>
        <v/>
      </c>
      <c r="Z183" s="39" t="str">
        <f>IF(L183="","",IF(V183&gt;0,INDEX('02-شباط'!$Q$2:$Q$501,V183),IF($AO$1=1,0,"")))</f>
        <v/>
      </c>
      <c r="AA183" s="39" t="str">
        <f t="shared" si="53"/>
        <v/>
      </c>
      <c r="AB183" s="40" t="str">
        <f>IF(OR(L183="",V183=0),"",IF(AND(N(I183)&gt;0,N(INDEX('02-شباط'!$I$2:$I$501,V183))&gt;0,INDEX('02-شباط'!$F$2:$F$501,V183)=F183),N(I183)/N(INDEX('02-شباط'!$I$2:$I$501,V183))-1,""))</f>
        <v/>
      </c>
      <c r="AC183" t="str">
        <f>IF(L183="","",IF(AND($AO$2=1,ISNA(MATCH(L183,'04-نيسان'!$L$2:$L$501,0))),"محذوف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IF(L184="","",IF($AO$1=1,IFERROR(MATCH(L184,'02-شباط'!$L$2:$L$501,0),0),0))</f>
        <v/>
      </c>
      <c r="W184" t="str">
        <f t="shared" si="51"/>
        <v/>
      </c>
      <c r="X184" s="38" t="str">
        <f>IF(L184="","",IF(V184&gt;0,INDEX('02-شباط'!$P$2:$P$501,V184),IF($AO$1=1,0,"")))</f>
        <v/>
      </c>
      <c r="Y184" s="38" t="str">
        <f t="shared" si="52"/>
        <v/>
      </c>
      <c r="Z184" s="39" t="str">
        <f>IF(L184="","",IF(V184&gt;0,INDEX('02-شباط'!$Q$2:$Q$501,V184),IF($AO$1=1,0,"")))</f>
        <v/>
      </c>
      <c r="AA184" s="39" t="str">
        <f t="shared" si="53"/>
        <v/>
      </c>
      <c r="AB184" s="40" t="str">
        <f>IF(OR(L184="",V184=0),"",IF(AND(N(I184)&gt;0,N(INDEX('02-شباط'!$I$2:$I$501,V184))&gt;0,INDEX('02-شباط'!$F$2:$F$501,V184)=F184),N(I184)/N(INDEX('02-شباط'!$I$2:$I$501,V184))-1,""))</f>
        <v/>
      </c>
      <c r="AC184" t="str">
        <f>IF(L184="","",IF(AND($AO$2=1,ISNA(MATCH(L184,'04-نيسان'!$L$2:$L$501,0))),"محذوف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IF(L185="","",IF($AO$1=1,IFERROR(MATCH(L185,'02-شباط'!$L$2:$L$501,0),0),0))</f>
        <v/>
      </c>
      <c r="W185" t="str">
        <f t="shared" si="51"/>
        <v/>
      </c>
      <c r="X185" s="38" t="str">
        <f>IF(L185="","",IF(V185&gt;0,INDEX('02-شباط'!$P$2:$P$501,V185),IF($AO$1=1,0,"")))</f>
        <v/>
      </c>
      <c r="Y185" s="38" t="str">
        <f t="shared" si="52"/>
        <v/>
      </c>
      <c r="Z185" s="39" t="str">
        <f>IF(L185="","",IF(V185&gt;0,INDEX('02-شباط'!$Q$2:$Q$501,V185),IF($AO$1=1,0,"")))</f>
        <v/>
      </c>
      <c r="AA185" s="39" t="str">
        <f t="shared" si="53"/>
        <v/>
      </c>
      <c r="AB185" s="40" t="str">
        <f>IF(OR(L185="",V185=0),"",IF(AND(N(I185)&gt;0,N(INDEX('02-شباط'!$I$2:$I$501,V185))&gt;0,INDEX('02-شباط'!$F$2:$F$501,V185)=F185),N(I185)/N(INDEX('02-شباط'!$I$2:$I$501,V185))-1,""))</f>
        <v/>
      </c>
      <c r="AC185" t="str">
        <f>IF(L185="","",IF(AND($AO$2=1,ISNA(MATCH(L185,'04-نيسان'!$L$2:$L$501,0))),"محذوف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IF(L186="","",IF($AO$1=1,IFERROR(MATCH(L186,'02-شباط'!$L$2:$L$501,0),0),0))</f>
        <v/>
      </c>
      <c r="W186" t="str">
        <f t="shared" si="51"/>
        <v/>
      </c>
      <c r="X186" s="38" t="str">
        <f>IF(L186="","",IF(V186&gt;0,INDEX('02-شباط'!$P$2:$P$501,V186),IF($AO$1=1,0,"")))</f>
        <v/>
      </c>
      <c r="Y186" s="38" t="str">
        <f t="shared" si="52"/>
        <v/>
      </c>
      <c r="Z186" s="39" t="str">
        <f>IF(L186="","",IF(V186&gt;0,INDEX('02-شباط'!$Q$2:$Q$501,V186),IF($AO$1=1,0,"")))</f>
        <v/>
      </c>
      <c r="AA186" s="39" t="str">
        <f t="shared" si="53"/>
        <v/>
      </c>
      <c r="AB186" s="40" t="str">
        <f>IF(OR(L186="",V186=0),"",IF(AND(N(I186)&gt;0,N(INDEX('02-شباط'!$I$2:$I$501,V186))&gt;0,INDEX('02-شباط'!$F$2:$F$501,V186)=F186),N(I186)/N(INDEX('02-شباط'!$I$2:$I$501,V186))-1,""))</f>
        <v/>
      </c>
      <c r="AC186" t="str">
        <f>IF(L186="","",IF(AND($AO$2=1,ISNA(MATCH(L186,'04-نيسان'!$L$2:$L$501,0))),"محذوف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IF(L187="","",IF($AO$1=1,IFERROR(MATCH(L187,'02-شباط'!$L$2:$L$501,0),0),0))</f>
        <v/>
      </c>
      <c r="W187" t="str">
        <f t="shared" si="51"/>
        <v/>
      </c>
      <c r="X187" s="38" t="str">
        <f>IF(L187="","",IF(V187&gt;0,INDEX('02-شباط'!$P$2:$P$501,V187),IF($AO$1=1,0,"")))</f>
        <v/>
      </c>
      <c r="Y187" s="38" t="str">
        <f t="shared" si="52"/>
        <v/>
      </c>
      <c r="Z187" s="39" t="str">
        <f>IF(L187="","",IF(V187&gt;0,INDEX('02-شباط'!$Q$2:$Q$501,V187),IF($AO$1=1,0,"")))</f>
        <v/>
      </c>
      <c r="AA187" s="39" t="str">
        <f t="shared" si="53"/>
        <v/>
      </c>
      <c r="AB187" s="40" t="str">
        <f>IF(OR(L187="",V187=0),"",IF(AND(N(I187)&gt;0,N(INDEX('02-شباط'!$I$2:$I$501,V187))&gt;0,INDEX('02-شباط'!$F$2:$F$501,V187)=F187),N(I187)/N(INDEX('02-شباط'!$I$2:$I$501,V187))-1,""))</f>
        <v/>
      </c>
      <c r="AC187" t="str">
        <f>IF(L187="","",IF(AND($AO$2=1,ISNA(MATCH(L187,'04-نيسان'!$L$2:$L$501,0))),"محذوف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IF(L188="","",IF($AO$1=1,IFERROR(MATCH(L188,'02-شباط'!$L$2:$L$501,0),0),0))</f>
        <v/>
      </c>
      <c r="W188" t="str">
        <f t="shared" si="51"/>
        <v/>
      </c>
      <c r="X188" s="38" t="str">
        <f>IF(L188="","",IF(V188&gt;0,INDEX('02-شباط'!$P$2:$P$501,V188),IF($AO$1=1,0,"")))</f>
        <v/>
      </c>
      <c r="Y188" s="38" t="str">
        <f t="shared" si="52"/>
        <v/>
      </c>
      <c r="Z188" s="39" t="str">
        <f>IF(L188="","",IF(V188&gt;0,INDEX('02-شباط'!$Q$2:$Q$501,V188),IF($AO$1=1,0,"")))</f>
        <v/>
      </c>
      <c r="AA188" s="39" t="str">
        <f t="shared" si="53"/>
        <v/>
      </c>
      <c r="AB188" s="40" t="str">
        <f>IF(OR(L188="",V188=0),"",IF(AND(N(I188)&gt;0,N(INDEX('02-شباط'!$I$2:$I$501,V188))&gt;0,INDEX('02-شباط'!$F$2:$F$501,V188)=F188),N(I188)/N(INDEX('02-شباط'!$I$2:$I$501,V188))-1,""))</f>
        <v/>
      </c>
      <c r="AC188" t="str">
        <f>IF(L188="","",IF(AND($AO$2=1,ISNA(MATCH(L188,'04-نيسان'!$L$2:$L$501,0))),"محذوف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IF(L189="","",IF($AO$1=1,IFERROR(MATCH(L189,'02-شباط'!$L$2:$L$501,0),0),0))</f>
        <v/>
      </c>
      <c r="W189" t="str">
        <f t="shared" si="51"/>
        <v/>
      </c>
      <c r="X189" s="38" t="str">
        <f>IF(L189="","",IF(V189&gt;0,INDEX('02-شباط'!$P$2:$P$501,V189),IF($AO$1=1,0,"")))</f>
        <v/>
      </c>
      <c r="Y189" s="38" t="str">
        <f t="shared" si="52"/>
        <v/>
      </c>
      <c r="Z189" s="39" t="str">
        <f>IF(L189="","",IF(V189&gt;0,INDEX('02-شباط'!$Q$2:$Q$501,V189),IF($AO$1=1,0,"")))</f>
        <v/>
      </c>
      <c r="AA189" s="39" t="str">
        <f t="shared" si="53"/>
        <v/>
      </c>
      <c r="AB189" s="40" t="str">
        <f>IF(OR(L189="",V189=0),"",IF(AND(N(I189)&gt;0,N(INDEX('02-شباط'!$I$2:$I$501,V189))&gt;0,INDEX('02-شباط'!$F$2:$F$501,V189)=F189),N(I189)/N(INDEX('02-شباط'!$I$2:$I$501,V189))-1,""))</f>
        <v/>
      </c>
      <c r="AC189" t="str">
        <f>IF(L189="","",IF(AND($AO$2=1,ISNA(MATCH(L189,'04-نيسان'!$L$2:$L$501,0))),"محذوف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IF(L190="","",IF($AO$1=1,IFERROR(MATCH(L190,'02-شباط'!$L$2:$L$501,0),0),0))</f>
        <v/>
      </c>
      <c r="W190" t="str">
        <f t="shared" si="51"/>
        <v/>
      </c>
      <c r="X190" s="38" t="str">
        <f>IF(L190="","",IF(V190&gt;0,INDEX('02-شباط'!$P$2:$P$501,V190),IF($AO$1=1,0,"")))</f>
        <v/>
      </c>
      <c r="Y190" s="38" t="str">
        <f t="shared" si="52"/>
        <v/>
      </c>
      <c r="Z190" s="39" t="str">
        <f>IF(L190="","",IF(V190&gt;0,INDEX('02-شباط'!$Q$2:$Q$501,V190),IF($AO$1=1,0,"")))</f>
        <v/>
      </c>
      <c r="AA190" s="39" t="str">
        <f t="shared" si="53"/>
        <v/>
      </c>
      <c r="AB190" s="40" t="str">
        <f>IF(OR(L190="",V190=0),"",IF(AND(N(I190)&gt;0,N(INDEX('02-شباط'!$I$2:$I$501,V190))&gt;0,INDEX('02-شباط'!$F$2:$F$501,V190)=F190),N(I190)/N(INDEX('02-شباط'!$I$2:$I$501,V190))-1,""))</f>
        <v/>
      </c>
      <c r="AC190" t="str">
        <f>IF(L190="","",IF(AND($AO$2=1,ISNA(MATCH(L190,'04-نيسان'!$L$2:$L$501,0))),"محذوف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IF(L191="","",IF($AO$1=1,IFERROR(MATCH(L191,'02-شباط'!$L$2:$L$501,0),0),0))</f>
        <v/>
      </c>
      <c r="W191" t="str">
        <f t="shared" si="51"/>
        <v/>
      </c>
      <c r="X191" s="38" t="str">
        <f>IF(L191="","",IF(V191&gt;0,INDEX('02-شباط'!$P$2:$P$501,V191),IF($AO$1=1,0,"")))</f>
        <v/>
      </c>
      <c r="Y191" s="38" t="str">
        <f t="shared" si="52"/>
        <v/>
      </c>
      <c r="Z191" s="39" t="str">
        <f>IF(L191="","",IF(V191&gt;0,INDEX('02-شباط'!$Q$2:$Q$501,V191),IF($AO$1=1,0,"")))</f>
        <v/>
      </c>
      <c r="AA191" s="39" t="str">
        <f t="shared" si="53"/>
        <v/>
      </c>
      <c r="AB191" s="40" t="str">
        <f>IF(OR(L191="",V191=0),"",IF(AND(N(I191)&gt;0,N(INDEX('02-شباط'!$I$2:$I$501,V191))&gt;0,INDEX('02-شباط'!$F$2:$F$501,V191)=F191),N(I191)/N(INDEX('02-شباط'!$I$2:$I$501,V191))-1,""))</f>
        <v/>
      </c>
      <c r="AC191" t="str">
        <f>IF(L191="","",IF(AND($AO$2=1,ISNA(MATCH(L191,'04-نيسان'!$L$2:$L$501,0))),"محذوف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IF(L192="","",IF($AO$1=1,IFERROR(MATCH(L192,'02-شباط'!$L$2:$L$501,0),0),0))</f>
        <v/>
      </c>
      <c r="W192" t="str">
        <f t="shared" si="51"/>
        <v/>
      </c>
      <c r="X192" s="38" t="str">
        <f>IF(L192="","",IF(V192&gt;0,INDEX('02-شباط'!$P$2:$P$501,V192),IF($AO$1=1,0,"")))</f>
        <v/>
      </c>
      <c r="Y192" s="38" t="str">
        <f t="shared" si="52"/>
        <v/>
      </c>
      <c r="Z192" s="39" t="str">
        <f>IF(L192="","",IF(V192&gt;0,INDEX('02-شباط'!$Q$2:$Q$501,V192),IF($AO$1=1,0,"")))</f>
        <v/>
      </c>
      <c r="AA192" s="39" t="str">
        <f t="shared" si="53"/>
        <v/>
      </c>
      <c r="AB192" s="40" t="str">
        <f>IF(OR(L192="",V192=0),"",IF(AND(N(I192)&gt;0,N(INDEX('02-شباط'!$I$2:$I$501,V192))&gt;0,INDEX('02-شباط'!$F$2:$F$501,V192)=F192),N(I192)/N(INDEX('02-شباط'!$I$2:$I$501,V192))-1,""))</f>
        <v/>
      </c>
      <c r="AC192" t="str">
        <f>IF(L192="","",IF(AND($AO$2=1,ISNA(MATCH(L192,'04-نيسان'!$L$2:$L$501,0))),"محذوف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IF(L193="","",IF($AO$1=1,IFERROR(MATCH(L193,'02-شباط'!$L$2:$L$501,0),0),0))</f>
        <v/>
      </c>
      <c r="W193" t="str">
        <f t="shared" si="51"/>
        <v/>
      </c>
      <c r="X193" s="38" t="str">
        <f>IF(L193="","",IF(V193&gt;0,INDEX('02-شباط'!$P$2:$P$501,V193),IF($AO$1=1,0,"")))</f>
        <v/>
      </c>
      <c r="Y193" s="38" t="str">
        <f t="shared" si="52"/>
        <v/>
      </c>
      <c r="Z193" s="39" t="str">
        <f>IF(L193="","",IF(V193&gt;0,INDEX('02-شباط'!$Q$2:$Q$501,V193),IF($AO$1=1,0,"")))</f>
        <v/>
      </c>
      <c r="AA193" s="39" t="str">
        <f t="shared" si="53"/>
        <v/>
      </c>
      <c r="AB193" s="40" t="str">
        <f>IF(OR(L193="",V193=0),"",IF(AND(N(I193)&gt;0,N(INDEX('02-شباط'!$I$2:$I$501,V193))&gt;0,INDEX('02-شباط'!$F$2:$F$501,V193)=F193),N(I193)/N(INDEX('02-شباط'!$I$2:$I$501,V193))-1,""))</f>
        <v/>
      </c>
      <c r="AC193" t="str">
        <f>IF(L193="","",IF(AND($AO$2=1,ISNA(MATCH(L193,'04-نيسان'!$L$2:$L$501,0))),"محذوف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IF(L194="","",IF($AO$1=1,IFERROR(MATCH(L194,'02-شباط'!$L$2:$L$501,0),0),0))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IF(L194="","",IF(V194&gt;0,INDEX('02-شباط'!$P$2:$P$501,V194),IF($AO$1=1,0,"")))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IF(L194="","",IF(V194&gt;0,INDEX('02-شباط'!$Q$2:$Q$501,V194),IF($AO$1=1,0,"")))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IF(OR(L194="",V194=0),"",IF(AND(N(I194)&gt;0,N(INDEX('02-شباط'!$I$2:$I$501,V194))&gt;0,INDEX('02-شباط'!$F$2:$F$501,V194)=F194),N(I194)/N(INDEX('02-شباط'!$I$2:$I$501,V194))-1,""))</f>
        <v/>
      </c>
      <c r="AC194" t="str">
        <f>IF(L194="","",IF(AND($AO$2=1,ISNA(MATCH(L194,'04-نيسان'!$L$2:$L$501,0))),"محذوف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IF(L195="","",IF($AO$1=1,IFERROR(MATCH(L195,'02-شباط'!$L$2:$L$501,0),0),0))</f>
        <v/>
      </c>
      <c r="W195" t="str">
        <f t="shared" si="71"/>
        <v/>
      </c>
      <c r="X195" s="38" t="str">
        <f>IF(L195="","",IF(V195&gt;0,INDEX('02-شباط'!$P$2:$P$501,V195),IF($AO$1=1,0,"")))</f>
        <v/>
      </c>
      <c r="Y195" s="38" t="str">
        <f t="shared" si="72"/>
        <v/>
      </c>
      <c r="Z195" s="39" t="str">
        <f>IF(L195="","",IF(V195&gt;0,INDEX('02-شباط'!$Q$2:$Q$501,V195),IF($AO$1=1,0,"")))</f>
        <v/>
      </c>
      <c r="AA195" s="39" t="str">
        <f t="shared" si="73"/>
        <v/>
      </c>
      <c r="AB195" s="40" t="str">
        <f>IF(OR(L195="",V195=0),"",IF(AND(N(I195)&gt;0,N(INDEX('02-شباط'!$I$2:$I$501,V195))&gt;0,INDEX('02-شباط'!$F$2:$F$501,V195)=F195),N(I195)/N(INDEX('02-شباط'!$I$2:$I$501,V195))-1,""))</f>
        <v/>
      </c>
      <c r="AC195" t="str">
        <f>IF(L195="","",IF(AND($AO$2=1,ISNA(MATCH(L195,'04-نيسان'!$L$2:$L$501,0))),"محذوف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IF(L196="","",IF($AO$1=1,IFERROR(MATCH(L196,'02-شباط'!$L$2:$L$501,0),0),0))</f>
        <v/>
      </c>
      <c r="W196" t="str">
        <f t="shared" si="71"/>
        <v/>
      </c>
      <c r="X196" s="38" t="str">
        <f>IF(L196="","",IF(V196&gt;0,INDEX('02-شباط'!$P$2:$P$501,V196),IF($AO$1=1,0,"")))</f>
        <v/>
      </c>
      <c r="Y196" s="38" t="str">
        <f t="shared" si="72"/>
        <v/>
      </c>
      <c r="Z196" s="39" t="str">
        <f>IF(L196="","",IF(V196&gt;0,INDEX('02-شباط'!$Q$2:$Q$501,V196),IF($AO$1=1,0,"")))</f>
        <v/>
      </c>
      <c r="AA196" s="39" t="str">
        <f t="shared" si="73"/>
        <v/>
      </c>
      <c r="AB196" s="40" t="str">
        <f>IF(OR(L196="",V196=0),"",IF(AND(N(I196)&gt;0,N(INDEX('02-شباط'!$I$2:$I$501,V196))&gt;0,INDEX('02-شباط'!$F$2:$F$501,V196)=F196),N(I196)/N(INDEX('02-شباط'!$I$2:$I$501,V196))-1,""))</f>
        <v/>
      </c>
      <c r="AC196" t="str">
        <f>IF(L196="","",IF(AND($AO$2=1,ISNA(MATCH(L196,'04-نيسان'!$L$2:$L$501,0))),"محذوف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IF(L197="","",IF($AO$1=1,IFERROR(MATCH(L197,'02-شباط'!$L$2:$L$501,0),0),0))</f>
        <v/>
      </c>
      <c r="W197" t="str">
        <f t="shared" si="71"/>
        <v/>
      </c>
      <c r="X197" s="38" t="str">
        <f>IF(L197="","",IF(V197&gt;0,INDEX('02-شباط'!$P$2:$P$501,V197),IF($AO$1=1,0,"")))</f>
        <v/>
      </c>
      <c r="Y197" s="38" t="str">
        <f t="shared" si="72"/>
        <v/>
      </c>
      <c r="Z197" s="39" t="str">
        <f>IF(L197="","",IF(V197&gt;0,INDEX('02-شباط'!$Q$2:$Q$501,V197),IF($AO$1=1,0,"")))</f>
        <v/>
      </c>
      <c r="AA197" s="39" t="str">
        <f t="shared" si="73"/>
        <v/>
      </c>
      <c r="AB197" s="40" t="str">
        <f>IF(OR(L197="",V197=0),"",IF(AND(N(I197)&gt;0,N(INDEX('02-شباط'!$I$2:$I$501,V197))&gt;0,INDEX('02-شباط'!$F$2:$F$501,V197)=F197),N(I197)/N(INDEX('02-شباط'!$I$2:$I$501,V197))-1,""))</f>
        <v/>
      </c>
      <c r="AC197" t="str">
        <f>IF(L197="","",IF(AND($AO$2=1,ISNA(MATCH(L197,'04-نيسان'!$L$2:$L$501,0))),"محذوف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IF(L198="","",IF($AO$1=1,IFERROR(MATCH(L198,'02-شباط'!$L$2:$L$501,0),0),0))</f>
        <v/>
      </c>
      <c r="W198" t="str">
        <f t="shared" si="71"/>
        <v/>
      </c>
      <c r="X198" s="38" t="str">
        <f>IF(L198="","",IF(V198&gt;0,INDEX('02-شباط'!$P$2:$P$501,V198),IF($AO$1=1,0,"")))</f>
        <v/>
      </c>
      <c r="Y198" s="38" t="str">
        <f t="shared" si="72"/>
        <v/>
      </c>
      <c r="Z198" s="39" t="str">
        <f>IF(L198="","",IF(V198&gt;0,INDEX('02-شباط'!$Q$2:$Q$501,V198),IF($AO$1=1,0,"")))</f>
        <v/>
      </c>
      <c r="AA198" s="39" t="str">
        <f t="shared" si="73"/>
        <v/>
      </c>
      <c r="AB198" s="40" t="str">
        <f>IF(OR(L198="",V198=0),"",IF(AND(N(I198)&gt;0,N(INDEX('02-شباط'!$I$2:$I$501,V198))&gt;0,INDEX('02-شباط'!$F$2:$F$501,V198)=F198),N(I198)/N(INDEX('02-شباط'!$I$2:$I$501,V198))-1,""))</f>
        <v/>
      </c>
      <c r="AC198" t="str">
        <f>IF(L198="","",IF(AND($AO$2=1,ISNA(MATCH(L198,'04-نيسان'!$L$2:$L$501,0))),"محذوف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IF(L199="","",IF($AO$1=1,IFERROR(MATCH(L199,'02-شباط'!$L$2:$L$501,0),0),0))</f>
        <v/>
      </c>
      <c r="W199" t="str">
        <f t="shared" si="71"/>
        <v/>
      </c>
      <c r="X199" s="38" t="str">
        <f>IF(L199="","",IF(V199&gt;0,INDEX('02-شباط'!$P$2:$P$501,V199),IF($AO$1=1,0,"")))</f>
        <v/>
      </c>
      <c r="Y199" s="38" t="str">
        <f t="shared" si="72"/>
        <v/>
      </c>
      <c r="Z199" s="39" t="str">
        <f>IF(L199="","",IF(V199&gt;0,INDEX('02-شباط'!$Q$2:$Q$501,V199),IF($AO$1=1,0,"")))</f>
        <v/>
      </c>
      <c r="AA199" s="39" t="str">
        <f t="shared" si="73"/>
        <v/>
      </c>
      <c r="AB199" s="40" t="str">
        <f>IF(OR(L199="",V199=0),"",IF(AND(N(I199)&gt;0,N(INDEX('02-شباط'!$I$2:$I$501,V199))&gt;0,INDEX('02-شباط'!$F$2:$F$501,V199)=F199),N(I199)/N(INDEX('02-شباط'!$I$2:$I$501,V199))-1,""))</f>
        <v/>
      </c>
      <c r="AC199" t="str">
        <f>IF(L199="","",IF(AND($AO$2=1,ISNA(MATCH(L199,'04-نيسان'!$L$2:$L$501,0))),"محذوف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IF(L200="","",IF($AO$1=1,IFERROR(MATCH(L200,'02-شباط'!$L$2:$L$501,0),0),0))</f>
        <v/>
      </c>
      <c r="W200" t="str">
        <f t="shared" si="71"/>
        <v/>
      </c>
      <c r="X200" s="38" t="str">
        <f>IF(L200="","",IF(V200&gt;0,INDEX('02-شباط'!$P$2:$P$501,V200),IF($AO$1=1,0,"")))</f>
        <v/>
      </c>
      <c r="Y200" s="38" t="str">
        <f t="shared" si="72"/>
        <v/>
      </c>
      <c r="Z200" s="39" t="str">
        <f>IF(L200="","",IF(V200&gt;0,INDEX('02-شباط'!$Q$2:$Q$501,V200),IF($AO$1=1,0,"")))</f>
        <v/>
      </c>
      <c r="AA200" s="39" t="str">
        <f t="shared" si="73"/>
        <v/>
      </c>
      <c r="AB200" s="40" t="str">
        <f>IF(OR(L200="",V200=0),"",IF(AND(N(I200)&gt;0,N(INDEX('02-شباط'!$I$2:$I$501,V200))&gt;0,INDEX('02-شباط'!$F$2:$F$501,V200)=F200),N(I200)/N(INDEX('02-شباط'!$I$2:$I$501,V200))-1,""))</f>
        <v/>
      </c>
      <c r="AC200" t="str">
        <f>IF(L200="","",IF(AND($AO$2=1,ISNA(MATCH(L200,'04-نيسان'!$L$2:$L$501,0))),"محذوف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IF(L201="","",IF($AO$1=1,IFERROR(MATCH(L201,'02-شباط'!$L$2:$L$501,0),0),0))</f>
        <v/>
      </c>
      <c r="W201" t="str">
        <f t="shared" si="71"/>
        <v/>
      </c>
      <c r="X201" s="38" t="str">
        <f>IF(L201="","",IF(V201&gt;0,INDEX('02-شباط'!$P$2:$P$501,V201),IF($AO$1=1,0,"")))</f>
        <v/>
      </c>
      <c r="Y201" s="38" t="str">
        <f t="shared" si="72"/>
        <v/>
      </c>
      <c r="Z201" s="39" t="str">
        <f>IF(L201="","",IF(V201&gt;0,INDEX('02-شباط'!$Q$2:$Q$501,V201),IF($AO$1=1,0,"")))</f>
        <v/>
      </c>
      <c r="AA201" s="39" t="str">
        <f t="shared" si="73"/>
        <v/>
      </c>
      <c r="AB201" s="40" t="str">
        <f>IF(OR(L201="",V201=0),"",IF(AND(N(I201)&gt;0,N(INDEX('02-شباط'!$I$2:$I$501,V201))&gt;0,INDEX('02-شباط'!$F$2:$F$501,V201)=F201),N(I201)/N(INDEX('02-شباط'!$I$2:$I$501,V201))-1,""))</f>
        <v/>
      </c>
      <c r="AC201" t="str">
        <f>IF(L201="","",IF(AND($AO$2=1,ISNA(MATCH(L201,'04-نيسان'!$L$2:$L$501,0))),"محذوف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IF(L202="","",IF($AO$1=1,IFERROR(MATCH(L202,'02-شباط'!$L$2:$L$501,0),0),0))</f>
        <v/>
      </c>
      <c r="W202" t="str">
        <f t="shared" si="71"/>
        <v/>
      </c>
      <c r="X202" s="38" t="str">
        <f>IF(L202="","",IF(V202&gt;0,INDEX('02-شباط'!$P$2:$P$501,V202),IF($AO$1=1,0,"")))</f>
        <v/>
      </c>
      <c r="Y202" s="38" t="str">
        <f t="shared" si="72"/>
        <v/>
      </c>
      <c r="Z202" s="39" t="str">
        <f>IF(L202="","",IF(V202&gt;0,INDEX('02-شباط'!$Q$2:$Q$501,V202),IF($AO$1=1,0,"")))</f>
        <v/>
      </c>
      <c r="AA202" s="39" t="str">
        <f t="shared" si="73"/>
        <v/>
      </c>
      <c r="AB202" s="40" t="str">
        <f>IF(OR(L202="",V202=0),"",IF(AND(N(I202)&gt;0,N(INDEX('02-شباط'!$I$2:$I$501,V202))&gt;0,INDEX('02-شباط'!$F$2:$F$501,V202)=F202),N(I202)/N(INDEX('02-شباط'!$I$2:$I$501,V202))-1,""))</f>
        <v/>
      </c>
      <c r="AC202" t="str">
        <f>IF(L202="","",IF(AND($AO$2=1,ISNA(MATCH(L202,'04-نيسان'!$L$2:$L$501,0))),"محذوف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IF(L203="","",IF($AO$1=1,IFERROR(MATCH(L203,'02-شباط'!$L$2:$L$501,0),0),0))</f>
        <v/>
      </c>
      <c r="W203" t="str">
        <f t="shared" si="71"/>
        <v/>
      </c>
      <c r="X203" s="38" t="str">
        <f>IF(L203="","",IF(V203&gt;0,INDEX('02-شباط'!$P$2:$P$501,V203),IF($AO$1=1,0,"")))</f>
        <v/>
      </c>
      <c r="Y203" s="38" t="str">
        <f t="shared" si="72"/>
        <v/>
      </c>
      <c r="Z203" s="39" t="str">
        <f>IF(L203="","",IF(V203&gt;0,INDEX('02-شباط'!$Q$2:$Q$501,V203),IF($AO$1=1,0,"")))</f>
        <v/>
      </c>
      <c r="AA203" s="39" t="str">
        <f t="shared" si="73"/>
        <v/>
      </c>
      <c r="AB203" s="40" t="str">
        <f>IF(OR(L203="",V203=0),"",IF(AND(N(I203)&gt;0,N(INDEX('02-شباط'!$I$2:$I$501,V203))&gt;0,INDEX('02-شباط'!$F$2:$F$501,V203)=F203),N(I203)/N(INDEX('02-شباط'!$I$2:$I$501,V203))-1,""))</f>
        <v/>
      </c>
      <c r="AC203" t="str">
        <f>IF(L203="","",IF(AND($AO$2=1,ISNA(MATCH(L203,'04-نيسان'!$L$2:$L$501,0))),"محذوف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IF(L204="","",IF($AO$1=1,IFERROR(MATCH(L204,'02-شباط'!$L$2:$L$501,0),0),0))</f>
        <v/>
      </c>
      <c r="W204" t="str">
        <f t="shared" si="71"/>
        <v/>
      </c>
      <c r="X204" s="38" t="str">
        <f>IF(L204="","",IF(V204&gt;0,INDEX('02-شباط'!$P$2:$P$501,V204),IF($AO$1=1,0,"")))</f>
        <v/>
      </c>
      <c r="Y204" s="38" t="str">
        <f t="shared" si="72"/>
        <v/>
      </c>
      <c r="Z204" s="39" t="str">
        <f>IF(L204="","",IF(V204&gt;0,INDEX('02-شباط'!$Q$2:$Q$501,V204),IF($AO$1=1,0,"")))</f>
        <v/>
      </c>
      <c r="AA204" s="39" t="str">
        <f t="shared" si="73"/>
        <v/>
      </c>
      <c r="AB204" s="40" t="str">
        <f>IF(OR(L204="",V204=0),"",IF(AND(N(I204)&gt;0,N(INDEX('02-شباط'!$I$2:$I$501,V204))&gt;0,INDEX('02-شباط'!$F$2:$F$501,V204)=F204),N(I204)/N(INDEX('02-شباط'!$I$2:$I$501,V204))-1,""))</f>
        <v/>
      </c>
      <c r="AC204" t="str">
        <f>IF(L204="","",IF(AND($AO$2=1,ISNA(MATCH(L204,'04-نيسان'!$L$2:$L$501,0))),"محذوف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IF(L205="","",IF($AO$1=1,IFERROR(MATCH(L205,'02-شباط'!$L$2:$L$501,0),0),0))</f>
        <v/>
      </c>
      <c r="W205" t="str">
        <f t="shared" si="71"/>
        <v/>
      </c>
      <c r="X205" s="38" t="str">
        <f>IF(L205="","",IF(V205&gt;0,INDEX('02-شباط'!$P$2:$P$501,V205),IF($AO$1=1,0,"")))</f>
        <v/>
      </c>
      <c r="Y205" s="38" t="str">
        <f t="shared" si="72"/>
        <v/>
      </c>
      <c r="Z205" s="39" t="str">
        <f>IF(L205="","",IF(V205&gt;0,INDEX('02-شباط'!$Q$2:$Q$501,V205),IF($AO$1=1,0,"")))</f>
        <v/>
      </c>
      <c r="AA205" s="39" t="str">
        <f t="shared" si="73"/>
        <v/>
      </c>
      <c r="AB205" s="40" t="str">
        <f>IF(OR(L205="",V205=0),"",IF(AND(N(I205)&gt;0,N(INDEX('02-شباط'!$I$2:$I$501,V205))&gt;0,INDEX('02-شباط'!$F$2:$F$501,V205)=F205),N(I205)/N(INDEX('02-شباط'!$I$2:$I$501,V205))-1,""))</f>
        <v/>
      </c>
      <c r="AC205" t="str">
        <f>IF(L205="","",IF(AND($AO$2=1,ISNA(MATCH(L205,'04-نيسان'!$L$2:$L$501,0))),"محذوف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IF(L206="","",IF($AO$1=1,IFERROR(MATCH(L206,'02-شباط'!$L$2:$L$501,0),0),0))</f>
        <v/>
      </c>
      <c r="W206" t="str">
        <f t="shared" si="71"/>
        <v/>
      </c>
      <c r="X206" s="38" t="str">
        <f>IF(L206="","",IF(V206&gt;0,INDEX('02-شباط'!$P$2:$P$501,V206),IF($AO$1=1,0,"")))</f>
        <v/>
      </c>
      <c r="Y206" s="38" t="str">
        <f t="shared" si="72"/>
        <v/>
      </c>
      <c r="Z206" s="39" t="str">
        <f>IF(L206="","",IF(V206&gt;0,INDEX('02-شباط'!$Q$2:$Q$501,V206),IF($AO$1=1,0,"")))</f>
        <v/>
      </c>
      <c r="AA206" s="39" t="str">
        <f t="shared" si="73"/>
        <v/>
      </c>
      <c r="AB206" s="40" t="str">
        <f>IF(OR(L206="",V206=0),"",IF(AND(N(I206)&gt;0,N(INDEX('02-شباط'!$I$2:$I$501,V206))&gt;0,INDEX('02-شباط'!$F$2:$F$501,V206)=F206),N(I206)/N(INDEX('02-شباط'!$I$2:$I$501,V206))-1,""))</f>
        <v/>
      </c>
      <c r="AC206" t="str">
        <f>IF(L206="","",IF(AND($AO$2=1,ISNA(MATCH(L206,'04-نيسان'!$L$2:$L$501,0))),"محذوف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IF(L207="","",IF($AO$1=1,IFERROR(MATCH(L207,'02-شباط'!$L$2:$L$501,0),0),0))</f>
        <v/>
      </c>
      <c r="W207" t="str">
        <f t="shared" si="71"/>
        <v/>
      </c>
      <c r="X207" s="38" t="str">
        <f>IF(L207="","",IF(V207&gt;0,INDEX('02-شباط'!$P$2:$P$501,V207),IF($AO$1=1,0,"")))</f>
        <v/>
      </c>
      <c r="Y207" s="38" t="str">
        <f t="shared" si="72"/>
        <v/>
      </c>
      <c r="Z207" s="39" t="str">
        <f>IF(L207="","",IF(V207&gt;0,INDEX('02-شباط'!$Q$2:$Q$501,V207),IF($AO$1=1,0,"")))</f>
        <v/>
      </c>
      <c r="AA207" s="39" t="str">
        <f t="shared" si="73"/>
        <v/>
      </c>
      <c r="AB207" s="40" t="str">
        <f>IF(OR(L207="",V207=0),"",IF(AND(N(I207)&gt;0,N(INDEX('02-شباط'!$I$2:$I$501,V207))&gt;0,INDEX('02-شباط'!$F$2:$F$501,V207)=F207),N(I207)/N(INDEX('02-شباط'!$I$2:$I$501,V207))-1,""))</f>
        <v/>
      </c>
      <c r="AC207" t="str">
        <f>IF(L207="","",IF(AND($AO$2=1,ISNA(MATCH(L207,'04-نيسان'!$L$2:$L$501,0))),"محذوف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IF(L208="","",IF($AO$1=1,IFERROR(MATCH(L208,'02-شباط'!$L$2:$L$501,0),0),0))</f>
        <v/>
      </c>
      <c r="W208" t="str">
        <f t="shared" si="71"/>
        <v/>
      </c>
      <c r="X208" s="38" t="str">
        <f>IF(L208="","",IF(V208&gt;0,INDEX('02-شباط'!$P$2:$P$501,V208),IF($AO$1=1,0,"")))</f>
        <v/>
      </c>
      <c r="Y208" s="38" t="str">
        <f t="shared" si="72"/>
        <v/>
      </c>
      <c r="Z208" s="39" t="str">
        <f>IF(L208="","",IF(V208&gt;0,INDEX('02-شباط'!$Q$2:$Q$501,V208),IF($AO$1=1,0,"")))</f>
        <v/>
      </c>
      <c r="AA208" s="39" t="str">
        <f t="shared" si="73"/>
        <v/>
      </c>
      <c r="AB208" s="40" t="str">
        <f>IF(OR(L208="",V208=0),"",IF(AND(N(I208)&gt;0,N(INDEX('02-شباط'!$I$2:$I$501,V208))&gt;0,INDEX('02-شباط'!$F$2:$F$501,V208)=F208),N(I208)/N(INDEX('02-شباط'!$I$2:$I$501,V208))-1,""))</f>
        <v/>
      </c>
      <c r="AC208" t="str">
        <f>IF(L208="","",IF(AND($AO$2=1,ISNA(MATCH(L208,'04-نيسان'!$L$2:$L$501,0))),"محذوف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IF(L209="","",IF($AO$1=1,IFERROR(MATCH(L209,'02-شباط'!$L$2:$L$501,0),0),0))</f>
        <v/>
      </c>
      <c r="W209" t="str">
        <f t="shared" si="71"/>
        <v/>
      </c>
      <c r="X209" s="38" t="str">
        <f>IF(L209="","",IF(V209&gt;0,INDEX('02-شباط'!$P$2:$P$501,V209),IF($AO$1=1,0,"")))</f>
        <v/>
      </c>
      <c r="Y209" s="38" t="str">
        <f t="shared" si="72"/>
        <v/>
      </c>
      <c r="Z209" s="39" t="str">
        <f>IF(L209="","",IF(V209&gt;0,INDEX('02-شباط'!$Q$2:$Q$501,V209),IF($AO$1=1,0,"")))</f>
        <v/>
      </c>
      <c r="AA209" s="39" t="str">
        <f t="shared" si="73"/>
        <v/>
      </c>
      <c r="AB209" s="40" t="str">
        <f>IF(OR(L209="",V209=0),"",IF(AND(N(I209)&gt;0,N(INDEX('02-شباط'!$I$2:$I$501,V209))&gt;0,INDEX('02-شباط'!$F$2:$F$501,V209)=F209),N(I209)/N(INDEX('02-شباط'!$I$2:$I$501,V209))-1,""))</f>
        <v/>
      </c>
      <c r="AC209" t="str">
        <f>IF(L209="","",IF(AND($AO$2=1,ISNA(MATCH(L209,'04-نيسان'!$L$2:$L$501,0))),"محذوف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IF(L210="","",IF($AO$1=1,IFERROR(MATCH(L210,'02-شباط'!$L$2:$L$501,0),0),0))</f>
        <v/>
      </c>
      <c r="W210" t="str">
        <f t="shared" si="71"/>
        <v/>
      </c>
      <c r="X210" s="38" t="str">
        <f>IF(L210="","",IF(V210&gt;0,INDEX('02-شباط'!$P$2:$P$501,V210),IF($AO$1=1,0,"")))</f>
        <v/>
      </c>
      <c r="Y210" s="38" t="str">
        <f t="shared" si="72"/>
        <v/>
      </c>
      <c r="Z210" s="39" t="str">
        <f>IF(L210="","",IF(V210&gt;0,INDEX('02-شباط'!$Q$2:$Q$501,V210),IF($AO$1=1,0,"")))</f>
        <v/>
      </c>
      <c r="AA210" s="39" t="str">
        <f t="shared" si="73"/>
        <v/>
      </c>
      <c r="AB210" s="40" t="str">
        <f>IF(OR(L210="",V210=0),"",IF(AND(N(I210)&gt;0,N(INDEX('02-شباط'!$I$2:$I$501,V210))&gt;0,INDEX('02-شباط'!$F$2:$F$501,V210)=F210),N(I210)/N(INDEX('02-شباط'!$I$2:$I$501,V210))-1,""))</f>
        <v/>
      </c>
      <c r="AC210" t="str">
        <f>IF(L210="","",IF(AND($AO$2=1,ISNA(MATCH(L210,'04-نيسان'!$L$2:$L$501,0))),"محذوف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IF(L211="","",IF($AO$1=1,IFERROR(MATCH(L211,'02-شباط'!$L$2:$L$501,0),0),0))</f>
        <v/>
      </c>
      <c r="W211" t="str">
        <f t="shared" si="71"/>
        <v/>
      </c>
      <c r="X211" s="38" t="str">
        <f>IF(L211="","",IF(V211&gt;0,INDEX('02-شباط'!$P$2:$P$501,V211),IF($AO$1=1,0,"")))</f>
        <v/>
      </c>
      <c r="Y211" s="38" t="str">
        <f t="shared" si="72"/>
        <v/>
      </c>
      <c r="Z211" s="39" t="str">
        <f>IF(L211="","",IF(V211&gt;0,INDEX('02-شباط'!$Q$2:$Q$501,V211),IF($AO$1=1,0,"")))</f>
        <v/>
      </c>
      <c r="AA211" s="39" t="str">
        <f t="shared" si="73"/>
        <v/>
      </c>
      <c r="AB211" s="40" t="str">
        <f>IF(OR(L211="",V211=0),"",IF(AND(N(I211)&gt;0,N(INDEX('02-شباط'!$I$2:$I$501,V211))&gt;0,INDEX('02-شباط'!$F$2:$F$501,V211)=F211),N(I211)/N(INDEX('02-شباط'!$I$2:$I$501,V211))-1,""))</f>
        <v/>
      </c>
      <c r="AC211" t="str">
        <f>IF(L211="","",IF(AND($AO$2=1,ISNA(MATCH(L211,'04-نيسان'!$L$2:$L$501,0))),"محذوف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IF(L212="","",IF($AO$1=1,IFERROR(MATCH(L212,'02-شباط'!$L$2:$L$501,0),0),0))</f>
        <v/>
      </c>
      <c r="W212" t="str">
        <f t="shared" si="71"/>
        <v/>
      </c>
      <c r="X212" s="38" t="str">
        <f>IF(L212="","",IF(V212&gt;0,INDEX('02-شباط'!$P$2:$P$501,V212),IF($AO$1=1,0,"")))</f>
        <v/>
      </c>
      <c r="Y212" s="38" t="str">
        <f t="shared" si="72"/>
        <v/>
      </c>
      <c r="Z212" s="39" t="str">
        <f>IF(L212="","",IF(V212&gt;0,INDEX('02-شباط'!$Q$2:$Q$501,V212),IF($AO$1=1,0,"")))</f>
        <v/>
      </c>
      <c r="AA212" s="39" t="str">
        <f t="shared" si="73"/>
        <v/>
      </c>
      <c r="AB212" s="40" t="str">
        <f>IF(OR(L212="",V212=0),"",IF(AND(N(I212)&gt;0,N(INDEX('02-شباط'!$I$2:$I$501,V212))&gt;0,INDEX('02-شباط'!$F$2:$F$501,V212)=F212),N(I212)/N(INDEX('02-شباط'!$I$2:$I$501,V212))-1,""))</f>
        <v/>
      </c>
      <c r="AC212" t="str">
        <f>IF(L212="","",IF(AND($AO$2=1,ISNA(MATCH(L212,'04-نيسان'!$L$2:$L$501,0))),"محذوف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IF(L213="","",IF($AO$1=1,IFERROR(MATCH(L213,'02-شباط'!$L$2:$L$501,0),0),0))</f>
        <v/>
      </c>
      <c r="W213" t="str">
        <f t="shared" si="71"/>
        <v/>
      </c>
      <c r="X213" s="38" t="str">
        <f>IF(L213="","",IF(V213&gt;0,INDEX('02-شباط'!$P$2:$P$501,V213),IF($AO$1=1,0,"")))</f>
        <v/>
      </c>
      <c r="Y213" s="38" t="str">
        <f t="shared" si="72"/>
        <v/>
      </c>
      <c r="Z213" s="39" t="str">
        <f>IF(L213="","",IF(V213&gt;0,INDEX('02-شباط'!$Q$2:$Q$501,V213),IF($AO$1=1,0,"")))</f>
        <v/>
      </c>
      <c r="AA213" s="39" t="str">
        <f t="shared" si="73"/>
        <v/>
      </c>
      <c r="AB213" s="40" t="str">
        <f>IF(OR(L213="",V213=0),"",IF(AND(N(I213)&gt;0,N(INDEX('02-شباط'!$I$2:$I$501,V213))&gt;0,INDEX('02-شباط'!$F$2:$F$501,V213)=F213),N(I213)/N(INDEX('02-شباط'!$I$2:$I$501,V213))-1,""))</f>
        <v/>
      </c>
      <c r="AC213" t="str">
        <f>IF(L213="","",IF(AND($AO$2=1,ISNA(MATCH(L213,'04-نيسان'!$L$2:$L$501,0))),"محذوف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IF(L214="","",IF($AO$1=1,IFERROR(MATCH(L214,'02-شباط'!$L$2:$L$501,0),0),0))</f>
        <v/>
      </c>
      <c r="W214" t="str">
        <f t="shared" si="71"/>
        <v/>
      </c>
      <c r="X214" s="38" t="str">
        <f>IF(L214="","",IF(V214&gt;0,INDEX('02-شباط'!$P$2:$P$501,V214),IF($AO$1=1,0,"")))</f>
        <v/>
      </c>
      <c r="Y214" s="38" t="str">
        <f t="shared" si="72"/>
        <v/>
      </c>
      <c r="Z214" s="39" t="str">
        <f>IF(L214="","",IF(V214&gt;0,INDEX('02-شباط'!$Q$2:$Q$501,V214),IF($AO$1=1,0,"")))</f>
        <v/>
      </c>
      <c r="AA214" s="39" t="str">
        <f t="shared" si="73"/>
        <v/>
      </c>
      <c r="AB214" s="40" t="str">
        <f>IF(OR(L214="",V214=0),"",IF(AND(N(I214)&gt;0,N(INDEX('02-شباط'!$I$2:$I$501,V214))&gt;0,INDEX('02-شباط'!$F$2:$F$501,V214)=F214),N(I214)/N(INDEX('02-شباط'!$I$2:$I$501,V214))-1,""))</f>
        <v/>
      </c>
      <c r="AC214" t="str">
        <f>IF(L214="","",IF(AND($AO$2=1,ISNA(MATCH(L214,'04-نيسان'!$L$2:$L$501,0))),"محذوف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IF(L215="","",IF($AO$1=1,IFERROR(MATCH(L215,'02-شباط'!$L$2:$L$501,0),0),0))</f>
        <v/>
      </c>
      <c r="W215" t="str">
        <f t="shared" si="71"/>
        <v/>
      </c>
      <c r="X215" s="38" t="str">
        <f>IF(L215="","",IF(V215&gt;0,INDEX('02-شباط'!$P$2:$P$501,V215),IF($AO$1=1,0,"")))</f>
        <v/>
      </c>
      <c r="Y215" s="38" t="str">
        <f t="shared" si="72"/>
        <v/>
      </c>
      <c r="Z215" s="39" t="str">
        <f>IF(L215="","",IF(V215&gt;0,INDEX('02-شباط'!$Q$2:$Q$501,V215),IF($AO$1=1,0,"")))</f>
        <v/>
      </c>
      <c r="AA215" s="39" t="str">
        <f t="shared" si="73"/>
        <v/>
      </c>
      <c r="AB215" s="40" t="str">
        <f>IF(OR(L215="",V215=0),"",IF(AND(N(I215)&gt;0,N(INDEX('02-شباط'!$I$2:$I$501,V215))&gt;0,INDEX('02-شباط'!$F$2:$F$501,V215)=F215),N(I215)/N(INDEX('02-شباط'!$I$2:$I$501,V215))-1,""))</f>
        <v/>
      </c>
      <c r="AC215" t="str">
        <f>IF(L215="","",IF(AND($AO$2=1,ISNA(MATCH(L215,'04-نيسان'!$L$2:$L$501,0))),"محذوف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IF(L216="","",IF($AO$1=1,IFERROR(MATCH(L216,'02-شباط'!$L$2:$L$501,0),0),0))</f>
        <v/>
      </c>
      <c r="W216" t="str">
        <f t="shared" si="71"/>
        <v/>
      </c>
      <c r="X216" s="38" t="str">
        <f>IF(L216="","",IF(V216&gt;0,INDEX('02-شباط'!$P$2:$P$501,V216),IF($AO$1=1,0,"")))</f>
        <v/>
      </c>
      <c r="Y216" s="38" t="str">
        <f t="shared" si="72"/>
        <v/>
      </c>
      <c r="Z216" s="39" t="str">
        <f>IF(L216="","",IF(V216&gt;0,INDEX('02-شباط'!$Q$2:$Q$501,V216),IF($AO$1=1,0,"")))</f>
        <v/>
      </c>
      <c r="AA216" s="39" t="str">
        <f t="shared" si="73"/>
        <v/>
      </c>
      <c r="AB216" s="40" t="str">
        <f>IF(OR(L216="",V216=0),"",IF(AND(N(I216)&gt;0,N(INDEX('02-شباط'!$I$2:$I$501,V216))&gt;0,INDEX('02-شباط'!$F$2:$F$501,V216)=F216),N(I216)/N(INDEX('02-شباط'!$I$2:$I$501,V216))-1,""))</f>
        <v/>
      </c>
      <c r="AC216" t="str">
        <f>IF(L216="","",IF(AND($AO$2=1,ISNA(MATCH(L216,'04-نيسان'!$L$2:$L$501,0))),"محذوف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IF(L217="","",IF($AO$1=1,IFERROR(MATCH(L217,'02-شباط'!$L$2:$L$501,0),0),0))</f>
        <v/>
      </c>
      <c r="W217" t="str">
        <f t="shared" si="71"/>
        <v/>
      </c>
      <c r="X217" s="38" t="str">
        <f>IF(L217="","",IF(V217&gt;0,INDEX('02-شباط'!$P$2:$P$501,V217),IF($AO$1=1,0,"")))</f>
        <v/>
      </c>
      <c r="Y217" s="38" t="str">
        <f t="shared" si="72"/>
        <v/>
      </c>
      <c r="Z217" s="39" t="str">
        <f>IF(L217="","",IF(V217&gt;0,INDEX('02-شباط'!$Q$2:$Q$501,V217),IF($AO$1=1,0,"")))</f>
        <v/>
      </c>
      <c r="AA217" s="39" t="str">
        <f t="shared" si="73"/>
        <v/>
      </c>
      <c r="AB217" s="40" t="str">
        <f>IF(OR(L217="",V217=0),"",IF(AND(N(I217)&gt;0,N(INDEX('02-شباط'!$I$2:$I$501,V217))&gt;0,INDEX('02-شباط'!$F$2:$F$501,V217)=F217),N(I217)/N(INDEX('02-شباط'!$I$2:$I$501,V217))-1,""))</f>
        <v/>
      </c>
      <c r="AC217" t="str">
        <f>IF(L217="","",IF(AND($AO$2=1,ISNA(MATCH(L217,'04-نيسان'!$L$2:$L$501,0))),"محذوف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IF(L218="","",IF($AO$1=1,IFERROR(MATCH(L218,'02-شباط'!$L$2:$L$501,0),0),0))</f>
        <v/>
      </c>
      <c r="W218" t="str">
        <f t="shared" si="71"/>
        <v/>
      </c>
      <c r="X218" s="38" t="str">
        <f>IF(L218="","",IF(V218&gt;0,INDEX('02-شباط'!$P$2:$P$501,V218),IF($AO$1=1,0,"")))</f>
        <v/>
      </c>
      <c r="Y218" s="38" t="str">
        <f t="shared" si="72"/>
        <v/>
      </c>
      <c r="Z218" s="39" t="str">
        <f>IF(L218="","",IF(V218&gt;0,INDEX('02-شباط'!$Q$2:$Q$501,V218),IF($AO$1=1,0,"")))</f>
        <v/>
      </c>
      <c r="AA218" s="39" t="str">
        <f t="shared" si="73"/>
        <v/>
      </c>
      <c r="AB218" s="40" t="str">
        <f>IF(OR(L218="",V218=0),"",IF(AND(N(I218)&gt;0,N(INDEX('02-شباط'!$I$2:$I$501,V218))&gt;0,INDEX('02-شباط'!$F$2:$F$501,V218)=F218),N(I218)/N(INDEX('02-شباط'!$I$2:$I$501,V218))-1,""))</f>
        <v/>
      </c>
      <c r="AC218" t="str">
        <f>IF(L218="","",IF(AND($AO$2=1,ISNA(MATCH(L218,'04-نيسان'!$L$2:$L$501,0))),"محذوف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IF(L219="","",IF($AO$1=1,IFERROR(MATCH(L219,'02-شباط'!$L$2:$L$501,0),0),0))</f>
        <v/>
      </c>
      <c r="W219" t="str">
        <f t="shared" si="71"/>
        <v/>
      </c>
      <c r="X219" s="38" t="str">
        <f>IF(L219="","",IF(V219&gt;0,INDEX('02-شباط'!$P$2:$P$501,V219),IF($AO$1=1,0,"")))</f>
        <v/>
      </c>
      <c r="Y219" s="38" t="str">
        <f t="shared" si="72"/>
        <v/>
      </c>
      <c r="Z219" s="39" t="str">
        <f>IF(L219="","",IF(V219&gt;0,INDEX('02-شباط'!$Q$2:$Q$501,V219),IF($AO$1=1,0,"")))</f>
        <v/>
      </c>
      <c r="AA219" s="39" t="str">
        <f t="shared" si="73"/>
        <v/>
      </c>
      <c r="AB219" s="40" t="str">
        <f>IF(OR(L219="",V219=0),"",IF(AND(N(I219)&gt;0,N(INDEX('02-شباط'!$I$2:$I$501,V219))&gt;0,INDEX('02-شباط'!$F$2:$F$501,V219)=F219),N(I219)/N(INDEX('02-شباط'!$I$2:$I$501,V219))-1,""))</f>
        <v/>
      </c>
      <c r="AC219" t="str">
        <f>IF(L219="","",IF(AND($AO$2=1,ISNA(MATCH(L219,'04-نيسان'!$L$2:$L$501,0))),"محذوف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IF(L220="","",IF($AO$1=1,IFERROR(MATCH(L220,'02-شباط'!$L$2:$L$501,0),0),0))</f>
        <v/>
      </c>
      <c r="W220" t="str">
        <f t="shared" si="71"/>
        <v/>
      </c>
      <c r="X220" s="38" t="str">
        <f>IF(L220="","",IF(V220&gt;0,INDEX('02-شباط'!$P$2:$P$501,V220),IF($AO$1=1,0,"")))</f>
        <v/>
      </c>
      <c r="Y220" s="38" t="str">
        <f t="shared" si="72"/>
        <v/>
      </c>
      <c r="Z220" s="39" t="str">
        <f>IF(L220="","",IF(V220&gt;0,INDEX('02-شباط'!$Q$2:$Q$501,V220),IF($AO$1=1,0,"")))</f>
        <v/>
      </c>
      <c r="AA220" s="39" t="str">
        <f t="shared" si="73"/>
        <v/>
      </c>
      <c r="AB220" s="40" t="str">
        <f>IF(OR(L220="",V220=0),"",IF(AND(N(I220)&gt;0,N(INDEX('02-شباط'!$I$2:$I$501,V220))&gt;0,INDEX('02-شباط'!$F$2:$F$501,V220)=F220),N(I220)/N(INDEX('02-شباط'!$I$2:$I$501,V220))-1,""))</f>
        <v/>
      </c>
      <c r="AC220" t="str">
        <f>IF(L220="","",IF(AND($AO$2=1,ISNA(MATCH(L220,'04-نيسان'!$L$2:$L$501,0))),"محذوف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IF(L221="","",IF($AO$1=1,IFERROR(MATCH(L221,'02-شباط'!$L$2:$L$501,0),0),0))</f>
        <v/>
      </c>
      <c r="W221" t="str">
        <f t="shared" si="71"/>
        <v/>
      </c>
      <c r="X221" s="38" t="str">
        <f>IF(L221="","",IF(V221&gt;0,INDEX('02-شباط'!$P$2:$P$501,V221),IF($AO$1=1,0,"")))</f>
        <v/>
      </c>
      <c r="Y221" s="38" t="str">
        <f t="shared" si="72"/>
        <v/>
      </c>
      <c r="Z221" s="39" t="str">
        <f>IF(L221="","",IF(V221&gt;0,INDEX('02-شباط'!$Q$2:$Q$501,V221),IF($AO$1=1,0,"")))</f>
        <v/>
      </c>
      <c r="AA221" s="39" t="str">
        <f t="shared" si="73"/>
        <v/>
      </c>
      <c r="AB221" s="40" t="str">
        <f>IF(OR(L221="",V221=0),"",IF(AND(N(I221)&gt;0,N(INDEX('02-شباط'!$I$2:$I$501,V221))&gt;0,INDEX('02-شباط'!$F$2:$F$501,V221)=F221),N(I221)/N(INDEX('02-شباط'!$I$2:$I$501,V221))-1,""))</f>
        <v/>
      </c>
      <c r="AC221" t="str">
        <f>IF(L221="","",IF(AND($AO$2=1,ISNA(MATCH(L221,'04-نيسان'!$L$2:$L$501,0))),"محذوف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IF(L222="","",IF($AO$1=1,IFERROR(MATCH(L222,'02-شباط'!$L$2:$L$501,0),0),0))</f>
        <v/>
      </c>
      <c r="W222" t="str">
        <f t="shared" si="71"/>
        <v/>
      </c>
      <c r="X222" s="38" t="str">
        <f>IF(L222="","",IF(V222&gt;0,INDEX('02-شباط'!$P$2:$P$501,V222),IF($AO$1=1,0,"")))</f>
        <v/>
      </c>
      <c r="Y222" s="38" t="str">
        <f t="shared" si="72"/>
        <v/>
      </c>
      <c r="Z222" s="39" t="str">
        <f>IF(L222="","",IF(V222&gt;0,INDEX('02-شباط'!$Q$2:$Q$501,V222),IF($AO$1=1,0,"")))</f>
        <v/>
      </c>
      <c r="AA222" s="39" t="str">
        <f t="shared" si="73"/>
        <v/>
      </c>
      <c r="AB222" s="40" t="str">
        <f>IF(OR(L222="",V222=0),"",IF(AND(N(I222)&gt;0,N(INDEX('02-شباط'!$I$2:$I$501,V222))&gt;0,INDEX('02-شباط'!$F$2:$F$501,V222)=F222),N(I222)/N(INDEX('02-شباط'!$I$2:$I$501,V222))-1,""))</f>
        <v/>
      </c>
      <c r="AC222" t="str">
        <f>IF(L222="","",IF(AND($AO$2=1,ISNA(MATCH(L222,'04-نيسان'!$L$2:$L$501,0))),"محذوف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IF(L223="","",IF($AO$1=1,IFERROR(MATCH(L223,'02-شباط'!$L$2:$L$501,0),0),0))</f>
        <v/>
      </c>
      <c r="W223" t="str">
        <f t="shared" si="71"/>
        <v/>
      </c>
      <c r="X223" s="38" t="str">
        <f>IF(L223="","",IF(V223&gt;0,INDEX('02-شباط'!$P$2:$P$501,V223),IF($AO$1=1,0,"")))</f>
        <v/>
      </c>
      <c r="Y223" s="38" t="str">
        <f t="shared" si="72"/>
        <v/>
      </c>
      <c r="Z223" s="39" t="str">
        <f>IF(L223="","",IF(V223&gt;0,INDEX('02-شباط'!$Q$2:$Q$501,V223),IF($AO$1=1,0,"")))</f>
        <v/>
      </c>
      <c r="AA223" s="39" t="str">
        <f t="shared" si="73"/>
        <v/>
      </c>
      <c r="AB223" s="40" t="str">
        <f>IF(OR(L223="",V223=0),"",IF(AND(N(I223)&gt;0,N(INDEX('02-شباط'!$I$2:$I$501,V223))&gt;0,INDEX('02-شباط'!$F$2:$F$501,V223)=F223),N(I223)/N(INDEX('02-شباط'!$I$2:$I$501,V223))-1,""))</f>
        <v/>
      </c>
      <c r="AC223" t="str">
        <f>IF(L223="","",IF(AND($AO$2=1,ISNA(MATCH(L223,'04-نيسان'!$L$2:$L$501,0))),"محذوف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IF(L224="","",IF($AO$1=1,IFERROR(MATCH(L224,'02-شباط'!$L$2:$L$501,0),0),0))</f>
        <v/>
      </c>
      <c r="W224" t="str">
        <f t="shared" si="71"/>
        <v/>
      </c>
      <c r="X224" s="38" t="str">
        <f>IF(L224="","",IF(V224&gt;0,INDEX('02-شباط'!$P$2:$P$501,V224),IF($AO$1=1,0,"")))</f>
        <v/>
      </c>
      <c r="Y224" s="38" t="str">
        <f t="shared" si="72"/>
        <v/>
      </c>
      <c r="Z224" s="39" t="str">
        <f>IF(L224="","",IF(V224&gt;0,INDEX('02-شباط'!$Q$2:$Q$501,V224),IF($AO$1=1,0,"")))</f>
        <v/>
      </c>
      <c r="AA224" s="39" t="str">
        <f t="shared" si="73"/>
        <v/>
      </c>
      <c r="AB224" s="40" t="str">
        <f>IF(OR(L224="",V224=0),"",IF(AND(N(I224)&gt;0,N(INDEX('02-شباط'!$I$2:$I$501,V224))&gt;0,INDEX('02-شباط'!$F$2:$F$501,V224)=F224),N(I224)/N(INDEX('02-شباط'!$I$2:$I$501,V224))-1,""))</f>
        <v/>
      </c>
      <c r="AC224" t="str">
        <f>IF(L224="","",IF(AND($AO$2=1,ISNA(MATCH(L224,'04-نيسان'!$L$2:$L$501,0))),"محذوف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IF(L225="","",IF($AO$1=1,IFERROR(MATCH(L225,'02-شباط'!$L$2:$L$501,0),0),0))</f>
        <v/>
      </c>
      <c r="W225" t="str">
        <f t="shared" si="71"/>
        <v/>
      </c>
      <c r="X225" s="38" t="str">
        <f>IF(L225="","",IF(V225&gt;0,INDEX('02-شباط'!$P$2:$P$501,V225),IF($AO$1=1,0,"")))</f>
        <v/>
      </c>
      <c r="Y225" s="38" t="str">
        <f t="shared" si="72"/>
        <v/>
      </c>
      <c r="Z225" s="39" t="str">
        <f>IF(L225="","",IF(V225&gt;0,INDEX('02-شباط'!$Q$2:$Q$501,V225),IF($AO$1=1,0,"")))</f>
        <v/>
      </c>
      <c r="AA225" s="39" t="str">
        <f t="shared" si="73"/>
        <v/>
      </c>
      <c r="AB225" s="40" t="str">
        <f>IF(OR(L225="",V225=0),"",IF(AND(N(I225)&gt;0,N(INDEX('02-شباط'!$I$2:$I$501,V225))&gt;0,INDEX('02-شباط'!$F$2:$F$501,V225)=F225),N(I225)/N(INDEX('02-شباط'!$I$2:$I$501,V225))-1,""))</f>
        <v/>
      </c>
      <c r="AC225" t="str">
        <f>IF(L225="","",IF(AND($AO$2=1,ISNA(MATCH(L225,'04-نيسان'!$L$2:$L$501,0))),"محذوف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IF(L226="","",IF($AO$1=1,IFERROR(MATCH(L226,'02-شباط'!$L$2:$L$501,0),0),0))</f>
        <v/>
      </c>
      <c r="W226" t="str">
        <f t="shared" si="71"/>
        <v/>
      </c>
      <c r="X226" s="38" t="str">
        <f>IF(L226="","",IF(V226&gt;0,INDEX('02-شباط'!$P$2:$P$501,V226),IF($AO$1=1,0,"")))</f>
        <v/>
      </c>
      <c r="Y226" s="38" t="str">
        <f t="shared" si="72"/>
        <v/>
      </c>
      <c r="Z226" s="39" t="str">
        <f>IF(L226="","",IF(V226&gt;0,INDEX('02-شباط'!$Q$2:$Q$501,V226),IF($AO$1=1,0,"")))</f>
        <v/>
      </c>
      <c r="AA226" s="39" t="str">
        <f t="shared" si="73"/>
        <v/>
      </c>
      <c r="AB226" s="40" t="str">
        <f>IF(OR(L226="",V226=0),"",IF(AND(N(I226)&gt;0,N(INDEX('02-شباط'!$I$2:$I$501,V226))&gt;0,INDEX('02-شباط'!$F$2:$F$501,V226)=F226),N(I226)/N(INDEX('02-شباط'!$I$2:$I$501,V226))-1,""))</f>
        <v/>
      </c>
      <c r="AC226" t="str">
        <f>IF(L226="","",IF(AND($AO$2=1,ISNA(MATCH(L226,'04-نيسان'!$L$2:$L$501,0))),"محذوف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IF(L227="","",IF($AO$1=1,IFERROR(MATCH(L227,'02-شباط'!$L$2:$L$501,0),0),0))</f>
        <v/>
      </c>
      <c r="W227" t="str">
        <f t="shared" si="71"/>
        <v/>
      </c>
      <c r="X227" s="38" t="str">
        <f>IF(L227="","",IF(V227&gt;0,INDEX('02-شباط'!$P$2:$P$501,V227),IF($AO$1=1,0,"")))</f>
        <v/>
      </c>
      <c r="Y227" s="38" t="str">
        <f t="shared" si="72"/>
        <v/>
      </c>
      <c r="Z227" s="39" t="str">
        <f>IF(L227="","",IF(V227&gt;0,INDEX('02-شباط'!$Q$2:$Q$501,V227),IF($AO$1=1,0,"")))</f>
        <v/>
      </c>
      <c r="AA227" s="39" t="str">
        <f t="shared" si="73"/>
        <v/>
      </c>
      <c r="AB227" s="40" t="str">
        <f>IF(OR(L227="",V227=0),"",IF(AND(N(I227)&gt;0,N(INDEX('02-شباط'!$I$2:$I$501,V227))&gt;0,INDEX('02-شباط'!$F$2:$F$501,V227)=F227),N(I227)/N(INDEX('02-شباط'!$I$2:$I$501,V227))-1,""))</f>
        <v/>
      </c>
      <c r="AC227" t="str">
        <f>IF(L227="","",IF(AND($AO$2=1,ISNA(MATCH(L227,'04-نيسان'!$L$2:$L$501,0))),"محذوف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IF(L228="","",IF($AO$1=1,IFERROR(MATCH(L228,'02-شباط'!$L$2:$L$501,0),0),0))</f>
        <v/>
      </c>
      <c r="W228" t="str">
        <f t="shared" si="71"/>
        <v/>
      </c>
      <c r="X228" s="38" t="str">
        <f>IF(L228="","",IF(V228&gt;0,INDEX('02-شباط'!$P$2:$P$501,V228),IF($AO$1=1,0,"")))</f>
        <v/>
      </c>
      <c r="Y228" s="38" t="str">
        <f t="shared" si="72"/>
        <v/>
      </c>
      <c r="Z228" s="39" t="str">
        <f>IF(L228="","",IF(V228&gt;0,INDEX('02-شباط'!$Q$2:$Q$501,V228),IF($AO$1=1,0,"")))</f>
        <v/>
      </c>
      <c r="AA228" s="39" t="str">
        <f t="shared" si="73"/>
        <v/>
      </c>
      <c r="AB228" s="40" t="str">
        <f>IF(OR(L228="",V228=0),"",IF(AND(N(I228)&gt;0,N(INDEX('02-شباط'!$I$2:$I$501,V228))&gt;0,INDEX('02-شباط'!$F$2:$F$501,V228)=F228),N(I228)/N(INDEX('02-شباط'!$I$2:$I$501,V228))-1,""))</f>
        <v/>
      </c>
      <c r="AC228" t="str">
        <f>IF(L228="","",IF(AND($AO$2=1,ISNA(MATCH(L228,'04-نيسان'!$L$2:$L$501,0))),"محذوف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IF(L229="","",IF($AO$1=1,IFERROR(MATCH(L229,'02-شباط'!$L$2:$L$501,0),0),0))</f>
        <v/>
      </c>
      <c r="W229" t="str">
        <f t="shared" si="71"/>
        <v/>
      </c>
      <c r="X229" s="38" t="str">
        <f>IF(L229="","",IF(V229&gt;0,INDEX('02-شباط'!$P$2:$P$501,V229),IF($AO$1=1,0,"")))</f>
        <v/>
      </c>
      <c r="Y229" s="38" t="str">
        <f t="shared" si="72"/>
        <v/>
      </c>
      <c r="Z229" s="39" t="str">
        <f>IF(L229="","",IF(V229&gt;0,INDEX('02-شباط'!$Q$2:$Q$501,V229),IF($AO$1=1,0,"")))</f>
        <v/>
      </c>
      <c r="AA229" s="39" t="str">
        <f t="shared" si="73"/>
        <v/>
      </c>
      <c r="AB229" s="40" t="str">
        <f>IF(OR(L229="",V229=0),"",IF(AND(N(I229)&gt;0,N(INDEX('02-شباط'!$I$2:$I$501,V229))&gt;0,INDEX('02-شباط'!$F$2:$F$501,V229)=F229),N(I229)/N(INDEX('02-شباط'!$I$2:$I$501,V229))-1,""))</f>
        <v/>
      </c>
      <c r="AC229" t="str">
        <f>IF(L229="","",IF(AND($AO$2=1,ISNA(MATCH(L229,'04-نيسان'!$L$2:$L$501,0))),"محذوف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IF(L230="","",IF($AO$1=1,IFERROR(MATCH(L230,'02-شباط'!$L$2:$L$501,0),0),0))</f>
        <v/>
      </c>
      <c r="W230" t="str">
        <f t="shared" si="71"/>
        <v/>
      </c>
      <c r="X230" s="38" t="str">
        <f>IF(L230="","",IF(V230&gt;0,INDEX('02-شباط'!$P$2:$P$501,V230),IF($AO$1=1,0,"")))</f>
        <v/>
      </c>
      <c r="Y230" s="38" t="str">
        <f t="shared" si="72"/>
        <v/>
      </c>
      <c r="Z230" s="39" t="str">
        <f>IF(L230="","",IF(V230&gt;0,INDEX('02-شباط'!$Q$2:$Q$501,V230),IF($AO$1=1,0,"")))</f>
        <v/>
      </c>
      <c r="AA230" s="39" t="str">
        <f t="shared" si="73"/>
        <v/>
      </c>
      <c r="AB230" s="40" t="str">
        <f>IF(OR(L230="",V230=0),"",IF(AND(N(I230)&gt;0,N(INDEX('02-شباط'!$I$2:$I$501,V230))&gt;0,INDEX('02-شباط'!$F$2:$F$501,V230)=F230),N(I230)/N(INDEX('02-شباط'!$I$2:$I$501,V230))-1,""))</f>
        <v/>
      </c>
      <c r="AC230" t="str">
        <f>IF(L230="","",IF(AND($AO$2=1,ISNA(MATCH(L230,'04-نيسان'!$L$2:$L$501,0))),"محذوف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IF(L231="","",IF($AO$1=1,IFERROR(MATCH(L231,'02-شباط'!$L$2:$L$501,0),0),0))</f>
        <v/>
      </c>
      <c r="W231" t="str">
        <f t="shared" si="71"/>
        <v/>
      </c>
      <c r="X231" s="38" t="str">
        <f>IF(L231="","",IF(V231&gt;0,INDEX('02-شباط'!$P$2:$P$501,V231),IF($AO$1=1,0,"")))</f>
        <v/>
      </c>
      <c r="Y231" s="38" t="str">
        <f t="shared" si="72"/>
        <v/>
      </c>
      <c r="Z231" s="39" t="str">
        <f>IF(L231="","",IF(V231&gt;0,INDEX('02-شباط'!$Q$2:$Q$501,V231),IF($AO$1=1,0,"")))</f>
        <v/>
      </c>
      <c r="AA231" s="39" t="str">
        <f t="shared" si="73"/>
        <v/>
      </c>
      <c r="AB231" s="40" t="str">
        <f>IF(OR(L231="",V231=0),"",IF(AND(N(I231)&gt;0,N(INDEX('02-شباط'!$I$2:$I$501,V231))&gt;0,INDEX('02-شباط'!$F$2:$F$501,V231)=F231),N(I231)/N(INDEX('02-شباط'!$I$2:$I$501,V231))-1,""))</f>
        <v/>
      </c>
      <c r="AC231" t="str">
        <f>IF(L231="","",IF(AND($AO$2=1,ISNA(MATCH(L231,'04-نيسان'!$L$2:$L$501,0))),"محذوف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IF(L232="","",IF($AO$1=1,IFERROR(MATCH(L232,'02-شباط'!$L$2:$L$501,0),0),0))</f>
        <v/>
      </c>
      <c r="W232" t="str">
        <f t="shared" si="71"/>
        <v/>
      </c>
      <c r="X232" s="38" t="str">
        <f>IF(L232="","",IF(V232&gt;0,INDEX('02-شباط'!$P$2:$P$501,V232),IF($AO$1=1,0,"")))</f>
        <v/>
      </c>
      <c r="Y232" s="38" t="str">
        <f t="shared" si="72"/>
        <v/>
      </c>
      <c r="Z232" s="39" t="str">
        <f>IF(L232="","",IF(V232&gt;0,INDEX('02-شباط'!$Q$2:$Q$501,V232),IF($AO$1=1,0,"")))</f>
        <v/>
      </c>
      <c r="AA232" s="39" t="str">
        <f t="shared" si="73"/>
        <v/>
      </c>
      <c r="AB232" s="40" t="str">
        <f>IF(OR(L232="",V232=0),"",IF(AND(N(I232)&gt;0,N(INDEX('02-شباط'!$I$2:$I$501,V232))&gt;0,INDEX('02-شباط'!$F$2:$F$501,V232)=F232),N(I232)/N(INDEX('02-شباط'!$I$2:$I$501,V232))-1,""))</f>
        <v/>
      </c>
      <c r="AC232" t="str">
        <f>IF(L232="","",IF(AND($AO$2=1,ISNA(MATCH(L232,'04-نيسان'!$L$2:$L$501,0))),"محذوف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IF(L233="","",IF($AO$1=1,IFERROR(MATCH(L233,'02-شباط'!$L$2:$L$501,0),0),0))</f>
        <v/>
      </c>
      <c r="W233" t="str">
        <f t="shared" si="71"/>
        <v/>
      </c>
      <c r="X233" s="38" t="str">
        <f>IF(L233="","",IF(V233&gt;0,INDEX('02-شباط'!$P$2:$P$501,V233),IF($AO$1=1,0,"")))</f>
        <v/>
      </c>
      <c r="Y233" s="38" t="str">
        <f t="shared" si="72"/>
        <v/>
      </c>
      <c r="Z233" s="39" t="str">
        <f>IF(L233="","",IF(V233&gt;0,INDEX('02-شباط'!$Q$2:$Q$501,V233),IF($AO$1=1,0,"")))</f>
        <v/>
      </c>
      <c r="AA233" s="39" t="str">
        <f t="shared" si="73"/>
        <v/>
      </c>
      <c r="AB233" s="40" t="str">
        <f>IF(OR(L233="",V233=0),"",IF(AND(N(I233)&gt;0,N(INDEX('02-شباط'!$I$2:$I$501,V233))&gt;0,INDEX('02-شباط'!$F$2:$F$501,V233)=F233),N(I233)/N(INDEX('02-شباط'!$I$2:$I$501,V233))-1,""))</f>
        <v/>
      </c>
      <c r="AC233" t="str">
        <f>IF(L233="","",IF(AND($AO$2=1,ISNA(MATCH(L233,'04-نيسان'!$L$2:$L$501,0))),"محذوف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IF(L234="","",IF($AO$1=1,IFERROR(MATCH(L234,'02-شباط'!$L$2:$L$501,0),0),0))</f>
        <v/>
      </c>
      <c r="W234" t="str">
        <f t="shared" si="71"/>
        <v/>
      </c>
      <c r="X234" s="38" t="str">
        <f>IF(L234="","",IF(V234&gt;0,INDEX('02-شباط'!$P$2:$P$501,V234),IF($AO$1=1,0,"")))</f>
        <v/>
      </c>
      <c r="Y234" s="38" t="str">
        <f t="shared" si="72"/>
        <v/>
      </c>
      <c r="Z234" s="39" t="str">
        <f>IF(L234="","",IF(V234&gt;0,INDEX('02-شباط'!$Q$2:$Q$501,V234),IF($AO$1=1,0,"")))</f>
        <v/>
      </c>
      <c r="AA234" s="39" t="str">
        <f t="shared" si="73"/>
        <v/>
      </c>
      <c r="AB234" s="40" t="str">
        <f>IF(OR(L234="",V234=0),"",IF(AND(N(I234)&gt;0,N(INDEX('02-شباط'!$I$2:$I$501,V234))&gt;0,INDEX('02-شباط'!$F$2:$F$501,V234)=F234),N(I234)/N(INDEX('02-شباط'!$I$2:$I$501,V234))-1,""))</f>
        <v/>
      </c>
      <c r="AC234" t="str">
        <f>IF(L234="","",IF(AND($AO$2=1,ISNA(MATCH(L234,'04-نيسان'!$L$2:$L$501,0))),"محذوف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IF(L235="","",IF($AO$1=1,IFERROR(MATCH(L235,'02-شباط'!$L$2:$L$501,0),0),0))</f>
        <v/>
      </c>
      <c r="W235" t="str">
        <f t="shared" si="71"/>
        <v/>
      </c>
      <c r="X235" s="38" t="str">
        <f>IF(L235="","",IF(V235&gt;0,INDEX('02-شباط'!$P$2:$P$501,V235),IF($AO$1=1,0,"")))</f>
        <v/>
      </c>
      <c r="Y235" s="38" t="str">
        <f t="shared" si="72"/>
        <v/>
      </c>
      <c r="Z235" s="39" t="str">
        <f>IF(L235="","",IF(V235&gt;0,INDEX('02-شباط'!$Q$2:$Q$501,V235),IF($AO$1=1,0,"")))</f>
        <v/>
      </c>
      <c r="AA235" s="39" t="str">
        <f t="shared" si="73"/>
        <v/>
      </c>
      <c r="AB235" s="40" t="str">
        <f>IF(OR(L235="",V235=0),"",IF(AND(N(I235)&gt;0,N(INDEX('02-شباط'!$I$2:$I$501,V235))&gt;0,INDEX('02-شباط'!$F$2:$F$501,V235)=F235),N(I235)/N(INDEX('02-شباط'!$I$2:$I$501,V235))-1,""))</f>
        <v/>
      </c>
      <c r="AC235" t="str">
        <f>IF(L235="","",IF(AND($AO$2=1,ISNA(MATCH(L235,'04-نيسان'!$L$2:$L$501,0))),"محذوف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IF(L236="","",IF($AO$1=1,IFERROR(MATCH(L236,'02-شباط'!$L$2:$L$501,0),0),0))</f>
        <v/>
      </c>
      <c r="W236" t="str">
        <f t="shared" si="71"/>
        <v/>
      </c>
      <c r="X236" s="38" t="str">
        <f>IF(L236="","",IF(V236&gt;0,INDEX('02-شباط'!$P$2:$P$501,V236),IF($AO$1=1,0,"")))</f>
        <v/>
      </c>
      <c r="Y236" s="38" t="str">
        <f t="shared" si="72"/>
        <v/>
      </c>
      <c r="Z236" s="39" t="str">
        <f>IF(L236="","",IF(V236&gt;0,INDEX('02-شباط'!$Q$2:$Q$501,V236),IF($AO$1=1,0,"")))</f>
        <v/>
      </c>
      <c r="AA236" s="39" t="str">
        <f t="shared" si="73"/>
        <v/>
      </c>
      <c r="AB236" s="40" t="str">
        <f>IF(OR(L236="",V236=0),"",IF(AND(N(I236)&gt;0,N(INDEX('02-شباط'!$I$2:$I$501,V236))&gt;0,INDEX('02-شباط'!$F$2:$F$501,V236)=F236),N(I236)/N(INDEX('02-شباط'!$I$2:$I$501,V236))-1,""))</f>
        <v/>
      </c>
      <c r="AC236" t="str">
        <f>IF(L236="","",IF(AND($AO$2=1,ISNA(MATCH(L236,'04-نيسان'!$L$2:$L$501,0))),"محذوف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IF(L237="","",IF($AO$1=1,IFERROR(MATCH(L237,'02-شباط'!$L$2:$L$501,0),0),0))</f>
        <v/>
      </c>
      <c r="W237" t="str">
        <f t="shared" si="71"/>
        <v/>
      </c>
      <c r="X237" s="38" t="str">
        <f>IF(L237="","",IF(V237&gt;0,INDEX('02-شباط'!$P$2:$P$501,V237),IF($AO$1=1,0,"")))</f>
        <v/>
      </c>
      <c r="Y237" s="38" t="str">
        <f t="shared" si="72"/>
        <v/>
      </c>
      <c r="Z237" s="39" t="str">
        <f>IF(L237="","",IF(V237&gt;0,INDEX('02-شباط'!$Q$2:$Q$501,V237),IF($AO$1=1,0,"")))</f>
        <v/>
      </c>
      <c r="AA237" s="39" t="str">
        <f t="shared" si="73"/>
        <v/>
      </c>
      <c r="AB237" s="40" t="str">
        <f>IF(OR(L237="",V237=0),"",IF(AND(N(I237)&gt;0,N(INDEX('02-شباط'!$I$2:$I$501,V237))&gt;0,INDEX('02-شباط'!$F$2:$F$501,V237)=F237),N(I237)/N(INDEX('02-شباط'!$I$2:$I$501,V237))-1,""))</f>
        <v/>
      </c>
      <c r="AC237" t="str">
        <f>IF(L237="","",IF(AND($AO$2=1,ISNA(MATCH(L237,'04-نيسان'!$L$2:$L$501,0))),"محذوف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IF(L238="","",IF($AO$1=1,IFERROR(MATCH(L238,'02-شباط'!$L$2:$L$501,0),0),0))</f>
        <v/>
      </c>
      <c r="W238" t="str">
        <f t="shared" si="71"/>
        <v/>
      </c>
      <c r="X238" s="38" t="str">
        <f>IF(L238="","",IF(V238&gt;0,INDEX('02-شباط'!$P$2:$P$501,V238),IF($AO$1=1,0,"")))</f>
        <v/>
      </c>
      <c r="Y238" s="38" t="str">
        <f t="shared" si="72"/>
        <v/>
      </c>
      <c r="Z238" s="39" t="str">
        <f>IF(L238="","",IF(V238&gt;0,INDEX('02-شباط'!$Q$2:$Q$501,V238),IF($AO$1=1,0,"")))</f>
        <v/>
      </c>
      <c r="AA238" s="39" t="str">
        <f t="shared" si="73"/>
        <v/>
      </c>
      <c r="AB238" s="40" t="str">
        <f>IF(OR(L238="",V238=0),"",IF(AND(N(I238)&gt;0,N(INDEX('02-شباط'!$I$2:$I$501,V238))&gt;0,INDEX('02-شباط'!$F$2:$F$501,V238)=F238),N(I238)/N(INDEX('02-شباط'!$I$2:$I$501,V238))-1,""))</f>
        <v/>
      </c>
      <c r="AC238" t="str">
        <f>IF(L238="","",IF(AND($AO$2=1,ISNA(MATCH(L238,'04-نيسان'!$L$2:$L$501,0))),"محذوف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IF(L239="","",IF($AO$1=1,IFERROR(MATCH(L239,'02-شباط'!$L$2:$L$501,0),0),0))</f>
        <v/>
      </c>
      <c r="W239" t="str">
        <f t="shared" si="71"/>
        <v/>
      </c>
      <c r="X239" s="38" t="str">
        <f>IF(L239="","",IF(V239&gt;0,INDEX('02-شباط'!$P$2:$P$501,V239),IF($AO$1=1,0,"")))</f>
        <v/>
      </c>
      <c r="Y239" s="38" t="str">
        <f t="shared" si="72"/>
        <v/>
      </c>
      <c r="Z239" s="39" t="str">
        <f>IF(L239="","",IF(V239&gt;0,INDEX('02-شباط'!$Q$2:$Q$501,V239),IF($AO$1=1,0,"")))</f>
        <v/>
      </c>
      <c r="AA239" s="39" t="str">
        <f t="shared" si="73"/>
        <v/>
      </c>
      <c r="AB239" s="40" t="str">
        <f>IF(OR(L239="",V239=0),"",IF(AND(N(I239)&gt;0,N(INDEX('02-شباط'!$I$2:$I$501,V239))&gt;0,INDEX('02-شباط'!$F$2:$F$501,V239)=F239),N(I239)/N(INDEX('02-شباط'!$I$2:$I$501,V239))-1,""))</f>
        <v/>
      </c>
      <c r="AC239" t="str">
        <f>IF(L239="","",IF(AND($AO$2=1,ISNA(MATCH(L239,'04-نيسان'!$L$2:$L$501,0))),"محذوف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IF(L240="","",IF($AO$1=1,IFERROR(MATCH(L240,'02-شباط'!$L$2:$L$501,0),0),0))</f>
        <v/>
      </c>
      <c r="W240" t="str">
        <f t="shared" si="71"/>
        <v/>
      </c>
      <c r="X240" s="38" t="str">
        <f>IF(L240="","",IF(V240&gt;0,INDEX('02-شباط'!$P$2:$P$501,V240),IF($AO$1=1,0,"")))</f>
        <v/>
      </c>
      <c r="Y240" s="38" t="str">
        <f t="shared" si="72"/>
        <v/>
      </c>
      <c r="Z240" s="39" t="str">
        <f>IF(L240="","",IF(V240&gt;0,INDEX('02-شباط'!$Q$2:$Q$501,V240),IF($AO$1=1,0,"")))</f>
        <v/>
      </c>
      <c r="AA240" s="39" t="str">
        <f t="shared" si="73"/>
        <v/>
      </c>
      <c r="AB240" s="40" t="str">
        <f>IF(OR(L240="",V240=0),"",IF(AND(N(I240)&gt;0,N(INDEX('02-شباط'!$I$2:$I$501,V240))&gt;0,INDEX('02-شباط'!$F$2:$F$501,V240)=F240),N(I240)/N(INDEX('02-شباط'!$I$2:$I$501,V240))-1,""))</f>
        <v/>
      </c>
      <c r="AC240" t="str">
        <f>IF(L240="","",IF(AND($AO$2=1,ISNA(MATCH(L240,'04-نيسان'!$L$2:$L$501,0))),"محذوف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IF(L241="","",IF($AO$1=1,IFERROR(MATCH(L241,'02-شباط'!$L$2:$L$501,0),0),0))</f>
        <v/>
      </c>
      <c r="W241" t="str">
        <f t="shared" si="71"/>
        <v/>
      </c>
      <c r="X241" s="38" t="str">
        <f>IF(L241="","",IF(V241&gt;0,INDEX('02-شباط'!$P$2:$P$501,V241),IF($AO$1=1,0,"")))</f>
        <v/>
      </c>
      <c r="Y241" s="38" t="str">
        <f t="shared" si="72"/>
        <v/>
      </c>
      <c r="Z241" s="39" t="str">
        <f>IF(L241="","",IF(V241&gt;0,INDEX('02-شباط'!$Q$2:$Q$501,V241),IF($AO$1=1,0,"")))</f>
        <v/>
      </c>
      <c r="AA241" s="39" t="str">
        <f t="shared" si="73"/>
        <v/>
      </c>
      <c r="AB241" s="40" t="str">
        <f>IF(OR(L241="",V241=0),"",IF(AND(N(I241)&gt;0,N(INDEX('02-شباط'!$I$2:$I$501,V241))&gt;0,INDEX('02-شباط'!$F$2:$F$501,V241)=F241),N(I241)/N(INDEX('02-شباط'!$I$2:$I$501,V241))-1,""))</f>
        <v/>
      </c>
      <c r="AC241" t="str">
        <f>IF(L241="","",IF(AND($AO$2=1,ISNA(MATCH(L241,'04-نيسان'!$L$2:$L$501,0))),"محذوف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IF(L242="","",IF($AO$1=1,IFERROR(MATCH(L242,'02-شباط'!$L$2:$L$501,0),0),0))</f>
        <v/>
      </c>
      <c r="W242" t="str">
        <f t="shared" si="71"/>
        <v/>
      </c>
      <c r="X242" s="38" t="str">
        <f>IF(L242="","",IF(V242&gt;0,INDEX('02-شباط'!$P$2:$P$501,V242),IF($AO$1=1,0,"")))</f>
        <v/>
      </c>
      <c r="Y242" s="38" t="str">
        <f t="shared" si="72"/>
        <v/>
      </c>
      <c r="Z242" s="39" t="str">
        <f>IF(L242="","",IF(V242&gt;0,INDEX('02-شباط'!$Q$2:$Q$501,V242),IF($AO$1=1,0,"")))</f>
        <v/>
      </c>
      <c r="AA242" s="39" t="str">
        <f t="shared" si="73"/>
        <v/>
      </c>
      <c r="AB242" s="40" t="str">
        <f>IF(OR(L242="",V242=0),"",IF(AND(N(I242)&gt;0,N(INDEX('02-شباط'!$I$2:$I$501,V242))&gt;0,INDEX('02-شباط'!$F$2:$F$501,V242)=F242),N(I242)/N(INDEX('02-شباط'!$I$2:$I$501,V242))-1,""))</f>
        <v/>
      </c>
      <c r="AC242" t="str">
        <f>IF(L242="","",IF(AND($AO$2=1,ISNA(MATCH(L242,'04-نيسان'!$L$2:$L$501,0))),"محذوف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IF(L243="","",IF($AO$1=1,IFERROR(MATCH(L243,'02-شباط'!$L$2:$L$501,0),0),0))</f>
        <v/>
      </c>
      <c r="W243" t="str">
        <f t="shared" si="71"/>
        <v/>
      </c>
      <c r="X243" s="38" t="str">
        <f>IF(L243="","",IF(V243&gt;0,INDEX('02-شباط'!$P$2:$P$501,V243),IF($AO$1=1,0,"")))</f>
        <v/>
      </c>
      <c r="Y243" s="38" t="str">
        <f t="shared" si="72"/>
        <v/>
      </c>
      <c r="Z243" s="39" t="str">
        <f>IF(L243="","",IF(V243&gt;0,INDEX('02-شباط'!$Q$2:$Q$501,V243),IF($AO$1=1,0,"")))</f>
        <v/>
      </c>
      <c r="AA243" s="39" t="str">
        <f t="shared" si="73"/>
        <v/>
      </c>
      <c r="AB243" s="40" t="str">
        <f>IF(OR(L243="",V243=0),"",IF(AND(N(I243)&gt;0,N(INDEX('02-شباط'!$I$2:$I$501,V243))&gt;0,INDEX('02-شباط'!$F$2:$F$501,V243)=F243),N(I243)/N(INDEX('02-شباط'!$I$2:$I$501,V243))-1,""))</f>
        <v/>
      </c>
      <c r="AC243" t="str">
        <f>IF(L243="","",IF(AND($AO$2=1,ISNA(MATCH(L243,'04-نيسان'!$L$2:$L$501,0))),"محذوف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IF(L244="","",IF($AO$1=1,IFERROR(MATCH(L244,'02-شباط'!$L$2:$L$501,0),0),0))</f>
        <v/>
      </c>
      <c r="W244" t="str">
        <f t="shared" si="71"/>
        <v/>
      </c>
      <c r="X244" s="38" t="str">
        <f>IF(L244="","",IF(V244&gt;0,INDEX('02-شباط'!$P$2:$P$501,V244),IF($AO$1=1,0,"")))</f>
        <v/>
      </c>
      <c r="Y244" s="38" t="str">
        <f t="shared" si="72"/>
        <v/>
      </c>
      <c r="Z244" s="39" t="str">
        <f>IF(L244="","",IF(V244&gt;0,INDEX('02-شباط'!$Q$2:$Q$501,V244),IF($AO$1=1,0,"")))</f>
        <v/>
      </c>
      <c r="AA244" s="39" t="str">
        <f t="shared" si="73"/>
        <v/>
      </c>
      <c r="AB244" s="40" t="str">
        <f>IF(OR(L244="",V244=0),"",IF(AND(N(I244)&gt;0,N(INDEX('02-شباط'!$I$2:$I$501,V244))&gt;0,INDEX('02-شباط'!$F$2:$F$501,V244)=F244),N(I244)/N(INDEX('02-شباط'!$I$2:$I$501,V244))-1,""))</f>
        <v/>
      </c>
      <c r="AC244" t="str">
        <f>IF(L244="","",IF(AND($AO$2=1,ISNA(MATCH(L244,'04-نيسان'!$L$2:$L$501,0))),"محذوف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IF(L245="","",IF($AO$1=1,IFERROR(MATCH(L245,'02-شباط'!$L$2:$L$501,0),0),0))</f>
        <v/>
      </c>
      <c r="W245" t="str">
        <f t="shared" si="71"/>
        <v/>
      </c>
      <c r="X245" s="38" t="str">
        <f>IF(L245="","",IF(V245&gt;0,INDEX('02-شباط'!$P$2:$P$501,V245),IF($AO$1=1,0,"")))</f>
        <v/>
      </c>
      <c r="Y245" s="38" t="str">
        <f t="shared" si="72"/>
        <v/>
      </c>
      <c r="Z245" s="39" t="str">
        <f>IF(L245="","",IF(V245&gt;0,INDEX('02-شباط'!$Q$2:$Q$501,V245),IF($AO$1=1,0,"")))</f>
        <v/>
      </c>
      <c r="AA245" s="39" t="str">
        <f t="shared" si="73"/>
        <v/>
      </c>
      <c r="AB245" s="40" t="str">
        <f>IF(OR(L245="",V245=0),"",IF(AND(N(I245)&gt;0,N(INDEX('02-شباط'!$I$2:$I$501,V245))&gt;0,INDEX('02-شباط'!$F$2:$F$501,V245)=F245),N(I245)/N(INDEX('02-شباط'!$I$2:$I$501,V245))-1,""))</f>
        <v/>
      </c>
      <c r="AC245" t="str">
        <f>IF(L245="","",IF(AND($AO$2=1,ISNA(MATCH(L245,'04-نيسان'!$L$2:$L$501,0))),"محذوف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IF(L246="","",IF($AO$1=1,IFERROR(MATCH(L246,'02-شباط'!$L$2:$L$501,0),0),0))</f>
        <v/>
      </c>
      <c r="W246" t="str">
        <f t="shared" si="71"/>
        <v/>
      </c>
      <c r="X246" s="38" t="str">
        <f>IF(L246="","",IF(V246&gt;0,INDEX('02-شباط'!$P$2:$P$501,V246),IF($AO$1=1,0,"")))</f>
        <v/>
      </c>
      <c r="Y246" s="38" t="str">
        <f t="shared" si="72"/>
        <v/>
      </c>
      <c r="Z246" s="39" t="str">
        <f>IF(L246="","",IF(V246&gt;0,INDEX('02-شباط'!$Q$2:$Q$501,V246),IF($AO$1=1,0,"")))</f>
        <v/>
      </c>
      <c r="AA246" s="39" t="str">
        <f t="shared" si="73"/>
        <v/>
      </c>
      <c r="AB246" s="40" t="str">
        <f>IF(OR(L246="",V246=0),"",IF(AND(N(I246)&gt;0,N(INDEX('02-شباط'!$I$2:$I$501,V246))&gt;0,INDEX('02-شباط'!$F$2:$F$501,V246)=F246),N(I246)/N(INDEX('02-شباط'!$I$2:$I$501,V246))-1,""))</f>
        <v/>
      </c>
      <c r="AC246" t="str">
        <f>IF(L246="","",IF(AND($AO$2=1,ISNA(MATCH(L246,'04-نيسان'!$L$2:$L$501,0))),"محذوف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IF(L247="","",IF($AO$1=1,IFERROR(MATCH(L247,'02-شباط'!$L$2:$L$501,0),0),0))</f>
        <v/>
      </c>
      <c r="W247" t="str">
        <f t="shared" si="71"/>
        <v/>
      </c>
      <c r="X247" s="38" t="str">
        <f>IF(L247="","",IF(V247&gt;0,INDEX('02-شباط'!$P$2:$P$501,V247),IF($AO$1=1,0,"")))</f>
        <v/>
      </c>
      <c r="Y247" s="38" t="str">
        <f t="shared" si="72"/>
        <v/>
      </c>
      <c r="Z247" s="39" t="str">
        <f>IF(L247="","",IF(V247&gt;0,INDEX('02-شباط'!$Q$2:$Q$501,V247),IF($AO$1=1,0,"")))</f>
        <v/>
      </c>
      <c r="AA247" s="39" t="str">
        <f t="shared" si="73"/>
        <v/>
      </c>
      <c r="AB247" s="40" t="str">
        <f>IF(OR(L247="",V247=0),"",IF(AND(N(I247)&gt;0,N(INDEX('02-شباط'!$I$2:$I$501,V247))&gt;0,INDEX('02-شباط'!$F$2:$F$501,V247)=F247),N(I247)/N(INDEX('02-شباط'!$I$2:$I$501,V247))-1,""))</f>
        <v/>
      </c>
      <c r="AC247" t="str">
        <f>IF(L247="","",IF(AND($AO$2=1,ISNA(MATCH(L247,'04-نيسان'!$L$2:$L$501,0))),"محذوف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IF(L248="","",IF($AO$1=1,IFERROR(MATCH(L248,'02-شباط'!$L$2:$L$501,0),0),0))</f>
        <v/>
      </c>
      <c r="W248" t="str">
        <f t="shared" si="71"/>
        <v/>
      </c>
      <c r="X248" s="38" t="str">
        <f>IF(L248="","",IF(V248&gt;0,INDEX('02-شباط'!$P$2:$P$501,V248),IF($AO$1=1,0,"")))</f>
        <v/>
      </c>
      <c r="Y248" s="38" t="str">
        <f t="shared" si="72"/>
        <v/>
      </c>
      <c r="Z248" s="39" t="str">
        <f>IF(L248="","",IF(V248&gt;0,INDEX('02-شباط'!$Q$2:$Q$501,V248),IF($AO$1=1,0,"")))</f>
        <v/>
      </c>
      <c r="AA248" s="39" t="str">
        <f t="shared" si="73"/>
        <v/>
      </c>
      <c r="AB248" s="40" t="str">
        <f>IF(OR(L248="",V248=0),"",IF(AND(N(I248)&gt;0,N(INDEX('02-شباط'!$I$2:$I$501,V248))&gt;0,INDEX('02-شباط'!$F$2:$F$501,V248)=F248),N(I248)/N(INDEX('02-شباط'!$I$2:$I$501,V248))-1,""))</f>
        <v/>
      </c>
      <c r="AC248" t="str">
        <f>IF(L248="","",IF(AND($AO$2=1,ISNA(MATCH(L248,'04-نيسان'!$L$2:$L$501,0))),"محذوف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IF(L249="","",IF($AO$1=1,IFERROR(MATCH(L249,'02-شباط'!$L$2:$L$501,0),0),0))</f>
        <v/>
      </c>
      <c r="W249" t="str">
        <f t="shared" si="71"/>
        <v/>
      </c>
      <c r="X249" s="38" t="str">
        <f>IF(L249="","",IF(V249&gt;0,INDEX('02-شباط'!$P$2:$P$501,V249),IF($AO$1=1,0,"")))</f>
        <v/>
      </c>
      <c r="Y249" s="38" t="str">
        <f t="shared" si="72"/>
        <v/>
      </c>
      <c r="Z249" s="39" t="str">
        <f>IF(L249="","",IF(V249&gt;0,INDEX('02-شباط'!$Q$2:$Q$501,V249),IF($AO$1=1,0,"")))</f>
        <v/>
      </c>
      <c r="AA249" s="39" t="str">
        <f t="shared" si="73"/>
        <v/>
      </c>
      <c r="AB249" s="40" t="str">
        <f>IF(OR(L249="",V249=0),"",IF(AND(N(I249)&gt;0,N(INDEX('02-شباط'!$I$2:$I$501,V249))&gt;0,INDEX('02-شباط'!$F$2:$F$501,V249)=F249),N(I249)/N(INDEX('02-شباط'!$I$2:$I$501,V249))-1,""))</f>
        <v/>
      </c>
      <c r="AC249" t="str">
        <f>IF(L249="","",IF(AND($AO$2=1,ISNA(MATCH(L249,'04-نيسان'!$L$2:$L$501,0))),"محذوف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IF(L250="","",IF($AO$1=1,IFERROR(MATCH(L250,'02-شباط'!$L$2:$L$501,0),0),0))</f>
        <v/>
      </c>
      <c r="W250" t="str">
        <f t="shared" si="71"/>
        <v/>
      </c>
      <c r="X250" s="38" t="str">
        <f>IF(L250="","",IF(V250&gt;0,INDEX('02-شباط'!$P$2:$P$501,V250),IF($AO$1=1,0,"")))</f>
        <v/>
      </c>
      <c r="Y250" s="38" t="str">
        <f t="shared" si="72"/>
        <v/>
      </c>
      <c r="Z250" s="39" t="str">
        <f>IF(L250="","",IF(V250&gt;0,INDEX('02-شباط'!$Q$2:$Q$501,V250),IF($AO$1=1,0,"")))</f>
        <v/>
      </c>
      <c r="AA250" s="39" t="str">
        <f t="shared" si="73"/>
        <v/>
      </c>
      <c r="AB250" s="40" t="str">
        <f>IF(OR(L250="",V250=0),"",IF(AND(N(I250)&gt;0,N(INDEX('02-شباط'!$I$2:$I$501,V250))&gt;0,INDEX('02-شباط'!$F$2:$F$501,V250)=F250),N(I250)/N(INDEX('02-شباط'!$I$2:$I$501,V250))-1,""))</f>
        <v/>
      </c>
      <c r="AC250" t="str">
        <f>IF(L250="","",IF(AND($AO$2=1,ISNA(MATCH(L250,'04-نيسان'!$L$2:$L$501,0))),"محذوف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IF(L251="","",IF($AO$1=1,IFERROR(MATCH(L251,'02-شباط'!$L$2:$L$501,0),0),0))</f>
        <v/>
      </c>
      <c r="W251" t="str">
        <f t="shared" si="71"/>
        <v/>
      </c>
      <c r="X251" s="38" t="str">
        <f>IF(L251="","",IF(V251&gt;0,INDEX('02-شباط'!$P$2:$P$501,V251),IF($AO$1=1,0,"")))</f>
        <v/>
      </c>
      <c r="Y251" s="38" t="str">
        <f t="shared" si="72"/>
        <v/>
      </c>
      <c r="Z251" s="39" t="str">
        <f>IF(L251="","",IF(V251&gt;0,INDEX('02-شباط'!$Q$2:$Q$501,V251),IF($AO$1=1,0,"")))</f>
        <v/>
      </c>
      <c r="AA251" s="39" t="str">
        <f t="shared" si="73"/>
        <v/>
      </c>
      <c r="AB251" s="40" t="str">
        <f>IF(OR(L251="",V251=0),"",IF(AND(N(I251)&gt;0,N(INDEX('02-شباط'!$I$2:$I$501,V251))&gt;0,INDEX('02-شباط'!$F$2:$F$501,V251)=F251),N(I251)/N(INDEX('02-شباط'!$I$2:$I$501,V251))-1,""))</f>
        <v/>
      </c>
      <c r="AC251" t="str">
        <f>IF(L251="","",IF(AND($AO$2=1,ISNA(MATCH(L251,'04-نيسان'!$L$2:$L$501,0))),"محذوف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IF(L252="","",IF($AO$1=1,IFERROR(MATCH(L252,'02-شباط'!$L$2:$L$501,0),0),0))</f>
        <v/>
      </c>
      <c r="W252" t="str">
        <f t="shared" si="71"/>
        <v/>
      </c>
      <c r="X252" s="38" t="str">
        <f>IF(L252="","",IF(V252&gt;0,INDEX('02-شباط'!$P$2:$P$501,V252),IF($AO$1=1,0,"")))</f>
        <v/>
      </c>
      <c r="Y252" s="38" t="str">
        <f t="shared" si="72"/>
        <v/>
      </c>
      <c r="Z252" s="39" t="str">
        <f>IF(L252="","",IF(V252&gt;0,INDEX('02-شباط'!$Q$2:$Q$501,V252),IF($AO$1=1,0,"")))</f>
        <v/>
      </c>
      <c r="AA252" s="39" t="str">
        <f t="shared" si="73"/>
        <v/>
      </c>
      <c r="AB252" s="40" t="str">
        <f>IF(OR(L252="",V252=0),"",IF(AND(N(I252)&gt;0,N(INDEX('02-شباط'!$I$2:$I$501,V252))&gt;0,INDEX('02-شباط'!$F$2:$F$501,V252)=F252),N(I252)/N(INDEX('02-شباط'!$I$2:$I$501,V252))-1,""))</f>
        <v/>
      </c>
      <c r="AC252" t="str">
        <f>IF(L252="","",IF(AND($AO$2=1,ISNA(MATCH(L252,'04-نيسان'!$L$2:$L$501,0))),"محذوف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IF(L253="","",IF($AO$1=1,IFERROR(MATCH(L253,'02-شباط'!$L$2:$L$501,0),0),0))</f>
        <v/>
      </c>
      <c r="W253" t="str">
        <f t="shared" si="71"/>
        <v/>
      </c>
      <c r="X253" s="38" t="str">
        <f>IF(L253="","",IF(V253&gt;0,INDEX('02-شباط'!$P$2:$P$501,V253),IF($AO$1=1,0,"")))</f>
        <v/>
      </c>
      <c r="Y253" s="38" t="str">
        <f t="shared" si="72"/>
        <v/>
      </c>
      <c r="Z253" s="39" t="str">
        <f>IF(L253="","",IF(V253&gt;0,INDEX('02-شباط'!$Q$2:$Q$501,V253),IF($AO$1=1,0,"")))</f>
        <v/>
      </c>
      <c r="AA253" s="39" t="str">
        <f t="shared" si="73"/>
        <v/>
      </c>
      <c r="AB253" s="40" t="str">
        <f>IF(OR(L253="",V253=0),"",IF(AND(N(I253)&gt;0,N(INDEX('02-شباط'!$I$2:$I$501,V253))&gt;0,INDEX('02-شباط'!$F$2:$F$501,V253)=F253),N(I253)/N(INDEX('02-شباط'!$I$2:$I$501,V253))-1,""))</f>
        <v/>
      </c>
      <c r="AC253" t="str">
        <f>IF(L253="","",IF(AND($AO$2=1,ISNA(MATCH(L253,'04-نيسان'!$L$2:$L$501,0))),"محذوف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IF(L254="","",IF($AO$1=1,IFERROR(MATCH(L254,'02-شباط'!$L$2:$L$501,0),0),0))</f>
        <v/>
      </c>
      <c r="W254" t="str">
        <f t="shared" si="71"/>
        <v/>
      </c>
      <c r="X254" s="38" t="str">
        <f>IF(L254="","",IF(V254&gt;0,INDEX('02-شباط'!$P$2:$P$501,V254),IF($AO$1=1,0,"")))</f>
        <v/>
      </c>
      <c r="Y254" s="38" t="str">
        <f t="shared" si="72"/>
        <v/>
      </c>
      <c r="Z254" s="39" t="str">
        <f>IF(L254="","",IF(V254&gt;0,INDEX('02-شباط'!$Q$2:$Q$501,V254),IF($AO$1=1,0,"")))</f>
        <v/>
      </c>
      <c r="AA254" s="39" t="str">
        <f t="shared" si="73"/>
        <v/>
      </c>
      <c r="AB254" s="40" t="str">
        <f>IF(OR(L254="",V254=0),"",IF(AND(N(I254)&gt;0,N(INDEX('02-شباط'!$I$2:$I$501,V254))&gt;0,INDEX('02-شباط'!$F$2:$F$501,V254)=F254),N(I254)/N(INDEX('02-شباط'!$I$2:$I$501,V254))-1,""))</f>
        <v/>
      </c>
      <c r="AC254" t="str">
        <f>IF(L254="","",IF(AND($AO$2=1,ISNA(MATCH(L254,'04-نيسان'!$L$2:$L$501,0))),"محذوف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IF(L255="","",IF($AO$1=1,IFERROR(MATCH(L255,'02-شباط'!$L$2:$L$501,0),0),0))</f>
        <v/>
      </c>
      <c r="W255" t="str">
        <f t="shared" si="71"/>
        <v/>
      </c>
      <c r="X255" s="38" t="str">
        <f>IF(L255="","",IF(V255&gt;0,INDEX('02-شباط'!$P$2:$P$501,V255),IF($AO$1=1,0,"")))</f>
        <v/>
      </c>
      <c r="Y255" s="38" t="str">
        <f t="shared" si="72"/>
        <v/>
      </c>
      <c r="Z255" s="39" t="str">
        <f>IF(L255="","",IF(V255&gt;0,INDEX('02-شباط'!$Q$2:$Q$501,V255),IF($AO$1=1,0,"")))</f>
        <v/>
      </c>
      <c r="AA255" s="39" t="str">
        <f t="shared" si="73"/>
        <v/>
      </c>
      <c r="AB255" s="40" t="str">
        <f>IF(OR(L255="",V255=0),"",IF(AND(N(I255)&gt;0,N(INDEX('02-شباط'!$I$2:$I$501,V255))&gt;0,INDEX('02-شباط'!$F$2:$F$501,V255)=F255),N(I255)/N(INDEX('02-شباط'!$I$2:$I$501,V255))-1,""))</f>
        <v/>
      </c>
      <c r="AC255" t="str">
        <f>IF(L255="","",IF(AND($AO$2=1,ISNA(MATCH(L255,'04-نيسان'!$L$2:$L$501,0))),"محذوف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IF(L256="","",IF($AO$1=1,IFERROR(MATCH(L256,'02-شباط'!$L$2:$L$501,0),0),0))</f>
        <v/>
      </c>
      <c r="W256" t="str">
        <f t="shared" si="71"/>
        <v/>
      </c>
      <c r="X256" s="38" t="str">
        <f>IF(L256="","",IF(V256&gt;0,INDEX('02-شباط'!$P$2:$P$501,V256),IF($AO$1=1,0,"")))</f>
        <v/>
      </c>
      <c r="Y256" s="38" t="str">
        <f t="shared" si="72"/>
        <v/>
      </c>
      <c r="Z256" s="39" t="str">
        <f>IF(L256="","",IF(V256&gt;0,INDEX('02-شباط'!$Q$2:$Q$501,V256),IF($AO$1=1,0,"")))</f>
        <v/>
      </c>
      <c r="AA256" s="39" t="str">
        <f t="shared" si="73"/>
        <v/>
      </c>
      <c r="AB256" s="40" t="str">
        <f>IF(OR(L256="",V256=0),"",IF(AND(N(I256)&gt;0,N(INDEX('02-شباط'!$I$2:$I$501,V256))&gt;0,INDEX('02-شباط'!$F$2:$F$501,V256)=F256),N(I256)/N(INDEX('02-شباط'!$I$2:$I$501,V256))-1,""))</f>
        <v/>
      </c>
      <c r="AC256" t="str">
        <f>IF(L256="","",IF(AND($AO$2=1,ISNA(MATCH(L256,'04-نيسان'!$L$2:$L$501,0))),"محذوف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IF(L257="","",IF($AO$1=1,IFERROR(MATCH(L257,'02-شباط'!$L$2:$L$501,0),0),0))</f>
        <v/>
      </c>
      <c r="W257" t="str">
        <f t="shared" si="71"/>
        <v/>
      </c>
      <c r="X257" s="38" t="str">
        <f>IF(L257="","",IF(V257&gt;0,INDEX('02-شباط'!$P$2:$P$501,V257),IF($AO$1=1,0,"")))</f>
        <v/>
      </c>
      <c r="Y257" s="38" t="str">
        <f t="shared" si="72"/>
        <v/>
      </c>
      <c r="Z257" s="39" t="str">
        <f>IF(L257="","",IF(V257&gt;0,INDEX('02-شباط'!$Q$2:$Q$501,V257),IF($AO$1=1,0,"")))</f>
        <v/>
      </c>
      <c r="AA257" s="39" t="str">
        <f t="shared" si="73"/>
        <v/>
      </c>
      <c r="AB257" s="40" t="str">
        <f>IF(OR(L257="",V257=0),"",IF(AND(N(I257)&gt;0,N(INDEX('02-شباط'!$I$2:$I$501,V257))&gt;0,INDEX('02-شباط'!$F$2:$F$501,V257)=F257),N(I257)/N(INDEX('02-شباط'!$I$2:$I$501,V257))-1,""))</f>
        <v/>
      </c>
      <c r="AC257" t="str">
        <f>IF(L257="","",IF(AND($AO$2=1,ISNA(MATCH(L257,'04-نيسان'!$L$2:$L$501,0))),"محذوف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IF(L258="","",IF($AO$1=1,IFERROR(MATCH(L258,'02-شباط'!$L$2:$L$501,0),0),0))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IF(L258="","",IF(V258&gt;0,INDEX('02-شباط'!$P$2:$P$501,V258),IF($AO$1=1,0,"")))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IF(L258="","",IF(V258&gt;0,INDEX('02-شباط'!$Q$2:$Q$501,V258),IF($AO$1=1,0,"")))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IF(OR(L258="",V258=0),"",IF(AND(N(I258)&gt;0,N(INDEX('02-شباط'!$I$2:$I$501,V258))&gt;0,INDEX('02-شباط'!$F$2:$F$501,V258)=F258),N(I258)/N(INDEX('02-شباط'!$I$2:$I$501,V258))-1,""))</f>
        <v/>
      </c>
      <c r="AC258" t="str">
        <f>IF(L258="","",IF(AND($AO$2=1,ISNA(MATCH(L258,'04-نيسان'!$L$2:$L$501,0))),"محذوف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IF(L259="","",IF($AO$1=1,IFERROR(MATCH(L259,'02-شباط'!$L$2:$L$501,0),0),0))</f>
        <v/>
      </c>
      <c r="W259" t="str">
        <f t="shared" si="91"/>
        <v/>
      </c>
      <c r="X259" s="38" t="str">
        <f>IF(L259="","",IF(V259&gt;0,INDEX('02-شباط'!$P$2:$P$501,V259),IF($AO$1=1,0,"")))</f>
        <v/>
      </c>
      <c r="Y259" s="38" t="str">
        <f t="shared" si="92"/>
        <v/>
      </c>
      <c r="Z259" s="39" t="str">
        <f>IF(L259="","",IF(V259&gt;0,INDEX('02-شباط'!$Q$2:$Q$501,V259),IF($AO$1=1,0,"")))</f>
        <v/>
      </c>
      <c r="AA259" s="39" t="str">
        <f t="shared" si="93"/>
        <v/>
      </c>
      <c r="AB259" s="40" t="str">
        <f>IF(OR(L259="",V259=0),"",IF(AND(N(I259)&gt;0,N(INDEX('02-شباط'!$I$2:$I$501,V259))&gt;0,INDEX('02-شباط'!$F$2:$F$501,V259)=F259),N(I259)/N(INDEX('02-شباط'!$I$2:$I$501,V259))-1,""))</f>
        <v/>
      </c>
      <c r="AC259" t="str">
        <f>IF(L259="","",IF(AND($AO$2=1,ISNA(MATCH(L259,'04-نيسان'!$L$2:$L$501,0))),"محذوف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IF(L260="","",IF($AO$1=1,IFERROR(MATCH(L260,'02-شباط'!$L$2:$L$501,0),0),0))</f>
        <v/>
      </c>
      <c r="W260" t="str">
        <f t="shared" si="91"/>
        <v/>
      </c>
      <c r="X260" s="38" t="str">
        <f>IF(L260="","",IF(V260&gt;0,INDEX('02-شباط'!$P$2:$P$501,V260),IF($AO$1=1,0,"")))</f>
        <v/>
      </c>
      <c r="Y260" s="38" t="str">
        <f t="shared" si="92"/>
        <v/>
      </c>
      <c r="Z260" s="39" t="str">
        <f>IF(L260="","",IF(V260&gt;0,INDEX('02-شباط'!$Q$2:$Q$501,V260),IF($AO$1=1,0,"")))</f>
        <v/>
      </c>
      <c r="AA260" s="39" t="str">
        <f t="shared" si="93"/>
        <v/>
      </c>
      <c r="AB260" s="40" t="str">
        <f>IF(OR(L260="",V260=0),"",IF(AND(N(I260)&gt;0,N(INDEX('02-شباط'!$I$2:$I$501,V260))&gt;0,INDEX('02-شباط'!$F$2:$F$501,V260)=F260),N(I260)/N(INDEX('02-شباط'!$I$2:$I$501,V260))-1,""))</f>
        <v/>
      </c>
      <c r="AC260" t="str">
        <f>IF(L260="","",IF(AND($AO$2=1,ISNA(MATCH(L260,'04-نيسان'!$L$2:$L$501,0))),"محذوف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IF(L261="","",IF($AO$1=1,IFERROR(MATCH(L261,'02-شباط'!$L$2:$L$501,0),0),0))</f>
        <v/>
      </c>
      <c r="W261" t="str">
        <f t="shared" si="91"/>
        <v/>
      </c>
      <c r="X261" s="38" t="str">
        <f>IF(L261="","",IF(V261&gt;0,INDEX('02-شباط'!$P$2:$P$501,V261),IF($AO$1=1,0,"")))</f>
        <v/>
      </c>
      <c r="Y261" s="38" t="str">
        <f t="shared" si="92"/>
        <v/>
      </c>
      <c r="Z261" s="39" t="str">
        <f>IF(L261="","",IF(V261&gt;0,INDEX('02-شباط'!$Q$2:$Q$501,V261),IF($AO$1=1,0,"")))</f>
        <v/>
      </c>
      <c r="AA261" s="39" t="str">
        <f t="shared" si="93"/>
        <v/>
      </c>
      <c r="AB261" s="40" t="str">
        <f>IF(OR(L261="",V261=0),"",IF(AND(N(I261)&gt;0,N(INDEX('02-شباط'!$I$2:$I$501,V261))&gt;0,INDEX('02-شباط'!$F$2:$F$501,V261)=F261),N(I261)/N(INDEX('02-شباط'!$I$2:$I$501,V261))-1,""))</f>
        <v/>
      </c>
      <c r="AC261" t="str">
        <f>IF(L261="","",IF(AND($AO$2=1,ISNA(MATCH(L261,'04-نيسان'!$L$2:$L$501,0))),"محذوف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IF(L262="","",IF($AO$1=1,IFERROR(MATCH(L262,'02-شباط'!$L$2:$L$501,0),0),0))</f>
        <v/>
      </c>
      <c r="W262" t="str">
        <f t="shared" si="91"/>
        <v/>
      </c>
      <c r="X262" s="38" t="str">
        <f>IF(L262="","",IF(V262&gt;0,INDEX('02-شباط'!$P$2:$P$501,V262),IF($AO$1=1,0,"")))</f>
        <v/>
      </c>
      <c r="Y262" s="38" t="str">
        <f t="shared" si="92"/>
        <v/>
      </c>
      <c r="Z262" s="39" t="str">
        <f>IF(L262="","",IF(V262&gt;0,INDEX('02-شباط'!$Q$2:$Q$501,V262),IF($AO$1=1,0,"")))</f>
        <v/>
      </c>
      <c r="AA262" s="39" t="str">
        <f t="shared" si="93"/>
        <v/>
      </c>
      <c r="AB262" s="40" t="str">
        <f>IF(OR(L262="",V262=0),"",IF(AND(N(I262)&gt;0,N(INDEX('02-شباط'!$I$2:$I$501,V262))&gt;0,INDEX('02-شباط'!$F$2:$F$501,V262)=F262),N(I262)/N(INDEX('02-شباط'!$I$2:$I$501,V262))-1,""))</f>
        <v/>
      </c>
      <c r="AC262" t="str">
        <f>IF(L262="","",IF(AND($AO$2=1,ISNA(MATCH(L262,'04-نيسان'!$L$2:$L$501,0))),"محذوف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IF(L263="","",IF($AO$1=1,IFERROR(MATCH(L263,'02-شباط'!$L$2:$L$501,0),0),0))</f>
        <v/>
      </c>
      <c r="W263" t="str">
        <f t="shared" si="91"/>
        <v/>
      </c>
      <c r="X263" s="38" t="str">
        <f>IF(L263="","",IF(V263&gt;0,INDEX('02-شباط'!$P$2:$P$501,V263),IF($AO$1=1,0,"")))</f>
        <v/>
      </c>
      <c r="Y263" s="38" t="str">
        <f t="shared" si="92"/>
        <v/>
      </c>
      <c r="Z263" s="39" t="str">
        <f>IF(L263="","",IF(V263&gt;0,INDEX('02-شباط'!$Q$2:$Q$501,V263),IF($AO$1=1,0,"")))</f>
        <v/>
      </c>
      <c r="AA263" s="39" t="str">
        <f t="shared" si="93"/>
        <v/>
      </c>
      <c r="AB263" s="40" t="str">
        <f>IF(OR(L263="",V263=0),"",IF(AND(N(I263)&gt;0,N(INDEX('02-شباط'!$I$2:$I$501,V263))&gt;0,INDEX('02-شباط'!$F$2:$F$501,V263)=F263),N(I263)/N(INDEX('02-شباط'!$I$2:$I$501,V263))-1,""))</f>
        <v/>
      </c>
      <c r="AC263" t="str">
        <f>IF(L263="","",IF(AND($AO$2=1,ISNA(MATCH(L263,'04-نيسان'!$L$2:$L$501,0))),"محذوف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IF(L264="","",IF($AO$1=1,IFERROR(MATCH(L264,'02-شباط'!$L$2:$L$501,0),0),0))</f>
        <v/>
      </c>
      <c r="W264" t="str">
        <f t="shared" si="91"/>
        <v/>
      </c>
      <c r="X264" s="38" t="str">
        <f>IF(L264="","",IF(V264&gt;0,INDEX('02-شباط'!$P$2:$P$501,V264),IF($AO$1=1,0,"")))</f>
        <v/>
      </c>
      <c r="Y264" s="38" t="str">
        <f t="shared" si="92"/>
        <v/>
      </c>
      <c r="Z264" s="39" t="str">
        <f>IF(L264="","",IF(V264&gt;0,INDEX('02-شباط'!$Q$2:$Q$501,V264),IF($AO$1=1,0,"")))</f>
        <v/>
      </c>
      <c r="AA264" s="39" t="str">
        <f t="shared" si="93"/>
        <v/>
      </c>
      <c r="AB264" s="40" t="str">
        <f>IF(OR(L264="",V264=0),"",IF(AND(N(I264)&gt;0,N(INDEX('02-شباط'!$I$2:$I$501,V264))&gt;0,INDEX('02-شباط'!$F$2:$F$501,V264)=F264),N(I264)/N(INDEX('02-شباط'!$I$2:$I$501,V264))-1,""))</f>
        <v/>
      </c>
      <c r="AC264" t="str">
        <f>IF(L264="","",IF(AND($AO$2=1,ISNA(MATCH(L264,'04-نيسان'!$L$2:$L$501,0))),"محذوف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IF(L265="","",IF($AO$1=1,IFERROR(MATCH(L265,'02-شباط'!$L$2:$L$501,0),0),0))</f>
        <v/>
      </c>
      <c r="W265" t="str">
        <f t="shared" si="91"/>
        <v/>
      </c>
      <c r="X265" s="38" t="str">
        <f>IF(L265="","",IF(V265&gt;0,INDEX('02-شباط'!$P$2:$P$501,V265),IF($AO$1=1,0,"")))</f>
        <v/>
      </c>
      <c r="Y265" s="38" t="str">
        <f t="shared" si="92"/>
        <v/>
      </c>
      <c r="Z265" s="39" t="str">
        <f>IF(L265="","",IF(V265&gt;0,INDEX('02-شباط'!$Q$2:$Q$501,V265),IF($AO$1=1,0,"")))</f>
        <v/>
      </c>
      <c r="AA265" s="39" t="str">
        <f t="shared" si="93"/>
        <v/>
      </c>
      <c r="AB265" s="40" t="str">
        <f>IF(OR(L265="",V265=0),"",IF(AND(N(I265)&gt;0,N(INDEX('02-شباط'!$I$2:$I$501,V265))&gt;0,INDEX('02-شباط'!$F$2:$F$501,V265)=F265),N(I265)/N(INDEX('02-شباط'!$I$2:$I$501,V265))-1,""))</f>
        <v/>
      </c>
      <c r="AC265" t="str">
        <f>IF(L265="","",IF(AND($AO$2=1,ISNA(MATCH(L265,'04-نيسان'!$L$2:$L$501,0))),"محذوف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IF(L266="","",IF($AO$1=1,IFERROR(MATCH(L266,'02-شباط'!$L$2:$L$501,0),0),0))</f>
        <v/>
      </c>
      <c r="W266" t="str">
        <f t="shared" si="91"/>
        <v/>
      </c>
      <c r="X266" s="38" t="str">
        <f>IF(L266="","",IF(V266&gt;0,INDEX('02-شباط'!$P$2:$P$501,V266),IF($AO$1=1,0,"")))</f>
        <v/>
      </c>
      <c r="Y266" s="38" t="str">
        <f t="shared" si="92"/>
        <v/>
      </c>
      <c r="Z266" s="39" t="str">
        <f>IF(L266="","",IF(V266&gt;0,INDEX('02-شباط'!$Q$2:$Q$501,V266),IF($AO$1=1,0,"")))</f>
        <v/>
      </c>
      <c r="AA266" s="39" t="str">
        <f t="shared" si="93"/>
        <v/>
      </c>
      <c r="AB266" s="40" t="str">
        <f>IF(OR(L266="",V266=0),"",IF(AND(N(I266)&gt;0,N(INDEX('02-شباط'!$I$2:$I$501,V266))&gt;0,INDEX('02-شباط'!$F$2:$F$501,V266)=F266),N(I266)/N(INDEX('02-شباط'!$I$2:$I$501,V266))-1,""))</f>
        <v/>
      </c>
      <c r="AC266" t="str">
        <f>IF(L266="","",IF(AND($AO$2=1,ISNA(MATCH(L266,'04-نيسان'!$L$2:$L$501,0))),"محذوف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IF(L267="","",IF($AO$1=1,IFERROR(MATCH(L267,'02-شباط'!$L$2:$L$501,0),0),0))</f>
        <v/>
      </c>
      <c r="W267" t="str">
        <f t="shared" si="91"/>
        <v/>
      </c>
      <c r="X267" s="38" t="str">
        <f>IF(L267="","",IF(V267&gt;0,INDEX('02-شباط'!$P$2:$P$501,V267),IF($AO$1=1,0,"")))</f>
        <v/>
      </c>
      <c r="Y267" s="38" t="str">
        <f t="shared" si="92"/>
        <v/>
      </c>
      <c r="Z267" s="39" t="str">
        <f>IF(L267="","",IF(V267&gt;0,INDEX('02-شباط'!$Q$2:$Q$501,V267),IF($AO$1=1,0,"")))</f>
        <v/>
      </c>
      <c r="AA267" s="39" t="str">
        <f t="shared" si="93"/>
        <v/>
      </c>
      <c r="AB267" s="40" t="str">
        <f>IF(OR(L267="",V267=0),"",IF(AND(N(I267)&gt;0,N(INDEX('02-شباط'!$I$2:$I$501,V267))&gt;0,INDEX('02-شباط'!$F$2:$F$501,V267)=F267),N(I267)/N(INDEX('02-شباط'!$I$2:$I$501,V267))-1,""))</f>
        <v/>
      </c>
      <c r="AC267" t="str">
        <f>IF(L267="","",IF(AND($AO$2=1,ISNA(MATCH(L267,'04-نيسان'!$L$2:$L$501,0))),"محذوف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IF(L268="","",IF($AO$1=1,IFERROR(MATCH(L268,'02-شباط'!$L$2:$L$501,0),0),0))</f>
        <v/>
      </c>
      <c r="W268" t="str">
        <f t="shared" si="91"/>
        <v/>
      </c>
      <c r="X268" s="38" t="str">
        <f>IF(L268="","",IF(V268&gt;0,INDEX('02-شباط'!$P$2:$P$501,V268),IF($AO$1=1,0,"")))</f>
        <v/>
      </c>
      <c r="Y268" s="38" t="str">
        <f t="shared" si="92"/>
        <v/>
      </c>
      <c r="Z268" s="39" t="str">
        <f>IF(L268="","",IF(V268&gt;0,INDEX('02-شباط'!$Q$2:$Q$501,V268),IF($AO$1=1,0,"")))</f>
        <v/>
      </c>
      <c r="AA268" s="39" t="str">
        <f t="shared" si="93"/>
        <v/>
      </c>
      <c r="AB268" s="40" t="str">
        <f>IF(OR(L268="",V268=0),"",IF(AND(N(I268)&gt;0,N(INDEX('02-شباط'!$I$2:$I$501,V268))&gt;0,INDEX('02-شباط'!$F$2:$F$501,V268)=F268),N(I268)/N(INDEX('02-شباط'!$I$2:$I$501,V268))-1,""))</f>
        <v/>
      </c>
      <c r="AC268" t="str">
        <f>IF(L268="","",IF(AND($AO$2=1,ISNA(MATCH(L268,'04-نيسان'!$L$2:$L$501,0))),"محذوف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IF(L269="","",IF($AO$1=1,IFERROR(MATCH(L269,'02-شباط'!$L$2:$L$501,0),0),0))</f>
        <v/>
      </c>
      <c r="W269" t="str">
        <f t="shared" si="91"/>
        <v/>
      </c>
      <c r="X269" s="38" t="str">
        <f>IF(L269="","",IF(V269&gt;0,INDEX('02-شباط'!$P$2:$P$501,V269),IF($AO$1=1,0,"")))</f>
        <v/>
      </c>
      <c r="Y269" s="38" t="str">
        <f t="shared" si="92"/>
        <v/>
      </c>
      <c r="Z269" s="39" t="str">
        <f>IF(L269="","",IF(V269&gt;0,INDEX('02-شباط'!$Q$2:$Q$501,V269),IF($AO$1=1,0,"")))</f>
        <v/>
      </c>
      <c r="AA269" s="39" t="str">
        <f t="shared" si="93"/>
        <v/>
      </c>
      <c r="AB269" s="40" t="str">
        <f>IF(OR(L269="",V269=0),"",IF(AND(N(I269)&gt;0,N(INDEX('02-شباط'!$I$2:$I$501,V269))&gt;0,INDEX('02-شباط'!$F$2:$F$501,V269)=F269),N(I269)/N(INDEX('02-شباط'!$I$2:$I$501,V269))-1,""))</f>
        <v/>
      </c>
      <c r="AC269" t="str">
        <f>IF(L269="","",IF(AND($AO$2=1,ISNA(MATCH(L269,'04-نيسان'!$L$2:$L$501,0))),"محذوف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IF(L270="","",IF($AO$1=1,IFERROR(MATCH(L270,'02-شباط'!$L$2:$L$501,0),0),0))</f>
        <v/>
      </c>
      <c r="W270" t="str">
        <f t="shared" si="91"/>
        <v/>
      </c>
      <c r="X270" s="38" t="str">
        <f>IF(L270="","",IF(V270&gt;0,INDEX('02-شباط'!$P$2:$P$501,V270),IF($AO$1=1,0,"")))</f>
        <v/>
      </c>
      <c r="Y270" s="38" t="str">
        <f t="shared" si="92"/>
        <v/>
      </c>
      <c r="Z270" s="39" t="str">
        <f>IF(L270="","",IF(V270&gt;0,INDEX('02-شباط'!$Q$2:$Q$501,V270),IF($AO$1=1,0,"")))</f>
        <v/>
      </c>
      <c r="AA270" s="39" t="str">
        <f t="shared" si="93"/>
        <v/>
      </c>
      <c r="AB270" s="40" t="str">
        <f>IF(OR(L270="",V270=0),"",IF(AND(N(I270)&gt;0,N(INDEX('02-شباط'!$I$2:$I$501,V270))&gt;0,INDEX('02-شباط'!$F$2:$F$501,V270)=F270),N(I270)/N(INDEX('02-شباط'!$I$2:$I$501,V270))-1,""))</f>
        <v/>
      </c>
      <c r="AC270" t="str">
        <f>IF(L270="","",IF(AND($AO$2=1,ISNA(MATCH(L270,'04-نيسان'!$L$2:$L$501,0))),"محذوف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IF(L271="","",IF($AO$1=1,IFERROR(MATCH(L271,'02-شباط'!$L$2:$L$501,0),0),0))</f>
        <v/>
      </c>
      <c r="W271" t="str">
        <f t="shared" si="91"/>
        <v/>
      </c>
      <c r="X271" s="38" t="str">
        <f>IF(L271="","",IF(V271&gt;0,INDEX('02-شباط'!$P$2:$P$501,V271),IF($AO$1=1,0,"")))</f>
        <v/>
      </c>
      <c r="Y271" s="38" t="str">
        <f t="shared" si="92"/>
        <v/>
      </c>
      <c r="Z271" s="39" t="str">
        <f>IF(L271="","",IF(V271&gt;0,INDEX('02-شباط'!$Q$2:$Q$501,V271),IF($AO$1=1,0,"")))</f>
        <v/>
      </c>
      <c r="AA271" s="39" t="str">
        <f t="shared" si="93"/>
        <v/>
      </c>
      <c r="AB271" s="40" t="str">
        <f>IF(OR(L271="",V271=0),"",IF(AND(N(I271)&gt;0,N(INDEX('02-شباط'!$I$2:$I$501,V271))&gt;0,INDEX('02-شباط'!$F$2:$F$501,V271)=F271),N(I271)/N(INDEX('02-شباط'!$I$2:$I$501,V271))-1,""))</f>
        <v/>
      </c>
      <c r="AC271" t="str">
        <f>IF(L271="","",IF(AND($AO$2=1,ISNA(MATCH(L271,'04-نيسان'!$L$2:$L$501,0))),"محذوف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IF(L272="","",IF($AO$1=1,IFERROR(MATCH(L272,'02-شباط'!$L$2:$L$501,0),0),0))</f>
        <v/>
      </c>
      <c r="W272" t="str">
        <f t="shared" si="91"/>
        <v/>
      </c>
      <c r="X272" s="38" t="str">
        <f>IF(L272="","",IF(V272&gt;0,INDEX('02-شباط'!$P$2:$P$501,V272),IF($AO$1=1,0,"")))</f>
        <v/>
      </c>
      <c r="Y272" s="38" t="str">
        <f t="shared" si="92"/>
        <v/>
      </c>
      <c r="Z272" s="39" t="str">
        <f>IF(L272="","",IF(V272&gt;0,INDEX('02-شباط'!$Q$2:$Q$501,V272),IF($AO$1=1,0,"")))</f>
        <v/>
      </c>
      <c r="AA272" s="39" t="str">
        <f t="shared" si="93"/>
        <v/>
      </c>
      <c r="AB272" s="40" t="str">
        <f>IF(OR(L272="",V272=0),"",IF(AND(N(I272)&gt;0,N(INDEX('02-شباط'!$I$2:$I$501,V272))&gt;0,INDEX('02-شباط'!$F$2:$F$501,V272)=F272),N(I272)/N(INDEX('02-شباط'!$I$2:$I$501,V272))-1,""))</f>
        <v/>
      </c>
      <c r="AC272" t="str">
        <f>IF(L272="","",IF(AND($AO$2=1,ISNA(MATCH(L272,'04-نيسان'!$L$2:$L$501,0))),"محذوف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IF(L273="","",IF($AO$1=1,IFERROR(MATCH(L273,'02-شباط'!$L$2:$L$501,0),0),0))</f>
        <v/>
      </c>
      <c r="W273" t="str">
        <f t="shared" si="91"/>
        <v/>
      </c>
      <c r="X273" s="38" t="str">
        <f>IF(L273="","",IF(V273&gt;0,INDEX('02-شباط'!$P$2:$P$501,V273),IF($AO$1=1,0,"")))</f>
        <v/>
      </c>
      <c r="Y273" s="38" t="str">
        <f t="shared" si="92"/>
        <v/>
      </c>
      <c r="Z273" s="39" t="str">
        <f>IF(L273="","",IF(V273&gt;0,INDEX('02-شباط'!$Q$2:$Q$501,V273),IF($AO$1=1,0,"")))</f>
        <v/>
      </c>
      <c r="AA273" s="39" t="str">
        <f t="shared" si="93"/>
        <v/>
      </c>
      <c r="AB273" s="40" t="str">
        <f>IF(OR(L273="",V273=0),"",IF(AND(N(I273)&gt;0,N(INDEX('02-شباط'!$I$2:$I$501,V273))&gt;0,INDEX('02-شباط'!$F$2:$F$501,V273)=F273),N(I273)/N(INDEX('02-شباط'!$I$2:$I$501,V273))-1,""))</f>
        <v/>
      </c>
      <c r="AC273" t="str">
        <f>IF(L273="","",IF(AND($AO$2=1,ISNA(MATCH(L273,'04-نيسان'!$L$2:$L$501,0))),"محذوف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IF(L274="","",IF($AO$1=1,IFERROR(MATCH(L274,'02-شباط'!$L$2:$L$501,0),0),0))</f>
        <v/>
      </c>
      <c r="W274" t="str">
        <f t="shared" si="91"/>
        <v/>
      </c>
      <c r="X274" s="38" t="str">
        <f>IF(L274="","",IF(V274&gt;0,INDEX('02-شباط'!$P$2:$P$501,V274),IF($AO$1=1,0,"")))</f>
        <v/>
      </c>
      <c r="Y274" s="38" t="str">
        <f t="shared" si="92"/>
        <v/>
      </c>
      <c r="Z274" s="39" t="str">
        <f>IF(L274="","",IF(V274&gt;0,INDEX('02-شباط'!$Q$2:$Q$501,V274),IF($AO$1=1,0,"")))</f>
        <v/>
      </c>
      <c r="AA274" s="39" t="str">
        <f t="shared" si="93"/>
        <v/>
      </c>
      <c r="AB274" s="40" t="str">
        <f>IF(OR(L274="",V274=0),"",IF(AND(N(I274)&gt;0,N(INDEX('02-شباط'!$I$2:$I$501,V274))&gt;0,INDEX('02-شباط'!$F$2:$F$501,V274)=F274),N(I274)/N(INDEX('02-شباط'!$I$2:$I$501,V274))-1,""))</f>
        <v/>
      </c>
      <c r="AC274" t="str">
        <f>IF(L274="","",IF(AND($AO$2=1,ISNA(MATCH(L274,'04-نيسان'!$L$2:$L$501,0))),"محذوف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IF(L275="","",IF($AO$1=1,IFERROR(MATCH(L275,'02-شباط'!$L$2:$L$501,0),0),0))</f>
        <v/>
      </c>
      <c r="W275" t="str">
        <f t="shared" si="91"/>
        <v/>
      </c>
      <c r="X275" s="38" t="str">
        <f>IF(L275="","",IF(V275&gt;0,INDEX('02-شباط'!$P$2:$P$501,V275),IF($AO$1=1,0,"")))</f>
        <v/>
      </c>
      <c r="Y275" s="38" t="str">
        <f t="shared" si="92"/>
        <v/>
      </c>
      <c r="Z275" s="39" t="str">
        <f>IF(L275="","",IF(V275&gt;0,INDEX('02-شباط'!$Q$2:$Q$501,V275),IF($AO$1=1,0,"")))</f>
        <v/>
      </c>
      <c r="AA275" s="39" t="str">
        <f t="shared" si="93"/>
        <v/>
      </c>
      <c r="AB275" s="40" t="str">
        <f>IF(OR(L275="",V275=0),"",IF(AND(N(I275)&gt;0,N(INDEX('02-شباط'!$I$2:$I$501,V275))&gt;0,INDEX('02-شباط'!$F$2:$F$501,V275)=F275),N(I275)/N(INDEX('02-شباط'!$I$2:$I$501,V275))-1,""))</f>
        <v/>
      </c>
      <c r="AC275" t="str">
        <f>IF(L275="","",IF(AND($AO$2=1,ISNA(MATCH(L275,'04-نيسان'!$L$2:$L$501,0))),"محذوف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IF(L276="","",IF($AO$1=1,IFERROR(MATCH(L276,'02-شباط'!$L$2:$L$501,0),0),0))</f>
        <v/>
      </c>
      <c r="W276" t="str">
        <f t="shared" si="91"/>
        <v/>
      </c>
      <c r="X276" s="38" t="str">
        <f>IF(L276="","",IF(V276&gt;0,INDEX('02-شباط'!$P$2:$P$501,V276),IF($AO$1=1,0,"")))</f>
        <v/>
      </c>
      <c r="Y276" s="38" t="str">
        <f t="shared" si="92"/>
        <v/>
      </c>
      <c r="Z276" s="39" t="str">
        <f>IF(L276="","",IF(V276&gt;0,INDEX('02-شباط'!$Q$2:$Q$501,V276),IF($AO$1=1,0,"")))</f>
        <v/>
      </c>
      <c r="AA276" s="39" t="str">
        <f t="shared" si="93"/>
        <v/>
      </c>
      <c r="AB276" s="40" t="str">
        <f>IF(OR(L276="",V276=0),"",IF(AND(N(I276)&gt;0,N(INDEX('02-شباط'!$I$2:$I$501,V276))&gt;0,INDEX('02-شباط'!$F$2:$F$501,V276)=F276),N(I276)/N(INDEX('02-شباط'!$I$2:$I$501,V276))-1,""))</f>
        <v/>
      </c>
      <c r="AC276" t="str">
        <f>IF(L276="","",IF(AND($AO$2=1,ISNA(MATCH(L276,'04-نيسان'!$L$2:$L$501,0))),"محذوف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IF(L277="","",IF($AO$1=1,IFERROR(MATCH(L277,'02-شباط'!$L$2:$L$501,0),0),0))</f>
        <v/>
      </c>
      <c r="W277" t="str">
        <f t="shared" si="91"/>
        <v/>
      </c>
      <c r="X277" s="38" t="str">
        <f>IF(L277="","",IF(V277&gt;0,INDEX('02-شباط'!$P$2:$P$501,V277),IF($AO$1=1,0,"")))</f>
        <v/>
      </c>
      <c r="Y277" s="38" t="str">
        <f t="shared" si="92"/>
        <v/>
      </c>
      <c r="Z277" s="39" t="str">
        <f>IF(L277="","",IF(V277&gt;0,INDEX('02-شباط'!$Q$2:$Q$501,V277),IF($AO$1=1,0,"")))</f>
        <v/>
      </c>
      <c r="AA277" s="39" t="str">
        <f t="shared" si="93"/>
        <v/>
      </c>
      <c r="AB277" s="40" t="str">
        <f>IF(OR(L277="",V277=0),"",IF(AND(N(I277)&gt;0,N(INDEX('02-شباط'!$I$2:$I$501,V277))&gt;0,INDEX('02-شباط'!$F$2:$F$501,V277)=F277),N(I277)/N(INDEX('02-شباط'!$I$2:$I$501,V277))-1,""))</f>
        <v/>
      </c>
      <c r="AC277" t="str">
        <f>IF(L277="","",IF(AND($AO$2=1,ISNA(MATCH(L277,'04-نيسان'!$L$2:$L$501,0))),"محذوف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IF(L278="","",IF($AO$1=1,IFERROR(MATCH(L278,'02-شباط'!$L$2:$L$501,0),0),0))</f>
        <v/>
      </c>
      <c r="W278" t="str">
        <f t="shared" si="91"/>
        <v/>
      </c>
      <c r="X278" s="38" t="str">
        <f>IF(L278="","",IF(V278&gt;0,INDEX('02-شباط'!$P$2:$P$501,V278),IF($AO$1=1,0,"")))</f>
        <v/>
      </c>
      <c r="Y278" s="38" t="str">
        <f t="shared" si="92"/>
        <v/>
      </c>
      <c r="Z278" s="39" t="str">
        <f>IF(L278="","",IF(V278&gt;0,INDEX('02-شباط'!$Q$2:$Q$501,V278),IF($AO$1=1,0,"")))</f>
        <v/>
      </c>
      <c r="AA278" s="39" t="str">
        <f t="shared" si="93"/>
        <v/>
      </c>
      <c r="AB278" s="40" t="str">
        <f>IF(OR(L278="",V278=0),"",IF(AND(N(I278)&gt;0,N(INDEX('02-شباط'!$I$2:$I$501,V278))&gt;0,INDEX('02-شباط'!$F$2:$F$501,V278)=F278),N(I278)/N(INDEX('02-شباط'!$I$2:$I$501,V278))-1,""))</f>
        <v/>
      </c>
      <c r="AC278" t="str">
        <f>IF(L278="","",IF(AND($AO$2=1,ISNA(MATCH(L278,'04-نيسان'!$L$2:$L$501,0))),"محذوف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IF(L279="","",IF($AO$1=1,IFERROR(MATCH(L279,'02-شباط'!$L$2:$L$501,0),0),0))</f>
        <v/>
      </c>
      <c r="W279" t="str">
        <f t="shared" si="91"/>
        <v/>
      </c>
      <c r="X279" s="38" t="str">
        <f>IF(L279="","",IF(V279&gt;0,INDEX('02-شباط'!$P$2:$P$501,V279),IF($AO$1=1,0,"")))</f>
        <v/>
      </c>
      <c r="Y279" s="38" t="str">
        <f t="shared" si="92"/>
        <v/>
      </c>
      <c r="Z279" s="39" t="str">
        <f>IF(L279="","",IF(V279&gt;0,INDEX('02-شباط'!$Q$2:$Q$501,V279),IF($AO$1=1,0,"")))</f>
        <v/>
      </c>
      <c r="AA279" s="39" t="str">
        <f t="shared" si="93"/>
        <v/>
      </c>
      <c r="AB279" s="40" t="str">
        <f>IF(OR(L279="",V279=0),"",IF(AND(N(I279)&gt;0,N(INDEX('02-شباط'!$I$2:$I$501,V279))&gt;0,INDEX('02-شباط'!$F$2:$F$501,V279)=F279),N(I279)/N(INDEX('02-شباط'!$I$2:$I$501,V279))-1,""))</f>
        <v/>
      </c>
      <c r="AC279" t="str">
        <f>IF(L279="","",IF(AND($AO$2=1,ISNA(MATCH(L279,'04-نيسان'!$L$2:$L$501,0))),"محذوف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IF(L280="","",IF($AO$1=1,IFERROR(MATCH(L280,'02-شباط'!$L$2:$L$501,0),0),0))</f>
        <v/>
      </c>
      <c r="W280" t="str">
        <f t="shared" si="91"/>
        <v/>
      </c>
      <c r="X280" s="38" t="str">
        <f>IF(L280="","",IF(V280&gt;0,INDEX('02-شباط'!$P$2:$P$501,V280),IF($AO$1=1,0,"")))</f>
        <v/>
      </c>
      <c r="Y280" s="38" t="str">
        <f t="shared" si="92"/>
        <v/>
      </c>
      <c r="Z280" s="39" t="str">
        <f>IF(L280="","",IF(V280&gt;0,INDEX('02-شباط'!$Q$2:$Q$501,V280),IF($AO$1=1,0,"")))</f>
        <v/>
      </c>
      <c r="AA280" s="39" t="str">
        <f t="shared" si="93"/>
        <v/>
      </c>
      <c r="AB280" s="40" t="str">
        <f>IF(OR(L280="",V280=0),"",IF(AND(N(I280)&gt;0,N(INDEX('02-شباط'!$I$2:$I$501,V280))&gt;0,INDEX('02-شباط'!$F$2:$F$501,V280)=F280),N(I280)/N(INDEX('02-شباط'!$I$2:$I$501,V280))-1,""))</f>
        <v/>
      </c>
      <c r="AC280" t="str">
        <f>IF(L280="","",IF(AND($AO$2=1,ISNA(MATCH(L280,'04-نيسان'!$L$2:$L$501,0))),"محذوف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IF(L281="","",IF($AO$1=1,IFERROR(MATCH(L281,'02-شباط'!$L$2:$L$501,0),0),0))</f>
        <v/>
      </c>
      <c r="W281" t="str">
        <f t="shared" si="91"/>
        <v/>
      </c>
      <c r="X281" s="38" t="str">
        <f>IF(L281="","",IF(V281&gt;0,INDEX('02-شباط'!$P$2:$P$501,V281),IF($AO$1=1,0,"")))</f>
        <v/>
      </c>
      <c r="Y281" s="38" t="str">
        <f t="shared" si="92"/>
        <v/>
      </c>
      <c r="Z281" s="39" t="str">
        <f>IF(L281="","",IF(V281&gt;0,INDEX('02-شباط'!$Q$2:$Q$501,V281),IF($AO$1=1,0,"")))</f>
        <v/>
      </c>
      <c r="AA281" s="39" t="str">
        <f t="shared" si="93"/>
        <v/>
      </c>
      <c r="AB281" s="40" t="str">
        <f>IF(OR(L281="",V281=0),"",IF(AND(N(I281)&gt;0,N(INDEX('02-شباط'!$I$2:$I$501,V281))&gt;0,INDEX('02-شباط'!$F$2:$F$501,V281)=F281),N(I281)/N(INDEX('02-شباط'!$I$2:$I$501,V281))-1,""))</f>
        <v/>
      </c>
      <c r="AC281" t="str">
        <f>IF(L281="","",IF(AND($AO$2=1,ISNA(MATCH(L281,'04-نيسان'!$L$2:$L$501,0))),"محذوف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IF(L282="","",IF($AO$1=1,IFERROR(MATCH(L282,'02-شباط'!$L$2:$L$501,0),0),0))</f>
        <v/>
      </c>
      <c r="W282" t="str">
        <f t="shared" si="91"/>
        <v/>
      </c>
      <c r="X282" s="38" t="str">
        <f>IF(L282="","",IF(V282&gt;0,INDEX('02-شباط'!$P$2:$P$501,V282),IF($AO$1=1,0,"")))</f>
        <v/>
      </c>
      <c r="Y282" s="38" t="str">
        <f t="shared" si="92"/>
        <v/>
      </c>
      <c r="Z282" s="39" t="str">
        <f>IF(L282="","",IF(V282&gt;0,INDEX('02-شباط'!$Q$2:$Q$501,V282),IF($AO$1=1,0,"")))</f>
        <v/>
      </c>
      <c r="AA282" s="39" t="str">
        <f t="shared" si="93"/>
        <v/>
      </c>
      <c r="AB282" s="40" t="str">
        <f>IF(OR(L282="",V282=0),"",IF(AND(N(I282)&gt;0,N(INDEX('02-شباط'!$I$2:$I$501,V282))&gt;0,INDEX('02-شباط'!$F$2:$F$501,V282)=F282),N(I282)/N(INDEX('02-شباط'!$I$2:$I$501,V282))-1,""))</f>
        <v/>
      </c>
      <c r="AC282" t="str">
        <f>IF(L282="","",IF(AND($AO$2=1,ISNA(MATCH(L282,'04-نيسان'!$L$2:$L$501,0))),"محذوف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IF(L283="","",IF($AO$1=1,IFERROR(MATCH(L283,'02-شباط'!$L$2:$L$501,0),0),0))</f>
        <v/>
      </c>
      <c r="W283" t="str">
        <f t="shared" si="91"/>
        <v/>
      </c>
      <c r="X283" s="38" t="str">
        <f>IF(L283="","",IF(V283&gt;0,INDEX('02-شباط'!$P$2:$P$501,V283),IF($AO$1=1,0,"")))</f>
        <v/>
      </c>
      <c r="Y283" s="38" t="str">
        <f t="shared" si="92"/>
        <v/>
      </c>
      <c r="Z283" s="39" t="str">
        <f>IF(L283="","",IF(V283&gt;0,INDEX('02-شباط'!$Q$2:$Q$501,V283),IF($AO$1=1,0,"")))</f>
        <v/>
      </c>
      <c r="AA283" s="39" t="str">
        <f t="shared" si="93"/>
        <v/>
      </c>
      <c r="AB283" s="40" t="str">
        <f>IF(OR(L283="",V283=0),"",IF(AND(N(I283)&gt;0,N(INDEX('02-شباط'!$I$2:$I$501,V283))&gt;0,INDEX('02-شباط'!$F$2:$F$501,V283)=F283),N(I283)/N(INDEX('02-شباط'!$I$2:$I$501,V283))-1,""))</f>
        <v/>
      </c>
      <c r="AC283" t="str">
        <f>IF(L283="","",IF(AND($AO$2=1,ISNA(MATCH(L283,'04-نيسان'!$L$2:$L$501,0))),"محذوف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IF(L284="","",IF($AO$1=1,IFERROR(MATCH(L284,'02-شباط'!$L$2:$L$501,0),0),0))</f>
        <v/>
      </c>
      <c r="W284" t="str">
        <f t="shared" si="91"/>
        <v/>
      </c>
      <c r="X284" s="38" t="str">
        <f>IF(L284="","",IF(V284&gt;0,INDEX('02-شباط'!$P$2:$P$501,V284),IF($AO$1=1,0,"")))</f>
        <v/>
      </c>
      <c r="Y284" s="38" t="str">
        <f t="shared" si="92"/>
        <v/>
      </c>
      <c r="Z284" s="39" t="str">
        <f>IF(L284="","",IF(V284&gt;0,INDEX('02-شباط'!$Q$2:$Q$501,V284),IF($AO$1=1,0,"")))</f>
        <v/>
      </c>
      <c r="AA284" s="39" t="str">
        <f t="shared" si="93"/>
        <v/>
      </c>
      <c r="AB284" s="40" t="str">
        <f>IF(OR(L284="",V284=0),"",IF(AND(N(I284)&gt;0,N(INDEX('02-شباط'!$I$2:$I$501,V284))&gt;0,INDEX('02-شباط'!$F$2:$F$501,V284)=F284),N(I284)/N(INDEX('02-شباط'!$I$2:$I$501,V284))-1,""))</f>
        <v/>
      </c>
      <c r="AC284" t="str">
        <f>IF(L284="","",IF(AND($AO$2=1,ISNA(MATCH(L284,'04-نيسان'!$L$2:$L$501,0))),"محذوف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IF(L285="","",IF($AO$1=1,IFERROR(MATCH(L285,'02-شباط'!$L$2:$L$501,0),0),0))</f>
        <v/>
      </c>
      <c r="W285" t="str">
        <f t="shared" si="91"/>
        <v/>
      </c>
      <c r="X285" s="38" t="str">
        <f>IF(L285="","",IF(V285&gt;0,INDEX('02-شباط'!$P$2:$P$501,V285),IF($AO$1=1,0,"")))</f>
        <v/>
      </c>
      <c r="Y285" s="38" t="str">
        <f t="shared" si="92"/>
        <v/>
      </c>
      <c r="Z285" s="39" t="str">
        <f>IF(L285="","",IF(V285&gt;0,INDEX('02-شباط'!$Q$2:$Q$501,V285),IF($AO$1=1,0,"")))</f>
        <v/>
      </c>
      <c r="AA285" s="39" t="str">
        <f t="shared" si="93"/>
        <v/>
      </c>
      <c r="AB285" s="40" t="str">
        <f>IF(OR(L285="",V285=0),"",IF(AND(N(I285)&gt;0,N(INDEX('02-شباط'!$I$2:$I$501,V285))&gt;0,INDEX('02-شباط'!$F$2:$F$501,V285)=F285),N(I285)/N(INDEX('02-شباط'!$I$2:$I$501,V285))-1,""))</f>
        <v/>
      </c>
      <c r="AC285" t="str">
        <f>IF(L285="","",IF(AND($AO$2=1,ISNA(MATCH(L285,'04-نيسان'!$L$2:$L$501,0))),"محذوف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IF(L286="","",IF($AO$1=1,IFERROR(MATCH(L286,'02-شباط'!$L$2:$L$501,0),0),0))</f>
        <v/>
      </c>
      <c r="W286" t="str">
        <f t="shared" si="91"/>
        <v/>
      </c>
      <c r="X286" s="38" t="str">
        <f>IF(L286="","",IF(V286&gt;0,INDEX('02-شباط'!$P$2:$P$501,V286),IF($AO$1=1,0,"")))</f>
        <v/>
      </c>
      <c r="Y286" s="38" t="str">
        <f t="shared" si="92"/>
        <v/>
      </c>
      <c r="Z286" s="39" t="str">
        <f>IF(L286="","",IF(V286&gt;0,INDEX('02-شباط'!$Q$2:$Q$501,V286),IF($AO$1=1,0,"")))</f>
        <v/>
      </c>
      <c r="AA286" s="39" t="str">
        <f t="shared" si="93"/>
        <v/>
      </c>
      <c r="AB286" s="40" t="str">
        <f>IF(OR(L286="",V286=0),"",IF(AND(N(I286)&gt;0,N(INDEX('02-شباط'!$I$2:$I$501,V286))&gt;0,INDEX('02-شباط'!$F$2:$F$501,V286)=F286),N(I286)/N(INDEX('02-شباط'!$I$2:$I$501,V286))-1,""))</f>
        <v/>
      </c>
      <c r="AC286" t="str">
        <f>IF(L286="","",IF(AND($AO$2=1,ISNA(MATCH(L286,'04-نيسان'!$L$2:$L$501,0))),"محذوف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IF(L287="","",IF($AO$1=1,IFERROR(MATCH(L287,'02-شباط'!$L$2:$L$501,0),0),0))</f>
        <v/>
      </c>
      <c r="W287" t="str">
        <f t="shared" si="91"/>
        <v/>
      </c>
      <c r="X287" s="38" t="str">
        <f>IF(L287="","",IF(V287&gt;0,INDEX('02-شباط'!$P$2:$P$501,V287),IF($AO$1=1,0,"")))</f>
        <v/>
      </c>
      <c r="Y287" s="38" t="str">
        <f t="shared" si="92"/>
        <v/>
      </c>
      <c r="Z287" s="39" t="str">
        <f>IF(L287="","",IF(V287&gt;0,INDEX('02-شباط'!$Q$2:$Q$501,V287),IF($AO$1=1,0,"")))</f>
        <v/>
      </c>
      <c r="AA287" s="39" t="str">
        <f t="shared" si="93"/>
        <v/>
      </c>
      <c r="AB287" s="40" t="str">
        <f>IF(OR(L287="",V287=0),"",IF(AND(N(I287)&gt;0,N(INDEX('02-شباط'!$I$2:$I$501,V287))&gt;0,INDEX('02-شباط'!$F$2:$F$501,V287)=F287),N(I287)/N(INDEX('02-شباط'!$I$2:$I$501,V287))-1,""))</f>
        <v/>
      </c>
      <c r="AC287" t="str">
        <f>IF(L287="","",IF(AND($AO$2=1,ISNA(MATCH(L287,'04-نيسان'!$L$2:$L$501,0))),"محذوف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IF(L288="","",IF($AO$1=1,IFERROR(MATCH(L288,'02-شباط'!$L$2:$L$501,0),0),0))</f>
        <v/>
      </c>
      <c r="W288" t="str">
        <f t="shared" si="91"/>
        <v/>
      </c>
      <c r="X288" s="38" t="str">
        <f>IF(L288="","",IF(V288&gt;0,INDEX('02-شباط'!$P$2:$P$501,V288),IF($AO$1=1,0,"")))</f>
        <v/>
      </c>
      <c r="Y288" s="38" t="str">
        <f t="shared" si="92"/>
        <v/>
      </c>
      <c r="Z288" s="39" t="str">
        <f>IF(L288="","",IF(V288&gt;0,INDEX('02-شباط'!$Q$2:$Q$501,V288),IF($AO$1=1,0,"")))</f>
        <v/>
      </c>
      <c r="AA288" s="39" t="str">
        <f t="shared" si="93"/>
        <v/>
      </c>
      <c r="AB288" s="40" t="str">
        <f>IF(OR(L288="",V288=0),"",IF(AND(N(I288)&gt;0,N(INDEX('02-شباط'!$I$2:$I$501,V288))&gt;0,INDEX('02-شباط'!$F$2:$F$501,V288)=F288),N(I288)/N(INDEX('02-شباط'!$I$2:$I$501,V288))-1,""))</f>
        <v/>
      </c>
      <c r="AC288" t="str">
        <f>IF(L288="","",IF(AND($AO$2=1,ISNA(MATCH(L288,'04-نيسان'!$L$2:$L$501,0))),"محذوف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IF(L289="","",IF($AO$1=1,IFERROR(MATCH(L289,'02-شباط'!$L$2:$L$501,0),0),0))</f>
        <v/>
      </c>
      <c r="W289" t="str">
        <f t="shared" si="91"/>
        <v/>
      </c>
      <c r="X289" s="38" t="str">
        <f>IF(L289="","",IF(V289&gt;0,INDEX('02-شباط'!$P$2:$P$501,V289),IF($AO$1=1,0,"")))</f>
        <v/>
      </c>
      <c r="Y289" s="38" t="str">
        <f t="shared" si="92"/>
        <v/>
      </c>
      <c r="Z289" s="39" t="str">
        <f>IF(L289="","",IF(V289&gt;0,INDEX('02-شباط'!$Q$2:$Q$501,V289),IF($AO$1=1,0,"")))</f>
        <v/>
      </c>
      <c r="AA289" s="39" t="str">
        <f t="shared" si="93"/>
        <v/>
      </c>
      <c r="AB289" s="40" t="str">
        <f>IF(OR(L289="",V289=0),"",IF(AND(N(I289)&gt;0,N(INDEX('02-شباط'!$I$2:$I$501,V289))&gt;0,INDEX('02-شباط'!$F$2:$F$501,V289)=F289),N(I289)/N(INDEX('02-شباط'!$I$2:$I$501,V289))-1,""))</f>
        <v/>
      </c>
      <c r="AC289" t="str">
        <f>IF(L289="","",IF(AND($AO$2=1,ISNA(MATCH(L289,'04-نيسان'!$L$2:$L$501,0))),"محذوف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IF(L290="","",IF($AO$1=1,IFERROR(MATCH(L290,'02-شباط'!$L$2:$L$501,0),0),0))</f>
        <v/>
      </c>
      <c r="W290" t="str">
        <f t="shared" si="91"/>
        <v/>
      </c>
      <c r="X290" s="38" t="str">
        <f>IF(L290="","",IF(V290&gt;0,INDEX('02-شباط'!$P$2:$P$501,V290),IF($AO$1=1,0,"")))</f>
        <v/>
      </c>
      <c r="Y290" s="38" t="str">
        <f t="shared" si="92"/>
        <v/>
      </c>
      <c r="Z290" s="39" t="str">
        <f>IF(L290="","",IF(V290&gt;0,INDEX('02-شباط'!$Q$2:$Q$501,V290),IF($AO$1=1,0,"")))</f>
        <v/>
      </c>
      <c r="AA290" s="39" t="str">
        <f t="shared" si="93"/>
        <v/>
      </c>
      <c r="AB290" s="40" t="str">
        <f>IF(OR(L290="",V290=0),"",IF(AND(N(I290)&gt;0,N(INDEX('02-شباط'!$I$2:$I$501,V290))&gt;0,INDEX('02-شباط'!$F$2:$F$501,V290)=F290),N(I290)/N(INDEX('02-شباط'!$I$2:$I$501,V290))-1,""))</f>
        <v/>
      </c>
      <c r="AC290" t="str">
        <f>IF(L290="","",IF(AND($AO$2=1,ISNA(MATCH(L290,'04-نيسان'!$L$2:$L$501,0))),"محذوف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IF(L291="","",IF($AO$1=1,IFERROR(MATCH(L291,'02-شباط'!$L$2:$L$501,0),0),0))</f>
        <v/>
      </c>
      <c r="W291" t="str">
        <f t="shared" si="91"/>
        <v/>
      </c>
      <c r="X291" s="38" t="str">
        <f>IF(L291="","",IF(V291&gt;0,INDEX('02-شباط'!$P$2:$P$501,V291),IF($AO$1=1,0,"")))</f>
        <v/>
      </c>
      <c r="Y291" s="38" t="str">
        <f t="shared" si="92"/>
        <v/>
      </c>
      <c r="Z291" s="39" t="str">
        <f>IF(L291="","",IF(V291&gt;0,INDEX('02-شباط'!$Q$2:$Q$501,V291),IF($AO$1=1,0,"")))</f>
        <v/>
      </c>
      <c r="AA291" s="39" t="str">
        <f t="shared" si="93"/>
        <v/>
      </c>
      <c r="AB291" s="40" t="str">
        <f>IF(OR(L291="",V291=0),"",IF(AND(N(I291)&gt;0,N(INDEX('02-شباط'!$I$2:$I$501,V291))&gt;0,INDEX('02-شباط'!$F$2:$F$501,V291)=F291),N(I291)/N(INDEX('02-شباط'!$I$2:$I$501,V291))-1,""))</f>
        <v/>
      </c>
      <c r="AC291" t="str">
        <f>IF(L291="","",IF(AND($AO$2=1,ISNA(MATCH(L291,'04-نيسان'!$L$2:$L$501,0))),"محذوف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IF(L292="","",IF($AO$1=1,IFERROR(MATCH(L292,'02-شباط'!$L$2:$L$501,0),0),0))</f>
        <v/>
      </c>
      <c r="W292" t="str">
        <f t="shared" si="91"/>
        <v/>
      </c>
      <c r="X292" s="38" t="str">
        <f>IF(L292="","",IF(V292&gt;0,INDEX('02-شباط'!$P$2:$P$501,V292),IF($AO$1=1,0,"")))</f>
        <v/>
      </c>
      <c r="Y292" s="38" t="str">
        <f t="shared" si="92"/>
        <v/>
      </c>
      <c r="Z292" s="39" t="str">
        <f>IF(L292="","",IF(V292&gt;0,INDEX('02-شباط'!$Q$2:$Q$501,V292),IF($AO$1=1,0,"")))</f>
        <v/>
      </c>
      <c r="AA292" s="39" t="str">
        <f t="shared" si="93"/>
        <v/>
      </c>
      <c r="AB292" s="40" t="str">
        <f>IF(OR(L292="",V292=0),"",IF(AND(N(I292)&gt;0,N(INDEX('02-شباط'!$I$2:$I$501,V292))&gt;0,INDEX('02-شباط'!$F$2:$F$501,V292)=F292),N(I292)/N(INDEX('02-شباط'!$I$2:$I$501,V292))-1,""))</f>
        <v/>
      </c>
      <c r="AC292" t="str">
        <f>IF(L292="","",IF(AND($AO$2=1,ISNA(MATCH(L292,'04-نيسان'!$L$2:$L$501,0))),"محذوف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IF(L293="","",IF($AO$1=1,IFERROR(MATCH(L293,'02-شباط'!$L$2:$L$501,0),0),0))</f>
        <v/>
      </c>
      <c r="W293" t="str">
        <f t="shared" si="91"/>
        <v/>
      </c>
      <c r="X293" s="38" t="str">
        <f>IF(L293="","",IF(V293&gt;0,INDEX('02-شباط'!$P$2:$P$501,V293),IF($AO$1=1,0,"")))</f>
        <v/>
      </c>
      <c r="Y293" s="38" t="str">
        <f t="shared" si="92"/>
        <v/>
      </c>
      <c r="Z293" s="39" t="str">
        <f>IF(L293="","",IF(V293&gt;0,INDEX('02-شباط'!$Q$2:$Q$501,V293),IF($AO$1=1,0,"")))</f>
        <v/>
      </c>
      <c r="AA293" s="39" t="str">
        <f t="shared" si="93"/>
        <v/>
      </c>
      <c r="AB293" s="40" t="str">
        <f>IF(OR(L293="",V293=0),"",IF(AND(N(I293)&gt;0,N(INDEX('02-شباط'!$I$2:$I$501,V293))&gt;0,INDEX('02-شباط'!$F$2:$F$501,V293)=F293),N(I293)/N(INDEX('02-شباط'!$I$2:$I$501,V293))-1,""))</f>
        <v/>
      </c>
      <c r="AC293" t="str">
        <f>IF(L293="","",IF(AND($AO$2=1,ISNA(MATCH(L293,'04-نيسان'!$L$2:$L$501,0))),"محذوف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IF(L294="","",IF($AO$1=1,IFERROR(MATCH(L294,'02-شباط'!$L$2:$L$501,0),0),0))</f>
        <v/>
      </c>
      <c r="W294" t="str">
        <f t="shared" si="91"/>
        <v/>
      </c>
      <c r="X294" s="38" t="str">
        <f>IF(L294="","",IF(V294&gt;0,INDEX('02-شباط'!$P$2:$P$501,V294),IF($AO$1=1,0,"")))</f>
        <v/>
      </c>
      <c r="Y294" s="38" t="str">
        <f t="shared" si="92"/>
        <v/>
      </c>
      <c r="Z294" s="39" t="str">
        <f>IF(L294="","",IF(V294&gt;0,INDEX('02-شباط'!$Q$2:$Q$501,V294),IF($AO$1=1,0,"")))</f>
        <v/>
      </c>
      <c r="AA294" s="39" t="str">
        <f t="shared" si="93"/>
        <v/>
      </c>
      <c r="AB294" s="40" t="str">
        <f>IF(OR(L294="",V294=0),"",IF(AND(N(I294)&gt;0,N(INDEX('02-شباط'!$I$2:$I$501,V294))&gt;0,INDEX('02-شباط'!$F$2:$F$501,V294)=F294),N(I294)/N(INDEX('02-شباط'!$I$2:$I$501,V294))-1,""))</f>
        <v/>
      </c>
      <c r="AC294" t="str">
        <f>IF(L294="","",IF(AND($AO$2=1,ISNA(MATCH(L294,'04-نيسان'!$L$2:$L$501,0))),"محذوف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IF(L295="","",IF($AO$1=1,IFERROR(MATCH(L295,'02-شباط'!$L$2:$L$501,0),0),0))</f>
        <v/>
      </c>
      <c r="W295" t="str">
        <f t="shared" si="91"/>
        <v/>
      </c>
      <c r="X295" s="38" t="str">
        <f>IF(L295="","",IF(V295&gt;0,INDEX('02-شباط'!$P$2:$P$501,V295),IF($AO$1=1,0,"")))</f>
        <v/>
      </c>
      <c r="Y295" s="38" t="str">
        <f t="shared" si="92"/>
        <v/>
      </c>
      <c r="Z295" s="39" t="str">
        <f>IF(L295="","",IF(V295&gt;0,INDEX('02-شباط'!$Q$2:$Q$501,V295),IF($AO$1=1,0,"")))</f>
        <v/>
      </c>
      <c r="AA295" s="39" t="str">
        <f t="shared" si="93"/>
        <v/>
      </c>
      <c r="AB295" s="40" t="str">
        <f>IF(OR(L295="",V295=0),"",IF(AND(N(I295)&gt;0,N(INDEX('02-شباط'!$I$2:$I$501,V295))&gt;0,INDEX('02-شباط'!$F$2:$F$501,V295)=F295),N(I295)/N(INDEX('02-شباط'!$I$2:$I$501,V295))-1,""))</f>
        <v/>
      </c>
      <c r="AC295" t="str">
        <f>IF(L295="","",IF(AND($AO$2=1,ISNA(MATCH(L295,'04-نيسان'!$L$2:$L$501,0))),"محذوف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IF(L296="","",IF($AO$1=1,IFERROR(MATCH(L296,'02-شباط'!$L$2:$L$501,0),0),0))</f>
        <v/>
      </c>
      <c r="W296" t="str">
        <f t="shared" si="91"/>
        <v/>
      </c>
      <c r="X296" s="38" t="str">
        <f>IF(L296="","",IF(V296&gt;0,INDEX('02-شباط'!$P$2:$P$501,V296),IF($AO$1=1,0,"")))</f>
        <v/>
      </c>
      <c r="Y296" s="38" t="str">
        <f t="shared" si="92"/>
        <v/>
      </c>
      <c r="Z296" s="39" t="str">
        <f>IF(L296="","",IF(V296&gt;0,INDEX('02-شباط'!$Q$2:$Q$501,V296),IF($AO$1=1,0,"")))</f>
        <v/>
      </c>
      <c r="AA296" s="39" t="str">
        <f t="shared" si="93"/>
        <v/>
      </c>
      <c r="AB296" s="40" t="str">
        <f>IF(OR(L296="",V296=0),"",IF(AND(N(I296)&gt;0,N(INDEX('02-شباط'!$I$2:$I$501,V296))&gt;0,INDEX('02-شباط'!$F$2:$F$501,V296)=F296),N(I296)/N(INDEX('02-شباط'!$I$2:$I$501,V296))-1,""))</f>
        <v/>
      </c>
      <c r="AC296" t="str">
        <f>IF(L296="","",IF(AND($AO$2=1,ISNA(MATCH(L296,'04-نيسان'!$L$2:$L$501,0))),"محذوف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IF(L297="","",IF($AO$1=1,IFERROR(MATCH(L297,'02-شباط'!$L$2:$L$501,0),0),0))</f>
        <v/>
      </c>
      <c r="W297" t="str">
        <f t="shared" si="91"/>
        <v/>
      </c>
      <c r="X297" s="38" t="str">
        <f>IF(L297="","",IF(V297&gt;0,INDEX('02-شباط'!$P$2:$P$501,V297),IF($AO$1=1,0,"")))</f>
        <v/>
      </c>
      <c r="Y297" s="38" t="str">
        <f t="shared" si="92"/>
        <v/>
      </c>
      <c r="Z297" s="39" t="str">
        <f>IF(L297="","",IF(V297&gt;0,INDEX('02-شباط'!$Q$2:$Q$501,V297),IF($AO$1=1,0,"")))</f>
        <v/>
      </c>
      <c r="AA297" s="39" t="str">
        <f t="shared" si="93"/>
        <v/>
      </c>
      <c r="AB297" s="40" t="str">
        <f>IF(OR(L297="",V297=0),"",IF(AND(N(I297)&gt;0,N(INDEX('02-شباط'!$I$2:$I$501,V297))&gt;0,INDEX('02-شباط'!$F$2:$F$501,V297)=F297),N(I297)/N(INDEX('02-شباط'!$I$2:$I$501,V297))-1,""))</f>
        <v/>
      </c>
      <c r="AC297" t="str">
        <f>IF(L297="","",IF(AND($AO$2=1,ISNA(MATCH(L297,'04-نيسان'!$L$2:$L$501,0))),"محذوف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IF(L298="","",IF($AO$1=1,IFERROR(MATCH(L298,'02-شباط'!$L$2:$L$501,0),0),0))</f>
        <v/>
      </c>
      <c r="W298" t="str">
        <f t="shared" si="91"/>
        <v/>
      </c>
      <c r="X298" s="38" t="str">
        <f>IF(L298="","",IF(V298&gt;0,INDEX('02-شباط'!$P$2:$P$501,V298),IF($AO$1=1,0,"")))</f>
        <v/>
      </c>
      <c r="Y298" s="38" t="str">
        <f t="shared" si="92"/>
        <v/>
      </c>
      <c r="Z298" s="39" t="str">
        <f>IF(L298="","",IF(V298&gt;0,INDEX('02-شباط'!$Q$2:$Q$501,V298),IF($AO$1=1,0,"")))</f>
        <v/>
      </c>
      <c r="AA298" s="39" t="str">
        <f t="shared" si="93"/>
        <v/>
      </c>
      <c r="AB298" s="40" t="str">
        <f>IF(OR(L298="",V298=0),"",IF(AND(N(I298)&gt;0,N(INDEX('02-شباط'!$I$2:$I$501,V298))&gt;0,INDEX('02-شباط'!$F$2:$F$501,V298)=F298),N(I298)/N(INDEX('02-شباط'!$I$2:$I$501,V298))-1,""))</f>
        <v/>
      </c>
      <c r="AC298" t="str">
        <f>IF(L298="","",IF(AND($AO$2=1,ISNA(MATCH(L298,'04-نيسان'!$L$2:$L$501,0))),"محذوف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IF(L299="","",IF($AO$1=1,IFERROR(MATCH(L299,'02-شباط'!$L$2:$L$501,0),0),0))</f>
        <v/>
      </c>
      <c r="W299" t="str">
        <f t="shared" si="91"/>
        <v/>
      </c>
      <c r="X299" s="38" t="str">
        <f>IF(L299="","",IF(V299&gt;0,INDEX('02-شباط'!$P$2:$P$501,V299),IF($AO$1=1,0,"")))</f>
        <v/>
      </c>
      <c r="Y299" s="38" t="str">
        <f t="shared" si="92"/>
        <v/>
      </c>
      <c r="Z299" s="39" t="str">
        <f>IF(L299="","",IF(V299&gt;0,INDEX('02-شباط'!$Q$2:$Q$501,V299),IF($AO$1=1,0,"")))</f>
        <v/>
      </c>
      <c r="AA299" s="39" t="str">
        <f t="shared" si="93"/>
        <v/>
      </c>
      <c r="AB299" s="40" t="str">
        <f>IF(OR(L299="",V299=0),"",IF(AND(N(I299)&gt;0,N(INDEX('02-شباط'!$I$2:$I$501,V299))&gt;0,INDEX('02-شباط'!$F$2:$F$501,V299)=F299),N(I299)/N(INDEX('02-شباط'!$I$2:$I$501,V299))-1,""))</f>
        <v/>
      </c>
      <c r="AC299" t="str">
        <f>IF(L299="","",IF(AND($AO$2=1,ISNA(MATCH(L299,'04-نيسان'!$L$2:$L$501,0))),"محذوف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IF(L300="","",IF($AO$1=1,IFERROR(MATCH(L300,'02-شباط'!$L$2:$L$501,0),0),0))</f>
        <v/>
      </c>
      <c r="W300" t="str">
        <f t="shared" si="91"/>
        <v/>
      </c>
      <c r="X300" s="38" t="str">
        <f>IF(L300="","",IF(V300&gt;0,INDEX('02-شباط'!$P$2:$P$501,V300),IF($AO$1=1,0,"")))</f>
        <v/>
      </c>
      <c r="Y300" s="38" t="str">
        <f t="shared" si="92"/>
        <v/>
      </c>
      <c r="Z300" s="39" t="str">
        <f>IF(L300="","",IF(V300&gt;0,INDEX('02-شباط'!$Q$2:$Q$501,V300),IF($AO$1=1,0,"")))</f>
        <v/>
      </c>
      <c r="AA300" s="39" t="str">
        <f t="shared" si="93"/>
        <v/>
      </c>
      <c r="AB300" s="40" t="str">
        <f>IF(OR(L300="",V300=0),"",IF(AND(N(I300)&gt;0,N(INDEX('02-شباط'!$I$2:$I$501,V300))&gt;0,INDEX('02-شباط'!$F$2:$F$501,V300)=F300),N(I300)/N(INDEX('02-شباط'!$I$2:$I$501,V300))-1,""))</f>
        <v/>
      </c>
      <c r="AC300" t="str">
        <f>IF(L300="","",IF(AND($AO$2=1,ISNA(MATCH(L300,'04-نيسان'!$L$2:$L$501,0))),"محذوف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IF(L301="","",IF($AO$1=1,IFERROR(MATCH(L301,'02-شباط'!$L$2:$L$501,0),0),0))</f>
        <v/>
      </c>
      <c r="W301" t="str">
        <f t="shared" si="91"/>
        <v/>
      </c>
      <c r="X301" s="38" t="str">
        <f>IF(L301="","",IF(V301&gt;0,INDEX('02-شباط'!$P$2:$P$501,V301),IF($AO$1=1,0,"")))</f>
        <v/>
      </c>
      <c r="Y301" s="38" t="str">
        <f t="shared" si="92"/>
        <v/>
      </c>
      <c r="Z301" s="39" t="str">
        <f>IF(L301="","",IF(V301&gt;0,INDEX('02-شباط'!$Q$2:$Q$501,V301),IF($AO$1=1,0,"")))</f>
        <v/>
      </c>
      <c r="AA301" s="39" t="str">
        <f t="shared" si="93"/>
        <v/>
      </c>
      <c r="AB301" s="40" t="str">
        <f>IF(OR(L301="",V301=0),"",IF(AND(N(I301)&gt;0,N(INDEX('02-شباط'!$I$2:$I$501,V301))&gt;0,INDEX('02-شباط'!$F$2:$F$501,V301)=F301),N(I301)/N(INDEX('02-شباط'!$I$2:$I$501,V301))-1,""))</f>
        <v/>
      </c>
      <c r="AC301" t="str">
        <f>IF(L301="","",IF(AND($AO$2=1,ISNA(MATCH(L301,'04-نيسان'!$L$2:$L$501,0))),"محذوف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IF(L302="","",IF($AO$1=1,IFERROR(MATCH(L302,'02-شباط'!$L$2:$L$501,0),0),0))</f>
        <v/>
      </c>
      <c r="W302" t="str">
        <f t="shared" si="91"/>
        <v/>
      </c>
      <c r="X302" s="38" t="str">
        <f>IF(L302="","",IF(V302&gt;0,INDEX('02-شباط'!$P$2:$P$501,V302),IF($AO$1=1,0,"")))</f>
        <v/>
      </c>
      <c r="Y302" s="38" t="str">
        <f t="shared" si="92"/>
        <v/>
      </c>
      <c r="Z302" s="39" t="str">
        <f>IF(L302="","",IF(V302&gt;0,INDEX('02-شباط'!$Q$2:$Q$501,V302),IF($AO$1=1,0,"")))</f>
        <v/>
      </c>
      <c r="AA302" s="39" t="str">
        <f t="shared" si="93"/>
        <v/>
      </c>
      <c r="AB302" s="40" t="str">
        <f>IF(OR(L302="",V302=0),"",IF(AND(N(I302)&gt;0,N(INDEX('02-شباط'!$I$2:$I$501,V302))&gt;0,INDEX('02-شباط'!$F$2:$F$501,V302)=F302),N(I302)/N(INDEX('02-شباط'!$I$2:$I$501,V302))-1,""))</f>
        <v/>
      </c>
      <c r="AC302" t="str">
        <f>IF(L302="","",IF(AND($AO$2=1,ISNA(MATCH(L302,'04-نيسان'!$L$2:$L$501,0))),"محذوف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IF(L303="","",IF($AO$1=1,IFERROR(MATCH(L303,'02-شباط'!$L$2:$L$501,0),0),0))</f>
        <v/>
      </c>
      <c r="W303" t="str">
        <f t="shared" si="91"/>
        <v/>
      </c>
      <c r="X303" s="38" t="str">
        <f>IF(L303="","",IF(V303&gt;0,INDEX('02-شباط'!$P$2:$P$501,V303),IF($AO$1=1,0,"")))</f>
        <v/>
      </c>
      <c r="Y303" s="38" t="str">
        <f t="shared" si="92"/>
        <v/>
      </c>
      <c r="Z303" s="39" t="str">
        <f>IF(L303="","",IF(V303&gt;0,INDEX('02-شباط'!$Q$2:$Q$501,V303),IF($AO$1=1,0,"")))</f>
        <v/>
      </c>
      <c r="AA303" s="39" t="str">
        <f t="shared" si="93"/>
        <v/>
      </c>
      <c r="AB303" s="40" t="str">
        <f>IF(OR(L303="",V303=0),"",IF(AND(N(I303)&gt;0,N(INDEX('02-شباط'!$I$2:$I$501,V303))&gt;0,INDEX('02-شباط'!$F$2:$F$501,V303)=F303),N(I303)/N(INDEX('02-شباط'!$I$2:$I$501,V303))-1,""))</f>
        <v/>
      </c>
      <c r="AC303" t="str">
        <f>IF(L303="","",IF(AND($AO$2=1,ISNA(MATCH(L303,'04-نيسان'!$L$2:$L$501,0))),"محذوف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IF(L304="","",IF($AO$1=1,IFERROR(MATCH(L304,'02-شباط'!$L$2:$L$501,0),0),0))</f>
        <v/>
      </c>
      <c r="W304" t="str">
        <f t="shared" si="91"/>
        <v/>
      </c>
      <c r="X304" s="38" t="str">
        <f>IF(L304="","",IF(V304&gt;0,INDEX('02-شباط'!$P$2:$P$501,V304),IF($AO$1=1,0,"")))</f>
        <v/>
      </c>
      <c r="Y304" s="38" t="str">
        <f t="shared" si="92"/>
        <v/>
      </c>
      <c r="Z304" s="39" t="str">
        <f>IF(L304="","",IF(V304&gt;0,INDEX('02-شباط'!$Q$2:$Q$501,V304),IF($AO$1=1,0,"")))</f>
        <v/>
      </c>
      <c r="AA304" s="39" t="str">
        <f t="shared" si="93"/>
        <v/>
      </c>
      <c r="AB304" s="40" t="str">
        <f>IF(OR(L304="",V304=0),"",IF(AND(N(I304)&gt;0,N(INDEX('02-شباط'!$I$2:$I$501,V304))&gt;0,INDEX('02-شباط'!$F$2:$F$501,V304)=F304),N(I304)/N(INDEX('02-شباط'!$I$2:$I$501,V304))-1,""))</f>
        <v/>
      </c>
      <c r="AC304" t="str">
        <f>IF(L304="","",IF(AND($AO$2=1,ISNA(MATCH(L304,'04-نيسان'!$L$2:$L$501,0))),"محذوف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IF(L305="","",IF($AO$1=1,IFERROR(MATCH(L305,'02-شباط'!$L$2:$L$501,0),0),0))</f>
        <v/>
      </c>
      <c r="W305" t="str">
        <f t="shared" si="91"/>
        <v/>
      </c>
      <c r="X305" s="38" t="str">
        <f>IF(L305="","",IF(V305&gt;0,INDEX('02-شباط'!$P$2:$P$501,V305),IF($AO$1=1,0,"")))</f>
        <v/>
      </c>
      <c r="Y305" s="38" t="str">
        <f t="shared" si="92"/>
        <v/>
      </c>
      <c r="Z305" s="39" t="str">
        <f>IF(L305="","",IF(V305&gt;0,INDEX('02-شباط'!$Q$2:$Q$501,V305),IF($AO$1=1,0,"")))</f>
        <v/>
      </c>
      <c r="AA305" s="39" t="str">
        <f t="shared" si="93"/>
        <v/>
      </c>
      <c r="AB305" s="40" t="str">
        <f>IF(OR(L305="",V305=0),"",IF(AND(N(I305)&gt;0,N(INDEX('02-شباط'!$I$2:$I$501,V305))&gt;0,INDEX('02-شباط'!$F$2:$F$501,V305)=F305),N(I305)/N(INDEX('02-شباط'!$I$2:$I$501,V305))-1,""))</f>
        <v/>
      </c>
      <c r="AC305" t="str">
        <f>IF(L305="","",IF(AND($AO$2=1,ISNA(MATCH(L305,'04-نيسان'!$L$2:$L$501,0))),"محذوف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IF(L306="","",IF($AO$1=1,IFERROR(MATCH(L306,'02-شباط'!$L$2:$L$501,0),0),0))</f>
        <v/>
      </c>
      <c r="W306" t="str">
        <f t="shared" si="91"/>
        <v/>
      </c>
      <c r="X306" s="38" t="str">
        <f>IF(L306="","",IF(V306&gt;0,INDEX('02-شباط'!$P$2:$P$501,V306),IF($AO$1=1,0,"")))</f>
        <v/>
      </c>
      <c r="Y306" s="38" t="str">
        <f t="shared" si="92"/>
        <v/>
      </c>
      <c r="Z306" s="39" t="str">
        <f>IF(L306="","",IF(V306&gt;0,INDEX('02-شباط'!$Q$2:$Q$501,V306),IF($AO$1=1,0,"")))</f>
        <v/>
      </c>
      <c r="AA306" s="39" t="str">
        <f t="shared" si="93"/>
        <v/>
      </c>
      <c r="AB306" s="40" t="str">
        <f>IF(OR(L306="",V306=0),"",IF(AND(N(I306)&gt;0,N(INDEX('02-شباط'!$I$2:$I$501,V306))&gt;0,INDEX('02-شباط'!$F$2:$F$501,V306)=F306),N(I306)/N(INDEX('02-شباط'!$I$2:$I$501,V306))-1,""))</f>
        <v/>
      </c>
      <c r="AC306" t="str">
        <f>IF(L306="","",IF(AND($AO$2=1,ISNA(MATCH(L306,'04-نيسان'!$L$2:$L$501,0))),"محذوف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IF(L307="","",IF($AO$1=1,IFERROR(MATCH(L307,'02-شباط'!$L$2:$L$501,0),0),0))</f>
        <v/>
      </c>
      <c r="W307" t="str">
        <f t="shared" si="91"/>
        <v/>
      </c>
      <c r="X307" s="38" t="str">
        <f>IF(L307="","",IF(V307&gt;0,INDEX('02-شباط'!$P$2:$P$501,V307),IF($AO$1=1,0,"")))</f>
        <v/>
      </c>
      <c r="Y307" s="38" t="str">
        <f t="shared" si="92"/>
        <v/>
      </c>
      <c r="Z307" s="39" t="str">
        <f>IF(L307="","",IF(V307&gt;0,INDEX('02-شباط'!$Q$2:$Q$501,V307),IF($AO$1=1,0,"")))</f>
        <v/>
      </c>
      <c r="AA307" s="39" t="str">
        <f t="shared" si="93"/>
        <v/>
      </c>
      <c r="AB307" s="40" t="str">
        <f>IF(OR(L307="",V307=0),"",IF(AND(N(I307)&gt;0,N(INDEX('02-شباط'!$I$2:$I$501,V307))&gt;0,INDEX('02-شباط'!$F$2:$F$501,V307)=F307),N(I307)/N(INDEX('02-شباط'!$I$2:$I$501,V307))-1,""))</f>
        <v/>
      </c>
      <c r="AC307" t="str">
        <f>IF(L307="","",IF(AND($AO$2=1,ISNA(MATCH(L307,'04-نيسان'!$L$2:$L$501,0))),"محذوف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IF(L308="","",IF($AO$1=1,IFERROR(MATCH(L308,'02-شباط'!$L$2:$L$501,0),0),0))</f>
        <v/>
      </c>
      <c r="W308" t="str">
        <f t="shared" si="91"/>
        <v/>
      </c>
      <c r="X308" s="38" t="str">
        <f>IF(L308="","",IF(V308&gt;0,INDEX('02-شباط'!$P$2:$P$501,V308),IF($AO$1=1,0,"")))</f>
        <v/>
      </c>
      <c r="Y308" s="38" t="str">
        <f t="shared" si="92"/>
        <v/>
      </c>
      <c r="Z308" s="39" t="str">
        <f>IF(L308="","",IF(V308&gt;0,INDEX('02-شباط'!$Q$2:$Q$501,V308),IF($AO$1=1,0,"")))</f>
        <v/>
      </c>
      <c r="AA308" s="39" t="str">
        <f t="shared" si="93"/>
        <v/>
      </c>
      <c r="AB308" s="40" t="str">
        <f>IF(OR(L308="",V308=0),"",IF(AND(N(I308)&gt;0,N(INDEX('02-شباط'!$I$2:$I$501,V308))&gt;0,INDEX('02-شباط'!$F$2:$F$501,V308)=F308),N(I308)/N(INDEX('02-شباط'!$I$2:$I$501,V308))-1,""))</f>
        <v/>
      </c>
      <c r="AC308" t="str">
        <f>IF(L308="","",IF(AND($AO$2=1,ISNA(MATCH(L308,'04-نيسان'!$L$2:$L$501,0))),"محذوف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IF(L309="","",IF($AO$1=1,IFERROR(MATCH(L309,'02-شباط'!$L$2:$L$501,0),0),0))</f>
        <v/>
      </c>
      <c r="W309" t="str">
        <f t="shared" si="91"/>
        <v/>
      </c>
      <c r="X309" s="38" t="str">
        <f>IF(L309="","",IF(V309&gt;0,INDEX('02-شباط'!$P$2:$P$501,V309),IF($AO$1=1,0,"")))</f>
        <v/>
      </c>
      <c r="Y309" s="38" t="str">
        <f t="shared" si="92"/>
        <v/>
      </c>
      <c r="Z309" s="39" t="str">
        <f>IF(L309="","",IF(V309&gt;0,INDEX('02-شباط'!$Q$2:$Q$501,V309),IF($AO$1=1,0,"")))</f>
        <v/>
      </c>
      <c r="AA309" s="39" t="str">
        <f t="shared" si="93"/>
        <v/>
      </c>
      <c r="AB309" s="40" t="str">
        <f>IF(OR(L309="",V309=0),"",IF(AND(N(I309)&gt;0,N(INDEX('02-شباط'!$I$2:$I$501,V309))&gt;0,INDEX('02-شباط'!$F$2:$F$501,V309)=F309),N(I309)/N(INDEX('02-شباط'!$I$2:$I$501,V309))-1,""))</f>
        <v/>
      </c>
      <c r="AC309" t="str">
        <f>IF(L309="","",IF(AND($AO$2=1,ISNA(MATCH(L309,'04-نيسان'!$L$2:$L$501,0))),"محذوف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IF(L310="","",IF($AO$1=1,IFERROR(MATCH(L310,'02-شباط'!$L$2:$L$501,0),0),0))</f>
        <v/>
      </c>
      <c r="W310" t="str">
        <f t="shared" si="91"/>
        <v/>
      </c>
      <c r="X310" s="38" t="str">
        <f>IF(L310="","",IF(V310&gt;0,INDEX('02-شباط'!$P$2:$P$501,V310),IF($AO$1=1,0,"")))</f>
        <v/>
      </c>
      <c r="Y310" s="38" t="str">
        <f t="shared" si="92"/>
        <v/>
      </c>
      <c r="Z310" s="39" t="str">
        <f>IF(L310="","",IF(V310&gt;0,INDEX('02-شباط'!$Q$2:$Q$501,V310),IF($AO$1=1,0,"")))</f>
        <v/>
      </c>
      <c r="AA310" s="39" t="str">
        <f t="shared" si="93"/>
        <v/>
      </c>
      <c r="AB310" s="40" t="str">
        <f>IF(OR(L310="",V310=0),"",IF(AND(N(I310)&gt;0,N(INDEX('02-شباط'!$I$2:$I$501,V310))&gt;0,INDEX('02-شباط'!$F$2:$F$501,V310)=F310),N(I310)/N(INDEX('02-شباط'!$I$2:$I$501,V310))-1,""))</f>
        <v/>
      </c>
      <c r="AC310" t="str">
        <f>IF(L310="","",IF(AND($AO$2=1,ISNA(MATCH(L310,'04-نيسان'!$L$2:$L$501,0))),"محذوف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IF(L311="","",IF($AO$1=1,IFERROR(MATCH(L311,'02-شباط'!$L$2:$L$501,0),0),0))</f>
        <v/>
      </c>
      <c r="W311" t="str">
        <f t="shared" si="91"/>
        <v/>
      </c>
      <c r="X311" s="38" t="str">
        <f>IF(L311="","",IF(V311&gt;0,INDEX('02-شباط'!$P$2:$P$501,V311),IF($AO$1=1,0,"")))</f>
        <v/>
      </c>
      <c r="Y311" s="38" t="str">
        <f t="shared" si="92"/>
        <v/>
      </c>
      <c r="Z311" s="39" t="str">
        <f>IF(L311="","",IF(V311&gt;0,INDEX('02-شباط'!$Q$2:$Q$501,V311),IF($AO$1=1,0,"")))</f>
        <v/>
      </c>
      <c r="AA311" s="39" t="str">
        <f t="shared" si="93"/>
        <v/>
      </c>
      <c r="AB311" s="40" t="str">
        <f>IF(OR(L311="",V311=0),"",IF(AND(N(I311)&gt;0,N(INDEX('02-شباط'!$I$2:$I$501,V311))&gt;0,INDEX('02-شباط'!$F$2:$F$501,V311)=F311),N(I311)/N(INDEX('02-شباط'!$I$2:$I$501,V311))-1,""))</f>
        <v/>
      </c>
      <c r="AC311" t="str">
        <f>IF(L311="","",IF(AND($AO$2=1,ISNA(MATCH(L311,'04-نيسان'!$L$2:$L$501,0))),"محذوف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IF(L312="","",IF($AO$1=1,IFERROR(MATCH(L312,'02-شباط'!$L$2:$L$501,0),0),0))</f>
        <v/>
      </c>
      <c r="W312" t="str">
        <f t="shared" si="91"/>
        <v/>
      </c>
      <c r="X312" s="38" t="str">
        <f>IF(L312="","",IF(V312&gt;0,INDEX('02-شباط'!$P$2:$P$501,V312),IF($AO$1=1,0,"")))</f>
        <v/>
      </c>
      <c r="Y312" s="38" t="str">
        <f t="shared" si="92"/>
        <v/>
      </c>
      <c r="Z312" s="39" t="str">
        <f>IF(L312="","",IF(V312&gt;0,INDEX('02-شباط'!$Q$2:$Q$501,V312),IF($AO$1=1,0,"")))</f>
        <v/>
      </c>
      <c r="AA312" s="39" t="str">
        <f t="shared" si="93"/>
        <v/>
      </c>
      <c r="AB312" s="40" t="str">
        <f>IF(OR(L312="",V312=0),"",IF(AND(N(I312)&gt;0,N(INDEX('02-شباط'!$I$2:$I$501,V312))&gt;0,INDEX('02-شباط'!$F$2:$F$501,V312)=F312),N(I312)/N(INDEX('02-شباط'!$I$2:$I$501,V312))-1,""))</f>
        <v/>
      </c>
      <c r="AC312" t="str">
        <f>IF(L312="","",IF(AND($AO$2=1,ISNA(MATCH(L312,'04-نيسان'!$L$2:$L$501,0))),"محذوف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IF(L313="","",IF($AO$1=1,IFERROR(MATCH(L313,'02-شباط'!$L$2:$L$501,0),0),0))</f>
        <v/>
      </c>
      <c r="W313" t="str">
        <f t="shared" si="91"/>
        <v/>
      </c>
      <c r="X313" s="38" t="str">
        <f>IF(L313="","",IF(V313&gt;0,INDEX('02-شباط'!$P$2:$P$501,V313),IF($AO$1=1,0,"")))</f>
        <v/>
      </c>
      <c r="Y313" s="38" t="str">
        <f t="shared" si="92"/>
        <v/>
      </c>
      <c r="Z313" s="39" t="str">
        <f>IF(L313="","",IF(V313&gt;0,INDEX('02-شباط'!$Q$2:$Q$501,V313),IF($AO$1=1,0,"")))</f>
        <v/>
      </c>
      <c r="AA313" s="39" t="str">
        <f t="shared" si="93"/>
        <v/>
      </c>
      <c r="AB313" s="40" t="str">
        <f>IF(OR(L313="",V313=0),"",IF(AND(N(I313)&gt;0,N(INDEX('02-شباط'!$I$2:$I$501,V313))&gt;0,INDEX('02-شباط'!$F$2:$F$501,V313)=F313),N(I313)/N(INDEX('02-شباط'!$I$2:$I$501,V313))-1,""))</f>
        <v/>
      </c>
      <c r="AC313" t="str">
        <f>IF(L313="","",IF(AND($AO$2=1,ISNA(MATCH(L313,'04-نيسان'!$L$2:$L$501,0))),"محذوف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IF(L314="","",IF($AO$1=1,IFERROR(MATCH(L314,'02-شباط'!$L$2:$L$501,0),0),0))</f>
        <v/>
      </c>
      <c r="W314" t="str">
        <f t="shared" si="91"/>
        <v/>
      </c>
      <c r="X314" s="38" t="str">
        <f>IF(L314="","",IF(V314&gt;0,INDEX('02-شباط'!$P$2:$P$501,V314),IF($AO$1=1,0,"")))</f>
        <v/>
      </c>
      <c r="Y314" s="38" t="str">
        <f t="shared" si="92"/>
        <v/>
      </c>
      <c r="Z314" s="39" t="str">
        <f>IF(L314="","",IF(V314&gt;0,INDEX('02-شباط'!$Q$2:$Q$501,V314),IF($AO$1=1,0,"")))</f>
        <v/>
      </c>
      <c r="AA314" s="39" t="str">
        <f t="shared" si="93"/>
        <v/>
      </c>
      <c r="AB314" s="40" t="str">
        <f>IF(OR(L314="",V314=0),"",IF(AND(N(I314)&gt;0,N(INDEX('02-شباط'!$I$2:$I$501,V314))&gt;0,INDEX('02-شباط'!$F$2:$F$501,V314)=F314),N(I314)/N(INDEX('02-شباط'!$I$2:$I$501,V314))-1,""))</f>
        <v/>
      </c>
      <c r="AC314" t="str">
        <f>IF(L314="","",IF(AND($AO$2=1,ISNA(MATCH(L314,'04-نيسان'!$L$2:$L$501,0))),"محذوف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IF(L315="","",IF($AO$1=1,IFERROR(MATCH(L315,'02-شباط'!$L$2:$L$501,0),0),0))</f>
        <v/>
      </c>
      <c r="W315" t="str">
        <f t="shared" si="91"/>
        <v/>
      </c>
      <c r="X315" s="38" t="str">
        <f>IF(L315="","",IF(V315&gt;0,INDEX('02-شباط'!$P$2:$P$501,V315),IF($AO$1=1,0,"")))</f>
        <v/>
      </c>
      <c r="Y315" s="38" t="str">
        <f t="shared" si="92"/>
        <v/>
      </c>
      <c r="Z315" s="39" t="str">
        <f>IF(L315="","",IF(V315&gt;0,INDEX('02-شباط'!$Q$2:$Q$501,V315),IF($AO$1=1,0,"")))</f>
        <v/>
      </c>
      <c r="AA315" s="39" t="str">
        <f t="shared" si="93"/>
        <v/>
      </c>
      <c r="AB315" s="40" t="str">
        <f>IF(OR(L315="",V315=0),"",IF(AND(N(I315)&gt;0,N(INDEX('02-شباط'!$I$2:$I$501,V315))&gt;0,INDEX('02-شباط'!$F$2:$F$501,V315)=F315),N(I315)/N(INDEX('02-شباط'!$I$2:$I$501,V315))-1,""))</f>
        <v/>
      </c>
      <c r="AC315" t="str">
        <f>IF(L315="","",IF(AND($AO$2=1,ISNA(MATCH(L315,'04-نيسان'!$L$2:$L$501,0))),"محذوف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IF(L316="","",IF($AO$1=1,IFERROR(MATCH(L316,'02-شباط'!$L$2:$L$501,0),0),0))</f>
        <v/>
      </c>
      <c r="W316" t="str">
        <f t="shared" si="91"/>
        <v/>
      </c>
      <c r="X316" s="38" t="str">
        <f>IF(L316="","",IF(V316&gt;0,INDEX('02-شباط'!$P$2:$P$501,V316),IF($AO$1=1,0,"")))</f>
        <v/>
      </c>
      <c r="Y316" s="38" t="str">
        <f t="shared" si="92"/>
        <v/>
      </c>
      <c r="Z316" s="39" t="str">
        <f>IF(L316="","",IF(V316&gt;0,INDEX('02-شباط'!$Q$2:$Q$501,V316),IF($AO$1=1,0,"")))</f>
        <v/>
      </c>
      <c r="AA316" s="39" t="str">
        <f t="shared" si="93"/>
        <v/>
      </c>
      <c r="AB316" s="40" t="str">
        <f>IF(OR(L316="",V316=0),"",IF(AND(N(I316)&gt;0,N(INDEX('02-شباط'!$I$2:$I$501,V316))&gt;0,INDEX('02-شباط'!$F$2:$F$501,V316)=F316),N(I316)/N(INDEX('02-شباط'!$I$2:$I$501,V316))-1,""))</f>
        <v/>
      </c>
      <c r="AC316" t="str">
        <f>IF(L316="","",IF(AND($AO$2=1,ISNA(MATCH(L316,'04-نيسان'!$L$2:$L$501,0))),"محذوف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IF(L317="","",IF($AO$1=1,IFERROR(MATCH(L317,'02-شباط'!$L$2:$L$501,0),0),0))</f>
        <v/>
      </c>
      <c r="W317" t="str">
        <f t="shared" si="91"/>
        <v/>
      </c>
      <c r="X317" s="38" t="str">
        <f>IF(L317="","",IF(V317&gt;0,INDEX('02-شباط'!$P$2:$P$501,V317),IF($AO$1=1,0,"")))</f>
        <v/>
      </c>
      <c r="Y317" s="38" t="str">
        <f t="shared" si="92"/>
        <v/>
      </c>
      <c r="Z317" s="39" t="str">
        <f>IF(L317="","",IF(V317&gt;0,INDEX('02-شباط'!$Q$2:$Q$501,V317),IF($AO$1=1,0,"")))</f>
        <v/>
      </c>
      <c r="AA317" s="39" t="str">
        <f t="shared" si="93"/>
        <v/>
      </c>
      <c r="AB317" s="40" t="str">
        <f>IF(OR(L317="",V317=0),"",IF(AND(N(I317)&gt;0,N(INDEX('02-شباط'!$I$2:$I$501,V317))&gt;0,INDEX('02-شباط'!$F$2:$F$501,V317)=F317),N(I317)/N(INDEX('02-شباط'!$I$2:$I$501,V317))-1,""))</f>
        <v/>
      </c>
      <c r="AC317" t="str">
        <f>IF(L317="","",IF(AND($AO$2=1,ISNA(MATCH(L317,'04-نيسان'!$L$2:$L$501,0))),"محذوف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IF(L318="","",IF($AO$1=1,IFERROR(MATCH(L318,'02-شباط'!$L$2:$L$501,0),0),0))</f>
        <v/>
      </c>
      <c r="W318" t="str">
        <f t="shared" si="91"/>
        <v/>
      </c>
      <c r="X318" s="38" t="str">
        <f>IF(L318="","",IF(V318&gt;0,INDEX('02-شباط'!$P$2:$P$501,V318),IF($AO$1=1,0,"")))</f>
        <v/>
      </c>
      <c r="Y318" s="38" t="str">
        <f t="shared" si="92"/>
        <v/>
      </c>
      <c r="Z318" s="39" t="str">
        <f>IF(L318="","",IF(V318&gt;0,INDEX('02-شباط'!$Q$2:$Q$501,V318),IF($AO$1=1,0,"")))</f>
        <v/>
      </c>
      <c r="AA318" s="39" t="str">
        <f t="shared" si="93"/>
        <v/>
      </c>
      <c r="AB318" s="40" t="str">
        <f>IF(OR(L318="",V318=0),"",IF(AND(N(I318)&gt;0,N(INDEX('02-شباط'!$I$2:$I$501,V318))&gt;0,INDEX('02-شباط'!$F$2:$F$501,V318)=F318),N(I318)/N(INDEX('02-شباط'!$I$2:$I$501,V318))-1,""))</f>
        <v/>
      </c>
      <c r="AC318" t="str">
        <f>IF(L318="","",IF(AND($AO$2=1,ISNA(MATCH(L318,'04-نيسان'!$L$2:$L$501,0))),"محذوف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IF(L319="","",IF($AO$1=1,IFERROR(MATCH(L319,'02-شباط'!$L$2:$L$501,0),0),0))</f>
        <v/>
      </c>
      <c r="W319" t="str">
        <f t="shared" si="91"/>
        <v/>
      </c>
      <c r="X319" s="38" t="str">
        <f>IF(L319="","",IF(V319&gt;0,INDEX('02-شباط'!$P$2:$P$501,V319),IF($AO$1=1,0,"")))</f>
        <v/>
      </c>
      <c r="Y319" s="38" t="str">
        <f t="shared" si="92"/>
        <v/>
      </c>
      <c r="Z319" s="39" t="str">
        <f>IF(L319="","",IF(V319&gt;0,INDEX('02-شباط'!$Q$2:$Q$501,V319),IF($AO$1=1,0,"")))</f>
        <v/>
      </c>
      <c r="AA319" s="39" t="str">
        <f t="shared" si="93"/>
        <v/>
      </c>
      <c r="AB319" s="40" t="str">
        <f>IF(OR(L319="",V319=0),"",IF(AND(N(I319)&gt;0,N(INDEX('02-شباط'!$I$2:$I$501,V319))&gt;0,INDEX('02-شباط'!$F$2:$F$501,V319)=F319),N(I319)/N(INDEX('02-شباط'!$I$2:$I$501,V319))-1,""))</f>
        <v/>
      </c>
      <c r="AC319" t="str">
        <f>IF(L319="","",IF(AND($AO$2=1,ISNA(MATCH(L319,'04-نيسان'!$L$2:$L$501,0))),"محذوف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IF(L320="","",IF($AO$1=1,IFERROR(MATCH(L320,'02-شباط'!$L$2:$L$501,0),0),0))</f>
        <v/>
      </c>
      <c r="W320" t="str">
        <f t="shared" si="91"/>
        <v/>
      </c>
      <c r="X320" s="38" t="str">
        <f>IF(L320="","",IF(V320&gt;0,INDEX('02-شباط'!$P$2:$P$501,V320),IF($AO$1=1,0,"")))</f>
        <v/>
      </c>
      <c r="Y320" s="38" t="str">
        <f t="shared" si="92"/>
        <v/>
      </c>
      <c r="Z320" s="39" t="str">
        <f>IF(L320="","",IF(V320&gt;0,INDEX('02-شباط'!$Q$2:$Q$501,V320),IF($AO$1=1,0,"")))</f>
        <v/>
      </c>
      <c r="AA320" s="39" t="str">
        <f t="shared" si="93"/>
        <v/>
      </c>
      <c r="AB320" s="40" t="str">
        <f>IF(OR(L320="",V320=0),"",IF(AND(N(I320)&gt;0,N(INDEX('02-شباط'!$I$2:$I$501,V320))&gt;0,INDEX('02-شباط'!$F$2:$F$501,V320)=F320),N(I320)/N(INDEX('02-شباط'!$I$2:$I$501,V320))-1,""))</f>
        <v/>
      </c>
      <c r="AC320" t="str">
        <f>IF(L320="","",IF(AND($AO$2=1,ISNA(MATCH(L320,'04-نيسان'!$L$2:$L$501,0))),"محذوف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IF(L321="","",IF($AO$1=1,IFERROR(MATCH(L321,'02-شباط'!$L$2:$L$501,0),0),0))</f>
        <v/>
      </c>
      <c r="W321" t="str">
        <f t="shared" si="91"/>
        <v/>
      </c>
      <c r="X321" s="38" t="str">
        <f>IF(L321="","",IF(V321&gt;0,INDEX('02-شباط'!$P$2:$P$501,V321),IF($AO$1=1,0,"")))</f>
        <v/>
      </c>
      <c r="Y321" s="38" t="str">
        <f t="shared" si="92"/>
        <v/>
      </c>
      <c r="Z321" s="39" t="str">
        <f>IF(L321="","",IF(V321&gt;0,INDEX('02-شباط'!$Q$2:$Q$501,V321),IF($AO$1=1,0,"")))</f>
        <v/>
      </c>
      <c r="AA321" s="39" t="str">
        <f t="shared" si="93"/>
        <v/>
      </c>
      <c r="AB321" s="40" t="str">
        <f>IF(OR(L321="",V321=0),"",IF(AND(N(I321)&gt;0,N(INDEX('02-شباط'!$I$2:$I$501,V321))&gt;0,INDEX('02-شباط'!$F$2:$F$501,V321)=F321),N(I321)/N(INDEX('02-شباط'!$I$2:$I$501,V321))-1,""))</f>
        <v/>
      </c>
      <c r="AC321" t="str">
        <f>IF(L321="","",IF(AND($AO$2=1,ISNA(MATCH(L321,'04-نيسان'!$L$2:$L$501,0))),"محذوف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IF(L322="","",IF($AO$1=1,IFERROR(MATCH(L322,'02-شباط'!$L$2:$L$501,0),0),0))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IF(L322="","",IF(V322&gt;0,INDEX('02-شباط'!$P$2:$P$501,V322),IF($AO$1=1,0,"")))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IF(L322="","",IF(V322&gt;0,INDEX('02-شباط'!$Q$2:$Q$501,V322),IF($AO$1=1,0,"")))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IF(OR(L322="",V322=0),"",IF(AND(N(I322)&gt;0,N(INDEX('02-شباط'!$I$2:$I$501,V322))&gt;0,INDEX('02-شباط'!$F$2:$F$501,V322)=F322),N(I322)/N(INDEX('02-شباط'!$I$2:$I$501,V322))-1,""))</f>
        <v/>
      </c>
      <c r="AC322" t="str">
        <f>IF(L322="","",IF(AND($AO$2=1,ISNA(MATCH(L322,'04-نيسان'!$L$2:$L$501,0))),"محذوف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IF(L323="","",IF($AO$1=1,IFERROR(MATCH(L323,'02-شباط'!$L$2:$L$501,0),0),0))</f>
        <v/>
      </c>
      <c r="W323" t="str">
        <f t="shared" si="111"/>
        <v/>
      </c>
      <c r="X323" s="38" t="str">
        <f>IF(L323="","",IF(V323&gt;0,INDEX('02-شباط'!$P$2:$P$501,V323),IF($AO$1=1,0,"")))</f>
        <v/>
      </c>
      <c r="Y323" s="38" t="str">
        <f t="shared" si="112"/>
        <v/>
      </c>
      <c r="Z323" s="39" t="str">
        <f>IF(L323="","",IF(V323&gt;0,INDEX('02-شباط'!$Q$2:$Q$501,V323),IF($AO$1=1,0,"")))</f>
        <v/>
      </c>
      <c r="AA323" s="39" t="str">
        <f t="shared" si="113"/>
        <v/>
      </c>
      <c r="AB323" s="40" t="str">
        <f>IF(OR(L323="",V323=0),"",IF(AND(N(I323)&gt;0,N(INDEX('02-شباط'!$I$2:$I$501,V323))&gt;0,INDEX('02-شباط'!$F$2:$F$501,V323)=F323),N(I323)/N(INDEX('02-شباط'!$I$2:$I$501,V323))-1,""))</f>
        <v/>
      </c>
      <c r="AC323" t="str">
        <f>IF(L323="","",IF(AND($AO$2=1,ISNA(MATCH(L323,'04-نيسان'!$L$2:$L$501,0))),"محذوف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IF(L324="","",IF($AO$1=1,IFERROR(MATCH(L324,'02-شباط'!$L$2:$L$501,0),0),0))</f>
        <v/>
      </c>
      <c r="W324" t="str">
        <f t="shared" si="111"/>
        <v/>
      </c>
      <c r="X324" s="38" t="str">
        <f>IF(L324="","",IF(V324&gt;0,INDEX('02-شباط'!$P$2:$P$501,V324),IF($AO$1=1,0,"")))</f>
        <v/>
      </c>
      <c r="Y324" s="38" t="str">
        <f t="shared" si="112"/>
        <v/>
      </c>
      <c r="Z324" s="39" t="str">
        <f>IF(L324="","",IF(V324&gt;0,INDEX('02-شباط'!$Q$2:$Q$501,V324),IF($AO$1=1,0,"")))</f>
        <v/>
      </c>
      <c r="AA324" s="39" t="str">
        <f t="shared" si="113"/>
        <v/>
      </c>
      <c r="AB324" s="40" t="str">
        <f>IF(OR(L324="",V324=0),"",IF(AND(N(I324)&gt;0,N(INDEX('02-شباط'!$I$2:$I$501,V324))&gt;0,INDEX('02-شباط'!$F$2:$F$501,V324)=F324),N(I324)/N(INDEX('02-شباط'!$I$2:$I$501,V324))-1,""))</f>
        <v/>
      </c>
      <c r="AC324" t="str">
        <f>IF(L324="","",IF(AND($AO$2=1,ISNA(MATCH(L324,'04-نيسان'!$L$2:$L$501,0))),"محذوف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IF(L325="","",IF($AO$1=1,IFERROR(MATCH(L325,'02-شباط'!$L$2:$L$501,0),0),0))</f>
        <v/>
      </c>
      <c r="W325" t="str">
        <f t="shared" si="111"/>
        <v/>
      </c>
      <c r="X325" s="38" t="str">
        <f>IF(L325="","",IF(V325&gt;0,INDEX('02-شباط'!$P$2:$P$501,V325),IF($AO$1=1,0,"")))</f>
        <v/>
      </c>
      <c r="Y325" s="38" t="str">
        <f t="shared" si="112"/>
        <v/>
      </c>
      <c r="Z325" s="39" t="str">
        <f>IF(L325="","",IF(V325&gt;0,INDEX('02-شباط'!$Q$2:$Q$501,V325),IF($AO$1=1,0,"")))</f>
        <v/>
      </c>
      <c r="AA325" s="39" t="str">
        <f t="shared" si="113"/>
        <v/>
      </c>
      <c r="AB325" s="40" t="str">
        <f>IF(OR(L325="",V325=0),"",IF(AND(N(I325)&gt;0,N(INDEX('02-شباط'!$I$2:$I$501,V325))&gt;0,INDEX('02-شباط'!$F$2:$F$501,V325)=F325),N(I325)/N(INDEX('02-شباط'!$I$2:$I$501,V325))-1,""))</f>
        <v/>
      </c>
      <c r="AC325" t="str">
        <f>IF(L325="","",IF(AND($AO$2=1,ISNA(MATCH(L325,'04-نيسان'!$L$2:$L$501,0))),"محذوف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IF(L326="","",IF($AO$1=1,IFERROR(MATCH(L326,'02-شباط'!$L$2:$L$501,0),0),0))</f>
        <v/>
      </c>
      <c r="W326" t="str">
        <f t="shared" si="111"/>
        <v/>
      </c>
      <c r="X326" s="38" t="str">
        <f>IF(L326="","",IF(V326&gt;0,INDEX('02-شباط'!$P$2:$P$501,V326),IF($AO$1=1,0,"")))</f>
        <v/>
      </c>
      <c r="Y326" s="38" t="str">
        <f t="shared" si="112"/>
        <v/>
      </c>
      <c r="Z326" s="39" t="str">
        <f>IF(L326="","",IF(V326&gt;0,INDEX('02-شباط'!$Q$2:$Q$501,V326),IF($AO$1=1,0,"")))</f>
        <v/>
      </c>
      <c r="AA326" s="39" t="str">
        <f t="shared" si="113"/>
        <v/>
      </c>
      <c r="AB326" s="40" t="str">
        <f>IF(OR(L326="",V326=0),"",IF(AND(N(I326)&gt;0,N(INDEX('02-شباط'!$I$2:$I$501,V326))&gt;0,INDEX('02-شباط'!$F$2:$F$501,V326)=F326),N(I326)/N(INDEX('02-شباط'!$I$2:$I$501,V326))-1,""))</f>
        <v/>
      </c>
      <c r="AC326" t="str">
        <f>IF(L326="","",IF(AND($AO$2=1,ISNA(MATCH(L326,'04-نيسان'!$L$2:$L$501,0))),"محذوف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IF(L327="","",IF($AO$1=1,IFERROR(MATCH(L327,'02-شباط'!$L$2:$L$501,0),0),0))</f>
        <v/>
      </c>
      <c r="W327" t="str">
        <f t="shared" si="111"/>
        <v/>
      </c>
      <c r="X327" s="38" t="str">
        <f>IF(L327="","",IF(V327&gt;0,INDEX('02-شباط'!$P$2:$P$501,V327),IF($AO$1=1,0,"")))</f>
        <v/>
      </c>
      <c r="Y327" s="38" t="str">
        <f t="shared" si="112"/>
        <v/>
      </c>
      <c r="Z327" s="39" t="str">
        <f>IF(L327="","",IF(V327&gt;0,INDEX('02-شباط'!$Q$2:$Q$501,V327),IF($AO$1=1,0,"")))</f>
        <v/>
      </c>
      <c r="AA327" s="39" t="str">
        <f t="shared" si="113"/>
        <v/>
      </c>
      <c r="AB327" s="40" t="str">
        <f>IF(OR(L327="",V327=0),"",IF(AND(N(I327)&gt;0,N(INDEX('02-شباط'!$I$2:$I$501,V327))&gt;0,INDEX('02-شباط'!$F$2:$F$501,V327)=F327),N(I327)/N(INDEX('02-شباط'!$I$2:$I$501,V327))-1,""))</f>
        <v/>
      </c>
      <c r="AC327" t="str">
        <f>IF(L327="","",IF(AND($AO$2=1,ISNA(MATCH(L327,'04-نيسان'!$L$2:$L$501,0))),"محذوف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IF(L328="","",IF($AO$1=1,IFERROR(MATCH(L328,'02-شباط'!$L$2:$L$501,0),0),0))</f>
        <v/>
      </c>
      <c r="W328" t="str">
        <f t="shared" si="111"/>
        <v/>
      </c>
      <c r="X328" s="38" t="str">
        <f>IF(L328="","",IF(V328&gt;0,INDEX('02-شباط'!$P$2:$P$501,V328),IF($AO$1=1,0,"")))</f>
        <v/>
      </c>
      <c r="Y328" s="38" t="str">
        <f t="shared" si="112"/>
        <v/>
      </c>
      <c r="Z328" s="39" t="str">
        <f>IF(L328="","",IF(V328&gt;0,INDEX('02-شباط'!$Q$2:$Q$501,V328),IF($AO$1=1,0,"")))</f>
        <v/>
      </c>
      <c r="AA328" s="39" t="str">
        <f t="shared" si="113"/>
        <v/>
      </c>
      <c r="AB328" s="40" t="str">
        <f>IF(OR(L328="",V328=0),"",IF(AND(N(I328)&gt;0,N(INDEX('02-شباط'!$I$2:$I$501,V328))&gt;0,INDEX('02-شباط'!$F$2:$F$501,V328)=F328),N(I328)/N(INDEX('02-شباط'!$I$2:$I$501,V328))-1,""))</f>
        <v/>
      </c>
      <c r="AC328" t="str">
        <f>IF(L328="","",IF(AND($AO$2=1,ISNA(MATCH(L328,'04-نيسان'!$L$2:$L$501,0))),"محذوف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IF(L329="","",IF($AO$1=1,IFERROR(MATCH(L329,'02-شباط'!$L$2:$L$501,0),0),0))</f>
        <v/>
      </c>
      <c r="W329" t="str">
        <f t="shared" si="111"/>
        <v/>
      </c>
      <c r="X329" s="38" t="str">
        <f>IF(L329="","",IF(V329&gt;0,INDEX('02-شباط'!$P$2:$P$501,V329),IF($AO$1=1,0,"")))</f>
        <v/>
      </c>
      <c r="Y329" s="38" t="str">
        <f t="shared" si="112"/>
        <v/>
      </c>
      <c r="Z329" s="39" t="str">
        <f>IF(L329="","",IF(V329&gt;0,INDEX('02-شباط'!$Q$2:$Q$501,V329),IF($AO$1=1,0,"")))</f>
        <v/>
      </c>
      <c r="AA329" s="39" t="str">
        <f t="shared" si="113"/>
        <v/>
      </c>
      <c r="AB329" s="40" t="str">
        <f>IF(OR(L329="",V329=0),"",IF(AND(N(I329)&gt;0,N(INDEX('02-شباط'!$I$2:$I$501,V329))&gt;0,INDEX('02-شباط'!$F$2:$F$501,V329)=F329),N(I329)/N(INDEX('02-شباط'!$I$2:$I$501,V329))-1,""))</f>
        <v/>
      </c>
      <c r="AC329" t="str">
        <f>IF(L329="","",IF(AND($AO$2=1,ISNA(MATCH(L329,'04-نيسان'!$L$2:$L$501,0))),"محذوف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IF(L330="","",IF($AO$1=1,IFERROR(MATCH(L330,'02-شباط'!$L$2:$L$501,0),0),0))</f>
        <v/>
      </c>
      <c r="W330" t="str">
        <f t="shared" si="111"/>
        <v/>
      </c>
      <c r="X330" s="38" t="str">
        <f>IF(L330="","",IF(V330&gt;0,INDEX('02-شباط'!$P$2:$P$501,V330),IF($AO$1=1,0,"")))</f>
        <v/>
      </c>
      <c r="Y330" s="38" t="str">
        <f t="shared" si="112"/>
        <v/>
      </c>
      <c r="Z330" s="39" t="str">
        <f>IF(L330="","",IF(V330&gt;0,INDEX('02-شباط'!$Q$2:$Q$501,V330),IF($AO$1=1,0,"")))</f>
        <v/>
      </c>
      <c r="AA330" s="39" t="str">
        <f t="shared" si="113"/>
        <v/>
      </c>
      <c r="AB330" s="40" t="str">
        <f>IF(OR(L330="",V330=0),"",IF(AND(N(I330)&gt;0,N(INDEX('02-شباط'!$I$2:$I$501,V330))&gt;0,INDEX('02-شباط'!$F$2:$F$501,V330)=F330),N(I330)/N(INDEX('02-شباط'!$I$2:$I$501,V330))-1,""))</f>
        <v/>
      </c>
      <c r="AC330" t="str">
        <f>IF(L330="","",IF(AND($AO$2=1,ISNA(MATCH(L330,'04-نيسان'!$L$2:$L$501,0))),"محذوف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IF(L331="","",IF($AO$1=1,IFERROR(MATCH(L331,'02-شباط'!$L$2:$L$501,0),0),0))</f>
        <v/>
      </c>
      <c r="W331" t="str">
        <f t="shared" si="111"/>
        <v/>
      </c>
      <c r="X331" s="38" t="str">
        <f>IF(L331="","",IF(V331&gt;0,INDEX('02-شباط'!$P$2:$P$501,V331),IF($AO$1=1,0,"")))</f>
        <v/>
      </c>
      <c r="Y331" s="38" t="str">
        <f t="shared" si="112"/>
        <v/>
      </c>
      <c r="Z331" s="39" t="str">
        <f>IF(L331="","",IF(V331&gt;0,INDEX('02-شباط'!$Q$2:$Q$501,V331),IF($AO$1=1,0,"")))</f>
        <v/>
      </c>
      <c r="AA331" s="39" t="str">
        <f t="shared" si="113"/>
        <v/>
      </c>
      <c r="AB331" s="40" t="str">
        <f>IF(OR(L331="",V331=0),"",IF(AND(N(I331)&gt;0,N(INDEX('02-شباط'!$I$2:$I$501,V331))&gt;0,INDEX('02-شباط'!$F$2:$F$501,V331)=F331),N(I331)/N(INDEX('02-شباط'!$I$2:$I$501,V331))-1,""))</f>
        <v/>
      </c>
      <c r="AC331" t="str">
        <f>IF(L331="","",IF(AND($AO$2=1,ISNA(MATCH(L331,'04-نيسان'!$L$2:$L$501,0))),"محذوف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IF(L332="","",IF($AO$1=1,IFERROR(MATCH(L332,'02-شباط'!$L$2:$L$501,0),0),0))</f>
        <v/>
      </c>
      <c r="W332" t="str">
        <f t="shared" si="111"/>
        <v/>
      </c>
      <c r="X332" s="38" t="str">
        <f>IF(L332="","",IF(V332&gt;0,INDEX('02-شباط'!$P$2:$P$501,V332),IF($AO$1=1,0,"")))</f>
        <v/>
      </c>
      <c r="Y332" s="38" t="str">
        <f t="shared" si="112"/>
        <v/>
      </c>
      <c r="Z332" s="39" t="str">
        <f>IF(L332="","",IF(V332&gt;0,INDEX('02-شباط'!$Q$2:$Q$501,V332),IF($AO$1=1,0,"")))</f>
        <v/>
      </c>
      <c r="AA332" s="39" t="str">
        <f t="shared" si="113"/>
        <v/>
      </c>
      <c r="AB332" s="40" t="str">
        <f>IF(OR(L332="",V332=0),"",IF(AND(N(I332)&gt;0,N(INDEX('02-شباط'!$I$2:$I$501,V332))&gt;0,INDEX('02-شباط'!$F$2:$F$501,V332)=F332),N(I332)/N(INDEX('02-شباط'!$I$2:$I$501,V332))-1,""))</f>
        <v/>
      </c>
      <c r="AC332" t="str">
        <f>IF(L332="","",IF(AND($AO$2=1,ISNA(MATCH(L332,'04-نيسان'!$L$2:$L$501,0))),"محذوف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IF(L333="","",IF($AO$1=1,IFERROR(MATCH(L333,'02-شباط'!$L$2:$L$501,0),0),0))</f>
        <v/>
      </c>
      <c r="W333" t="str">
        <f t="shared" si="111"/>
        <v/>
      </c>
      <c r="X333" s="38" t="str">
        <f>IF(L333="","",IF(V333&gt;0,INDEX('02-شباط'!$P$2:$P$501,V333),IF($AO$1=1,0,"")))</f>
        <v/>
      </c>
      <c r="Y333" s="38" t="str">
        <f t="shared" si="112"/>
        <v/>
      </c>
      <c r="Z333" s="39" t="str">
        <f>IF(L333="","",IF(V333&gt;0,INDEX('02-شباط'!$Q$2:$Q$501,V333),IF($AO$1=1,0,"")))</f>
        <v/>
      </c>
      <c r="AA333" s="39" t="str">
        <f t="shared" si="113"/>
        <v/>
      </c>
      <c r="AB333" s="40" t="str">
        <f>IF(OR(L333="",V333=0),"",IF(AND(N(I333)&gt;0,N(INDEX('02-شباط'!$I$2:$I$501,V333))&gt;0,INDEX('02-شباط'!$F$2:$F$501,V333)=F333),N(I333)/N(INDEX('02-شباط'!$I$2:$I$501,V333))-1,""))</f>
        <v/>
      </c>
      <c r="AC333" t="str">
        <f>IF(L333="","",IF(AND($AO$2=1,ISNA(MATCH(L333,'04-نيسان'!$L$2:$L$501,0))),"محذوف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IF(L334="","",IF($AO$1=1,IFERROR(MATCH(L334,'02-شباط'!$L$2:$L$501,0),0),0))</f>
        <v/>
      </c>
      <c r="W334" t="str">
        <f t="shared" si="111"/>
        <v/>
      </c>
      <c r="X334" s="38" t="str">
        <f>IF(L334="","",IF(V334&gt;0,INDEX('02-شباط'!$P$2:$P$501,V334),IF($AO$1=1,0,"")))</f>
        <v/>
      </c>
      <c r="Y334" s="38" t="str">
        <f t="shared" si="112"/>
        <v/>
      </c>
      <c r="Z334" s="39" t="str">
        <f>IF(L334="","",IF(V334&gt;0,INDEX('02-شباط'!$Q$2:$Q$501,V334),IF($AO$1=1,0,"")))</f>
        <v/>
      </c>
      <c r="AA334" s="39" t="str">
        <f t="shared" si="113"/>
        <v/>
      </c>
      <c r="AB334" s="40" t="str">
        <f>IF(OR(L334="",V334=0),"",IF(AND(N(I334)&gt;0,N(INDEX('02-شباط'!$I$2:$I$501,V334))&gt;0,INDEX('02-شباط'!$F$2:$F$501,V334)=F334),N(I334)/N(INDEX('02-شباط'!$I$2:$I$501,V334))-1,""))</f>
        <v/>
      </c>
      <c r="AC334" t="str">
        <f>IF(L334="","",IF(AND($AO$2=1,ISNA(MATCH(L334,'04-نيسان'!$L$2:$L$501,0))),"محذوف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IF(L335="","",IF($AO$1=1,IFERROR(MATCH(L335,'02-شباط'!$L$2:$L$501,0),0),0))</f>
        <v/>
      </c>
      <c r="W335" t="str">
        <f t="shared" si="111"/>
        <v/>
      </c>
      <c r="X335" s="38" t="str">
        <f>IF(L335="","",IF(V335&gt;0,INDEX('02-شباط'!$P$2:$P$501,V335),IF($AO$1=1,0,"")))</f>
        <v/>
      </c>
      <c r="Y335" s="38" t="str">
        <f t="shared" si="112"/>
        <v/>
      </c>
      <c r="Z335" s="39" t="str">
        <f>IF(L335="","",IF(V335&gt;0,INDEX('02-شباط'!$Q$2:$Q$501,V335),IF($AO$1=1,0,"")))</f>
        <v/>
      </c>
      <c r="AA335" s="39" t="str">
        <f t="shared" si="113"/>
        <v/>
      </c>
      <c r="AB335" s="40" t="str">
        <f>IF(OR(L335="",V335=0),"",IF(AND(N(I335)&gt;0,N(INDEX('02-شباط'!$I$2:$I$501,V335))&gt;0,INDEX('02-شباط'!$F$2:$F$501,V335)=F335),N(I335)/N(INDEX('02-شباط'!$I$2:$I$501,V335))-1,""))</f>
        <v/>
      </c>
      <c r="AC335" t="str">
        <f>IF(L335="","",IF(AND($AO$2=1,ISNA(MATCH(L335,'04-نيسان'!$L$2:$L$501,0))),"محذوف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IF(L336="","",IF($AO$1=1,IFERROR(MATCH(L336,'02-شباط'!$L$2:$L$501,0),0),0))</f>
        <v/>
      </c>
      <c r="W336" t="str">
        <f t="shared" si="111"/>
        <v/>
      </c>
      <c r="X336" s="38" t="str">
        <f>IF(L336="","",IF(V336&gt;0,INDEX('02-شباط'!$P$2:$P$501,V336),IF($AO$1=1,0,"")))</f>
        <v/>
      </c>
      <c r="Y336" s="38" t="str">
        <f t="shared" si="112"/>
        <v/>
      </c>
      <c r="Z336" s="39" t="str">
        <f>IF(L336="","",IF(V336&gt;0,INDEX('02-شباط'!$Q$2:$Q$501,V336),IF($AO$1=1,0,"")))</f>
        <v/>
      </c>
      <c r="AA336" s="39" t="str">
        <f t="shared" si="113"/>
        <v/>
      </c>
      <c r="AB336" s="40" t="str">
        <f>IF(OR(L336="",V336=0),"",IF(AND(N(I336)&gt;0,N(INDEX('02-شباط'!$I$2:$I$501,V336))&gt;0,INDEX('02-شباط'!$F$2:$F$501,V336)=F336),N(I336)/N(INDEX('02-شباط'!$I$2:$I$501,V336))-1,""))</f>
        <v/>
      </c>
      <c r="AC336" t="str">
        <f>IF(L336="","",IF(AND($AO$2=1,ISNA(MATCH(L336,'04-نيسان'!$L$2:$L$501,0))),"محذوف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IF(L337="","",IF($AO$1=1,IFERROR(MATCH(L337,'02-شباط'!$L$2:$L$501,0),0),0))</f>
        <v/>
      </c>
      <c r="W337" t="str">
        <f t="shared" si="111"/>
        <v/>
      </c>
      <c r="X337" s="38" t="str">
        <f>IF(L337="","",IF(V337&gt;0,INDEX('02-شباط'!$P$2:$P$501,V337),IF($AO$1=1,0,"")))</f>
        <v/>
      </c>
      <c r="Y337" s="38" t="str">
        <f t="shared" si="112"/>
        <v/>
      </c>
      <c r="Z337" s="39" t="str">
        <f>IF(L337="","",IF(V337&gt;0,INDEX('02-شباط'!$Q$2:$Q$501,V337),IF($AO$1=1,0,"")))</f>
        <v/>
      </c>
      <c r="AA337" s="39" t="str">
        <f t="shared" si="113"/>
        <v/>
      </c>
      <c r="AB337" s="40" t="str">
        <f>IF(OR(L337="",V337=0),"",IF(AND(N(I337)&gt;0,N(INDEX('02-شباط'!$I$2:$I$501,V337))&gt;0,INDEX('02-شباط'!$F$2:$F$501,V337)=F337),N(I337)/N(INDEX('02-شباط'!$I$2:$I$501,V337))-1,""))</f>
        <v/>
      </c>
      <c r="AC337" t="str">
        <f>IF(L337="","",IF(AND($AO$2=1,ISNA(MATCH(L337,'04-نيسان'!$L$2:$L$501,0))),"محذوف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IF(L338="","",IF($AO$1=1,IFERROR(MATCH(L338,'02-شباط'!$L$2:$L$501,0),0),0))</f>
        <v/>
      </c>
      <c r="W338" t="str">
        <f t="shared" si="111"/>
        <v/>
      </c>
      <c r="X338" s="38" t="str">
        <f>IF(L338="","",IF(V338&gt;0,INDEX('02-شباط'!$P$2:$P$501,V338),IF($AO$1=1,0,"")))</f>
        <v/>
      </c>
      <c r="Y338" s="38" t="str">
        <f t="shared" si="112"/>
        <v/>
      </c>
      <c r="Z338" s="39" t="str">
        <f>IF(L338="","",IF(V338&gt;0,INDEX('02-شباط'!$Q$2:$Q$501,V338),IF($AO$1=1,0,"")))</f>
        <v/>
      </c>
      <c r="AA338" s="39" t="str">
        <f t="shared" si="113"/>
        <v/>
      </c>
      <c r="AB338" s="40" t="str">
        <f>IF(OR(L338="",V338=0),"",IF(AND(N(I338)&gt;0,N(INDEX('02-شباط'!$I$2:$I$501,V338))&gt;0,INDEX('02-شباط'!$F$2:$F$501,V338)=F338),N(I338)/N(INDEX('02-شباط'!$I$2:$I$501,V338))-1,""))</f>
        <v/>
      </c>
      <c r="AC338" t="str">
        <f>IF(L338="","",IF(AND($AO$2=1,ISNA(MATCH(L338,'04-نيسان'!$L$2:$L$501,0))),"محذوف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IF(L339="","",IF($AO$1=1,IFERROR(MATCH(L339,'02-شباط'!$L$2:$L$501,0),0),0))</f>
        <v/>
      </c>
      <c r="W339" t="str">
        <f t="shared" si="111"/>
        <v/>
      </c>
      <c r="X339" s="38" t="str">
        <f>IF(L339="","",IF(V339&gt;0,INDEX('02-شباط'!$P$2:$P$501,V339),IF($AO$1=1,0,"")))</f>
        <v/>
      </c>
      <c r="Y339" s="38" t="str">
        <f t="shared" si="112"/>
        <v/>
      </c>
      <c r="Z339" s="39" t="str">
        <f>IF(L339="","",IF(V339&gt;0,INDEX('02-شباط'!$Q$2:$Q$501,V339),IF($AO$1=1,0,"")))</f>
        <v/>
      </c>
      <c r="AA339" s="39" t="str">
        <f t="shared" si="113"/>
        <v/>
      </c>
      <c r="AB339" s="40" t="str">
        <f>IF(OR(L339="",V339=0),"",IF(AND(N(I339)&gt;0,N(INDEX('02-شباط'!$I$2:$I$501,V339))&gt;0,INDEX('02-شباط'!$F$2:$F$501,V339)=F339),N(I339)/N(INDEX('02-شباط'!$I$2:$I$501,V339))-1,""))</f>
        <v/>
      </c>
      <c r="AC339" t="str">
        <f>IF(L339="","",IF(AND($AO$2=1,ISNA(MATCH(L339,'04-نيسان'!$L$2:$L$501,0))),"محذوف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IF(L340="","",IF($AO$1=1,IFERROR(MATCH(L340,'02-شباط'!$L$2:$L$501,0),0),0))</f>
        <v/>
      </c>
      <c r="W340" t="str">
        <f t="shared" si="111"/>
        <v/>
      </c>
      <c r="X340" s="38" t="str">
        <f>IF(L340="","",IF(V340&gt;0,INDEX('02-شباط'!$P$2:$P$501,V340),IF($AO$1=1,0,"")))</f>
        <v/>
      </c>
      <c r="Y340" s="38" t="str">
        <f t="shared" si="112"/>
        <v/>
      </c>
      <c r="Z340" s="39" t="str">
        <f>IF(L340="","",IF(V340&gt;0,INDEX('02-شباط'!$Q$2:$Q$501,V340),IF($AO$1=1,0,"")))</f>
        <v/>
      </c>
      <c r="AA340" s="39" t="str">
        <f t="shared" si="113"/>
        <v/>
      </c>
      <c r="AB340" s="40" t="str">
        <f>IF(OR(L340="",V340=0),"",IF(AND(N(I340)&gt;0,N(INDEX('02-شباط'!$I$2:$I$501,V340))&gt;0,INDEX('02-شباط'!$F$2:$F$501,V340)=F340),N(I340)/N(INDEX('02-شباط'!$I$2:$I$501,V340))-1,""))</f>
        <v/>
      </c>
      <c r="AC340" t="str">
        <f>IF(L340="","",IF(AND($AO$2=1,ISNA(MATCH(L340,'04-نيسان'!$L$2:$L$501,0))),"محذوف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IF(L341="","",IF($AO$1=1,IFERROR(MATCH(L341,'02-شباط'!$L$2:$L$501,0),0),0))</f>
        <v/>
      </c>
      <c r="W341" t="str">
        <f t="shared" si="111"/>
        <v/>
      </c>
      <c r="X341" s="38" t="str">
        <f>IF(L341="","",IF(V341&gt;0,INDEX('02-شباط'!$P$2:$P$501,V341),IF($AO$1=1,0,"")))</f>
        <v/>
      </c>
      <c r="Y341" s="38" t="str">
        <f t="shared" si="112"/>
        <v/>
      </c>
      <c r="Z341" s="39" t="str">
        <f>IF(L341="","",IF(V341&gt;0,INDEX('02-شباط'!$Q$2:$Q$501,V341),IF($AO$1=1,0,"")))</f>
        <v/>
      </c>
      <c r="AA341" s="39" t="str">
        <f t="shared" si="113"/>
        <v/>
      </c>
      <c r="AB341" s="40" t="str">
        <f>IF(OR(L341="",V341=0),"",IF(AND(N(I341)&gt;0,N(INDEX('02-شباط'!$I$2:$I$501,V341))&gt;0,INDEX('02-شباط'!$F$2:$F$501,V341)=F341),N(I341)/N(INDEX('02-شباط'!$I$2:$I$501,V341))-1,""))</f>
        <v/>
      </c>
      <c r="AC341" t="str">
        <f>IF(L341="","",IF(AND($AO$2=1,ISNA(MATCH(L341,'04-نيسان'!$L$2:$L$501,0))),"محذوف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IF(L342="","",IF($AO$1=1,IFERROR(MATCH(L342,'02-شباط'!$L$2:$L$501,0),0),0))</f>
        <v/>
      </c>
      <c r="W342" t="str">
        <f t="shared" si="111"/>
        <v/>
      </c>
      <c r="X342" s="38" t="str">
        <f>IF(L342="","",IF(V342&gt;0,INDEX('02-شباط'!$P$2:$P$501,V342),IF($AO$1=1,0,"")))</f>
        <v/>
      </c>
      <c r="Y342" s="38" t="str">
        <f t="shared" si="112"/>
        <v/>
      </c>
      <c r="Z342" s="39" t="str">
        <f>IF(L342="","",IF(V342&gt;0,INDEX('02-شباط'!$Q$2:$Q$501,V342),IF($AO$1=1,0,"")))</f>
        <v/>
      </c>
      <c r="AA342" s="39" t="str">
        <f t="shared" si="113"/>
        <v/>
      </c>
      <c r="AB342" s="40" t="str">
        <f>IF(OR(L342="",V342=0),"",IF(AND(N(I342)&gt;0,N(INDEX('02-شباط'!$I$2:$I$501,V342))&gt;0,INDEX('02-شباط'!$F$2:$F$501,V342)=F342),N(I342)/N(INDEX('02-شباط'!$I$2:$I$501,V342))-1,""))</f>
        <v/>
      </c>
      <c r="AC342" t="str">
        <f>IF(L342="","",IF(AND($AO$2=1,ISNA(MATCH(L342,'04-نيسان'!$L$2:$L$501,0))),"محذوف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IF(L343="","",IF($AO$1=1,IFERROR(MATCH(L343,'02-شباط'!$L$2:$L$501,0),0),0))</f>
        <v/>
      </c>
      <c r="W343" t="str">
        <f t="shared" si="111"/>
        <v/>
      </c>
      <c r="X343" s="38" t="str">
        <f>IF(L343="","",IF(V343&gt;0,INDEX('02-شباط'!$P$2:$P$501,V343),IF($AO$1=1,0,"")))</f>
        <v/>
      </c>
      <c r="Y343" s="38" t="str">
        <f t="shared" si="112"/>
        <v/>
      </c>
      <c r="Z343" s="39" t="str">
        <f>IF(L343="","",IF(V343&gt;0,INDEX('02-شباط'!$Q$2:$Q$501,V343),IF($AO$1=1,0,"")))</f>
        <v/>
      </c>
      <c r="AA343" s="39" t="str">
        <f t="shared" si="113"/>
        <v/>
      </c>
      <c r="AB343" s="40" t="str">
        <f>IF(OR(L343="",V343=0),"",IF(AND(N(I343)&gt;0,N(INDEX('02-شباط'!$I$2:$I$501,V343))&gt;0,INDEX('02-شباط'!$F$2:$F$501,V343)=F343),N(I343)/N(INDEX('02-شباط'!$I$2:$I$501,V343))-1,""))</f>
        <v/>
      </c>
      <c r="AC343" t="str">
        <f>IF(L343="","",IF(AND($AO$2=1,ISNA(MATCH(L343,'04-نيسان'!$L$2:$L$501,0))),"محذوف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IF(L344="","",IF($AO$1=1,IFERROR(MATCH(L344,'02-شباط'!$L$2:$L$501,0),0),0))</f>
        <v/>
      </c>
      <c r="W344" t="str">
        <f t="shared" si="111"/>
        <v/>
      </c>
      <c r="X344" s="38" t="str">
        <f>IF(L344="","",IF(V344&gt;0,INDEX('02-شباط'!$P$2:$P$501,V344),IF($AO$1=1,0,"")))</f>
        <v/>
      </c>
      <c r="Y344" s="38" t="str">
        <f t="shared" si="112"/>
        <v/>
      </c>
      <c r="Z344" s="39" t="str">
        <f>IF(L344="","",IF(V344&gt;0,INDEX('02-شباط'!$Q$2:$Q$501,V344),IF($AO$1=1,0,"")))</f>
        <v/>
      </c>
      <c r="AA344" s="39" t="str">
        <f t="shared" si="113"/>
        <v/>
      </c>
      <c r="AB344" s="40" t="str">
        <f>IF(OR(L344="",V344=0),"",IF(AND(N(I344)&gt;0,N(INDEX('02-شباط'!$I$2:$I$501,V344))&gt;0,INDEX('02-شباط'!$F$2:$F$501,V344)=F344),N(I344)/N(INDEX('02-شباط'!$I$2:$I$501,V344))-1,""))</f>
        <v/>
      </c>
      <c r="AC344" t="str">
        <f>IF(L344="","",IF(AND($AO$2=1,ISNA(MATCH(L344,'04-نيسان'!$L$2:$L$501,0))),"محذوف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IF(L345="","",IF($AO$1=1,IFERROR(MATCH(L345,'02-شباط'!$L$2:$L$501,0),0),0))</f>
        <v/>
      </c>
      <c r="W345" t="str">
        <f t="shared" si="111"/>
        <v/>
      </c>
      <c r="X345" s="38" t="str">
        <f>IF(L345="","",IF(V345&gt;0,INDEX('02-شباط'!$P$2:$P$501,V345),IF($AO$1=1,0,"")))</f>
        <v/>
      </c>
      <c r="Y345" s="38" t="str">
        <f t="shared" si="112"/>
        <v/>
      </c>
      <c r="Z345" s="39" t="str">
        <f>IF(L345="","",IF(V345&gt;0,INDEX('02-شباط'!$Q$2:$Q$501,V345),IF($AO$1=1,0,"")))</f>
        <v/>
      </c>
      <c r="AA345" s="39" t="str">
        <f t="shared" si="113"/>
        <v/>
      </c>
      <c r="AB345" s="40" t="str">
        <f>IF(OR(L345="",V345=0),"",IF(AND(N(I345)&gt;0,N(INDEX('02-شباط'!$I$2:$I$501,V345))&gt;0,INDEX('02-شباط'!$F$2:$F$501,V345)=F345),N(I345)/N(INDEX('02-شباط'!$I$2:$I$501,V345))-1,""))</f>
        <v/>
      </c>
      <c r="AC345" t="str">
        <f>IF(L345="","",IF(AND($AO$2=1,ISNA(MATCH(L345,'04-نيسان'!$L$2:$L$501,0))),"محذوف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IF(L346="","",IF($AO$1=1,IFERROR(MATCH(L346,'02-شباط'!$L$2:$L$501,0),0),0))</f>
        <v/>
      </c>
      <c r="W346" t="str">
        <f t="shared" si="111"/>
        <v/>
      </c>
      <c r="X346" s="38" t="str">
        <f>IF(L346="","",IF(V346&gt;0,INDEX('02-شباط'!$P$2:$P$501,V346),IF($AO$1=1,0,"")))</f>
        <v/>
      </c>
      <c r="Y346" s="38" t="str">
        <f t="shared" si="112"/>
        <v/>
      </c>
      <c r="Z346" s="39" t="str">
        <f>IF(L346="","",IF(V346&gt;0,INDEX('02-شباط'!$Q$2:$Q$501,V346),IF($AO$1=1,0,"")))</f>
        <v/>
      </c>
      <c r="AA346" s="39" t="str">
        <f t="shared" si="113"/>
        <v/>
      </c>
      <c r="AB346" s="40" t="str">
        <f>IF(OR(L346="",V346=0),"",IF(AND(N(I346)&gt;0,N(INDEX('02-شباط'!$I$2:$I$501,V346))&gt;0,INDEX('02-شباط'!$F$2:$F$501,V346)=F346),N(I346)/N(INDEX('02-شباط'!$I$2:$I$501,V346))-1,""))</f>
        <v/>
      </c>
      <c r="AC346" t="str">
        <f>IF(L346="","",IF(AND($AO$2=1,ISNA(MATCH(L346,'04-نيسان'!$L$2:$L$501,0))),"محذوف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IF(L347="","",IF($AO$1=1,IFERROR(MATCH(L347,'02-شباط'!$L$2:$L$501,0),0),0))</f>
        <v/>
      </c>
      <c r="W347" t="str">
        <f t="shared" si="111"/>
        <v/>
      </c>
      <c r="X347" s="38" t="str">
        <f>IF(L347="","",IF(V347&gt;0,INDEX('02-شباط'!$P$2:$P$501,V347),IF($AO$1=1,0,"")))</f>
        <v/>
      </c>
      <c r="Y347" s="38" t="str">
        <f t="shared" si="112"/>
        <v/>
      </c>
      <c r="Z347" s="39" t="str">
        <f>IF(L347="","",IF(V347&gt;0,INDEX('02-شباط'!$Q$2:$Q$501,V347),IF($AO$1=1,0,"")))</f>
        <v/>
      </c>
      <c r="AA347" s="39" t="str">
        <f t="shared" si="113"/>
        <v/>
      </c>
      <c r="AB347" s="40" t="str">
        <f>IF(OR(L347="",V347=0),"",IF(AND(N(I347)&gt;0,N(INDEX('02-شباط'!$I$2:$I$501,V347))&gt;0,INDEX('02-شباط'!$F$2:$F$501,V347)=F347),N(I347)/N(INDEX('02-شباط'!$I$2:$I$501,V347))-1,""))</f>
        <v/>
      </c>
      <c r="AC347" t="str">
        <f>IF(L347="","",IF(AND($AO$2=1,ISNA(MATCH(L347,'04-نيسان'!$L$2:$L$501,0))),"محذوف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IF(L348="","",IF($AO$1=1,IFERROR(MATCH(L348,'02-شباط'!$L$2:$L$501,0),0),0))</f>
        <v/>
      </c>
      <c r="W348" t="str">
        <f t="shared" si="111"/>
        <v/>
      </c>
      <c r="X348" s="38" t="str">
        <f>IF(L348="","",IF(V348&gt;0,INDEX('02-شباط'!$P$2:$P$501,V348),IF($AO$1=1,0,"")))</f>
        <v/>
      </c>
      <c r="Y348" s="38" t="str">
        <f t="shared" si="112"/>
        <v/>
      </c>
      <c r="Z348" s="39" t="str">
        <f>IF(L348="","",IF(V348&gt;0,INDEX('02-شباط'!$Q$2:$Q$501,V348),IF($AO$1=1,0,"")))</f>
        <v/>
      </c>
      <c r="AA348" s="39" t="str">
        <f t="shared" si="113"/>
        <v/>
      </c>
      <c r="AB348" s="40" t="str">
        <f>IF(OR(L348="",V348=0),"",IF(AND(N(I348)&gt;0,N(INDEX('02-شباط'!$I$2:$I$501,V348))&gt;0,INDEX('02-شباط'!$F$2:$F$501,V348)=F348),N(I348)/N(INDEX('02-شباط'!$I$2:$I$501,V348))-1,""))</f>
        <v/>
      </c>
      <c r="AC348" t="str">
        <f>IF(L348="","",IF(AND($AO$2=1,ISNA(MATCH(L348,'04-نيسان'!$L$2:$L$501,0))),"محذوف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IF(L349="","",IF($AO$1=1,IFERROR(MATCH(L349,'02-شباط'!$L$2:$L$501,0),0),0))</f>
        <v/>
      </c>
      <c r="W349" t="str">
        <f t="shared" si="111"/>
        <v/>
      </c>
      <c r="X349" s="38" t="str">
        <f>IF(L349="","",IF(V349&gt;0,INDEX('02-شباط'!$P$2:$P$501,V349),IF($AO$1=1,0,"")))</f>
        <v/>
      </c>
      <c r="Y349" s="38" t="str">
        <f t="shared" si="112"/>
        <v/>
      </c>
      <c r="Z349" s="39" t="str">
        <f>IF(L349="","",IF(V349&gt;0,INDEX('02-شباط'!$Q$2:$Q$501,V349),IF($AO$1=1,0,"")))</f>
        <v/>
      </c>
      <c r="AA349" s="39" t="str">
        <f t="shared" si="113"/>
        <v/>
      </c>
      <c r="AB349" s="40" t="str">
        <f>IF(OR(L349="",V349=0),"",IF(AND(N(I349)&gt;0,N(INDEX('02-شباط'!$I$2:$I$501,V349))&gt;0,INDEX('02-شباط'!$F$2:$F$501,V349)=F349),N(I349)/N(INDEX('02-شباط'!$I$2:$I$501,V349))-1,""))</f>
        <v/>
      </c>
      <c r="AC349" t="str">
        <f>IF(L349="","",IF(AND($AO$2=1,ISNA(MATCH(L349,'04-نيسان'!$L$2:$L$501,0))),"محذوف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IF(L350="","",IF($AO$1=1,IFERROR(MATCH(L350,'02-شباط'!$L$2:$L$501,0),0),0))</f>
        <v/>
      </c>
      <c r="W350" t="str">
        <f t="shared" si="111"/>
        <v/>
      </c>
      <c r="X350" s="38" t="str">
        <f>IF(L350="","",IF(V350&gt;0,INDEX('02-شباط'!$P$2:$P$501,V350),IF($AO$1=1,0,"")))</f>
        <v/>
      </c>
      <c r="Y350" s="38" t="str">
        <f t="shared" si="112"/>
        <v/>
      </c>
      <c r="Z350" s="39" t="str">
        <f>IF(L350="","",IF(V350&gt;0,INDEX('02-شباط'!$Q$2:$Q$501,V350),IF($AO$1=1,0,"")))</f>
        <v/>
      </c>
      <c r="AA350" s="39" t="str">
        <f t="shared" si="113"/>
        <v/>
      </c>
      <c r="AB350" s="40" t="str">
        <f>IF(OR(L350="",V350=0),"",IF(AND(N(I350)&gt;0,N(INDEX('02-شباط'!$I$2:$I$501,V350))&gt;0,INDEX('02-شباط'!$F$2:$F$501,V350)=F350),N(I350)/N(INDEX('02-شباط'!$I$2:$I$501,V350))-1,""))</f>
        <v/>
      </c>
      <c r="AC350" t="str">
        <f>IF(L350="","",IF(AND($AO$2=1,ISNA(MATCH(L350,'04-نيسان'!$L$2:$L$501,0))),"محذوف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IF(L351="","",IF($AO$1=1,IFERROR(MATCH(L351,'02-شباط'!$L$2:$L$501,0),0),0))</f>
        <v/>
      </c>
      <c r="W351" t="str">
        <f t="shared" si="111"/>
        <v/>
      </c>
      <c r="X351" s="38" t="str">
        <f>IF(L351="","",IF(V351&gt;0,INDEX('02-شباط'!$P$2:$P$501,V351),IF($AO$1=1,0,"")))</f>
        <v/>
      </c>
      <c r="Y351" s="38" t="str">
        <f t="shared" si="112"/>
        <v/>
      </c>
      <c r="Z351" s="39" t="str">
        <f>IF(L351="","",IF(V351&gt;0,INDEX('02-شباط'!$Q$2:$Q$501,V351),IF($AO$1=1,0,"")))</f>
        <v/>
      </c>
      <c r="AA351" s="39" t="str">
        <f t="shared" si="113"/>
        <v/>
      </c>
      <c r="AB351" s="40" t="str">
        <f>IF(OR(L351="",V351=0),"",IF(AND(N(I351)&gt;0,N(INDEX('02-شباط'!$I$2:$I$501,V351))&gt;0,INDEX('02-شباط'!$F$2:$F$501,V351)=F351),N(I351)/N(INDEX('02-شباط'!$I$2:$I$501,V351))-1,""))</f>
        <v/>
      </c>
      <c r="AC351" t="str">
        <f>IF(L351="","",IF(AND($AO$2=1,ISNA(MATCH(L351,'04-نيسان'!$L$2:$L$501,0))),"محذوف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IF(L352="","",IF($AO$1=1,IFERROR(MATCH(L352,'02-شباط'!$L$2:$L$501,0),0),0))</f>
        <v/>
      </c>
      <c r="W352" t="str">
        <f t="shared" si="111"/>
        <v/>
      </c>
      <c r="X352" s="38" t="str">
        <f>IF(L352="","",IF(V352&gt;0,INDEX('02-شباط'!$P$2:$P$501,V352),IF($AO$1=1,0,"")))</f>
        <v/>
      </c>
      <c r="Y352" s="38" t="str">
        <f t="shared" si="112"/>
        <v/>
      </c>
      <c r="Z352" s="39" t="str">
        <f>IF(L352="","",IF(V352&gt;0,INDEX('02-شباط'!$Q$2:$Q$501,V352),IF($AO$1=1,0,"")))</f>
        <v/>
      </c>
      <c r="AA352" s="39" t="str">
        <f t="shared" si="113"/>
        <v/>
      </c>
      <c r="AB352" s="40" t="str">
        <f>IF(OR(L352="",V352=0),"",IF(AND(N(I352)&gt;0,N(INDEX('02-شباط'!$I$2:$I$501,V352))&gt;0,INDEX('02-شباط'!$F$2:$F$501,V352)=F352),N(I352)/N(INDEX('02-شباط'!$I$2:$I$501,V352))-1,""))</f>
        <v/>
      </c>
      <c r="AC352" t="str">
        <f>IF(L352="","",IF(AND($AO$2=1,ISNA(MATCH(L352,'04-نيسان'!$L$2:$L$501,0))),"محذوف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IF(L353="","",IF($AO$1=1,IFERROR(MATCH(L353,'02-شباط'!$L$2:$L$501,0),0),0))</f>
        <v/>
      </c>
      <c r="W353" t="str">
        <f t="shared" si="111"/>
        <v/>
      </c>
      <c r="X353" s="38" t="str">
        <f>IF(L353="","",IF(V353&gt;0,INDEX('02-شباط'!$P$2:$P$501,V353),IF($AO$1=1,0,"")))</f>
        <v/>
      </c>
      <c r="Y353" s="38" t="str">
        <f t="shared" si="112"/>
        <v/>
      </c>
      <c r="Z353" s="39" t="str">
        <f>IF(L353="","",IF(V353&gt;0,INDEX('02-شباط'!$Q$2:$Q$501,V353),IF($AO$1=1,0,"")))</f>
        <v/>
      </c>
      <c r="AA353" s="39" t="str">
        <f t="shared" si="113"/>
        <v/>
      </c>
      <c r="AB353" s="40" t="str">
        <f>IF(OR(L353="",V353=0),"",IF(AND(N(I353)&gt;0,N(INDEX('02-شباط'!$I$2:$I$501,V353))&gt;0,INDEX('02-شباط'!$F$2:$F$501,V353)=F353),N(I353)/N(INDEX('02-شباط'!$I$2:$I$501,V353))-1,""))</f>
        <v/>
      </c>
      <c r="AC353" t="str">
        <f>IF(L353="","",IF(AND($AO$2=1,ISNA(MATCH(L353,'04-نيسان'!$L$2:$L$501,0))),"محذوف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IF(L354="","",IF($AO$1=1,IFERROR(MATCH(L354,'02-شباط'!$L$2:$L$501,0),0),0))</f>
        <v/>
      </c>
      <c r="W354" t="str">
        <f t="shared" si="111"/>
        <v/>
      </c>
      <c r="X354" s="38" t="str">
        <f>IF(L354="","",IF(V354&gt;0,INDEX('02-شباط'!$P$2:$P$501,V354),IF($AO$1=1,0,"")))</f>
        <v/>
      </c>
      <c r="Y354" s="38" t="str">
        <f t="shared" si="112"/>
        <v/>
      </c>
      <c r="Z354" s="39" t="str">
        <f>IF(L354="","",IF(V354&gt;0,INDEX('02-شباط'!$Q$2:$Q$501,V354),IF($AO$1=1,0,"")))</f>
        <v/>
      </c>
      <c r="AA354" s="39" t="str">
        <f t="shared" si="113"/>
        <v/>
      </c>
      <c r="AB354" s="40" t="str">
        <f>IF(OR(L354="",V354=0),"",IF(AND(N(I354)&gt;0,N(INDEX('02-شباط'!$I$2:$I$501,V354))&gt;0,INDEX('02-شباط'!$F$2:$F$501,V354)=F354),N(I354)/N(INDEX('02-شباط'!$I$2:$I$501,V354))-1,""))</f>
        <v/>
      </c>
      <c r="AC354" t="str">
        <f>IF(L354="","",IF(AND($AO$2=1,ISNA(MATCH(L354,'04-نيسان'!$L$2:$L$501,0))),"محذوف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IF(L355="","",IF($AO$1=1,IFERROR(MATCH(L355,'02-شباط'!$L$2:$L$501,0),0),0))</f>
        <v/>
      </c>
      <c r="W355" t="str">
        <f t="shared" si="111"/>
        <v/>
      </c>
      <c r="X355" s="38" t="str">
        <f>IF(L355="","",IF(V355&gt;0,INDEX('02-شباط'!$P$2:$P$501,V355),IF($AO$1=1,0,"")))</f>
        <v/>
      </c>
      <c r="Y355" s="38" t="str">
        <f t="shared" si="112"/>
        <v/>
      </c>
      <c r="Z355" s="39" t="str">
        <f>IF(L355="","",IF(V355&gt;0,INDEX('02-شباط'!$Q$2:$Q$501,V355),IF($AO$1=1,0,"")))</f>
        <v/>
      </c>
      <c r="AA355" s="39" t="str">
        <f t="shared" si="113"/>
        <v/>
      </c>
      <c r="AB355" s="40" t="str">
        <f>IF(OR(L355="",V355=0),"",IF(AND(N(I355)&gt;0,N(INDEX('02-شباط'!$I$2:$I$501,V355))&gt;0,INDEX('02-شباط'!$F$2:$F$501,V355)=F355),N(I355)/N(INDEX('02-شباط'!$I$2:$I$501,V355))-1,""))</f>
        <v/>
      </c>
      <c r="AC355" t="str">
        <f>IF(L355="","",IF(AND($AO$2=1,ISNA(MATCH(L355,'04-نيسان'!$L$2:$L$501,0))),"محذوف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IF(L356="","",IF($AO$1=1,IFERROR(MATCH(L356,'02-شباط'!$L$2:$L$501,0),0),0))</f>
        <v/>
      </c>
      <c r="W356" t="str">
        <f t="shared" si="111"/>
        <v/>
      </c>
      <c r="X356" s="38" t="str">
        <f>IF(L356="","",IF(V356&gt;0,INDEX('02-شباط'!$P$2:$P$501,V356),IF($AO$1=1,0,"")))</f>
        <v/>
      </c>
      <c r="Y356" s="38" t="str">
        <f t="shared" si="112"/>
        <v/>
      </c>
      <c r="Z356" s="39" t="str">
        <f>IF(L356="","",IF(V356&gt;0,INDEX('02-شباط'!$Q$2:$Q$501,V356),IF($AO$1=1,0,"")))</f>
        <v/>
      </c>
      <c r="AA356" s="39" t="str">
        <f t="shared" si="113"/>
        <v/>
      </c>
      <c r="AB356" s="40" t="str">
        <f>IF(OR(L356="",V356=0),"",IF(AND(N(I356)&gt;0,N(INDEX('02-شباط'!$I$2:$I$501,V356))&gt;0,INDEX('02-شباط'!$F$2:$F$501,V356)=F356),N(I356)/N(INDEX('02-شباط'!$I$2:$I$501,V356))-1,""))</f>
        <v/>
      </c>
      <c r="AC356" t="str">
        <f>IF(L356="","",IF(AND($AO$2=1,ISNA(MATCH(L356,'04-نيسان'!$L$2:$L$501,0))),"محذوف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IF(L357="","",IF($AO$1=1,IFERROR(MATCH(L357,'02-شباط'!$L$2:$L$501,0),0),0))</f>
        <v/>
      </c>
      <c r="W357" t="str">
        <f t="shared" si="111"/>
        <v/>
      </c>
      <c r="X357" s="38" t="str">
        <f>IF(L357="","",IF(V357&gt;0,INDEX('02-شباط'!$P$2:$P$501,V357),IF($AO$1=1,0,"")))</f>
        <v/>
      </c>
      <c r="Y357" s="38" t="str">
        <f t="shared" si="112"/>
        <v/>
      </c>
      <c r="Z357" s="39" t="str">
        <f>IF(L357="","",IF(V357&gt;0,INDEX('02-شباط'!$Q$2:$Q$501,V357),IF($AO$1=1,0,"")))</f>
        <v/>
      </c>
      <c r="AA357" s="39" t="str">
        <f t="shared" si="113"/>
        <v/>
      </c>
      <c r="AB357" s="40" t="str">
        <f>IF(OR(L357="",V357=0),"",IF(AND(N(I357)&gt;0,N(INDEX('02-شباط'!$I$2:$I$501,V357))&gt;0,INDEX('02-شباط'!$F$2:$F$501,V357)=F357),N(I357)/N(INDEX('02-شباط'!$I$2:$I$501,V357))-1,""))</f>
        <v/>
      </c>
      <c r="AC357" t="str">
        <f>IF(L357="","",IF(AND($AO$2=1,ISNA(MATCH(L357,'04-نيسان'!$L$2:$L$501,0))),"محذوف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IF(L358="","",IF($AO$1=1,IFERROR(MATCH(L358,'02-شباط'!$L$2:$L$501,0),0),0))</f>
        <v/>
      </c>
      <c r="W358" t="str">
        <f t="shared" si="111"/>
        <v/>
      </c>
      <c r="X358" s="38" t="str">
        <f>IF(L358="","",IF(V358&gt;0,INDEX('02-شباط'!$P$2:$P$501,V358),IF($AO$1=1,0,"")))</f>
        <v/>
      </c>
      <c r="Y358" s="38" t="str">
        <f t="shared" si="112"/>
        <v/>
      </c>
      <c r="Z358" s="39" t="str">
        <f>IF(L358="","",IF(V358&gt;0,INDEX('02-شباط'!$Q$2:$Q$501,V358),IF($AO$1=1,0,"")))</f>
        <v/>
      </c>
      <c r="AA358" s="39" t="str">
        <f t="shared" si="113"/>
        <v/>
      </c>
      <c r="AB358" s="40" t="str">
        <f>IF(OR(L358="",V358=0),"",IF(AND(N(I358)&gt;0,N(INDEX('02-شباط'!$I$2:$I$501,V358))&gt;0,INDEX('02-شباط'!$F$2:$F$501,V358)=F358),N(I358)/N(INDEX('02-شباط'!$I$2:$I$501,V358))-1,""))</f>
        <v/>
      </c>
      <c r="AC358" t="str">
        <f>IF(L358="","",IF(AND($AO$2=1,ISNA(MATCH(L358,'04-نيسان'!$L$2:$L$501,0))),"محذوف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IF(L359="","",IF($AO$1=1,IFERROR(MATCH(L359,'02-شباط'!$L$2:$L$501,0),0),0))</f>
        <v/>
      </c>
      <c r="W359" t="str">
        <f t="shared" si="111"/>
        <v/>
      </c>
      <c r="X359" s="38" t="str">
        <f>IF(L359="","",IF(V359&gt;0,INDEX('02-شباط'!$P$2:$P$501,V359),IF($AO$1=1,0,"")))</f>
        <v/>
      </c>
      <c r="Y359" s="38" t="str">
        <f t="shared" si="112"/>
        <v/>
      </c>
      <c r="Z359" s="39" t="str">
        <f>IF(L359="","",IF(V359&gt;0,INDEX('02-شباط'!$Q$2:$Q$501,V359),IF($AO$1=1,0,"")))</f>
        <v/>
      </c>
      <c r="AA359" s="39" t="str">
        <f t="shared" si="113"/>
        <v/>
      </c>
      <c r="AB359" s="40" t="str">
        <f>IF(OR(L359="",V359=0),"",IF(AND(N(I359)&gt;0,N(INDEX('02-شباط'!$I$2:$I$501,V359))&gt;0,INDEX('02-شباط'!$F$2:$F$501,V359)=F359),N(I359)/N(INDEX('02-شباط'!$I$2:$I$501,V359))-1,""))</f>
        <v/>
      </c>
      <c r="AC359" t="str">
        <f>IF(L359="","",IF(AND($AO$2=1,ISNA(MATCH(L359,'04-نيسان'!$L$2:$L$501,0))),"محذوف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IF(L360="","",IF($AO$1=1,IFERROR(MATCH(L360,'02-شباط'!$L$2:$L$501,0),0),0))</f>
        <v/>
      </c>
      <c r="W360" t="str">
        <f t="shared" si="111"/>
        <v/>
      </c>
      <c r="X360" s="38" t="str">
        <f>IF(L360="","",IF(V360&gt;0,INDEX('02-شباط'!$P$2:$P$501,V360),IF($AO$1=1,0,"")))</f>
        <v/>
      </c>
      <c r="Y360" s="38" t="str">
        <f t="shared" si="112"/>
        <v/>
      </c>
      <c r="Z360" s="39" t="str">
        <f>IF(L360="","",IF(V360&gt;0,INDEX('02-شباط'!$Q$2:$Q$501,V360),IF($AO$1=1,0,"")))</f>
        <v/>
      </c>
      <c r="AA360" s="39" t="str">
        <f t="shared" si="113"/>
        <v/>
      </c>
      <c r="AB360" s="40" t="str">
        <f>IF(OR(L360="",V360=0),"",IF(AND(N(I360)&gt;0,N(INDEX('02-شباط'!$I$2:$I$501,V360))&gt;0,INDEX('02-شباط'!$F$2:$F$501,V360)=F360),N(I360)/N(INDEX('02-شباط'!$I$2:$I$501,V360))-1,""))</f>
        <v/>
      </c>
      <c r="AC360" t="str">
        <f>IF(L360="","",IF(AND($AO$2=1,ISNA(MATCH(L360,'04-نيسان'!$L$2:$L$501,0))),"محذوف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IF(L361="","",IF($AO$1=1,IFERROR(MATCH(L361,'02-شباط'!$L$2:$L$501,0),0),0))</f>
        <v/>
      </c>
      <c r="W361" t="str">
        <f t="shared" si="111"/>
        <v/>
      </c>
      <c r="X361" s="38" t="str">
        <f>IF(L361="","",IF(V361&gt;0,INDEX('02-شباط'!$P$2:$P$501,V361),IF($AO$1=1,0,"")))</f>
        <v/>
      </c>
      <c r="Y361" s="38" t="str">
        <f t="shared" si="112"/>
        <v/>
      </c>
      <c r="Z361" s="39" t="str">
        <f>IF(L361="","",IF(V361&gt;0,INDEX('02-شباط'!$Q$2:$Q$501,V361),IF($AO$1=1,0,"")))</f>
        <v/>
      </c>
      <c r="AA361" s="39" t="str">
        <f t="shared" si="113"/>
        <v/>
      </c>
      <c r="AB361" s="40" t="str">
        <f>IF(OR(L361="",V361=0),"",IF(AND(N(I361)&gt;0,N(INDEX('02-شباط'!$I$2:$I$501,V361))&gt;0,INDEX('02-شباط'!$F$2:$F$501,V361)=F361),N(I361)/N(INDEX('02-شباط'!$I$2:$I$501,V361))-1,""))</f>
        <v/>
      </c>
      <c r="AC361" t="str">
        <f>IF(L361="","",IF(AND($AO$2=1,ISNA(MATCH(L361,'04-نيسان'!$L$2:$L$501,0))),"محذوف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IF(L362="","",IF($AO$1=1,IFERROR(MATCH(L362,'02-شباط'!$L$2:$L$501,0),0),0))</f>
        <v/>
      </c>
      <c r="W362" t="str">
        <f t="shared" si="111"/>
        <v/>
      </c>
      <c r="X362" s="38" t="str">
        <f>IF(L362="","",IF(V362&gt;0,INDEX('02-شباط'!$P$2:$P$501,V362),IF($AO$1=1,0,"")))</f>
        <v/>
      </c>
      <c r="Y362" s="38" t="str">
        <f t="shared" si="112"/>
        <v/>
      </c>
      <c r="Z362" s="39" t="str">
        <f>IF(L362="","",IF(V362&gt;0,INDEX('02-شباط'!$Q$2:$Q$501,V362),IF($AO$1=1,0,"")))</f>
        <v/>
      </c>
      <c r="AA362" s="39" t="str">
        <f t="shared" si="113"/>
        <v/>
      </c>
      <c r="AB362" s="40" t="str">
        <f>IF(OR(L362="",V362=0),"",IF(AND(N(I362)&gt;0,N(INDEX('02-شباط'!$I$2:$I$501,V362))&gt;0,INDEX('02-شباط'!$F$2:$F$501,V362)=F362),N(I362)/N(INDEX('02-شباط'!$I$2:$I$501,V362))-1,""))</f>
        <v/>
      </c>
      <c r="AC362" t="str">
        <f>IF(L362="","",IF(AND($AO$2=1,ISNA(MATCH(L362,'04-نيسان'!$L$2:$L$501,0))),"محذوف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IF(L363="","",IF($AO$1=1,IFERROR(MATCH(L363,'02-شباط'!$L$2:$L$501,0),0),0))</f>
        <v/>
      </c>
      <c r="W363" t="str">
        <f t="shared" si="111"/>
        <v/>
      </c>
      <c r="X363" s="38" t="str">
        <f>IF(L363="","",IF(V363&gt;0,INDEX('02-شباط'!$P$2:$P$501,V363),IF($AO$1=1,0,"")))</f>
        <v/>
      </c>
      <c r="Y363" s="38" t="str">
        <f t="shared" si="112"/>
        <v/>
      </c>
      <c r="Z363" s="39" t="str">
        <f>IF(L363="","",IF(V363&gt;0,INDEX('02-شباط'!$Q$2:$Q$501,V363),IF($AO$1=1,0,"")))</f>
        <v/>
      </c>
      <c r="AA363" s="39" t="str">
        <f t="shared" si="113"/>
        <v/>
      </c>
      <c r="AB363" s="40" t="str">
        <f>IF(OR(L363="",V363=0),"",IF(AND(N(I363)&gt;0,N(INDEX('02-شباط'!$I$2:$I$501,V363))&gt;0,INDEX('02-شباط'!$F$2:$F$501,V363)=F363),N(I363)/N(INDEX('02-شباط'!$I$2:$I$501,V363))-1,""))</f>
        <v/>
      </c>
      <c r="AC363" t="str">
        <f>IF(L363="","",IF(AND($AO$2=1,ISNA(MATCH(L363,'04-نيسان'!$L$2:$L$501,0))),"محذوف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IF(L364="","",IF($AO$1=1,IFERROR(MATCH(L364,'02-شباط'!$L$2:$L$501,0),0),0))</f>
        <v/>
      </c>
      <c r="W364" t="str">
        <f t="shared" si="111"/>
        <v/>
      </c>
      <c r="X364" s="38" t="str">
        <f>IF(L364="","",IF(V364&gt;0,INDEX('02-شباط'!$P$2:$P$501,V364),IF($AO$1=1,0,"")))</f>
        <v/>
      </c>
      <c r="Y364" s="38" t="str">
        <f t="shared" si="112"/>
        <v/>
      </c>
      <c r="Z364" s="39" t="str">
        <f>IF(L364="","",IF(V364&gt;0,INDEX('02-شباط'!$Q$2:$Q$501,V364),IF($AO$1=1,0,"")))</f>
        <v/>
      </c>
      <c r="AA364" s="39" t="str">
        <f t="shared" si="113"/>
        <v/>
      </c>
      <c r="AB364" s="40" t="str">
        <f>IF(OR(L364="",V364=0),"",IF(AND(N(I364)&gt;0,N(INDEX('02-شباط'!$I$2:$I$501,V364))&gt;0,INDEX('02-شباط'!$F$2:$F$501,V364)=F364),N(I364)/N(INDEX('02-شباط'!$I$2:$I$501,V364))-1,""))</f>
        <v/>
      </c>
      <c r="AC364" t="str">
        <f>IF(L364="","",IF(AND($AO$2=1,ISNA(MATCH(L364,'04-نيسان'!$L$2:$L$501,0))),"محذوف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IF(L365="","",IF($AO$1=1,IFERROR(MATCH(L365,'02-شباط'!$L$2:$L$501,0),0),0))</f>
        <v/>
      </c>
      <c r="W365" t="str">
        <f t="shared" si="111"/>
        <v/>
      </c>
      <c r="X365" s="38" t="str">
        <f>IF(L365="","",IF(V365&gt;0,INDEX('02-شباط'!$P$2:$P$501,V365),IF($AO$1=1,0,"")))</f>
        <v/>
      </c>
      <c r="Y365" s="38" t="str">
        <f t="shared" si="112"/>
        <v/>
      </c>
      <c r="Z365" s="39" t="str">
        <f>IF(L365="","",IF(V365&gt;0,INDEX('02-شباط'!$Q$2:$Q$501,V365),IF($AO$1=1,0,"")))</f>
        <v/>
      </c>
      <c r="AA365" s="39" t="str">
        <f t="shared" si="113"/>
        <v/>
      </c>
      <c r="AB365" s="40" t="str">
        <f>IF(OR(L365="",V365=0),"",IF(AND(N(I365)&gt;0,N(INDEX('02-شباط'!$I$2:$I$501,V365))&gt;0,INDEX('02-شباط'!$F$2:$F$501,V365)=F365),N(I365)/N(INDEX('02-شباط'!$I$2:$I$501,V365))-1,""))</f>
        <v/>
      </c>
      <c r="AC365" t="str">
        <f>IF(L365="","",IF(AND($AO$2=1,ISNA(MATCH(L365,'04-نيسان'!$L$2:$L$501,0))),"محذوف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IF(L366="","",IF($AO$1=1,IFERROR(MATCH(L366,'02-شباط'!$L$2:$L$501,0),0),0))</f>
        <v/>
      </c>
      <c r="W366" t="str">
        <f t="shared" si="111"/>
        <v/>
      </c>
      <c r="X366" s="38" t="str">
        <f>IF(L366="","",IF(V366&gt;0,INDEX('02-شباط'!$P$2:$P$501,V366),IF($AO$1=1,0,"")))</f>
        <v/>
      </c>
      <c r="Y366" s="38" t="str">
        <f t="shared" si="112"/>
        <v/>
      </c>
      <c r="Z366" s="39" t="str">
        <f>IF(L366="","",IF(V366&gt;0,INDEX('02-شباط'!$Q$2:$Q$501,V366),IF($AO$1=1,0,"")))</f>
        <v/>
      </c>
      <c r="AA366" s="39" t="str">
        <f t="shared" si="113"/>
        <v/>
      </c>
      <c r="AB366" s="40" t="str">
        <f>IF(OR(L366="",V366=0),"",IF(AND(N(I366)&gt;0,N(INDEX('02-شباط'!$I$2:$I$501,V366))&gt;0,INDEX('02-شباط'!$F$2:$F$501,V366)=F366),N(I366)/N(INDEX('02-شباط'!$I$2:$I$501,V366))-1,""))</f>
        <v/>
      </c>
      <c r="AC366" t="str">
        <f>IF(L366="","",IF(AND($AO$2=1,ISNA(MATCH(L366,'04-نيسان'!$L$2:$L$501,0))),"محذوف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IF(L367="","",IF($AO$1=1,IFERROR(MATCH(L367,'02-شباط'!$L$2:$L$501,0),0),0))</f>
        <v/>
      </c>
      <c r="W367" t="str">
        <f t="shared" si="111"/>
        <v/>
      </c>
      <c r="X367" s="38" t="str">
        <f>IF(L367="","",IF(V367&gt;0,INDEX('02-شباط'!$P$2:$P$501,V367),IF($AO$1=1,0,"")))</f>
        <v/>
      </c>
      <c r="Y367" s="38" t="str">
        <f t="shared" si="112"/>
        <v/>
      </c>
      <c r="Z367" s="39" t="str">
        <f>IF(L367="","",IF(V367&gt;0,INDEX('02-شباط'!$Q$2:$Q$501,V367),IF($AO$1=1,0,"")))</f>
        <v/>
      </c>
      <c r="AA367" s="39" t="str">
        <f t="shared" si="113"/>
        <v/>
      </c>
      <c r="AB367" s="40" t="str">
        <f>IF(OR(L367="",V367=0),"",IF(AND(N(I367)&gt;0,N(INDEX('02-شباط'!$I$2:$I$501,V367))&gt;0,INDEX('02-شباط'!$F$2:$F$501,V367)=F367),N(I367)/N(INDEX('02-شباط'!$I$2:$I$501,V367))-1,""))</f>
        <v/>
      </c>
      <c r="AC367" t="str">
        <f>IF(L367="","",IF(AND($AO$2=1,ISNA(MATCH(L367,'04-نيسان'!$L$2:$L$501,0))),"محذوف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IF(L368="","",IF($AO$1=1,IFERROR(MATCH(L368,'02-شباط'!$L$2:$L$501,0),0),0))</f>
        <v/>
      </c>
      <c r="W368" t="str">
        <f t="shared" si="111"/>
        <v/>
      </c>
      <c r="X368" s="38" t="str">
        <f>IF(L368="","",IF(V368&gt;0,INDEX('02-شباط'!$P$2:$P$501,V368),IF($AO$1=1,0,"")))</f>
        <v/>
      </c>
      <c r="Y368" s="38" t="str">
        <f t="shared" si="112"/>
        <v/>
      </c>
      <c r="Z368" s="39" t="str">
        <f>IF(L368="","",IF(V368&gt;0,INDEX('02-شباط'!$Q$2:$Q$501,V368),IF($AO$1=1,0,"")))</f>
        <v/>
      </c>
      <c r="AA368" s="39" t="str">
        <f t="shared" si="113"/>
        <v/>
      </c>
      <c r="AB368" s="40" t="str">
        <f>IF(OR(L368="",V368=0),"",IF(AND(N(I368)&gt;0,N(INDEX('02-شباط'!$I$2:$I$501,V368))&gt;0,INDEX('02-شباط'!$F$2:$F$501,V368)=F368),N(I368)/N(INDEX('02-شباط'!$I$2:$I$501,V368))-1,""))</f>
        <v/>
      </c>
      <c r="AC368" t="str">
        <f>IF(L368="","",IF(AND($AO$2=1,ISNA(MATCH(L368,'04-نيسان'!$L$2:$L$501,0))),"محذوف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IF(L369="","",IF($AO$1=1,IFERROR(MATCH(L369,'02-شباط'!$L$2:$L$501,0),0),0))</f>
        <v/>
      </c>
      <c r="W369" t="str">
        <f t="shared" si="111"/>
        <v/>
      </c>
      <c r="X369" s="38" t="str">
        <f>IF(L369="","",IF(V369&gt;0,INDEX('02-شباط'!$P$2:$P$501,V369),IF($AO$1=1,0,"")))</f>
        <v/>
      </c>
      <c r="Y369" s="38" t="str">
        <f t="shared" si="112"/>
        <v/>
      </c>
      <c r="Z369" s="39" t="str">
        <f>IF(L369="","",IF(V369&gt;0,INDEX('02-شباط'!$Q$2:$Q$501,V369),IF($AO$1=1,0,"")))</f>
        <v/>
      </c>
      <c r="AA369" s="39" t="str">
        <f t="shared" si="113"/>
        <v/>
      </c>
      <c r="AB369" s="40" t="str">
        <f>IF(OR(L369="",V369=0),"",IF(AND(N(I369)&gt;0,N(INDEX('02-شباط'!$I$2:$I$501,V369))&gt;0,INDEX('02-شباط'!$F$2:$F$501,V369)=F369),N(I369)/N(INDEX('02-شباط'!$I$2:$I$501,V369))-1,""))</f>
        <v/>
      </c>
      <c r="AC369" t="str">
        <f>IF(L369="","",IF(AND($AO$2=1,ISNA(MATCH(L369,'04-نيسان'!$L$2:$L$501,0))),"محذوف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IF(L370="","",IF($AO$1=1,IFERROR(MATCH(L370,'02-شباط'!$L$2:$L$501,0),0),0))</f>
        <v/>
      </c>
      <c r="W370" t="str">
        <f t="shared" si="111"/>
        <v/>
      </c>
      <c r="X370" s="38" t="str">
        <f>IF(L370="","",IF(V370&gt;0,INDEX('02-شباط'!$P$2:$P$501,V370),IF($AO$1=1,0,"")))</f>
        <v/>
      </c>
      <c r="Y370" s="38" t="str">
        <f t="shared" si="112"/>
        <v/>
      </c>
      <c r="Z370" s="39" t="str">
        <f>IF(L370="","",IF(V370&gt;0,INDEX('02-شباط'!$Q$2:$Q$501,V370),IF($AO$1=1,0,"")))</f>
        <v/>
      </c>
      <c r="AA370" s="39" t="str">
        <f t="shared" si="113"/>
        <v/>
      </c>
      <c r="AB370" s="40" t="str">
        <f>IF(OR(L370="",V370=0),"",IF(AND(N(I370)&gt;0,N(INDEX('02-شباط'!$I$2:$I$501,V370))&gt;0,INDEX('02-شباط'!$F$2:$F$501,V370)=F370),N(I370)/N(INDEX('02-شباط'!$I$2:$I$501,V370))-1,""))</f>
        <v/>
      </c>
      <c r="AC370" t="str">
        <f>IF(L370="","",IF(AND($AO$2=1,ISNA(MATCH(L370,'04-نيسان'!$L$2:$L$501,0))),"محذوف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IF(L371="","",IF($AO$1=1,IFERROR(MATCH(L371,'02-شباط'!$L$2:$L$501,0),0),0))</f>
        <v/>
      </c>
      <c r="W371" t="str">
        <f t="shared" si="111"/>
        <v/>
      </c>
      <c r="X371" s="38" t="str">
        <f>IF(L371="","",IF(V371&gt;0,INDEX('02-شباط'!$P$2:$P$501,V371),IF($AO$1=1,0,"")))</f>
        <v/>
      </c>
      <c r="Y371" s="38" t="str">
        <f t="shared" si="112"/>
        <v/>
      </c>
      <c r="Z371" s="39" t="str">
        <f>IF(L371="","",IF(V371&gt;0,INDEX('02-شباط'!$Q$2:$Q$501,V371),IF($AO$1=1,0,"")))</f>
        <v/>
      </c>
      <c r="AA371" s="39" t="str">
        <f t="shared" si="113"/>
        <v/>
      </c>
      <c r="AB371" s="40" t="str">
        <f>IF(OR(L371="",V371=0),"",IF(AND(N(I371)&gt;0,N(INDEX('02-شباط'!$I$2:$I$501,V371))&gt;0,INDEX('02-شباط'!$F$2:$F$501,V371)=F371),N(I371)/N(INDEX('02-شباط'!$I$2:$I$501,V371))-1,""))</f>
        <v/>
      </c>
      <c r="AC371" t="str">
        <f>IF(L371="","",IF(AND($AO$2=1,ISNA(MATCH(L371,'04-نيسان'!$L$2:$L$501,0))),"محذوف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IF(L372="","",IF($AO$1=1,IFERROR(MATCH(L372,'02-شباط'!$L$2:$L$501,0),0),0))</f>
        <v/>
      </c>
      <c r="W372" t="str">
        <f t="shared" si="111"/>
        <v/>
      </c>
      <c r="X372" s="38" t="str">
        <f>IF(L372="","",IF(V372&gt;0,INDEX('02-شباط'!$P$2:$P$501,V372),IF($AO$1=1,0,"")))</f>
        <v/>
      </c>
      <c r="Y372" s="38" t="str">
        <f t="shared" si="112"/>
        <v/>
      </c>
      <c r="Z372" s="39" t="str">
        <f>IF(L372="","",IF(V372&gt;0,INDEX('02-شباط'!$Q$2:$Q$501,V372),IF($AO$1=1,0,"")))</f>
        <v/>
      </c>
      <c r="AA372" s="39" t="str">
        <f t="shared" si="113"/>
        <v/>
      </c>
      <c r="AB372" s="40" t="str">
        <f>IF(OR(L372="",V372=0),"",IF(AND(N(I372)&gt;0,N(INDEX('02-شباط'!$I$2:$I$501,V372))&gt;0,INDEX('02-شباط'!$F$2:$F$501,V372)=F372),N(I372)/N(INDEX('02-شباط'!$I$2:$I$501,V372))-1,""))</f>
        <v/>
      </c>
      <c r="AC372" t="str">
        <f>IF(L372="","",IF(AND($AO$2=1,ISNA(MATCH(L372,'04-نيسان'!$L$2:$L$501,0))),"محذوف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IF(L373="","",IF($AO$1=1,IFERROR(MATCH(L373,'02-شباط'!$L$2:$L$501,0),0),0))</f>
        <v/>
      </c>
      <c r="W373" t="str">
        <f t="shared" si="111"/>
        <v/>
      </c>
      <c r="X373" s="38" t="str">
        <f>IF(L373="","",IF(V373&gt;0,INDEX('02-شباط'!$P$2:$P$501,V373),IF($AO$1=1,0,"")))</f>
        <v/>
      </c>
      <c r="Y373" s="38" t="str">
        <f t="shared" si="112"/>
        <v/>
      </c>
      <c r="Z373" s="39" t="str">
        <f>IF(L373="","",IF(V373&gt;0,INDEX('02-شباط'!$Q$2:$Q$501,V373),IF($AO$1=1,0,"")))</f>
        <v/>
      </c>
      <c r="AA373" s="39" t="str">
        <f t="shared" si="113"/>
        <v/>
      </c>
      <c r="AB373" s="40" t="str">
        <f>IF(OR(L373="",V373=0),"",IF(AND(N(I373)&gt;0,N(INDEX('02-شباط'!$I$2:$I$501,V373))&gt;0,INDEX('02-شباط'!$F$2:$F$501,V373)=F373),N(I373)/N(INDEX('02-شباط'!$I$2:$I$501,V373))-1,""))</f>
        <v/>
      </c>
      <c r="AC373" t="str">
        <f>IF(L373="","",IF(AND($AO$2=1,ISNA(MATCH(L373,'04-نيسان'!$L$2:$L$501,0))),"محذوف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IF(L374="","",IF($AO$1=1,IFERROR(MATCH(L374,'02-شباط'!$L$2:$L$501,0),0),0))</f>
        <v/>
      </c>
      <c r="W374" t="str">
        <f t="shared" si="111"/>
        <v/>
      </c>
      <c r="X374" s="38" t="str">
        <f>IF(L374="","",IF(V374&gt;0,INDEX('02-شباط'!$P$2:$P$501,V374),IF($AO$1=1,0,"")))</f>
        <v/>
      </c>
      <c r="Y374" s="38" t="str">
        <f t="shared" si="112"/>
        <v/>
      </c>
      <c r="Z374" s="39" t="str">
        <f>IF(L374="","",IF(V374&gt;0,INDEX('02-شباط'!$Q$2:$Q$501,V374),IF($AO$1=1,0,"")))</f>
        <v/>
      </c>
      <c r="AA374" s="39" t="str">
        <f t="shared" si="113"/>
        <v/>
      </c>
      <c r="AB374" s="40" t="str">
        <f>IF(OR(L374="",V374=0),"",IF(AND(N(I374)&gt;0,N(INDEX('02-شباط'!$I$2:$I$501,V374))&gt;0,INDEX('02-شباط'!$F$2:$F$501,V374)=F374),N(I374)/N(INDEX('02-شباط'!$I$2:$I$501,V374))-1,""))</f>
        <v/>
      </c>
      <c r="AC374" t="str">
        <f>IF(L374="","",IF(AND($AO$2=1,ISNA(MATCH(L374,'04-نيسان'!$L$2:$L$501,0))),"محذوف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IF(L375="","",IF($AO$1=1,IFERROR(MATCH(L375,'02-شباط'!$L$2:$L$501,0),0),0))</f>
        <v/>
      </c>
      <c r="W375" t="str">
        <f t="shared" si="111"/>
        <v/>
      </c>
      <c r="X375" s="38" t="str">
        <f>IF(L375="","",IF(V375&gt;0,INDEX('02-شباط'!$P$2:$P$501,V375),IF($AO$1=1,0,"")))</f>
        <v/>
      </c>
      <c r="Y375" s="38" t="str">
        <f t="shared" si="112"/>
        <v/>
      </c>
      <c r="Z375" s="39" t="str">
        <f>IF(L375="","",IF(V375&gt;0,INDEX('02-شباط'!$Q$2:$Q$501,V375),IF($AO$1=1,0,"")))</f>
        <v/>
      </c>
      <c r="AA375" s="39" t="str">
        <f t="shared" si="113"/>
        <v/>
      </c>
      <c r="AB375" s="40" t="str">
        <f>IF(OR(L375="",V375=0),"",IF(AND(N(I375)&gt;0,N(INDEX('02-شباط'!$I$2:$I$501,V375))&gt;0,INDEX('02-شباط'!$F$2:$F$501,V375)=F375),N(I375)/N(INDEX('02-شباط'!$I$2:$I$501,V375))-1,""))</f>
        <v/>
      </c>
      <c r="AC375" t="str">
        <f>IF(L375="","",IF(AND($AO$2=1,ISNA(MATCH(L375,'04-نيسان'!$L$2:$L$501,0))),"محذوف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IF(L376="","",IF($AO$1=1,IFERROR(MATCH(L376,'02-شباط'!$L$2:$L$501,0),0),0))</f>
        <v/>
      </c>
      <c r="W376" t="str">
        <f t="shared" si="111"/>
        <v/>
      </c>
      <c r="X376" s="38" t="str">
        <f>IF(L376="","",IF(V376&gt;0,INDEX('02-شباط'!$P$2:$P$501,V376),IF($AO$1=1,0,"")))</f>
        <v/>
      </c>
      <c r="Y376" s="38" t="str">
        <f t="shared" si="112"/>
        <v/>
      </c>
      <c r="Z376" s="39" t="str">
        <f>IF(L376="","",IF(V376&gt;0,INDEX('02-شباط'!$Q$2:$Q$501,V376),IF($AO$1=1,0,"")))</f>
        <v/>
      </c>
      <c r="AA376" s="39" t="str">
        <f t="shared" si="113"/>
        <v/>
      </c>
      <c r="AB376" s="40" t="str">
        <f>IF(OR(L376="",V376=0),"",IF(AND(N(I376)&gt;0,N(INDEX('02-شباط'!$I$2:$I$501,V376))&gt;0,INDEX('02-شباط'!$F$2:$F$501,V376)=F376),N(I376)/N(INDEX('02-شباط'!$I$2:$I$501,V376))-1,""))</f>
        <v/>
      </c>
      <c r="AC376" t="str">
        <f>IF(L376="","",IF(AND($AO$2=1,ISNA(MATCH(L376,'04-نيسان'!$L$2:$L$501,0))),"محذوف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IF(L377="","",IF($AO$1=1,IFERROR(MATCH(L377,'02-شباط'!$L$2:$L$501,0),0),0))</f>
        <v/>
      </c>
      <c r="W377" t="str">
        <f t="shared" si="111"/>
        <v/>
      </c>
      <c r="X377" s="38" t="str">
        <f>IF(L377="","",IF(V377&gt;0,INDEX('02-شباط'!$P$2:$P$501,V377),IF($AO$1=1,0,"")))</f>
        <v/>
      </c>
      <c r="Y377" s="38" t="str">
        <f t="shared" si="112"/>
        <v/>
      </c>
      <c r="Z377" s="39" t="str">
        <f>IF(L377="","",IF(V377&gt;0,INDEX('02-شباط'!$Q$2:$Q$501,V377),IF($AO$1=1,0,"")))</f>
        <v/>
      </c>
      <c r="AA377" s="39" t="str">
        <f t="shared" si="113"/>
        <v/>
      </c>
      <c r="AB377" s="40" t="str">
        <f>IF(OR(L377="",V377=0),"",IF(AND(N(I377)&gt;0,N(INDEX('02-شباط'!$I$2:$I$501,V377))&gt;0,INDEX('02-شباط'!$F$2:$F$501,V377)=F377),N(I377)/N(INDEX('02-شباط'!$I$2:$I$501,V377))-1,""))</f>
        <v/>
      </c>
      <c r="AC377" t="str">
        <f>IF(L377="","",IF(AND($AO$2=1,ISNA(MATCH(L377,'04-نيسان'!$L$2:$L$501,0))),"محذوف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IF(L378="","",IF($AO$1=1,IFERROR(MATCH(L378,'02-شباط'!$L$2:$L$501,0),0),0))</f>
        <v/>
      </c>
      <c r="W378" t="str">
        <f t="shared" si="111"/>
        <v/>
      </c>
      <c r="X378" s="38" t="str">
        <f>IF(L378="","",IF(V378&gt;0,INDEX('02-شباط'!$P$2:$P$501,V378),IF($AO$1=1,0,"")))</f>
        <v/>
      </c>
      <c r="Y378" s="38" t="str">
        <f t="shared" si="112"/>
        <v/>
      </c>
      <c r="Z378" s="39" t="str">
        <f>IF(L378="","",IF(V378&gt;0,INDEX('02-شباط'!$Q$2:$Q$501,V378),IF($AO$1=1,0,"")))</f>
        <v/>
      </c>
      <c r="AA378" s="39" t="str">
        <f t="shared" si="113"/>
        <v/>
      </c>
      <c r="AB378" s="40" t="str">
        <f>IF(OR(L378="",V378=0),"",IF(AND(N(I378)&gt;0,N(INDEX('02-شباط'!$I$2:$I$501,V378))&gt;0,INDEX('02-شباط'!$F$2:$F$501,V378)=F378),N(I378)/N(INDEX('02-شباط'!$I$2:$I$501,V378))-1,""))</f>
        <v/>
      </c>
      <c r="AC378" t="str">
        <f>IF(L378="","",IF(AND($AO$2=1,ISNA(MATCH(L378,'04-نيسان'!$L$2:$L$501,0))),"محذوف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IF(L379="","",IF($AO$1=1,IFERROR(MATCH(L379,'02-شباط'!$L$2:$L$501,0),0),0))</f>
        <v/>
      </c>
      <c r="W379" t="str">
        <f t="shared" si="111"/>
        <v/>
      </c>
      <c r="X379" s="38" t="str">
        <f>IF(L379="","",IF(V379&gt;0,INDEX('02-شباط'!$P$2:$P$501,V379),IF($AO$1=1,0,"")))</f>
        <v/>
      </c>
      <c r="Y379" s="38" t="str">
        <f t="shared" si="112"/>
        <v/>
      </c>
      <c r="Z379" s="39" t="str">
        <f>IF(L379="","",IF(V379&gt;0,INDEX('02-شباط'!$Q$2:$Q$501,V379),IF($AO$1=1,0,"")))</f>
        <v/>
      </c>
      <c r="AA379" s="39" t="str">
        <f t="shared" si="113"/>
        <v/>
      </c>
      <c r="AB379" s="40" t="str">
        <f>IF(OR(L379="",V379=0),"",IF(AND(N(I379)&gt;0,N(INDEX('02-شباط'!$I$2:$I$501,V379))&gt;0,INDEX('02-شباط'!$F$2:$F$501,V379)=F379),N(I379)/N(INDEX('02-شباط'!$I$2:$I$501,V379))-1,""))</f>
        <v/>
      </c>
      <c r="AC379" t="str">
        <f>IF(L379="","",IF(AND($AO$2=1,ISNA(MATCH(L379,'04-نيسان'!$L$2:$L$501,0))),"محذوف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IF(L380="","",IF($AO$1=1,IFERROR(MATCH(L380,'02-شباط'!$L$2:$L$501,0),0),0))</f>
        <v/>
      </c>
      <c r="W380" t="str">
        <f t="shared" si="111"/>
        <v/>
      </c>
      <c r="X380" s="38" t="str">
        <f>IF(L380="","",IF(V380&gt;0,INDEX('02-شباط'!$P$2:$P$501,V380),IF($AO$1=1,0,"")))</f>
        <v/>
      </c>
      <c r="Y380" s="38" t="str">
        <f t="shared" si="112"/>
        <v/>
      </c>
      <c r="Z380" s="39" t="str">
        <f>IF(L380="","",IF(V380&gt;0,INDEX('02-شباط'!$Q$2:$Q$501,V380),IF($AO$1=1,0,"")))</f>
        <v/>
      </c>
      <c r="AA380" s="39" t="str">
        <f t="shared" si="113"/>
        <v/>
      </c>
      <c r="AB380" s="40" t="str">
        <f>IF(OR(L380="",V380=0),"",IF(AND(N(I380)&gt;0,N(INDEX('02-شباط'!$I$2:$I$501,V380))&gt;0,INDEX('02-شباط'!$F$2:$F$501,V380)=F380),N(I380)/N(INDEX('02-شباط'!$I$2:$I$501,V380))-1,""))</f>
        <v/>
      </c>
      <c r="AC380" t="str">
        <f>IF(L380="","",IF(AND($AO$2=1,ISNA(MATCH(L380,'04-نيسان'!$L$2:$L$501,0))),"محذوف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IF(L381="","",IF($AO$1=1,IFERROR(MATCH(L381,'02-شباط'!$L$2:$L$501,0),0),0))</f>
        <v/>
      </c>
      <c r="W381" t="str">
        <f t="shared" si="111"/>
        <v/>
      </c>
      <c r="X381" s="38" t="str">
        <f>IF(L381="","",IF(V381&gt;0,INDEX('02-شباط'!$P$2:$P$501,V381),IF($AO$1=1,0,"")))</f>
        <v/>
      </c>
      <c r="Y381" s="38" t="str">
        <f t="shared" si="112"/>
        <v/>
      </c>
      <c r="Z381" s="39" t="str">
        <f>IF(L381="","",IF(V381&gt;0,INDEX('02-شباط'!$Q$2:$Q$501,V381),IF($AO$1=1,0,"")))</f>
        <v/>
      </c>
      <c r="AA381" s="39" t="str">
        <f t="shared" si="113"/>
        <v/>
      </c>
      <c r="AB381" s="40" t="str">
        <f>IF(OR(L381="",V381=0),"",IF(AND(N(I381)&gt;0,N(INDEX('02-شباط'!$I$2:$I$501,V381))&gt;0,INDEX('02-شباط'!$F$2:$F$501,V381)=F381),N(I381)/N(INDEX('02-شباط'!$I$2:$I$501,V381))-1,""))</f>
        <v/>
      </c>
      <c r="AC381" t="str">
        <f>IF(L381="","",IF(AND($AO$2=1,ISNA(MATCH(L381,'04-نيسان'!$L$2:$L$501,0))),"محذوف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IF(L382="","",IF($AO$1=1,IFERROR(MATCH(L382,'02-شباط'!$L$2:$L$501,0),0),0))</f>
        <v/>
      </c>
      <c r="W382" t="str">
        <f t="shared" si="111"/>
        <v/>
      </c>
      <c r="X382" s="38" t="str">
        <f>IF(L382="","",IF(V382&gt;0,INDEX('02-شباط'!$P$2:$P$501,V382),IF($AO$1=1,0,"")))</f>
        <v/>
      </c>
      <c r="Y382" s="38" t="str">
        <f t="shared" si="112"/>
        <v/>
      </c>
      <c r="Z382" s="39" t="str">
        <f>IF(L382="","",IF(V382&gt;0,INDEX('02-شباط'!$Q$2:$Q$501,V382),IF($AO$1=1,0,"")))</f>
        <v/>
      </c>
      <c r="AA382" s="39" t="str">
        <f t="shared" si="113"/>
        <v/>
      </c>
      <c r="AB382" s="40" t="str">
        <f>IF(OR(L382="",V382=0),"",IF(AND(N(I382)&gt;0,N(INDEX('02-شباط'!$I$2:$I$501,V382))&gt;0,INDEX('02-شباط'!$F$2:$F$501,V382)=F382),N(I382)/N(INDEX('02-شباط'!$I$2:$I$501,V382))-1,""))</f>
        <v/>
      </c>
      <c r="AC382" t="str">
        <f>IF(L382="","",IF(AND($AO$2=1,ISNA(MATCH(L382,'04-نيسان'!$L$2:$L$501,0))),"محذوف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IF(L383="","",IF($AO$1=1,IFERROR(MATCH(L383,'02-شباط'!$L$2:$L$501,0),0),0))</f>
        <v/>
      </c>
      <c r="W383" t="str">
        <f t="shared" si="111"/>
        <v/>
      </c>
      <c r="X383" s="38" t="str">
        <f>IF(L383="","",IF(V383&gt;0,INDEX('02-شباط'!$P$2:$P$501,V383),IF($AO$1=1,0,"")))</f>
        <v/>
      </c>
      <c r="Y383" s="38" t="str">
        <f t="shared" si="112"/>
        <v/>
      </c>
      <c r="Z383" s="39" t="str">
        <f>IF(L383="","",IF(V383&gt;0,INDEX('02-شباط'!$Q$2:$Q$501,V383),IF($AO$1=1,0,"")))</f>
        <v/>
      </c>
      <c r="AA383" s="39" t="str">
        <f t="shared" si="113"/>
        <v/>
      </c>
      <c r="AB383" s="40" t="str">
        <f>IF(OR(L383="",V383=0),"",IF(AND(N(I383)&gt;0,N(INDEX('02-شباط'!$I$2:$I$501,V383))&gt;0,INDEX('02-شباط'!$F$2:$F$501,V383)=F383),N(I383)/N(INDEX('02-شباط'!$I$2:$I$501,V383))-1,""))</f>
        <v/>
      </c>
      <c r="AC383" t="str">
        <f>IF(L383="","",IF(AND($AO$2=1,ISNA(MATCH(L383,'04-نيسان'!$L$2:$L$501,0))),"محذوف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IF(L384="","",IF($AO$1=1,IFERROR(MATCH(L384,'02-شباط'!$L$2:$L$501,0),0),0))</f>
        <v/>
      </c>
      <c r="W384" t="str">
        <f t="shared" si="111"/>
        <v/>
      </c>
      <c r="X384" s="38" t="str">
        <f>IF(L384="","",IF(V384&gt;0,INDEX('02-شباط'!$P$2:$P$501,V384),IF($AO$1=1,0,"")))</f>
        <v/>
      </c>
      <c r="Y384" s="38" t="str">
        <f t="shared" si="112"/>
        <v/>
      </c>
      <c r="Z384" s="39" t="str">
        <f>IF(L384="","",IF(V384&gt;0,INDEX('02-شباط'!$Q$2:$Q$501,V384),IF($AO$1=1,0,"")))</f>
        <v/>
      </c>
      <c r="AA384" s="39" t="str">
        <f t="shared" si="113"/>
        <v/>
      </c>
      <c r="AB384" s="40" t="str">
        <f>IF(OR(L384="",V384=0),"",IF(AND(N(I384)&gt;0,N(INDEX('02-شباط'!$I$2:$I$501,V384))&gt;0,INDEX('02-شباط'!$F$2:$F$501,V384)=F384),N(I384)/N(INDEX('02-شباط'!$I$2:$I$501,V384))-1,""))</f>
        <v/>
      </c>
      <c r="AC384" t="str">
        <f>IF(L384="","",IF(AND($AO$2=1,ISNA(MATCH(L384,'04-نيسان'!$L$2:$L$501,0))),"محذوف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IF(L385="","",IF($AO$1=1,IFERROR(MATCH(L385,'02-شباط'!$L$2:$L$501,0),0),0))</f>
        <v/>
      </c>
      <c r="W385" t="str">
        <f t="shared" si="111"/>
        <v/>
      </c>
      <c r="X385" s="38" t="str">
        <f>IF(L385="","",IF(V385&gt;0,INDEX('02-شباط'!$P$2:$P$501,V385),IF($AO$1=1,0,"")))</f>
        <v/>
      </c>
      <c r="Y385" s="38" t="str">
        <f t="shared" si="112"/>
        <v/>
      </c>
      <c r="Z385" s="39" t="str">
        <f>IF(L385="","",IF(V385&gt;0,INDEX('02-شباط'!$Q$2:$Q$501,V385),IF($AO$1=1,0,"")))</f>
        <v/>
      </c>
      <c r="AA385" s="39" t="str">
        <f t="shared" si="113"/>
        <v/>
      </c>
      <c r="AB385" s="40" t="str">
        <f>IF(OR(L385="",V385=0),"",IF(AND(N(I385)&gt;0,N(INDEX('02-شباط'!$I$2:$I$501,V385))&gt;0,INDEX('02-شباط'!$F$2:$F$501,V385)=F385),N(I385)/N(INDEX('02-شباط'!$I$2:$I$501,V385))-1,""))</f>
        <v/>
      </c>
      <c r="AC385" t="str">
        <f>IF(L385="","",IF(AND($AO$2=1,ISNA(MATCH(L385,'04-نيسان'!$L$2:$L$501,0))),"محذوف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IF(L386="","",IF($AO$1=1,IFERROR(MATCH(L386,'02-شباط'!$L$2:$L$501,0),0),0))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IF(L386="","",IF(V386&gt;0,INDEX('02-شباط'!$P$2:$P$501,V386),IF($AO$1=1,0,"")))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IF(L386="","",IF(V386&gt;0,INDEX('02-شباط'!$Q$2:$Q$501,V386),IF($AO$1=1,0,"")))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IF(OR(L386="",V386=0),"",IF(AND(N(I386)&gt;0,N(INDEX('02-شباط'!$I$2:$I$501,V386))&gt;0,INDEX('02-شباط'!$F$2:$F$501,V386)=F386),N(I386)/N(INDEX('02-شباط'!$I$2:$I$501,V386))-1,""))</f>
        <v/>
      </c>
      <c r="AC386" t="str">
        <f>IF(L386="","",IF(AND($AO$2=1,ISNA(MATCH(L386,'04-نيسان'!$L$2:$L$501,0))),"محذوف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IF(L387="","",IF($AO$1=1,IFERROR(MATCH(L387,'02-شباط'!$L$2:$L$501,0),0),0))</f>
        <v/>
      </c>
      <c r="W387" t="str">
        <f t="shared" si="131"/>
        <v/>
      </c>
      <c r="X387" s="38" t="str">
        <f>IF(L387="","",IF(V387&gt;0,INDEX('02-شباط'!$P$2:$P$501,V387),IF($AO$1=1,0,"")))</f>
        <v/>
      </c>
      <c r="Y387" s="38" t="str">
        <f t="shared" si="132"/>
        <v/>
      </c>
      <c r="Z387" s="39" t="str">
        <f>IF(L387="","",IF(V387&gt;0,INDEX('02-شباط'!$Q$2:$Q$501,V387),IF($AO$1=1,0,"")))</f>
        <v/>
      </c>
      <c r="AA387" s="39" t="str">
        <f t="shared" si="133"/>
        <v/>
      </c>
      <c r="AB387" s="40" t="str">
        <f>IF(OR(L387="",V387=0),"",IF(AND(N(I387)&gt;0,N(INDEX('02-شباط'!$I$2:$I$501,V387))&gt;0,INDEX('02-شباط'!$F$2:$F$501,V387)=F387),N(I387)/N(INDEX('02-شباط'!$I$2:$I$501,V387))-1,""))</f>
        <v/>
      </c>
      <c r="AC387" t="str">
        <f>IF(L387="","",IF(AND($AO$2=1,ISNA(MATCH(L387,'04-نيسان'!$L$2:$L$501,0))),"محذوف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IF(L388="","",IF($AO$1=1,IFERROR(MATCH(L388,'02-شباط'!$L$2:$L$501,0),0),0))</f>
        <v/>
      </c>
      <c r="W388" t="str">
        <f t="shared" si="131"/>
        <v/>
      </c>
      <c r="X388" s="38" t="str">
        <f>IF(L388="","",IF(V388&gt;0,INDEX('02-شباط'!$P$2:$P$501,V388),IF($AO$1=1,0,"")))</f>
        <v/>
      </c>
      <c r="Y388" s="38" t="str">
        <f t="shared" si="132"/>
        <v/>
      </c>
      <c r="Z388" s="39" t="str">
        <f>IF(L388="","",IF(V388&gt;0,INDEX('02-شباط'!$Q$2:$Q$501,V388),IF($AO$1=1,0,"")))</f>
        <v/>
      </c>
      <c r="AA388" s="39" t="str">
        <f t="shared" si="133"/>
        <v/>
      </c>
      <c r="AB388" s="40" t="str">
        <f>IF(OR(L388="",V388=0),"",IF(AND(N(I388)&gt;0,N(INDEX('02-شباط'!$I$2:$I$501,V388))&gt;0,INDEX('02-شباط'!$F$2:$F$501,V388)=F388),N(I388)/N(INDEX('02-شباط'!$I$2:$I$501,V388))-1,""))</f>
        <v/>
      </c>
      <c r="AC388" t="str">
        <f>IF(L388="","",IF(AND($AO$2=1,ISNA(MATCH(L388,'04-نيسان'!$L$2:$L$501,0))),"محذوف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IF(L389="","",IF($AO$1=1,IFERROR(MATCH(L389,'02-شباط'!$L$2:$L$501,0),0),0))</f>
        <v/>
      </c>
      <c r="W389" t="str">
        <f t="shared" si="131"/>
        <v/>
      </c>
      <c r="X389" s="38" t="str">
        <f>IF(L389="","",IF(V389&gt;0,INDEX('02-شباط'!$P$2:$P$501,V389),IF($AO$1=1,0,"")))</f>
        <v/>
      </c>
      <c r="Y389" s="38" t="str">
        <f t="shared" si="132"/>
        <v/>
      </c>
      <c r="Z389" s="39" t="str">
        <f>IF(L389="","",IF(V389&gt;0,INDEX('02-شباط'!$Q$2:$Q$501,V389),IF($AO$1=1,0,"")))</f>
        <v/>
      </c>
      <c r="AA389" s="39" t="str">
        <f t="shared" si="133"/>
        <v/>
      </c>
      <c r="AB389" s="40" t="str">
        <f>IF(OR(L389="",V389=0),"",IF(AND(N(I389)&gt;0,N(INDEX('02-شباط'!$I$2:$I$501,V389))&gt;0,INDEX('02-شباط'!$F$2:$F$501,V389)=F389),N(I389)/N(INDEX('02-شباط'!$I$2:$I$501,V389))-1,""))</f>
        <v/>
      </c>
      <c r="AC389" t="str">
        <f>IF(L389="","",IF(AND($AO$2=1,ISNA(MATCH(L389,'04-نيسان'!$L$2:$L$501,0))),"محذوف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IF(L390="","",IF($AO$1=1,IFERROR(MATCH(L390,'02-شباط'!$L$2:$L$501,0),0),0))</f>
        <v/>
      </c>
      <c r="W390" t="str">
        <f t="shared" si="131"/>
        <v/>
      </c>
      <c r="X390" s="38" t="str">
        <f>IF(L390="","",IF(V390&gt;0,INDEX('02-شباط'!$P$2:$P$501,V390),IF($AO$1=1,0,"")))</f>
        <v/>
      </c>
      <c r="Y390" s="38" t="str">
        <f t="shared" si="132"/>
        <v/>
      </c>
      <c r="Z390" s="39" t="str">
        <f>IF(L390="","",IF(V390&gt;0,INDEX('02-شباط'!$Q$2:$Q$501,V390),IF($AO$1=1,0,"")))</f>
        <v/>
      </c>
      <c r="AA390" s="39" t="str">
        <f t="shared" si="133"/>
        <v/>
      </c>
      <c r="AB390" s="40" t="str">
        <f>IF(OR(L390="",V390=0),"",IF(AND(N(I390)&gt;0,N(INDEX('02-شباط'!$I$2:$I$501,V390))&gt;0,INDEX('02-شباط'!$F$2:$F$501,V390)=F390),N(I390)/N(INDEX('02-شباط'!$I$2:$I$501,V390))-1,""))</f>
        <v/>
      </c>
      <c r="AC390" t="str">
        <f>IF(L390="","",IF(AND($AO$2=1,ISNA(MATCH(L390,'04-نيسان'!$L$2:$L$501,0))),"محذوف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IF(L391="","",IF($AO$1=1,IFERROR(MATCH(L391,'02-شباط'!$L$2:$L$501,0),0),0))</f>
        <v/>
      </c>
      <c r="W391" t="str">
        <f t="shared" si="131"/>
        <v/>
      </c>
      <c r="X391" s="38" t="str">
        <f>IF(L391="","",IF(V391&gt;0,INDEX('02-شباط'!$P$2:$P$501,V391),IF($AO$1=1,0,"")))</f>
        <v/>
      </c>
      <c r="Y391" s="38" t="str">
        <f t="shared" si="132"/>
        <v/>
      </c>
      <c r="Z391" s="39" t="str">
        <f>IF(L391="","",IF(V391&gt;0,INDEX('02-شباط'!$Q$2:$Q$501,V391),IF($AO$1=1,0,"")))</f>
        <v/>
      </c>
      <c r="AA391" s="39" t="str">
        <f t="shared" si="133"/>
        <v/>
      </c>
      <c r="AB391" s="40" t="str">
        <f>IF(OR(L391="",V391=0),"",IF(AND(N(I391)&gt;0,N(INDEX('02-شباط'!$I$2:$I$501,V391))&gt;0,INDEX('02-شباط'!$F$2:$F$501,V391)=F391),N(I391)/N(INDEX('02-شباط'!$I$2:$I$501,V391))-1,""))</f>
        <v/>
      </c>
      <c r="AC391" t="str">
        <f>IF(L391="","",IF(AND($AO$2=1,ISNA(MATCH(L391,'04-نيسان'!$L$2:$L$501,0))),"محذوف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IF(L392="","",IF($AO$1=1,IFERROR(MATCH(L392,'02-شباط'!$L$2:$L$501,0),0),0))</f>
        <v/>
      </c>
      <c r="W392" t="str">
        <f t="shared" si="131"/>
        <v/>
      </c>
      <c r="X392" s="38" t="str">
        <f>IF(L392="","",IF(V392&gt;0,INDEX('02-شباط'!$P$2:$P$501,V392),IF($AO$1=1,0,"")))</f>
        <v/>
      </c>
      <c r="Y392" s="38" t="str">
        <f t="shared" si="132"/>
        <v/>
      </c>
      <c r="Z392" s="39" t="str">
        <f>IF(L392="","",IF(V392&gt;0,INDEX('02-شباط'!$Q$2:$Q$501,V392),IF($AO$1=1,0,"")))</f>
        <v/>
      </c>
      <c r="AA392" s="39" t="str">
        <f t="shared" si="133"/>
        <v/>
      </c>
      <c r="AB392" s="40" t="str">
        <f>IF(OR(L392="",V392=0),"",IF(AND(N(I392)&gt;0,N(INDEX('02-شباط'!$I$2:$I$501,V392))&gt;0,INDEX('02-شباط'!$F$2:$F$501,V392)=F392),N(I392)/N(INDEX('02-شباط'!$I$2:$I$501,V392))-1,""))</f>
        <v/>
      </c>
      <c r="AC392" t="str">
        <f>IF(L392="","",IF(AND($AO$2=1,ISNA(MATCH(L392,'04-نيسان'!$L$2:$L$501,0))),"محذوف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IF(L393="","",IF($AO$1=1,IFERROR(MATCH(L393,'02-شباط'!$L$2:$L$501,0),0),0))</f>
        <v/>
      </c>
      <c r="W393" t="str">
        <f t="shared" si="131"/>
        <v/>
      </c>
      <c r="X393" s="38" t="str">
        <f>IF(L393="","",IF(V393&gt;0,INDEX('02-شباط'!$P$2:$P$501,V393),IF($AO$1=1,0,"")))</f>
        <v/>
      </c>
      <c r="Y393" s="38" t="str">
        <f t="shared" si="132"/>
        <v/>
      </c>
      <c r="Z393" s="39" t="str">
        <f>IF(L393="","",IF(V393&gt;0,INDEX('02-شباط'!$Q$2:$Q$501,V393),IF($AO$1=1,0,"")))</f>
        <v/>
      </c>
      <c r="AA393" s="39" t="str">
        <f t="shared" si="133"/>
        <v/>
      </c>
      <c r="AB393" s="40" t="str">
        <f>IF(OR(L393="",V393=0),"",IF(AND(N(I393)&gt;0,N(INDEX('02-شباط'!$I$2:$I$501,V393))&gt;0,INDEX('02-شباط'!$F$2:$F$501,V393)=F393),N(I393)/N(INDEX('02-شباط'!$I$2:$I$501,V393))-1,""))</f>
        <v/>
      </c>
      <c r="AC393" t="str">
        <f>IF(L393="","",IF(AND($AO$2=1,ISNA(MATCH(L393,'04-نيسان'!$L$2:$L$501,0))),"محذوف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IF(L394="","",IF($AO$1=1,IFERROR(MATCH(L394,'02-شباط'!$L$2:$L$501,0),0),0))</f>
        <v/>
      </c>
      <c r="W394" t="str">
        <f t="shared" si="131"/>
        <v/>
      </c>
      <c r="X394" s="38" t="str">
        <f>IF(L394="","",IF(V394&gt;0,INDEX('02-شباط'!$P$2:$P$501,V394),IF($AO$1=1,0,"")))</f>
        <v/>
      </c>
      <c r="Y394" s="38" t="str">
        <f t="shared" si="132"/>
        <v/>
      </c>
      <c r="Z394" s="39" t="str">
        <f>IF(L394="","",IF(V394&gt;0,INDEX('02-شباط'!$Q$2:$Q$501,V394),IF($AO$1=1,0,"")))</f>
        <v/>
      </c>
      <c r="AA394" s="39" t="str">
        <f t="shared" si="133"/>
        <v/>
      </c>
      <c r="AB394" s="40" t="str">
        <f>IF(OR(L394="",V394=0),"",IF(AND(N(I394)&gt;0,N(INDEX('02-شباط'!$I$2:$I$501,V394))&gt;0,INDEX('02-شباط'!$F$2:$F$501,V394)=F394),N(I394)/N(INDEX('02-شباط'!$I$2:$I$501,V394))-1,""))</f>
        <v/>
      </c>
      <c r="AC394" t="str">
        <f>IF(L394="","",IF(AND($AO$2=1,ISNA(MATCH(L394,'04-نيسان'!$L$2:$L$501,0))),"محذوف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IF(L395="","",IF($AO$1=1,IFERROR(MATCH(L395,'02-شباط'!$L$2:$L$501,0),0),0))</f>
        <v/>
      </c>
      <c r="W395" t="str">
        <f t="shared" si="131"/>
        <v/>
      </c>
      <c r="X395" s="38" t="str">
        <f>IF(L395="","",IF(V395&gt;0,INDEX('02-شباط'!$P$2:$P$501,V395),IF($AO$1=1,0,"")))</f>
        <v/>
      </c>
      <c r="Y395" s="38" t="str">
        <f t="shared" si="132"/>
        <v/>
      </c>
      <c r="Z395" s="39" t="str">
        <f>IF(L395="","",IF(V395&gt;0,INDEX('02-شباط'!$Q$2:$Q$501,V395),IF($AO$1=1,0,"")))</f>
        <v/>
      </c>
      <c r="AA395" s="39" t="str">
        <f t="shared" si="133"/>
        <v/>
      </c>
      <c r="AB395" s="40" t="str">
        <f>IF(OR(L395="",V395=0),"",IF(AND(N(I395)&gt;0,N(INDEX('02-شباط'!$I$2:$I$501,V395))&gt;0,INDEX('02-شباط'!$F$2:$F$501,V395)=F395),N(I395)/N(INDEX('02-شباط'!$I$2:$I$501,V395))-1,""))</f>
        <v/>
      </c>
      <c r="AC395" t="str">
        <f>IF(L395="","",IF(AND($AO$2=1,ISNA(MATCH(L395,'04-نيسان'!$L$2:$L$501,0))),"محذوف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IF(L396="","",IF($AO$1=1,IFERROR(MATCH(L396,'02-شباط'!$L$2:$L$501,0),0),0))</f>
        <v/>
      </c>
      <c r="W396" t="str">
        <f t="shared" si="131"/>
        <v/>
      </c>
      <c r="X396" s="38" t="str">
        <f>IF(L396="","",IF(V396&gt;0,INDEX('02-شباط'!$P$2:$P$501,V396),IF($AO$1=1,0,"")))</f>
        <v/>
      </c>
      <c r="Y396" s="38" t="str">
        <f t="shared" si="132"/>
        <v/>
      </c>
      <c r="Z396" s="39" t="str">
        <f>IF(L396="","",IF(V396&gt;0,INDEX('02-شباط'!$Q$2:$Q$501,V396),IF($AO$1=1,0,"")))</f>
        <v/>
      </c>
      <c r="AA396" s="39" t="str">
        <f t="shared" si="133"/>
        <v/>
      </c>
      <c r="AB396" s="40" t="str">
        <f>IF(OR(L396="",V396=0),"",IF(AND(N(I396)&gt;0,N(INDEX('02-شباط'!$I$2:$I$501,V396))&gt;0,INDEX('02-شباط'!$F$2:$F$501,V396)=F396),N(I396)/N(INDEX('02-شباط'!$I$2:$I$501,V396))-1,""))</f>
        <v/>
      </c>
      <c r="AC396" t="str">
        <f>IF(L396="","",IF(AND($AO$2=1,ISNA(MATCH(L396,'04-نيسان'!$L$2:$L$501,0))),"محذوف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IF(L397="","",IF($AO$1=1,IFERROR(MATCH(L397,'02-شباط'!$L$2:$L$501,0),0),0))</f>
        <v/>
      </c>
      <c r="W397" t="str">
        <f t="shared" si="131"/>
        <v/>
      </c>
      <c r="X397" s="38" t="str">
        <f>IF(L397="","",IF(V397&gt;0,INDEX('02-شباط'!$P$2:$P$501,V397),IF($AO$1=1,0,"")))</f>
        <v/>
      </c>
      <c r="Y397" s="38" t="str">
        <f t="shared" si="132"/>
        <v/>
      </c>
      <c r="Z397" s="39" t="str">
        <f>IF(L397="","",IF(V397&gt;0,INDEX('02-شباط'!$Q$2:$Q$501,V397),IF($AO$1=1,0,"")))</f>
        <v/>
      </c>
      <c r="AA397" s="39" t="str">
        <f t="shared" si="133"/>
        <v/>
      </c>
      <c r="AB397" s="40" t="str">
        <f>IF(OR(L397="",V397=0),"",IF(AND(N(I397)&gt;0,N(INDEX('02-شباط'!$I$2:$I$501,V397))&gt;0,INDEX('02-شباط'!$F$2:$F$501,V397)=F397),N(I397)/N(INDEX('02-شباط'!$I$2:$I$501,V397))-1,""))</f>
        <v/>
      </c>
      <c r="AC397" t="str">
        <f>IF(L397="","",IF(AND($AO$2=1,ISNA(MATCH(L397,'04-نيسان'!$L$2:$L$501,0))),"محذوف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IF(L398="","",IF($AO$1=1,IFERROR(MATCH(L398,'02-شباط'!$L$2:$L$501,0),0),0))</f>
        <v/>
      </c>
      <c r="W398" t="str">
        <f t="shared" si="131"/>
        <v/>
      </c>
      <c r="X398" s="38" t="str">
        <f>IF(L398="","",IF(V398&gt;0,INDEX('02-شباط'!$P$2:$P$501,V398),IF($AO$1=1,0,"")))</f>
        <v/>
      </c>
      <c r="Y398" s="38" t="str">
        <f t="shared" si="132"/>
        <v/>
      </c>
      <c r="Z398" s="39" t="str">
        <f>IF(L398="","",IF(V398&gt;0,INDEX('02-شباط'!$Q$2:$Q$501,V398),IF($AO$1=1,0,"")))</f>
        <v/>
      </c>
      <c r="AA398" s="39" t="str">
        <f t="shared" si="133"/>
        <v/>
      </c>
      <c r="AB398" s="40" t="str">
        <f>IF(OR(L398="",V398=0),"",IF(AND(N(I398)&gt;0,N(INDEX('02-شباط'!$I$2:$I$501,V398))&gt;0,INDEX('02-شباط'!$F$2:$F$501,V398)=F398),N(I398)/N(INDEX('02-شباط'!$I$2:$I$501,V398))-1,""))</f>
        <v/>
      </c>
      <c r="AC398" t="str">
        <f>IF(L398="","",IF(AND($AO$2=1,ISNA(MATCH(L398,'04-نيسان'!$L$2:$L$501,0))),"محذوف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IF(L399="","",IF($AO$1=1,IFERROR(MATCH(L399,'02-شباط'!$L$2:$L$501,0),0),0))</f>
        <v/>
      </c>
      <c r="W399" t="str">
        <f t="shared" si="131"/>
        <v/>
      </c>
      <c r="X399" s="38" t="str">
        <f>IF(L399="","",IF(V399&gt;0,INDEX('02-شباط'!$P$2:$P$501,V399),IF($AO$1=1,0,"")))</f>
        <v/>
      </c>
      <c r="Y399" s="38" t="str">
        <f t="shared" si="132"/>
        <v/>
      </c>
      <c r="Z399" s="39" t="str">
        <f>IF(L399="","",IF(V399&gt;0,INDEX('02-شباط'!$Q$2:$Q$501,V399),IF($AO$1=1,0,"")))</f>
        <v/>
      </c>
      <c r="AA399" s="39" t="str">
        <f t="shared" si="133"/>
        <v/>
      </c>
      <c r="AB399" s="40" t="str">
        <f>IF(OR(L399="",V399=0),"",IF(AND(N(I399)&gt;0,N(INDEX('02-شباط'!$I$2:$I$501,V399))&gt;0,INDEX('02-شباط'!$F$2:$F$501,V399)=F399),N(I399)/N(INDEX('02-شباط'!$I$2:$I$501,V399))-1,""))</f>
        <v/>
      </c>
      <c r="AC399" t="str">
        <f>IF(L399="","",IF(AND($AO$2=1,ISNA(MATCH(L399,'04-نيسان'!$L$2:$L$501,0))),"محذوف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IF(L400="","",IF($AO$1=1,IFERROR(MATCH(L400,'02-شباط'!$L$2:$L$501,0),0),0))</f>
        <v/>
      </c>
      <c r="W400" t="str">
        <f t="shared" si="131"/>
        <v/>
      </c>
      <c r="X400" s="38" t="str">
        <f>IF(L400="","",IF(V400&gt;0,INDEX('02-شباط'!$P$2:$P$501,V400),IF($AO$1=1,0,"")))</f>
        <v/>
      </c>
      <c r="Y400" s="38" t="str">
        <f t="shared" si="132"/>
        <v/>
      </c>
      <c r="Z400" s="39" t="str">
        <f>IF(L400="","",IF(V400&gt;0,INDEX('02-شباط'!$Q$2:$Q$501,V400),IF($AO$1=1,0,"")))</f>
        <v/>
      </c>
      <c r="AA400" s="39" t="str">
        <f t="shared" si="133"/>
        <v/>
      </c>
      <c r="AB400" s="40" t="str">
        <f>IF(OR(L400="",V400=0),"",IF(AND(N(I400)&gt;0,N(INDEX('02-شباط'!$I$2:$I$501,V400))&gt;0,INDEX('02-شباط'!$F$2:$F$501,V400)=F400),N(I400)/N(INDEX('02-شباط'!$I$2:$I$501,V400))-1,""))</f>
        <v/>
      </c>
      <c r="AC400" t="str">
        <f>IF(L400="","",IF(AND($AO$2=1,ISNA(MATCH(L400,'04-نيسان'!$L$2:$L$501,0))),"محذوف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IF(L401="","",IF($AO$1=1,IFERROR(MATCH(L401,'02-شباط'!$L$2:$L$501,0),0),0))</f>
        <v/>
      </c>
      <c r="W401" t="str">
        <f t="shared" si="131"/>
        <v/>
      </c>
      <c r="X401" s="38" t="str">
        <f>IF(L401="","",IF(V401&gt;0,INDEX('02-شباط'!$P$2:$P$501,V401),IF($AO$1=1,0,"")))</f>
        <v/>
      </c>
      <c r="Y401" s="38" t="str">
        <f t="shared" si="132"/>
        <v/>
      </c>
      <c r="Z401" s="39" t="str">
        <f>IF(L401="","",IF(V401&gt;0,INDEX('02-شباط'!$Q$2:$Q$501,V401),IF($AO$1=1,0,"")))</f>
        <v/>
      </c>
      <c r="AA401" s="39" t="str">
        <f t="shared" si="133"/>
        <v/>
      </c>
      <c r="AB401" s="40" t="str">
        <f>IF(OR(L401="",V401=0),"",IF(AND(N(I401)&gt;0,N(INDEX('02-شباط'!$I$2:$I$501,V401))&gt;0,INDEX('02-شباط'!$F$2:$F$501,V401)=F401),N(I401)/N(INDEX('02-شباط'!$I$2:$I$501,V401))-1,""))</f>
        <v/>
      </c>
      <c r="AC401" t="str">
        <f>IF(L401="","",IF(AND($AO$2=1,ISNA(MATCH(L401,'04-نيسان'!$L$2:$L$501,0))),"محذوف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IF(L402="","",IF($AO$1=1,IFERROR(MATCH(L402,'02-شباط'!$L$2:$L$501,0),0),0))</f>
        <v/>
      </c>
      <c r="W402" t="str">
        <f t="shared" si="131"/>
        <v/>
      </c>
      <c r="X402" s="38" t="str">
        <f>IF(L402="","",IF(V402&gt;0,INDEX('02-شباط'!$P$2:$P$501,V402),IF($AO$1=1,0,"")))</f>
        <v/>
      </c>
      <c r="Y402" s="38" t="str">
        <f t="shared" si="132"/>
        <v/>
      </c>
      <c r="Z402" s="39" t="str">
        <f>IF(L402="","",IF(V402&gt;0,INDEX('02-شباط'!$Q$2:$Q$501,V402),IF($AO$1=1,0,"")))</f>
        <v/>
      </c>
      <c r="AA402" s="39" t="str">
        <f t="shared" si="133"/>
        <v/>
      </c>
      <c r="AB402" s="40" t="str">
        <f>IF(OR(L402="",V402=0),"",IF(AND(N(I402)&gt;0,N(INDEX('02-شباط'!$I$2:$I$501,V402))&gt;0,INDEX('02-شباط'!$F$2:$F$501,V402)=F402),N(I402)/N(INDEX('02-شباط'!$I$2:$I$501,V402))-1,""))</f>
        <v/>
      </c>
      <c r="AC402" t="str">
        <f>IF(L402="","",IF(AND($AO$2=1,ISNA(MATCH(L402,'04-نيسان'!$L$2:$L$501,0))),"محذوف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IF(L403="","",IF($AO$1=1,IFERROR(MATCH(L403,'02-شباط'!$L$2:$L$501,0),0),0))</f>
        <v/>
      </c>
      <c r="W403" t="str">
        <f t="shared" si="131"/>
        <v/>
      </c>
      <c r="X403" s="38" t="str">
        <f>IF(L403="","",IF(V403&gt;0,INDEX('02-شباط'!$P$2:$P$501,V403),IF($AO$1=1,0,"")))</f>
        <v/>
      </c>
      <c r="Y403" s="38" t="str">
        <f t="shared" si="132"/>
        <v/>
      </c>
      <c r="Z403" s="39" t="str">
        <f>IF(L403="","",IF(V403&gt;0,INDEX('02-شباط'!$Q$2:$Q$501,V403),IF($AO$1=1,0,"")))</f>
        <v/>
      </c>
      <c r="AA403" s="39" t="str">
        <f t="shared" si="133"/>
        <v/>
      </c>
      <c r="AB403" s="40" t="str">
        <f>IF(OR(L403="",V403=0),"",IF(AND(N(I403)&gt;0,N(INDEX('02-شباط'!$I$2:$I$501,V403))&gt;0,INDEX('02-شباط'!$F$2:$F$501,V403)=F403),N(I403)/N(INDEX('02-شباط'!$I$2:$I$501,V403))-1,""))</f>
        <v/>
      </c>
      <c r="AC403" t="str">
        <f>IF(L403="","",IF(AND($AO$2=1,ISNA(MATCH(L403,'04-نيسان'!$L$2:$L$501,0))),"محذوف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IF(L404="","",IF($AO$1=1,IFERROR(MATCH(L404,'02-شباط'!$L$2:$L$501,0),0),0))</f>
        <v/>
      </c>
      <c r="W404" t="str">
        <f t="shared" si="131"/>
        <v/>
      </c>
      <c r="X404" s="38" t="str">
        <f>IF(L404="","",IF(V404&gt;0,INDEX('02-شباط'!$P$2:$P$501,V404),IF($AO$1=1,0,"")))</f>
        <v/>
      </c>
      <c r="Y404" s="38" t="str">
        <f t="shared" si="132"/>
        <v/>
      </c>
      <c r="Z404" s="39" t="str">
        <f>IF(L404="","",IF(V404&gt;0,INDEX('02-شباط'!$Q$2:$Q$501,V404),IF($AO$1=1,0,"")))</f>
        <v/>
      </c>
      <c r="AA404" s="39" t="str">
        <f t="shared" si="133"/>
        <v/>
      </c>
      <c r="AB404" s="40" t="str">
        <f>IF(OR(L404="",V404=0),"",IF(AND(N(I404)&gt;0,N(INDEX('02-شباط'!$I$2:$I$501,V404))&gt;0,INDEX('02-شباط'!$F$2:$F$501,V404)=F404),N(I404)/N(INDEX('02-شباط'!$I$2:$I$501,V404))-1,""))</f>
        <v/>
      </c>
      <c r="AC404" t="str">
        <f>IF(L404="","",IF(AND($AO$2=1,ISNA(MATCH(L404,'04-نيسان'!$L$2:$L$501,0))),"محذوف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IF(L405="","",IF($AO$1=1,IFERROR(MATCH(L405,'02-شباط'!$L$2:$L$501,0),0),0))</f>
        <v/>
      </c>
      <c r="W405" t="str">
        <f t="shared" si="131"/>
        <v/>
      </c>
      <c r="X405" s="38" t="str">
        <f>IF(L405="","",IF(V405&gt;0,INDEX('02-شباط'!$P$2:$P$501,V405),IF($AO$1=1,0,"")))</f>
        <v/>
      </c>
      <c r="Y405" s="38" t="str">
        <f t="shared" si="132"/>
        <v/>
      </c>
      <c r="Z405" s="39" t="str">
        <f>IF(L405="","",IF(V405&gt;0,INDEX('02-شباط'!$Q$2:$Q$501,V405),IF($AO$1=1,0,"")))</f>
        <v/>
      </c>
      <c r="AA405" s="39" t="str">
        <f t="shared" si="133"/>
        <v/>
      </c>
      <c r="AB405" s="40" t="str">
        <f>IF(OR(L405="",V405=0),"",IF(AND(N(I405)&gt;0,N(INDEX('02-شباط'!$I$2:$I$501,V405))&gt;0,INDEX('02-شباط'!$F$2:$F$501,V405)=F405),N(I405)/N(INDEX('02-شباط'!$I$2:$I$501,V405))-1,""))</f>
        <v/>
      </c>
      <c r="AC405" t="str">
        <f>IF(L405="","",IF(AND($AO$2=1,ISNA(MATCH(L405,'04-نيسان'!$L$2:$L$501,0))),"محذوف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IF(L406="","",IF($AO$1=1,IFERROR(MATCH(L406,'02-شباط'!$L$2:$L$501,0),0),0))</f>
        <v/>
      </c>
      <c r="W406" t="str">
        <f t="shared" si="131"/>
        <v/>
      </c>
      <c r="X406" s="38" t="str">
        <f>IF(L406="","",IF(V406&gt;0,INDEX('02-شباط'!$P$2:$P$501,V406),IF($AO$1=1,0,"")))</f>
        <v/>
      </c>
      <c r="Y406" s="38" t="str">
        <f t="shared" si="132"/>
        <v/>
      </c>
      <c r="Z406" s="39" t="str">
        <f>IF(L406="","",IF(V406&gt;0,INDEX('02-شباط'!$Q$2:$Q$501,V406),IF($AO$1=1,0,"")))</f>
        <v/>
      </c>
      <c r="AA406" s="39" t="str">
        <f t="shared" si="133"/>
        <v/>
      </c>
      <c r="AB406" s="40" t="str">
        <f>IF(OR(L406="",V406=0),"",IF(AND(N(I406)&gt;0,N(INDEX('02-شباط'!$I$2:$I$501,V406))&gt;0,INDEX('02-شباط'!$F$2:$F$501,V406)=F406),N(I406)/N(INDEX('02-شباط'!$I$2:$I$501,V406))-1,""))</f>
        <v/>
      </c>
      <c r="AC406" t="str">
        <f>IF(L406="","",IF(AND($AO$2=1,ISNA(MATCH(L406,'04-نيسان'!$L$2:$L$501,0))),"محذوف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IF(L407="","",IF($AO$1=1,IFERROR(MATCH(L407,'02-شباط'!$L$2:$L$501,0),0),0))</f>
        <v/>
      </c>
      <c r="W407" t="str">
        <f t="shared" si="131"/>
        <v/>
      </c>
      <c r="X407" s="38" t="str">
        <f>IF(L407="","",IF(V407&gt;0,INDEX('02-شباط'!$P$2:$P$501,V407),IF($AO$1=1,0,"")))</f>
        <v/>
      </c>
      <c r="Y407" s="38" t="str">
        <f t="shared" si="132"/>
        <v/>
      </c>
      <c r="Z407" s="39" t="str">
        <f>IF(L407="","",IF(V407&gt;0,INDEX('02-شباط'!$Q$2:$Q$501,V407),IF($AO$1=1,0,"")))</f>
        <v/>
      </c>
      <c r="AA407" s="39" t="str">
        <f t="shared" si="133"/>
        <v/>
      </c>
      <c r="AB407" s="40" t="str">
        <f>IF(OR(L407="",V407=0),"",IF(AND(N(I407)&gt;0,N(INDEX('02-شباط'!$I$2:$I$501,V407))&gt;0,INDEX('02-شباط'!$F$2:$F$501,V407)=F407),N(I407)/N(INDEX('02-شباط'!$I$2:$I$501,V407))-1,""))</f>
        <v/>
      </c>
      <c r="AC407" t="str">
        <f>IF(L407="","",IF(AND($AO$2=1,ISNA(MATCH(L407,'04-نيسان'!$L$2:$L$501,0))),"محذوف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IF(L408="","",IF($AO$1=1,IFERROR(MATCH(L408,'02-شباط'!$L$2:$L$501,0),0),0))</f>
        <v/>
      </c>
      <c r="W408" t="str">
        <f t="shared" si="131"/>
        <v/>
      </c>
      <c r="X408" s="38" t="str">
        <f>IF(L408="","",IF(V408&gt;0,INDEX('02-شباط'!$P$2:$P$501,V408),IF($AO$1=1,0,"")))</f>
        <v/>
      </c>
      <c r="Y408" s="38" t="str">
        <f t="shared" si="132"/>
        <v/>
      </c>
      <c r="Z408" s="39" t="str">
        <f>IF(L408="","",IF(V408&gt;0,INDEX('02-شباط'!$Q$2:$Q$501,V408),IF($AO$1=1,0,"")))</f>
        <v/>
      </c>
      <c r="AA408" s="39" t="str">
        <f t="shared" si="133"/>
        <v/>
      </c>
      <c r="AB408" s="40" t="str">
        <f>IF(OR(L408="",V408=0),"",IF(AND(N(I408)&gt;0,N(INDEX('02-شباط'!$I$2:$I$501,V408))&gt;0,INDEX('02-شباط'!$F$2:$F$501,V408)=F408),N(I408)/N(INDEX('02-شباط'!$I$2:$I$501,V408))-1,""))</f>
        <v/>
      </c>
      <c r="AC408" t="str">
        <f>IF(L408="","",IF(AND($AO$2=1,ISNA(MATCH(L408,'04-نيسان'!$L$2:$L$501,0))),"محذوف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IF(L409="","",IF($AO$1=1,IFERROR(MATCH(L409,'02-شباط'!$L$2:$L$501,0),0),0))</f>
        <v/>
      </c>
      <c r="W409" t="str">
        <f t="shared" si="131"/>
        <v/>
      </c>
      <c r="X409" s="38" t="str">
        <f>IF(L409="","",IF(V409&gt;0,INDEX('02-شباط'!$P$2:$P$501,V409),IF($AO$1=1,0,"")))</f>
        <v/>
      </c>
      <c r="Y409" s="38" t="str">
        <f t="shared" si="132"/>
        <v/>
      </c>
      <c r="Z409" s="39" t="str">
        <f>IF(L409="","",IF(V409&gt;0,INDEX('02-شباط'!$Q$2:$Q$501,V409),IF($AO$1=1,0,"")))</f>
        <v/>
      </c>
      <c r="AA409" s="39" t="str">
        <f t="shared" si="133"/>
        <v/>
      </c>
      <c r="AB409" s="40" t="str">
        <f>IF(OR(L409="",V409=0),"",IF(AND(N(I409)&gt;0,N(INDEX('02-شباط'!$I$2:$I$501,V409))&gt;0,INDEX('02-شباط'!$F$2:$F$501,V409)=F409),N(I409)/N(INDEX('02-شباط'!$I$2:$I$501,V409))-1,""))</f>
        <v/>
      </c>
      <c r="AC409" t="str">
        <f>IF(L409="","",IF(AND($AO$2=1,ISNA(MATCH(L409,'04-نيسان'!$L$2:$L$501,0))),"محذوف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IF(L410="","",IF($AO$1=1,IFERROR(MATCH(L410,'02-شباط'!$L$2:$L$501,0),0),0))</f>
        <v/>
      </c>
      <c r="W410" t="str">
        <f t="shared" si="131"/>
        <v/>
      </c>
      <c r="X410" s="38" t="str">
        <f>IF(L410="","",IF(V410&gt;0,INDEX('02-شباط'!$P$2:$P$501,V410),IF($AO$1=1,0,"")))</f>
        <v/>
      </c>
      <c r="Y410" s="38" t="str">
        <f t="shared" si="132"/>
        <v/>
      </c>
      <c r="Z410" s="39" t="str">
        <f>IF(L410="","",IF(V410&gt;0,INDEX('02-شباط'!$Q$2:$Q$501,V410),IF($AO$1=1,0,"")))</f>
        <v/>
      </c>
      <c r="AA410" s="39" t="str">
        <f t="shared" si="133"/>
        <v/>
      </c>
      <c r="AB410" s="40" t="str">
        <f>IF(OR(L410="",V410=0),"",IF(AND(N(I410)&gt;0,N(INDEX('02-شباط'!$I$2:$I$501,V410))&gt;0,INDEX('02-شباط'!$F$2:$F$501,V410)=F410),N(I410)/N(INDEX('02-شباط'!$I$2:$I$501,V410))-1,""))</f>
        <v/>
      </c>
      <c r="AC410" t="str">
        <f>IF(L410="","",IF(AND($AO$2=1,ISNA(MATCH(L410,'04-نيسان'!$L$2:$L$501,0))),"محذوف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IF(L411="","",IF($AO$1=1,IFERROR(MATCH(L411,'02-شباط'!$L$2:$L$501,0),0),0))</f>
        <v/>
      </c>
      <c r="W411" t="str">
        <f t="shared" si="131"/>
        <v/>
      </c>
      <c r="X411" s="38" t="str">
        <f>IF(L411="","",IF(V411&gt;0,INDEX('02-شباط'!$P$2:$P$501,V411),IF($AO$1=1,0,"")))</f>
        <v/>
      </c>
      <c r="Y411" s="38" t="str">
        <f t="shared" si="132"/>
        <v/>
      </c>
      <c r="Z411" s="39" t="str">
        <f>IF(L411="","",IF(V411&gt;0,INDEX('02-شباط'!$Q$2:$Q$501,V411),IF($AO$1=1,0,"")))</f>
        <v/>
      </c>
      <c r="AA411" s="39" t="str">
        <f t="shared" si="133"/>
        <v/>
      </c>
      <c r="AB411" s="40" t="str">
        <f>IF(OR(L411="",V411=0),"",IF(AND(N(I411)&gt;0,N(INDEX('02-شباط'!$I$2:$I$501,V411))&gt;0,INDEX('02-شباط'!$F$2:$F$501,V411)=F411),N(I411)/N(INDEX('02-شباط'!$I$2:$I$501,V411))-1,""))</f>
        <v/>
      </c>
      <c r="AC411" t="str">
        <f>IF(L411="","",IF(AND($AO$2=1,ISNA(MATCH(L411,'04-نيسان'!$L$2:$L$501,0))),"محذوف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IF(L412="","",IF($AO$1=1,IFERROR(MATCH(L412,'02-شباط'!$L$2:$L$501,0),0),0))</f>
        <v/>
      </c>
      <c r="W412" t="str">
        <f t="shared" si="131"/>
        <v/>
      </c>
      <c r="X412" s="38" t="str">
        <f>IF(L412="","",IF(V412&gt;0,INDEX('02-شباط'!$P$2:$P$501,V412),IF($AO$1=1,0,"")))</f>
        <v/>
      </c>
      <c r="Y412" s="38" t="str">
        <f t="shared" si="132"/>
        <v/>
      </c>
      <c r="Z412" s="39" t="str">
        <f>IF(L412="","",IF(V412&gt;0,INDEX('02-شباط'!$Q$2:$Q$501,V412),IF($AO$1=1,0,"")))</f>
        <v/>
      </c>
      <c r="AA412" s="39" t="str">
        <f t="shared" si="133"/>
        <v/>
      </c>
      <c r="AB412" s="40" t="str">
        <f>IF(OR(L412="",V412=0),"",IF(AND(N(I412)&gt;0,N(INDEX('02-شباط'!$I$2:$I$501,V412))&gt;0,INDEX('02-شباط'!$F$2:$F$501,V412)=F412),N(I412)/N(INDEX('02-شباط'!$I$2:$I$501,V412))-1,""))</f>
        <v/>
      </c>
      <c r="AC412" t="str">
        <f>IF(L412="","",IF(AND($AO$2=1,ISNA(MATCH(L412,'04-نيسان'!$L$2:$L$501,0))),"محذوف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IF(L413="","",IF($AO$1=1,IFERROR(MATCH(L413,'02-شباط'!$L$2:$L$501,0),0),0))</f>
        <v/>
      </c>
      <c r="W413" t="str">
        <f t="shared" si="131"/>
        <v/>
      </c>
      <c r="X413" s="38" t="str">
        <f>IF(L413="","",IF(V413&gt;0,INDEX('02-شباط'!$P$2:$P$501,V413),IF($AO$1=1,0,"")))</f>
        <v/>
      </c>
      <c r="Y413" s="38" t="str">
        <f t="shared" si="132"/>
        <v/>
      </c>
      <c r="Z413" s="39" t="str">
        <f>IF(L413="","",IF(V413&gt;0,INDEX('02-شباط'!$Q$2:$Q$501,V413),IF($AO$1=1,0,"")))</f>
        <v/>
      </c>
      <c r="AA413" s="39" t="str">
        <f t="shared" si="133"/>
        <v/>
      </c>
      <c r="AB413" s="40" t="str">
        <f>IF(OR(L413="",V413=0),"",IF(AND(N(I413)&gt;0,N(INDEX('02-شباط'!$I$2:$I$501,V413))&gt;0,INDEX('02-شباط'!$F$2:$F$501,V413)=F413),N(I413)/N(INDEX('02-شباط'!$I$2:$I$501,V413))-1,""))</f>
        <v/>
      </c>
      <c r="AC413" t="str">
        <f>IF(L413="","",IF(AND($AO$2=1,ISNA(MATCH(L413,'04-نيسان'!$L$2:$L$501,0))),"محذوف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IF(L414="","",IF($AO$1=1,IFERROR(MATCH(L414,'02-شباط'!$L$2:$L$501,0),0),0))</f>
        <v/>
      </c>
      <c r="W414" t="str">
        <f t="shared" si="131"/>
        <v/>
      </c>
      <c r="X414" s="38" t="str">
        <f>IF(L414="","",IF(V414&gt;0,INDEX('02-شباط'!$P$2:$P$501,V414),IF($AO$1=1,0,"")))</f>
        <v/>
      </c>
      <c r="Y414" s="38" t="str">
        <f t="shared" si="132"/>
        <v/>
      </c>
      <c r="Z414" s="39" t="str">
        <f>IF(L414="","",IF(V414&gt;0,INDEX('02-شباط'!$Q$2:$Q$501,V414),IF($AO$1=1,0,"")))</f>
        <v/>
      </c>
      <c r="AA414" s="39" t="str">
        <f t="shared" si="133"/>
        <v/>
      </c>
      <c r="AB414" s="40" t="str">
        <f>IF(OR(L414="",V414=0),"",IF(AND(N(I414)&gt;0,N(INDEX('02-شباط'!$I$2:$I$501,V414))&gt;0,INDEX('02-شباط'!$F$2:$F$501,V414)=F414),N(I414)/N(INDEX('02-شباط'!$I$2:$I$501,V414))-1,""))</f>
        <v/>
      </c>
      <c r="AC414" t="str">
        <f>IF(L414="","",IF(AND($AO$2=1,ISNA(MATCH(L414,'04-نيسان'!$L$2:$L$501,0))),"محذوف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IF(L415="","",IF($AO$1=1,IFERROR(MATCH(L415,'02-شباط'!$L$2:$L$501,0),0),0))</f>
        <v/>
      </c>
      <c r="W415" t="str">
        <f t="shared" si="131"/>
        <v/>
      </c>
      <c r="X415" s="38" t="str">
        <f>IF(L415="","",IF(V415&gt;0,INDEX('02-شباط'!$P$2:$P$501,V415),IF($AO$1=1,0,"")))</f>
        <v/>
      </c>
      <c r="Y415" s="38" t="str">
        <f t="shared" si="132"/>
        <v/>
      </c>
      <c r="Z415" s="39" t="str">
        <f>IF(L415="","",IF(V415&gt;0,INDEX('02-شباط'!$Q$2:$Q$501,V415),IF($AO$1=1,0,"")))</f>
        <v/>
      </c>
      <c r="AA415" s="39" t="str">
        <f t="shared" si="133"/>
        <v/>
      </c>
      <c r="AB415" s="40" t="str">
        <f>IF(OR(L415="",V415=0),"",IF(AND(N(I415)&gt;0,N(INDEX('02-شباط'!$I$2:$I$501,V415))&gt;0,INDEX('02-شباط'!$F$2:$F$501,V415)=F415),N(I415)/N(INDEX('02-شباط'!$I$2:$I$501,V415))-1,""))</f>
        <v/>
      </c>
      <c r="AC415" t="str">
        <f>IF(L415="","",IF(AND($AO$2=1,ISNA(MATCH(L415,'04-نيسان'!$L$2:$L$501,0))),"محذوف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IF(L416="","",IF($AO$1=1,IFERROR(MATCH(L416,'02-شباط'!$L$2:$L$501,0),0),0))</f>
        <v/>
      </c>
      <c r="W416" t="str">
        <f t="shared" si="131"/>
        <v/>
      </c>
      <c r="X416" s="38" t="str">
        <f>IF(L416="","",IF(V416&gt;0,INDEX('02-شباط'!$P$2:$P$501,V416),IF($AO$1=1,0,"")))</f>
        <v/>
      </c>
      <c r="Y416" s="38" t="str">
        <f t="shared" si="132"/>
        <v/>
      </c>
      <c r="Z416" s="39" t="str">
        <f>IF(L416="","",IF(V416&gt;0,INDEX('02-شباط'!$Q$2:$Q$501,V416),IF($AO$1=1,0,"")))</f>
        <v/>
      </c>
      <c r="AA416" s="39" t="str">
        <f t="shared" si="133"/>
        <v/>
      </c>
      <c r="AB416" s="40" t="str">
        <f>IF(OR(L416="",V416=0),"",IF(AND(N(I416)&gt;0,N(INDEX('02-شباط'!$I$2:$I$501,V416))&gt;0,INDEX('02-شباط'!$F$2:$F$501,V416)=F416),N(I416)/N(INDEX('02-شباط'!$I$2:$I$501,V416))-1,""))</f>
        <v/>
      </c>
      <c r="AC416" t="str">
        <f>IF(L416="","",IF(AND($AO$2=1,ISNA(MATCH(L416,'04-نيسان'!$L$2:$L$501,0))),"محذوف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IF(L417="","",IF($AO$1=1,IFERROR(MATCH(L417,'02-شباط'!$L$2:$L$501,0),0),0))</f>
        <v/>
      </c>
      <c r="W417" t="str">
        <f t="shared" si="131"/>
        <v/>
      </c>
      <c r="X417" s="38" t="str">
        <f>IF(L417="","",IF(V417&gt;0,INDEX('02-شباط'!$P$2:$P$501,V417),IF($AO$1=1,0,"")))</f>
        <v/>
      </c>
      <c r="Y417" s="38" t="str">
        <f t="shared" si="132"/>
        <v/>
      </c>
      <c r="Z417" s="39" t="str">
        <f>IF(L417="","",IF(V417&gt;0,INDEX('02-شباط'!$Q$2:$Q$501,V417),IF($AO$1=1,0,"")))</f>
        <v/>
      </c>
      <c r="AA417" s="39" t="str">
        <f t="shared" si="133"/>
        <v/>
      </c>
      <c r="AB417" s="40" t="str">
        <f>IF(OR(L417="",V417=0),"",IF(AND(N(I417)&gt;0,N(INDEX('02-شباط'!$I$2:$I$501,V417))&gt;0,INDEX('02-شباط'!$F$2:$F$501,V417)=F417),N(I417)/N(INDEX('02-شباط'!$I$2:$I$501,V417))-1,""))</f>
        <v/>
      </c>
      <c r="AC417" t="str">
        <f>IF(L417="","",IF(AND($AO$2=1,ISNA(MATCH(L417,'04-نيسان'!$L$2:$L$501,0))),"محذوف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IF(L418="","",IF($AO$1=1,IFERROR(MATCH(L418,'02-شباط'!$L$2:$L$501,0),0),0))</f>
        <v/>
      </c>
      <c r="W418" t="str">
        <f t="shared" si="131"/>
        <v/>
      </c>
      <c r="X418" s="38" t="str">
        <f>IF(L418="","",IF(V418&gt;0,INDEX('02-شباط'!$P$2:$P$501,V418),IF($AO$1=1,0,"")))</f>
        <v/>
      </c>
      <c r="Y418" s="38" t="str">
        <f t="shared" si="132"/>
        <v/>
      </c>
      <c r="Z418" s="39" t="str">
        <f>IF(L418="","",IF(V418&gt;0,INDEX('02-شباط'!$Q$2:$Q$501,V418),IF($AO$1=1,0,"")))</f>
        <v/>
      </c>
      <c r="AA418" s="39" t="str">
        <f t="shared" si="133"/>
        <v/>
      </c>
      <c r="AB418" s="40" t="str">
        <f>IF(OR(L418="",V418=0),"",IF(AND(N(I418)&gt;0,N(INDEX('02-شباط'!$I$2:$I$501,V418))&gt;0,INDEX('02-شباط'!$F$2:$F$501,V418)=F418),N(I418)/N(INDEX('02-شباط'!$I$2:$I$501,V418))-1,""))</f>
        <v/>
      </c>
      <c r="AC418" t="str">
        <f>IF(L418="","",IF(AND($AO$2=1,ISNA(MATCH(L418,'04-نيسان'!$L$2:$L$501,0))),"محذوف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IF(L419="","",IF($AO$1=1,IFERROR(MATCH(L419,'02-شباط'!$L$2:$L$501,0),0),0))</f>
        <v/>
      </c>
      <c r="W419" t="str">
        <f t="shared" si="131"/>
        <v/>
      </c>
      <c r="X419" s="38" t="str">
        <f>IF(L419="","",IF(V419&gt;0,INDEX('02-شباط'!$P$2:$P$501,V419),IF($AO$1=1,0,"")))</f>
        <v/>
      </c>
      <c r="Y419" s="38" t="str">
        <f t="shared" si="132"/>
        <v/>
      </c>
      <c r="Z419" s="39" t="str">
        <f>IF(L419="","",IF(V419&gt;0,INDEX('02-شباط'!$Q$2:$Q$501,V419),IF($AO$1=1,0,"")))</f>
        <v/>
      </c>
      <c r="AA419" s="39" t="str">
        <f t="shared" si="133"/>
        <v/>
      </c>
      <c r="AB419" s="40" t="str">
        <f>IF(OR(L419="",V419=0),"",IF(AND(N(I419)&gt;0,N(INDEX('02-شباط'!$I$2:$I$501,V419))&gt;0,INDEX('02-شباط'!$F$2:$F$501,V419)=F419),N(I419)/N(INDEX('02-شباط'!$I$2:$I$501,V419))-1,""))</f>
        <v/>
      </c>
      <c r="AC419" t="str">
        <f>IF(L419="","",IF(AND($AO$2=1,ISNA(MATCH(L419,'04-نيسان'!$L$2:$L$501,0))),"محذوف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IF(L420="","",IF($AO$1=1,IFERROR(MATCH(L420,'02-شباط'!$L$2:$L$501,0),0),0))</f>
        <v/>
      </c>
      <c r="W420" t="str">
        <f t="shared" si="131"/>
        <v/>
      </c>
      <c r="X420" s="38" t="str">
        <f>IF(L420="","",IF(V420&gt;0,INDEX('02-شباط'!$P$2:$P$501,V420),IF($AO$1=1,0,"")))</f>
        <v/>
      </c>
      <c r="Y420" s="38" t="str">
        <f t="shared" si="132"/>
        <v/>
      </c>
      <c r="Z420" s="39" t="str">
        <f>IF(L420="","",IF(V420&gt;0,INDEX('02-شباط'!$Q$2:$Q$501,V420),IF($AO$1=1,0,"")))</f>
        <v/>
      </c>
      <c r="AA420" s="39" t="str">
        <f t="shared" si="133"/>
        <v/>
      </c>
      <c r="AB420" s="40" t="str">
        <f>IF(OR(L420="",V420=0),"",IF(AND(N(I420)&gt;0,N(INDEX('02-شباط'!$I$2:$I$501,V420))&gt;0,INDEX('02-شباط'!$F$2:$F$501,V420)=F420),N(I420)/N(INDEX('02-شباط'!$I$2:$I$501,V420))-1,""))</f>
        <v/>
      </c>
      <c r="AC420" t="str">
        <f>IF(L420="","",IF(AND($AO$2=1,ISNA(MATCH(L420,'04-نيسان'!$L$2:$L$501,0))),"محذوف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IF(L421="","",IF($AO$1=1,IFERROR(MATCH(L421,'02-شباط'!$L$2:$L$501,0),0),0))</f>
        <v/>
      </c>
      <c r="W421" t="str">
        <f t="shared" si="131"/>
        <v/>
      </c>
      <c r="X421" s="38" t="str">
        <f>IF(L421="","",IF(V421&gt;0,INDEX('02-شباط'!$P$2:$P$501,V421),IF($AO$1=1,0,"")))</f>
        <v/>
      </c>
      <c r="Y421" s="38" t="str">
        <f t="shared" si="132"/>
        <v/>
      </c>
      <c r="Z421" s="39" t="str">
        <f>IF(L421="","",IF(V421&gt;0,INDEX('02-شباط'!$Q$2:$Q$501,V421),IF($AO$1=1,0,"")))</f>
        <v/>
      </c>
      <c r="AA421" s="39" t="str">
        <f t="shared" si="133"/>
        <v/>
      </c>
      <c r="AB421" s="40" t="str">
        <f>IF(OR(L421="",V421=0),"",IF(AND(N(I421)&gt;0,N(INDEX('02-شباط'!$I$2:$I$501,V421))&gt;0,INDEX('02-شباط'!$F$2:$F$501,V421)=F421),N(I421)/N(INDEX('02-شباط'!$I$2:$I$501,V421))-1,""))</f>
        <v/>
      </c>
      <c r="AC421" t="str">
        <f>IF(L421="","",IF(AND($AO$2=1,ISNA(MATCH(L421,'04-نيسان'!$L$2:$L$501,0))),"محذوف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IF(L422="","",IF($AO$1=1,IFERROR(MATCH(L422,'02-شباط'!$L$2:$L$501,0),0),0))</f>
        <v/>
      </c>
      <c r="W422" t="str">
        <f t="shared" si="131"/>
        <v/>
      </c>
      <c r="X422" s="38" t="str">
        <f>IF(L422="","",IF(V422&gt;0,INDEX('02-شباط'!$P$2:$P$501,V422),IF($AO$1=1,0,"")))</f>
        <v/>
      </c>
      <c r="Y422" s="38" t="str">
        <f t="shared" si="132"/>
        <v/>
      </c>
      <c r="Z422" s="39" t="str">
        <f>IF(L422="","",IF(V422&gt;0,INDEX('02-شباط'!$Q$2:$Q$501,V422),IF($AO$1=1,0,"")))</f>
        <v/>
      </c>
      <c r="AA422" s="39" t="str">
        <f t="shared" si="133"/>
        <v/>
      </c>
      <c r="AB422" s="40" t="str">
        <f>IF(OR(L422="",V422=0),"",IF(AND(N(I422)&gt;0,N(INDEX('02-شباط'!$I$2:$I$501,V422))&gt;0,INDEX('02-شباط'!$F$2:$F$501,V422)=F422),N(I422)/N(INDEX('02-شباط'!$I$2:$I$501,V422))-1,""))</f>
        <v/>
      </c>
      <c r="AC422" t="str">
        <f>IF(L422="","",IF(AND($AO$2=1,ISNA(MATCH(L422,'04-نيسان'!$L$2:$L$501,0))),"محذوف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IF(L423="","",IF($AO$1=1,IFERROR(MATCH(L423,'02-شباط'!$L$2:$L$501,0),0),0))</f>
        <v/>
      </c>
      <c r="W423" t="str">
        <f t="shared" si="131"/>
        <v/>
      </c>
      <c r="X423" s="38" t="str">
        <f>IF(L423="","",IF(V423&gt;0,INDEX('02-شباط'!$P$2:$P$501,V423),IF($AO$1=1,0,"")))</f>
        <v/>
      </c>
      <c r="Y423" s="38" t="str">
        <f t="shared" si="132"/>
        <v/>
      </c>
      <c r="Z423" s="39" t="str">
        <f>IF(L423="","",IF(V423&gt;0,INDEX('02-شباط'!$Q$2:$Q$501,V423),IF($AO$1=1,0,"")))</f>
        <v/>
      </c>
      <c r="AA423" s="39" t="str">
        <f t="shared" si="133"/>
        <v/>
      </c>
      <c r="AB423" s="40" t="str">
        <f>IF(OR(L423="",V423=0),"",IF(AND(N(I423)&gt;0,N(INDEX('02-شباط'!$I$2:$I$501,V423))&gt;0,INDEX('02-شباط'!$F$2:$F$501,V423)=F423),N(I423)/N(INDEX('02-شباط'!$I$2:$I$501,V423))-1,""))</f>
        <v/>
      </c>
      <c r="AC423" t="str">
        <f>IF(L423="","",IF(AND($AO$2=1,ISNA(MATCH(L423,'04-نيسان'!$L$2:$L$501,0))),"محذوف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IF(L424="","",IF($AO$1=1,IFERROR(MATCH(L424,'02-شباط'!$L$2:$L$501,0),0),0))</f>
        <v/>
      </c>
      <c r="W424" t="str">
        <f t="shared" si="131"/>
        <v/>
      </c>
      <c r="X424" s="38" t="str">
        <f>IF(L424="","",IF(V424&gt;0,INDEX('02-شباط'!$P$2:$P$501,V424),IF($AO$1=1,0,"")))</f>
        <v/>
      </c>
      <c r="Y424" s="38" t="str">
        <f t="shared" si="132"/>
        <v/>
      </c>
      <c r="Z424" s="39" t="str">
        <f>IF(L424="","",IF(V424&gt;0,INDEX('02-شباط'!$Q$2:$Q$501,V424),IF($AO$1=1,0,"")))</f>
        <v/>
      </c>
      <c r="AA424" s="39" t="str">
        <f t="shared" si="133"/>
        <v/>
      </c>
      <c r="AB424" s="40" t="str">
        <f>IF(OR(L424="",V424=0),"",IF(AND(N(I424)&gt;0,N(INDEX('02-شباط'!$I$2:$I$501,V424))&gt;0,INDEX('02-شباط'!$F$2:$F$501,V424)=F424),N(I424)/N(INDEX('02-شباط'!$I$2:$I$501,V424))-1,""))</f>
        <v/>
      </c>
      <c r="AC424" t="str">
        <f>IF(L424="","",IF(AND($AO$2=1,ISNA(MATCH(L424,'04-نيسان'!$L$2:$L$501,0))),"محذوف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IF(L425="","",IF($AO$1=1,IFERROR(MATCH(L425,'02-شباط'!$L$2:$L$501,0),0),0))</f>
        <v/>
      </c>
      <c r="W425" t="str">
        <f t="shared" si="131"/>
        <v/>
      </c>
      <c r="X425" s="38" t="str">
        <f>IF(L425="","",IF(V425&gt;0,INDEX('02-شباط'!$P$2:$P$501,V425),IF($AO$1=1,0,"")))</f>
        <v/>
      </c>
      <c r="Y425" s="38" t="str">
        <f t="shared" si="132"/>
        <v/>
      </c>
      <c r="Z425" s="39" t="str">
        <f>IF(L425="","",IF(V425&gt;0,INDEX('02-شباط'!$Q$2:$Q$501,V425),IF($AO$1=1,0,"")))</f>
        <v/>
      </c>
      <c r="AA425" s="39" t="str">
        <f t="shared" si="133"/>
        <v/>
      </c>
      <c r="AB425" s="40" t="str">
        <f>IF(OR(L425="",V425=0),"",IF(AND(N(I425)&gt;0,N(INDEX('02-شباط'!$I$2:$I$501,V425))&gt;0,INDEX('02-شباط'!$F$2:$F$501,V425)=F425),N(I425)/N(INDEX('02-شباط'!$I$2:$I$501,V425))-1,""))</f>
        <v/>
      </c>
      <c r="AC425" t="str">
        <f>IF(L425="","",IF(AND($AO$2=1,ISNA(MATCH(L425,'04-نيسان'!$L$2:$L$501,0))),"محذوف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IF(L426="","",IF($AO$1=1,IFERROR(MATCH(L426,'02-شباط'!$L$2:$L$501,0),0),0))</f>
        <v/>
      </c>
      <c r="W426" t="str">
        <f t="shared" si="131"/>
        <v/>
      </c>
      <c r="X426" s="38" t="str">
        <f>IF(L426="","",IF(V426&gt;0,INDEX('02-شباط'!$P$2:$P$501,V426),IF($AO$1=1,0,"")))</f>
        <v/>
      </c>
      <c r="Y426" s="38" t="str">
        <f t="shared" si="132"/>
        <v/>
      </c>
      <c r="Z426" s="39" t="str">
        <f>IF(L426="","",IF(V426&gt;0,INDEX('02-شباط'!$Q$2:$Q$501,V426),IF($AO$1=1,0,"")))</f>
        <v/>
      </c>
      <c r="AA426" s="39" t="str">
        <f t="shared" si="133"/>
        <v/>
      </c>
      <c r="AB426" s="40" t="str">
        <f>IF(OR(L426="",V426=0),"",IF(AND(N(I426)&gt;0,N(INDEX('02-شباط'!$I$2:$I$501,V426))&gt;0,INDEX('02-شباط'!$F$2:$F$501,V426)=F426),N(I426)/N(INDEX('02-شباط'!$I$2:$I$501,V426))-1,""))</f>
        <v/>
      </c>
      <c r="AC426" t="str">
        <f>IF(L426="","",IF(AND($AO$2=1,ISNA(MATCH(L426,'04-نيسان'!$L$2:$L$501,0))),"محذوف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IF(L427="","",IF($AO$1=1,IFERROR(MATCH(L427,'02-شباط'!$L$2:$L$501,0),0),0))</f>
        <v/>
      </c>
      <c r="W427" t="str">
        <f t="shared" si="131"/>
        <v/>
      </c>
      <c r="X427" s="38" t="str">
        <f>IF(L427="","",IF(V427&gt;0,INDEX('02-شباط'!$P$2:$P$501,V427),IF($AO$1=1,0,"")))</f>
        <v/>
      </c>
      <c r="Y427" s="38" t="str">
        <f t="shared" si="132"/>
        <v/>
      </c>
      <c r="Z427" s="39" t="str">
        <f>IF(L427="","",IF(V427&gt;0,INDEX('02-شباط'!$Q$2:$Q$501,V427),IF($AO$1=1,0,"")))</f>
        <v/>
      </c>
      <c r="AA427" s="39" t="str">
        <f t="shared" si="133"/>
        <v/>
      </c>
      <c r="AB427" s="40" t="str">
        <f>IF(OR(L427="",V427=0),"",IF(AND(N(I427)&gt;0,N(INDEX('02-شباط'!$I$2:$I$501,V427))&gt;0,INDEX('02-شباط'!$F$2:$F$501,V427)=F427),N(I427)/N(INDEX('02-شباط'!$I$2:$I$501,V427))-1,""))</f>
        <v/>
      </c>
      <c r="AC427" t="str">
        <f>IF(L427="","",IF(AND($AO$2=1,ISNA(MATCH(L427,'04-نيسان'!$L$2:$L$501,0))),"محذوف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IF(L428="","",IF($AO$1=1,IFERROR(MATCH(L428,'02-شباط'!$L$2:$L$501,0),0),0))</f>
        <v/>
      </c>
      <c r="W428" t="str">
        <f t="shared" si="131"/>
        <v/>
      </c>
      <c r="X428" s="38" t="str">
        <f>IF(L428="","",IF(V428&gt;0,INDEX('02-شباط'!$P$2:$P$501,V428),IF($AO$1=1,0,"")))</f>
        <v/>
      </c>
      <c r="Y428" s="38" t="str">
        <f t="shared" si="132"/>
        <v/>
      </c>
      <c r="Z428" s="39" t="str">
        <f>IF(L428="","",IF(V428&gt;0,INDEX('02-شباط'!$Q$2:$Q$501,V428),IF($AO$1=1,0,"")))</f>
        <v/>
      </c>
      <c r="AA428" s="39" t="str">
        <f t="shared" si="133"/>
        <v/>
      </c>
      <c r="AB428" s="40" t="str">
        <f>IF(OR(L428="",V428=0),"",IF(AND(N(I428)&gt;0,N(INDEX('02-شباط'!$I$2:$I$501,V428))&gt;0,INDEX('02-شباط'!$F$2:$F$501,V428)=F428),N(I428)/N(INDEX('02-شباط'!$I$2:$I$501,V428))-1,""))</f>
        <v/>
      </c>
      <c r="AC428" t="str">
        <f>IF(L428="","",IF(AND($AO$2=1,ISNA(MATCH(L428,'04-نيسان'!$L$2:$L$501,0))),"محذوف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IF(L429="","",IF($AO$1=1,IFERROR(MATCH(L429,'02-شباط'!$L$2:$L$501,0),0),0))</f>
        <v/>
      </c>
      <c r="W429" t="str">
        <f t="shared" si="131"/>
        <v/>
      </c>
      <c r="X429" s="38" t="str">
        <f>IF(L429="","",IF(V429&gt;0,INDEX('02-شباط'!$P$2:$P$501,V429),IF($AO$1=1,0,"")))</f>
        <v/>
      </c>
      <c r="Y429" s="38" t="str">
        <f t="shared" si="132"/>
        <v/>
      </c>
      <c r="Z429" s="39" t="str">
        <f>IF(L429="","",IF(V429&gt;0,INDEX('02-شباط'!$Q$2:$Q$501,V429),IF($AO$1=1,0,"")))</f>
        <v/>
      </c>
      <c r="AA429" s="39" t="str">
        <f t="shared" si="133"/>
        <v/>
      </c>
      <c r="AB429" s="40" t="str">
        <f>IF(OR(L429="",V429=0),"",IF(AND(N(I429)&gt;0,N(INDEX('02-شباط'!$I$2:$I$501,V429))&gt;0,INDEX('02-شباط'!$F$2:$F$501,V429)=F429),N(I429)/N(INDEX('02-شباط'!$I$2:$I$501,V429))-1,""))</f>
        <v/>
      </c>
      <c r="AC429" t="str">
        <f>IF(L429="","",IF(AND($AO$2=1,ISNA(MATCH(L429,'04-نيسان'!$L$2:$L$501,0))),"محذوف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IF(L430="","",IF($AO$1=1,IFERROR(MATCH(L430,'02-شباط'!$L$2:$L$501,0),0),0))</f>
        <v/>
      </c>
      <c r="W430" t="str">
        <f t="shared" si="131"/>
        <v/>
      </c>
      <c r="X430" s="38" t="str">
        <f>IF(L430="","",IF(V430&gt;0,INDEX('02-شباط'!$P$2:$P$501,V430),IF($AO$1=1,0,"")))</f>
        <v/>
      </c>
      <c r="Y430" s="38" t="str">
        <f t="shared" si="132"/>
        <v/>
      </c>
      <c r="Z430" s="39" t="str">
        <f>IF(L430="","",IF(V430&gt;0,INDEX('02-شباط'!$Q$2:$Q$501,V430),IF($AO$1=1,0,"")))</f>
        <v/>
      </c>
      <c r="AA430" s="39" t="str">
        <f t="shared" si="133"/>
        <v/>
      </c>
      <c r="AB430" s="40" t="str">
        <f>IF(OR(L430="",V430=0),"",IF(AND(N(I430)&gt;0,N(INDEX('02-شباط'!$I$2:$I$501,V430))&gt;0,INDEX('02-شباط'!$F$2:$F$501,V430)=F430),N(I430)/N(INDEX('02-شباط'!$I$2:$I$501,V430))-1,""))</f>
        <v/>
      </c>
      <c r="AC430" t="str">
        <f>IF(L430="","",IF(AND($AO$2=1,ISNA(MATCH(L430,'04-نيسان'!$L$2:$L$501,0))),"محذوف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IF(L431="","",IF($AO$1=1,IFERROR(MATCH(L431,'02-شباط'!$L$2:$L$501,0),0),0))</f>
        <v/>
      </c>
      <c r="W431" t="str">
        <f t="shared" si="131"/>
        <v/>
      </c>
      <c r="X431" s="38" t="str">
        <f>IF(L431="","",IF(V431&gt;0,INDEX('02-شباط'!$P$2:$P$501,V431),IF($AO$1=1,0,"")))</f>
        <v/>
      </c>
      <c r="Y431" s="38" t="str">
        <f t="shared" si="132"/>
        <v/>
      </c>
      <c r="Z431" s="39" t="str">
        <f>IF(L431="","",IF(V431&gt;0,INDEX('02-شباط'!$Q$2:$Q$501,V431),IF($AO$1=1,0,"")))</f>
        <v/>
      </c>
      <c r="AA431" s="39" t="str">
        <f t="shared" si="133"/>
        <v/>
      </c>
      <c r="AB431" s="40" t="str">
        <f>IF(OR(L431="",V431=0),"",IF(AND(N(I431)&gt;0,N(INDEX('02-شباط'!$I$2:$I$501,V431))&gt;0,INDEX('02-شباط'!$F$2:$F$501,V431)=F431),N(I431)/N(INDEX('02-شباط'!$I$2:$I$501,V431))-1,""))</f>
        <v/>
      </c>
      <c r="AC431" t="str">
        <f>IF(L431="","",IF(AND($AO$2=1,ISNA(MATCH(L431,'04-نيسان'!$L$2:$L$501,0))),"محذوف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IF(L432="","",IF($AO$1=1,IFERROR(MATCH(L432,'02-شباط'!$L$2:$L$501,0),0),0))</f>
        <v/>
      </c>
      <c r="W432" t="str">
        <f t="shared" si="131"/>
        <v/>
      </c>
      <c r="X432" s="38" t="str">
        <f>IF(L432="","",IF(V432&gt;0,INDEX('02-شباط'!$P$2:$P$501,V432),IF($AO$1=1,0,"")))</f>
        <v/>
      </c>
      <c r="Y432" s="38" t="str">
        <f t="shared" si="132"/>
        <v/>
      </c>
      <c r="Z432" s="39" t="str">
        <f>IF(L432="","",IF(V432&gt;0,INDEX('02-شباط'!$Q$2:$Q$501,V432),IF($AO$1=1,0,"")))</f>
        <v/>
      </c>
      <c r="AA432" s="39" t="str">
        <f t="shared" si="133"/>
        <v/>
      </c>
      <c r="AB432" s="40" t="str">
        <f>IF(OR(L432="",V432=0),"",IF(AND(N(I432)&gt;0,N(INDEX('02-شباط'!$I$2:$I$501,V432))&gt;0,INDEX('02-شباط'!$F$2:$F$501,V432)=F432),N(I432)/N(INDEX('02-شباط'!$I$2:$I$501,V432))-1,""))</f>
        <v/>
      </c>
      <c r="AC432" t="str">
        <f>IF(L432="","",IF(AND($AO$2=1,ISNA(MATCH(L432,'04-نيسان'!$L$2:$L$501,0))),"محذوف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IF(L433="","",IF($AO$1=1,IFERROR(MATCH(L433,'02-شباط'!$L$2:$L$501,0),0),0))</f>
        <v/>
      </c>
      <c r="W433" t="str">
        <f t="shared" si="131"/>
        <v/>
      </c>
      <c r="X433" s="38" t="str">
        <f>IF(L433="","",IF(V433&gt;0,INDEX('02-شباط'!$P$2:$P$501,V433),IF($AO$1=1,0,"")))</f>
        <v/>
      </c>
      <c r="Y433" s="38" t="str">
        <f t="shared" si="132"/>
        <v/>
      </c>
      <c r="Z433" s="39" t="str">
        <f>IF(L433="","",IF(V433&gt;0,INDEX('02-شباط'!$Q$2:$Q$501,V433),IF($AO$1=1,0,"")))</f>
        <v/>
      </c>
      <c r="AA433" s="39" t="str">
        <f t="shared" si="133"/>
        <v/>
      </c>
      <c r="AB433" s="40" t="str">
        <f>IF(OR(L433="",V433=0),"",IF(AND(N(I433)&gt;0,N(INDEX('02-شباط'!$I$2:$I$501,V433))&gt;0,INDEX('02-شباط'!$F$2:$F$501,V433)=F433),N(I433)/N(INDEX('02-شباط'!$I$2:$I$501,V433))-1,""))</f>
        <v/>
      </c>
      <c r="AC433" t="str">
        <f>IF(L433="","",IF(AND($AO$2=1,ISNA(MATCH(L433,'04-نيسان'!$L$2:$L$501,0))),"محذوف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IF(L434="","",IF($AO$1=1,IFERROR(MATCH(L434,'02-شباط'!$L$2:$L$501,0),0),0))</f>
        <v/>
      </c>
      <c r="W434" t="str">
        <f t="shared" si="131"/>
        <v/>
      </c>
      <c r="X434" s="38" t="str">
        <f>IF(L434="","",IF(V434&gt;0,INDEX('02-شباط'!$P$2:$P$501,V434),IF($AO$1=1,0,"")))</f>
        <v/>
      </c>
      <c r="Y434" s="38" t="str">
        <f t="shared" si="132"/>
        <v/>
      </c>
      <c r="Z434" s="39" t="str">
        <f>IF(L434="","",IF(V434&gt;0,INDEX('02-شباط'!$Q$2:$Q$501,V434),IF($AO$1=1,0,"")))</f>
        <v/>
      </c>
      <c r="AA434" s="39" t="str">
        <f t="shared" si="133"/>
        <v/>
      </c>
      <c r="AB434" s="40" t="str">
        <f>IF(OR(L434="",V434=0),"",IF(AND(N(I434)&gt;0,N(INDEX('02-شباط'!$I$2:$I$501,V434))&gt;0,INDEX('02-شباط'!$F$2:$F$501,V434)=F434),N(I434)/N(INDEX('02-شباط'!$I$2:$I$501,V434))-1,""))</f>
        <v/>
      </c>
      <c r="AC434" t="str">
        <f>IF(L434="","",IF(AND($AO$2=1,ISNA(MATCH(L434,'04-نيسان'!$L$2:$L$501,0))),"محذوف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IF(L435="","",IF($AO$1=1,IFERROR(MATCH(L435,'02-شباط'!$L$2:$L$501,0),0),0))</f>
        <v/>
      </c>
      <c r="W435" t="str">
        <f t="shared" si="131"/>
        <v/>
      </c>
      <c r="X435" s="38" t="str">
        <f>IF(L435="","",IF(V435&gt;0,INDEX('02-شباط'!$P$2:$P$501,V435),IF($AO$1=1,0,"")))</f>
        <v/>
      </c>
      <c r="Y435" s="38" t="str">
        <f t="shared" si="132"/>
        <v/>
      </c>
      <c r="Z435" s="39" t="str">
        <f>IF(L435="","",IF(V435&gt;0,INDEX('02-شباط'!$Q$2:$Q$501,V435),IF($AO$1=1,0,"")))</f>
        <v/>
      </c>
      <c r="AA435" s="39" t="str">
        <f t="shared" si="133"/>
        <v/>
      </c>
      <c r="AB435" s="40" t="str">
        <f>IF(OR(L435="",V435=0),"",IF(AND(N(I435)&gt;0,N(INDEX('02-شباط'!$I$2:$I$501,V435))&gt;0,INDEX('02-شباط'!$F$2:$F$501,V435)=F435),N(I435)/N(INDEX('02-شباط'!$I$2:$I$501,V435))-1,""))</f>
        <v/>
      </c>
      <c r="AC435" t="str">
        <f>IF(L435="","",IF(AND($AO$2=1,ISNA(MATCH(L435,'04-نيسان'!$L$2:$L$501,0))),"محذوف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IF(L436="","",IF($AO$1=1,IFERROR(MATCH(L436,'02-شباط'!$L$2:$L$501,0),0),0))</f>
        <v/>
      </c>
      <c r="W436" t="str">
        <f t="shared" si="131"/>
        <v/>
      </c>
      <c r="X436" s="38" t="str">
        <f>IF(L436="","",IF(V436&gt;0,INDEX('02-شباط'!$P$2:$P$501,V436),IF($AO$1=1,0,"")))</f>
        <v/>
      </c>
      <c r="Y436" s="38" t="str">
        <f t="shared" si="132"/>
        <v/>
      </c>
      <c r="Z436" s="39" t="str">
        <f>IF(L436="","",IF(V436&gt;0,INDEX('02-شباط'!$Q$2:$Q$501,V436),IF($AO$1=1,0,"")))</f>
        <v/>
      </c>
      <c r="AA436" s="39" t="str">
        <f t="shared" si="133"/>
        <v/>
      </c>
      <c r="AB436" s="40" t="str">
        <f>IF(OR(L436="",V436=0),"",IF(AND(N(I436)&gt;0,N(INDEX('02-شباط'!$I$2:$I$501,V436))&gt;0,INDEX('02-شباط'!$F$2:$F$501,V436)=F436),N(I436)/N(INDEX('02-شباط'!$I$2:$I$501,V436))-1,""))</f>
        <v/>
      </c>
      <c r="AC436" t="str">
        <f>IF(L436="","",IF(AND($AO$2=1,ISNA(MATCH(L436,'04-نيسان'!$L$2:$L$501,0))),"محذوف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IF(L437="","",IF($AO$1=1,IFERROR(MATCH(L437,'02-شباط'!$L$2:$L$501,0),0),0))</f>
        <v/>
      </c>
      <c r="W437" t="str">
        <f t="shared" si="131"/>
        <v/>
      </c>
      <c r="X437" s="38" t="str">
        <f>IF(L437="","",IF(V437&gt;0,INDEX('02-شباط'!$P$2:$P$501,V437),IF($AO$1=1,0,"")))</f>
        <v/>
      </c>
      <c r="Y437" s="38" t="str">
        <f t="shared" si="132"/>
        <v/>
      </c>
      <c r="Z437" s="39" t="str">
        <f>IF(L437="","",IF(V437&gt;0,INDEX('02-شباط'!$Q$2:$Q$501,V437),IF($AO$1=1,0,"")))</f>
        <v/>
      </c>
      <c r="AA437" s="39" t="str">
        <f t="shared" si="133"/>
        <v/>
      </c>
      <c r="AB437" s="40" t="str">
        <f>IF(OR(L437="",V437=0),"",IF(AND(N(I437)&gt;0,N(INDEX('02-شباط'!$I$2:$I$501,V437))&gt;0,INDEX('02-شباط'!$F$2:$F$501,V437)=F437),N(I437)/N(INDEX('02-شباط'!$I$2:$I$501,V437))-1,""))</f>
        <v/>
      </c>
      <c r="AC437" t="str">
        <f>IF(L437="","",IF(AND($AO$2=1,ISNA(MATCH(L437,'04-نيسان'!$L$2:$L$501,0))),"محذوف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IF(L438="","",IF($AO$1=1,IFERROR(MATCH(L438,'02-شباط'!$L$2:$L$501,0),0),0))</f>
        <v/>
      </c>
      <c r="W438" t="str">
        <f t="shared" si="131"/>
        <v/>
      </c>
      <c r="X438" s="38" t="str">
        <f>IF(L438="","",IF(V438&gt;0,INDEX('02-شباط'!$P$2:$P$501,V438),IF($AO$1=1,0,"")))</f>
        <v/>
      </c>
      <c r="Y438" s="38" t="str">
        <f t="shared" si="132"/>
        <v/>
      </c>
      <c r="Z438" s="39" t="str">
        <f>IF(L438="","",IF(V438&gt;0,INDEX('02-شباط'!$Q$2:$Q$501,V438),IF($AO$1=1,0,"")))</f>
        <v/>
      </c>
      <c r="AA438" s="39" t="str">
        <f t="shared" si="133"/>
        <v/>
      </c>
      <c r="AB438" s="40" t="str">
        <f>IF(OR(L438="",V438=0),"",IF(AND(N(I438)&gt;0,N(INDEX('02-شباط'!$I$2:$I$501,V438))&gt;0,INDEX('02-شباط'!$F$2:$F$501,V438)=F438),N(I438)/N(INDEX('02-شباط'!$I$2:$I$501,V438))-1,""))</f>
        <v/>
      </c>
      <c r="AC438" t="str">
        <f>IF(L438="","",IF(AND($AO$2=1,ISNA(MATCH(L438,'04-نيسان'!$L$2:$L$501,0))),"محذوف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IF(L439="","",IF($AO$1=1,IFERROR(MATCH(L439,'02-شباط'!$L$2:$L$501,0),0),0))</f>
        <v/>
      </c>
      <c r="W439" t="str">
        <f t="shared" si="131"/>
        <v/>
      </c>
      <c r="X439" s="38" t="str">
        <f>IF(L439="","",IF(V439&gt;0,INDEX('02-شباط'!$P$2:$P$501,V439),IF($AO$1=1,0,"")))</f>
        <v/>
      </c>
      <c r="Y439" s="38" t="str">
        <f t="shared" si="132"/>
        <v/>
      </c>
      <c r="Z439" s="39" t="str">
        <f>IF(L439="","",IF(V439&gt;0,INDEX('02-شباط'!$Q$2:$Q$501,V439),IF($AO$1=1,0,"")))</f>
        <v/>
      </c>
      <c r="AA439" s="39" t="str">
        <f t="shared" si="133"/>
        <v/>
      </c>
      <c r="AB439" s="40" t="str">
        <f>IF(OR(L439="",V439=0),"",IF(AND(N(I439)&gt;0,N(INDEX('02-شباط'!$I$2:$I$501,V439))&gt;0,INDEX('02-شباط'!$F$2:$F$501,V439)=F439),N(I439)/N(INDEX('02-شباط'!$I$2:$I$501,V439))-1,""))</f>
        <v/>
      </c>
      <c r="AC439" t="str">
        <f>IF(L439="","",IF(AND($AO$2=1,ISNA(MATCH(L439,'04-نيسان'!$L$2:$L$501,0))),"محذوف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IF(L440="","",IF($AO$1=1,IFERROR(MATCH(L440,'02-شباط'!$L$2:$L$501,0),0),0))</f>
        <v/>
      </c>
      <c r="W440" t="str">
        <f t="shared" si="131"/>
        <v/>
      </c>
      <c r="X440" s="38" t="str">
        <f>IF(L440="","",IF(V440&gt;0,INDEX('02-شباط'!$P$2:$P$501,V440),IF($AO$1=1,0,"")))</f>
        <v/>
      </c>
      <c r="Y440" s="38" t="str">
        <f t="shared" si="132"/>
        <v/>
      </c>
      <c r="Z440" s="39" t="str">
        <f>IF(L440="","",IF(V440&gt;0,INDEX('02-شباط'!$Q$2:$Q$501,V440),IF($AO$1=1,0,"")))</f>
        <v/>
      </c>
      <c r="AA440" s="39" t="str">
        <f t="shared" si="133"/>
        <v/>
      </c>
      <c r="AB440" s="40" t="str">
        <f>IF(OR(L440="",V440=0),"",IF(AND(N(I440)&gt;0,N(INDEX('02-شباط'!$I$2:$I$501,V440))&gt;0,INDEX('02-شباط'!$F$2:$F$501,V440)=F440),N(I440)/N(INDEX('02-شباط'!$I$2:$I$501,V440))-1,""))</f>
        <v/>
      </c>
      <c r="AC440" t="str">
        <f>IF(L440="","",IF(AND($AO$2=1,ISNA(MATCH(L440,'04-نيسان'!$L$2:$L$501,0))),"محذوف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IF(L441="","",IF($AO$1=1,IFERROR(MATCH(L441,'02-شباط'!$L$2:$L$501,0),0),0))</f>
        <v/>
      </c>
      <c r="W441" t="str">
        <f t="shared" si="131"/>
        <v/>
      </c>
      <c r="X441" s="38" t="str">
        <f>IF(L441="","",IF(V441&gt;0,INDEX('02-شباط'!$P$2:$P$501,V441),IF($AO$1=1,0,"")))</f>
        <v/>
      </c>
      <c r="Y441" s="38" t="str">
        <f t="shared" si="132"/>
        <v/>
      </c>
      <c r="Z441" s="39" t="str">
        <f>IF(L441="","",IF(V441&gt;0,INDEX('02-شباط'!$Q$2:$Q$501,V441),IF($AO$1=1,0,"")))</f>
        <v/>
      </c>
      <c r="AA441" s="39" t="str">
        <f t="shared" si="133"/>
        <v/>
      </c>
      <c r="AB441" s="40" t="str">
        <f>IF(OR(L441="",V441=0),"",IF(AND(N(I441)&gt;0,N(INDEX('02-شباط'!$I$2:$I$501,V441))&gt;0,INDEX('02-شباط'!$F$2:$F$501,V441)=F441),N(I441)/N(INDEX('02-شباط'!$I$2:$I$501,V441))-1,""))</f>
        <v/>
      </c>
      <c r="AC441" t="str">
        <f>IF(L441="","",IF(AND($AO$2=1,ISNA(MATCH(L441,'04-نيسان'!$L$2:$L$501,0))),"محذوف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IF(L442="","",IF($AO$1=1,IFERROR(MATCH(L442,'02-شباط'!$L$2:$L$501,0),0),0))</f>
        <v/>
      </c>
      <c r="W442" t="str">
        <f t="shared" si="131"/>
        <v/>
      </c>
      <c r="X442" s="38" t="str">
        <f>IF(L442="","",IF(V442&gt;0,INDEX('02-شباط'!$P$2:$P$501,V442),IF($AO$1=1,0,"")))</f>
        <v/>
      </c>
      <c r="Y442" s="38" t="str">
        <f t="shared" si="132"/>
        <v/>
      </c>
      <c r="Z442" s="39" t="str">
        <f>IF(L442="","",IF(V442&gt;0,INDEX('02-شباط'!$Q$2:$Q$501,V442),IF($AO$1=1,0,"")))</f>
        <v/>
      </c>
      <c r="AA442" s="39" t="str">
        <f t="shared" si="133"/>
        <v/>
      </c>
      <c r="AB442" s="40" t="str">
        <f>IF(OR(L442="",V442=0),"",IF(AND(N(I442)&gt;0,N(INDEX('02-شباط'!$I$2:$I$501,V442))&gt;0,INDEX('02-شباط'!$F$2:$F$501,V442)=F442),N(I442)/N(INDEX('02-شباط'!$I$2:$I$501,V442))-1,""))</f>
        <v/>
      </c>
      <c r="AC442" t="str">
        <f>IF(L442="","",IF(AND($AO$2=1,ISNA(MATCH(L442,'04-نيسان'!$L$2:$L$501,0))),"محذوف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IF(L443="","",IF($AO$1=1,IFERROR(MATCH(L443,'02-شباط'!$L$2:$L$501,0),0),0))</f>
        <v/>
      </c>
      <c r="W443" t="str">
        <f t="shared" si="131"/>
        <v/>
      </c>
      <c r="X443" s="38" t="str">
        <f>IF(L443="","",IF(V443&gt;0,INDEX('02-شباط'!$P$2:$P$501,V443),IF($AO$1=1,0,"")))</f>
        <v/>
      </c>
      <c r="Y443" s="38" t="str">
        <f t="shared" si="132"/>
        <v/>
      </c>
      <c r="Z443" s="39" t="str">
        <f>IF(L443="","",IF(V443&gt;0,INDEX('02-شباط'!$Q$2:$Q$501,V443),IF($AO$1=1,0,"")))</f>
        <v/>
      </c>
      <c r="AA443" s="39" t="str">
        <f t="shared" si="133"/>
        <v/>
      </c>
      <c r="AB443" s="40" t="str">
        <f>IF(OR(L443="",V443=0),"",IF(AND(N(I443)&gt;0,N(INDEX('02-شباط'!$I$2:$I$501,V443))&gt;0,INDEX('02-شباط'!$F$2:$F$501,V443)=F443),N(I443)/N(INDEX('02-شباط'!$I$2:$I$501,V443))-1,""))</f>
        <v/>
      </c>
      <c r="AC443" t="str">
        <f>IF(L443="","",IF(AND($AO$2=1,ISNA(MATCH(L443,'04-نيسان'!$L$2:$L$501,0))),"محذوف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IF(L444="","",IF($AO$1=1,IFERROR(MATCH(L444,'02-شباط'!$L$2:$L$501,0),0),0))</f>
        <v/>
      </c>
      <c r="W444" t="str">
        <f t="shared" si="131"/>
        <v/>
      </c>
      <c r="X444" s="38" t="str">
        <f>IF(L444="","",IF(V444&gt;0,INDEX('02-شباط'!$P$2:$P$501,V444),IF($AO$1=1,0,"")))</f>
        <v/>
      </c>
      <c r="Y444" s="38" t="str">
        <f t="shared" si="132"/>
        <v/>
      </c>
      <c r="Z444" s="39" t="str">
        <f>IF(L444="","",IF(V444&gt;0,INDEX('02-شباط'!$Q$2:$Q$501,V444),IF($AO$1=1,0,"")))</f>
        <v/>
      </c>
      <c r="AA444" s="39" t="str">
        <f t="shared" si="133"/>
        <v/>
      </c>
      <c r="AB444" s="40" t="str">
        <f>IF(OR(L444="",V444=0),"",IF(AND(N(I444)&gt;0,N(INDEX('02-شباط'!$I$2:$I$501,V444))&gt;0,INDEX('02-شباط'!$F$2:$F$501,V444)=F444),N(I444)/N(INDEX('02-شباط'!$I$2:$I$501,V444))-1,""))</f>
        <v/>
      </c>
      <c r="AC444" t="str">
        <f>IF(L444="","",IF(AND($AO$2=1,ISNA(MATCH(L444,'04-نيسان'!$L$2:$L$501,0))),"محذوف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IF(L445="","",IF($AO$1=1,IFERROR(MATCH(L445,'02-شباط'!$L$2:$L$501,0),0),0))</f>
        <v/>
      </c>
      <c r="W445" t="str">
        <f t="shared" si="131"/>
        <v/>
      </c>
      <c r="X445" s="38" t="str">
        <f>IF(L445="","",IF(V445&gt;0,INDEX('02-شباط'!$P$2:$P$501,V445),IF($AO$1=1,0,"")))</f>
        <v/>
      </c>
      <c r="Y445" s="38" t="str">
        <f t="shared" si="132"/>
        <v/>
      </c>
      <c r="Z445" s="39" t="str">
        <f>IF(L445="","",IF(V445&gt;0,INDEX('02-شباط'!$Q$2:$Q$501,V445),IF($AO$1=1,0,"")))</f>
        <v/>
      </c>
      <c r="AA445" s="39" t="str">
        <f t="shared" si="133"/>
        <v/>
      </c>
      <c r="AB445" s="40" t="str">
        <f>IF(OR(L445="",V445=0),"",IF(AND(N(I445)&gt;0,N(INDEX('02-شباط'!$I$2:$I$501,V445))&gt;0,INDEX('02-شباط'!$F$2:$F$501,V445)=F445),N(I445)/N(INDEX('02-شباط'!$I$2:$I$501,V445))-1,""))</f>
        <v/>
      </c>
      <c r="AC445" t="str">
        <f>IF(L445="","",IF(AND($AO$2=1,ISNA(MATCH(L445,'04-نيسان'!$L$2:$L$501,0))),"محذوف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IF(L446="","",IF($AO$1=1,IFERROR(MATCH(L446,'02-شباط'!$L$2:$L$501,0),0),0))</f>
        <v/>
      </c>
      <c r="W446" t="str">
        <f t="shared" si="131"/>
        <v/>
      </c>
      <c r="X446" s="38" t="str">
        <f>IF(L446="","",IF(V446&gt;0,INDEX('02-شباط'!$P$2:$P$501,V446),IF($AO$1=1,0,"")))</f>
        <v/>
      </c>
      <c r="Y446" s="38" t="str">
        <f t="shared" si="132"/>
        <v/>
      </c>
      <c r="Z446" s="39" t="str">
        <f>IF(L446="","",IF(V446&gt;0,INDEX('02-شباط'!$Q$2:$Q$501,V446),IF($AO$1=1,0,"")))</f>
        <v/>
      </c>
      <c r="AA446" s="39" t="str">
        <f t="shared" si="133"/>
        <v/>
      </c>
      <c r="AB446" s="40" t="str">
        <f>IF(OR(L446="",V446=0),"",IF(AND(N(I446)&gt;0,N(INDEX('02-شباط'!$I$2:$I$501,V446))&gt;0,INDEX('02-شباط'!$F$2:$F$501,V446)=F446),N(I446)/N(INDEX('02-شباط'!$I$2:$I$501,V446))-1,""))</f>
        <v/>
      </c>
      <c r="AC446" t="str">
        <f>IF(L446="","",IF(AND($AO$2=1,ISNA(MATCH(L446,'04-نيسان'!$L$2:$L$501,0))),"محذوف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IF(L447="","",IF($AO$1=1,IFERROR(MATCH(L447,'02-شباط'!$L$2:$L$501,0),0),0))</f>
        <v/>
      </c>
      <c r="W447" t="str">
        <f t="shared" si="131"/>
        <v/>
      </c>
      <c r="X447" s="38" t="str">
        <f>IF(L447="","",IF(V447&gt;0,INDEX('02-شباط'!$P$2:$P$501,V447),IF($AO$1=1,0,"")))</f>
        <v/>
      </c>
      <c r="Y447" s="38" t="str">
        <f t="shared" si="132"/>
        <v/>
      </c>
      <c r="Z447" s="39" t="str">
        <f>IF(L447="","",IF(V447&gt;0,INDEX('02-شباط'!$Q$2:$Q$501,V447),IF($AO$1=1,0,"")))</f>
        <v/>
      </c>
      <c r="AA447" s="39" t="str">
        <f t="shared" si="133"/>
        <v/>
      </c>
      <c r="AB447" s="40" t="str">
        <f>IF(OR(L447="",V447=0),"",IF(AND(N(I447)&gt;0,N(INDEX('02-شباط'!$I$2:$I$501,V447))&gt;0,INDEX('02-شباط'!$F$2:$F$501,V447)=F447),N(I447)/N(INDEX('02-شباط'!$I$2:$I$501,V447))-1,""))</f>
        <v/>
      </c>
      <c r="AC447" t="str">
        <f>IF(L447="","",IF(AND($AO$2=1,ISNA(MATCH(L447,'04-نيسان'!$L$2:$L$501,0))),"محذوف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IF(L448="","",IF($AO$1=1,IFERROR(MATCH(L448,'02-شباط'!$L$2:$L$501,0),0),0))</f>
        <v/>
      </c>
      <c r="W448" t="str">
        <f t="shared" si="131"/>
        <v/>
      </c>
      <c r="X448" s="38" t="str">
        <f>IF(L448="","",IF(V448&gt;0,INDEX('02-شباط'!$P$2:$P$501,V448),IF($AO$1=1,0,"")))</f>
        <v/>
      </c>
      <c r="Y448" s="38" t="str">
        <f t="shared" si="132"/>
        <v/>
      </c>
      <c r="Z448" s="39" t="str">
        <f>IF(L448="","",IF(V448&gt;0,INDEX('02-شباط'!$Q$2:$Q$501,V448),IF($AO$1=1,0,"")))</f>
        <v/>
      </c>
      <c r="AA448" s="39" t="str">
        <f t="shared" si="133"/>
        <v/>
      </c>
      <c r="AB448" s="40" t="str">
        <f>IF(OR(L448="",V448=0),"",IF(AND(N(I448)&gt;0,N(INDEX('02-شباط'!$I$2:$I$501,V448))&gt;0,INDEX('02-شباط'!$F$2:$F$501,V448)=F448),N(I448)/N(INDEX('02-شباط'!$I$2:$I$501,V448))-1,""))</f>
        <v/>
      </c>
      <c r="AC448" t="str">
        <f>IF(L448="","",IF(AND($AO$2=1,ISNA(MATCH(L448,'04-نيسان'!$L$2:$L$501,0))),"محذوف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IF(L449="","",IF($AO$1=1,IFERROR(MATCH(L449,'02-شباط'!$L$2:$L$501,0),0),0))</f>
        <v/>
      </c>
      <c r="W449" t="str">
        <f t="shared" si="131"/>
        <v/>
      </c>
      <c r="X449" s="38" t="str">
        <f>IF(L449="","",IF(V449&gt;0,INDEX('02-شباط'!$P$2:$P$501,V449),IF($AO$1=1,0,"")))</f>
        <v/>
      </c>
      <c r="Y449" s="38" t="str">
        <f t="shared" si="132"/>
        <v/>
      </c>
      <c r="Z449" s="39" t="str">
        <f>IF(L449="","",IF(V449&gt;0,INDEX('02-شباط'!$Q$2:$Q$501,V449),IF($AO$1=1,0,"")))</f>
        <v/>
      </c>
      <c r="AA449" s="39" t="str">
        <f t="shared" si="133"/>
        <v/>
      </c>
      <c r="AB449" s="40" t="str">
        <f>IF(OR(L449="",V449=0),"",IF(AND(N(I449)&gt;0,N(INDEX('02-شباط'!$I$2:$I$501,V449))&gt;0,INDEX('02-شباط'!$F$2:$F$501,V449)=F449),N(I449)/N(INDEX('02-شباط'!$I$2:$I$501,V449))-1,""))</f>
        <v/>
      </c>
      <c r="AC449" t="str">
        <f>IF(L449="","",IF(AND($AO$2=1,ISNA(MATCH(L449,'04-نيسان'!$L$2:$L$501,0))),"محذوف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IF(L450="","",IF($AO$1=1,IFERROR(MATCH(L450,'02-شباط'!$L$2:$L$501,0),0),0))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IF(L450="","",IF(V450&gt;0,INDEX('02-شباط'!$P$2:$P$501,V450),IF($AO$1=1,0,"")))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IF(L450="","",IF(V450&gt;0,INDEX('02-شباط'!$Q$2:$Q$501,V450),IF($AO$1=1,0,"")))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IF(OR(L450="",V450=0),"",IF(AND(N(I450)&gt;0,N(INDEX('02-شباط'!$I$2:$I$501,V450))&gt;0,INDEX('02-شباط'!$F$2:$F$501,V450)=F450),N(I450)/N(INDEX('02-شباط'!$I$2:$I$501,V450))-1,""))</f>
        <v/>
      </c>
      <c r="AC450" t="str">
        <f>IF(L450="","",IF(AND($AO$2=1,ISNA(MATCH(L450,'04-نيسان'!$L$2:$L$501,0))),"محذوف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IF(L451="","",IF($AO$1=1,IFERROR(MATCH(L451,'02-شباط'!$L$2:$L$501,0),0),0))</f>
        <v/>
      </c>
      <c r="W451" t="str">
        <f t="shared" si="151"/>
        <v/>
      </c>
      <c r="X451" s="38" t="str">
        <f>IF(L451="","",IF(V451&gt;0,INDEX('02-شباط'!$P$2:$P$501,V451),IF($AO$1=1,0,"")))</f>
        <v/>
      </c>
      <c r="Y451" s="38" t="str">
        <f t="shared" si="152"/>
        <v/>
      </c>
      <c r="Z451" s="39" t="str">
        <f>IF(L451="","",IF(V451&gt;0,INDEX('02-شباط'!$Q$2:$Q$501,V451),IF($AO$1=1,0,"")))</f>
        <v/>
      </c>
      <c r="AA451" s="39" t="str">
        <f t="shared" si="153"/>
        <v/>
      </c>
      <c r="AB451" s="40" t="str">
        <f>IF(OR(L451="",V451=0),"",IF(AND(N(I451)&gt;0,N(INDEX('02-شباط'!$I$2:$I$501,V451))&gt;0,INDEX('02-شباط'!$F$2:$F$501,V451)=F451),N(I451)/N(INDEX('02-شباط'!$I$2:$I$501,V451))-1,""))</f>
        <v/>
      </c>
      <c r="AC451" t="str">
        <f>IF(L451="","",IF(AND($AO$2=1,ISNA(MATCH(L451,'04-نيسان'!$L$2:$L$501,0))),"محذوف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IF(L452="","",IF($AO$1=1,IFERROR(MATCH(L452,'02-شباط'!$L$2:$L$501,0),0),0))</f>
        <v/>
      </c>
      <c r="W452" t="str">
        <f t="shared" si="151"/>
        <v/>
      </c>
      <c r="X452" s="38" t="str">
        <f>IF(L452="","",IF(V452&gt;0,INDEX('02-شباط'!$P$2:$P$501,V452),IF($AO$1=1,0,"")))</f>
        <v/>
      </c>
      <c r="Y452" s="38" t="str">
        <f t="shared" si="152"/>
        <v/>
      </c>
      <c r="Z452" s="39" t="str">
        <f>IF(L452="","",IF(V452&gt;0,INDEX('02-شباط'!$Q$2:$Q$501,V452),IF($AO$1=1,0,"")))</f>
        <v/>
      </c>
      <c r="AA452" s="39" t="str">
        <f t="shared" si="153"/>
        <v/>
      </c>
      <c r="AB452" s="40" t="str">
        <f>IF(OR(L452="",V452=0),"",IF(AND(N(I452)&gt;0,N(INDEX('02-شباط'!$I$2:$I$501,V452))&gt;0,INDEX('02-شباط'!$F$2:$F$501,V452)=F452),N(I452)/N(INDEX('02-شباط'!$I$2:$I$501,V452))-1,""))</f>
        <v/>
      </c>
      <c r="AC452" t="str">
        <f>IF(L452="","",IF(AND($AO$2=1,ISNA(MATCH(L452,'04-نيسان'!$L$2:$L$501,0))),"محذوف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IF(L453="","",IF($AO$1=1,IFERROR(MATCH(L453,'02-شباط'!$L$2:$L$501,0),0),0))</f>
        <v/>
      </c>
      <c r="W453" t="str">
        <f t="shared" si="151"/>
        <v/>
      </c>
      <c r="X453" s="38" t="str">
        <f>IF(L453="","",IF(V453&gt;0,INDEX('02-شباط'!$P$2:$P$501,V453),IF($AO$1=1,0,"")))</f>
        <v/>
      </c>
      <c r="Y453" s="38" t="str">
        <f t="shared" si="152"/>
        <v/>
      </c>
      <c r="Z453" s="39" t="str">
        <f>IF(L453="","",IF(V453&gt;0,INDEX('02-شباط'!$Q$2:$Q$501,V453),IF($AO$1=1,0,"")))</f>
        <v/>
      </c>
      <c r="AA453" s="39" t="str">
        <f t="shared" si="153"/>
        <v/>
      </c>
      <c r="AB453" s="40" t="str">
        <f>IF(OR(L453="",V453=0),"",IF(AND(N(I453)&gt;0,N(INDEX('02-شباط'!$I$2:$I$501,V453))&gt;0,INDEX('02-شباط'!$F$2:$F$501,V453)=F453),N(I453)/N(INDEX('02-شباط'!$I$2:$I$501,V453))-1,""))</f>
        <v/>
      </c>
      <c r="AC453" t="str">
        <f>IF(L453="","",IF(AND($AO$2=1,ISNA(MATCH(L453,'04-نيسان'!$L$2:$L$501,0))),"محذوف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IF(L454="","",IF($AO$1=1,IFERROR(MATCH(L454,'02-شباط'!$L$2:$L$501,0),0),0))</f>
        <v/>
      </c>
      <c r="W454" t="str">
        <f t="shared" si="151"/>
        <v/>
      </c>
      <c r="X454" s="38" t="str">
        <f>IF(L454="","",IF(V454&gt;0,INDEX('02-شباط'!$P$2:$P$501,V454),IF($AO$1=1,0,"")))</f>
        <v/>
      </c>
      <c r="Y454" s="38" t="str">
        <f t="shared" si="152"/>
        <v/>
      </c>
      <c r="Z454" s="39" t="str">
        <f>IF(L454="","",IF(V454&gt;0,INDEX('02-شباط'!$Q$2:$Q$501,V454),IF($AO$1=1,0,"")))</f>
        <v/>
      </c>
      <c r="AA454" s="39" t="str">
        <f t="shared" si="153"/>
        <v/>
      </c>
      <c r="AB454" s="40" t="str">
        <f>IF(OR(L454="",V454=0),"",IF(AND(N(I454)&gt;0,N(INDEX('02-شباط'!$I$2:$I$501,V454))&gt;0,INDEX('02-شباط'!$F$2:$F$501,V454)=F454),N(I454)/N(INDEX('02-شباط'!$I$2:$I$501,V454))-1,""))</f>
        <v/>
      </c>
      <c r="AC454" t="str">
        <f>IF(L454="","",IF(AND($AO$2=1,ISNA(MATCH(L454,'04-نيسان'!$L$2:$L$501,0))),"محذوف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IF(L455="","",IF($AO$1=1,IFERROR(MATCH(L455,'02-شباط'!$L$2:$L$501,0),0),0))</f>
        <v/>
      </c>
      <c r="W455" t="str">
        <f t="shared" si="151"/>
        <v/>
      </c>
      <c r="X455" s="38" t="str">
        <f>IF(L455="","",IF(V455&gt;0,INDEX('02-شباط'!$P$2:$P$501,V455),IF($AO$1=1,0,"")))</f>
        <v/>
      </c>
      <c r="Y455" s="38" t="str">
        <f t="shared" si="152"/>
        <v/>
      </c>
      <c r="Z455" s="39" t="str">
        <f>IF(L455="","",IF(V455&gt;0,INDEX('02-شباط'!$Q$2:$Q$501,V455),IF($AO$1=1,0,"")))</f>
        <v/>
      </c>
      <c r="AA455" s="39" t="str">
        <f t="shared" si="153"/>
        <v/>
      </c>
      <c r="AB455" s="40" t="str">
        <f>IF(OR(L455="",V455=0),"",IF(AND(N(I455)&gt;0,N(INDEX('02-شباط'!$I$2:$I$501,V455))&gt;0,INDEX('02-شباط'!$F$2:$F$501,V455)=F455),N(I455)/N(INDEX('02-شباط'!$I$2:$I$501,V455))-1,""))</f>
        <v/>
      </c>
      <c r="AC455" t="str">
        <f>IF(L455="","",IF(AND($AO$2=1,ISNA(MATCH(L455,'04-نيسان'!$L$2:$L$501,0))),"محذوف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IF(L456="","",IF($AO$1=1,IFERROR(MATCH(L456,'02-شباط'!$L$2:$L$501,0),0),0))</f>
        <v/>
      </c>
      <c r="W456" t="str">
        <f t="shared" si="151"/>
        <v/>
      </c>
      <c r="X456" s="38" t="str">
        <f>IF(L456="","",IF(V456&gt;0,INDEX('02-شباط'!$P$2:$P$501,V456),IF($AO$1=1,0,"")))</f>
        <v/>
      </c>
      <c r="Y456" s="38" t="str">
        <f t="shared" si="152"/>
        <v/>
      </c>
      <c r="Z456" s="39" t="str">
        <f>IF(L456="","",IF(V456&gt;0,INDEX('02-شباط'!$Q$2:$Q$501,V456),IF($AO$1=1,0,"")))</f>
        <v/>
      </c>
      <c r="AA456" s="39" t="str">
        <f t="shared" si="153"/>
        <v/>
      </c>
      <c r="AB456" s="40" t="str">
        <f>IF(OR(L456="",V456=0),"",IF(AND(N(I456)&gt;0,N(INDEX('02-شباط'!$I$2:$I$501,V456))&gt;0,INDEX('02-شباط'!$F$2:$F$501,V456)=F456),N(I456)/N(INDEX('02-شباط'!$I$2:$I$501,V456))-1,""))</f>
        <v/>
      </c>
      <c r="AC456" t="str">
        <f>IF(L456="","",IF(AND($AO$2=1,ISNA(MATCH(L456,'04-نيسان'!$L$2:$L$501,0))),"محذوف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IF(L457="","",IF($AO$1=1,IFERROR(MATCH(L457,'02-شباط'!$L$2:$L$501,0),0),0))</f>
        <v/>
      </c>
      <c r="W457" t="str">
        <f t="shared" si="151"/>
        <v/>
      </c>
      <c r="X457" s="38" t="str">
        <f>IF(L457="","",IF(V457&gt;0,INDEX('02-شباط'!$P$2:$P$501,V457),IF($AO$1=1,0,"")))</f>
        <v/>
      </c>
      <c r="Y457" s="38" t="str">
        <f t="shared" si="152"/>
        <v/>
      </c>
      <c r="Z457" s="39" t="str">
        <f>IF(L457="","",IF(V457&gt;0,INDEX('02-شباط'!$Q$2:$Q$501,V457),IF($AO$1=1,0,"")))</f>
        <v/>
      </c>
      <c r="AA457" s="39" t="str">
        <f t="shared" si="153"/>
        <v/>
      </c>
      <c r="AB457" s="40" t="str">
        <f>IF(OR(L457="",V457=0),"",IF(AND(N(I457)&gt;0,N(INDEX('02-شباط'!$I$2:$I$501,V457))&gt;0,INDEX('02-شباط'!$F$2:$F$501,V457)=F457),N(I457)/N(INDEX('02-شباط'!$I$2:$I$501,V457))-1,""))</f>
        <v/>
      </c>
      <c r="AC457" t="str">
        <f>IF(L457="","",IF(AND($AO$2=1,ISNA(MATCH(L457,'04-نيسان'!$L$2:$L$501,0))),"محذوف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IF(L458="","",IF($AO$1=1,IFERROR(MATCH(L458,'02-شباط'!$L$2:$L$501,0),0),0))</f>
        <v/>
      </c>
      <c r="W458" t="str">
        <f t="shared" si="151"/>
        <v/>
      </c>
      <c r="X458" s="38" t="str">
        <f>IF(L458="","",IF(V458&gt;0,INDEX('02-شباط'!$P$2:$P$501,V458),IF($AO$1=1,0,"")))</f>
        <v/>
      </c>
      <c r="Y458" s="38" t="str">
        <f t="shared" si="152"/>
        <v/>
      </c>
      <c r="Z458" s="39" t="str">
        <f>IF(L458="","",IF(V458&gt;0,INDEX('02-شباط'!$Q$2:$Q$501,V458),IF($AO$1=1,0,"")))</f>
        <v/>
      </c>
      <c r="AA458" s="39" t="str">
        <f t="shared" si="153"/>
        <v/>
      </c>
      <c r="AB458" s="40" t="str">
        <f>IF(OR(L458="",V458=0),"",IF(AND(N(I458)&gt;0,N(INDEX('02-شباط'!$I$2:$I$501,V458))&gt;0,INDEX('02-شباط'!$F$2:$F$501,V458)=F458),N(I458)/N(INDEX('02-شباط'!$I$2:$I$501,V458))-1,""))</f>
        <v/>
      </c>
      <c r="AC458" t="str">
        <f>IF(L458="","",IF(AND($AO$2=1,ISNA(MATCH(L458,'04-نيسان'!$L$2:$L$501,0))),"محذوف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IF(L459="","",IF($AO$1=1,IFERROR(MATCH(L459,'02-شباط'!$L$2:$L$501,0),0),0))</f>
        <v/>
      </c>
      <c r="W459" t="str">
        <f t="shared" si="151"/>
        <v/>
      </c>
      <c r="X459" s="38" t="str">
        <f>IF(L459="","",IF(V459&gt;0,INDEX('02-شباط'!$P$2:$P$501,V459),IF($AO$1=1,0,"")))</f>
        <v/>
      </c>
      <c r="Y459" s="38" t="str">
        <f t="shared" si="152"/>
        <v/>
      </c>
      <c r="Z459" s="39" t="str">
        <f>IF(L459="","",IF(V459&gt;0,INDEX('02-شباط'!$Q$2:$Q$501,V459),IF($AO$1=1,0,"")))</f>
        <v/>
      </c>
      <c r="AA459" s="39" t="str">
        <f t="shared" si="153"/>
        <v/>
      </c>
      <c r="AB459" s="40" t="str">
        <f>IF(OR(L459="",V459=0),"",IF(AND(N(I459)&gt;0,N(INDEX('02-شباط'!$I$2:$I$501,V459))&gt;0,INDEX('02-شباط'!$F$2:$F$501,V459)=F459),N(I459)/N(INDEX('02-شباط'!$I$2:$I$501,V459))-1,""))</f>
        <v/>
      </c>
      <c r="AC459" t="str">
        <f>IF(L459="","",IF(AND($AO$2=1,ISNA(MATCH(L459,'04-نيسان'!$L$2:$L$501,0))),"محذوف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IF(L460="","",IF($AO$1=1,IFERROR(MATCH(L460,'02-شباط'!$L$2:$L$501,0),0),0))</f>
        <v/>
      </c>
      <c r="W460" t="str">
        <f t="shared" si="151"/>
        <v/>
      </c>
      <c r="X460" s="38" t="str">
        <f>IF(L460="","",IF(V460&gt;0,INDEX('02-شباط'!$P$2:$P$501,V460),IF($AO$1=1,0,"")))</f>
        <v/>
      </c>
      <c r="Y460" s="38" t="str">
        <f t="shared" si="152"/>
        <v/>
      </c>
      <c r="Z460" s="39" t="str">
        <f>IF(L460="","",IF(V460&gt;0,INDEX('02-شباط'!$Q$2:$Q$501,V460),IF($AO$1=1,0,"")))</f>
        <v/>
      </c>
      <c r="AA460" s="39" t="str">
        <f t="shared" si="153"/>
        <v/>
      </c>
      <c r="AB460" s="40" t="str">
        <f>IF(OR(L460="",V460=0),"",IF(AND(N(I460)&gt;0,N(INDEX('02-شباط'!$I$2:$I$501,V460))&gt;0,INDEX('02-شباط'!$F$2:$F$501,V460)=F460),N(I460)/N(INDEX('02-شباط'!$I$2:$I$501,V460))-1,""))</f>
        <v/>
      </c>
      <c r="AC460" t="str">
        <f>IF(L460="","",IF(AND($AO$2=1,ISNA(MATCH(L460,'04-نيسان'!$L$2:$L$501,0))),"محذوف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IF(L461="","",IF($AO$1=1,IFERROR(MATCH(L461,'02-شباط'!$L$2:$L$501,0),0),0))</f>
        <v/>
      </c>
      <c r="W461" t="str">
        <f t="shared" si="151"/>
        <v/>
      </c>
      <c r="X461" s="38" t="str">
        <f>IF(L461="","",IF(V461&gt;0,INDEX('02-شباط'!$P$2:$P$501,V461),IF($AO$1=1,0,"")))</f>
        <v/>
      </c>
      <c r="Y461" s="38" t="str">
        <f t="shared" si="152"/>
        <v/>
      </c>
      <c r="Z461" s="39" t="str">
        <f>IF(L461="","",IF(V461&gt;0,INDEX('02-شباط'!$Q$2:$Q$501,V461),IF($AO$1=1,0,"")))</f>
        <v/>
      </c>
      <c r="AA461" s="39" t="str">
        <f t="shared" si="153"/>
        <v/>
      </c>
      <c r="AB461" s="40" t="str">
        <f>IF(OR(L461="",V461=0),"",IF(AND(N(I461)&gt;0,N(INDEX('02-شباط'!$I$2:$I$501,V461))&gt;0,INDEX('02-شباط'!$F$2:$F$501,V461)=F461),N(I461)/N(INDEX('02-شباط'!$I$2:$I$501,V461))-1,""))</f>
        <v/>
      </c>
      <c r="AC461" t="str">
        <f>IF(L461="","",IF(AND($AO$2=1,ISNA(MATCH(L461,'04-نيسان'!$L$2:$L$501,0))),"محذوف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IF(L462="","",IF($AO$1=1,IFERROR(MATCH(L462,'02-شباط'!$L$2:$L$501,0),0),0))</f>
        <v/>
      </c>
      <c r="W462" t="str">
        <f t="shared" si="151"/>
        <v/>
      </c>
      <c r="X462" s="38" t="str">
        <f>IF(L462="","",IF(V462&gt;0,INDEX('02-شباط'!$P$2:$P$501,V462),IF($AO$1=1,0,"")))</f>
        <v/>
      </c>
      <c r="Y462" s="38" t="str">
        <f t="shared" si="152"/>
        <v/>
      </c>
      <c r="Z462" s="39" t="str">
        <f>IF(L462="","",IF(V462&gt;0,INDEX('02-شباط'!$Q$2:$Q$501,V462),IF($AO$1=1,0,"")))</f>
        <v/>
      </c>
      <c r="AA462" s="39" t="str">
        <f t="shared" si="153"/>
        <v/>
      </c>
      <c r="AB462" s="40" t="str">
        <f>IF(OR(L462="",V462=0),"",IF(AND(N(I462)&gt;0,N(INDEX('02-شباط'!$I$2:$I$501,V462))&gt;0,INDEX('02-شباط'!$F$2:$F$501,V462)=F462),N(I462)/N(INDEX('02-شباط'!$I$2:$I$501,V462))-1,""))</f>
        <v/>
      </c>
      <c r="AC462" t="str">
        <f>IF(L462="","",IF(AND($AO$2=1,ISNA(MATCH(L462,'04-نيسان'!$L$2:$L$501,0))),"محذوف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IF(L463="","",IF($AO$1=1,IFERROR(MATCH(L463,'02-شباط'!$L$2:$L$501,0),0),0))</f>
        <v/>
      </c>
      <c r="W463" t="str">
        <f t="shared" si="151"/>
        <v/>
      </c>
      <c r="X463" s="38" t="str">
        <f>IF(L463="","",IF(V463&gt;0,INDEX('02-شباط'!$P$2:$P$501,V463),IF($AO$1=1,0,"")))</f>
        <v/>
      </c>
      <c r="Y463" s="38" t="str">
        <f t="shared" si="152"/>
        <v/>
      </c>
      <c r="Z463" s="39" t="str">
        <f>IF(L463="","",IF(V463&gt;0,INDEX('02-شباط'!$Q$2:$Q$501,V463),IF($AO$1=1,0,"")))</f>
        <v/>
      </c>
      <c r="AA463" s="39" t="str">
        <f t="shared" si="153"/>
        <v/>
      </c>
      <c r="AB463" s="40" t="str">
        <f>IF(OR(L463="",V463=0),"",IF(AND(N(I463)&gt;0,N(INDEX('02-شباط'!$I$2:$I$501,V463))&gt;0,INDEX('02-شباط'!$F$2:$F$501,V463)=F463),N(I463)/N(INDEX('02-شباط'!$I$2:$I$501,V463))-1,""))</f>
        <v/>
      </c>
      <c r="AC463" t="str">
        <f>IF(L463="","",IF(AND($AO$2=1,ISNA(MATCH(L463,'04-نيسان'!$L$2:$L$501,0))),"محذوف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IF(L464="","",IF($AO$1=1,IFERROR(MATCH(L464,'02-شباط'!$L$2:$L$501,0),0),0))</f>
        <v/>
      </c>
      <c r="W464" t="str">
        <f t="shared" si="151"/>
        <v/>
      </c>
      <c r="X464" s="38" t="str">
        <f>IF(L464="","",IF(V464&gt;0,INDEX('02-شباط'!$P$2:$P$501,V464),IF($AO$1=1,0,"")))</f>
        <v/>
      </c>
      <c r="Y464" s="38" t="str">
        <f t="shared" si="152"/>
        <v/>
      </c>
      <c r="Z464" s="39" t="str">
        <f>IF(L464="","",IF(V464&gt;0,INDEX('02-شباط'!$Q$2:$Q$501,V464),IF($AO$1=1,0,"")))</f>
        <v/>
      </c>
      <c r="AA464" s="39" t="str">
        <f t="shared" si="153"/>
        <v/>
      </c>
      <c r="AB464" s="40" t="str">
        <f>IF(OR(L464="",V464=0),"",IF(AND(N(I464)&gt;0,N(INDEX('02-شباط'!$I$2:$I$501,V464))&gt;0,INDEX('02-شباط'!$F$2:$F$501,V464)=F464),N(I464)/N(INDEX('02-شباط'!$I$2:$I$501,V464))-1,""))</f>
        <v/>
      </c>
      <c r="AC464" t="str">
        <f>IF(L464="","",IF(AND($AO$2=1,ISNA(MATCH(L464,'04-نيسان'!$L$2:$L$501,0))),"محذوف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IF(L465="","",IF($AO$1=1,IFERROR(MATCH(L465,'02-شباط'!$L$2:$L$501,0),0),0))</f>
        <v/>
      </c>
      <c r="W465" t="str">
        <f t="shared" si="151"/>
        <v/>
      </c>
      <c r="X465" s="38" t="str">
        <f>IF(L465="","",IF(V465&gt;0,INDEX('02-شباط'!$P$2:$P$501,V465),IF($AO$1=1,0,"")))</f>
        <v/>
      </c>
      <c r="Y465" s="38" t="str">
        <f t="shared" si="152"/>
        <v/>
      </c>
      <c r="Z465" s="39" t="str">
        <f>IF(L465="","",IF(V465&gt;0,INDEX('02-شباط'!$Q$2:$Q$501,V465),IF($AO$1=1,0,"")))</f>
        <v/>
      </c>
      <c r="AA465" s="39" t="str">
        <f t="shared" si="153"/>
        <v/>
      </c>
      <c r="AB465" s="40" t="str">
        <f>IF(OR(L465="",V465=0),"",IF(AND(N(I465)&gt;0,N(INDEX('02-شباط'!$I$2:$I$501,V465))&gt;0,INDEX('02-شباط'!$F$2:$F$501,V465)=F465),N(I465)/N(INDEX('02-شباط'!$I$2:$I$501,V465))-1,""))</f>
        <v/>
      </c>
      <c r="AC465" t="str">
        <f>IF(L465="","",IF(AND($AO$2=1,ISNA(MATCH(L465,'04-نيسان'!$L$2:$L$501,0))),"محذوف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IF(L466="","",IF($AO$1=1,IFERROR(MATCH(L466,'02-شباط'!$L$2:$L$501,0),0),0))</f>
        <v/>
      </c>
      <c r="W466" t="str">
        <f t="shared" si="151"/>
        <v/>
      </c>
      <c r="X466" s="38" t="str">
        <f>IF(L466="","",IF(V466&gt;0,INDEX('02-شباط'!$P$2:$P$501,V466),IF($AO$1=1,0,"")))</f>
        <v/>
      </c>
      <c r="Y466" s="38" t="str">
        <f t="shared" si="152"/>
        <v/>
      </c>
      <c r="Z466" s="39" t="str">
        <f>IF(L466="","",IF(V466&gt;0,INDEX('02-شباط'!$Q$2:$Q$501,V466),IF($AO$1=1,0,"")))</f>
        <v/>
      </c>
      <c r="AA466" s="39" t="str">
        <f t="shared" si="153"/>
        <v/>
      </c>
      <c r="AB466" s="40" t="str">
        <f>IF(OR(L466="",V466=0),"",IF(AND(N(I466)&gt;0,N(INDEX('02-شباط'!$I$2:$I$501,V466))&gt;0,INDEX('02-شباط'!$F$2:$F$501,V466)=F466),N(I466)/N(INDEX('02-شباط'!$I$2:$I$501,V466))-1,""))</f>
        <v/>
      </c>
      <c r="AC466" t="str">
        <f>IF(L466="","",IF(AND($AO$2=1,ISNA(MATCH(L466,'04-نيسان'!$L$2:$L$501,0))),"محذوف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IF(L467="","",IF($AO$1=1,IFERROR(MATCH(L467,'02-شباط'!$L$2:$L$501,0),0),0))</f>
        <v/>
      </c>
      <c r="W467" t="str">
        <f t="shared" si="151"/>
        <v/>
      </c>
      <c r="X467" s="38" t="str">
        <f>IF(L467="","",IF(V467&gt;0,INDEX('02-شباط'!$P$2:$P$501,V467),IF($AO$1=1,0,"")))</f>
        <v/>
      </c>
      <c r="Y467" s="38" t="str">
        <f t="shared" si="152"/>
        <v/>
      </c>
      <c r="Z467" s="39" t="str">
        <f>IF(L467="","",IF(V467&gt;0,INDEX('02-شباط'!$Q$2:$Q$501,V467),IF($AO$1=1,0,"")))</f>
        <v/>
      </c>
      <c r="AA467" s="39" t="str">
        <f t="shared" si="153"/>
        <v/>
      </c>
      <c r="AB467" s="40" t="str">
        <f>IF(OR(L467="",V467=0),"",IF(AND(N(I467)&gt;0,N(INDEX('02-شباط'!$I$2:$I$501,V467))&gt;0,INDEX('02-شباط'!$F$2:$F$501,V467)=F467),N(I467)/N(INDEX('02-شباط'!$I$2:$I$501,V467))-1,""))</f>
        <v/>
      </c>
      <c r="AC467" t="str">
        <f>IF(L467="","",IF(AND($AO$2=1,ISNA(MATCH(L467,'04-نيسان'!$L$2:$L$501,0))),"محذوف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IF(L468="","",IF($AO$1=1,IFERROR(MATCH(L468,'02-شباط'!$L$2:$L$501,0),0),0))</f>
        <v/>
      </c>
      <c r="W468" t="str">
        <f t="shared" si="151"/>
        <v/>
      </c>
      <c r="X468" s="38" t="str">
        <f>IF(L468="","",IF(V468&gt;0,INDEX('02-شباط'!$P$2:$P$501,V468),IF($AO$1=1,0,"")))</f>
        <v/>
      </c>
      <c r="Y468" s="38" t="str">
        <f t="shared" si="152"/>
        <v/>
      </c>
      <c r="Z468" s="39" t="str">
        <f>IF(L468="","",IF(V468&gt;0,INDEX('02-شباط'!$Q$2:$Q$501,V468),IF($AO$1=1,0,"")))</f>
        <v/>
      </c>
      <c r="AA468" s="39" t="str">
        <f t="shared" si="153"/>
        <v/>
      </c>
      <c r="AB468" s="40" t="str">
        <f>IF(OR(L468="",V468=0),"",IF(AND(N(I468)&gt;0,N(INDEX('02-شباط'!$I$2:$I$501,V468))&gt;0,INDEX('02-شباط'!$F$2:$F$501,V468)=F468),N(I468)/N(INDEX('02-شباط'!$I$2:$I$501,V468))-1,""))</f>
        <v/>
      </c>
      <c r="AC468" t="str">
        <f>IF(L468="","",IF(AND($AO$2=1,ISNA(MATCH(L468,'04-نيسان'!$L$2:$L$501,0))),"محذوف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IF(L469="","",IF($AO$1=1,IFERROR(MATCH(L469,'02-شباط'!$L$2:$L$501,0),0),0))</f>
        <v/>
      </c>
      <c r="W469" t="str">
        <f t="shared" si="151"/>
        <v/>
      </c>
      <c r="X469" s="38" t="str">
        <f>IF(L469="","",IF(V469&gt;0,INDEX('02-شباط'!$P$2:$P$501,V469),IF($AO$1=1,0,"")))</f>
        <v/>
      </c>
      <c r="Y469" s="38" t="str">
        <f t="shared" si="152"/>
        <v/>
      </c>
      <c r="Z469" s="39" t="str">
        <f>IF(L469="","",IF(V469&gt;0,INDEX('02-شباط'!$Q$2:$Q$501,V469),IF($AO$1=1,0,"")))</f>
        <v/>
      </c>
      <c r="AA469" s="39" t="str">
        <f t="shared" si="153"/>
        <v/>
      </c>
      <c r="AB469" s="40" t="str">
        <f>IF(OR(L469="",V469=0),"",IF(AND(N(I469)&gt;0,N(INDEX('02-شباط'!$I$2:$I$501,V469))&gt;0,INDEX('02-شباط'!$F$2:$F$501,V469)=F469),N(I469)/N(INDEX('02-شباط'!$I$2:$I$501,V469))-1,""))</f>
        <v/>
      </c>
      <c r="AC469" t="str">
        <f>IF(L469="","",IF(AND($AO$2=1,ISNA(MATCH(L469,'04-نيسان'!$L$2:$L$501,0))),"محذوف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IF(L470="","",IF($AO$1=1,IFERROR(MATCH(L470,'02-شباط'!$L$2:$L$501,0),0),0))</f>
        <v/>
      </c>
      <c r="W470" t="str">
        <f t="shared" si="151"/>
        <v/>
      </c>
      <c r="X470" s="38" t="str">
        <f>IF(L470="","",IF(V470&gt;0,INDEX('02-شباط'!$P$2:$P$501,V470),IF($AO$1=1,0,"")))</f>
        <v/>
      </c>
      <c r="Y470" s="38" t="str">
        <f t="shared" si="152"/>
        <v/>
      </c>
      <c r="Z470" s="39" t="str">
        <f>IF(L470="","",IF(V470&gt;0,INDEX('02-شباط'!$Q$2:$Q$501,V470),IF($AO$1=1,0,"")))</f>
        <v/>
      </c>
      <c r="AA470" s="39" t="str">
        <f t="shared" si="153"/>
        <v/>
      </c>
      <c r="AB470" s="40" t="str">
        <f>IF(OR(L470="",V470=0),"",IF(AND(N(I470)&gt;0,N(INDEX('02-شباط'!$I$2:$I$501,V470))&gt;0,INDEX('02-شباط'!$F$2:$F$501,V470)=F470),N(I470)/N(INDEX('02-شباط'!$I$2:$I$501,V470))-1,""))</f>
        <v/>
      </c>
      <c r="AC470" t="str">
        <f>IF(L470="","",IF(AND($AO$2=1,ISNA(MATCH(L470,'04-نيسان'!$L$2:$L$501,0))),"محذوف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IF(L471="","",IF($AO$1=1,IFERROR(MATCH(L471,'02-شباط'!$L$2:$L$501,0),0),0))</f>
        <v/>
      </c>
      <c r="W471" t="str">
        <f t="shared" si="151"/>
        <v/>
      </c>
      <c r="X471" s="38" t="str">
        <f>IF(L471="","",IF(V471&gt;0,INDEX('02-شباط'!$P$2:$P$501,V471),IF($AO$1=1,0,"")))</f>
        <v/>
      </c>
      <c r="Y471" s="38" t="str">
        <f t="shared" si="152"/>
        <v/>
      </c>
      <c r="Z471" s="39" t="str">
        <f>IF(L471="","",IF(V471&gt;0,INDEX('02-شباط'!$Q$2:$Q$501,V471),IF($AO$1=1,0,"")))</f>
        <v/>
      </c>
      <c r="AA471" s="39" t="str">
        <f t="shared" si="153"/>
        <v/>
      </c>
      <c r="AB471" s="40" t="str">
        <f>IF(OR(L471="",V471=0),"",IF(AND(N(I471)&gt;0,N(INDEX('02-شباط'!$I$2:$I$501,V471))&gt;0,INDEX('02-شباط'!$F$2:$F$501,V471)=F471),N(I471)/N(INDEX('02-شباط'!$I$2:$I$501,V471))-1,""))</f>
        <v/>
      </c>
      <c r="AC471" t="str">
        <f>IF(L471="","",IF(AND($AO$2=1,ISNA(MATCH(L471,'04-نيسان'!$L$2:$L$501,0))),"محذوف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IF(L472="","",IF($AO$1=1,IFERROR(MATCH(L472,'02-شباط'!$L$2:$L$501,0),0),0))</f>
        <v/>
      </c>
      <c r="W472" t="str">
        <f t="shared" si="151"/>
        <v/>
      </c>
      <c r="X472" s="38" t="str">
        <f>IF(L472="","",IF(V472&gt;0,INDEX('02-شباط'!$P$2:$P$501,V472),IF($AO$1=1,0,"")))</f>
        <v/>
      </c>
      <c r="Y472" s="38" t="str">
        <f t="shared" si="152"/>
        <v/>
      </c>
      <c r="Z472" s="39" t="str">
        <f>IF(L472="","",IF(V472&gt;0,INDEX('02-شباط'!$Q$2:$Q$501,V472),IF($AO$1=1,0,"")))</f>
        <v/>
      </c>
      <c r="AA472" s="39" t="str">
        <f t="shared" si="153"/>
        <v/>
      </c>
      <c r="AB472" s="40" t="str">
        <f>IF(OR(L472="",V472=0),"",IF(AND(N(I472)&gt;0,N(INDEX('02-شباط'!$I$2:$I$501,V472))&gt;0,INDEX('02-شباط'!$F$2:$F$501,V472)=F472),N(I472)/N(INDEX('02-شباط'!$I$2:$I$501,V472))-1,""))</f>
        <v/>
      </c>
      <c r="AC472" t="str">
        <f>IF(L472="","",IF(AND($AO$2=1,ISNA(MATCH(L472,'04-نيسان'!$L$2:$L$501,0))),"محذوف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IF(L473="","",IF($AO$1=1,IFERROR(MATCH(L473,'02-شباط'!$L$2:$L$501,0),0),0))</f>
        <v/>
      </c>
      <c r="W473" t="str">
        <f t="shared" si="151"/>
        <v/>
      </c>
      <c r="X473" s="38" t="str">
        <f>IF(L473="","",IF(V473&gt;0,INDEX('02-شباط'!$P$2:$P$501,V473),IF($AO$1=1,0,"")))</f>
        <v/>
      </c>
      <c r="Y473" s="38" t="str">
        <f t="shared" si="152"/>
        <v/>
      </c>
      <c r="Z473" s="39" t="str">
        <f>IF(L473="","",IF(V473&gt;0,INDEX('02-شباط'!$Q$2:$Q$501,V473),IF($AO$1=1,0,"")))</f>
        <v/>
      </c>
      <c r="AA473" s="39" t="str">
        <f t="shared" si="153"/>
        <v/>
      </c>
      <c r="AB473" s="40" t="str">
        <f>IF(OR(L473="",V473=0),"",IF(AND(N(I473)&gt;0,N(INDEX('02-شباط'!$I$2:$I$501,V473))&gt;0,INDEX('02-شباط'!$F$2:$F$501,V473)=F473),N(I473)/N(INDEX('02-شباط'!$I$2:$I$501,V473))-1,""))</f>
        <v/>
      </c>
      <c r="AC473" t="str">
        <f>IF(L473="","",IF(AND($AO$2=1,ISNA(MATCH(L473,'04-نيسان'!$L$2:$L$501,0))),"محذوف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IF(L474="","",IF($AO$1=1,IFERROR(MATCH(L474,'02-شباط'!$L$2:$L$501,0),0),0))</f>
        <v/>
      </c>
      <c r="W474" t="str">
        <f t="shared" si="151"/>
        <v/>
      </c>
      <c r="X474" s="38" t="str">
        <f>IF(L474="","",IF(V474&gt;0,INDEX('02-شباط'!$P$2:$P$501,V474),IF($AO$1=1,0,"")))</f>
        <v/>
      </c>
      <c r="Y474" s="38" t="str">
        <f t="shared" si="152"/>
        <v/>
      </c>
      <c r="Z474" s="39" t="str">
        <f>IF(L474="","",IF(V474&gt;0,INDEX('02-شباط'!$Q$2:$Q$501,V474),IF($AO$1=1,0,"")))</f>
        <v/>
      </c>
      <c r="AA474" s="39" t="str">
        <f t="shared" si="153"/>
        <v/>
      </c>
      <c r="AB474" s="40" t="str">
        <f>IF(OR(L474="",V474=0),"",IF(AND(N(I474)&gt;0,N(INDEX('02-شباط'!$I$2:$I$501,V474))&gt;0,INDEX('02-شباط'!$F$2:$F$501,V474)=F474),N(I474)/N(INDEX('02-شباط'!$I$2:$I$501,V474))-1,""))</f>
        <v/>
      </c>
      <c r="AC474" t="str">
        <f>IF(L474="","",IF(AND($AO$2=1,ISNA(MATCH(L474,'04-نيسان'!$L$2:$L$501,0))),"محذوف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IF(L475="","",IF($AO$1=1,IFERROR(MATCH(L475,'02-شباط'!$L$2:$L$501,0),0),0))</f>
        <v/>
      </c>
      <c r="W475" t="str">
        <f t="shared" si="151"/>
        <v/>
      </c>
      <c r="X475" s="38" t="str">
        <f>IF(L475="","",IF(V475&gt;0,INDEX('02-شباط'!$P$2:$P$501,V475),IF($AO$1=1,0,"")))</f>
        <v/>
      </c>
      <c r="Y475" s="38" t="str">
        <f t="shared" si="152"/>
        <v/>
      </c>
      <c r="Z475" s="39" t="str">
        <f>IF(L475="","",IF(V475&gt;0,INDEX('02-شباط'!$Q$2:$Q$501,V475),IF($AO$1=1,0,"")))</f>
        <v/>
      </c>
      <c r="AA475" s="39" t="str">
        <f t="shared" si="153"/>
        <v/>
      </c>
      <c r="AB475" s="40" t="str">
        <f>IF(OR(L475="",V475=0),"",IF(AND(N(I475)&gt;0,N(INDEX('02-شباط'!$I$2:$I$501,V475))&gt;0,INDEX('02-شباط'!$F$2:$F$501,V475)=F475),N(I475)/N(INDEX('02-شباط'!$I$2:$I$501,V475))-1,""))</f>
        <v/>
      </c>
      <c r="AC475" t="str">
        <f>IF(L475="","",IF(AND($AO$2=1,ISNA(MATCH(L475,'04-نيسان'!$L$2:$L$501,0))),"محذوف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IF(L476="","",IF($AO$1=1,IFERROR(MATCH(L476,'02-شباط'!$L$2:$L$501,0),0),0))</f>
        <v/>
      </c>
      <c r="W476" t="str">
        <f t="shared" si="151"/>
        <v/>
      </c>
      <c r="X476" s="38" t="str">
        <f>IF(L476="","",IF(V476&gt;0,INDEX('02-شباط'!$P$2:$P$501,V476),IF($AO$1=1,0,"")))</f>
        <v/>
      </c>
      <c r="Y476" s="38" t="str">
        <f t="shared" si="152"/>
        <v/>
      </c>
      <c r="Z476" s="39" t="str">
        <f>IF(L476="","",IF(V476&gt;0,INDEX('02-شباط'!$Q$2:$Q$501,V476),IF($AO$1=1,0,"")))</f>
        <v/>
      </c>
      <c r="AA476" s="39" t="str">
        <f t="shared" si="153"/>
        <v/>
      </c>
      <c r="AB476" s="40" t="str">
        <f>IF(OR(L476="",V476=0),"",IF(AND(N(I476)&gt;0,N(INDEX('02-شباط'!$I$2:$I$501,V476))&gt;0,INDEX('02-شباط'!$F$2:$F$501,V476)=F476),N(I476)/N(INDEX('02-شباط'!$I$2:$I$501,V476))-1,""))</f>
        <v/>
      </c>
      <c r="AC476" t="str">
        <f>IF(L476="","",IF(AND($AO$2=1,ISNA(MATCH(L476,'04-نيسان'!$L$2:$L$501,0))),"محذوف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IF(L477="","",IF($AO$1=1,IFERROR(MATCH(L477,'02-شباط'!$L$2:$L$501,0),0),0))</f>
        <v/>
      </c>
      <c r="W477" t="str">
        <f t="shared" si="151"/>
        <v/>
      </c>
      <c r="X477" s="38" t="str">
        <f>IF(L477="","",IF(V477&gt;0,INDEX('02-شباط'!$P$2:$P$501,V477),IF($AO$1=1,0,"")))</f>
        <v/>
      </c>
      <c r="Y477" s="38" t="str">
        <f t="shared" si="152"/>
        <v/>
      </c>
      <c r="Z477" s="39" t="str">
        <f>IF(L477="","",IF(V477&gt;0,INDEX('02-شباط'!$Q$2:$Q$501,V477),IF($AO$1=1,0,"")))</f>
        <v/>
      </c>
      <c r="AA477" s="39" t="str">
        <f t="shared" si="153"/>
        <v/>
      </c>
      <c r="AB477" s="40" t="str">
        <f>IF(OR(L477="",V477=0),"",IF(AND(N(I477)&gt;0,N(INDEX('02-شباط'!$I$2:$I$501,V477))&gt;0,INDEX('02-شباط'!$F$2:$F$501,V477)=F477),N(I477)/N(INDEX('02-شباط'!$I$2:$I$501,V477))-1,""))</f>
        <v/>
      </c>
      <c r="AC477" t="str">
        <f>IF(L477="","",IF(AND($AO$2=1,ISNA(MATCH(L477,'04-نيسان'!$L$2:$L$501,0))),"محذوف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IF(L478="","",IF($AO$1=1,IFERROR(MATCH(L478,'02-شباط'!$L$2:$L$501,0),0),0))</f>
        <v/>
      </c>
      <c r="W478" t="str">
        <f t="shared" si="151"/>
        <v/>
      </c>
      <c r="X478" s="38" t="str">
        <f>IF(L478="","",IF(V478&gt;0,INDEX('02-شباط'!$P$2:$P$501,V478),IF($AO$1=1,0,"")))</f>
        <v/>
      </c>
      <c r="Y478" s="38" t="str">
        <f t="shared" si="152"/>
        <v/>
      </c>
      <c r="Z478" s="39" t="str">
        <f>IF(L478="","",IF(V478&gt;0,INDEX('02-شباط'!$Q$2:$Q$501,V478),IF($AO$1=1,0,"")))</f>
        <v/>
      </c>
      <c r="AA478" s="39" t="str">
        <f t="shared" si="153"/>
        <v/>
      </c>
      <c r="AB478" s="40" t="str">
        <f>IF(OR(L478="",V478=0),"",IF(AND(N(I478)&gt;0,N(INDEX('02-شباط'!$I$2:$I$501,V478))&gt;0,INDEX('02-شباط'!$F$2:$F$501,V478)=F478),N(I478)/N(INDEX('02-شباط'!$I$2:$I$501,V478))-1,""))</f>
        <v/>
      </c>
      <c r="AC478" t="str">
        <f>IF(L478="","",IF(AND($AO$2=1,ISNA(MATCH(L478,'04-نيسان'!$L$2:$L$501,0))),"محذوف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IF(L479="","",IF($AO$1=1,IFERROR(MATCH(L479,'02-شباط'!$L$2:$L$501,0),0),0))</f>
        <v/>
      </c>
      <c r="W479" t="str">
        <f t="shared" si="151"/>
        <v/>
      </c>
      <c r="X479" s="38" t="str">
        <f>IF(L479="","",IF(V479&gt;0,INDEX('02-شباط'!$P$2:$P$501,V479),IF($AO$1=1,0,"")))</f>
        <v/>
      </c>
      <c r="Y479" s="38" t="str">
        <f t="shared" si="152"/>
        <v/>
      </c>
      <c r="Z479" s="39" t="str">
        <f>IF(L479="","",IF(V479&gt;0,INDEX('02-شباط'!$Q$2:$Q$501,V479),IF($AO$1=1,0,"")))</f>
        <v/>
      </c>
      <c r="AA479" s="39" t="str">
        <f t="shared" si="153"/>
        <v/>
      </c>
      <c r="AB479" s="40" t="str">
        <f>IF(OR(L479="",V479=0),"",IF(AND(N(I479)&gt;0,N(INDEX('02-شباط'!$I$2:$I$501,V479))&gt;0,INDEX('02-شباط'!$F$2:$F$501,V479)=F479),N(I479)/N(INDEX('02-شباط'!$I$2:$I$501,V479))-1,""))</f>
        <v/>
      </c>
      <c r="AC479" t="str">
        <f>IF(L479="","",IF(AND($AO$2=1,ISNA(MATCH(L479,'04-نيسان'!$L$2:$L$501,0))),"محذوف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IF(L480="","",IF($AO$1=1,IFERROR(MATCH(L480,'02-شباط'!$L$2:$L$501,0),0),0))</f>
        <v/>
      </c>
      <c r="W480" t="str">
        <f t="shared" si="151"/>
        <v/>
      </c>
      <c r="X480" s="38" t="str">
        <f>IF(L480="","",IF(V480&gt;0,INDEX('02-شباط'!$P$2:$P$501,V480),IF($AO$1=1,0,"")))</f>
        <v/>
      </c>
      <c r="Y480" s="38" t="str">
        <f t="shared" si="152"/>
        <v/>
      </c>
      <c r="Z480" s="39" t="str">
        <f>IF(L480="","",IF(V480&gt;0,INDEX('02-شباط'!$Q$2:$Q$501,V480),IF($AO$1=1,0,"")))</f>
        <v/>
      </c>
      <c r="AA480" s="39" t="str">
        <f t="shared" si="153"/>
        <v/>
      </c>
      <c r="AB480" s="40" t="str">
        <f>IF(OR(L480="",V480=0),"",IF(AND(N(I480)&gt;0,N(INDEX('02-شباط'!$I$2:$I$501,V480))&gt;0,INDEX('02-شباط'!$F$2:$F$501,V480)=F480),N(I480)/N(INDEX('02-شباط'!$I$2:$I$501,V480))-1,""))</f>
        <v/>
      </c>
      <c r="AC480" t="str">
        <f>IF(L480="","",IF(AND($AO$2=1,ISNA(MATCH(L480,'04-نيسان'!$L$2:$L$501,0))),"محذوف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IF(L481="","",IF($AO$1=1,IFERROR(MATCH(L481,'02-شباط'!$L$2:$L$501,0),0),0))</f>
        <v/>
      </c>
      <c r="W481" t="str">
        <f t="shared" si="151"/>
        <v/>
      </c>
      <c r="X481" s="38" t="str">
        <f>IF(L481="","",IF(V481&gt;0,INDEX('02-شباط'!$P$2:$P$501,V481),IF($AO$1=1,0,"")))</f>
        <v/>
      </c>
      <c r="Y481" s="38" t="str">
        <f t="shared" si="152"/>
        <v/>
      </c>
      <c r="Z481" s="39" t="str">
        <f>IF(L481="","",IF(V481&gt;0,INDEX('02-شباط'!$Q$2:$Q$501,V481),IF($AO$1=1,0,"")))</f>
        <v/>
      </c>
      <c r="AA481" s="39" t="str">
        <f t="shared" si="153"/>
        <v/>
      </c>
      <c r="AB481" s="40" t="str">
        <f>IF(OR(L481="",V481=0),"",IF(AND(N(I481)&gt;0,N(INDEX('02-شباط'!$I$2:$I$501,V481))&gt;0,INDEX('02-شباط'!$F$2:$F$501,V481)=F481),N(I481)/N(INDEX('02-شباط'!$I$2:$I$501,V481))-1,""))</f>
        <v/>
      </c>
      <c r="AC481" t="str">
        <f>IF(L481="","",IF(AND($AO$2=1,ISNA(MATCH(L481,'04-نيسان'!$L$2:$L$501,0))),"محذوف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IF(L482="","",IF($AO$1=1,IFERROR(MATCH(L482,'02-شباط'!$L$2:$L$501,0),0),0))</f>
        <v/>
      </c>
      <c r="W482" t="str">
        <f t="shared" si="151"/>
        <v/>
      </c>
      <c r="X482" s="38" t="str">
        <f>IF(L482="","",IF(V482&gt;0,INDEX('02-شباط'!$P$2:$P$501,V482),IF($AO$1=1,0,"")))</f>
        <v/>
      </c>
      <c r="Y482" s="38" t="str">
        <f t="shared" si="152"/>
        <v/>
      </c>
      <c r="Z482" s="39" t="str">
        <f>IF(L482="","",IF(V482&gt;0,INDEX('02-شباط'!$Q$2:$Q$501,V482),IF($AO$1=1,0,"")))</f>
        <v/>
      </c>
      <c r="AA482" s="39" t="str">
        <f t="shared" si="153"/>
        <v/>
      </c>
      <c r="AB482" s="40" t="str">
        <f>IF(OR(L482="",V482=0),"",IF(AND(N(I482)&gt;0,N(INDEX('02-شباط'!$I$2:$I$501,V482))&gt;0,INDEX('02-شباط'!$F$2:$F$501,V482)=F482),N(I482)/N(INDEX('02-شباط'!$I$2:$I$501,V482))-1,""))</f>
        <v/>
      </c>
      <c r="AC482" t="str">
        <f>IF(L482="","",IF(AND($AO$2=1,ISNA(MATCH(L482,'04-نيسان'!$L$2:$L$501,0))),"محذوف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IF(L483="","",IF($AO$1=1,IFERROR(MATCH(L483,'02-شباط'!$L$2:$L$501,0),0),0))</f>
        <v/>
      </c>
      <c r="W483" t="str">
        <f t="shared" si="151"/>
        <v/>
      </c>
      <c r="X483" s="38" t="str">
        <f>IF(L483="","",IF(V483&gt;0,INDEX('02-شباط'!$P$2:$P$501,V483),IF($AO$1=1,0,"")))</f>
        <v/>
      </c>
      <c r="Y483" s="38" t="str">
        <f t="shared" si="152"/>
        <v/>
      </c>
      <c r="Z483" s="39" t="str">
        <f>IF(L483="","",IF(V483&gt;0,INDEX('02-شباط'!$Q$2:$Q$501,V483),IF($AO$1=1,0,"")))</f>
        <v/>
      </c>
      <c r="AA483" s="39" t="str">
        <f t="shared" si="153"/>
        <v/>
      </c>
      <c r="AB483" s="40" t="str">
        <f>IF(OR(L483="",V483=0),"",IF(AND(N(I483)&gt;0,N(INDEX('02-شباط'!$I$2:$I$501,V483))&gt;0,INDEX('02-شباط'!$F$2:$F$501,V483)=F483),N(I483)/N(INDEX('02-شباط'!$I$2:$I$501,V483))-1,""))</f>
        <v/>
      </c>
      <c r="AC483" t="str">
        <f>IF(L483="","",IF(AND($AO$2=1,ISNA(MATCH(L483,'04-نيسان'!$L$2:$L$501,0))),"محذوف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IF(L484="","",IF($AO$1=1,IFERROR(MATCH(L484,'02-شباط'!$L$2:$L$501,0),0),0))</f>
        <v/>
      </c>
      <c r="W484" t="str">
        <f t="shared" si="151"/>
        <v/>
      </c>
      <c r="X484" s="38" t="str">
        <f>IF(L484="","",IF(V484&gt;0,INDEX('02-شباط'!$P$2:$P$501,V484),IF($AO$1=1,0,"")))</f>
        <v/>
      </c>
      <c r="Y484" s="38" t="str">
        <f t="shared" si="152"/>
        <v/>
      </c>
      <c r="Z484" s="39" t="str">
        <f>IF(L484="","",IF(V484&gt;0,INDEX('02-شباط'!$Q$2:$Q$501,V484),IF($AO$1=1,0,"")))</f>
        <v/>
      </c>
      <c r="AA484" s="39" t="str">
        <f t="shared" si="153"/>
        <v/>
      </c>
      <c r="AB484" s="40" t="str">
        <f>IF(OR(L484="",V484=0),"",IF(AND(N(I484)&gt;0,N(INDEX('02-شباط'!$I$2:$I$501,V484))&gt;0,INDEX('02-شباط'!$F$2:$F$501,V484)=F484),N(I484)/N(INDEX('02-شباط'!$I$2:$I$501,V484))-1,""))</f>
        <v/>
      </c>
      <c r="AC484" t="str">
        <f>IF(L484="","",IF(AND($AO$2=1,ISNA(MATCH(L484,'04-نيسان'!$L$2:$L$501,0))),"محذوف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IF(L485="","",IF($AO$1=1,IFERROR(MATCH(L485,'02-شباط'!$L$2:$L$501,0),0),0))</f>
        <v/>
      </c>
      <c r="W485" t="str">
        <f t="shared" si="151"/>
        <v/>
      </c>
      <c r="X485" s="38" t="str">
        <f>IF(L485="","",IF(V485&gt;0,INDEX('02-شباط'!$P$2:$P$501,V485),IF($AO$1=1,0,"")))</f>
        <v/>
      </c>
      <c r="Y485" s="38" t="str">
        <f t="shared" si="152"/>
        <v/>
      </c>
      <c r="Z485" s="39" t="str">
        <f>IF(L485="","",IF(V485&gt;0,INDEX('02-شباط'!$Q$2:$Q$501,V485),IF($AO$1=1,0,"")))</f>
        <v/>
      </c>
      <c r="AA485" s="39" t="str">
        <f t="shared" si="153"/>
        <v/>
      </c>
      <c r="AB485" s="40" t="str">
        <f>IF(OR(L485="",V485=0),"",IF(AND(N(I485)&gt;0,N(INDEX('02-شباط'!$I$2:$I$501,V485))&gt;0,INDEX('02-شباط'!$F$2:$F$501,V485)=F485),N(I485)/N(INDEX('02-شباط'!$I$2:$I$501,V485))-1,""))</f>
        <v/>
      </c>
      <c r="AC485" t="str">
        <f>IF(L485="","",IF(AND($AO$2=1,ISNA(MATCH(L485,'04-نيسان'!$L$2:$L$501,0))),"محذوف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IF(L486="","",IF($AO$1=1,IFERROR(MATCH(L486,'02-شباط'!$L$2:$L$501,0),0),0))</f>
        <v/>
      </c>
      <c r="W486" t="str">
        <f t="shared" si="151"/>
        <v/>
      </c>
      <c r="X486" s="38" t="str">
        <f>IF(L486="","",IF(V486&gt;0,INDEX('02-شباط'!$P$2:$P$501,V486),IF($AO$1=1,0,"")))</f>
        <v/>
      </c>
      <c r="Y486" s="38" t="str">
        <f t="shared" si="152"/>
        <v/>
      </c>
      <c r="Z486" s="39" t="str">
        <f>IF(L486="","",IF(V486&gt;0,INDEX('02-شباط'!$Q$2:$Q$501,V486),IF($AO$1=1,0,"")))</f>
        <v/>
      </c>
      <c r="AA486" s="39" t="str">
        <f t="shared" si="153"/>
        <v/>
      </c>
      <c r="AB486" s="40" t="str">
        <f>IF(OR(L486="",V486=0),"",IF(AND(N(I486)&gt;0,N(INDEX('02-شباط'!$I$2:$I$501,V486))&gt;0,INDEX('02-شباط'!$F$2:$F$501,V486)=F486),N(I486)/N(INDEX('02-شباط'!$I$2:$I$501,V486))-1,""))</f>
        <v/>
      </c>
      <c r="AC486" t="str">
        <f>IF(L486="","",IF(AND($AO$2=1,ISNA(MATCH(L486,'04-نيسان'!$L$2:$L$501,0))),"محذوف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IF(L487="","",IF($AO$1=1,IFERROR(MATCH(L487,'02-شباط'!$L$2:$L$501,0),0),0))</f>
        <v/>
      </c>
      <c r="W487" t="str">
        <f t="shared" si="151"/>
        <v/>
      </c>
      <c r="X487" s="38" t="str">
        <f>IF(L487="","",IF(V487&gt;0,INDEX('02-شباط'!$P$2:$P$501,V487),IF($AO$1=1,0,"")))</f>
        <v/>
      </c>
      <c r="Y487" s="38" t="str">
        <f t="shared" si="152"/>
        <v/>
      </c>
      <c r="Z487" s="39" t="str">
        <f>IF(L487="","",IF(V487&gt;0,INDEX('02-شباط'!$Q$2:$Q$501,V487),IF($AO$1=1,0,"")))</f>
        <v/>
      </c>
      <c r="AA487" s="39" t="str">
        <f t="shared" si="153"/>
        <v/>
      </c>
      <c r="AB487" s="40" t="str">
        <f>IF(OR(L487="",V487=0),"",IF(AND(N(I487)&gt;0,N(INDEX('02-شباط'!$I$2:$I$501,V487))&gt;0,INDEX('02-شباط'!$F$2:$F$501,V487)=F487),N(I487)/N(INDEX('02-شباط'!$I$2:$I$501,V487))-1,""))</f>
        <v/>
      </c>
      <c r="AC487" t="str">
        <f>IF(L487="","",IF(AND($AO$2=1,ISNA(MATCH(L487,'04-نيسان'!$L$2:$L$501,0))),"محذوف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IF(L488="","",IF($AO$1=1,IFERROR(MATCH(L488,'02-شباط'!$L$2:$L$501,0),0),0))</f>
        <v/>
      </c>
      <c r="W488" t="str">
        <f t="shared" si="151"/>
        <v/>
      </c>
      <c r="X488" s="38" t="str">
        <f>IF(L488="","",IF(V488&gt;0,INDEX('02-شباط'!$P$2:$P$501,V488),IF($AO$1=1,0,"")))</f>
        <v/>
      </c>
      <c r="Y488" s="38" t="str">
        <f t="shared" si="152"/>
        <v/>
      </c>
      <c r="Z488" s="39" t="str">
        <f>IF(L488="","",IF(V488&gt;0,INDEX('02-شباط'!$Q$2:$Q$501,V488),IF($AO$1=1,0,"")))</f>
        <v/>
      </c>
      <c r="AA488" s="39" t="str">
        <f t="shared" si="153"/>
        <v/>
      </c>
      <c r="AB488" s="40" t="str">
        <f>IF(OR(L488="",V488=0),"",IF(AND(N(I488)&gt;0,N(INDEX('02-شباط'!$I$2:$I$501,V488))&gt;0,INDEX('02-شباط'!$F$2:$F$501,V488)=F488),N(I488)/N(INDEX('02-شباط'!$I$2:$I$501,V488))-1,""))</f>
        <v/>
      </c>
      <c r="AC488" t="str">
        <f>IF(L488="","",IF(AND($AO$2=1,ISNA(MATCH(L488,'04-نيسان'!$L$2:$L$501,0))),"محذوف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IF(L489="","",IF($AO$1=1,IFERROR(MATCH(L489,'02-شباط'!$L$2:$L$501,0),0),0))</f>
        <v/>
      </c>
      <c r="W489" t="str">
        <f t="shared" si="151"/>
        <v/>
      </c>
      <c r="X489" s="38" t="str">
        <f>IF(L489="","",IF(V489&gt;0,INDEX('02-شباط'!$P$2:$P$501,V489),IF($AO$1=1,0,"")))</f>
        <v/>
      </c>
      <c r="Y489" s="38" t="str">
        <f t="shared" si="152"/>
        <v/>
      </c>
      <c r="Z489" s="39" t="str">
        <f>IF(L489="","",IF(V489&gt;0,INDEX('02-شباط'!$Q$2:$Q$501,V489),IF($AO$1=1,0,"")))</f>
        <v/>
      </c>
      <c r="AA489" s="39" t="str">
        <f t="shared" si="153"/>
        <v/>
      </c>
      <c r="AB489" s="40" t="str">
        <f>IF(OR(L489="",V489=0),"",IF(AND(N(I489)&gt;0,N(INDEX('02-شباط'!$I$2:$I$501,V489))&gt;0,INDEX('02-شباط'!$F$2:$F$501,V489)=F489),N(I489)/N(INDEX('02-شباط'!$I$2:$I$501,V489))-1,""))</f>
        <v/>
      </c>
      <c r="AC489" t="str">
        <f>IF(L489="","",IF(AND($AO$2=1,ISNA(MATCH(L489,'04-نيسان'!$L$2:$L$501,0))),"محذوف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IF(L490="","",IF($AO$1=1,IFERROR(MATCH(L490,'02-شباط'!$L$2:$L$501,0),0),0))</f>
        <v/>
      </c>
      <c r="W490" t="str">
        <f t="shared" si="151"/>
        <v/>
      </c>
      <c r="X490" s="38" t="str">
        <f>IF(L490="","",IF(V490&gt;0,INDEX('02-شباط'!$P$2:$P$501,V490),IF($AO$1=1,0,"")))</f>
        <v/>
      </c>
      <c r="Y490" s="38" t="str">
        <f t="shared" si="152"/>
        <v/>
      </c>
      <c r="Z490" s="39" t="str">
        <f>IF(L490="","",IF(V490&gt;0,INDEX('02-شباط'!$Q$2:$Q$501,V490),IF($AO$1=1,0,"")))</f>
        <v/>
      </c>
      <c r="AA490" s="39" t="str">
        <f t="shared" si="153"/>
        <v/>
      </c>
      <c r="AB490" s="40" t="str">
        <f>IF(OR(L490="",V490=0),"",IF(AND(N(I490)&gt;0,N(INDEX('02-شباط'!$I$2:$I$501,V490))&gt;0,INDEX('02-شباط'!$F$2:$F$501,V490)=F490),N(I490)/N(INDEX('02-شباط'!$I$2:$I$501,V490))-1,""))</f>
        <v/>
      </c>
      <c r="AC490" t="str">
        <f>IF(L490="","",IF(AND($AO$2=1,ISNA(MATCH(L490,'04-نيسان'!$L$2:$L$501,0))),"محذوف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IF(L491="","",IF($AO$1=1,IFERROR(MATCH(L491,'02-شباط'!$L$2:$L$501,0),0),0))</f>
        <v/>
      </c>
      <c r="W491" t="str">
        <f t="shared" si="151"/>
        <v/>
      </c>
      <c r="X491" s="38" t="str">
        <f>IF(L491="","",IF(V491&gt;0,INDEX('02-شباط'!$P$2:$P$501,V491),IF($AO$1=1,0,"")))</f>
        <v/>
      </c>
      <c r="Y491" s="38" t="str">
        <f t="shared" si="152"/>
        <v/>
      </c>
      <c r="Z491" s="39" t="str">
        <f>IF(L491="","",IF(V491&gt;0,INDEX('02-شباط'!$Q$2:$Q$501,V491),IF($AO$1=1,0,"")))</f>
        <v/>
      </c>
      <c r="AA491" s="39" t="str">
        <f t="shared" si="153"/>
        <v/>
      </c>
      <c r="AB491" s="40" t="str">
        <f>IF(OR(L491="",V491=0),"",IF(AND(N(I491)&gt;0,N(INDEX('02-شباط'!$I$2:$I$501,V491))&gt;0,INDEX('02-شباط'!$F$2:$F$501,V491)=F491),N(I491)/N(INDEX('02-شباط'!$I$2:$I$501,V491))-1,""))</f>
        <v/>
      </c>
      <c r="AC491" t="str">
        <f>IF(L491="","",IF(AND($AO$2=1,ISNA(MATCH(L491,'04-نيسان'!$L$2:$L$501,0))),"محذوف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IF(L492="","",IF($AO$1=1,IFERROR(MATCH(L492,'02-شباط'!$L$2:$L$501,0),0),0))</f>
        <v/>
      </c>
      <c r="W492" t="str">
        <f t="shared" si="151"/>
        <v/>
      </c>
      <c r="X492" s="38" t="str">
        <f>IF(L492="","",IF(V492&gt;0,INDEX('02-شباط'!$P$2:$P$501,V492),IF($AO$1=1,0,"")))</f>
        <v/>
      </c>
      <c r="Y492" s="38" t="str">
        <f t="shared" si="152"/>
        <v/>
      </c>
      <c r="Z492" s="39" t="str">
        <f>IF(L492="","",IF(V492&gt;0,INDEX('02-شباط'!$Q$2:$Q$501,V492),IF($AO$1=1,0,"")))</f>
        <v/>
      </c>
      <c r="AA492" s="39" t="str">
        <f t="shared" si="153"/>
        <v/>
      </c>
      <c r="AB492" s="40" t="str">
        <f>IF(OR(L492="",V492=0),"",IF(AND(N(I492)&gt;0,N(INDEX('02-شباط'!$I$2:$I$501,V492))&gt;0,INDEX('02-شباط'!$F$2:$F$501,V492)=F492),N(I492)/N(INDEX('02-شباط'!$I$2:$I$501,V492))-1,""))</f>
        <v/>
      </c>
      <c r="AC492" t="str">
        <f>IF(L492="","",IF(AND($AO$2=1,ISNA(MATCH(L492,'04-نيسان'!$L$2:$L$501,0))),"محذوف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IF(L493="","",IF($AO$1=1,IFERROR(MATCH(L493,'02-شباط'!$L$2:$L$501,0),0),0))</f>
        <v/>
      </c>
      <c r="W493" t="str">
        <f t="shared" si="151"/>
        <v/>
      </c>
      <c r="X493" s="38" t="str">
        <f>IF(L493="","",IF(V493&gt;0,INDEX('02-شباط'!$P$2:$P$501,V493),IF($AO$1=1,0,"")))</f>
        <v/>
      </c>
      <c r="Y493" s="38" t="str">
        <f t="shared" si="152"/>
        <v/>
      </c>
      <c r="Z493" s="39" t="str">
        <f>IF(L493="","",IF(V493&gt;0,INDEX('02-شباط'!$Q$2:$Q$501,V493),IF($AO$1=1,0,"")))</f>
        <v/>
      </c>
      <c r="AA493" s="39" t="str">
        <f t="shared" si="153"/>
        <v/>
      </c>
      <c r="AB493" s="40" t="str">
        <f>IF(OR(L493="",V493=0),"",IF(AND(N(I493)&gt;0,N(INDEX('02-شباط'!$I$2:$I$501,V493))&gt;0,INDEX('02-شباط'!$F$2:$F$501,V493)=F493),N(I493)/N(INDEX('02-شباط'!$I$2:$I$501,V493))-1,""))</f>
        <v/>
      </c>
      <c r="AC493" t="str">
        <f>IF(L493="","",IF(AND($AO$2=1,ISNA(MATCH(L493,'04-نيسان'!$L$2:$L$501,0))),"محذوف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IF(L494="","",IF($AO$1=1,IFERROR(MATCH(L494,'02-شباط'!$L$2:$L$501,0),0),0))</f>
        <v/>
      </c>
      <c r="W494" t="str">
        <f t="shared" si="151"/>
        <v/>
      </c>
      <c r="X494" s="38" t="str">
        <f>IF(L494="","",IF(V494&gt;0,INDEX('02-شباط'!$P$2:$P$501,V494),IF($AO$1=1,0,"")))</f>
        <v/>
      </c>
      <c r="Y494" s="38" t="str">
        <f t="shared" si="152"/>
        <v/>
      </c>
      <c r="Z494" s="39" t="str">
        <f>IF(L494="","",IF(V494&gt;0,INDEX('02-شباط'!$Q$2:$Q$501,V494),IF($AO$1=1,0,"")))</f>
        <v/>
      </c>
      <c r="AA494" s="39" t="str">
        <f t="shared" si="153"/>
        <v/>
      </c>
      <c r="AB494" s="40" t="str">
        <f>IF(OR(L494="",V494=0),"",IF(AND(N(I494)&gt;0,N(INDEX('02-شباط'!$I$2:$I$501,V494))&gt;0,INDEX('02-شباط'!$F$2:$F$501,V494)=F494),N(I494)/N(INDEX('02-شباط'!$I$2:$I$501,V494))-1,""))</f>
        <v/>
      </c>
      <c r="AC494" t="str">
        <f>IF(L494="","",IF(AND($AO$2=1,ISNA(MATCH(L494,'04-نيسان'!$L$2:$L$501,0))),"محذوف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IF(L495="","",IF($AO$1=1,IFERROR(MATCH(L495,'02-شباط'!$L$2:$L$501,0),0),0))</f>
        <v/>
      </c>
      <c r="W495" t="str">
        <f t="shared" si="151"/>
        <v/>
      </c>
      <c r="X495" s="38" t="str">
        <f>IF(L495="","",IF(V495&gt;0,INDEX('02-شباط'!$P$2:$P$501,V495),IF($AO$1=1,0,"")))</f>
        <v/>
      </c>
      <c r="Y495" s="38" t="str">
        <f t="shared" si="152"/>
        <v/>
      </c>
      <c r="Z495" s="39" t="str">
        <f>IF(L495="","",IF(V495&gt;0,INDEX('02-شباط'!$Q$2:$Q$501,V495),IF($AO$1=1,0,"")))</f>
        <v/>
      </c>
      <c r="AA495" s="39" t="str">
        <f t="shared" si="153"/>
        <v/>
      </c>
      <c r="AB495" s="40" t="str">
        <f>IF(OR(L495="",V495=0),"",IF(AND(N(I495)&gt;0,N(INDEX('02-شباط'!$I$2:$I$501,V495))&gt;0,INDEX('02-شباط'!$F$2:$F$501,V495)=F495),N(I495)/N(INDEX('02-شباط'!$I$2:$I$501,V495))-1,""))</f>
        <v/>
      </c>
      <c r="AC495" t="str">
        <f>IF(L495="","",IF(AND($AO$2=1,ISNA(MATCH(L495,'04-نيسان'!$L$2:$L$501,0))),"محذوف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IF(L496="","",IF($AO$1=1,IFERROR(MATCH(L496,'02-شباط'!$L$2:$L$501,0),0),0))</f>
        <v/>
      </c>
      <c r="W496" t="str">
        <f t="shared" si="151"/>
        <v/>
      </c>
      <c r="X496" s="38" t="str">
        <f>IF(L496="","",IF(V496&gt;0,INDEX('02-شباط'!$P$2:$P$501,V496),IF($AO$1=1,0,"")))</f>
        <v/>
      </c>
      <c r="Y496" s="38" t="str">
        <f t="shared" si="152"/>
        <v/>
      </c>
      <c r="Z496" s="39" t="str">
        <f>IF(L496="","",IF(V496&gt;0,INDEX('02-شباط'!$Q$2:$Q$501,V496),IF($AO$1=1,0,"")))</f>
        <v/>
      </c>
      <c r="AA496" s="39" t="str">
        <f t="shared" si="153"/>
        <v/>
      </c>
      <c r="AB496" s="40" t="str">
        <f>IF(OR(L496="",V496=0),"",IF(AND(N(I496)&gt;0,N(INDEX('02-شباط'!$I$2:$I$501,V496))&gt;0,INDEX('02-شباط'!$F$2:$F$501,V496)=F496),N(I496)/N(INDEX('02-شباط'!$I$2:$I$501,V496))-1,""))</f>
        <v/>
      </c>
      <c r="AC496" t="str">
        <f>IF(L496="","",IF(AND($AO$2=1,ISNA(MATCH(L496,'04-نيسان'!$L$2:$L$501,0))),"محذوف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IF(L497="","",IF($AO$1=1,IFERROR(MATCH(L497,'02-شباط'!$L$2:$L$501,0),0),0))</f>
        <v/>
      </c>
      <c r="W497" t="str">
        <f t="shared" si="151"/>
        <v/>
      </c>
      <c r="X497" s="38" t="str">
        <f>IF(L497="","",IF(V497&gt;0,INDEX('02-شباط'!$P$2:$P$501,V497),IF($AO$1=1,0,"")))</f>
        <v/>
      </c>
      <c r="Y497" s="38" t="str">
        <f t="shared" si="152"/>
        <v/>
      </c>
      <c r="Z497" s="39" t="str">
        <f>IF(L497="","",IF(V497&gt;0,INDEX('02-شباط'!$Q$2:$Q$501,V497),IF($AO$1=1,0,"")))</f>
        <v/>
      </c>
      <c r="AA497" s="39" t="str">
        <f t="shared" si="153"/>
        <v/>
      </c>
      <c r="AB497" s="40" t="str">
        <f>IF(OR(L497="",V497=0),"",IF(AND(N(I497)&gt;0,N(INDEX('02-شباط'!$I$2:$I$501,V497))&gt;0,INDEX('02-شباط'!$F$2:$F$501,V497)=F497),N(I497)/N(INDEX('02-شباط'!$I$2:$I$501,V497))-1,""))</f>
        <v/>
      </c>
      <c r="AC497" t="str">
        <f>IF(L497="","",IF(AND($AO$2=1,ISNA(MATCH(L497,'04-نيسان'!$L$2:$L$501,0))),"محذوف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IF(L498="","",IF($AO$1=1,IFERROR(MATCH(L498,'02-شباط'!$L$2:$L$501,0),0),0))</f>
        <v/>
      </c>
      <c r="W498" t="str">
        <f t="shared" si="151"/>
        <v/>
      </c>
      <c r="X498" s="38" t="str">
        <f>IF(L498="","",IF(V498&gt;0,INDEX('02-شباط'!$P$2:$P$501,V498),IF($AO$1=1,0,"")))</f>
        <v/>
      </c>
      <c r="Y498" s="38" t="str">
        <f t="shared" si="152"/>
        <v/>
      </c>
      <c r="Z498" s="39" t="str">
        <f>IF(L498="","",IF(V498&gt;0,INDEX('02-شباط'!$Q$2:$Q$501,V498),IF($AO$1=1,0,"")))</f>
        <v/>
      </c>
      <c r="AA498" s="39" t="str">
        <f t="shared" si="153"/>
        <v/>
      </c>
      <c r="AB498" s="40" t="str">
        <f>IF(OR(L498="",V498=0),"",IF(AND(N(I498)&gt;0,N(INDEX('02-شباط'!$I$2:$I$501,V498))&gt;0,INDEX('02-شباط'!$F$2:$F$501,V498)=F498),N(I498)/N(INDEX('02-شباط'!$I$2:$I$501,V498))-1,""))</f>
        <v/>
      </c>
      <c r="AC498" t="str">
        <f>IF(L498="","",IF(AND($AO$2=1,ISNA(MATCH(L498,'04-نيسان'!$L$2:$L$501,0))),"محذوف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IF(L499="","",IF($AO$1=1,IFERROR(MATCH(L499,'02-شباط'!$L$2:$L$501,0),0),0))</f>
        <v/>
      </c>
      <c r="W499" t="str">
        <f t="shared" si="151"/>
        <v/>
      </c>
      <c r="X499" s="38" t="str">
        <f>IF(L499="","",IF(V499&gt;0,INDEX('02-شباط'!$P$2:$P$501,V499),IF($AO$1=1,0,"")))</f>
        <v/>
      </c>
      <c r="Y499" s="38" t="str">
        <f t="shared" si="152"/>
        <v/>
      </c>
      <c r="Z499" s="39" t="str">
        <f>IF(L499="","",IF(V499&gt;0,INDEX('02-شباط'!$Q$2:$Q$501,V499),IF($AO$1=1,0,"")))</f>
        <v/>
      </c>
      <c r="AA499" s="39" t="str">
        <f t="shared" si="153"/>
        <v/>
      </c>
      <c r="AB499" s="40" t="str">
        <f>IF(OR(L499="",V499=0),"",IF(AND(N(I499)&gt;0,N(INDEX('02-شباط'!$I$2:$I$501,V499))&gt;0,INDEX('02-شباط'!$F$2:$F$501,V499)=F499),N(I499)/N(INDEX('02-شباط'!$I$2:$I$501,V499))-1,""))</f>
        <v/>
      </c>
      <c r="AC499" t="str">
        <f>IF(L499="","",IF(AND($AO$2=1,ISNA(MATCH(L499,'04-نيسان'!$L$2:$L$501,0))),"محذوف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IF(L500="","",IF($AO$1=1,IFERROR(MATCH(L500,'02-شباط'!$L$2:$L$501,0),0),0))</f>
        <v/>
      </c>
      <c r="W500" t="str">
        <f t="shared" si="151"/>
        <v/>
      </c>
      <c r="X500" s="38" t="str">
        <f>IF(L500="","",IF(V500&gt;0,INDEX('02-شباط'!$P$2:$P$501,V500),IF($AO$1=1,0,"")))</f>
        <v/>
      </c>
      <c r="Y500" s="38" t="str">
        <f t="shared" si="152"/>
        <v/>
      </c>
      <c r="Z500" s="39" t="str">
        <f>IF(L500="","",IF(V500&gt;0,INDEX('02-شباط'!$Q$2:$Q$501,V500),IF($AO$1=1,0,"")))</f>
        <v/>
      </c>
      <c r="AA500" s="39" t="str">
        <f t="shared" si="153"/>
        <v/>
      </c>
      <c r="AB500" s="40" t="str">
        <f>IF(OR(L500="",V500=0),"",IF(AND(N(I500)&gt;0,N(INDEX('02-شباط'!$I$2:$I$501,V500))&gt;0,INDEX('02-شباط'!$F$2:$F$501,V500)=F500),N(I500)/N(INDEX('02-شباط'!$I$2:$I$501,V500))-1,""))</f>
        <v/>
      </c>
      <c r="AC500" t="str">
        <f>IF(L500="","",IF(AND($AO$2=1,ISNA(MATCH(L500,'04-نيسان'!$L$2:$L$501,0))),"محذوف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IF(L501="","",IF($AO$1=1,IFERROR(MATCH(L501,'02-شباط'!$L$2:$L$501,0),0),0))</f>
        <v/>
      </c>
      <c r="W501" t="str">
        <f t="shared" si="151"/>
        <v/>
      </c>
      <c r="X501" s="38" t="str">
        <f>IF(L501="","",IF(V501&gt;0,INDEX('02-شباط'!$P$2:$P$501,V501),IF($AO$1=1,0,"")))</f>
        <v/>
      </c>
      <c r="Y501" s="38" t="str">
        <f t="shared" si="152"/>
        <v/>
      </c>
      <c r="Z501" s="39" t="str">
        <f>IF(L501="","",IF(V501&gt;0,INDEX('02-شباط'!$Q$2:$Q$501,V501),IF($AO$1=1,0,"")))</f>
        <v/>
      </c>
      <c r="AA501" s="39" t="str">
        <f t="shared" si="153"/>
        <v/>
      </c>
      <c r="AB501" s="40" t="str">
        <f>IF(OR(L501="",V501=0),"",IF(AND(N(I501)&gt;0,N(INDEX('02-شباط'!$I$2:$I$501,V501))&gt;0,INDEX('02-شباط'!$F$2:$F$501,V501)=F501),N(I501)/N(INDEX('02-شباط'!$I$2:$I$501,V501))-1,""))</f>
        <v/>
      </c>
      <c r="AC501" t="str">
        <f>IF(L501="","",IF(AND($AO$2=1,ISNA(MATCH(L501,'04-نيسان'!$L$2:$L$501,0))),"محذوف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8000000}"/>
  <conditionalFormatting sqref="K1">
    <cfRule type="expression" dxfId="49" priority="2">
      <formula>LEFT(K1,1)="⚠"</formula>
    </cfRule>
    <cfRule type="expression" dxfId="48" priority="3">
      <formula>LEFT(K1,1)="✓"</formula>
    </cfRule>
  </conditionalFormatting>
  <conditionalFormatting sqref="K2:U501">
    <cfRule type="expression" dxfId="47" priority="4">
      <formula>$U2&lt;&gt;""</formula>
    </cfRule>
  </conditionalFormatting>
  <conditionalFormatting sqref="W2:W501">
    <cfRule type="expression" dxfId="46" priority="5">
      <formula>$W2="جديد"</formula>
    </cfRule>
  </conditionalFormatting>
  <conditionalFormatting sqref="AC2:AC501">
    <cfRule type="expression" dxfId="4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IF(COUNTA('03-آذار'!$A$2:$A$501)&gt;0,1,0)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IF(L2="","",IF($AO$1=1,IFERROR(MATCH(L2,'03-آذار'!$L$2:$L$501,0),0),0))</f>
        <v/>
      </c>
      <c r="W2" t="str">
        <f t="shared" ref="W2:W65" si="11">IF(L2="","",IF(AND($AO$1=1,V2=0),"جديد",""))</f>
        <v/>
      </c>
      <c r="X2" s="38" t="str">
        <f>IF(L2="","",IF(V2&gt;0,INDEX('03-آذار'!$P$2:$P$501,V2),IF($AO$1=1,0,"")))</f>
        <v/>
      </c>
      <c r="Y2" s="38" t="str">
        <f t="shared" ref="Y2:Y65" si="12">IF(OR(L2="",X2=""),"",P2-X2)</f>
        <v/>
      </c>
      <c r="Z2" s="39" t="str">
        <f>IF(L2="","",IF(V2&gt;0,INDEX('03-آذار'!$Q$2:$Q$501,V2),IF($AO$1=1,0,"")))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IF(OR(L2="",V2=0),"",IF(AND(N(I2)&gt;0,N(INDEX('03-آذار'!$I$2:$I$501,V2))&gt;0,INDEX('03-آذار'!$F$2:$F$501,V2)=F2),N(I2)/N(INDEX('03-آذار'!$I$2:$I$501,V2))-1,""))</f>
        <v/>
      </c>
      <c r="AC2" t="str">
        <f>IF(L2="","",IF(AND($AO$2=1,ISNA(MATCH(L2,'05-أيار'!$L$2:$L$501,0))),"محذوف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IF(COUNTA('05-أيار'!$A$2:$A$501)&gt;0,1,0)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IF(L3="","",IF($AO$1=1,IFERROR(MATCH(L3,'03-آذار'!$L$2:$L$501,0),0),0))</f>
        <v/>
      </c>
      <c r="W3" t="str">
        <f t="shared" si="11"/>
        <v/>
      </c>
      <c r="X3" s="38" t="str">
        <f>IF(L3="","",IF(V3&gt;0,INDEX('03-آذار'!$P$2:$P$501,V3),IF($AO$1=1,0,"")))</f>
        <v/>
      </c>
      <c r="Y3" s="38" t="str">
        <f t="shared" si="12"/>
        <v/>
      </c>
      <c r="Z3" s="39" t="str">
        <f>IF(L3="","",IF(V3&gt;0,INDEX('03-آذار'!$Q$2:$Q$501,V3),IF($AO$1=1,0,"")))</f>
        <v/>
      </c>
      <c r="AA3" s="39" t="str">
        <f t="shared" si="13"/>
        <v/>
      </c>
      <c r="AB3" s="40" t="str">
        <f>IF(OR(L3="",V3=0),"",IF(AND(N(I3)&gt;0,N(INDEX('03-آذار'!$I$2:$I$501,V3))&gt;0,INDEX('03-آذار'!$F$2:$F$501,V3)=F3),N(I3)/N(INDEX('03-آذار'!$I$2:$I$501,V3))-1,""))</f>
        <v/>
      </c>
      <c r="AC3" t="str">
        <f>IF(L3="","",IF(AND($AO$2=1,ISNA(MATCH(L3,'05-أيار'!$L$2:$L$501,0))),"محذوف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التحكم'!$C$19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IF(L4="","",IF($AO$1=1,IFERROR(MATCH(L4,'03-آذار'!$L$2:$L$501,0),0),0))</f>
        <v/>
      </c>
      <c r="W4" t="str">
        <f t="shared" si="11"/>
        <v/>
      </c>
      <c r="X4" s="38" t="str">
        <f>IF(L4="","",IF(V4&gt;0,INDEX('03-آذار'!$P$2:$P$501,V4),IF($AO$1=1,0,"")))</f>
        <v/>
      </c>
      <c r="Y4" s="38" t="str">
        <f t="shared" si="12"/>
        <v/>
      </c>
      <c r="Z4" s="39" t="str">
        <f>IF(L4="","",IF(V4&gt;0,INDEX('03-آذار'!$Q$2:$Q$501,V4),IF($AO$1=1,0,"")))</f>
        <v/>
      </c>
      <c r="AA4" s="39" t="str">
        <f t="shared" si="13"/>
        <v/>
      </c>
      <c r="AB4" s="40" t="str">
        <f>IF(OR(L4="",V4=0),"",IF(AND(N(I4)&gt;0,N(INDEX('03-آذار'!$I$2:$I$501,V4))&gt;0,INDEX('03-آذار'!$F$2:$F$501,V4)=F4),N(I4)/N(INDEX('03-آذار'!$I$2:$I$501,V4))-1,""))</f>
        <v/>
      </c>
      <c r="AC4" t="str">
        <f>IF(L4="","",IF(AND($AO$2=1,ISNA(MATCH(L4,'05-أيار'!$L$2:$L$501,0))),"محذوف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IF(L5="","",IF($AO$1=1,IFERROR(MATCH(L5,'03-آذار'!$L$2:$L$501,0),0),0))</f>
        <v/>
      </c>
      <c r="W5" t="str">
        <f t="shared" si="11"/>
        <v/>
      </c>
      <c r="X5" s="38" t="str">
        <f>IF(L5="","",IF(V5&gt;0,INDEX('03-آذار'!$P$2:$P$501,V5),IF($AO$1=1,0,"")))</f>
        <v/>
      </c>
      <c r="Y5" s="38" t="str">
        <f t="shared" si="12"/>
        <v/>
      </c>
      <c r="Z5" s="39" t="str">
        <f>IF(L5="","",IF(V5&gt;0,INDEX('03-آذار'!$Q$2:$Q$501,V5),IF($AO$1=1,0,"")))</f>
        <v/>
      </c>
      <c r="AA5" s="39" t="str">
        <f t="shared" si="13"/>
        <v/>
      </c>
      <c r="AB5" s="40" t="str">
        <f>IF(OR(L5="",V5=0),"",IF(AND(N(I5)&gt;0,N(INDEX('03-آذار'!$I$2:$I$501,V5))&gt;0,INDEX('03-آذار'!$F$2:$F$501,V5)=F5),N(I5)/N(INDEX('03-آذار'!$I$2:$I$501,V5))-1,""))</f>
        <v/>
      </c>
      <c r="AC5" t="str">
        <f>IF(L5="","",IF(AND($AO$2=1,ISNA(MATCH(L5,'05-أيار'!$L$2:$L$501,0))),"محذوف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IF(L6="","",IF($AO$1=1,IFERROR(MATCH(L6,'03-آذار'!$L$2:$L$501,0),0),0))</f>
        <v/>
      </c>
      <c r="W6" t="str">
        <f t="shared" si="11"/>
        <v/>
      </c>
      <c r="X6" s="38" t="str">
        <f>IF(L6="","",IF(V6&gt;0,INDEX('03-آذار'!$P$2:$P$501,V6),IF($AO$1=1,0,"")))</f>
        <v/>
      </c>
      <c r="Y6" s="38" t="str">
        <f t="shared" si="12"/>
        <v/>
      </c>
      <c r="Z6" s="39" t="str">
        <f>IF(L6="","",IF(V6&gt;0,INDEX('03-آذار'!$Q$2:$Q$501,V6),IF($AO$1=1,0,"")))</f>
        <v/>
      </c>
      <c r="AA6" s="39" t="str">
        <f t="shared" si="13"/>
        <v/>
      </c>
      <c r="AB6" s="40" t="str">
        <f>IF(OR(L6="",V6=0),"",IF(AND(N(I6)&gt;0,N(INDEX('03-آذار'!$I$2:$I$501,V6))&gt;0,INDEX('03-آذار'!$F$2:$F$501,V6)=F6),N(I6)/N(INDEX('03-آذار'!$I$2:$I$501,V6))-1,""))</f>
        <v/>
      </c>
      <c r="AC6" t="str">
        <f>IF(L6="","",IF(AND($AO$2=1,ISNA(MATCH(L6,'05-أيار'!$L$2:$L$501,0))),"محذوف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IF(L7="","",IF($AO$1=1,IFERROR(MATCH(L7,'03-آذار'!$L$2:$L$501,0),0),0))</f>
        <v/>
      </c>
      <c r="W7" t="str">
        <f t="shared" si="11"/>
        <v/>
      </c>
      <c r="X7" s="38" t="str">
        <f>IF(L7="","",IF(V7&gt;0,INDEX('03-آذار'!$P$2:$P$501,V7),IF($AO$1=1,0,"")))</f>
        <v/>
      </c>
      <c r="Y7" s="38" t="str">
        <f t="shared" si="12"/>
        <v/>
      </c>
      <c r="Z7" s="39" t="str">
        <f>IF(L7="","",IF(V7&gt;0,INDEX('03-آذار'!$Q$2:$Q$501,V7),IF($AO$1=1,0,"")))</f>
        <v/>
      </c>
      <c r="AA7" s="39" t="str">
        <f t="shared" si="13"/>
        <v/>
      </c>
      <c r="AB7" s="40" t="str">
        <f>IF(OR(L7="",V7=0),"",IF(AND(N(I7)&gt;0,N(INDEX('03-آذار'!$I$2:$I$501,V7))&gt;0,INDEX('03-آذار'!$F$2:$F$501,V7)=F7),N(I7)/N(INDEX('03-آذار'!$I$2:$I$501,V7))-1,""))</f>
        <v/>
      </c>
      <c r="AC7" t="str">
        <f>IF(L7="","",IF(AND($AO$2=1,ISNA(MATCH(L7,'05-أيار'!$L$2:$L$501,0))),"محذوف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IF(L8="","",IF($AO$1=1,IFERROR(MATCH(L8,'03-آذار'!$L$2:$L$501,0),0),0))</f>
        <v/>
      </c>
      <c r="W8" t="str">
        <f t="shared" si="11"/>
        <v/>
      </c>
      <c r="X8" s="38" t="str">
        <f>IF(L8="","",IF(V8&gt;0,INDEX('03-آذار'!$P$2:$P$501,V8),IF($AO$1=1,0,"")))</f>
        <v/>
      </c>
      <c r="Y8" s="38" t="str">
        <f t="shared" si="12"/>
        <v/>
      </c>
      <c r="Z8" s="39" t="str">
        <f>IF(L8="","",IF(V8&gt;0,INDEX('03-آذار'!$Q$2:$Q$501,V8),IF($AO$1=1,0,"")))</f>
        <v/>
      </c>
      <c r="AA8" s="39" t="str">
        <f t="shared" si="13"/>
        <v/>
      </c>
      <c r="AB8" s="40" t="str">
        <f>IF(OR(L8="",V8=0),"",IF(AND(N(I8)&gt;0,N(INDEX('03-آذار'!$I$2:$I$501,V8))&gt;0,INDEX('03-آذار'!$F$2:$F$501,V8)=F8),N(I8)/N(INDEX('03-آذار'!$I$2:$I$501,V8))-1,""))</f>
        <v/>
      </c>
      <c r="AC8" t="str">
        <f>IF(L8="","",IF(AND($AO$2=1,ISNA(MATCH(L8,'05-أيار'!$L$2:$L$501,0))),"محذوف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IF(L9="","",IF($AO$1=1,IFERROR(MATCH(L9,'03-آذار'!$L$2:$L$501,0),0),0))</f>
        <v/>
      </c>
      <c r="W9" t="str">
        <f t="shared" si="11"/>
        <v/>
      </c>
      <c r="X9" s="38" t="str">
        <f>IF(L9="","",IF(V9&gt;0,INDEX('03-آذار'!$P$2:$P$501,V9),IF($AO$1=1,0,"")))</f>
        <v/>
      </c>
      <c r="Y9" s="38" t="str">
        <f t="shared" si="12"/>
        <v/>
      </c>
      <c r="Z9" s="39" t="str">
        <f>IF(L9="","",IF(V9&gt;0,INDEX('03-آذار'!$Q$2:$Q$501,V9),IF($AO$1=1,0,"")))</f>
        <v/>
      </c>
      <c r="AA9" s="39" t="str">
        <f t="shared" si="13"/>
        <v/>
      </c>
      <c r="AB9" s="40" t="str">
        <f>IF(OR(L9="",V9=0),"",IF(AND(N(I9)&gt;0,N(INDEX('03-آذار'!$I$2:$I$501,V9))&gt;0,INDEX('03-آذار'!$F$2:$F$501,V9)=F9),N(I9)/N(INDEX('03-آذار'!$I$2:$I$501,V9))-1,""))</f>
        <v/>
      </c>
      <c r="AC9" t="str">
        <f>IF(L9="","",IF(AND($AO$2=1,ISNA(MATCH(L9,'05-أيار'!$L$2:$L$501,0))),"محذوف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IF(L10="","",IF($AO$1=1,IFERROR(MATCH(L10,'03-آذار'!$L$2:$L$501,0),0),0))</f>
        <v/>
      </c>
      <c r="W10" t="str">
        <f t="shared" si="11"/>
        <v/>
      </c>
      <c r="X10" s="38" t="str">
        <f>IF(L10="","",IF(V10&gt;0,INDEX('03-آذار'!$P$2:$P$501,V10),IF($AO$1=1,0,"")))</f>
        <v/>
      </c>
      <c r="Y10" s="38" t="str">
        <f t="shared" si="12"/>
        <v/>
      </c>
      <c r="Z10" s="39" t="str">
        <f>IF(L10="","",IF(V10&gt;0,INDEX('03-آذار'!$Q$2:$Q$501,V10),IF($AO$1=1,0,"")))</f>
        <v/>
      </c>
      <c r="AA10" s="39" t="str">
        <f t="shared" si="13"/>
        <v/>
      </c>
      <c r="AB10" s="40" t="str">
        <f>IF(OR(L10="",V10=0),"",IF(AND(N(I10)&gt;0,N(INDEX('03-آذار'!$I$2:$I$501,V10))&gt;0,INDEX('03-آذار'!$F$2:$F$501,V10)=F10),N(I10)/N(INDEX('03-آذار'!$I$2:$I$501,V10))-1,""))</f>
        <v/>
      </c>
      <c r="AC10" t="str">
        <f>IF(L10="","",IF(AND($AO$2=1,ISNA(MATCH(L10,'05-أيار'!$L$2:$L$501,0))),"محذوف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IF(L11="","",IF($AO$1=1,IFERROR(MATCH(L11,'03-آذار'!$L$2:$L$501,0),0),0))</f>
        <v/>
      </c>
      <c r="W11" t="str">
        <f t="shared" si="11"/>
        <v/>
      </c>
      <c r="X11" s="38" t="str">
        <f>IF(L11="","",IF(V11&gt;0,INDEX('03-آذار'!$P$2:$P$501,V11),IF($AO$1=1,0,"")))</f>
        <v/>
      </c>
      <c r="Y11" s="38" t="str">
        <f t="shared" si="12"/>
        <v/>
      </c>
      <c r="Z11" s="39" t="str">
        <f>IF(L11="","",IF(V11&gt;0,INDEX('03-آذار'!$Q$2:$Q$501,V11),IF($AO$1=1,0,"")))</f>
        <v/>
      </c>
      <c r="AA11" s="39" t="str">
        <f t="shared" si="13"/>
        <v/>
      </c>
      <c r="AB11" s="40" t="str">
        <f>IF(OR(L11="",V11=0),"",IF(AND(N(I11)&gt;0,N(INDEX('03-آذار'!$I$2:$I$501,V11))&gt;0,INDEX('03-آذار'!$F$2:$F$501,V11)=F11),N(I11)/N(INDEX('03-آذار'!$I$2:$I$501,V11))-1,""))</f>
        <v/>
      </c>
      <c r="AC11" t="str">
        <f>IF(L11="","",IF(AND($AO$2=1,ISNA(MATCH(L11,'05-أيار'!$L$2:$L$501,0))),"محذوف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IF(L12="","",IF($AO$1=1,IFERROR(MATCH(L12,'03-آذار'!$L$2:$L$501,0),0),0))</f>
        <v/>
      </c>
      <c r="W12" t="str">
        <f t="shared" si="11"/>
        <v/>
      </c>
      <c r="X12" s="38" t="str">
        <f>IF(L12="","",IF(V12&gt;0,INDEX('03-آذار'!$P$2:$P$501,V12),IF($AO$1=1,0,"")))</f>
        <v/>
      </c>
      <c r="Y12" s="38" t="str">
        <f t="shared" si="12"/>
        <v/>
      </c>
      <c r="Z12" s="39" t="str">
        <f>IF(L12="","",IF(V12&gt;0,INDEX('03-آذار'!$Q$2:$Q$501,V12),IF($AO$1=1,0,"")))</f>
        <v/>
      </c>
      <c r="AA12" s="39" t="str">
        <f t="shared" si="13"/>
        <v/>
      </c>
      <c r="AB12" s="40" t="str">
        <f>IF(OR(L12="",V12=0),"",IF(AND(N(I12)&gt;0,N(INDEX('03-آذار'!$I$2:$I$501,V12))&gt;0,INDEX('03-آذار'!$F$2:$F$501,V12)=F12),N(I12)/N(INDEX('03-آذار'!$I$2:$I$501,V12))-1,""))</f>
        <v/>
      </c>
      <c r="AC12" t="str">
        <f>IF(L12="","",IF(AND($AO$2=1,ISNA(MATCH(L12,'05-أيار'!$L$2:$L$501,0))),"محذوف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IF(L13="","",IF($AO$1=1,IFERROR(MATCH(L13,'03-آذار'!$L$2:$L$501,0),0),0))</f>
        <v/>
      </c>
      <c r="W13" t="str">
        <f t="shared" si="11"/>
        <v/>
      </c>
      <c r="X13" s="38" t="str">
        <f>IF(L13="","",IF(V13&gt;0,INDEX('03-آذار'!$P$2:$P$501,V13),IF($AO$1=1,0,"")))</f>
        <v/>
      </c>
      <c r="Y13" s="38" t="str">
        <f t="shared" si="12"/>
        <v/>
      </c>
      <c r="Z13" s="39" t="str">
        <f>IF(L13="","",IF(V13&gt;0,INDEX('03-آذار'!$Q$2:$Q$501,V13),IF($AO$1=1,0,"")))</f>
        <v/>
      </c>
      <c r="AA13" s="39" t="str">
        <f t="shared" si="13"/>
        <v/>
      </c>
      <c r="AB13" s="40" t="str">
        <f>IF(OR(L13="",V13=0),"",IF(AND(N(I13)&gt;0,N(INDEX('03-آذار'!$I$2:$I$501,V13))&gt;0,INDEX('03-آذار'!$F$2:$F$501,V13)=F13),N(I13)/N(INDEX('03-آذار'!$I$2:$I$501,V13))-1,""))</f>
        <v/>
      </c>
      <c r="AC13" t="str">
        <f>IF(L13="","",IF(AND($AO$2=1,ISNA(MATCH(L13,'05-أيار'!$L$2:$L$501,0))),"محذوف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IF(L14="","",IF($AO$1=1,IFERROR(MATCH(L14,'03-آذار'!$L$2:$L$501,0),0),0))</f>
        <v/>
      </c>
      <c r="W14" t="str">
        <f t="shared" si="11"/>
        <v/>
      </c>
      <c r="X14" s="38" t="str">
        <f>IF(L14="","",IF(V14&gt;0,INDEX('03-آذار'!$P$2:$P$501,V14),IF($AO$1=1,0,"")))</f>
        <v/>
      </c>
      <c r="Y14" s="38" t="str">
        <f t="shared" si="12"/>
        <v/>
      </c>
      <c r="Z14" s="39" t="str">
        <f>IF(L14="","",IF(V14&gt;0,INDEX('03-آذار'!$Q$2:$Q$501,V14),IF($AO$1=1,0,"")))</f>
        <v/>
      </c>
      <c r="AA14" s="39" t="str">
        <f t="shared" si="13"/>
        <v/>
      </c>
      <c r="AB14" s="40" t="str">
        <f>IF(OR(L14="",V14=0),"",IF(AND(N(I14)&gt;0,N(INDEX('03-آذار'!$I$2:$I$501,V14))&gt;0,INDEX('03-آذار'!$F$2:$F$501,V14)=F14),N(I14)/N(INDEX('03-آذار'!$I$2:$I$501,V14))-1,""))</f>
        <v/>
      </c>
      <c r="AC14" t="str">
        <f>IF(L14="","",IF(AND($AO$2=1,ISNA(MATCH(L14,'05-أيار'!$L$2:$L$501,0))),"محذوف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IF(L15="","",IF($AO$1=1,IFERROR(MATCH(L15,'03-آذار'!$L$2:$L$501,0),0),0))</f>
        <v/>
      </c>
      <c r="W15" t="str">
        <f t="shared" si="11"/>
        <v/>
      </c>
      <c r="X15" s="38" t="str">
        <f>IF(L15="","",IF(V15&gt;0,INDEX('03-آذار'!$P$2:$P$501,V15),IF($AO$1=1,0,"")))</f>
        <v/>
      </c>
      <c r="Y15" s="38" t="str">
        <f t="shared" si="12"/>
        <v/>
      </c>
      <c r="Z15" s="39" t="str">
        <f>IF(L15="","",IF(V15&gt;0,INDEX('03-آذار'!$Q$2:$Q$501,V15),IF($AO$1=1,0,"")))</f>
        <v/>
      </c>
      <c r="AA15" s="39" t="str">
        <f t="shared" si="13"/>
        <v/>
      </c>
      <c r="AB15" s="40" t="str">
        <f>IF(OR(L15="",V15=0),"",IF(AND(N(I15)&gt;0,N(INDEX('03-آذار'!$I$2:$I$501,V15))&gt;0,INDEX('03-آذار'!$F$2:$F$501,V15)=F15),N(I15)/N(INDEX('03-آذار'!$I$2:$I$501,V15))-1,""))</f>
        <v/>
      </c>
      <c r="AC15" t="str">
        <f>IF(L15="","",IF(AND($AO$2=1,ISNA(MATCH(L15,'05-أيار'!$L$2:$L$501,0))),"محذوف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IF(L16="","",IF($AO$1=1,IFERROR(MATCH(L16,'03-آذار'!$L$2:$L$501,0),0),0))</f>
        <v/>
      </c>
      <c r="W16" t="str">
        <f t="shared" si="11"/>
        <v/>
      </c>
      <c r="X16" s="38" t="str">
        <f>IF(L16="","",IF(V16&gt;0,INDEX('03-آذار'!$P$2:$P$501,V16),IF($AO$1=1,0,"")))</f>
        <v/>
      </c>
      <c r="Y16" s="38" t="str">
        <f t="shared" si="12"/>
        <v/>
      </c>
      <c r="Z16" s="39" t="str">
        <f>IF(L16="","",IF(V16&gt;0,INDEX('03-آذار'!$Q$2:$Q$501,V16),IF($AO$1=1,0,"")))</f>
        <v/>
      </c>
      <c r="AA16" s="39" t="str">
        <f t="shared" si="13"/>
        <v/>
      </c>
      <c r="AB16" s="40" t="str">
        <f>IF(OR(L16="",V16=0),"",IF(AND(N(I16)&gt;0,N(INDEX('03-آذار'!$I$2:$I$501,V16))&gt;0,INDEX('03-آذار'!$F$2:$F$501,V16)=F16),N(I16)/N(INDEX('03-آذار'!$I$2:$I$501,V16))-1,""))</f>
        <v/>
      </c>
      <c r="AC16" t="str">
        <f>IF(L16="","",IF(AND($AO$2=1,ISNA(MATCH(L16,'05-أيار'!$L$2:$L$501,0))),"محذوف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IF(L17="","",IF($AO$1=1,IFERROR(MATCH(L17,'03-آذار'!$L$2:$L$501,0),0),0))</f>
        <v/>
      </c>
      <c r="W17" t="str">
        <f t="shared" si="11"/>
        <v/>
      </c>
      <c r="X17" s="38" t="str">
        <f>IF(L17="","",IF(V17&gt;0,INDEX('03-آذار'!$P$2:$P$501,V17),IF($AO$1=1,0,"")))</f>
        <v/>
      </c>
      <c r="Y17" s="38" t="str">
        <f t="shared" si="12"/>
        <v/>
      </c>
      <c r="Z17" s="39" t="str">
        <f>IF(L17="","",IF(V17&gt;0,INDEX('03-آذار'!$Q$2:$Q$501,V17),IF($AO$1=1,0,"")))</f>
        <v/>
      </c>
      <c r="AA17" s="39" t="str">
        <f t="shared" si="13"/>
        <v/>
      </c>
      <c r="AB17" s="40" t="str">
        <f>IF(OR(L17="",V17=0),"",IF(AND(N(I17)&gt;0,N(INDEX('03-آذار'!$I$2:$I$501,V17))&gt;0,INDEX('03-آذار'!$F$2:$F$501,V17)=F17),N(I17)/N(INDEX('03-آذار'!$I$2:$I$501,V17))-1,""))</f>
        <v/>
      </c>
      <c r="AC17" t="str">
        <f>IF(L17="","",IF(AND($AO$2=1,ISNA(MATCH(L17,'05-أيار'!$L$2:$L$501,0))),"محذوف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IF(L18="","",IF($AO$1=1,IFERROR(MATCH(L18,'03-آذار'!$L$2:$L$501,0),0),0))</f>
        <v/>
      </c>
      <c r="W18" t="str">
        <f t="shared" si="11"/>
        <v/>
      </c>
      <c r="X18" s="38" t="str">
        <f>IF(L18="","",IF(V18&gt;0,INDEX('03-آذار'!$P$2:$P$501,V18),IF($AO$1=1,0,"")))</f>
        <v/>
      </c>
      <c r="Y18" s="38" t="str">
        <f t="shared" si="12"/>
        <v/>
      </c>
      <c r="Z18" s="39" t="str">
        <f>IF(L18="","",IF(V18&gt;0,INDEX('03-آذار'!$Q$2:$Q$501,V18),IF($AO$1=1,0,"")))</f>
        <v/>
      </c>
      <c r="AA18" s="39" t="str">
        <f t="shared" si="13"/>
        <v/>
      </c>
      <c r="AB18" s="40" t="str">
        <f>IF(OR(L18="",V18=0),"",IF(AND(N(I18)&gt;0,N(INDEX('03-آذار'!$I$2:$I$501,V18))&gt;0,INDEX('03-آذار'!$F$2:$F$501,V18)=F18),N(I18)/N(INDEX('03-آذار'!$I$2:$I$501,V18))-1,""))</f>
        <v/>
      </c>
      <c r="AC18" t="str">
        <f>IF(L18="","",IF(AND($AO$2=1,ISNA(MATCH(L18,'05-أيار'!$L$2:$L$501,0))),"محذوف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IF(L19="","",IF($AO$1=1,IFERROR(MATCH(L19,'03-آذار'!$L$2:$L$501,0),0),0))</f>
        <v/>
      </c>
      <c r="W19" t="str">
        <f t="shared" si="11"/>
        <v/>
      </c>
      <c r="X19" s="38" t="str">
        <f>IF(L19="","",IF(V19&gt;0,INDEX('03-آذار'!$P$2:$P$501,V19),IF($AO$1=1,0,"")))</f>
        <v/>
      </c>
      <c r="Y19" s="38" t="str">
        <f t="shared" si="12"/>
        <v/>
      </c>
      <c r="Z19" s="39" t="str">
        <f>IF(L19="","",IF(V19&gt;0,INDEX('03-آذار'!$Q$2:$Q$501,V19),IF($AO$1=1,0,"")))</f>
        <v/>
      </c>
      <c r="AA19" s="39" t="str">
        <f t="shared" si="13"/>
        <v/>
      </c>
      <c r="AB19" s="40" t="str">
        <f>IF(OR(L19="",V19=0),"",IF(AND(N(I19)&gt;0,N(INDEX('03-آذار'!$I$2:$I$501,V19))&gt;0,INDEX('03-آذار'!$F$2:$F$501,V19)=F19),N(I19)/N(INDEX('03-آذار'!$I$2:$I$501,V19))-1,""))</f>
        <v/>
      </c>
      <c r="AC19" t="str">
        <f>IF(L19="","",IF(AND($AO$2=1,ISNA(MATCH(L19,'05-أيار'!$L$2:$L$501,0))),"محذوف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IF(L20="","",IF($AO$1=1,IFERROR(MATCH(L20,'03-آذار'!$L$2:$L$501,0),0),0))</f>
        <v/>
      </c>
      <c r="W20" t="str">
        <f t="shared" si="11"/>
        <v/>
      </c>
      <c r="X20" s="38" t="str">
        <f>IF(L20="","",IF(V20&gt;0,INDEX('03-آذار'!$P$2:$P$501,V20),IF($AO$1=1,0,"")))</f>
        <v/>
      </c>
      <c r="Y20" s="38" t="str">
        <f t="shared" si="12"/>
        <v/>
      </c>
      <c r="Z20" s="39" t="str">
        <f>IF(L20="","",IF(V20&gt;0,INDEX('03-آذار'!$Q$2:$Q$501,V20),IF($AO$1=1,0,"")))</f>
        <v/>
      </c>
      <c r="AA20" s="39" t="str">
        <f t="shared" si="13"/>
        <v/>
      </c>
      <c r="AB20" s="40" t="str">
        <f>IF(OR(L20="",V20=0),"",IF(AND(N(I20)&gt;0,N(INDEX('03-آذار'!$I$2:$I$501,V20))&gt;0,INDEX('03-آذار'!$F$2:$F$501,V20)=F20),N(I20)/N(INDEX('03-آذار'!$I$2:$I$501,V20))-1,""))</f>
        <v/>
      </c>
      <c r="AC20" t="str">
        <f>IF(L20="","",IF(AND($AO$2=1,ISNA(MATCH(L20,'05-أيار'!$L$2:$L$501,0))),"محذوف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IF(L21="","",IF($AO$1=1,IFERROR(MATCH(L21,'03-آذار'!$L$2:$L$501,0),0),0))</f>
        <v/>
      </c>
      <c r="W21" t="str">
        <f t="shared" si="11"/>
        <v/>
      </c>
      <c r="X21" s="38" t="str">
        <f>IF(L21="","",IF(V21&gt;0,INDEX('03-آذار'!$P$2:$P$501,V21),IF($AO$1=1,0,"")))</f>
        <v/>
      </c>
      <c r="Y21" s="38" t="str">
        <f t="shared" si="12"/>
        <v/>
      </c>
      <c r="Z21" s="39" t="str">
        <f>IF(L21="","",IF(V21&gt;0,INDEX('03-آذار'!$Q$2:$Q$501,V21),IF($AO$1=1,0,"")))</f>
        <v/>
      </c>
      <c r="AA21" s="39" t="str">
        <f t="shared" si="13"/>
        <v/>
      </c>
      <c r="AB21" s="40" t="str">
        <f>IF(OR(L21="",V21=0),"",IF(AND(N(I21)&gt;0,N(INDEX('03-آذار'!$I$2:$I$501,V21))&gt;0,INDEX('03-آذار'!$F$2:$F$501,V21)=F21),N(I21)/N(INDEX('03-آذار'!$I$2:$I$501,V21))-1,""))</f>
        <v/>
      </c>
      <c r="AC21" t="str">
        <f>IF(L21="","",IF(AND($AO$2=1,ISNA(MATCH(L21,'05-أيار'!$L$2:$L$501,0))),"محذوف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IF(L22="","",IF($AO$1=1,IFERROR(MATCH(L22,'03-آذار'!$L$2:$L$501,0),0),0))</f>
        <v/>
      </c>
      <c r="W22" t="str">
        <f t="shared" si="11"/>
        <v/>
      </c>
      <c r="X22" s="38" t="str">
        <f>IF(L22="","",IF(V22&gt;0,INDEX('03-آذار'!$P$2:$P$501,V22),IF($AO$1=1,0,"")))</f>
        <v/>
      </c>
      <c r="Y22" s="38" t="str">
        <f t="shared" si="12"/>
        <v/>
      </c>
      <c r="Z22" s="39" t="str">
        <f>IF(L22="","",IF(V22&gt;0,INDEX('03-آذار'!$Q$2:$Q$501,V22),IF($AO$1=1,0,"")))</f>
        <v/>
      </c>
      <c r="AA22" s="39" t="str">
        <f t="shared" si="13"/>
        <v/>
      </c>
      <c r="AB22" s="40" t="str">
        <f>IF(OR(L22="",V22=0),"",IF(AND(N(I22)&gt;0,N(INDEX('03-آذار'!$I$2:$I$501,V22))&gt;0,INDEX('03-آذار'!$F$2:$F$501,V22)=F22),N(I22)/N(INDEX('03-آذار'!$I$2:$I$501,V22))-1,""))</f>
        <v/>
      </c>
      <c r="AC22" t="str">
        <f>IF(L22="","",IF(AND($AO$2=1,ISNA(MATCH(L22,'05-أيار'!$L$2:$L$501,0))),"محذوف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IF(L23="","",IF($AO$1=1,IFERROR(MATCH(L23,'03-آذار'!$L$2:$L$501,0),0),0))</f>
        <v/>
      </c>
      <c r="W23" t="str">
        <f t="shared" si="11"/>
        <v/>
      </c>
      <c r="X23" s="38" t="str">
        <f>IF(L23="","",IF(V23&gt;0,INDEX('03-آذار'!$P$2:$P$501,V23),IF($AO$1=1,0,"")))</f>
        <v/>
      </c>
      <c r="Y23" s="38" t="str">
        <f t="shared" si="12"/>
        <v/>
      </c>
      <c r="Z23" s="39" t="str">
        <f>IF(L23="","",IF(V23&gt;0,INDEX('03-آذار'!$Q$2:$Q$501,V23),IF($AO$1=1,0,"")))</f>
        <v/>
      </c>
      <c r="AA23" s="39" t="str">
        <f t="shared" si="13"/>
        <v/>
      </c>
      <c r="AB23" s="40" t="str">
        <f>IF(OR(L23="",V23=0),"",IF(AND(N(I23)&gt;0,N(INDEX('03-آذار'!$I$2:$I$501,V23))&gt;0,INDEX('03-آذار'!$F$2:$F$501,V23)=F23),N(I23)/N(INDEX('03-آذار'!$I$2:$I$501,V23))-1,""))</f>
        <v/>
      </c>
      <c r="AC23" t="str">
        <f>IF(L23="","",IF(AND($AO$2=1,ISNA(MATCH(L23,'05-أيار'!$L$2:$L$501,0))),"محذوف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IF(L24="","",IF($AO$1=1,IFERROR(MATCH(L24,'03-آذار'!$L$2:$L$501,0),0),0))</f>
        <v/>
      </c>
      <c r="W24" t="str">
        <f t="shared" si="11"/>
        <v/>
      </c>
      <c r="X24" s="38" t="str">
        <f>IF(L24="","",IF(V24&gt;0,INDEX('03-آذار'!$P$2:$P$501,V24),IF($AO$1=1,0,"")))</f>
        <v/>
      </c>
      <c r="Y24" s="38" t="str">
        <f t="shared" si="12"/>
        <v/>
      </c>
      <c r="Z24" s="39" t="str">
        <f>IF(L24="","",IF(V24&gt;0,INDEX('03-آذار'!$Q$2:$Q$501,V24),IF($AO$1=1,0,"")))</f>
        <v/>
      </c>
      <c r="AA24" s="39" t="str">
        <f t="shared" si="13"/>
        <v/>
      </c>
      <c r="AB24" s="40" t="str">
        <f>IF(OR(L24="",V24=0),"",IF(AND(N(I24)&gt;0,N(INDEX('03-آذار'!$I$2:$I$501,V24))&gt;0,INDEX('03-آذار'!$F$2:$F$501,V24)=F24),N(I24)/N(INDEX('03-آذار'!$I$2:$I$501,V24))-1,""))</f>
        <v/>
      </c>
      <c r="AC24" t="str">
        <f>IF(L24="","",IF(AND($AO$2=1,ISNA(MATCH(L24,'05-أيار'!$L$2:$L$501,0))),"محذوف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IF(L25="","",IF($AO$1=1,IFERROR(MATCH(L25,'03-آذار'!$L$2:$L$501,0),0),0))</f>
        <v/>
      </c>
      <c r="W25" t="str">
        <f t="shared" si="11"/>
        <v/>
      </c>
      <c r="X25" s="38" t="str">
        <f>IF(L25="","",IF(V25&gt;0,INDEX('03-آذار'!$P$2:$P$501,V25),IF($AO$1=1,0,"")))</f>
        <v/>
      </c>
      <c r="Y25" s="38" t="str">
        <f t="shared" si="12"/>
        <v/>
      </c>
      <c r="Z25" s="39" t="str">
        <f>IF(L25="","",IF(V25&gt;0,INDEX('03-آذار'!$Q$2:$Q$501,V25),IF($AO$1=1,0,"")))</f>
        <v/>
      </c>
      <c r="AA25" s="39" t="str">
        <f t="shared" si="13"/>
        <v/>
      </c>
      <c r="AB25" s="40" t="str">
        <f>IF(OR(L25="",V25=0),"",IF(AND(N(I25)&gt;0,N(INDEX('03-آذار'!$I$2:$I$501,V25))&gt;0,INDEX('03-آذار'!$F$2:$F$501,V25)=F25),N(I25)/N(INDEX('03-آذار'!$I$2:$I$501,V25))-1,""))</f>
        <v/>
      </c>
      <c r="AC25" t="str">
        <f>IF(L25="","",IF(AND($AO$2=1,ISNA(MATCH(L25,'05-أيار'!$L$2:$L$501,0))),"محذوف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IF(L26="","",IF($AO$1=1,IFERROR(MATCH(L26,'03-آذار'!$L$2:$L$501,0),0),0))</f>
        <v/>
      </c>
      <c r="W26" t="str">
        <f t="shared" si="11"/>
        <v/>
      </c>
      <c r="X26" s="38" t="str">
        <f>IF(L26="","",IF(V26&gt;0,INDEX('03-آذار'!$P$2:$P$501,V26),IF($AO$1=1,0,"")))</f>
        <v/>
      </c>
      <c r="Y26" s="38" t="str">
        <f t="shared" si="12"/>
        <v/>
      </c>
      <c r="Z26" s="39" t="str">
        <f>IF(L26="","",IF(V26&gt;0,INDEX('03-آذار'!$Q$2:$Q$501,V26),IF($AO$1=1,0,"")))</f>
        <v/>
      </c>
      <c r="AA26" s="39" t="str">
        <f t="shared" si="13"/>
        <v/>
      </c>
      <c r="AB26" s="40" t="str">
        <f>IF(OR(L26="",V26=0),"",IF(AND(N(I26)&gt;0,N(INDEX('03-آذار'!$I$2:$I$501,V26))&gt;0,INDEX('03-آذار'!$F$2:$F$501,V26)=F26),N(I26)/N(INDEX('03-آذار'!$I$2:$I$501,V26))-1,""))</f>
        <v/>
      </c>
      <c r="AC26" t="str">
        <f>IF(L26="","",IF(AND($AO$2=1,ISNA(MATCH(L26,'05-أيار'!$L$2:$L$501,0))),"محذوف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IF(L27="","",IF($AO$1=1,IFERROR(MATCH(L27,'03-آذار'!$L$2:$L$501,0),0),0))</f>
        <v/>
      </c>
      <c r="W27" t="str">
        <f t="shared" si="11"/>
        <v/>
      </c>
      <c r="X27" s="38" t="str">
        <f>IF(L27="","",IF(V27&gt;0,INDEX('03-آذار'!$P$2:$P$501,V27),IF($AO$1=1,0,"")))</f>
        <v/>
      </c>
      <c r="Y27" s="38" t="str">
        <f t="shared" si="12"/>
        <v/>
      </c>
      <c r="Z27" s="39" t="str">
        <f>IF(L27="","",IF(V27&gt;0,INDEX('03-آذار'!$Q$2:$Q$501,V27),IF($AO$1=1,0,"")))</f>
        <v/>
      </c>
      <c r="AA27" s="39" t="str">
        <f t="shared" si="13"/>
        <v/>
      </c>
      <c r="AB27" s="40" t="str">
        <f>IF(OR(L27="",V27=0),"",IF(AND(N(I27)&gt;0,N(INDEX('03-آذار'!$I$2:$I$501,V27))&gt;0,INDEX('03-آذار'!$F$2:$F$501,V27)=F27),N(I27)/N(INDEX('03-آذار'!$I$2:$I$501,V27))-1,""))</f>
        <v/>
      </c>
      <c r="AC27" t="str">
        <f>IF(L27="","",IF(AND($AO$2=1,ISNA(MATCH(L27,'05-أيار'!$L$2:$L$501,0))),"محذوف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IF(L28="","",IF($AO$1=1,IFERROR(MATCH(L28,'03-آذار'!$L$2:$L$501,0),0),0))</f>
        <v/>
      </c>
      <c r="W28" t="str">
        <f t="shared" si="11"/>
        <v/>
      </c>
      <c r="X28" s="38" t="str">
        <f>IF(L28="","",IF(V28&gt;0,INDEX('03-آذار'!$P$2:$P$501,V28),IF($AO$1=1,0,"")))</f>
        <v/>
      </c>
      <c r="Y28" s="38" t="str">
        <f t="shared" si="12"/>
        <v/>
      </c>
      <c r="Z28" s="39" t="str">
        <f>IF(L28="","",IF(V28&gt;0,INDEX('03-آذار'!$Q$2:$Q$501,V28),IF($AO$1=1,0,"")))</f>
        <v/>
      </c>
      <c r="AA28" s="39" t="str">
        <f t="shared" si="13"/>
        <v/>
      </c>
      <c r="AB28" s="40" t="str">
        <f>IF(OR(L28="",V28=0),"",IF(AND(N(I28)&gt;0,N(INDEX('03-آذار'!$I$2:$I$501,V28))&gt;0,INDEX('03-آذار'!$F$2:$F$501,V28)=F28),N(I28)/N(INDEX('03-آذار'!$I$2:$I$501,V28))-1,""))</f>
        <v/>
      </c>
      <c r="AC28" t="str">
        <f>IF(L28="","",IF(AND($AO$2=1,ISNA(MATCH(L28,'05-أيار'!$L$2:$L$501,0))),"محذوف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IF(L29="","",IF($AO$1=1,IFERROR(MATCH(L29,'03-آذار'!$L$2:$L$501,0),0),0))</f>
        <v/>
      </c>
      <c r="W29" t="str">
        <f t="shared" si="11"/>
        <v/>
      </c>
      <c r="X29" s="38" t="str">
        <f>IF(L29="","",IF(V29&gt;0,INDEX('03-آذار'!$P$2:$P$501,V29),IF($AO$1=1,0,"")))</f>
        <v/>
      </c>
      <c r="Y29" s="38" t="str">
        <f t="shared" si="12"/>
        <v/>
      </c>
      <c r="Z29" s="39" t="str">
        <f>IF(L29="","",IF(V29&gt;0,INDEX('03-آذار'!$Q$2:$Q$501,V29),IF($AO$1=1,0,"")))</f>
        <v/>
      </c>
      <c r="AA29" s="39" t="str">
        <f t="shared" si="13"/>
        <v/>
      </c>
      <c r="AB29" s="40" t="str">
        <f>IF(OR(L29="",V29=0),"",IF(AND(N(I29)&gt;0,N(INDEX('03-آذار'!$I$2:$I$501,V29))&gt;0,INDEX('03-آذار'!$F$2:$F$501,V29)=F29),N(I29)/N(INDEX('03-آذار'!$I$2:$I$501,V29))-1,""))</f>
        <v/>
      </c>
      <c r="AC29" t="str">
        <f>IF(L29="","",IF(AND($AO$2=1,ISNA(MATCH(L29,'05-أيار'!$L$2:$L$501,0))),"محذوف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IF(L30="","",IF($AO$1=1,IFERROR(MATCH(L30,'03-آذار'!$L$2:$L$501,0),0),0))</f>
        <v/>
      </c>
      <c r="W30" t="str">
        <f t="shared" si="11"/>
        <v/>
      </c>
      <c r="X30" s="38" t="str">
        <f>IF(L30="","",IF(V30&gt;0,INDEX('03-آذار'!$P$2:$P$501,V30),IF($AO$1=1,0,"")))</f>
        <v/>
      </c>
      <c r="Y30" s="38" t="str">
        <f t="shared" si="12"/>
        <v/>
      </c>
      <c r="Z30" s="39" t="str">
        <f>IF(L30="","",IF(V30&gt;0,INDEX('03-آذار'!$Q$2:$Q$501,V30),IF($AO$1=1,0,"")))</f>
        <v/>
      </c>
      <c r="AA30" s="39" t="str">
        <f t="shared" si="13"/>
        <v/>
      </c>
      <c r="AB30" s="40" t="str">
        <f>IF(OR(L30="",V30=0),"",IF(AND(N(I30)&gt;0,N(INDEX('03-آذار'!$I$2:$I$501,V30))&gt;0,INDEX('03-آذار'!$F$2:$F$501,V30)=F30),N(I30)/N(INDEX('03-آذار'!$I$2:$I$501,V30))-1,""))</f>
        <v/>
      </c>
      <c r="AC30" t="str">
        <f>IF(L30="","",IF(AND($AO$2=1,ISNA(MATCH(L30,'05-أيار'!$L$2:$L$501,0))),"محذوف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IF(L31="","",IF($AO$1=1,IFERROR(MATCH(L31,'03-آذار'!$L$2:$L$501,0),0),0))</f>
        <v/>
      </c>
      <c r="W31" t="str">
        <f t="shared" si="11"/>
        <v/>
      </c>
      <c r="X31" s="38" t="str">
        <f>IF(L31="","",IF(V31&gt;0,INDEX('03-آذار'!$P$2:$P$501,V31),IF($AO$1=1,0,"")))</f>
        <v/>
      </c>
      <c r="Y31" s="38" t="str">
        <f t="shared" si="12"/>
        <v/>
      </c>
      <c r="Z31" s="39" t="str">
        <f>IF(L31="","",IF(V31&gt;0,INDEX('03-آذار'!$Q$2:$Q$501,V31),IF($AO$1=1,0,"")))</f>
        <v/>
      </c>
      <c r="AA31" s="39" t="str">
        <f t="shared" si="13"/>
        <v/>
      </c>
      <c r="AB31" s="40" t="str">
        <f>IF(OR(L31="",V31=0),"",IF(AND(N(I31)&gt;0,N(INDEX('03-آذار'!$I$2:$I$501,V31))&gt;0,INDEX('03-آذار'!$F$2:$F$501,V31)=F31),N(I31)/N(INDEX('03-آذار'!$I$2:$I$501,V31))-1,""))</f>
        <v/>
      </c>
      <c r="AC31" t="str">
        <f>IF(L31="","",IF(AND($AO$2=1,ISNA(MATCH(L31,'05-أيار'!$L$2:$L$501,0))),"محذوف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IF(L32="","",IF($AO$1=1,IFERROR(MATCH(L32,'03-آذار'!$L$2:$L$501,0),0),0))</f>
        <v/>
      </c>
      <c r="W32" t="str">
        <f t="shared" si="11"/>
        <v/>
      </c>
      <c r="X32" s="38" t="str">
        <f>IF(L32="","",IF(V32&gt;0,INDEX('03-آذار'!$P$2:$P$501,V32),IF($AO$1=1,0,"")))</f>
        <v/>
      </c>
      <c r="Y32" s="38" t="str">
        <f t="shared" si="12"/>
        <v/>
      </c>
      <c r="Z32" s="39" t="str">
        <f>IF(L32="","",IF(V32&gt;0,INDEX('03-آذار'!$Q$2:$Q$501,V32),IF($AO$1=1,0,"")))</f>
        <v/>
      </c>
      <c r="AA32" s="39" t="str">
        <f t="shared" si="13"/>
        <v/>
      </c>
      <c r="AB32" s="40" t="str">
        <f>IF(OR(L32="",V32=0),"",IF(AND(N(I32)&gt;0,N(INDEX('03-آذار'!$I$2:$I$501,V32))&gt;0,INDEX('03-آذار'!$F$2:$F$501,V32)=F32),N(I32)/N(INDEX('03-آذار'!$I$2:$I$501,V32))-1,""))</f>
        <v/>
      </c>
      <c r="AC32" t="str">
        <f>IF(L32="","",IF(AND($AO$2=1,ISNA(MATCH(L32,'05-أيار'!$L$2:$L$501,0))),"محذوف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IF(L33="","",IF($AO$1=1,IFERROR(MATCH(L33,'03-آذار'!$L$2:$L$501,0),0),0))</f>
        <v/>
      </c>
      <c r="W33" t="str">
        <f t="shared" si="11"/>
        <v/>
      </c>
      <c r="X33" s="38" t="str">
        <f>IF(L33="","",IF(V33&gt;0,INDEX('03-آذار'!$P$2:$P$501,V33),IF($AO$1=1,0,"")))</f>
        <v/>
      </c>
      <c r="Y33" s="38" t="str">
        <f t="shared" si="12"/>
        <v/>
      </c>
      <c r="Z33" s="39" t="str">
        <f>IF(L33="","",IF(V33&gt;0,INDEX('03-آذار'!$Q$2:$Q$501,V33),IF($AO$1=1,0,"")))</f>
        <v/>
      </c>
      <c r="AA33" s="39" t="str">
        <f t="shared" si="13"/>
        <v/>
      </c>
      <c r="AB33" s="40" t="str">
        <f>IF(OR(L33="",V33=0),"",IF(AND(N(I33)&gt;0,N(INDEX('03-آذار'!$I$2:$I$501,V33))&gt;0,INDEX('03-آذار'!$F$2:$F$501,V33)=F33),N(I33)/N(INDEX('03-آذار'!$I$2:$I$501,V33))-1,""))</f>
        <v/>
      </c>
      <c r="AC33" t="str">
        <f>IF(L33="","",IF(AND($AO$2=1,ISNA(MATCH(L33,'05-أيار'!$L$2:$L$501,0))),"محذوف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IF(L34="","",IF($AO$1=1,IFERROR(MATCH(L34,'03-آذار'!$L$2:$L$501,0),0),0))</f>
        <v/>
      </c>
      <c r="W34" t="str">
        <f t="shared" si="11"/>
        <v/>
      </c>
      <c r="X34" s="38" t="str">
        <f>IF(L34="","",IF(V34&gt;0,INDEX('03-آذار'!$P$2:$P$501,V34),IF($AO$1=1,0,"")))</f>
        <v/>
      </c>
      <c r="Y34" s="38" t="str">
        <f t="shared" si="12"/>
        <v/>
      </c>
      <c r="Z34" s="39" t="str">
        <f>IF(L34="","",IF(V34&gt;0,INDEX('03-آذار'!$Q$2:$Q$501,V34),IF($AO$1=1,0,"")))</f>
        <v/>
      </c>
      <c r="AA34" s="39" t="str">
        <f t="shared" si="13"/>
        <v/>
      </c>
      <c r="AB34" s="40" t="str">
        <f>IF(OR(L34="",V34=0),"",IF(AND(N(I34)&gt;0,N(INDEX('03-آذار'!$I$2:$I$501,V34))&gt;0,INDEX('03-آذار'!$F$2:$F$501,V34)=F34),N(I34)/N(INDEX('03-آذار'!$I$2:$I$501,V34))-1,""))</f>
        <v/>
      </c>
      <c r="AC34" t="str">
        <f>IF(L34="","",IF(AND($AO$2=1,ISNA(MATCH(L34,'05-أيار'!$L$2:$L$501,0))),"محذوف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IF(L35="","",IF($AO$1=1,IFERROR(MATCH(L35,'03-آذار'!$L$2:$L$501,0),0),0))</f>
        <v/>
      </c>
      <c r="W35" t="str">
        <f t="shared" si="11"/>
        <v/>
      </c>
      <c r="X35" s="38" t="str">
        <f>IF(L35="","",IF(V35&gt;0,INDEX('03-آذار'!$P$2:$P$501,V35),IF($AO$1=1,0,"")))</f>
        <v/>
      </c>
      <c r="Y35" s="38" t="str">
        <f t="shared" si="12"/>
        <v/>
      </c>
      <c r="Z35" s="39" t="str">
        <f>IF(L35="","",IF(V35&gt;0,INDEX('03-آذار'!$Q$2:$Q$501,V35),IF($AO$1=1,0,"")))</f>
        <v/>
      </c>
      <c r="AA35" s="39" t="str">
        <f t="shared" si="13"/>
        <v/>
      </c>
      <c r="AB35" s="40" t="str">
        <f>IF(OR(L35="",V35=0),"",IF(AND(N(I35)&gt;0,N(INDEX('03-آذار'!$I$2:$I$501,V35))&gt;0,INDEX('03-آذار'!$F$2:$F$501,V35)=F35),N(I35)/N(INDEX('03-آذار'!$I$2:$I$501,V35))-1,""))</f>
        <v/>
      </c>
      <c r="AC35" t="str">
        <f>IF(L35="","",IF(AND($AO$2=1,ISNA(MATCH(L35,'05-أيار'!$L$2:$L$501,0))),"محذوف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IF(L36="","",IF($AO$1=1,IFERROR(MATCH(L36,'03-آذار'!$L$2:$L$501,0),0),0))</f>
        <v/>
      </c>
      <c r="W36" t="str">
        <f t="shared" si="11"/>
        <v/>
      </c>
      <c r="X36" s="38" t="str">
        <f>IF(L36="","",IF(V36&gt;0,INDEX('03-آذار'!$P$2:$P$501,V36),IF($AO$1=1,0,"")))</f>
        <v/>
      </c>
      <c r="Y36" s="38" t="str">
        <f t="shared" si="12"/>
        <v/>
      </c>
      <c r="Z36" s="39" t="str">
        <f>IF(L36="","",IF(V36&gt;0,INDEX('03-آذار'!$Q$2:$Q$501,V36),IF($AO$1=1,0,"")))</f>
        <v/>
      </c>
      <c r="AA36" s="39" t="str">
        <f t="shared" si="13"/>
        <v/>
      </c>
      <c r="AB36" s="40" t="str">
        <f>IF(OR(L36="",V36=0),"",IF(AND(N(I36)&gt;0,N(INDEX('03-آذار'!$I$2:$I$501,V36))&gt;0,INDEX('03-آذار'!$F$2:$F$501,V36)=F36),N(I36)/N(INDEX('03-آذار'!$I$2:$I$501,V36))-1,""))</f>
        <v/>
      </c>
      <c r="AC36" t="str">
        <f>IF(L36="","",IF(AND($AO$2=1,ISNA(MATCH(L36,'05-أيار'!$L$2:$L$501,0))),"محذوف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IF(L37="","",IF($AO$1=1,IFERROR(MATCH(L37,'03-آذار'!$L$2:$L$501,0),0),0))</f>
        <v/>
      </c>
      <c r="W37" t="str">
        <f t="shared" si="11"/>
        <v/>
      </c>
      <c r="X37" s="38" t="str">
        <f>IF(L37="","",IF(V37&gt;0,INDEX('03-آذار'!$P$2:$P$501,V37),IF($AO$1=1,0,"")))</f>
        <v/>
      </c>
      <c r="Y37" s="38" t="str">
        <f t="shared" si="12"/>
        <v/>
      </c>
      <c r="Z37" s="39" t="str">
        <f>IF(L37="","",IF(V37&gt;0,INDEX('03-آذار'!$Q$2:$Q$501,V37),IF($AO$1=1,0,"")))</f>
        <v/>
      </c>
      <c r="AA37" s="39" t="str">
        <f t="shared" si="13"/>
        <v/>
      </c>
      <c r="AB37" s="40" t="str">
        <f>IF(OR(L37="",V37=0),"",IF(AND(N(I37)&gt;0,N(INDEX('03-آذار'!$I$2:$I$501,V37))&gt;0,INDEX('03-آذار'!$F$2:$F$501,V37)=F37),N(I37)/N(INDEX('03-آذار'!$I$2:$I$501,V37))-1,""))</f>
        <v/>
      </c>
      <c r="AC37" t="str">
        <f>IF(L37="","",IF(AND($AO$2=1,ISNA(MATCH(L37,'05-أيار'!$L$2:$L$501,0))),"محذوف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IF(L38="","",IF($AO$1=1,IFERROR(MATCH(L38,'03-آذار'!$L$2:$L$501,0),0),0))</f>
        <v/>
      </c>
      <c r="W38" t="str">
        <f t="shared" si="11"/>
        <v/>
      </c>
      <c r="X38" s="38" t="str">
        <f>IF(L38="","",IF(V38&gt;0,INDEX('03-آذار'!$P$2:$P$501,V38),IF($AO$1=1,0,"")))</f>
        <v/>
      </c>
      <c r="Y38" s="38" t="str">
        <f t="shared" si="12"/>
        <v/>
      </c>
      <c r="Z38" s="39" t="str">
        <f>IF(L38="","",IF(V38&gt;0,INDEX('03-آذار'!$Q$2:$Q$501,V38),IF($AO$1=1,0,"")))</f>
        <v/>
      </c>
      <c r="AA38" s="39" t="str">
        <f t="shared" si="13"/>
        <v/>
      </c>
      <c r="AB38" s="40" t="str">
        <f>IF(OR(L38="",V38=0),"",IF(AND(N(I38)&gt;0,N(INDEX('03-آذار'!$I$2:$I$501,V38))&gt;0,INDEX('03-آذار'!$F$2:$F$501,V38)=F38),N(I38)/N(INDEX('03-آذار'!$I$2:$I$501,V38))-1,""))</f>
        <v/>
      </c>
      <c r="AC38" t="str">
        <f>IF(L38="","",IF(AND($AO$2=1,ISNA(MATCH(L38,'05-أيار'!$L$2:$L$501,0))),"محذوف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IF(L39="","",IF($AO$1=1,IFERROR(MATCH(L39,'03-آذار'!$L$2:$L$501,0),0),0))</f>
        <v/>
      </c>
      <c r="W39" t="str">
        <f t="shared" si="11"/>
        <v/>
      </c>
      <c r="X39" s="38" t="str">
        <f>IF(L39="","",IF(V39&gt;0,INDEX('03-آذار'!$P$2:$P$501,V39),IF($AO$1=1,0,"")))</f>
        <v/>
      </c>
      <c r="Y39" s="38" t="str">
        <f t="shared" si="12"/>
        <v/>
      </c>
      <c r="Z39" s="39" t="str">
        <f>IF(L39="","",IF(V39&gt;0,INDEX('03-آذار'!$Q$2:$Q$501,V39),IF($AO$1=1,0,"")))</f>
        <v/>
      </c>
      <c r="AA39" s="39" t="str">
        <f t="shared" si="13"/>
        <v/>
      </c>
      <c r="AB39" s="40" t="str">
        <f>IF(OR(L39="",V39=0),"",IF(AND(N(I39)&gt;0,N(INDEX('03-آذار'!$I$2:$I$501,V39))&gt;0,INDEX('03-آذار'!$F$2:$F$501,V39)=F39),N(I39)/N(INDEX('03-آذار'!$I$2:$I$501,V39))-1,""))</f>
        <v/>
      </c>
      <c r="AC39" t="str">
        <f>IF(L39="","",IF(AND($AO$2=1,ISNA(MATCH(L39,'05-أيار'!$L$2:$L$501,0))),"محذوف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IF(L40="","",IF($AO$1=1,IFERROR(MATCH(L40,'03-آذار'!$L$2:$L$501,0),0),0))</f>
        <v/>
      </c>
      <c r="W40" t="str">
        <f t="shared" si="11"/>
        <v/>
      </c>
      <c r="X40" s="38" t="str">
        <f>IF(L40="","",IF(V40&gt;0,INDEX('03-آذار'!$P$2:$P$501,V40),IF($AO$1=1,0,"")))</f>
        <v/>
      </c>
      <c r="Y40" s="38" t="str">
        <f t="shared" si="12"/>
        <v/>
      </c>
      <c r="Z40" s="39" t="str">
        <f>IF(L40="","",IF(V40&gt;0,INDEX('03-آذار'!$Q$2:$Q$501,V40),IF($AO$1=1,0,"")))</f>
        <v/>
      </c>
      <c r="AA40" s="39" t="str">
        <f t="shared" si="13"/>
        <v/>
      </c>
      <c r="AB40" s="40" t="str">
        <f>IF(OR(L40="",V40=0),"",IF(AND(N(I40)&gt;0,N(INDEX('03-آذار'!$I$2:$I$501,V40))&gt;0,INDEX('03-آذار'!$F$2:$F$501,V40)=F40),N(I40)/N(INDEX('03-آذار'!$I$2:$I$501,V40))-1,""))</f>
        <v/>
      </c>
      <c r="AC40" t="str">
        <f>IF(L40="","",IF(AND($AO$2=1,ISNA(MATCH(L40,'05-أيار'!$L$2:$L$501,0))),"محذوف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IF(L41="","",IF($AO$1=1,IFERROR(MATCH(L41,'03-آذار'!$L$2:$L$501,0),0),0))</f>
        <v/>
      </c>
      <c r="W41" t="str">
        <f t="shared" si="11"/>
        <v/>
      </c>
      <c r="X41" s="38" t="str">
        <f>IF(L41="","",IF(V41&gt;0,INDEX('03-آذار'!$P$2:$P$501,V41),IF($AO$1=1,0,"")))</f>
        <v/>
      </c>
      <c r="Y41" s="38" t="str">
        <f t="shared" si="12"/>
        <v/>
      </c>
      <c r="Z41" s="39" t="str">
        <f>IF(L41="","",IF(V41&gt;0,INDEX('03-آذار'!$Q$2:$Q$501,V41),IF($AO$1=1,0,"")))</f>
        <v/>
      </c>
      <c r="AA41" s="39" t="str">
        <f t="shared" si="13"/>
        <v/>
      </c>
      <c r="AB41" s="40" t="str">
        <f>IF(OR(L41="",V41=0),"",IF(AND(N(I41)&gt;0,N(INDEX('03-آذار'!$I$2:$I$501,V41))&gt;0,INDEX('03-آذار'!$F$2:$F$501,V41)=F41),N(I41)/N(INDEX('03-آذار'!$I$2:$I$501,V41))-1,""))</f>
        <v/>
      </c>
      <c r="AC41" t="str">
        <f>IF(L41="","",IF(AND($AO$2=1,ISNA(MATCH(L41,'05-أيار'!$L$2:$L$501,0))),"محذوف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IF(L42="","",IF($AO$1=1,IFERROR(MATCH(L42,'03-آذار'!$L$2:$L$501,0),0),0))</f>
        <v/>
      </c>
      <c r="W42" t="str">
        <f t="shared" si="11"/>
        <v/>
      </c>
      <c r="X42" s="38" t="str">
        <f>IF(L42="","",IF(V42&gt;0,INDEX('03-آذار'!$P$2:$P$501,V42),IF($AO$1=1,0,"")))</f>
        <v/>
      </c>
      <c r="Y42" s="38" t="str">
        <f t="shared" si="12"/>
        <v/>
      </c>
      <c r="Z42" s="39" t="str">
        <f>IF(L42="","",IF(V42&gt;0,INDEX('03-آذار'!$Q$2:$Q$501,V42),IF($AO$1=1,0,"")))</f>
        <v/>
      </c>
      <c r="AA42" s="39" t="str">
        <f t="shared" si="13"/>
        <v/>
      </c>
      <c r="AB42" s="40" t="str">
        <f>IF(OR(L42="",V42=0),"",IF(AND(N(I42)&gt;0,N(INDEX('03-آذار'!$I$2:$I$501,V42))&gt;0,INDEX('03-آذار'!$F$2:$F$501,V42)=F42),N(I42)/N(INDEX('03-آذار'!$I$2:$I$501,V42))-1,""))</f>
        <v/>
      </c>
      <c r="AC42" t="str">
        <f>IF(L42="","",IF(AND($AO$2=1,ISNA(MATCH(L42,'05-أيار'!$L$2:$L$501,0))),"محذوف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IF(L43="","",IF($AO$1=1,IFERROR(MATCH(L43,'03-آذار'!$L$2:$L$501,0),0),0))</f>
        <v/>
      </c>
      <c r="W43" t="str">
        <f t="shared" si="11"/>
        <v/>
      </c>
      <c r="X43" s="38" t="str">
        <f>IF(L43="","",IF(V43&gt;0,INDEX('03-آذار'!$P$2:$P$501,V43),IF($AO$1=1,0,"")))</f>
        <v/>
      </c>
      <c r="Y43" s="38" t="str">
        <f t="shared" si="12"/>
        <v/>
      </c>
      <c r="Z43" s="39" t="str">
        <f>IF(L43="","",IF(V43&gt;0,INDEX('03-آذار'!$Q$2:$Q$501,V43),IF($AO$1=1,0,"")))</f>
        <v/>
      </c>
      <c r="AA43" s="39" t="str">
        <f t="shared" si="13"/>
        <v/>
      </c>
      <c r="AB43" s="40" t="str">
        <f>IF(OR(L43="",V43=0),"",IF(AND(N(I43)&gt;0,N(INDEX('03-آذار'!$I$2:$I$501,V43))&gt;0,INDEX('03-آذار'!$F$2:$F$501,V43)=F43),N(I43)/N(INDEX('03-آذار'!$I$2:$I$501,V43))-1,""))</f>
        <v/>
      </c>
      <c r="AC43" t="str">
        <f>IF(L43="","",IF(AND($AO$2=1,ISNA(MATCH(L43,'05-أيار'!$L$2:$L$501,0))),"محذوف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IF(L44="","",IF($AO$1=1,IFERROR(MATCH(L44,'03-آذار'!$L$2:$L$501,0),0),0))</f>
        <v/>
      </c>
      <c r="W44" t="str">
        <f t="shared" si="11"/>
        <v/>
      </c>
      <c r="X44" s="38" t="str">
        <f>IF(L44="","",IF(V44&gt;0,INDEX('03-آذار'!$P$2:$P$501,V44),IF($AO$1=1,0,"")))</f>
        <v/>
      </c>
      <c r="Y44" s="38" t="str">
        <f t="shared" si="12"/>
        <v/>
      </c>
      <c r="Z44" s="39" t="str">
        <f>IF(L44="","",IF(V44&gt;0,INDEX('03-آذار'!$Q$2:$Q$501,V44),IF($AO$1=1,0,"")))</f>
        <v/>
      </c>
      <c r="AA44" s="39" t="str">
        <f t="shared" si="13"/>
        <v/>
      </c>
      <c r="AB44" s="40" t="str">
        <f>IF(OR(L44="",V44=0),"",IF(AND(N(I44)&gt;0,N(INDEX('03-آذار'!$I$2:$I$501,V44))&gt;0,INDEX('03-آذار'!$F$2:$F$501,V44)=F44),N(I44)/N(INDEX('03-آذار'!$I$2:$I$501,V44))-1,""))</f>
        <v/>
      </c>
      <c r="AC44" t="str">
        <f>IF(L44="","",IF(AND($AO$2=1,ISNA(MATCH(L44,'05-أيار'!$L$2:$L$501,0))),"محذوف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IF(L45="","",IF($AO$1=1,IFERROR(MATCH(L45,'03-آذار'!$L$2:$L$501,0),0),0))</f>
        <v/>
      </c>
      <c r="W45" t="str">
        <f t="shared" si="11"/>
        <v/>
      </c>
      <c r="X45" s="38" t="str">
        <f>IF(L45="","",IF(V45&gt;0,INDEX('03-آذار'!$P$2:$P$501,V45),IF($AO$1=1,0,"")))</f>
        <v/>
      </c>
      <c r="Y45" s="38" t="str">
        <f t="shared" si="12"/>
        <v/>
      </c>
      <c r="Z45" s="39" t="str">
        <f>IF(L45="","",IF(V45&gt;0,INDEX('03-آذار'!$Q$2:$Q$501,V45),IF($AO$1=1,0,"")))</f>
        <v/>
      </c>
      <c r="AA45" s="39" t="str">
        <f t="shared" si="13"/>
        <v/>
      </c>
      <c r="AB45" s="40" t="str">
        <f>IF(OR(L45="",V45=0),"",IF(AND(N(I45)&gt;0,N(INDEX('03-آذار'!$I$2:$I$501,V45))&gt;0,INDEX('03-آذار'!$F$2:$F$501,V45)=F45),N(I45)/N(INDEX('03-آذار'!$I$2:$I$501,V45))-1,""))</f>
        <v/>
      </c>
      <c r="AC45" t="str">
        <f>IF(L45="","",IF(AND($AO$2=1,ISNA(MATCH(L45,'05-أيار'!$L$2:$L$501,0))),"محذوف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IF(L46="","",IF($AO$1=1,IFERROR(MATCH(L46,'03-آذار'!$L$2:$L$501,0),0),0))</f>
        <v/>
      </c>
      <c r="W46" t="str">
        <f t="shared" si="11"/>
        <v/>
      </c>
      <c r="X46" s="38" t="str">
        <f>IF(L46="","",IF(V46&gt;0,INDEX('03-آذار'!$P$2:$P$501,V46),IF($AO$1=1,0,"")))</f>
        <v/>
      </c>
      <c r="Y46" s="38" t="str">
        <f t="shared" si="12"/>
        <v/>
      </c>
      <c r="Z46" s="39" t="str">
        <f>IF(L46="","",IF(V46&gt;0,INDEX('03-آذار'!$Q$2:$Q$501,V46),IF($AO$1=1,0,"")))</f>
        <v/>
      </c>
      <c r="AA46" s="39" t="str">
        <f t="shared" si="13"/>
        <v/>
      </c>
      <c r="AB46" s="40" t="str">
        <f>IF(OR(L46="",V46=0),"",IF(AND(N(I46)&gt;0,N(INDEX('03-آذار'!$I$2:$I$501,V46))&gt;0,INDEX('03-آذار'!$F$2:$F$501,V46)=F46),N(I46)/N(INDEX('03-آذار'!$I$2:$I$501,V46))-1,""))</f>
        <v/>
      </c>
      <c r="AC46" t="str">
        <f>IF(L46="","",IF(AND($AO$2=1,ISNA(MATCH(L46,'05-أيار'!$L$2:$L$501,0))),"محذوف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IF(L47="","",IF($AO$1=1,IFERROR(MATCH(L47,'03-آذار'!$L$2:$L$501,0),0),0))</f>
        <v/>
      </c>
      <c r="W47" t="str">
        <f t="shared" si="11"/>
        <v/>
      </c>
      <c r="X47" s="38" t="str">
        <f>IF(L47="","",IF(V47&gt;0,INDEX('03-آذار'!$P$2:$P$501,V47),IF($AO$1=1,0,"")))</f>
        <v/>
      </c>
      <c r="Y47" s="38" t="str">
        <f t="shared" si="12"/>
        <v/>
      </c>
      <c r="Z47" s="39" t="str">
        <f>IF(L47="","",IF(V47&gt;0,INDEX('03-آذار'!$Q$2:$Q$501,V47),IF($AO$1=1,0,"")))</f>
        <v/>
      </c>
      <c r="AA47" s="39" t="str">
        <f t="shared" si="13"/>
        <v/>
      </c>
      <c r="AB47" s="40" t="str">
        <f>IF(OR(L47="",V47=0),"",IF(AND(N(I47)&gt;0,N(INDEX('03-آذار'!$I$2:$I$501,V47))&gt;0,INDEX('03-آذار'!$F$2:$F$501,V47)=F47),N(I47)/N(INDEX('03-آذار'!$I$2:$I$501,V47))-1,""))</f>
        <v/>
      </c>
      <c r="AC47" t="str">
        <f>IF(L47="","",IF(AND($AO$2=1,ISNA(MATCH(L47,'05-أيار'!$L$2:$L$501,0))),"محذوف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IF(L48="","",IF($AO$1=1,IFERROR(MATCH(L48,'03-آذار'!$L$2:$L$501,0),0),0))</f>
        <v/>
      </c>
      <c r="W48" t="str">
        <f t="shared" si="11"/>
        <v/>
      </c>
      <c r="X48" s="38" t="str">
        <f>IF(L48="","",IF(V48&gt;0,INDEX('03-آذار'!$P$2:$P$501,V48),IF($AO$1=1,0,"")))</f>
        <v/>
      </c>
      <c r="Y48" s="38" t="str">
        <f t="shared" si="12"/>
        <v/>
      </c>
      <c r="Z48" s="39" t="str">
        <f>IF(L48="","",IF(V48&gt;0,INDEX('03-آذار'!$Q$2:$Q$501,V48),IF($AO$1=1,0,"")))</f>
        <v/>
      </c>
      <c r="AA48" s="39" t="str">
        <f t="shared" si="13"/>
        <v/>
      </c>
      <c r="AB48" s="40" t="str">
        <f>IF(OR(L48="",V48=0),"",IF(AND(N(I48)&gt;0,N(INDEX('03-آذار'!$I$2:$I$501,V48))&gt;0,INDEX('03-آذار'!$F$2:$F$501,V48)=F48),N(I48)/N(INDEX('03-آذار'!$I$2:$I$501,V48))-1,""))</f>
        <v/>
      </c>
      <c r="AC48" t="str">
        <f>IF(L48="","",IF(AND($AO$2=1,ISNA(MATCH(L48,'05-أيار'!$L$2:$L$501,0))),"محذوف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IF(L49="","",IF($AO$1=1,IFERROR(MATCH(L49,'03-آذار'!$L$2:$L$501,0),0),0))</f>
        <v/>
      </c>
      <c r="W49" t="str">
        <f t="shared" si="11"/>
        <v/>
      </c>
      <c r="X49" s="38" t="str">
        <f>IF(L49="","",IF(V49&gt;0,INDEX('03-آذار'!$P$2:$P$501,V49),IF($AO$1=1,0,"")))</f>
        <v/>
      </c>
      <c r="Y49" s="38" t="str">
        <f t="shared" si="12"/>
        <v/>
      </c>
      <c r="Z49" s="39" t="str">
        <f>IF(L49="","",IF(V49&gt;0,INDEX('03-آذار'!$Q$2:$Q$501,V49),IF($AO$1=1,0,"")))</f>
        <v/>
      </c>
      <c r="AA49" s="39" t="str">
        <f t="shared" si="13"/>
        <v/>
      </c>
      <c r="AB49" s="40" t="str">
        <f>IF(OR(L49="",V49=0),"",IF(AND(N(I49)&gt;0,N(INDEX('03-آذار'!$I$2:$I$501,V49))&gt;0,INDEX('03-آذار'!$F$2:$F$501,V49)=F49),N(I49)/N(INDEX('03-آذار'!$I$2:$I$501,V49))-1,""))</f>
        <v/>
      </c>
      <c r="AC49" t="str">
        <f>IF(L49="","",IF(AND($AO$2=1,ISNA(MATCH(L49,'05-أيار'!$L$2:$L$501,0))),"محذوف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IF(L50="","",IF($AO$1=1,IFERROR(MATCH(L50,'03-آذار'!$L$2:$L$501,0),0),0))</f>
        <v/>
      </c>
      <c r="W50" t="str">
        <f t="shared" si="11"/>
        <v/>
      </c>
      <c r="X50" s="38" t="str">
        <f>IF(L50="","",IF(V50&gt;0,INDEX('03-آذار'!$P$2:$P$501,V50),IF($AO$1=1,0,"")))</f>
        <v/>
      </c>
      <c r="Y50" s="38" t="str">
        <f t="shared" si="12"/>
        <v/>
      </c>
      <c r="Z50" s="39" t="str">
        <f>IF(L50="","",IF(V50&gt;0,INDEX('03-آذار'!$Q$2:$Q$501,V50),IF($AO$1=1,0,"")))</f>
        <v/>
      </c>
      <c r="AA50" s="39" t="str">
        <f t="shared" si="13"/>
        <v/>
      </c>
      <c r="AB50" s="40" t="str">
        <f>IF(OR(L50="",V50=0),"",IF(AND(N(I50)&gt;0,N(INDEX('03-آذار'!$I$2:$I$501,V50))&gt;0,INDEX('03-آذار'!$F$2:$F$501,V50)=F50),N(I50)/N(INDEX('03-آذار'!$I$2:$I$501,V50))-1,""))</f>
        <v/>
      </c>
      <c r="AC50" t="str">
        <f>IF(L50="","",IF(AND($AO$2=1,ISNA(MATCH(L50,'05-أيار'!$L$2:$L$501,0))),"محذوف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IF(L51="","",IF($AO$1=1,IFERROR(MATCH(L51,'03-آذار'!$L$2:$L$501,0),0),0))</f>
        <v/>
      </c>
      <c r="W51" t="str">
        <f t="shared" si="11"/>
        <v/>
      </c>
      <c r="X51" s="38" t="str">
        <f>IF(L51="","",IF(V51&gt;0,INDEX('03-آذار'!$P$2:$P$501,V51),IF($AO$1=1,0,"")))</f>
        <v/>
      </c>
      <c r="Y51" s="38" t="str">
        <f t="shared" si="12"/>
        <v/>
      </c>
      <c r="Z51" s="39" t="str">
        <f>IF(L51="","",IF(V51&gt;0,INDEX('03-آذار'!$Q$2:$Q$501,V51),IF($AO$1=1,0,"")))</f>
        <v/>
      </c>
      <c r="AA51" s="39" t="str">
        <f t="shared" si="13"/>
        <v/>
      </c>
      <c r="AB51" s="40" t="str">
        <f>IF(OR(L51="",V51=0),"",IF(AND(N(I51)&gt;0,N(INDEX('03-آذار'!$I$2:$I$501,V51))&gt;0,INDEX('03-آذار'!$F$2:$F$501,V51)=F51),N(I51)/N(INDEX('03-آذار'!$I$2:$I$501,V51))-1,""))</f>
        <v/>
      </c>
      <c r="AC51" t="str">
        <f>IF(L51="","",IF(AND($AO$2=1,ISNA(MATCH(L51,'05-أيار'!$L$2:$L$501,0))),"محذوف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IF(L52="","",IF($AO$1=1,IFERROR(MATCH(L52,'03-آذار'!$L$2:$L$501,0),0),0))</f>
        <v/>
      </c>
      <c r="W52" t="str">
        <f t="shared" si="11"/>
        <v/>
      </c>
      <c r="X52" s="38" t="str">
        <f>IF(L52="","",IF(V52&gt;0,INDEX('03-آذار'!$P$2:$P$501,V52),IF($AO$1=1,0,"")))</f>
        <v/>
      </c>
      <c r="Y52" s="38" t="str">
        <f t="shared" si="12"/>
        <v/>
      </c>
      <c r="Z52" s="39" t="str">
        <f>IF(L52="","",IF(V52&gt;0,INDEX('03-آذار'!$Q$2:$Q$501,V52),IF($AO$1=1,0,"")))</f>
        <v/>
      </c>
      <c r="AA52" s="39" t="str">
        <f t="shared" si="13"/>
        <v/>
      </c>
      <c r="AB52" s="40" t="str">
        <f>IF(OR(L52="",V52=0),"",IF(AND(N(I52)&gt;0,N(INDEX('03-آذار'!$I$2:$I$501,V52))&gt;0,INDEX('03-آذار'!$F$2:$F$501,V52)=F52),N(I52)/N(INDEX('03-آذار'!$I$2:$I$501,V52))-1,""))</f>
        <v/>
      </c>
      <c r="AC52" t="str">
        <f>IF(L52="","",IF(AND($AO$2=1,ISNA(MATCH(L52,'05-أيار'!$L$2:$L$501,0))),"محذوف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IF(L53="","",IF($AO$1=1,IFERROR(MATCH(L53,'03-آذار'!$L$2:$L$501,0),0),0))</f>
        <v/>
      </c>
      <c r="W53" t="str">
        <f t="shared" si="11"/>
        <v/>
      </c>
      <c r="X53" s="38" t="str">
        <f>IF(L53="","",IF(V53&gt;0,INDEX('03-آذار'!$P$2:$P$501,V53),IF($AO$1=1,0,"")))</f>
        <v/>
      </c>
      <c r="Y53" s="38" t="str">
        <f t="shared" si="12"/>
        <v/>
      </c>
      <c r="Z53" s="39" t="str">
        <f>IF(L53="","",IF(V53&gt;0,INDEX('03-آذار'!$Q$2:$Q$501,V53),IF($AO$1=1,0,"")))</f>
        <v/>
      </c>
      <c r="AA53" s="39" t="str">
        <f t="shared" si="13"/>
        <v/>
      </c>
      <c r="AB53" s="40" t="str">
        <f>IF(OR(L53="",V53=0),"",IF(AND(N(I53)&gt;0,N(INDEX('03-آذار'!$I$2:$I$501,V53))&gt;0,INDEX('03-آذار'!$F$2:$F$501,V53)=F53),N(I53)/N(INDEX('03-آذار'!$I$2:$I$501,V53))-1,""))</f>
        <v/>
      </c>
      <c r="AC53" t="str">
        <f>IF(L53="","",IF(AND($AO$2=1,ISNA(MATCH(L53,'05-أيار'!$L$2:$L$501,0))),"محذوف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IF(L54="","",IF($AO$1=1,IFERROR(MATCH(L54,'03-آذار'!$L$2:$L$501,0),0),0))</f>
        <v/>
      </c>
      <c r="W54" t="str">
        <f t="shared" si="11"/>
        <v/>
      </c>
      <c r="X54" s="38" t="str">
        <f>IF(L54="","",IF(V54&gt;0,INDEX('03-آذار'!$P$2:$P$501,V54),IF($AO$1=1,0,"")))</f>
        <v/>
      </c>
      <c r="Y54" s="38" t="str">
        <f t="shared" si="12"/>
        <v/>
      </c>
      <c r="Z54" s="39" t="str">
        <f>IF(L54="","",IF(V54&gt;0,INDEX('03-آذار'!$Q$2:$Q$501,V54),IF($AO$1=1,0,"")))</f>
        <v/>
      </c>
      <c r="AA54" s="39" t="str">
        <f t="shared" si="13"/>
        <v/>
      </c>
      <c r="AB54" s="40" t="str">
        <f>IF(OR(L54="",V54=0),"",IF(AND(N(I54)&gt;0,N(INDEX('03-آذار'!$I$2:$I$501,V54))&gt;0,INDEX('03-آذار'!$F$2:$F$501,V54)=F54),N(I54)/N(INDEX('03-آذار'!$I$2:$I$501,V54))-1,""))</f>
        <v/>
      </c>
      <c r="AC54" t="str">
        <f>IF(L54="","",IF(AND($AO$2=1,ISNA(MATCH(L54,'05-أيار'!$L$2:$L$501,0))),"محذوف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IF(L55="","",IF($AO$1=1,IFERROR(MATCH(L55,'03-آذار'!$L$2:$L$501,0),0),0))</f>
        <v/>
      </c>
      <c r="W55" t="str">
        <f t="shared" si="11"/>
        <v/>
      </c>
      <c r="X55" s="38" t="str">
        <f>IF(L55="","",IF(V55&gt;0,INDEX('03-آذار'!$P$2:$P$501,V55),IF($AO$1=1,0,"")))</f>
        <v/>
      </c>
      <c r="Y55" s="38" t="str">
        <f t="shared" si="12"/>
        <v/>
      </c>
      <c r="Z55" s="39" t="str">
        <f>IF(L55="","",IF(V55&gt;0,INDEX('03-آذار'!$Q$2:$Q$501,V55),IF($AO$1=1,0,"")))</f>
        <v/>
      </c>
      <c r="AA55" s="39" t="str">
        <f t="shared" si="13"/>
        <v/>
      </c>
      <c r="AB55" s="40" t="str">
        <f>IF(OR(L55="",V55=0),"",IF(AND(N(I55)&gt;0,N(INDEX('03-آذار'!$I$2:$I$501,V55))&gt;0,INDEX('03-آذار'!$F$2:$F$501,V55)=F55),N(I55)/N(INDEX('03-آذار'!$I$2:$I$501,V55))-1,""))</f>
        <v/>
      </c>
      <c r="AC55" t="str">
        <f>IF(L55="","",IF(AND($AO$2=1,ISNA(MATCH(L55,'05-أيار'!$L$2:$L$501,0))),"محذوف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IF(L56="","",IF($AO$1=1,IFERROR(MATCH(L56,'03-آذار'!$L$2:$L$501,0),0),0))</f>
        <v/>
      </c>
      <c r="W56" t="str">
        <f t="shared" si="11"/>
        <v/>
      </c>
      <c r="X56" s="38" t="str">
        <f>IF(L56="","",IF(V56&gt;0,INDEX('03-آذار'!$P$2:$P$501,V56),IF($AO$1=1,0,"")))</f>
        <v/>
      </c>
      <c r="Y56" s="38" t="str">
        <f t="shared" si="12"/>
        <v/>
      </c>
      <c r="Z56" s="39" t="str">
        <f>IF(L56="","",IF(V56&gt;0,INDEX('03-آذار'!$Q$2:$Q$501,V56),IF($AO$1=1,0,"")))</f>
        <v/>
      </c>
      <c r="AA56" s="39" t="str">
        <f t="shared" si="13"/>
        <v/>
      </c>
      <c r="AB56" s="40" t="str">
        <f>IF(OR(L56="",V56=0),"",IF(AND(N(I56)&gt;0,N(INDEX('03-آذار'!$I$2:$I$501,V56))&gt;0,INDEX('03-آذار'!$F$2:$F$501,V56)=F56),N(I56)/N(INDEX('03-آذار'!$I$2:$I$501,V56))-1,""))</f>
        <v/>
      </c>
      <c r="AC56" t="str">
        <f>IF(L56="","",IF(AND($AO$2=1,ISNA(MATCH(L56,'05-أيار'!$L$2:$L$501,0))),"محذوف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IF(L57="","",IF($AO$1=1,IFERROR(MATCH(L57,'03-آذار'!$L$2:$L$501,0),0),0))</f>
        <v/>
      </c>
      <c r="W57" t="str">
        <f t="shared" si="11"/>
        <v/>
      </c>
      <c r="X57" s="38" t="str">
        <f>IF(L57="","",IF(V57&gt;0,INDEX('03-آذار'!$P$2:$P$501,V57),IF($AO$1=1,0,"")))</f>
        <v/>
      </c>
      <c r="Y57" s="38" t="str">
        <f t="shared" si="12"/>
        <v/>
      </c>
      <c r="Z57" s="39" t="str">
        <f>IF(L57="","",IF(V57&gt;0,INDEX('03-آذار'!$Q$2:$Q$501,V57),IF($AO$1=1,0,"")))</f>
        <v/>
      </c>
      <c r="AA57" s="39" t="str">
        <f t="shared" si="13"/>
        <v/>
      </c>
      <c r="AB57" s="40" t="str">
        <f>IF(OR(L57="",V57=0),"",IF(AND(N(I57)&gt;0,N(INDEX('03-آذار'!$I$2:$I$501,V57))&gt;0,INDEX('03-آذار'!$F$2:$F$501,V57)=F57),N(I57)/N(INDEX('03-آذار'!$I$2:$I$501,V57))-1,""))</f>
        <v/>
      </c>
      <c r="AC57" t="str">
        <f>IF(L57="","",IF(AND($AO$2=1,ISNA(MATCH(L57,'05-أيار'!$L$2:$L$501,0))),"محذوف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IF(L58="","",IF($AO$1=1,IFERROR(MATCH(L58,'03-آذار'!$L$2:$L$501,0),0),0))</f>
        <v/>
      </c>
      <c r="W58" t="str">
        <f t="shared" si="11"/>
        <v/>
      </c>
      <c r="X58" s="38" t="str">
        <f>IF(L58="","",IF(V58&gt;0,INDEX('03-آذار'!$P$2:$P$501,V58),IF($AO$1=1,0,"")))</f>
        <v/>
      </c>
      <c r="Y58" s="38" t="str">
        <f t="shared" si="12"/>
        <v/>
      </c>
      <c r="Z58" s="39" t="str">
        <f>IF(L58="","",IF(V58&gt;0,INDEX('03-آذار'!$Q$2:$Q$501,V58),IF($AO$1=1,0,"")))</f>
        <v/>
      </c>
      <c r="AA58" s="39" t="str">
        <f t="shared" si="13"/>
        <v/>
      </c>
      <c r="AB58" s="40" t="str">
        <f>IF(OR(L58="",V58=0),"",IF(AND(N(I58)&gt;0,N(INDEX('03-آذار'!$I$2:$I$501,V58))&gt;0,INDEX('03-آذار'!$F$2:$F$501,V58)=F58),N(I58)/N(INDEX('03-آذار'!$I$2:$I$501,V58))-1,""))</f>
        <v/>
      </c>
      <c r="AC58" t="str">
        <f>IF(L58="","",IF(AND($AO$2=1,ISNA(MATCH(L58,'05-أيار'!$L$2:$L$501,0))),"محذوف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IF(L59="","",IF($AO$1=1,IFERROR(MATCH(L59,'03-آذار'!$L$2:$L$501,0),0),0))</f>
        <v/>
      </c>
      <c r="W59" t="str">
        <f t="shared" si="11"/>
        <v/>
      </c>
      <c r="X59" s="38" t="str">
        <f>IF(L59="","",IF(V59&gt;0,INDEX('03-آذار'!$P$2:$P$501,V59),IF($AO$1=1,0,"")))</f>
        <v/>
      </c>
      <c r="Y59" s="38" t="str">
        <f t="shared" si="12"/>
        <v/>
      </c>
      <c r="Z59" s="39" t="str">
        <f>IF(L59="","",IF(V59&gt;0,INDEX('03-آذار'!$Q$2:$Q$501,V59),IF($AO$1=1,0,"")))</f>
        <v/>
      </c>
      <c r="AA59" s="39" t="str">
        <f t="shared" si="13"/>
        <v/>
      </c>
      <c r="AB59" s="40" t="str">
        <f>IF(OR(L59="",V59=0),"",IF(AND(N(I59)&gt;0,N(INDEX('03-آذار'!$I$2:$I$501,V59))&gt;0,INDEX('03-آذار'!$F$2:$F$501,V59)=F59),N(I59)/N(INDEX('03-آذار'!$I$2:$I$501,V59))-1,""))</f>
        <v/>
      </c>
      <c r="AC59" t="str">
        <f>IF(L59="","",IF(AND($AO$2=1,ISNA(MATCH(L59,'05-أيار'!$L$2:$L$501,0))),"محذوف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IF(L60="","",IF($AO$1=1,IFERROR(MATCH(L60,'03-آذار'!$L$2:$L$501,0),0),0))</f>
        <v/>
      </c>
      <c r="W60" t="str">
        <f t="shared" si="11"/>
        <v/>
      </c>
      <c r="X60" s="38" t="str">
        <f>IF(L60="","",IF(V60&gt;0,INDEX('03-آذار'!$P$2:$P$501,V60),IF($AO$1=1,0,"")))</f>
        <v/>
      </c>
      <c r="Y60" s="38" t="str">
        <f t="shared" si="12"/>
        <v/>
      </c>
      <c r="Z60" s="39" t="str">
        <f>IF(L60="","",IF(V60&gt;0,INDEX('03-آذار'!$Q$2:$Q$501,V60),IF($AO$1=1,0,"")))</f>
        <v/>
      </c>
      <c r="AA60" s="39" t="str">
        <f t="shared" si="13"/>
        <v/>
      </c>
      <c r="AB60" s="40" t="str">
        <f>IF(OR(L60="",V60=0),"",IF(AND(N(I60)&gt;0,N(INDEX('03-آذار'!$I$2:$I$501,V60))&gt;0,INDEX('03-آذار'!$F$2:$F$501,V60)=F60),N(I60)/N(INDEX('03-آذار'!$I$2:$I$501,V60))-1,""))</f>
        <v/>
      </c>
      <c r="AC60" t="str">
        <f>IF(L60="","",IF(AND($AO$2=1,ISNA(MATCH(L60,'05-أيار'!$L$2:$L$501,0))),"محذوف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IF(L61="","",IF($AO$1=1,IFERROR(MATCH(L61,'03-آذار'!$L$2:$L$501,0),0),0))</f>
        <v/>
      </c>
      <c r="W61" t="str">
        <f t="shared" si="11"/>
        <v/>
      </c>
      <c r="X61" s="38" t="str">
        <f>IF(L61="","",IF(V61&gt;0,INDEX('03-آذار'!$P$2:$P$501,V61),IF($AO$1=1,0,"")))</f>
        <v/>
      </c>
      <c r="Y61" s="38" t="str">
        <f t="shared" si="12"/>
        <v/>
      </c>
      <c r="Z61" s="39" t="str">
        <f>IF(L61="","",IF(V61&gt;0,INDEX('03-آذار'!$Q$2:$Q$501,V61),IF($AO$1=1,0,"")))</f>
        <v/>
      </c>
      <c r="AA61" s="39" t="str">
        <f t="shared" si="13"/>
        <v/>
      </c>
      <c r="AB61" s="40" t="str">
        <f>IF(OR(L61="",V61=0),"",IF(AND(N(I61)&gt;0,N(INDEX('03-آذار'!$I$2:$I$501,V61))&gt;0,INDEX('03-آذار'!$F$2:$F$501,V61)=F61),N(I61)/N(INDEX('03-آذار'!$I$2:$I$501,V61))-1,""))</f>
        <v/>
      </c>
      <c r="AC61" t="str">
        <f>IF(L61="","",IF(AND($AO$2=1,ISNA(MATCH(L61,'05-أيار'!$L$2:$L$501,0))),"محذوف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IF(L62="","",IF($AO$1=1,IFERROR(MATCH(L62,'03-آذار'!$L$2:$L$501,0),0),0))</f>
        <v/>
      </c>
      <c r="W62" t="str">
        <f t="shared" si="11"/>
        <v/>
      </c>
      <c r="X62" s="38" t="str">
        <f>IF(L62="","",IF(V62&gt;0,INDEX('03-آذار'!$P$2:$P$501,V62),IF($AO$1=1,0,"")))</f>
        <v/>
      </c>
      <c r="Y62" s="38" t="str">
        <f t="shared" si="12"/>
        <v/>
      </c>
      <c r="Z62" s="39" t="str">
        <f>IF(L62="","",IF(V62&gt;0,INDEX('03-آذار'!$Q$2:$Q$501,V62),IF($AO$1=1,0,"")))</f>
        <v/>
      </c>
      <c r="AA62" s="39" t="str">
        <f t="shared" si="13"/>
        <v/>
      </c>
      <c r="AB62" s="40" t="str">
        <f>IF(OR(L62="",V62=0),"",IF(AND(N(I62)&gt;0,N(INDEX('03-آذار'!$I$2:$I$501,V62))&gt;0,INDEX('03-آذار'!$F$2:$F$501,V62)=F62),N(I62)/N(INDEX('03-آذار'!$I$2:$I$501,V62))-1,""))</f>
        <v/>
      </c>
      <c r="AC62" t="str">
        <f>IF(L62="","",IF(AND($AO$2=1,ISNA(MATCH(L62,'05-أيار'!$L$2:$L$501,0))),"محذوف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IF(L63="","",IF($AO$1=1,IFERROR(MATCH(L63,'03-آذار'!$L$2:$L$501,0),0),0))</f>
        <v/>
      </c>
      <c r="W63" t="str">
        <f t="shared" si="11"/>
        <v/>
      </c>
      <c r="X63" s="38" t="str">
        <f>IF(L63="","",IF(V63&gt;0,INDEX('03-آذار'!$P$2:$P$501,V63),IF($AO$1=1,0,"")))</f>
        <v/>
      </c>
      <c r="Y63" s="38" t="str">
        <f t="shared" si="12"/>
        <v/>
      </c>
      <c r="Z63" s="39" t="str">
        <f>IF(L63="","",IF(V63&gt;0,INDEX('03-آذار'!$Q$2:$Q$501,V63),IF($AO$1=1,0,"")))</f>
        <v/>
      </c>
      <c r="AA63" s="39" t="str">
        <f t="shared" si="13"/>
        <v/>
      </c>
      <c r="AB63" s="40" t="str">
        <f>IF(OR(L63="",V63=0),"",IF(AND(N(I63)&gt;0,N(INDEX('03-آذار'!$I$2:$I$501,V63))&gt;0,INDEX('03-آذار'!$F$2:$F$501,V63)=F63),N(I63)/N(INDEX('03-آذار'!$I$2:$I$501,V63))-1,""))</f>
        <v/>
      </c>
      <c r="AC63" t="str">
        <f>IF(L63="","",IF(AND($AO$2=1,ISNA(MATCH(L63,'05-أيار'!$L$2:$L$501,0))),"محذوف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IF(L64="","",IF($AO$1=1,IFERROR(MATCH(L64,'03-آذار'!$L$2:$L$501,0),0),0))</f>
        <v/>
      </c>
      <c r="W64" t="str">
        <f t="shared" si="11"/>
        <v/>
      </c>
      <c r="X64" s="38" t="str">
        <f>IF(L64="","",IF(V64&gt;0,INDEX('03-آذار'!$P$2:$P$501,V64),IF($AO$1=1,0,"")))</f>
        <v/>
      </c>
      <c r="Y64" s="38" t="str">
        <f t="shared" si="12"/>
        <v/>
      </c>
      <c r="Z64" s="39" t="str">
        <f>IF(L64="","",IF(V64&gt;0,INDEX('03-آذار'!$Q$2:$Q$501,V64),IF($AO$1=1,0,"")))</f>
        <v/>
      </c>
      <c r="AA64" s="39" t="str">
        <f t="shared" si="13"/>
        <v/>
      </c>
      <c r="AB64" s="40" t="str">
        <f>IF(OR(L64="",V64=0),"",IF(AND(N(I64)&gt;0,N(INDEX('03-آذار'!$I$2:$I$501,V64))&gt;0,INDEX('03-آذار'!$F$2:$F$501,V64)=F64),N(I64)/N(INDEX('03-آذار'!$I$2:$I$501,V64))-1,""))</f>
        <v/>
      </c>
      <c r="AC64" t="str">
        <f>IF(L64="","",IF(AND($AO$2=1,ISNA(MATCH(L64,'05-أيار'!$L$2:$L$501,0))),"محذوف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IF(L65="","",IF($AO$1=1,IFERROR(MATCH(L65,'03-آذار'!$L$2:$L$501,0),0),0))</f>
        <v/>
      </c>
      <c r="W65" t="str">
        <f t="shared" si="11"/>
        <v/>
      </c>
      <c r="X65" s="38" t="str">
        <f>IF(L65="","",IF(V65&gt;0,INDEX('03-آذار'!$P$2:$P$501,V65),IF($AO$1=1,0,"")))</f>
        <v/>
      </c>
      <c r="Y65" s="38" t="str">
        <f t="shared" si="12"/>
        <v/>
      </c>
      <c r="Z65" s="39" t="str">
        <f>IF(L65="","",IF(V65&gt;0,INDEX('03-آذار'!$Q$2:$Q$501,V65),IF($AO$1=1,0,"")))</f>
        <v/>
      </c>
      <c r="AA65" s="39" t="str">
        <f t="shared" si="13"/>
        <v/>
      </c>
      <c r="AB65" s="40" t="str">
        <f>IF(OR(L65="",V65=0),"",IF(AND(N(I65)&gt;0,N(INDEX('03-آذار'!$I$2:$I$501,V65))&gt;0,INDEX('03-آذار'!$F$2:$F$501,V65)=F65),N(I65)/N(INDEX('03-آذار'!$I$2:$I$501,V65))-1,""))</f>
        <v/>
      </c>
      <c r="AC65" t="str">
        <f>IF(L65="","",IF(AND($AO$2=1,ISNA(MATCH(L65,'05-أيار'!$L$2:$L$501,0))),"محذوف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IF(L66="","",IF($AO$1=1,IFERROR(MATCH(L66,'03-آذار'!$L$2:$L$501,0),0),0))</f>
        <v/>
      </c>
      <c r="W66" t="str">
        <f t="shared" ref="W66:W129" si="31">IF(L66="","",IF(AND($AO$1=1,V66=0),"جديد",""))</f>
        <v/>
      </c>
      <c r="X66" s="38" t="str">
        <f>IF(L66="","",IF(V66&gt;0,INDEX('03-آذار'!$P$2:$P$501,V66),IF($AO$1=1,0,"")))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IF(L66="","",IF(V66&gt;0,INDEX('03-آذار'!$Q$2:$Q$501,V66),IF($AO$1=1,0,"")))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IF(OR(L66="",V66=0),"",IF(AND(N(I66)&gt;0,N(INDEX('03-آذار'!$I$2:$I$501,V66))&gt;0,INDEX('03-آذار'!$F$2:$F$501,V66)=F66),N(I66)/N(INDEX('03-آذار'!$I$2:$I$501,V66))-1,""))</f>
        <v/>
      </c>
      <c r="AC66" t="str">
        <f>IF(L66="","",IF(AND($AO$2=1,ISNA(MATCH(L66,'05-أيار'!$L$2:$L$501,0))),"محذوف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IF(L67="","",IF($AO$1=1,IFERROR(MATCH(L67,'03-آذار'!$L$2:$L$501,0),0),0))</f>
        <v/>
      </c>
      <c r="W67" t="str">
        <f t="shared" si="31"/>
        <v/>
      </c>
      <c r="X67" s="38" t="str">
        <f>IF(L67="","",IF(V67&gt;0,INDEX('03-آذار'!$P$2:$P$501,V67),IF($AO$1=1,0,"")))</f>
        <v/>
      </c>
      <c r="Y67" s="38" t="str">
        <f t="shared" si="32"/>
        <v/>
      </c>
      <c r="Z67" s="39" t="str">
        <f>IF(L67="","",IF(V67&gt;0,INDEX('03-آذار'!$Q$2:$Q$501,V67),IF($AO$1=1,0,"")))</f>
        <v/>
      </c>
      <c r="AA67" s="39" t="str">
        <f t="shared" si="33"/>
        <v/>
      </c>
      <c r="AB67" s="40" t="str">
        <f>IF(OR(L67="",V67=0),"",IF(AND(N(I67)&gt;0,N(INDEX('03-آذار'!$I$2:$I$501,V67))&gt;0,INDEX('03-آذار'!$F$2:$F$501,V67)=F67),N(I67)/N(INDEX('03-آذار'!$I$2:$I$501,V67))-1,""))</f>
        <v/>
      </c>
      <c r="AC67" t="str">
        <f>IF(L67="","",IF(AND($AO$2=1,ISNA(MATCH(L67,'05-أيار'!$L$2:$L$501,0))),"محذوف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IF(L68="","",IF($AO$1=1,IFERROR(MATCH(L68,'03-آذار'!$L$2:$L$501,0),0),0))</f>
        <v/>
      </c>
      <c r="W68" t="str">
        <f t="shared" si="31"/>
        <v/>
      </c>
      <c r="X68" s="38" t="str">
        <f>IF(L68="","",IF(V68&gt;0,INDEX('03-آذار'!$P$2:$P$501,V68),IF($AO$1=1,0,"")))</f>
        <v/>
      </c>
      <c r="Y68" s="38" t="str">
        <f t="shared" si="32"/>
        <v/>
      </c>
      <c r="Z68" s="39" t="str">
        <f>IF(L68="","",IF(V68&gt;0,INDEX('03-آذار'!$Q$2:$Q$501,V68),IF($AO$1=1,0,"")))</f>
        <v/>
      </c>
      <c r="AA68" s="39" t="str">
        <f t="shared" si="33"/>
        <v/>
      </c>
      <c r="AB68" s="40" t="str">
        <f>IF(OR(L68="",V68=0),"",IF(AND(N(I68)&gt;0,N(INDEX('03-آذار'!$I$2:$I$501,V68))&gt;0,INDEX('03-آذار'!$F$2:$F$501,V68)=F68),N(I68)/N(INDEX('03-آذار'!$I$2:$I$501,V68))-1,""))</f>
        <v/>
      </c>
      <c r="AC68" t="str">
        <f>IF(L68="","",IF(AND($AO$2=1,ISNA(MATCH(L68,'05-أيار'!$L$2:$L$501,0))),"محذوف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IF(L69="","",IF($AO$1=1,IFERROR(MATCH(L69,'03-آذار'!$L$2:$L$501,0),0),0))</f>
        <v/>
      </c>
      <c r="W69" t="str">
        <f t="shared" si="31"/>
        <v/>
      </c>
      <c r="X69" s="38" t="str">
        <f>IF(L69="","",IF(V69&gt;0,INDEX('03-آذار'!$P$2:$P$501,V69),IF($AO$1=1,0,"")))</f>
        <v/>
      </c>
      <c r="Y69" s="38" t="str">
        <f t="shared" si="32"/>
        <v/>
      </c>
      <c r="Z69" s="39" t="str">
        <f>IF(L69="","",IF(V69&gt;0,INDEX('03-آذار'!$Q$2:$Q$501,V69),IF($AO$1=1,0,"")))</f>
        <v/>
      </c>
      <c r="AA69" s="39" t="str">
        <f t="shared" si="33"/>
        <v/>
      </c>
      <c r="AB69" s="40" t="str">
        <f>IF(OR(L69="",V69=0),"",IF(AND(N(I69)&gt;0,N(INDEX('03-آذار'!$I$2:$I$501,V69))&gt;0,INDEX('03-آذار'!$F$2:$F$501,V69)=F69),N(I69)/N(INDEX('03-آذار'!$I$2:$I$501,V69))-1,""))</f>
        <v/>
      </c>
      <c r="AC69" t="str">
        <f>IF(L69="","",IF(AND($AO$2=1,ISNA(MATCH(L69,'05-أيار'!$L$2:$L$501,0))),"محذوف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IF(L70="","",IF($AO$1=1,IFERROR(MATCH(L70,'03-آذار'!$L$2:$L$501,0),0),0))</f>
        <v/>
      </c>
      <c r="W70" t="str">
        <f t="shared" si="31"/>
        <v/>
      </c>
      <c r="X70" s="38" t="str">
        <f>IF(L70="","",IF(V70&gt;0,INDEX('03-آذار'!$P$2:$P$501,V70),IF($AO$1=1,0,"")))</f>
        <v/>
      </c>
      <c r="Y70" s="38" t="str">
        <f t="shared" si="32"/>
        <v/>
      </c>
      <c r="Z70" s="39" t="str">
        <f>IF(L70="","",IF(V70&gt;0,INDEX('03-آذار'!$Q$2:$Q$501,V70),IF($AO$1=1,0,"")))</f>
        <v/>
      </c>
      <c r="AA70" s="39" t="str">
        <f t="shared" si="33"/>
        <v/>
      </c>
      <c r="AB70" s="40" t="str">
        <f>IF(OR(L70="",V70=0),"",IF(AND(N(I70)&gt;0,N(INDEX('03-آذار'!$I$2:$I$501,V70))&gt;0,INDEX('03-آذار'!$F$2:$F$501,V70)=F70),N(I70)/N(INDEX('03-آذار'!$I$2:$I$501,V70))-1,""))</f>
        <v/>
      </c>
      <c r="AC70" t="str">
        <f>IF(L70="","",IF(AND($AO$2=1,ISNA(MATCH(L70,'05-أيار'!$L$2:$L$501,0))),"محذوف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IF(L71="","",IF($AO$1=1,IFERROR(MATCH(L71,'03-آذار'!$L$2:$L$501,0),0),0))</f>
        <v/>
      </c>
      <c r="W71" t="str">
        <f t="shared" si="31"/>
        <v/>
      </c>
      <c r="X71" s="38" t="str">
        <f>IF(L71="","",IF(V71&gt;0,INDEX('03-آذار'!$P$2:$P$501,V71),IF($AO$1=1,0,"")))</f>
        <v/>
      </c>
      <c r="Y71" s="38" t="str">
        <f t="shared" si="32"/>
        <v/>
      </c>
      <c r="Z71" s="39" t="str">
        <f>IF(L71="","",IF(V71&gt;0,INDEX('03-آذار'!$Q$2:$Q$501,V71),IF($AO$1=1,0,"")))</f>
        <v/>
      </c>
      <c r="AA71" s="39" t="str">
        <f t="shared" si="33"/>
        <v/>
      </c>
      <c r="AB71" s="40" t="str">
        <f>IF(OR(L71="",V71=0),"",IF(AND(N(I71)&gt;0,N(INDEX('03-آذار'!$I$2:$I$501,V71))&gt;0,INDEX('03-آذار'!$F$2:$F$501,V71)=F71),N(I71)/N(INDEX('03-آذار'!$I$2:$I$501,V71))-1,""))</f>
        <v/>
      </c>
      <c r="AC71" t="str">
        <f>IF(L71="","",IF(AND($AO$2=1,ISNA(MATCH(L71,'05-أيار'!$L$2:$L$501,0))),"محذوف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IF(L72="","",IF($AO$1=1,IFERROR(MATCH(L72,'03-آذار'!$L$2:$L$501,0),0),0))</f>
        <v/>
      </c>
      <c r="W72" t="str">
        <f t="shared" si="31"/>
        <v/>
      </c>
      <c r="X72" s="38" t="str">
        <f>IF(L72="","",IF(V72&gt;0,INDEX('03-آذار'!$P$2:$P$501,V72),IF($AO$1=1,0,"")))</f>
        <v/>
      </c>
      <c r="Y72" s="38" t="str">
        <f t="shared" si="32"/>
        <v/>
      </c>
      <c r="Z72" s="39" t="str">
        <f>IF(L72="","",IF(V72&gt;0,INDEX('03-آذار'!$Q$2:$Q$501,V72),IF($AO$1=1,0,"")))</f>
        <v/>
      </c>
      <c r="AA72" s="39" t="str">
        <f t="shared" si="33"/>
        <v/>
      </c>
      <c r="AB72" s="40" t="str">
        <f>IF(OR(L72="",V72=0),"",IF(AND(N(I72)&gt;0,N(INDEX('03-آذار'!$I$2:$I$501,V72))&gt;0,INDEX('03-آذار'!$F$2:$F$501,V72)=F72),N(I72)/N(INDEX('03-آذار'!$I$2:$I$501,V72))-1,""))</f>
        <v/>
      </c>
      <c r="AC72" t="str">
        <f>IF(L72="","",IF(AND($AO$2=1,ISNA(MATCH(L72,'05-أيار'!$L$2:$L$501,0))),"محذوف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IF(L73="","",IF($AO$1=1,IFERROR(MATCH(L73,'03-آذار'!$L$2:$L$501,0),0),0))</f>
        <v/>
      </c>
      <c r="W73" t="str">
        <f t="shared" si="31"/>
        <v/>
      </c>
      <c r="X73" s="38" t="str">
        <f>IF(L73="","",IF(V73&gt;0,INDEX('03-آذار'!$P$2:$P$501,V73),IF($AO$1=1,0,"")))</f>
        <v/>
      </c>
      <c r="Y73" s="38" t="str">
        <f t="shared" si="32"/>
        <v/>
      </c>
      <c r="Z73" s="39" t="str">
        <f>IF(L73="","",IF(V73&gt;0,INDEX('03-آذار'!$Q$2:$Q$501,V73),IF($AO$1=1,0,"")))</f>
        <v/>
      </c>
      <c r="AA73" s="39" t="str">
        <f t="shared" si="33"/>
        <v/>
      </c>
      <c r="AB73" s="40" t="str">
        <f>IF(OR(L73="",V73=0),"",IF(AND(N(I73)&gt;0,N(INDEX('03-آذار'!$I$2:$I$501,V73))&gt;0,INDEX('03-آذار'!$F$2:$F$501,V73)=F73),N(I73)/N(INDEX('03-آذار'!$I$2:$I$501,V73))-1,""))</f>
        <v/>
      </c>
      <c r="AC73" t="str">
        <f>IF(L73="","",IF(AND($AO$2=1,ISNA(MATCH(L73,'05-أيار'!$L$2:$L$501,0))),"محذوف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IF(L74="","",IF($AO$1=1,IFERROR(MATCH(L74,'03-آذار'!$L$2:$L$501,0),0),0))</f>
        <v/>
      </c>
      <c r="W74" t="str">
        <f t="shared" si="31"/>
        <v/>
      </c>
      <c r="X74" s="38" t="str">
        <f>IF(L74="","",IF(V74&gt;0,INDEX('03-آذار'!$P$2:$P$501,V74),IF($AO$1=1,0,"")))</f>
        <v/>
      </c>
      <c r="Y74" s="38" t="str">
        <f t="shared" si="32"/>
        <v/>
      </c>
      <c r="Z74" s="39" t="str">
        <f>IF(L74="","",IF(V74&gt;0,INDEX('03-آذار'!$Q$2:$Q$501,V74),IF($AO$1=1,0,"")))</f>
        <v/>
      </c>
      <c r="AA74" s="39" t="str">
        <f t="shared" si="33"/>
        <v/>
      </c>
      <c r="AB74" s="40" t="str">
        <f>IF(OR(L74="",V74=0),"",IF(AND(N(I74)&gt;0,N(INDEX('03-آذار'!$I$2:$I$501,V74))&gt;0,INDEX('03-آذار'!$F$2:$F$501,V74)=F74),N(I74)/N(INDEX('03-آذار'!$I$2:$I$501,V74))-1,""))</f>
        <v/>
      </c>
      <c r="AC74" t="str">
        <f>IF(L74="","",IF(AND($AO$2=1,ISNA(MATCH(L74,'05-أيار'!$L$2:$L$501,0))),"محذوف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IF(L75="","",IF($AO$1=1,IFERROR(MATCH(L75,'03-آذار'!$L$2:$L$501,0),0),0))</f>
        <v/>
      </c>
      <c r="W75" t="str">
        <f t="shared" si="31"/>
        <v/>
      </c>
      <c r="X75" s="38" t="str">
        <f>IF(L75="","",IF(V75&gt;0,INDEX('03-آذار'!$P$2:$P$501,V75),IF($AO$1=1,0,"")))</f>
        <v/>
      </c>
      <c r="Y75" s="38" t="str">
        <f t="shared" si="32"/>
        <v/>
      </c>
      <c r="Z75" s="39" t="str">
        <f>IF(L75="","",IF(V75&gt;0,INDEX('03-آذار'!$Q$2:$Q$501,V75),IF($AO$1=1,0,"")))</f>
        <v/>
      </c>
      <c r="AA75" s="39" t="str">
        <f t="shared" si="33"/>
        <v/>
      </c>
      <c r="AB75" s="40" t="str">
        <f>IF(OR(L75="",V75=0),"",IF(AND(N(I75)&gt;0,N(INDEX('03-آذار'!$I$2:$I$501,V75))&gt;0,INDEX('03-آذار'!$F$2:$F$501,V75)=F75),N(I75)/N(INDEX('03-آذار'!$I$2:$I$501,V75))-1,""))</f>
        <v/>
      </c>
      <c r="AC75" t="str">
        <f>IF(L75="","",IF(AND($AO$2=1,ISNA(MATCH(L75,'05-أيار'!$L$2:$L$501,0))),"محذوف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IF(L76="","",IF($AO$1=1,IFERROR(MATCH(L76,'03-آذار'!$L$2:$L$501,0),0),0))</f>
        <v/>
      </c>
      <c r="W76" t="str">
        <f t="shared" si="31"/>
        <v/>
      </c>
      <c r="X76" s="38" t="str">
        <f>IF(L76="","",IF(V76&gt;0,INDEX('03-آذار'!$P$2:$P$501,V76),IF($AO$1=1,0,"")))</f>
        <v/>
      </c>
      <c r="Y76" s="38" t="str">
        <f t="shared" si="32"/>
        <v/>
      </c>
      <c r="Z76" s="39" t="str">
        <f>IF(L76="","",IF(V76&gt;0,INDEX('03-آذار'!$Q$2:$Q$501,V76),IF($AO$1=1,0,"")))</f>
        <v/>
      </c>
      <c r="AA76" s="39" t="str">
        <f t="shared" si="33"/>
        <v/>
      </c>
      <c r="AB76" s="40" t="str">
        <f>IF(OR(L76="",V76=0),"",IF(AND(N(I76)&gt;0,N(INDEX('03-آذار'!$I$2:$I$501,V76))&gt;0,INDEX('03-آذار'!$F$2:$F$501,V76)=F76),N(I76)/N(INDEX('03-آذار'!$I$2:$I$501,V76))-1,""))</f>
        <v/>
      </c>
      <c r="AC76" t="str">
        <f>IF(L76="","",IF(AND($AO$2=1,ISNA(MATCH(L76,'05-أيار'!$L$2:$L$501,0))),"محذوف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IF(L77="","",IF($AO$1=1,IFERROR(MATCH(L77,'03-آذار'!$L$2:$L$501,0),0),0))</f>
        <v/>
      </c>
      <c r="W77" t="str">
        <f t="shared" si="31"/>
        <v/>
      </c>
      <c r="X77" s="38" t="str">
        <f>IF(L77="","",IF(V77&gt;0,INDEX('03-آذار'!$P$2:$P$501,V77),IF($AO$1=1,0,"")))</f>
        <v/>
      </c>
      <c r="Y77" s="38" t="str">
        <f t="shared" si="32"/>
        <v/>
      </c>
      <c r="Z77" s="39" t="str">
        <f>IF(L77="","",IF(V77&gt;0,INDEX('03-آذار'!$Q$2:$Q$501,V77),IF($AO$1=1,0,"")))</f>
        <v/>
      </c>
      <c r="AA77" s="39" t="str">
        <f t="shared" si="33"/>
        <v/>
      </c>
      <c r="AB77" s="40" t="str">
        <f>IF(OR(L77="",V77=0),"",IF(AND(N(I77)&gt;0,N(INDEX('03-آذار'!$I$2:$I$501,V77))&gt;0,INDEX('03-آذار'!$F$2:$F$501,V77)=F77),N(I77)/N(INDEX('03-آذار'!$I$2:$I$501,V77))-1,""))</f>
        <v/>
      </c>
      <c r="AC77" t="str">
        <f>IF(L77="","",IF(AND($AO$2=1,ISNA(MATCH(L77,'05-أيار'!$L$2:$L$501,0))),"محذوف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IF(L78="","",IF($AO$1=1,IFERROR(MATCH(L78,'03-آذار'!$L$2:$L$501,0),0),0))</f>
        <v/>
      </c>
      <c r="W78" t="str">
        <f t="shared" si="31"/>
        <v/>
      </c>
      <c r="X78" s="38" t="str">
        <f>IF(L78="","",IF(V78&gt;0,INDEX('03-آذار'!$P$2:$P$501,V78),IF($AO$1=1,0,"")))</f>
        <v/>
      </c>
      <c r="Y78" s="38" t="str">
        <f t="shared" si="32"/>
        <v/>
      </c>
      <c r="Z78" s="39" t="str">
        <f>IF(L78="","",IF(V78&gt;0,INDEX('03-آذار'!$Q$2:$Q$501,V78),IF($AO$1=1,0,"")))</f>
        <v/>
      </c>
      <c r="AA78" s="39" t="str">
        <f t="shared" si="33"/>
        <v/>
      </c>
      <c r="AB78" s="40" t="str">
        <f>IF(OR(L78="",V78=0),"",IF(AND(N(I78)&gt;0,N(INDEX('03-آذار'!$I$2:$I$501,V78))&gt;0,INDEX('03-آذار'!$F$2:$F$501,V78)=F78),N(I78)/N(INDEX('03-آذار'!$I$2:$I$501,V78))-1,""))</f>
        <v/>
      </c>
      <c r="AC78" t="str">
        <f>IF(L78="","",IF(AND($AO$2=1,ISNA(MATCH(L78,'05-أيار'!$L$2:$L$501,0))),"محذوف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IF(L79="","",IF($AO$1=1,IFERROR(MATCH(L79,'03-آذار'!$L$2:$L$501,0),0),0))</f>
        <v/>
      </c>
      <c r="W79" t="str">
        <f t="shared" si="31"/>
        <v/>
      </c>
      <c r="X79" s="38" t="str">
        <f>IF(L79="","",IF(V79&gt;0,INDEX('03-آذار'!$P$2:$P$501,V79),IF($AO$1=1,0,"")))</f>
        <v/>
      </c>
      <c r="Y79" s="38" t="str">
        <f t="shared" si="32"/>
        <v/>
      </c>
      <c r="Z79" s="39" t="str">
        <f>IF(L79="","",IF(V79&gt;0,INDEX('03-آذار'!$Q$2:$Q$501,V79),IF($AO$1=1,0,"")))</f>
        <v/>
      </c>
      <c r="AA79" s="39" t="str">
        <f t="shared" si="33"/>
        <v/>
      </c>
      <c r="AB79" s="40" t="str">
        <f>IF(OR(L79="",V79=0),"",IF(AND(N(I79)&gt;0,N(INDEX('03-آذار'!$I$2:$I$501,V79))&gt;0,INDEX('03-آذار'!$F$2:$F$501,V79)=F79),N(I79)/N(INDEX('03-آذار'!$I$2:$I$501,V79))-1,""))</f>
        <v/>
      </c>
      <c r="AC79" t="str">
        <f>IF(L79="","",IF(AND($AO$2=1,ISNA(MATCH(L79,'05-أيار'!$L$2:$L$501,0))),"محذوف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IF(L80="","",IF($AO$1=1,IFERROR(MATCH(L80,'03-آذار'!$L$2:$L$501,0),0),0))</f>
        <v/>
      </c>
      <c r="W80" t="str">
        <f t="shared" si="31"/>
        <v/>
      </c>
      <c r="X80" s="38" t="str">
        <f>IF(L80="","",IF(V80&gt;0,INDEX('03-آذار'!$P$2:$P$501,V80),IF($AO$1=1,0,"")))</f>
        <v/>
      </c>
      <c r="Y80" s="38" t="str">
        <f t="shared" si="32"/>
        <v/>
      </c>
      <c r="Z80" s="39" t="str">
        <f>IF(L80="","",IF(V80&gt;0,INDEX('03-آذار'!$Q$2:$Q$501,V80),IF($AO$1=1,0,"")))</f>
        <v/>
      </c>
      <c r="AA80" s="39" t="str">
        <f t="shared" si="33"/>
        <v/>
      </c>
      <c r="AB80" s="40" t="str">
        <f>IF(OR(L80="",V80=0),"",IF(AND(N(I80)&gt;0,N(INDEX('03-آذار'!$I$2:$I$501,V80))&gt;0,INDEX('03-آذار'!$F$2:$F$501,V80)=F80),N(I80)/N(INDEX('03-آذار'!$I$2:$I$501,V80))-1,""))</f>
        <v/>
      </c>
      <c r="AC80" t="str">
        <f>IF(L80="","",IF(AND($AO$2=1,ISNA(MATCH(L80,'05-أيار'!$L$2:$L$501,0))),"محذوف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IF(L81="","",IF($AO$1=1,IFERROR(MATCH(L81,'03-آذار'!$L$2:$L$501,0),0),0))</f>
        <v/>
      </c>
      <c r="W81" t="str">
        <f t="shared" si="31"/>
        <v/>
      </c>
      <c r="X81" s="38" t="str">
        <f>IF(L81="","",IF(V81&gt;0,INDEX('03-آذار'!$P$2:$P$501,V81),IF($AO$1=1,0,"")))</f>
        <v/>
      </c>
      <c r="Y81" s="38" t="str">
        <f t="shared" si="32"/>
        <v/>
      </c>
      <c r="Z81" s="39" t="str">
        <f>IF(L81="","",IF(V81&gt;0,INDEX('03-آذار'!$Q$2:$Q$501,V81),IF($AO$1=1,0,"")))</f>
        <v/>
      </c>
      <c r="AA81" s="39" t="str">
        <f t="shared" si="33"/>
        <v/>
      </c>
      <c r="AB81" s="40" t="str">
        <f>IF(OR(L81="",V81=0),"",IF(AND(N(I81)&gt;0,N(INDEX('03-آذار'!$I$2:$I$501,V81))&gt;0,INDEX('03-آذار'!$F$2:$F$501,V81)=F81),N(I81)/N(INDEX('03-آذار'!$I$2:$I$501,V81))-1,""))</f>
        <v/>
      </c>
      <c r="AC81" t="str">
        <f>IF(L81="","",IF(AND($AO$2=1,ISNA(MATCH(L81,'05-أيار'!$L$2:$L$501,0))),"محذوف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IF(L82="","",IF($AO$1=1,IFERROR(MATCH(L82,'03-آذار'!$L$2:$L$501,0),0),0))</f>
        <v/>
      </c>
      <c r="W82" t="str">
        <f t="shared" si="31"/>
        <v/>
      </c>
      <c r="X82" s="38" t="str">
        <f>IF(L82="","",IF(V82&gt;0,INDEX('03-آذار'!$P$2:$P$501,V82),IF($AO$1=1,0,"")))</f>
        <v/>
      </c>
      <c r="Y82" s="38" t="str">
        <f t="shared" si="32"/>
        <v/>
      </c>
      <c r="Z82" s="39" t="str">
        <f>IF(L82="","",IF(V82&gt;0,INDEX('03-آذار'!$Q$2:$Q$501,V82),IF($AO$1=1,0,"")))</f>
        <v/>
      </c>
      <c r="AA82" s="39" t="str">
        <f t="shared" si="33"/>
        <v/>
      </c>
      <c r="AB82" s="40" t="str">
        <f>IF(OR(L82="",V82=0),"",IF(AND(N(I82)&gt;0,N(INDEX('03-آذار'!$I$2:$I$501,V82))&gt;0,INDEX('03-آذار'!$F$2:$F$501,V82)=F82),N(I82)/N(INDEX('03-آذار'!$I$2:$I$501,V82))-1,""))</f>
        <v/>
      </c>
      <c r="AC82" t="str">
        <f>IF(L82="","",IF(AND($AO$2=1,ISNA(MATCH(L82,'05-أيار'!$L$2:$L$501,0))),"محذوف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IF(L83="","",IF($AO$1=1,IFERROR(MATCH(L83,'03-آذار'!$L$2:$L$501,0),0),0))</f>
        <v/>
      </c>
      <c r="W83" t="str">
        <f t="shared" si="31"/>
        <v/>
      </c>
      <c r="X83" s="38" t="str">
        <f>IF(L83="","",IF(V83&gt;0,INDEX('03-آذار'!$P$2:$P$501,V83),IF($AO$1=1,0,"")))</f>
        <v/>
      </c>
      <c r="Y83" s="38" t="str">
        <f t="shared" si="32"/>
        <v/>
      </c>
      <c r="Z83" s="39" t="str">
        <f>IF(L83="","",IF(V83&gt;0,INDEX('03-آذار'!$Q$2:$Q$501,V83),IF($AO$1=1,0,"")))</f>
        <v/>
      </c>
      <c r="AA83" s="39" t="str">
        <f t="shared" si="33"/>
        <v/>
      </c>
      <c r="AB83" s="40" t="str">
        <f>IF(OR(L83="",V83=0),"",IF(AND(N(I83)&gt;0,N(INDEX('03-آذار'!$I$2:$I$501,V83))&gt;0,INDEX('03-آذار'!$F$2:$F$501,V83)=F83),N(I83)/N(INDEX('03-آذار'!$I$2:$I$501,V83))-1,""))</f>
        <v/>
      </c>
      <c r="AC83" t="str">
        <f>IF(L83="","",IF(AND($AO$2=1,ISNA(MATCH(L83,'05-أيار'!$L$2:$L$501,0))),"محذوف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IF(L84="","",IF($AO$1=1,IFERROR(MATCH(L84,'03-آذار'!$L$2:$L$501,0),0),0))</f>
        <v/>
      </c>
      <c r="W84" t="str">
        <f t="shared" si="31"/>
        <v/>
      </c>
      <c r="X84" s="38" t="str">
        <f>IF(L84="","",IF(V84&gt;0,INDEX('03-آذار'!$P$2:$P$501,V84),IF($AO$1=1,0,"")))</f>
        <v/>
      </c>
      <c r="Y84" s="38" t="str">
        <f t="shared" si="32"/>
        <v/>
      </c>
      <c r="Z84" s="39" t="str">
        <f>IF(L84="","",IF(V84&gt;0,INDEX('03-آذار'!$Q$2:$Q$501,V84),IF($AO$1=1,0,"")))</f>
        <v/>
      </c>
      <c r="AA84" s="39" t="str">
        <f t="shared" si="33"/>
        <v/>
      </c>
      <c r="AB84" s="40" t="str">
        <f>IF(OR(L84="",V84=0),"",IF(AND(N(I84)&gt;0,N(INDEX('03-آذار'!$I$2:$I$501,V84))&gt;0,INDEX('03-آذار'!$F$2:$F$501,V84)=F84),N(I84)/N(INDEX('03-آذار'!$I$2:$I$501,V84))-1,""))</f>
        <v/>
      </c>
      <c r="AC84" t="str">
        <f>IF(L84="","",IF(AND($AO$2=1,ISNA(MATCH(L84,'05-أيار'!$L$2:$L$501,0))),"محذوف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IF(L85="","",IF($AO$1=1,IFERROR(MATCH(L85,'03-آذار'!$L$2:$L$501,0),0),0))</f>
        <v/>
      </c>
      <c r="W85" t="str">
        <f t="shared" si="31"/>
        <v/>
      </c>
      <c r="X85" s="38" t="str">
        <f>IF(L85="","",IF(V85&gt;0,INDEX('03-آذار'!$P$2:$P$501,V85),IF($AO$1=1,0,"")))</f>
        <v/>
      </c>
      <c r="Y85" s="38" t="str">
        <f t="shared" si="32"/>
        <v/>
      </c>
      <c r="Z85" s="39" t="str">
        <f>IF(L85="","",IF(V85&gt;0,INDEX('03-آذار'!$Q$2:$Q$501,V85),IF($AO$1=1,0,"")))</f>
        <v/>
      </c>
      <c r="AA85" s="39" t="str">
        <f t="shared" si="33"/>
        <v/>
      </c>
      <c r="AB85" s="40" t="str">
        <f>IF(OR(L85="",V85=0),"",IF(AND(N(I85)&gt;0,N(INDEX('03-آذار'!$I$2:$I$501,V85))&gt;0,INDEX('03-آذار'!$F$2:$F$501,V85)=F85),N(I85)/N(INDEX('03-آذار'!$I$2:$I$501,V85))-1,""))</f>
        <v/>
      </c>
      <c r="AC85" t="str">
        <f>IF(L85="","",IF(AND($AO$2=1,ISNA(MATCH(L85,'05-أيار'!$L$2:$L$501,0))),"محذوف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IF(L86="","",IF($AO$1=1,IFERROR(MATCH(L86,'03-آذار'!$L$2:$L$501,0),0),0))</f>
        <v/>
      </c>
      <c r="W86" t="str">
        <f t="shared" si="31"/>
        <v/>
      </c>
      <c r="X86" s="38" t="str">
        <f>IF(L86="","",IF(V86&gt;0,INDEX('03-آذار'!$P$2:$P$501,V86),IF($AO$1=1,0,"")))</f>
        <v/>
      </c>
      <c r="Y86" s="38" t="str">
        <f t="shared" si="32"/>
        <v/>
      </c>
      <c r="Z86" s="39" t="str">
        <f>IF(L86="","",IF(V86&gt;0,INDEX('03-آذار'!$Q$2:$Q$501,V86),IF($AO$1=1,0,"")))</f>
        <v/>
      </c>
      <c r="AA86" s="39" t="str">
        <f t="shared" si="33"/>
        <v/>
      </c>
      <c r="AB86" s="40" t="str">
        <f>IF(OR(L86="",V86=0),"",IF(AND(N(I86)&gt;0,N(INDEX('03-آذار'!$I$2:$I$501,V86))&gt;0,INDEX('03-آذار'!$F$2:$F$501,V86)=F86),N(I86)/N(INDEX('03-آذار'!$I$2:$I$501,V86))-1,""))</f>
        <v/>
      </c>
      <c r="AC86" t="str">
        <f>IF(L86="","",IF(AND($AO$2=1,ISNA(MATCH(L86,'05-أيار'!$L$2:$L$501,0))),"محذوف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IF(L87="","",IF($AO$1=1,IFERROR(MATCH(L87,'03-آذار'!$L$2:$L$501,0),0),0))</f>
        <v/>
      </c>
      <c r="W87" t="str">
        <f t="shared" si="31"/>
        <v/>
      </c>
      <c r="X87" s="38" t="str">
        <f>IF(L87="","",IF(V87&gt;0,INDEX('03-آذار'!$P$2:$P$501,V87),IF($AO$1=1,0,"")))</f>
        <v/>
      </c>
      <c r="Y87" s="38" t="str">
        <f t="shared" si="32"/>
        <v/>
      </c>
      <c r="Z87" s="39" t="str">
        <f>IF(L87="","",IF(V87&gt;0,INDEX('03-آذار'!$Q$2:$Q$501,V87),IF($AO$1=1,0,"")))</f>
        <v/>
      </c>
      <c r="AA87" s="39" t="str">
        <f t="shared" si="33"/>
        <v/>
      </c>
      <c r="AB87" s="40" t="str">
        <f>IF(OR(L87="",V87=0),"",IF(AND(N(I87)&gt;0,N(INDEX('03-آذار'!$I$2:$I$501,V87))&gt;0,INDEX('03-آذار'!$F$2:$F$501,V87)=F87),N(I87)/N(INDEX('03-آذار'!$I$2:$I$501,V87))-1,""))</f>
        <v/>
      </c>
      <c r="AC87" t="str">
        <f>IF(L87="","",IF(AND($AO$2=1,ISNA(MATCH(L87,'05-أيار'!$L$2:$L$501,0))),"محذوف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IF(L88="","",IF($AO$1=1,IFERROR(MATCH(L88,'03-آذار'!$L$2:$L$501,0),0),0))</f>
        <v/>
      </c>
      <c r="W88" t="str">
        <f t="shared" si="31"/>
        <v/>
      </c>
      <c r="X88" s="38" t="str">
        <f>IF(L88="","",IF(V88&gt;0,INDEX('03-آذار'!$P$2:$P$501,V88),IF($AO$1=1,0,"")))</f>
        <v/>
      </c>
      <c r="Y88" s="38" t="str">
        <f t="shared" si="32"/>
        <v/>
      </c>
      <c r="Z88" s="39" t="str">
        <f>IF(L88="","",IF(V88&gt;0,INDEX('03-آذار'!$Q$2:$Q$501,V88),IF($AO$1=1,0,"")))</f>
        <v/>
      </c>
      <c r="AA88" s="39" t="str">
        <f t="shared" si="33"/>
        <v/>
      </c>
      <c r="AB88" s="40" t="str">
        <f>IF(OR(L88="",V88=0),"",IF(AND(N(I88)&gt;0,N(INDEX('03-آذار'!$I$2:$I$501,V88))&gt;0,INDEX('03-آذار'!$F$2:$F$501,V88)=F88),N(I88)/N(INDEX('03-آذار'!$I$2:$I$501,V88))-1,""))</f>
        <v/>
      </c>
      <c r="AC88" t="str">
        <f>IF(L88="","",IF(AND($AO$2=1,ISNA(MATCH(L88,'05-أيار'!$L$2:$L$501,0))),"محذوف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IF(L89="","",IF($AO$1=1,IFERROR(MATCH(L89,'03-آذار'!$L$2:$L$501,0),0),0))</f>
        <v/>
      </c>
      <c r="W89" t="str">
        <f t="shared" si="31"/>
        <v/>
      </c>
      <c r="X89" s="38" t="str">
        <f>IF(L89="","",IF(V89&gt;0,INDEX('03-آذار'!$P$2:$P$501,V89),IF($AO$1=1,0,"")))</f>
        <v/>
      </c>
      <c r="Y89" s="38" t="str">
        <f t="shared" si="32"/>
        <v/>
      </c>
      <c r="Z89" s="39" t="str">
        <f>IF(L89="","",IF(V89&gt;0,INDEX('03-آذار'!$Q$2:$Q$501,V89),IF($AO$1=1,0,"")))</f>
        <v/>
      </c>
      <c r="AA89" s="39" t="str">
        <f t="shared" si="33"/>
        <v/>
      </c>
      <c r="AB89" s="40" t="str">
        <f>IF(OR(L89="",V89=0),"",IF(AND(N(I89)&gt;0,N(INDEX('03-آذار'!$I$2:$I$501,V89))&gt;0,INDEX('03-آذار'!$F$2:$F$501,V89)=F89),N(I89)/N(INDEX('03-آذار'!$I$2:$I$501,V89))-1,""))</f>
        <v/>
      </c>
      <c r="AC89" t="str">
        <f>IF(L89="","",IF(AND($AO$2=1,ISNA(MATCH(L89,'05-أيار'!$L$2:$L$501,0))),"محذوف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IF(L90="","",IF($AO$1=1,IFERROR(MATCH(L90,'03-آذار'!$L$2:$L$501,0),0),0))</f>
        <v/>
      </c>
      <c r="W90" t="str">
        <f t="shared" si="31"/>
        <v/>
      </c>
      <c r="X90" s="38" t="str">
        <f>IF(L90="","",IF(V90&gt;0,INDEX('03-آذار'!$P$2:$P$501,V90),IF($AO$1=1,0,"")))</f>
        <v/>
      </c>
      <c r="Y90" s="38" t="str">
        <f t="shared" si="32"/>
        <v/>
      </c>
      <c r="Z90" s="39" t="str">
        <f>IF(L90="","",IF(V90&gt;0,INDEX('03-آذار'!$Q$2:$Q$501,V90),IF($AO$1=1,0,"")))</f>
        <v/>
      </c>
      <c r="AA90" s="39" t="str">
        <f t="shared" si="33"/>
        <v/>
      </c>
      <c r="AB90" s="40" t="str">
        <f>IF(OR(L90="",V90=0),"",IF(AND(N(I90)&gt;0,N(INDEX('03-آذار'!$I$2:$I$501,V90))&gt;0,INDEX('03-آذار'!$F$2:$F$501,V90)=F90),N(I90)/N(INDEX('03-آذار'!$I$2:$I$501,V90))-1,""))</f>
        <v/>
      </c>
      <c r="AC90" t="str">
        <f>IF(L90="","",IF(AND($AO$2=1,ISNA(MATCH(L90,'05-أيار'!$L$2:$L$501,0))),"محذوف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IF(L91="","",IF($AO$1=1,IFERROR(MATCH(L91,'03-آذار'!$L$2:$L$501,0),0),0))</f>
        <v/>
      </c>
      <c r="W91" t="str">
        <f t="shared" si="31"/>
        <v/>
      </c>
      <c r="X91" s="38" t="str">
        <f>IF(L91="","",IF(V91&gt;0,INDEX('03-آذار'!$P$2:$P$501,V91),IF($AO$1=1,0,"")))</f>
        <v/>
      </c>
      <c r="Y91" s="38" t="str">
        <f t="shared" si="32"/>
        <v/>
      </c>
      <c r="Z91" s="39" t="str">
        <f>IF(L91="","",IF(V91&gt;0,INDEX('03-آذار'!$Q$2:$Q$501,V91),IF($AO$1=1,0,"")))</f>
        <v/>
      </c>
      <c r="AA91" s="39" t="str">
        <f t="shared" si="33"/>
        <v/>
      </c>
      <c r="AB91" s="40" t="str">
        <f>IF(OR(L91="",V91=0),"",IF(AND(N(I91)&gt;0,N(INDEX('03-آذار'!$I$2:$I$501,V91))&gt;0,INDEX('03-آذار'!$F$2:$F$501,V91)=F91),N(I91)/N(INDEX('03-آذار'!$I$2:$I$501,V91))-1,""))</f>
        <v/>
      </c>
      <c r="AC91" t="str">
        <f>IF(L91="","",IF(AND($AO$2=1,ISNA(MATCH(L91,'05-أيار'!$L$2:$L$501,0))),"محذوف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IF(L92="","",IF($AO$1=1,IFERROR(MATCH(L92,'03-آذار'!$L$2:$L$501,0),0),0))</f>
        <v/>
      </c>
      <c r="W92" t="str">
        <f t="shared" si="31"/>
        <v/>
      </c>
      <c r="X92" s="38" t="str">
        <f>IF(L92="","",IF(V92&gt;0,INDEX('03-آذار'!$P$2:$P$501,V92),IF($AO$1=1,0,"")))</f>
        <v/>
      </c>
      <c r="Y92" s="38" t="str">
        <f t="shared" si="32"/>
        <v/>
      </c>
      <c r="Z92" s="39" t="str">
        <f>IF(L92="","",IF(V92&gt;0,INDEX('03-آذار'!$Q$2:$Q$501,V92),IF($AO$1=1,0,"")))</f>
        <v/>
      </c>
      <c r="AA92" s="39" t="str">
        <f t="shared" si="33"/>
        <v/>
      </c>
      <c r="AB92" s="40" t="str">
        <f>IF(OR(L92="",V92=0),"",IF(AND(N(I92)&gt;0,N(INDEX('03-آذار'!$I$2:$I$501,V92))&gt;0,INDEX('03-آذار'!$F$2:$F$501,V92)=F92),N(I92)/N(INDEX('03-آذار'!$I$2:$I$501,V92))-1,""))</f>
        <v/>
      </c>
      <c r="AC92" t="str">
        <f>IF(L92="","",IF(AND($AO$2=1,ISNA(MATCH(L92,'05-أيار'!$L$2:$L$501,0))),"محذوف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IF(L93="","",IF($AO$1=1,IFERROR(MATCH(L93,'03-آذار'!$L$2:$L$501,0),0),0))</f>
        <v/>
      </c>
      <c r="W93" t="str">
        <f t="shared" si="31"/>
        <v/>
      </c>
      <c r="X93" s="38" t="str">
        <f>IF(L93="","",IF(V93&gt;0,INDEX('03-آذار'!$P$2:$P$501,V93),IF($AO$1=1,0,"")))</f>
        <v/>
      </c>
      <c r="Y93" s="38" t="str">
        <f t="shared" si="32"/>
        <v/>
      </c>
      <c r="Z93" s="39" t="str">
        <f>IF(L93="","",IF(V93&gt;0,INDEX('03-آذار'!$Q$2:$Q$501,V93),IF($AO$1=1,0,"")))</f>
        <v/>
      </c>
      <c r="AA93" s="39" t="str">
        <f t="shared" si="33"/>
        <v/>
      </c>
      <c r="AB93" s="40" t="str">
        <f>IF(OR(L93="",V93=0),"",IF(AND(N(I93)&gt;0,N(INDEX('03-آذار'!$I$2:$I$501,V93))&gt;0,INDEX('03-آذار'!$F$2:$F$501,V93)=F93),N(I93)/N(INDEX('03-آذار'!$I$2:$I$501,V93))-1,""))</f>
        <v/>
      </c>
      <c r="AC93" t="str">
        <f>IF(L93="","",IF(AND($AO$2=1,ISNA(MATCH(L93,'05-أيار'!$L$2:$L$501,0))),"محذوف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IF(L94="","",IF($AO$1=1,IFERROR(MATCH(L94,'03-آذار'!$L$2:$L$501,0),0),0))</f>
        <v/>
      </c>
      <c r="W94" t="str">
        <f t="shared" si="31"/>
        <v/>
      </c>
      <c r="X94" s="38" t="str">
        <f>IF(L94="","",IF(V94&gt;0,INDEX('03-آذار'!$P$2:$P$501,V94),IF($AO$1=1,0,"")))</f>
        <v/>
      </c>
      <c r="Y94" s="38" t="str">
        <f t="shared" si="32"/>
        <v/>
      </c>
      <c r="Z94" s="39" t="str">
        <f>IF(L94="","",IF(V94&gt;0,INDEX('03-آذار'!$Q$2:$Q$501,V94),IF($AO$1=1,0,"")))</f>
        <v/>
      </c>
      <c r="AA94" s="39" t="str">
        <f t="shared" si="33"/>
        <v/>
      </c>
      <c r="AB94" s="40" t="str">
        <f>IF(OR(L94="",V94=0),"",IF(AND(N(I94)&gt;0,N(INDEX('03-آذار'!$I$2:$I$501,V94))&gt;0,INDEX('03-آذار'!$F$2:$F$501,V94)=F94),N(I94)/N(INDEX('03-آذار'!$I$2:$I$501,V94))-1,""))</f>
        <v/>
      </c>
      <c r="AC94" t="str">
        <f>IF(L94="","",IF(AND($AO$2=1,ISNA(MATCH(L94,'05-أيار'!$L$2:$L$501,0))),"محذوف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IF(L95="","",IF($AO$1=1,IFERROR(MATCH(L95,'03-آذار'!$L$2:$L$501,0),0),0))</f>
        <v/>
      </c>
      <c r="W95" t="str">
        <f t="shared" si="31"/>
        <v/>
      </c>
      <c r="X95" s="38" t="str">
        <f>IF(L95="","",IF(V95&gt;0,INDEX('03-آذار'!$P$2:$P$501,V95),IF($AO$1=1,0,"")))</f>
        <v/>
      </c>
      <c r="Y95" s="38" t="str">
        <f t="shared" si="32"/>
        <v/>
      </c>
      <c r="Z95" s="39" t="str">
        <f>IF(L95="","",IF(V95&gt;0,INDEX('03-آذار'!$Q$2:$Q$501,V95),IF($AO$1=1,0,"")))</f>
        <v/>
      </c>
      <c r="AA95" s="39" t="str">
        <f t="shared" si="33"/>
        <v/>
      </c>
      <c r="AB95" s="40" t="str">
        <f>IF(OR(L95="",V95=0),"",IF(AND(N(I95)&gt;0,N(INDEX('03-آذار'!$I$2:$I$501,V95))&gt;0,INDEX('03-آذار'!$F$2:$F$501,V95)=F95),N(I95)/N(INDEX('03-آذار'!$I$2:$I$501,V95))-1,""))</f>
        <v/>
      </c>
      <c r="AC95" t="str">
        <f>IF(L95="","",IF(AND($AO$2=1,ISNA(MATCH(L95,'05-أيار'!$L$2:$L$501,0))),"محذوف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IF(L96="","",IF($AO$1=1,IFERROR(MATCH(L96,'03-آذار'!$L$2:$L$501,0),0),0))</f>
        <v/>
      </c>
      <c r="W96" t="str">
        <f t="shared" si="31"/>
        <v/>
      </c>
      <c r="X96" s="38" t="str">
        <f>IF(L96="","",IF(V96&gt;0,INDEX('03-آذار'!$P$2:$P$501,V96),IF($AO$1=1,0,"")))</f>
        <v/>
      </c>
      <c r="Y96" s="38" t="str">
        <f t="shared" si="32"/>
        <v/>
      </c>
      <c r="Z96" s="39" t="str">
        <f>IF(L96="","",IF(V96&gt;0,INDEX('03-آذار'!$Q$2:$Q$501,V96),IF($AO$1=1,0,"")))</f>
        <v/>
      </c>
      <c r="AA96" s="39" t="str">
        <f t="shared" si="33"/>
        <v/>
      </c>
      <c r="AB96" s="40" t="str">
        <f>IF(OR(L96="",V96=0),"",IF(AND(N(I96)&gt;0,N(INDEX('03-آذار'!$I$2:$I$501,V96))&gt;0,INDEX('03-آذار'!$F$2:$F$501,V96)=F96),N(I96)/N(INDEX('03-آذار'!$I$2:$I$501,V96))-1,""))</f>
        <v/>
      </c>
      <c r="AC96" t="str">
        <f>IF(L96="","",IF(AND($AO$2=1,ISNA(MATCH(L96,'05-أيار'!$L$2:$L$501,0))),"محذوف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IF(L97="","",IF($AO$1=1,IFERROR(MATCH(L97,'03-آذار'!$L$2:$L$501,0),0),0))</f>
        <v/>
      </c>
      <c r="W97" t="str">
        <f t="shared" si="31"/>
        <v/>
      </c>
      <c r="X97" s="38" t="str">
        <f>IF(L97="","",IF(V97&gt;0,INDEX('03-آذار'!$P$2:$P$501,V97),IF($AO$1=1,0,"")))</f>
        <v/>
      </c>
      <c r="Y97" s="38" t="str">
        <f t="shared" si="32"/>
        <v/>
      </c>
      <c r="Z97" s="39" t="str">
        <f>IF(L97="","",IF(V97&gt;0,INDEX('03-آذار'!$Q$2:$Q$501,V97),IF($AO$1=1,0,"")))</f>
        <v/>
      </c>
      <c r="AA97" s="39" t="str">
        <f t="shared" si="33"/>
        <v/>
      </c>
      <c r="AB97" s="40" t="str">
        <f>IF(OR(L97="",V97=0),"",IF(AND(N(I97)&gt;0,N(INDEX('03-آذار'!$I$2:$I$501,V97))&gt;0,INDEX('03-آذار'!$F$2:$F$501,V97)=F97),N(I97)/N(INDEX('03-آذار'!$I$2:$I$501,V97))-1,""))</f>
        <v/>
      </c>
      <c r="AC97" t="str">
        <f>IF(L97="","",IF(AND($AO$2=1,ISNA(MATCH(L97,'05-أيار'!$L$2:$L$501,0))),"محذوف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IF(L98="","",IF($AO$1=1,IFERROR(MATCH(L98,'03-آذار'!$L$2:$L$501,0),0),0))</f>
        <v/>
      </c>
      <c r="W98" t="str">
        <f t="shared" si="31"/>
        <v/>
      </c>
      <c r="X98" s="38" t="str">
        <f>IF(L98="","",IF(V98&gt;0,INDEX('03-آذار'!$P$2:$P$501,V98),IF($AO$1=1,0,"")))</f>
        <v/>
      </c>
      <c r="Y98" s="38" t="str">
        <f t="shared" si="32"/>
        <v/>
      </c>
      <c r="Z98" s="39" t="str">
        <f>IF(L98="","",IF(V98&gt;0,INDEX('03-آذار'!$Q$2:$Q$501,V98),IF($AO$1=1,0,"")))</f>
        <v/>
      </c>
      <c r="AA98" s="39" t="str">
        <f t="shared" si="33"/>
        <v/>
      </c>
      <c r="AB98" s="40" t="str">
        <f>IF(OR(L98="",V98=0),"",IF(AND(N(I98)&gt;0,N(INDEX('03-آذار'!$I$2:$I$501,V98))&gt;0,INDEX('03-آذار'!$F$2:$F$501,V98)=F98),N(I98)/N(INDEX('03-آذار'!$I$2:$I$501,V98))-1,""))</f>
        <v/>
      </c>
      <c r="AC98" t="str">
        <f>IF(L98="","",IF(AND($AO$2=1,ISNA(MATCH(L98,'05-أيار'!$L$2:$L$501,0))),"محذوف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IF(L99="","",IF($AO$1=1,IFERROR(MATCH(L99,'03-آذار'!$L$2:$L$501,0),0),0))</f>
        <v/>
      </c>
      <c r="W99" t="str">
        <f t="shared" si="31"/>
        <v/>
      </c>
      <c r="X99" s="38" t="str">
        <f>IF(L99="","",IF(V99&gt;0,INDEX('03-آذار'!$P$2:$P$501,V99),IF($AO$1=1,0,"")))</f>
        <v/>
      </c>
      <c r="Y99" s="38" t="str">
        <f t="shared" si="32"/>
        <v/>
      </c>
      <c r="Z99" s="39" t="str">
        <f>IF(L99="","",IF(V99&gt;0,INDEX('03-آذار'!$Q$2:$Q$501,V99),IF($AO$1=1,0,"")))</f>
        <v/>
      </c>
      <c r="AA99" s="39" t="str">
        <f t="shared" si="33"/>
        <v/>
      </c>
      <c r="AB99" s="40" t="str">
        <f>IF(OR(L99="",V99=0),"",IF(AND(N(I99)&gt;0,N(INDEX('03-آذار'!$I$2:$I$501,V99))&gt;0,INDEX('03-آذار'!$F$2:$F$501,V99)=F99),N(I99)/N(INDEX('03-آذار'!$I$2:$I$501,V99))-1,""))</f>
        <v/>
      </c>
      <c r="AC99" t="str">
        <f>IF(L99="","",IF(AND($AO$2=1,ISNA(MATCH(L99,'05-أيار'!$L$2:$L$501,0))),"محذوف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IF(L100="","",IF($AO$1=1,IFERROR(MATCH(L100,'03-آذار'!$L$2:$L$501,0),0),0))</f>
        <v/>
      </c>
      <c r="W100" t="str">
        <f t="shared" si="31"/>
        <v/>
      </c>
      <c r="X100" s="38" t="str">
        <f>IF(L100="","",IF(V100&gt;0,INDEX('03-آذار'!$P$2:$P$501,V100),IF($AO$1=1,0,"")))</f>
        <v/>
      </c>
      <c r="Y100" s="38" t="str">
        <f t="shared" si="32"/>
        <v/>
      </c>
      <c r="Z100" s="39" t="str">
        <f>IF(L100="","",IF(V100&gt;0,INDEX('03-آذار'!$Q$2:$Q$501,V100),IF($AO$1=1,0,"")))</f>
        <v/>
      </c>
      <c r="AA100" s="39" t="str">
        <f t="shared" si="33"/>
        <v/>
      </c>
      <c r="AB100" s="40" t="str">
        <f>IF(OR(L100="",V100=0),"",IF(AND(N(I100)&gt;0,N(INDEX('03-آذار'!$I$2:$I$501,V100))&gt;0,INDEX('03-آذار'!$F$2:$F$501,V100)=F100),N(I100)/N(INDEX('03-آذار'!$I$2:$I$501,V100))-1,""))</f>
        <v/>
      </c>
      <c r="AC100" t="str">
        <f>IF(L100="","",IF(AND($AO$2=1,ISNA(MATCH(L100,'05-أيار'!$L$2:$L$501,0))),"محذوف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IF(L101="","",IF($AO$1=1,IFERROR(MATCH(L101,'03-آذار'!$L$2:$L$501,0),0),0))</f>
        <v/>
      </c>
      <c r="W101" t="str">
        <f t="shared" si="31"/>
        <v/>
      </c>
      <c r="X101" s="38" t="str">
        <f>IF(L101="","",IF(V101&gt;0,INDEX('03-آذار'!$P$2:$P$501,V101),IF($AO$1=1,0,"")))</f>
        <v/>
      </c>
      <c r="Y101" s="38" t="str">
        <f t="shared" si="32"/>
        <v/>
      </c>
      <c r="Z101" s="39" t="str">
        <f>IF(L101="","",IF(V101&gt;0,INDEX('03-آذار'!$Q$2:$Q$501,V101),IF($AO$1=1,0,"")))</f>
        <v/>
      </c>
      <c r="AA101" s="39" t="str">
        <f t="shared" si="33"/>
        <v/>
      </c>
      <c r="AB101" s="40" t="str">
        <f>IF(OR(L101="",V101=0),"",IF(AND(N(I101)&gt;0,N(INDEX('03-آذار'!$I$2:$I$501,V101))&gt;0,INDEX('03-آذار'!$F$2:$F$501,V101)=F101),N(I101)/N(INDEX('03-آذار'!$I$2:$I$501,V101))-1,""))</f>
        <v/>
      </c>
      <c r="AC101" t="str">
        <f>IF(L101="","",IF(AND($AO$2=1,ISNA(MATCH(L101,'05-أيار'!$L$2:$L$501,0))),"محذوف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IF(L102="","",IF($AO$1=1,IFERROR(MATCH(L102,'03-آذار'!$L$2:$L$501,0),0),0))</f>
        <v/>
      </c>
      <c r="W102" t="str">
        <f t="shared" si="31"/>
        <v/>
      </c>
      <c r="X102" s="38" t="str">
        <f>IF(L102="","",IF(V102&gt;0,INDEX('03-آذار'!$P$2:$P$501,V102),IF($AO$1=1,0,"")))</f>
        <v/>
      </c>
      <c r="Y102" s="38" t="str">
        <f t="shared" si="32"/>
        <v/>
      </c>
      <c r="Z102" s="39" t="str">
        <f>IF(L102="","",IF(V102&gt;0,INDEX('03-آذار'!$Q$2:$Q$501,V102),IF($AO$1=1,0,"")))</f>
        <v/>
      </c>
      <c r="AA102" s="39" t="str">
        <f t="shared" si="33"/>
        <v/>
      </c>
      <c r="AB102" s="40" t="str">
        <f>IF(OR(L102="",V102=0),"",IF(AND(N(I102)&gt;0,N(INDEX('03-آذار'!$I$2:$I$501,V102))&gt;0,INDEX('03-آذار'!$F$2:$F$501,V102)=F102),N(I102)/N(INDEX('03-آذار'!$I$2:$I$501,V102))-1,""))</f>
        <v/>
      </c>
      <c r="AC102" t="str">
        <f>IF(L102="","",IF(AND($AO$2=1,ISNA(MATCH(L102,'05-أيار'!$L$2:$L$501,0))),"محذوف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IF(L103="","",IF($AO$1=1,IFERROR(MATCH(L103,'03-آذار'!$L$2:$L$501,0),0),0))</f>
        <v/>
      </c>
      <c r="W103" t="str">
        <f t="shared" si="31"/>
        <v/>
      </c>
      <c r="X103" s="38" t="str">
        <f>IF(L103="","",IF(V103&gt;0,INDEX('03-آذار'!$P$2:$P$501,V103),IF($AO$1=1,0,"")))</f>
        <v/>
      </c>
      <c r="Y103" s="38" t="str">
        <f t="shared" si="32"/>
        <v/>
      </c>
      <c r="Z103" s="39" t="str">
        <f>IF(L103="","",IF(V103&gt;0,INDEX('03-آذار'!$Q$2:$Q$501,V103),IF($AO$1=1,0,"")))</f>
        <v/>
      </c>
      <c r="AA103" s="39" t="str">
        <f t="shared" si="33"/>
        <v/>
      </c>
      <c r="AB103" s="40" t="str">
        <f>IF(OR(L103="",V103=0),"",IF(AND(N(I103)&gt;0,N(INDEX('03-آذار'!$I$2:$I$501,V103))&gt;0,INDEX('03-آذار'!$F$2:$F$501,V103)=F103),N(I103)/N(INDEX('03-آذار'!$I$2:$I$501,V103))-1,""))</f>
        <v/>
      </c>
      <c r="AC103" t="str">
        <f>IF(L103="","",IF(AND($AO$2=1,ISNA(MATCH(L103,'05-أيار'!$L$2:$L$501,0))),"محذوف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IF(L104="","",IF($AO$1=1,IFERROR(MATCH(L104,'03-آذار'!$L$2:$L$501,0),0),0))</f>
        <v/>
      </c>
      <c r="W104" t="str">
        <f t="shared" si="31"/>
        <v/>
      </c>
      <c r="X104" s="38" t="str">
        <f>IF(L104="","",IF(V104&gt;0,INDEX('03-آذار'!$P$2:$P$501,V104),IF($AO$1=1,0,"")))</f>
        <v/>
      </c>
      <c r="Y104" s="38" t="str">
        <f t="shared" si="32"/>
        <v/>
      </c>
      <c r="Z104" s="39" t="str">
        <f>IF(L104="","",IF(V104&gt;0,INDEX('03-آذار'!$Q$2:$Q$501,V104),IF($AO$1=1,0,"")))</f>
        <v/>
      </c>
      <c r="AA104" s="39" t="str">
        <f t="shared" si="33"/>
        <v/>
      </c>
      <c r="AB104" s="40" t="str">
        <f>IF(OR(L104="",V104=0),"",IF(AND(N(I104)&gt;0,N(INDEX('03-آذار'!$I$2:$I$501,V104))&gt;0,INDEX('03-آذار'!$F$2:$F$501,V104)=F104),N(I104)/N(INDEX('03-آذار'!$I$2:$I$501,V104))-1,""))</f>
        <v/>
      </c>
      <c r="AC104" t="str">
        <f>IF(L104="","",IF(AND($AO$2=1,ISNA(MATCH(L104,'05-أيار'!$L$2:$L$501,0))),"محذوف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IF(L105="","",IF($AO$1=1,IFERROR(MATCH(L105,'03-آذار'!$L$2:$L$501,0),0),0))</f>
        <v/>
      </c>
      <c r="W105" t="str">
        <f t="shared" si="31"/>
        <v/>
      </c>
      <c r="X105" s="38" t="str">
        <f>IF(L105="","",IF(V105&gt;0,INDEX('03-آذار'!$P$2:$P$501,V105),IF($AO$1=1,0,"")))</f>
        <v/>
      </c>
      <c r="Y105" s="38" t="str">
        <f t="shared" si="32"/>
        <v/>
      </c>
      <c r="Z105" s="39" t="str">
        <f>IF(L105="","",IF(V105&gt;0,INDEX('03-آذار'!$Q$2:$Q$501,V105),IF($AO$1=1,0,"")))</f>
        <v/>
      </c>
      <c r="AA105" s="39" t="str">
        <f t="shared" si="33"/>
        <v/>
      </c>
      <c r="AB105" s="40" t="str">
        <f>IF(OR(L105="",V105=0),"",IF(AND(N(I105)&gt;0,N(INDEX('03-آذار'!$I$2:$I$501,V105))&gt;0,INDEX('03-آذار'!$F$2:$F$501,V105)=F105),N(I105)/N(INDEX('03-آذار'!$I$2:$I$501,V105))-1,""))</f>
        <v/>
      </c>
      <c r="AC105" t="str">
        <f>IF(L105="","",IF(AND($AO$2=1,ISNA(MATCH(L105,'05-أيار'!$L$2:$L$501,0))),"محذوف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IF(L106="","",IF($AO$1=1,IFERROR(MATCH(L106,'03-آذار'!$L$2:$L$501,0),0),0))</f>
        <v/>
      </c>
      <c r="W106" t="str">
        <f t="shared" si="31"/>
        <v/>
      </c>
      <c r="X106" s="38" t="str">
        <f>IF(L106="","",IF(V106&gt;0,INDEX('03-آذار'!$P$2:$P$501,V106),IF($AO$1=1,0,"")))</f>
        <v/>
      </c>
      <c r="Y106" s="38" t="str">
        <f t="shared" si="32"/>
        <v/>
      </c>
      <c r="Z106" s="39" t="str">
        <f>IF(L106="","",IF(V106&gt;0,INDEX('03-آذار'!$Q$2:$Q$501,V106),IF($AO$1=1,0,"")))</f>
        <v/>
      </c>
      <c r="AA106" s="39" t="str">
        <f t="shared" si="33"/>
        <v/>
      </c>
      <c r="AB106" s="40" t="str">
        <f>IF(OR(L106="",V106=0),"",IF(AND(N(I106)&gt;0,N(INDEX('03-آذار'!$I$2:$I$501,V106))&gt;0,INDEX('03-آذار'!$F$2:$F$501,V106)=F106),N(I106)/N(INDEX('03-آذار'!$I$2:$I$501,V106))-1,""))</f>
        <v/>
      </c>
      <c r="AC106" t="str">
        <f>IF(L106="","",IF(AND($AO$2=1,ISNA(MATCH(L106,'05-أيار'!$L$2:$L$501,0))),"محذوف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IF(L107="","",IF($AO$1=1,IFERROR(MATCH(L107,'03-آذار'!$L$2:$L$501,0),0),0))</f>
        <v/>
      </c>
      <c r="W107" t="str">
        <f t="shared" si="31"/>
        <v/>
      </c>
      <c r="X107" s="38" t="str">
        <f>IF(L107="","",IF(V107&gt;0,INDEX('03-آذار'!$P$2:$P$501,V107),IF($AO$1=1,0,"")))</f>
        <v/>
      </c>
      <c r="Y107" s="38" t="str">
        <f t="shared" si="32"/>
        <v/>
      </c>
      <c r="Z107" s="39" t="str">
        <f>IF(L107="","",IF(V107&gt;0,INDEX('03-آذار'!$Q$2:$Q$501,V107),IF($AO$1=1,0,"")))</f>
        <v/>
      </c>
      <c r="AA107" s="39" t="str">
        <f t="shared" si="33"/>
        <v/>
      </c>
      <c r="AB107" s="40" t="str">
        <f>IF(OR(L107="",V107=0),"",IF(AND(N(I107)&gt;0,N(INDEX('03-آذار'!$I$2:$I$501,V107))&gt;0,INDEX('03-آذار'!$F$2:$F$501,V107)=F107),N(I107)/N(INDEX('03-آذار'!$I$2:$I$501,V107))-1,""))</f>
        <v/>
      </c>
      <c r="AC107" t="str">
        <f>IF(L107="","",IF(AND($AO$2=1,ISNA(MATCH(L107,'05-أيار'!$L$2:$L$501,0))),"محذوف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IF(L108="","",IF($AO$1=1,IFERROR(MATCH(L108,'03-آذار'!$L$2:$L$501,0),0),0))</f>
        <v/>
      </c>
      <c r="W108" t="str">
        <f t="shared" si="31"/>
        <v/>
      </c>
      <c r="X108" s="38" t="str">
        <f>IF(L108="","",IF(V108&gt;0,INDEX('03-آذار'!$P$2:$P$501,V108),IF($AO$1=1,0,"")))</f>
        <v/>
      </c>
      <c r="Y108" s="38" t="str">
        <f t="shared" si="32"/>
        <v/>
      </c>
      <c r="Z108" s="39" t="str">
        <f>IF(L108="","",IF(V108&gt;0,INDEX('03-آذار'!$Q$2:$Q$501,V108),IF($AO$1=1,0,"")))</f>
        <v/>
      </c>
      <c r="AA108" s="39" t="str">
        <f t="shared" si="33"/>
        <v/>
      </c>
      <c r="AB108" s="40" t="str">
        <f>IF(OR(L108="",V108=0),"",IF(AND(N(I108)&gt;0,N(INDEX('03-آذار'!$I$2:$I$501,V108))&gt;0,INDEX('03-آذار'!$F$2:$F$501,V108)=F108),N(I108)/N(INDEX('03-آذار'!$I$2:$I$501,V108))-1,""))</f>
        <v/>
      </c>
      <c r="AC108" t="str">
        <f>IF(L108="","",IF(AND($AO$2=1,ISNA(MATCH(L108,'05-أيار'!$L$2:$L$501,0))),"محذوف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IF(L109="","",IF($AO$1=1,IFERROR(MATCH(L109,'03-آذار'!$L$2:$L$501,0),0),0))</f>
        <v/>
      </c>
      <c r="W109" t="str">
        <f t="shared" si="31"/>
        <v/>
      </c>
      <c r="X109" s="38" t="str">
        <f>IF(L109="","",IF(V109&gt;0,INDEX('03-آذار'!$P$2:$P$501,V109),IF($AO$1=1,0,"")))</f>
        <v/>
      </c>
      <c r="Y109" s="38" t="str">
        <f t="shared" si="32"/>
        <v/>
      </c>
      <c r="Z109" s="39" t="str">
        <f>IF(L109="","",IF(V109&gt;0,INDEX('03-آذار'!$Q$2:$Q$501,V109),IF($AO$1=1,0,"")))</f>
        <v/>
      </c>
      <c r="AA109" s="39" t="str">
        <f t="shared" si="33"/>
        <v/>
      </c>
      <c r="AB109" s="40" t="str">
        <f>IF(OR(L109="",V109=0),"",IF(AND(N(I109)&gt;0,N(INDEX('03-آذار'!$I$2:$I$501,V109))&gt;0,INDEX('03-آذار'!$F$2:$F$501,V109)=F109),N(I109)/N(INDEX('03-آذار'!$I$2:$I$501,V109))-1,""))</f>
        <v/>
      </c>
      <c r="AC109" t="str">
        <f>IF(L109="","",IF(AND($AO$2=1,ISNA(MATCH(L109,'05-أيار'!$L$2:$L$501,0))),"محذوف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IF(L110="","",IF($AO$1=1,IFERROR(MATCH(L110,'03-آذار'!$L$2:$L$501,0),0),0))</f>
        <v/>
      </c>
      <c r="W110" t="str">
        <f t="shared" si="31"/>
        <v/>
      </c>
      <c r="X110" s="38" t="str">
        <f>IF(L110="","",IF(V110&gt;0,INDEX('03-آذار'!$P$2:$P$501,V110),IF($AO$1=1,0,"")))</f>
        <v/>
      </c>
      <c r="Y110" s="38" t="str">
        <f t="shared" si="32"/>
        <v/>
      </c>
      <c r="Z110" s="39" t="str">
        <f>IF(L110="","",IF(V110&gt;0,INDEX('03-آذار'!$Q$2:$Q$501,V110),IF($AO$1=1,0,"")))</f>
        <v/>
      </c>
      <c r="AA110" s="39" t="str">
        <f t="shared" si="33"/>
        <v/>
      </c>
      <c r="AB110" s="40" t="str">
        <f>IF(OR(L110="",V110=0),"",IF(AND(N(I110)&gt;0,N(INDEX('03-آذار'!$I$2:$I$501,V110))&gt;0,INDEX('03-آذار'!$F$2:$F$501,V110)=F110),N(I110)/N(INDEX('03-آذار'!$I$2:$I$501,V110))-1,""))</f>
        <v/>
      </c>
      <c r="AC110" t="str">
        <f>IF(L110="","",IF(AND($AO$2=1,ISNA(MATCH(L110,'05-أيار'!$L$2:$L$501,0))),"محذوف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IF(L111="","",IF($AO$1=1,IFERROR(MATCH(L111,'03-آذار'!$L$2:$L$501,0),0),0))</f>
        <v/>
      </c>
      <c r="W111" t="str">
        <f t="shared" si="31"/>
        <v/>
      </c>
      <c r="X111" s="38" t="str">
        <f>IF(L111="","",IF(V111&gt;0,INDEX('03-آذار'!$P$2:$P$501,V111),IF($AO$1=1,0,"")))</f>
        <v/>
      </c>
      <c r="Y111" s="38" t="str">
        <f t="shared" si="32"/>
        <v/>
      </c>
      <c r="Z111" s="39" t="str">
        <f>IF(L111="","",IF(V111&gt;0,INDEX('03-آذار'!$Q$2:$Q$501,V111),IF($AO$1=1,0,"")))</f>
        <v/>
      </c>
      <c r="AA111" s="39" t="str">
        <f t="shared" si="33"/>
        <v/>
      </c>
      <c r="AB111" s="40" t="str">
        <f>IF(OR(L111="",V111=0),"",IF(AND(N(I111)&gt;0,N(INDEX('03-آذار'!$I$2:$I$501,V111))&gt;0,INDEX('03-آذار'!$F$2:$F$501,V111)=F111),N(I111)/N(INDEX('03-آذار'!$I$2:$I$501,V111))-1,""))</f>
        <v/>
      </c>
      <c r="AC111" t="str">
        <f>IF(L111="","",IF(AND($AO$2=1,ISNA(MATCH(L111,'05-أيار'!$L$2:$L$501,0))),"محذوف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IF(L112="","",IF($AO$1=1,IFERROR(MATCH(L112,'03-آذار'!$L$2:$L$501,0),0),0))</f>
        <v/>
      </c>
      <c r="W112" t="str">
        <f t="shared" si="31"/>
        <v/>
      </c>
      <c r="X112" s="38" t="str">
        <f>IF(L112="","",IF(V112&gt;0,INDEX('03-آذار'!$P$2:$P$501,V112),IF($AO$1=1,0,"")))</f>
        <v/>
      </c>
      <c r="Y112" s="38" t="str">
        <f t="shared" si="32"/>
        <v/>
      </c>
      <c r="Z112" s="39" t="str">
        <f>IF(L112="","",IF(V112&gt;0,INDEX('03-آذار'!$Q$2:$Q$501,V112),IF($AO$1=1,0,"")))</f>
        <v/>
      </c>
      <c r="AA112" s="39" t="str">
        <f t="shared" si="33"/>
        <v/>
      </c>
      <c r="AB112" s="40" t="str">
        <f>IF(OR(L112="",V112=0),"",IF(AND(N(I112)&gt;0,N(INDEX('03-آذار'!$I$2:$I$501,V112))&gt;0,INDEX('03-آذار'!$F$2:$F$501,V112)=F112),N(I112)/N(INDEX('03-آذار'!$I$2:$I$501,V112))-1,""))</f>
        <v/>
      </c>
      <c r="AC112" t="str">
        <f>IF(L112="","",IF(AND($AO$2=1,ISNA(MATCH(L112,'05-أيار'!$L$2:$L$501,0))),"محذوف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IF(L113="","",IF($AO$1=1,IFERROR(MATCH(L113,'03-آذار'!$L$2:$L$501,0),0),0))</f>
        <v/>
      </c>
      <c r="W113" t="str">
        <f t="shared" si="31"/>
        <v/>
      </c>
      <c r="X113" s="38" t="str">
        <f>IF(L113="","",IF(V113&gt;0,INDEX('03-آذار'!$P$2:$P$501,V113),IF($AO$1=1,0,"")))</f>
        <v/>
      </c>
      <c r="Y113" s="38" t="str">
        <f t="shared" si="32"/>
        <v/>
      </c>
      <c r="Z113" s="39" t="str">
        <f>IF(L113="","",IF(V113&gt;0,INDEX('03-آذار'!$Q$2:$Q$501,V113),IF($AO$1=1,0,"")))</f>
        <v/>
      </c>
      <c r="AA113" s="39" t="str">
        <f t="shared" si="33"/>
        <v/>
      </c>
      <c r="AB113" s="40" t="str">
        <f>IF(OR(L113="",V113=0),"",IF(AND(N(I113)&gt;0,N(INDEX('03-آذار'!$I$2:$I$501,V113))&gt;0,INDEX('03-آذار'!$F$2:$F$501,V113)=F113),N(I113)/N(INDEX('03-آذار'!$I$2:$I$501,V113))-1,""))</f>
        <v/>
      </c>
      <c r="AC113" t="str">
        <f>IF(L113="","",IF(AND($AO$2=1,ISNA(MATCH(L113,'05-أيار'!$L$2:$L$501,0))),"محذوف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IF(L114="","",IF($AO$1=1,IFERROR(MATCH(L114,'03-آذار'!$L$2:$L$501,0),0),0))</f>
        <v/>
      </c>
      <c r="W114" t="str">
        <f t="shared" si="31"/>
        <v/>
      </c>
      <c r="X114" s="38" t="str">
        <f>IF(L114="","",IF(V114&gt;0,INDEX('03-آذار'!$P$2:$P$501,V114),IF($AO$1=1,0,"")))</f>
        <v/>
      </c>
      <c r="Y114" s="38" t="str">
        <f t="shared" si="32"/>
        <v/>
      </c>
      <c r="Z114" s="39" t="str">
        <f>IF(L114="","",IF(V114&gt;0,INDEX('03-آذار'!$Q$2:$Q$501,V114),IF($AO$1=1,0,"")))</f>
        <v/>
      </c>
      <c r="AA114" s="39" t="str">
        <f t="shared" si="33"/>
        <v/>
      </c>
      <c r="AB114" s="40" t="str">
        <f>IF(OR(L114="",V114=0),"",IF(AND(N(I114)&gt;0,N(INDEX('03-آذار'!$I$2:$I$501,V114))&gt;0,INDEX('03-آذار'!$F$2:$F$501,V114)=F114),N(I114)/N(INDEX('03-آذار'!$I$2:$I$501,V114))-1,""))</f>
        <v/>
      </c>
      <c r="AC114" t="str">
        <f>IF(L114="","",IF(AND($AO$2=1,ISNA(MATCH(L114,'05-أيار'!$L$2:$L$501,0))),"محذوف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IF(L115="","",IF($AO$1=1,IFERROR(MATCH(L115,'03-آذار'!$L$2:$L$501,0),0),0))</f>
        <v/>
      </c>
      <c r="W115" t="str">
        <f t="shared" si="31"/>
        <v/>
      </c>
      <c r="X115" s="38" t="str">
        <f>IF(L115="","",IF(V115&gt;0,INDEX('03-آذار'!$P$2:$P$501,V115),IF($AO$1=1,0,"")))</f>
        <v/>
      </c>
      <c r="Y115" s="38" t="str">
        <f t="shared" si="32"/>
        <v/>
      </c>
      <c r="Z115" s="39" t="str">
        <f>IF(L115="","",IF(V115&gt;0,INDEX('03-آذار'!$Q$2:$Q$501,V115),IF($AO$1=1,0,"")))</f>
        <v/>
      </c>
      <c r="AA115" s="39" t="str">
        <f t="shared" si="33"/>
        <v/>
      </c>
      <c r="AB115" s="40" t="str">
        <f>IF(OR(L115="",V115=0),"",IF(AND(N(I115)&gt;0,N(INDEX('03-آذار'!$I$2:$I$501,V115))&gt;0,INDEX('03-آذار'!$F$2:$F$501,V115)=F115),N(I115)/N(INDEX('03-آذار'!$I$2:$I$501,V115))-1,""))</f>
        <v/>
      </c>
      <c r="AC115" t="str">
        <f>IF(L115="","",IF(AND($AO$2=1,ISNA(MATCH(L115,'05-أيار'!$L$2:$L$501,0))),"محذوف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IF(L116="","",IF($AO$1=1,IFERROR(MATCH(L116,'03-آذار'!$L$2:$L$501,0),0),0))</f>
        <v/>
      </c>
      <c r="W116" t="str">
        <f t="shared" si="31"/>
        <v/>
      </c>
      <c r="X116" s="38" t="str">
        <f>IF(L116="","",IF(V116&gt;0,INDEX('03-آذار'!$P$2:$P$501,V116),IF($AO$1=1,0,"")))</f>
        <v/>
      </c>
      <c r="Y116" s="38" t="str">
        <f t="shared" si="32"/>
        <v/>
      </c>
      <c r="Z116" s="39" t="str">
        <f>IF(L116="","",IF(V116&gt;0,INDEX('03-آذار'!$Q$2:$Q$501,V116),IF($AO$1=1,0,"")))</f>
        <v/>
      </c>
      <c r="AA116" s="39" t="str">
        <f t="shared" si="33"/>
        <v/>
      </c>
      <c r="AB116" s="40" t="str">
        <f>IF(OR(L116="",V116=0),"",IF(AND(N(I116)&gt;0,N(INDEX('03-آذار'!$I$2:$I$501,V116))&gt;0,INDEX('03-آذار'!$F$2:$F$501,V116)=F116),N(I116)/N(INDEX('03-آذار'!$I$2:$I$501,V116))-1,""))</f>
        <v/>
      </c>
      <c r="AC116" t="str">
        <f>IF(L116="","",IF(AND($AO$2=1,ISNA(MATCH(L116,'05-أيار'!$L$2:$L$501,0))),"محذوف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IF(L117="","",IF($AO$1=1,IFERROR(MATCH(L117,'03-آذار'!$L$2:$L$501,0),0),0))</f>
        <v/>
      </c>
      <c r="W117" t="str">
        <f t="shared" si="31"/>
        <v/>
      </c>
      <c r="X117" s="38" t="str">
        <f>IF(L117="","",IF(V117&gt;0,INDEX('03-آذار'!$P$2:$P$501,V117),IF($AO$1=1,0,"")))</f>
        <v/>
      </c>
      <c r="Y117" s="38" t="str">
        <f t="shared" si="32"/>
        <v/>
      </c>
      <c r="Z117" s="39" t="str">
        <f>IF(L117="","",IF(V117&gt;0,INDEX('03-آذار'!$Q$2:$Q$501,V117),IF($AO$1=1,0,"")))</f>
        <v/>
      </c>
      <c r="AA117" s="39" t="str">
        <f t="shared" si="33"/>
        <v/>
      </c>
      <c r="AB117" s="40" t="str">
        <f>IF(OR(L117="",V117=0),"",IF(AND(N(I117)&gt;0,N(INDEX('03-آذار'!$I$2:$I$501,V117))&gt;0,INDEX('03-آذار'!$F$2:$F$501,V117)=F117),N(I117)/N(INDEX('03-آذار'!$I$2:$I$501,V117))-1,""))</f>
        <v/>
      </c>
      <c r="AC117" t="str">
        <f>IF(L117="","",IF(AND($AO$2=1,ISNA(MATCH(L117,'05-أيار'!$L$2:$L$501,0))),"محذوف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IF(L118="","",IF($AO$1=1,IFERROR(MATCH(L118,'03-آذار'!$L$2:$L$501,0),0),0))</f>
        <v/>
      </c>
      <c r="W118" t="str">
        <f t="shared" si="31"/>
        <v/>
      </c>
      <c r="X118" s="38" t="str">
        <f>IF(L118="","",IF(V118&gt;0,INDEX('03-آذار'!$P$2:$P$501,V118),IF($AO$1=1,0,"")))</f>
        <v/>
      </c>
      <c r="Y118" s="38" t="str">
        <f t="shared" si="32"/>
        <v/>
      </c>
      <c r="Z118" s="39" t="str">
        <f>IF(L118="","",IF(V118&gt;0,INDEX('03-آذار'!$Q$2:$Q$501,V118),IF($AO$1=1,0,"")))</f>
        <v/>
      </c>
      <c r="AA118" s="39" t="str">
        <f t="shared" si="33"/>
        <v/>
      </c>
      <c r="AB118" s="40" t="str">
        <f>IF(OR(L118="",V118=0),"",IF(AND(N(I118)&gt;0,N(INDEX('03-آذار'!$I$2:$I$501,V118))&gt;0,INDEX('03-آذار'!$F$2:$F$501,V118)=F118),N(I118)/N(INDEX('03-آذار'!$I$2:$I$501,V118))-1,""))</f>
        <v/>
      </c>
      <c r="AC118" t="str">
        <f>IF(L118="","",IF(AND($AO$2=1,ISNA(MATCH(L118,'05-أيار'!$L$2:$L$501,0))),"محذوف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IF(L119="","",IF($AO$1=1,IFERROR(MATCH(L119,'03-آذار'!$L$2:$L$501,0),0),0))</f>
        <v/>
      </c>
      <c r="W119" t="str">
        <f t="shared" si="31"/>
        <v/>
      </c>
      <c r="X119" s="38" t="str">
        <f>IF(L119="","",IF(V119&gt;0,INDEX('03-آذار'!$P$2:$P$501,V119),IF($AO$1=1,0,"")))</f>
        <v/>
      </c>
      <c r="Y119" s="38" t="str">
        <f t="shared" si="32"/>
        <v/>
      </c>
      <c r="Z119" s="39" t="str">
        <f>IF(L119="","",IF(V119&gt;0,INDEX('03-آذار'!$Q$2:$Q$501,V119),IF($AO$1=1,0,"")))</f>
        <v/>
      </c>
      <c r="AA119" s="39" t="str">
        <f t="shared" si="33"/>
        <v/>
      </c>
      <c r="AB119" s="40" t="str">
        <f>IF(OR(L119="",V119=0),"",IF(AND(N(I119)&gt;0,N(INDEX('03-آذار'!$I$2:$I$501,V119))&gt;0,INDEX('03-آذار'!$F$2:$F$501,V119)=F119),N(I119)/N(INDEX('03-آذار'!$I$2:$I$501,V119))-1,""))</f>
        <v/>
      </c>
      <c r="AC119" t="str">
        <f>IF(L119="","",IF(AND($AO$2=1,ISNA(MATCH(L119,'05-أيار'!$L$2:$L$501,0))),"محذوف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IF(L120="","",IF($AO$1=1,IFERROR(MATCH(L120,'03-آذار'!$L$2:$L$501,0),0),0))</f>
        <v/>
      </c>
      <c r="W120" t="str">
        <f t="shared" si="31"/>
        <v/>
      </c>
      <c r="X120" s="38" t="str">
        <f>IF(L120="","",IF(V120&gt;0,INDEX('03-آذار'!$P$2:$P$501,V120),IF($AO$1=1,0,"")))</f>
        <v/>
      </c>
      <c r="Y120" s="38" t="str">
        <f t="shared" si="32"/>
        <v/>
      </c>
      <c r="Z120" s="39" t="str">
        <f>IF(L120="","",IF(V120&gt;0,INDEX('03-آذار'!$Q$2:$Q$501,V120),IF($AO$1=1,0,"")))</f>
        <v/>
      </c>
      <c r="AA120" s="39" t="str">
        <f t="shared" si="33"/>
        <v/>
      </c>
      <c r="AB120" s="40" t="str">
        <f>IF(OR(L120="",V120=0),"",IF(AND(N(I120)&gt;0,N(INDEX('03-آذار'!$I$2:$I$501,V120))&gt;0,INDEX('03-آذار'!$F$2:$F$501,V120)=F120),N(I120)/N(INDEX('03-آذار'!$I$2:$I$501,V120))-1,""))</f>
        <v/>
      </c>
      <c r="AC120" t="str">
        <f>IF(L120="","",IF(AND($AO$2=1,ISNA(MATCH(L120,'05-أيار'!$L$2:$L$501,0))),"محذوف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IF(L121="","",IF($AO$1=1,IFERROR(MATCH(L121,'03-آذار'!$L$2:$L$501,0),0),0))</f>
        <v/>
      </c>
      <c r="W121" t="str">
        <f t="shared" si="31"/>
        <v/>
      </c>
      <c r="X121" s="38" t="str">
        <f>IF(L121="","",IF(V121&gt;0,INDEX('03-آذار'!$P$2:$P$501,V121),IF($AO$1=1,0,"")))</f>
        <v/>
      </c>
      <c r="Y121" s="38" t="str">
        <f t="shared" si="32"/>
        <v/>
      </c>
      <c r="Z121" s="39" t="str">
        <f>IF(L121="","",IF(V121&gt;0,INDEX('03-آذار'!$Q$2:$Q$501,V121),IF($AO$1=1,0,"")))</f>
        <v/>
      </c>
      <c r="AA121" s="39" t="str">
        <f t="shared" si="33"/>
        <v/>
      </c>
      <c r="AB121" s="40" t="str">
        <f>IF(OR(L121="",V121=0),"",IF(AND(N(I121)&gt;0,N(INDEX('03-آذار'!$I$2:$I$501,V121))&gt;0,INDEX('03-آذار'!$F$2:$F$501,V121)=F121),N(I121)/N(INDEX('03-آذار'!$I$2:$I$501,V121))-1,""))</f>
        <v/>
      </c>
      <c r="AC121" t="str">
        <f>IF(L121="","",IF(AND($AO$2=1,ISNA(MATCH(L121,'05-أيار'!$L$2:$L$501,0))),"محذوف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IF(L122="","",IF($AO$1=1,IFERROR(MATCH(L122,'03-آذار'!$L$2:$L$501,0),0),0))</f>
        <v/>
      </c>
      <c r="W122" t="str">
        <f t="shared" si="31"/>
        <v/>
      </c>
      <c r="X122" s="38" t="str">
        <f>IF(L122="","",IF(V122&gt;0,INDEX('03-آذار'!$P$2:$P$501,V122),IF($AO$1=1,0,"")))</f>
        <v/>
      </c>
      <c r="Y122" s="38" t="str">
        <f t="shared" si="32"/>
        <v/>
      </c>
      <c r="Z122" s="39" t="str">
        <f>IF(L122="","",IF(V122&gt;0,INDEX('03-آذار'!$Q$2:$Q$501,V122),IF($AO$1=1,0,"")))</f>
        <v/>
      </c>
      <c r="AA122" s="39" t="str">
        <f t="shared" si="33"/>
        <v/>
      </c>
      <c r="AB122" s="40" t="str">
        <f>IF(OR(L122="",V122=0),"",IF(AND(N(I122)&gt;0,N(INDEX('03-آذار'!$I$2:$I$501,V122))&gt;0,INDEX('03-آذار'!$F$2:$F$501,V122)=F122),N(I122)/N(INDEX('03-آذار'!$I$2:$I$501,V122))-1,""))</f>
        <v/>
      </c>
      <c r="AC122" t="str">
        <f>IF(L122="","",IF(AND($AO$2=1,ISNA(MATCH(L122,'05-أيار'!$L$2:$L$501,0))),"محذوف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IF(L123="","",IF($AO$1=1,IFERROR(MATCH(L123,'03-آذار'!$L$2:$L$501,0),0),0))</f>
        <v/>
      </c>
      <c r="W123" t="str">
        <f t="shared" si="31"/>
        <v/>
      </c>
      <c r="X123" s="38" t="str">
        <f>IF(L123="","",IF(V123&gt;0,INDEX('03-آذار'!$P$2:$P$501,V123),IF($AO$1=1,0,"")))</f>
        <v/>
      </c>
      <c r="Y123" s="38" t="str">
        <f t="shared" si="32"/>
        <v/>
      </c>
      <c r="Z123" s="39" t="str">
        <f>IF(L123="","",IF(V123&gt;0,INDEX('03-آذار'!$Q$2:$Q$501,V123),IF($AO$1=1,0,"")))</f>
        <v/>
      </c>
      <c r="AA123" s="39" t="str">
        <f t="shared" si="33"/>
        <v/>
      </c>
      <c r="AB123" s="40" t="str">
        <f>IF(OR(L123="",V123=0),"",IF(AND(N(I123)&gt;0,N(INDEX('03-آذار'!$I$2:$I$501,V123))&gt;0,INDEX('03-آذار'!$F$2:$F$501,V123)=F123),N(I123)/N(INDEX('03-آذار'!$I$2:$I$501,V123))-1,""))</f>
        <v/>
      </c>
      <c r="AC123" t="str">
        <f>IF(L123="","",IF(AND($AO$2=1,ISNA(MATCH(L123,'05-أيار'!$L$2:$L$501,0))),"محذوف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IF(L124="","",IF($AO$1=1,IFERROR(MATCH(L124,'03-آذار'!$L$2:$L$501,0),0),0))</f>
        <v/>
      </c>
      <c r="W124" t="str">
        <f t="shared" si="31"/>
        <v/>
      </c>
      <c r="X124" s="38" t="str">
        <f>IF(L124="","",IF(V124&gt;0,INDEX('03-آذار'!$P$2:$P$501,V124),IF($AO$1=1,0,"")))</f>
        <v/>
      </c>
      <c r="Y124" s="38" t="str">
        <f t="shared" si="32"/>
        <v/>
      </c>
      <c r="Z124" s="39" t="str">
        <f>IF(L124="","",IF(V124&gt;0,INDEX('03-آذار'!$Q$2:$Q$501,V124),IF($AO$1=1,0,"")))</f>
        <v/>
      </c>
      <c r="AA124" s="39" t="str">
        <f t="shared" si="33"/>
        <v/>
      </c>
      <c r="AB124" s="40" t="str">
        <f>IF(OR(L124="",V124=0),"",IF(AND(N(I124)&gt;0,N(INDEX('03-آذار'!$I$2:$I$501,V124))&gt;0,INDEX('03-آذار'!$F$2:$F$501,V124)=F124),N(I124)/N(INDEX('03-آذار'!$I$2:$I$501,V124))-1,""))</f>
        <v/>
      </c>
      <c r="AC124" t="str">
        <f>IF(L124="","",IF(AND($AO$2=1,ISNA(MATCH(L124,'05-أيار'!$L$2:$L$501,0))),"محذوف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IF(L125="","",IF($AO$1=1,IFERROR(MATCH(L125,'03-آذار'!$L$2:$L$501,0),0),0))</f>
        <v/>
      </c>
      <c r="W125" t="str">
        <f t="shared" si="31"/>
        <v/>
      </c>
      <c r="X125" s="38" t="str">
        <f>IF(L125="","",IF(V125&gt;0,INDEX('03-آذار'!$P$2:$P$501,V125),IF($AO$1=1,0,"")))</f>
        <v/>
      </c>
      <c r="Y125" s="38" t="str">
        <f t="shared" si="32"/>
        <v/>
      </c>
      <c r="Z125" s="39" t="str">
        <f>IF(L125="","",IF(V125&gt;0,INDEX('03-آذار'!$Q$2:$Q$501,V125),IF($AO$1=1,0,"")))</f>
        <v/>
      </c>
      <c r="AA125" s="39" t="str">
        <f t="shared" si="33"/>
        <v/>
      </c>
      <c r="AB125" s="40" t="str">
        <f>IF(OR(L125="",V125=0),"",IF(AND(N(I125)&gt;0,N(INDEX('03-آذار'!$I$2:$I$501,V125))&gt;0,INDEX('03-آذار'!$F$2:$F$501,V125)=F125),N(I125)/N(INDEX('03-آذار'!$I$2:$I$501,V125))-1,""))</f>
        <v/>
      </c>
      <c r="AC125" t="str">
        <f>IF(L125="","",IF(AND($AO$2=1,ISNA(MATCH(L125,'05-أيار'!$L$2:$L$501,0))),"محذوف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IF(L126="","",IF($AO$1=1,IFERROR(MATCH(L126,'03-آذار'!$L$2:$L$501,0),0),0))</f>
        <v/>
      </c>
      <c r="W126" t="str">
        <f t="shared" si="31"/>
        <v/>
      </c>
      <c r="X126" s="38" t="str">
        <f>IF(L126="","",IF(V126&gt;0,INDEX('03-آذار'!$P$2:$P$501,V126),IF($AO$1=1,0,"")))</f>
        <v/>
      </c>
      <c r="Y126" s="38" t="str">
        <f t="shared" si="32"/>
        <v/>
      </c>
      <c r="Z126" s="39" t="str">
        <f>IF(L126="","",IF(V126&gt;0,INDEX('03-آذار'!$Q$2:$Q$501,V126),IF($AO$1=1,0,"")))</f>
        <v/>
      </c>
      <c r="AA126" s="39" t="str">
        <f t="shared" si="33"/>
        <v/>
      </c>
      <c r="AB126" s="40" t="str">
        <f>IF(OR(L126="",V126=0),"",IF(AND(N(I126)&gt;0,N(INDEX('03-آذار'!$I$2:$I$501,V126))&gt;0,INDEX('03-آذار'!$F$2:$F$501,V126)=F126),N(I126)/N(INDEX('03-آذار'!$I$2:$I$501,V126))-1,""))</f>
        <v/>
      </c>
      <c r="AC126" t="str">
        <f>IF(L126="","",IF(AND($AO$2=1,ISNA(MATCH(L126,'05-أيار'!$L$2:$L$501,0))),"محذوف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IF(L127="","",IF($AO$1=1,IFERROR(MATCH(L127,'03-آذار'!$L$2:$L$501,0),0),0))</f>
        <v/>
      </c>
      <c r="W127" t="str">
        <f t="shared" si="31"/>
        <v/>
      </c>
      <c r="X127" s="38" t="str">
        <f>IF(L127="","",IF(V127&gt;0,INDEX('03-آذار'!$P$2:$P$501,V127),IF($AO$1=1,0,"")))</f>
        <v/>
      </c>
      <c r="Y127" s="38" t="str">
        <f t="shared" si="32"/>
        <v/>
      </c>
      <c r="Z127" s="39" t="str">
        <f>IF(L127="","",IF(V127&gt;0,INDEX('03-آذار'!$Q$2:$Q$501,V127),IF($AO$1=1,0,"")))</f>
        <v/>
      </c>
      <c r="AA127" s="39" t="str">
        <f t="shared" si="33"/>
        <v/>
      </c>
      <c r="AB127" s="40" t="str">
        <f>IF(OR(L127="",V127=0),"",IF(AND(N(I127)&gt;0,N(INDEX('03-آذار'!$I$2:$I$501,V127))&gt;0,INDEX('03-آذار'!$F$2:$F$501,V127)=F127),N(I127)/N(INDEX('03-آذار'!$I$2:$I$501,V127))-1,""))</f>
        <v/>
      </c>
      <c r="AC127" t="str">
        <f>IF(L127="","",IF(AND($AO$2=1,ISNA(MATCH(L127,'05-أيار'!$L$2:$L$501,0))),"محذوف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IF(L128="","",IF($AO$1=1,IFERROR(MATCH(L128,'03-آذار'!$L$2:$L$501,0),0),0))</f>
        <v/>
      </c>
      <c r="W128" t="str">
        <f t="shared" si="31"/>
        <v/>
      </c>
      <c r="X128" s="38" t="str">
        <f>IF(L128="","",IF(V128&gt;0,INDEX('03-آذار'!$P$2:$P$501,V128),IF($AO$1=1,0,"")))</f>
        <v/>
      </c>
      <c r="Y128" s="38" t="str">
        <f t="shared" si="32"/>
        <v/>
      </c>
      <c r="Z128" s="39" t="str">
        <f>IF(L128="","",IF(V128&gt;0,INDEX('03-آذار'!$Q$2:$Q$501,V128),IF($AO$1=1,0,"")))</f>
        <v/>
      </c>
      <c r="AA128" s="39" t="str">
        <f t="shared" si="33"/>
        <v/>
      </c>
      <c r="AB128" s="40" t="str">
        <f>IF(OR(L128="",V128=0),"",IF(AND(N(I128)&gt;0,N(INDEX('03-آذار'!$I$2:$I$501,V128))&gt;0,INDEX('03-آذار'!$F$2:$F$501,V128)=F128),N(I128)/N(INDEX('03-آذار'!$I$2:$I$501,V128))-1,""))</f>
        <v/>
      </c>
      <c r="AC128" t="str">
        <f>IF(L128="","",IF(AND($AO$2=1,ISNA(MATCH(L128,'05-أيار'!$L$2:$L$501,0))),"محذوف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IF(L129="","",IF($AO$1=1,IFERROR(MATCH(L129,'03-آذار'!$L$2:$L$501,0),0),0))</f>
        <v/>
      </c>
      <c r="W129" t="str">
        <f t="shared" si="31"/>
        <v/>
      </c>
      <c r="X129" s="38" t="str">
        <f>IF(L129="","",IF(V129&gt;0,INDEX('03-آذار'!$P$2:$P$501,V129),IF($AO$1=1,0,"")))</f>
        <v/>
      </c>
      <c r="Y129" s="38" t="str">
        <f t="shared" si="32"/>
        <v/>
      </c>
      <c r="Z129" s="39" t="str">
        <f>IF(L129="","",IF(V129&gt;0,INDEX('03-آذار'!$Q$2:$Q$501,V129),IF($AO$1=1,0,"")))</f>
        <v/>
      </c>
      <c r="AA129" s="39" t="str">
        <f t="shared" si="33"/>
        <v/>
      </c>
      <c r="AB129" s="40" t="str">
        <f>IF(OR(L129="",V129=0),"",IF(AND(N(I129)&gt;0,N(INDEX('03-آذار'!$I$2:$I$501,V129))&gt;0,INDEX('03-آذار'!$F$2:$F$501,V129)=F129),N(I129)/N(INDEX('03-آذار'!$I$2:$I$501,V129))-1,""))</f>
        <v/>
      </c>
      <c r="AC129" t="str">
        <f>IF(L129="","",IF(AND($AO$2=1,ISNA(MATCH(L129,'05-أيار'!$L$2:$L$501,0))),"محذوف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IF(L130="","",IF($AO$1=1,IFERROR(MATCH(L130,'03-آذار'!$L$2:$L$501,0),0),0))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IF(L130="","",IF(V130&gt;0,INDEX('03-آذار'!$P$2:$P$501,V130),IF($AO$1=1,0,"")))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IF(L130="","",IF(V130&gt;0,INDEX('03-آذار'!$Q$2:$Q$501,V130),IF($AO$1=1,0,"")))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IF(OR(L130="",V130=0),"",IF(AND(N(I130)&gt;0,N(INDEX('03-آذار'!$I$2:$I$501,V130))&gt;0,INDEX('03-آذار'!$F$2:$F$501,V130)=F130),N(I130)/N(INDEX('03-آذار'!$I$2:$I$501,V130))-1,""))</f>
        <v/>
      </c>
      <c r="AC130" t="str">
        <f>IF(L130="","",IF(AND($AO$2=1,ISNA(MATCH(L130,'05-أيار'!$L$2:$L$501,0))),"محذوف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IF(L131="","",IF($AO$1=1,IFERROR(MATCH(L131,'03-آذار'!$L$2:$L$501,0),0),0))</f>
        <v/>
      </c>
      <c r="W131" t="str">
        <f t="shared" si="51"/>
        <v/>
      </c>
      <c r="X131" s="38" t="str">
        <f>IF(L131="","",IF(V131&gt;0,INDEX('03-آذار'!$P$2:$P$501,V131),IF($AO$1=1,0,"")))</f>
        <v/>
      </c>
      <c r="Y131" s="38" t="str">
        <f t="shared" si="52"/>
        <v/>
      </c>
      <c r="Z131" s="39" t="str">
        <f>IF(L131="","",IF(V131&gt;0,INDEX('03-آذار'!$Q$2:$Q$501,V131),IF($AO$1=1,0,"")))</f>
        <v/>
      </c>
      <c r="AA131" s="39" t="str">
        <f t="shared" si="53"/>
        <v/>
      </c>
      <c r="AB131" s="40" t="str">
        <f>IF(OR(L131="",V131=0),"",IF(AND(N(I131)&gt;0,N(INDEX('03-آذار'!$I$2:$I$501,V131))&gt;0,INDEX('03-آذار'!$F$2:$F$501,V131)=F131),N(I131)/N(INDEX('03-آذار'!$I$2:$I$501,V131))-1,""))</f>
        <v/>
      </c>
      <c r="AC131" t="str">
        <f>IF(L131="","",IF(AND($AO$2=1,ISNA(MATCH(L131,'05-أيار'!$L$2:$L$501,0))),"محذوف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IF(L132="","",IF($AO$1=1,IFERROR(MATCH(L132,'03-آذار'!$L$2:$L$501,0),0),0))</f>
        <v/>
      </c>
      <c r="W132" t="str">
        <f t="shared" si="51"/>
        <v/>
      </c>
      <c r="X132" s="38" t="str">
        <f>IF(L132="","",IF(V132&gt;0,INDEX('03-آذار'!$P$2:$P$501,V132),IF($AO$1=1,0,"")))</f>
        <v/>
      </c>
      <c r="Y132" s="38" t="str">
        <f t="shared" si="52"/>
        <v/>
      </c>
      <c r="Z132" s="39" t="str">
        <f>IF(L132="","",IF(V132&gt;0,INDEX('03-آذار'!$Q$2:$Q$501,V132),IF($AO$1=1,0,"")))</f>
        <v/>
      </c>
      <c r="AA132" s="39" t="str">
        <f t="shared" si="53"/>
        <v/>
      </c>
      <c r="AB132" s="40" t="str">
        <f>IF(OR(L132="",V132=0),"",IF(AND(N(I132)&gt;0,N(INDEX('03-آذار'!$I$2:$I$501,V132))&gt;0,INDEX('03-آذار'!$F$2:$F$501,V132)=F132),N(I132)/N(INDEX('03-آذار'!$I$2:$I$501,V132))-1,""))</f>
        <v/>
      </c>
      <c r="AC132" t="str">
        <f>IF(L132="","",IF(AND($AO$2=1,ISNA(MATCH(L132,'05-أيار'!$L$2:$L$501,0))),"محذوف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IF(L133="","",IF($AO$1=1,IFERROR(MATCH(L133,'03-آذار'!$L$2:$L$501,0),0),0))</f>
        <v/>
      </c>
      <c r="W133" t="str">
        <f t="shared" si="51"/>
        <v/>
      </c>
      <c r="X133" s="38" t="str">
        <f>IF(L133="","",IF(V133&gt;0,INDEX('03-آذار'!$P$2:$P$501,V133),IF($AO$1=1,0,"")))</f>
        <v/>
      </c>
      <c r="Y133" s="38" t="str">
        <f t="shared" si="52"/>
        <v/>
      </c>
      <c r="Z133" s="39" t="str">
        <f>IF(L133="","",IF(V133&gt;0,INDEX('03-آذار'!$Q$2:$Q$501,V133),IF($AO$1=1,0,"")))</f>
        <v/>
      </c>
      <c r="AA133" s="39" t="str">
        <f t="shared" si="53"/>
        <v/>
      </c>
      <c r="AB133" s="40" t="str">
        <f>IF(OR(L133="",V133=0),"",IF(AND(N(I133)&gt;0,N(INDEX('03-آذار'!$I$2:$I$501,V133))&gt;0,INDEX('03-آذار'!$F$2:$F$501,V133)=F133),N(I133)/N(INDEX('03-آذار'!$I$2:$I$501,V133))-1,""))</f>
        <v/>
      </c>
      <c r="AC133" t="str">
        <f>IF(L133="","",IF(AND($AO$2=1,ISNA(MATCH(L133,'05-أيار'!$L$2:$L$501,0))),"محذوف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IF(L134="","",IF($AO$1=1,IFERROR(MATCH(L134,'03-آذار'!$L$2:$L$501,0),0),0))</f>
        <v/>
      </c>
      <c r="W134" t="str">
        <f t="shared" si="51"/>
        <v/>
      </c>
      <c r="X134" s="38" t="str">
        <f>IF(L134="","",IF(V134&gt;0,INDEX('03-آذار'!$P$2:$P$501,V134),IF($AO$1=1,0,"")))</f>
        <v/>
      </c>
      <c r="Y134" s="38" t="str">
        <f t="shared" si="52"/>
        <v/>
      </c>
      <c r="Z134" s="39" t="str">
        <f>IF(L134="","",IF(V134&gt;0,INDEX('03-آذار'!$Q$2:$Q$501,V134),IF($AO$1=1,0,"")))</f>
        <v/>
      </c>
      <c r="AA134" s="39" t="str">
        <f t="shared" si="53"/>
        <v/>
      </c>
      <c r="AB134" s="40" t="str">
        <f>IF(OR(L134="",V134=0),"",IF(AND(N(I134)&gt;0,N(INDEX('03-آذار'!$I$2:$I$501,V134))&gt;0,INDEX('03-آذار'!$F$2:$F$501,V134)=F134),N(I134)/N(INDEX('03-آذار'!$I$2:$I$501,V134))-1,""))</f>
        <v/>
      </c>
      <c r="AC134" t="str">
        <f>IF(L134="","",IF(AND($AO$2=1,ISNA(MATCH(L134,'05-أيار'!$L$2:$L$501,0))),"محذوف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IF(L135="","",IF($AO$1=1,IFERROR(MATCH(L135,'03-آذار'!$L$2:$L$501,0),0),0))</f>
        <v/>
      </c>
      <c r="W135" t="str">
        <f t="shared" si="51"/>
        <v/>
      </c>
      <c r="X135" s="38" t="str">
        <f>IF(L135="","",IF(V135&gt;0,INDEX('03-آذار'!$P$2:$P$501,V135),IF($AO$1=1,0,"")))</f>
        <v/>
      </c>
      <c r="Y135" s="38" t="str">
        <f t="shared" si="52"/>
        <v/>
      </c>
      <c r="Z135" s="39" t="str">
        <f>IF(L135="","",IF(V135&gt;0,INDEX('03-آذار'!$Q$2:$Q$501,V135),IF($AO$1=1,0,"")))</f>
        <v/>
      </c>
      <c r="AA135" s="39" t="str">
        <f t="shared" si="53"/>
        <v/>
      </c>
      <c r="AB135" s="40" t="str">
        <f>IF(OR(L135="",V135=0),"",IF(AND(N(I135)&gt;0,N(INDEX('03-آذار'!$I$2:$I$501,V135))&gt;0,INDEX('03-آذار'!$F$2:$F$501,V135)=F135),N(I135)/N(INDEX('03-آذار'!$I$2:$I$501,V135))-1,""))</f>
        <v/>
      </c>
      <c r="AC135" t="str">
        <f>IF(L135="","",IF(AND($AO$2=1,ISNA(MATCH(L135,'05-أيار'!$L$2:$L$501,0))),"محذوف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IF(L136="","",IF($AO$1=1,IFERROR(MATCH(L136,'03-آذار'!$L$2:$L$501,0),0),0))</f>
        <v/>
      </c>
      <c r="W136" t="str">
        <f t="shared" si="51"/>
        <v/>
      </c>
      <c r="X136" s="38" t="str">
        <f>IF(L136="","",IF(V136&gt;0,INDEX('03-آذار'!$P$2:$P$501,V136),IF($AO$1=1,0,"")))</f>
        <v/>
      </c>
      <c r="Y136" s="38" t="str">
        <f t="shared" si="52"/>
        <v/>
      </c>
      <c r="Z136" s="39" t="str">
        <f>IF(L136="","",IF(V136&gt;0,INDEX('03-آذار'!$Q$2:$Q$501,V136),IF($AO$1=1,0,"")))</f>
        <v/>
      </c>
      <c r="AA136" s="39" t="str">
        <f t="shared" si="53"/>
        <v/>
      </c>
      <c r="AB136" s="40" t="str">
        <f>IF(OR(L136="",V136=0),"",IF(AND(N(I136)&gt;0,N(INDEX('03-آذار'!$I$2:$I$501,V136))&gt;0,INDEX('03-آذار'!$F$2:$F$501,V136)=F136),N(I136)/N(INDEX('03-آذار'!$I$2:$I$501,V136))-1,""))</f>
        <v/>
      </c>
      <c r="AC136" t="str">
        <f>IF(L136="","",IF(AND($AO$2=1,ISNA(MATCH(L136,'05-أيار'!$L$2:$L$501,0))),"محذوف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IF(L137="","",IF($AO$1=1,IFERROR(MATCH(L137,'03-آذار'!$L$2:$L$501,0),0),0))</f>
        <v/>
      </c>
      <c r="W137" t="str">
        <f t="shared" si="51"/>
        <v/>
      </c>
      <c r="X137" s="38" t="str">
        <f>IF(L137="","",IF(V137&gt;0,INDEX('03-آذار'!$P$2:$P$501,V137),IF($AO$1=1,0,"")))</f>
        <v/>
      </c>
      <c r="Y137" s="38" t="str">
        <f t="shared" si="52"/>
        <v/>
      </c>
      <c r="Z137" s="39" t="str">
        <f>IF(L137="","",IF(V137&gt;0,INDEX('03-آذار'!$Q$2:$Q$501,V137),IF($AO$1=1,0,"")))</f>
        <v/>
      </c>
      <c r="AA137" s="39" t="str">
        <f t="shared" si="53"/>
        <v/>
      </c>
      <c r="AB137" s="40" t="str">
        <f>IF(OR(L137="",V137=0),"",IF(AND(N(I137)&gt;0,N(INDEX('03-آذار'!$I$2:$I$501,V137))&gt;0,INDEX('03-آذار'!$F$2:$F$501,V137)=F137),N(I137)/N(INDEX('03-آذار'!$I$2:$I$501,V137))-1,""))</f>
        <v/>
      </c>
      <c r="AC137" t="str">
        <f>IF(L137="","",IF(AND($AO$2=1,ISNA(MATCH(L137,'05-أيار'!$L$2:$L$501,0))),"محذوف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IF(L138="","",IF($AO$1=1,IFERROR(MATCH(L138,'03-آذار'!$L$2:$L$501,0),0),0))</f>
        <v/>
      </c>
      <c r="W138" t="str">
        <f t="shared" si="51"/>
        <v/>
      </c>
      <c r="X138" s="38" t="str">
        <f>IF(L138="","",IF(V138&gt;0,INDEX('03-آذار'!$P$2:$P$501,V138),IF($AO$1=1,0,"")))</f>
        <v/>
      </c>
      <c r="Y138" s="38" t="str">
        <f t="shared" si="52"/>
        <v/>
      </c>
      <c r="Z138" s="39" t="str">
        <f>IF(L138="","",IF(V138&gt;0,INDEX('03-آذار'!$Q$2:$Q$501,V138),IF($AO$1=1,0,"")))</f>
        <v/>
      </c>
      <c r="AA138" s="39" t="str">
        <f t="shared" si="53"/>
        <v/>
      </c>
      <c r="AB138" s="40" t="str">
        <f>IF(OR(L138="",V138=0),"",IF(AND(N(I138)&gt;0,N(INDEX('03-آذار'!$I$2:$I$501,V138))&gt;0,INDEX('03-آذار'!$F$2:$F$501,V138)=F138),N(I138)/N(INDEX('03-آذار'!$I$2:$I$501,V138))-1,""))</f>
        <v/>
      </c>
      <c r="AC138" t="str">
        <f>IF(L138="","",IF(AND($AO$2=1,ISNA(MATCH(L138,'05-أيار'!$L$2:$L$501,0))),"محذوف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IF(L139="","",IF($AO$1=1,IFERROR(MATCH(L139,'03-آذار'!$L$2:$L$501,0),0),0))</f>
        <v/>
      </c>
      <c r="W139" t="str">
        <f t="shared" si="51"/>
        <v/>
      </c>
      <c r="X139" s="38" t="str">
        <f>IF(L139="","",IF(V139&gt;0,INDEX('03-آذار'!$P$2:$P$501,V139),IF($AO$1=1,0,"")))</f>
        <v/>
      </c>
      <c r="Y139" s="38" t="str">
        <f t="shared" si="52"/>
        <v/>
      </c>
      <c r="Z139" s="39" t="str">
        <f>IF(L139="","",IF(V139&gt;0,INDEX('03-آذار'!$Q$2:$Q$501,V139),IF($AO$1=1,0,"")))</f>
        <v/>
      </c>
      <c r="AA139" s="39" t="str">
        <f t="shared" si="53"/>
        <v/>
      </c>
      <c r="AB139" s="40" t="str">
        <f>IF(OR(L139="",V139=0),"",IF(AND(N(I139)&gt;0,N(INDEX('03-آذار'!$I$2:$I$501,V139))&gt;0,INDEX('03-آذار'!$F$2:$F$501,V139)=F139),N(I139)/N(INDEX('03-آذار'!$I$2:$I$501,V139))-1,""))</f>
        <v/>
      </c>
      <c r="AC139" t="str">
        <f>IF(L139="","",IF(AND($AO$2=1,ISNA(MATCH(L139,'05-أيار'!$L$2:$L$501,0))),"محذوف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IF(L140="","",IF($AO$1=1,IFERROR(MATCH(L140,'03-آذار'!$L$2:$L$501,0),0),0))</f>
        <v/>
      </c>
      <c r="W140" t="str">
        <f t="shared" si="51"/>
        <v/>
      </c>
      <c r="X140" s="38" t="str">
        <f>IF(L140="","",IF(V140&gt;0,INDEX('03-آذار'!$P$2:$P$501,V140),IF($AO$1=1,0,"")))</f>
        <v/>
      </c>
      <c r="Y140" s="38" t="str">
        <f t="shared" si="52"/>
        <v/>
      </c>
      <c r="Z140" s="39" t="str">
        <f>IF(L140="","",IF(V140&gt;0,INDEX('03-آذار'!$Q$2:$Q$501,V140),IF($AO$1=1,0,"")))</f>
        <v/>
      </c>
      <c r="AA140" s="39" t="str">
        <f t="shared" si="53"/>
        <v/>
      </c>
      <c r="AB140" s="40" t="str">
        <f>IF(OR(L140="",V140=0),"",IF(AND(N(I140)&gt;0,N(INDEX('03-آذار'!$I$2:$I$501,V140))&gt;0,INDEX('03-آذار'!$F$2:$F$501,V140)=F140),N(I140)/N(INDEX('03-آذار'!$I$2:$I$501,V140))-1,""))</f>
        <v/>
      </c>
      <c r="AC140" t="str">
        <f>IF(L140="","",IF(AND($AO$2=1,ISNA(MATCH(L140,'05-أيار'!$L$2:$L$501,0))),"محذوف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IF(L141="","",IF($AO$1=1,IFERROR(MATCH(L141,'03-آذار'!$L$2:$L$501,0),0),0))</f>
        <v/>
      </c>
      <c r="W141" t="str">
        <f t="shared" si="51"/>
        <v/>
      </c>
      <c r="X141" s="38" t="str">
        <f>IF(L141="","",IF(V141&gt;0,INDEX('03-آذار'!$P$2:$P$501,V141),IF($AO$1=1,0,"")))</f>
        <v/>
      </c>
      <c r="Y141" s="38" t="str">
        <f t="shared" si="52"/>
        <v/>
      </c>
      <c r="Z141" s="39" t="str">
        <f>IF(L141="","",IF(V141&gt;0,INDEX('03-آذار'!$Q$2:$Q$501,V141),IF($AO$1=1,0,"")))</f>
        <v/>
      </c>
      <c r="AA141" s="39" t="str">
        <f t="shared" si="53"/>
        <v/>
      </c>
      <c r="AB141" s="40" t="str">
        <f>IF(OR(L141="",V141=0),"",IF(AND(N(I141)&gt;0,N(INDEX('03-آذار'!$I$2:$I$501,V141))&gt;0,INDEX('03-آذار'!$F$2:$F$501,V141)=F141),N(I141)/N(INDEX('03-آذار'!$I$2:$I$501,V141))-1,""))</f>
        <v/>
      </c>
      <c r="AC141" t="str">
        <f>IF(L141="","",IF(AND($AO$2=1,ISNA(MATCH(L141,'05-أيار'!$L$2:$L$501,0))),"محذوف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IF(L142="","",IF($AO$1=1,IFERROR(MATCH(L142,'03-آذار'!$L$2:$L$501,0),0),0))</f>
        <v/>
      </c>
      <c r="W142" t="str">
        <f t="shared" si="51"/>
        <v/>
      </c>
      <c r="X142" s="38" t="str">
        <f>IF(L142="","",IF(V142&gt;0,INDEX('03-آذار'!$P$2:$P$501,V142),IF($AO$1=1,0,"")))</f>
        <v/>
      </c>
      <c r="Y142" s="38" t="str">
        <f t="shared" si="52"/>
        <v/>
      </c>
      <c r="Z142" s="39" t="str">
        <f>IF(L142="","",IF(V142&gt;0,INDEX('03-آذار'!$Q$2:$Q$501,V142),IF($AO$1=1,0,"")))</f>
        <v/>
      </c>
      <c r="AA142" s="39" t="str">
        <f t="shared" si="53"/>
        <v/>
      </c>
      <c r="AB142" s="40" t="str">
        <f>IF(OR(L142="",V142=0),"",IF(AND(N(I142)&gt;0,N(INDEX('03-آذار'!$I$2:$I$501,V142))&gt;0,INDEX('03-آذار'!$F$2:$F$501,V142)=F142),N(I142)/N(INDEX('03-آذار'!$I$2:$I$501,V142))-1,""))</f>
        <v/>
      </c>
      <c r="AC142" t="str">
        <f>IF(L142="","",IF(AND($AO$2=1,ISNA(MATCH(L142,'05-أيار'!$L$2:$L$501,0))),"محذوف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IF(L143="","",IF($AO$1=1,IFERROR(MATCH(L143,'03-آذار'!$L$2:$L$501,0),0),0))</f>
        <v/>
      </c>
      <c r="W143" t="str">
        <f t="shared" si="51"/>
        <v/>
      </c>
      <c r="X143" s="38" t="str">
        <f>IF(L143="","",IF(V143&gt;0,INDEX('03-آذار'!$P$2:$P$501,V143),IF($AO$1=1,0,"")))</f>
        <v/>
      </c>
      <c r="Y143" s="38" t="str">
        <f t="shared" si="52"/>
        <v/>
      </c>
      <c r="Z143" s="39" t="str">
        <f>IF(L143="","",IF(V143&gt;0,INDEX('03-آذار'!$Q$2:$Q$501,V143),IF($AO$1=1,0,"")))</f>
        <v/>
      </c>
      <c r="AA143" s="39" t="str">
        <f t="shared" si="53"/>
        <v/>
      </c>
      <c r="AB143" s="40" t="str">
        <f>IF(OR(L143="",V143=0),"",IF(AND(N(I143)&gt;0,N(INDEX('03-آذار'!$I$2:$I$501,V143))&gt;0,INDEX('03-آذار'!$F$2:$F$501,V143)=F143),N(I143)/N(INDEX('03-آذار'!$I$2:$I$501,V143))-1,""))</f>
        <v/>
      </c>
      <c r="AC143" t="str">
        <f>IF(L143="","",IF(AND($AO$2=1,ISNA(MATCH(L143,'05-أيار'!$L$2:$L$501,0))),"محذوف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IF(L144="","",IF($AO$1=1,IFERROR(MATCH(L144,'03-آذار'!$L$2:$L$501,0),0),0))</f>
        <v/>
      </c>
      <c r="W144" t="str">
        <f t="shared" si="51"/>
        <v/>
      </c>
      <c r="X144" s="38" t="str">
        <f>IF(L144="","",IF(V144&gt;0,INDEX('03-آذار'!$P$2:$P$501,V144),IF($AO$1=1,0,"")))</f>
        <v/>
      </c>
      <c r="Y144" s="38" t="str">
        <f t="shared" si="52"/>
        <v/>
      </c>
      <c r="Z144" s="39" t="str">
        <f>IF(L144="","",IF(V144&gt;0,INDEX('03-آذار'!$Q$2:$Q$501,V144),IF($AO$1=1,0,"")))</f>
        <v/>
      </c>
      <c r="AA144" s="39" t="str">
        <f t="shared" si="53"/>
        <v/>
      </c>
      <c r="AB144" s="40" t="str">
        <f>IF(OR(L144="",V144=0),"",IF(AND(N(I144)&gt;0,N(INDEX('03-آذار'!$I$2:$I$501,V144))&gt;0,INDEX('03-آذار'!$F$2:$F$501,V144)=F144),N(I144)/N(INDEX('03-آذار'!$I$2:$I$501,V144))-1,""))</f>
        <v/>
      </c>
      <c r="AC144" t="str">
        <f>IF(L144="","",IF(AND($AO$2=1,ISNA(MATCH(L144,'05-أيار'!$L$2:$L$501,0))),"محذوف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IF(L145="","",IF($AO$1=1,IFERROR(MATCH(L145,'03-آذار'!$L$2:$L$501,0),0),0))</f>
        <v/>
      </c>
      <c r="W145" t="str">
        <f t="shared" si="51"/>
        <v/>
      </c>
      <c r="X145" s="38" t="str">
        <f>IF(L145="","",IF(V145&gt;0,INDEX('03-آذار'!$P$2:$P$501,V145),IF($AO$1=1,0,"")))</f>
        <v/>
      </c>
      <c r="Y145" s="38" t="str">
        <f t="shared" si="52"/>
        <v/>
      </c>
      <c r="Z145" s="39" t="str">
        <f>IF(L145="","",IF(V145&gt;0,INDEX('03-آذار'!$Q$2:$Q$501,V145),IF($AO$1=1,0,"")))</f>
        <v/>
      </c>
      <c r="AA145" s="39" t="str">
        <f t="shared" si="53"/>
        <v/>
      </c>
      <c r="AB145" s="40" t="str">
        <f>IF(OR(L145="",V145=0),"",IF(AND(N(I145)&gt;0,N(INDEX('03-آذار'!$I$2:$I$501,V145))&gt;0,INDEX('03-آذار'!$F$2:$F$501,V145)=F145),N(I145)/N(INDEX('03-آذار'!$I$2:$I$501,V145))-1,""))</f>
        <v/>
      </c>
      <c r="AC145" t="str">
        <f>IF(L145="","",IF(AND($AO$2=1,ISNA(MATCH(L145,'05-أيار'!$L$2:$L$501,0))),"محذوف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IF(L146="","",IF($AO$1=1,IFERROR(MATCH(L146,'03-آذار'!$L$2:$L$501,0),0),0))</f>
        <v/>
      </c>
      <c r="W146" t="str">
        <f t="shared" si="51"/>
        <v/>
      </c>
      <c r="X146" s="38" t="str">
        <f>IF(L146="","",IF(V146&gt;0,INDEX('03-آذار'!$P$2:$P$501,V146),IF($AO$1=1,0,"")))</f>
        <v/>
      </c>
      <c r="Y146" s="38" t="str">
        <f t="shared" si="52"/>
        <v/>
      </c>
      <c r="Z146" s="39" t="str">
        <f>IF(L146="","",IF(V146&gt;0,INDEX('03-آذار'!$Q$2:$Q$501,V146),IF($AO$1=1,0,"")))</f>
        <v/>
      </c>
      <c r="AA146" s="39" t="str">
        <f t="shared" si="53"/>
        <v/>
      </c>
      <c r="AB146" s="40" t="str">
        <f>IF(OR(L146="",V146=0),"",IF(AND(N(I146)&gt;0,N(INDEX('03-آذار'!$I$2:$I$501,V146))&gt;0,INDEX('03-آذار'!$F$2:$F$501,V146)=F146),N(I146)/N(INDEX('03-آذار'!$I$2:$I$501,V146))-1,""))</f>
        <v/>
      </c>
      <c r="AC146" t="str">
        <f>IF(L146="","",IF(AND($AO$2=1,ISNA(MATCH(L146,'05-أيار'!$L$2:$L$501,0))),"محذوف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IF(L147="","",IF($AO$1=1,IFERROR(MATCH(L147,'03-آذار'!$L$2:$L$501,0),0),0))</f>
        <v/>
      </c>
      <c r="W147" t="str">
        <f t="shared" si="51"/>
        <v/>
      </c>
      <c r="X147" s="38" t="str">
        <f>IF(L147="","",IF(V147&gt;0,INDEX('03-آذار'!$P$2:$P$501,V147),IF($AO$1=1,0,"")))</f>
        <v/>
      </c>
      <c r="Y147" s="38" t="str">
        <f t="shared" si="52"/>
        <v/>
      </c>
      <c r="Z147" s="39" t="str">
        <f>IF(L147="","",IF(V147&gt;0,INDEX('03-آذار'!$Q$2:$Q$501,V147),IF($AO$1=1,0,"")))</f>
        <v/>
      </c>
      <c r="AA147" s="39" t="str">
        <f t="shared" si="53"/>
        <v/>
      </c>
      <c r="AB147" s="40" t="str">
        <f>IF(OR(L147="",V147=0),"",IF(AND(N(I147)&gt;0,N(INDEX('03-آذار'!$I$2:$I$501,V147))&gt;0,INDEX('03-آذار'!$F$2:$F$501,V147)=F147),N(I147)/N(INDEX('03-آذار'!$I$2:$I$501,V147))-1,""))</f>
        <v/>
      </c>
      <c r="AC147" t="str">
        <f>IF(L147="","",IF(AND($AO$2=1,ISNA(MATCH(L147,'05-أيار'!$L$2:$L$501,0))),"محذوف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IF(L148="","",IF($AO$1=1,IFERROR(MATCH(L148,'03-آذار'!$L$2:$L$501,0),0),0))</f>
        <v/>
      </c>
      <c r="W148" t="str">
        <f t="shared" si="51"/>
        <v/>
      </c>
      <c r="X148" s="38" t="str">
        <f>IF(L148="","",IF(V148&gt;0,INDEX('03-آذار'!$P$2:$P$501,V148),IF($AO$1=1,0,"")))</f>
        <v/>
      </c>
      <c r="Y148" s="38" t="str">
        <f t="shared" si="52"/>
        <v/>
      </c>
      <c r="Z148" s="39" t="str">
        <f>IF(L148="","",IF(V148&gt;0,INDEX('03-آذار'!$Q$2:$Q$501,V148),IF($AO$1=1,0,"")))</f>
        <v/>
      </c>
      <c r="AA148" s="39" t="str">
        <f t="shared" si="53"/>
        <v/>
      </c>
      <c r="AB148" s="40" t="str">
        <f>IF(OR(L148="",V148=0),"",IF(AND(N(I148)&gt;0,N(INDEX('03-آذار'!$I$2:$I$501,V148))&gt;0,INDEX('03-آذار'!$F$2:$F$501,V148)=F148),N(I148)/N(INDEX('03-آذار'!$I$2:$I$501,V148))-1,""))</f>
        <v/>
      </c>
      <c r="AC148" t="str">
        <f>IF(L148="","",IF(AND($AO$2=1,ISNA(MATCH(L148,'05-أيار'!$L$2:$L$501,0))),"محذوف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IF(L149="","",IF($AO$1=1,IFERROR(MATCH(L149,'03-آذار'!$L$2:$L$501,0),0),0))</f>
        <v/>
      </c>
      <c r="W149" t="str">
        <f t="shared" si="51"/>
        <v/>
      </c>
      <c r="X149" s="38" t="str">
        <f>IF(L149="","",IF(V149&gt;0,INDEX('03-آذار'!$P$2:$P$501,V149),IF($AO$1=1,0,"")))</f>
        <v/>
      </c>
      <c r="Y149" s="38" t="str">
        <f t="shared" si="52"/>
        <v/>
      </c>
      <c r="Z149" s="39" t="str">
        <f>IF(L149="","",IF(V149&gt;0,INDEX('03-آذار'!$Q$2:$Q$501,V149),IF($AO$1=1,0,"")))</f>
        <v/>
      </c>
      <c r="AA149" s="39" t="str">
        <f t="shared" si="53"/>
        <v/>
      </c>
      <c r="AB149" s="40" t="str">
        <f>IF(OR(L149="",V149=0),"",IF(AND(N(I149)&gt;0,N(INDEX('03-آذار'!$I$2:$I$501,V149))&gt;0,INDEX('03-آذار'!$F$2:$F$501,V149)=F149),N(I149)/N(INDEX('03-آذار'!$I$2:$I$501,V149))-1,""))</f>
        <v/>
      </c>
      <c r="AC149" t="str">
        <f>IF(L149="","",IF(AND($AO$2=1,ISNA(MATCH(L149,'05-أيار'!$L$2:$L$501,0))),"محذوف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IF(L150="","",IF($AO$1=1,IFERROR(MATCH(L150,'03-آذار'!$L$2:$L$501,0),0),0))</f>
        <v/>
      </c>
      <c r="W150" t="str">
        <f t="shared" si="51"/>
        <v/>
      </c>
      <c r="X150" s="38" t="str">
        <f>IF(L150="","",IF(V150&gt;0,INDEX('03-آذار'!$P$2:$P$501,V150),IF($AO$1=1,0,"")))</f>
        <v/>
      </c>
      <c r="Y150" s="38" t="str">
        <f t="shared" si="52"/>
        <v/>
      </c>
      <c r="Z150" s="39" t="str">
        <f>IF(L150="","",IF(V150&gt;0,INDEX('03-آذار'!$Q$2:$Q$501,V150),IF($AO$1=1,0,"")))</f>
        <v/>
      </c>
      <c r="AA150" s="39" t="str">
        <f t="shared" si="53"/>
        <v/>
      </c>
      <c r="AB150" s="40" t="str">
        <f>IF(OR(L150="",V150=0),"",IF(AND(N(I150)&gt;0,N(INDEX('03-آذار'!$I$2:$I$501,V150))&gt;0,INDEX('03-آذار'!$F$2:$F$501,V150)=F150),N(I150)/N(INDEX('03-آذار'!$I$2:$I$501,V150))-1,""))</f>
        <v/>
      </c>
      <c r="AC150" t="str">
        <f>IF(L150="","",IF(AND($AO$2=1,ISNA(MATCH(L150,'05-أيار'!$L$2:$L$501,0))),"محذوف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IF(L151="","",IF($AO$1=1,IFERROR(MATCH(L151,'03-آذار'!$L$2:$L$501,0),0),0))</f>
        <v/>
      </c>
      <c r="W151" t="str">
        <f t="shared" si="51"/>
        <v/>
      </c>
      <c r="X151" s="38" t="str">
        <f>IF(L151="","",IF(V151&gt;0,INDEX('03-آذار'!$P$2:$P$501,V151),IF($AO$1=1,0,"")))</f>
        <v/>
      </c>
      <c r="Y151" s="38" t="str">
        <f t="shared" si="52"/>
        <v/>
      </c>
      <c r="Z151" s="39" t="str">
        <f>IF(L151="","",IF(V151&gt;0,INDEX('03-آذار'!$Q$2:$Q$501,V151),IF($AO$1=1,0,"")))</f>
        <v/>
      </c>
      <c r="AA151" s="39" t="str">
        <f t="shared" si="53"/>
        <v/>
      </c>
      <c r="AB151" s="40" t="str">
        <f>IF(OR(L151="",V151=0),"",IF(AND(N(I151)&gt;0,N(INDEX('03-آذار'!$I$2:$I$501,V151))&gt;0,INDEX('03-آذار'!$F$2:$F$501,V151)=F151),N(I151)/N(INDEX('03-آذار'!$I$2:$I$501,V151))-1,""))</f>
        <v/>
      </c>
      <c r="AC151" t="str">
        <f>IF(L151="","",IF(AND($AO$2=1,ISNA(MATCH(L151,'05-أيار'!$L$2:$L$501,0))),"محذوف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IF(L152="","",IF($AO$1=1,IFERROR(MATCH(L152,'03-آذار'!$L$2:$L$501,0),0),0))</f>
        <v/>
      </c>
      <c r="W152" t="str">
        <f t="shared" si="51"/>
        <v/>
      </c>
      <c r="X152" s="38" t="str">
        <f>IF(L152="","",IF(V152&gt;0,INDEX('03-آذار'!$P$2:$P$501,V152),IF($AO$1=1,0,"")))</f>
        <v/>
      </c>
      <c r="Y152" s="38" t="str">
        <f t="shared" si="52"/>
        <v/>
      </c>
      <c r="Z152" s="39" t="str">
        <f>IF(L152="","",IF(V152&gt;0,INDEX('03-آذار'!$Q$2:$Q$501,V152),IF($AO$1=1,0,"")))</f>
        <v/>
      </c>
      <c r="AA152" s="39" t="str">
        <f t="shared" si="53"/>
        <v/>
      </c>
      <c r="AB152" s="40" t="str">
        <f>IF(OR(L152="",V152=0),"",IF(AND(N(I152)&gt;0,N(INDEX('03-آذار'!$I$2:$I$501,V152))&gt;0,INDEX('03-آذار'!$F$2:$F$501,V152)=F152),N(I152)/N(INDEX('03-آذار'!$I$2:$I$501,V152))-1,""))</f>
        <v/>
      </c>
      <c r="AC152" t="str">
        <f>IF(L152="","",IF(AND($AO$2=1,ISNA(MATCH(L152,'05-أيار'!$L$2:$L$501,0))),"محذوف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IF(L153="","",IF($AO$1=1,IFERROR(MATCH(L153,'03-آذار'!$L$2:$L$501,0),0),0))</f>
        <v/>
      </c>
      <c r="W153" t="str">
        <f t="shared" si="51"/>
        <v/>
      </c>
      <c r="X153" s="38" t="str">
        <f>IF(L153="","",IF(V153&gt;0,INDEX('03-آذار'!$P$2:$P$501,V153),IF($AO$1=1,0,"")))</f>
        <v/>
      </c>
      <c r="Y153" s="38" t="str">
        <f t="shared" si="52"/>
        <v/>
      </c>
      <c r="Z153" s="39" t="str">
        <f>IF(L153="","",IF(V153&gt;0,INDEX('03-آذار'!$Q$2:$Q$501,V153),IF($AO$1=1,0,"")))</f>
        <v/>
      </c>
      <c r="AA153" s="39" t="str">
        <f t="shared" si="53"/>
        <v/>
      </c>
      <c r="AB153" s="40" t="str">
        <f>IF(OR(L153="",V153=0),"",IF(AND(N(I153)&gt;0,N(INDEX('03-آذار'!$I$2:$I$501,V153))&gt;0,INDEX('03-آذار'!$F$2:$F$501,V153)=F153),N(I153)/N(INDEX('03-آذار'!$I$2:$I$501,V153))-1,""))</f>
        <v/>
      </c>
      <c r="AC153" t="str">
        <f>IF(L153="","",IF(AND($AO$2=1,ISNA(MATCH(L153,'05-أيار'!$L$2:$L$501,0))),"محذوف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IF(L154="","",IF($AO$1=1,IFERROR(MATCH(L154,'03-آذار'!$L$2:$L$501,0),0),0))</f>
        <v/>
      </c>
      <c r="W154" t="str">
        <f t="shared" si="51"/>
        <v/>
      </c>
      <c r="X154" s="38" t="str">
        <f>IF(L154="","",IF(V154&gt;0,INDEX('03-آذار'!$P$2:$P$501,V154),IF($AO$1=1,0,"")))</f>
        <v/>
      </c>
      <c r="Y154" s="38" t="str">
        <f t="shared" si="52"/>
        <v/>
      </c>
      <c r="Z154" s="39" t="str">
        <f>IF(L154="","",IF(V154&gt;0,INDEX('03-آذار'!$Q$2:$Q$501,V154),IF($AO$1=1,0,"")))</f>
        <v/>
      </c>
      <c r="AA154" s="39" t="str">
        <f t="shared" si="53"/>
        <v/>
      </c>
      <c r="AB154" s="40" t="str">
        <f>IF(OR(L154="",V154=0),"",IF(AND(N(I154)&gt;0,N(INDEX('03-آذار'!$I$2:$I$501,V154))&gt;0,INDEX('03-آذار'!$F$2:$F$501,V154)=F154),N(I154)/N(INDEX('03-آذار'!$I$2:$I$501,V154))-1,""))</f>
        <v/>
      </c>
      <c r="AC154" t="str">
        <f>IF(L154="","",IF(AND($AO$2=1,ISNA(MATCH(L154,'05-أيار'!$L$2:$L$501,0))),"محذوف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IF(L155="","",IF($AO$1=1,IFERROR(MATCH(L155,'03-آذار'!$L$2:$L$501,0),0),0))</f>
        <v/>
      </c>
      <c r="W155" t="str">
        <f t="shared" si="51"/>
        <v/>
      </c>
      <c r="X155" s="38" t="str">
        <f>IF(L155="","",IF(V155&gt;0,INDEX('03-آذار'!$P$2:$P$501,V155),IF($AO$1=1,0,"")))</f>
        <v/>
      </c>
      <c r="Y155" s="38" t="str">
        <f t="shared" si="52"/>
        <v/>
      </c>
      <c r="Z155" s="39" t="str">
        <f>IF(L155="","",IF(V155&gt;0,INDEX('03-آذار'!$Q$2:$Q$501,V155),IF($AO$1=1,0,"")))</f>
        <v/>
      </c>
      <c r="AA155" s="39" t="str">
        <f t="shared" si="53"/>
        <v/>
      </c>
      <c r="AB155" s="40" t="str">
        <f>IF(OR(L155="",V155=0),"",IF(AND(N(I155)&gt;0,N(INDEX('03-آذار'!$I$2:$I$501,V155))&gt;0,INDEX('03-آذار'!$F$2:$F$501,V155)=F155),N(I155)/N(INDEX('03-آذار'!$I$2:$I$501,V155))-1,""))</f>
        <v/>
      </c>
      <c r="AC155" t="str">
        <f>IF(L155="","",IF(AND($AO$2=1,ISNA(MATCH(L155,'05-أيار'!$L$2:$L$501,0))),"محذوف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IF(L156="","",IF($AO$1=1,IFERROR(MATCH(L156,'03-آذار'!$L$2:$L$501,0),0),0))</f>
        <v/>
      </c>
      <c r="W156" t="str">
        <f t="shared" si="51"/>
        <v/>
      </c>
      <c r="X156" s="38" t="str">
        <f>IF(L156="","",IF(V156&gt;0,INDEX('03-آذار'!$P$2:$P$501,V156),IF($AO$1=1,0,"")))</f>
        <v/>
      </c>
      <c r="Y156" s="38" t="str">
        <f t="shared" si="52"/>
        <v/>
      </c>
      <c r="Z156" s="39" t="str">
        <f>IF(L156="","",IF(V156&gt;0,INDEX('03-آذار'!$Q$2:$Q$501,V156),IF($AO$1=1,0,"")))</f>
        <v/>
      </c>
      <c r="AA156" s="39" t="str">
        <f t="shared" si="53"/>
        <v/>
      </c>
      <c r="AB156" s="40" t="str">
        <f>IF(OR(L156="",V156=0),"",IF(AND(N(I156)&gt;0,N(INDEX('03-آذار'!$I$2:$I$501,V156))&gt;0,INDEX('03-آذار'!$F$2:$F$501,V156)=F156),N(I156)/N(INDEX('03-آذار'!$I$2:$I$501,V156))-1,""))</f>
        <v/>
      </c>
      <c r="AC156" t="str">
        <f>IF(L156="","",IF(AND($AO$2=1,ISNA(MATCH(L156,'05-أيار'!$L$2:$L$501,0))),"محذوف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IF(L157="","",IF($AO$1=1,IFERROR(MATCH(L157,'03-آذار'!$L$2:$L$501,0),0),0))</f>
        <v/>
      </c>
      <c r="W157" t="str">
        <f t="shared" si="51"/>
        <v/>
      </c>
      <c r="X157" s="38" t="str">
        <f>IF(L157="","",IF(V157&gt;0,INDEX('03-آذار'!$P$2:$P$501,V157),IF($AO$1=1,0,"")))</f>
        <v/>
      </c>
      <c r="Y157" s="38" t="str">
        <f t="shared" si="52"/>
        <v/>
      </c>
      <c r="Z157" s="39" t="str">
        <f>IF(L157="","",IF(V157&gt;0,INDEX('03-آذار'!$Q$2:$Q$501,V157),IF($AO$1=1,0,"")))</f>
        <v/>
      </c>
      <c r="AA157" s="39" t="str">
        <f t="shared" si="53"/>
        <v/>
      </c>
      <c r="AB157" s="40" t="str">
        <f>IF(OR(L157="",V157=0),"",IF(AND(N(I157)&gt;0,N(INDEX('03-آذار'!$I$2:$I$501,V157))&gt;0,INDEX('03-آذار'!$F$2:$F$501,V157)=F157),N(I157)/N(INDEX('03-آذار'!$I$2:$I$501,V157))-1,""))</f>
        <v/>
      </c>
      <c r="AC157" t="str">
        <f>IF(L157="","",IF(AND($AO$2=1,ISNA(MATCH(L157,'05-أيار'!$L$2:$L$501,0))),"محذوف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IF(L158="","",IF($AO$1=1,IFERROR(MATCH(L158,'03-آذار'!$L$2:$L$501,0),0),0))</f>
        <v/>
      </c>
      <c r="W158" t="str">
        <f t="shared" si="51"/>
        <v/>
      </c>
      <c r="X158" s="38" t="str">
        <f>IF(L158="","",IF(V158&gt;0,INDEX('03-آذار'!$P$2:$P$501,V158),IF($AO$1=1,0,"")))</f>
        <v/>
      </c>
      <c r="Y158" s="38" t="str">
        <f t="shared" si="52"/>
        <v/>
      </c>
      <c r="Z158" s="39" t="str">
        <f>IF(L158="","",IF(V158&gt;0,INDEX('03-آذار'!$Q$2:$Q$501,V158),IF($AO$1=1,0,"")))</f>
        <v/>
      </c>
      <c r="AA158" s="39" t="str">
        <f t="shared" si="53"/>
        <v/>
      </c>
      <c r="AB158" s="40" t="str">
        <f>IF(OR(L158="",V158=0),"",IF(AND(N(I158)&gt;0,N(INDEX('03-آذار'!$I$2:$I$501,V158))&gt;0,INDEX('03-آذار'!$F$2:$F$501,V158)=F158),N(I158)/N(INDEX('03-آذار'!$I$2:$I$501,V158))-1,""))</f>
        <v/>
      </c>
      <c r="AC158" t="str">
        <f>IF(L158="","",IF(AND($AO$2=1,ISNA(MATCH(L158,'05-أيار'!$L$2:$L$501,0))),"محذوف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IF(L159="","",IF($AO$1=1,IFERROR(MATCH(L159,'03-آذار'!$L$2:$L$501,0),0),0))</f>
        <v/>
      </c>
      <c r="W159" t="str">
        <f t="shared" si="51"/>
        <v/>
      </c>
      <c r="X159" s="38" t="str">
        <f>IF(L159="","",IF(V159&gt;0,INDEX('03-آذار'!$P$2:$P$501,V159),IF($AO$1=1,0,"")))</f>
        <v/>
      </c>
      <c r="Y159" s="38" t="str">
        <f t="shared" si="52"/>
        <v/>
      </c>
      <c r="Z159" s="39" t="str">
        <f>IF(L159="","",IF(V159&gt;0,INDEX('03-آذار'!$Q$2:$Q$501,V159),IF($AO$1=1,0,"")))</f>
        <v/>
      </c>
      <c r="AA159" s="39" t="str">
        <f t="shared" si="53"/>
        <v/>
      </c>
      <c r="AB159" s="40" t="str">
        <f>IF(OR(L159="",V159=0),"",IF(AND(N(I159)&gt;0,N(INDEX('03-آذار'!$I$2:$I$501,V159))&gt;0,INDEX('03-آذار'!$F$2:$F$501,V159)=F159),N(I159)/N(INDEX('03-آذار'!$I$2:$I$501,V159))-1,""))</f>
        <v/>
      </c>
      <c r="AC159" t="str">
        <f>IF(L159="","",IF(AND($AO$2=1,ISNA(MATCH(L159,'05-أيار'!$L$2:$L$501,0))),"محذوف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IF(L160="","",IF($AO$1=1,IFERROR(MATCH(L160,'03-آذار'!$L$2:$L$501,0),0),0))</f>
        <v/>
      </c>
      <c r="W160" t="str">
        <f t="shared" si="51"/>
        <v/>
      </c>
      <c r="X160" s="38" t="str">
        <f>IF(L160="","",IF(V160&gt;0,INDEX('03-آذار'!$P$2:$P$501,V160),IF($AO$1=1,0,"")))</f>
        <v/>
      </c>
      <c r="Y160" s="38" t="str">
        <f t="shared" si="52"/>
        <v/>
      </c>
      <c r="Z160" s="39" t="str">
        <f>IF(L160="","",IF(V160&gt;0,INDEX('03-آذار'!$Q$2:$Q$501,V160),IF($AO$1=1,0,"")))</f>
        <v/>
      </c>
      <c r="AA160" s="39" t="str">
        <f t="shared" si="53"/>
        <v/>
      </c>
      <c r="AB160" s="40" t="str">
        <f>IF(OR(L160="",V160=0),"",IF(AND(N(I160)&gt;0,N(INDEX('03-آذار'!$I$2:$I$501,V160))&gt;0,INDEX('03-آذار'!$F$2:$F$501,V160)=F160),N(I160)/N(INDEX('03-آذار'!$I$2:$I$501,V160))-1,""))</f>
        <v/>
      </c>
      <c r="AC160" t="str">
        <f>IF(L160="","",IF(AND($AO$2=1,ISNA(MATCH(L160,'05-أيار'!$L$2:$L$501,0))),"محذوف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IF(L161="","",IF($AO$1=1,IFERROR(MATCH(L161,'03-آذار'!$L$2:$L$501,0),0),0))</f>
        <v/>
      </c>
      <c r="W161" t="str">
        <f t="shared" si="51"/>
        <v/>
      </c>
      <c r="X161" s="38" t="str">
        <f>IF(L161="","",IF(V161&gt;0,INDEX('03-آذار'!$P$2:$P$501,V161),IF($AO$1=1,0,"")))</f>
        <v/>
      </c>
      <c r="Y161" s="38" t="str">
        <f t="shared" si="52"/>
        <v/>
      </c>
      <c r="Z161" s="39" t="str">
        <f>IF(L161="","",IF(V161&gt;0,INDEX('03-آذار'!$Q$2:$Q$501,V161),IF($AO$1=1,0,"")))</f>
        <v/>
      </c>
      <c r="AA161" s="39" t="str">
        <f t="shared" si="53"/>
        <v/>
      </c>
      <c r="AB161" s="40" t="str">
        <f>IF(OR(L161="",V161=0),"",IF(AND(N(I161)&gt;0,N(INDEX('03-آذار'!$I$2:$I$501,V161))&gt;0,INDEX('03-آذار'!$F$2:$F$501,V161)=F161),N(I161)/N(INDEX('03-آذار'!$I$2:$I$501,V161))-1,""))</f>
        <v/>
      </c>
      <c r="AC161" t="str">
        <f>IF(L161="","",IF(AND($AO$2=1,ISNA(MATCH(L161,'05-أيار'!$L$2:$L$501,0))),"محذوف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IF(L162="","",IF($AO$1=1,IFERROR(MATCH(L162,'03-آذار'!$L$2:$L$501,0),0),0))</f>
        <v/>
      </c>
      <c r="W162" t="str">
        <f t="shared" si="51"/>
        <v/>
      </c>
      <c r="X162" s="38" t="str">
        <f>IF(L162="","",IF(V162&gt;0,INDEX('03-آذار'!$P$2:$P$501,V162),IF($AO$1=1,0,"")))</f>
        <v/>
      </c>
      <c r="Y162" s="38" t="str">
        <f t="shared" si="52"/>
        <v/>
      </c>
      <c r="Z162" s="39" t="str">
        <f>IF(L162="","",IF(V162&gt;0,INDEX('03-آذار'!$Q$2:$Q$501,V162),IF($AO$1=1,0,"")))</f>
        <v/>
      </c>
      <c r="AA162" s="39" t="str">
        <f t="shared" si="53"/>
        <v/>
      </c>
      <c r="AB162" s="40" t="str">
        <f>IF(OR(L162="",V162=0),"",IF(AND(N(I162)&gt;0,N(INDEX('03-آذار'!$I$2:$I$501,V162))&gt;0,INDEX('03-آذار'!$F$2:$F$501,V162)=F162),N(I162)/N(INDEX('03-آذار'!$I$2:$I$501,V162))-1,""))</f>
        <v/>
      </c>
      <c r="AC162" t="str">
        <f>IF(L162="","",IF(AND($AO$2=1,ISNA(MATCH(L162,'05-أيار'!$L$2:$L$501,0))),"محذوف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IF(L163="","",IF($AO$1=1,IFERROR(MATCH(L163,'03-آذار'!$L$2:$L$501,0),0),0))</f>
        <v/>
      </c>
      <c r="W163" t="str">
        <f t="shared" si="51"/>
        <v/>
      </c>
      <c r="X163" s="38" t="str">
        <f>IF(L163="","",IF(V163&gt;0,INDEX('03-آذار'!$P$2:$P$501,V163),IF($AO$1=1,0,"")))</f>
        <v/>
      </c>
      <c r="Y163" s="38" t="str">
        <f t="shared" si="52"/>
        <v/>
      </c>
      <c r="Z163" s="39" t="str">
        <f>IF(L163="","",IF(V163&gt;0,INDEX('03-آذار'!$Q$2:$Q$501,V163),IF($AO$1=1,0,"")))</f>
        <v/>
      </c>
      <c r="AA163" s="39" t="str">
        <f t="shared" si="53"/>
        <v/>
      </c>
      <c r="AB163" s="40" t="str">
        <f>IF(OR(L163="",V163=0),"",IF(AND(N(I163)&gt;0,N(INDEX('03-آذار'!$I$2:$I$501,V163))&gt;0,INDEX('03-آذار'!$F$2:$F$501,V163)=F163),N(I163)/N(INDEX('03-آذار'!$I$2:$I$501,V163))-1,""))</f>
        <v/>
      </c>
      <c r="AC163" t="str">
        <f>IF(L163="","",IF(AND($AO$2=1,ISNA(MATCH(L163,'05-أيار'!$L$2:$L$501,0))),"محذوف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IF(L164="","",IF($AO$1=1,IFERROR(MATCH(L164,'03-آذار'!$L$2:$L$501,0),0),0))</f>
        <v/>
      </c>
      <c r="W164" t="str">
        <f t="shared" si="51"/>
        <v/>
      </c>
      <c r="X164" s="38" t="str">
        <f>IF(L164="","",IF(V164&gt;0,INDEX('03-آذار'!$P$2:$P$501,V164),IF($AO$1=1,0,"")))</f>
        <v/>
      </c>
      <c r="Y164" s="38" t="str">
        <f t="shared" si="52"/>
        <v/>
      </c>
      <c r="Z164" s="39" t="str">
        <f>IF(L164="","",IF(V164&gt;0,INDEX('03-آذار'!$Q$2:$Q$501,V164),IF($AO$1=1,0,"")))</f>
        <v/>
      </c>
      <c r="AA164" s="39" t="str">
        <f t="shared" si="53"/>
        <v/>
      </c>
      <c r="AB164" s="40" t="str">
        <f>IF(OR(L164="",V164=0),"",IF(AND(N(I164)&gt;0,N(INDEX('03-آذار'!$I$2:$I$501,V164))&gt;0,INDEX('03-آذار'!$F$2:$F$501,V164)=F164),N(I164)/N(INDEX('03-آذار'!$I$2:$I$501,V164))-1,""))</f>
        <v/>
      </c>
      <c r="AC164" t="str">
        <f>IF(L164="","",IF(AND($AO$2=1,ISNA(MATCH(L164,'05-أيار'!$L$2:$L$501,0))),"محذوف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IF(L165="","",IF($AO$1=1,IFERROR(MATCH(L165,'03-آذار'!$L$2:$L$501,0),0),0))</f>
        <v/>
      </c>
      <c r="W165" t="str">
        <f t="shared" si="51"/>
        <v/>
      </c>
      <c r="X165" s="38" t="str">
        <f>IF(L165="","",IF(V165&gt;0,INDEX('03-آذار'!$P$2:$P$501,V165),IF($AO$1=1,0,"")))</f>
        <v/>
      </c>
      <c r="Y165" s="38" t="str">
        <f t="shared" si="52"/>
        <v/>
      </c>
      <c r="Z165" s="39" t="str">
        <f>IF(L165="","",IF(V165&gt;0,INDEX('03-آذار'!$Q$2:$Q$501,V165),IF($AO$1=1,0,"")))</f>
        <v/>
      </c>
      <c r="AA165" s="39" t="str">
        <f t="shared" si="53"/>
        <v/>
      </c>
      <c r="AB165" s="40" t="str">
        <f>IF(OR(L165="",V165=0),"",IF(AND(N(I165)&gt;0,N(INDEX('03-آذار'!$I$2:$I$501,V165))&gt;0,INDEX('03-آذار'!$F$2:$F$501,V165)=F165),N(I165)/N(INDEX('03-آذار'!$I$2:$I$501,V165))-1,""))</f>
        <v/>
      </c>
      <c r="AC165" t="str">
        <f>IF(L165="","",IF(AND($AO$2=1,ISNA(MATCH(L165,'05-أيار'!$L$2:$L$501,0))),"محذوف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IF(L166="","",IF($AO$1=1,IFERROR(MATCH(L166,'03-آذار'!$L$2:$L$501,0),0),0))</f>
        <v/>
      </c>
      <c r="W166" t="str">
        <f t="shared" si="51"/>
        <v/>
      </c>
      <c r="X166" s="38" t="str">
        <f>IF(L166="","",IF(V166&gt;0,INDEX('03-آذار'!$P$2:$P$501,V166),IF($AO$1=1,0,"")))</f>
        <v/>
      </c>
      <c r="Y166" s="38" t="str">
        <f t="shared" si="52"/>
        <v/>
      </c>
      <c r="Z166" s="39" t="str">
        <f>IF(L166="","",IF(V166&gt;0,INDEX('03-آذار'!$Q$2:$Q$501,V166),IF($AO$1=1,0,"")))</f>
        <v/>
      </c>
      <c r="AA166" s="39" t="str">
        <f t="shared" si="53"/>
        <v/>
      </c>
      <c r="AB166" s="40" t="str">
        <f>IF(OR(L166="",V166=0),"",IF(AND(N(I166)&gt;0,N(INDEX('03-آذار'!$I$2:$I$501,V166))&gt;0,INDEX('03-آذار'!$F$2:$F$501,V166)=F166),N(I166)/N(INDEX('03-آذار'!$I$2:$I$501,V166))-1,""))</f>
        <v/>
      </c>
      <c r="AC166" t="str">
        <f>IF(L166="","",IF(AND($AO$2=1,ISNA(MATCH(L166,'05-أيار'!$L$2:$L$501,0))),"محذوف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IF(L167="","",IF($AO$1=1,IFERROR(MATCH(L167,'03-آذار'!$L$2:$L$501,0),0),0))</f>
        <v/>
      </c>
      <c r="W167" t="str">
        <f t="shared" si="51"/>
        <v/>
      </c>
      <c r="X167" s="38" t="str">
        <f>IF(L167="","",IF(V167&gt;0,INDEX('03-آذار'!$P$2:$P$501,V167),IF($AO$1=1,0,"")))</f>
        <v/>
      </c>
      <c r="Y167" s="38" t="str">
        <f t="shared" si="52"/>
        <v/>
      </c>
      <c r="Z167" s="39" t="str">
        <f>IF(L167="","",IF(V167&gt;0,INDEX('03-آذار'!$Q$2:$Q$501,V167),IF($AO$1=1,0,"")))</f>
        <v/>
      </c>
      <c r="AA167" s="39" t="str">
        <f t="shared" si="53"/>
        <v/>
      </c>
      <c r="AB167" s="40" t="str">
        <f>IF(OR(L167="",V167=0),"",IF(AND(N(I167)&gt;0,N(INDEX('03-آذار'!$I$2:$I$501,V167))&gt;0,INDEX('03-آذار'!$F$2:$F$501,V167)=F167),N(I167)/N(INDEX('03-آذار'!$I$2:$I$501,V167))-1,""))</f>
        <v/>
      </c>
      <c r="AC167" t="str">
        <f>IF(L167="","",IF(AND($AO$2=1,ISNA(MATCH(L167,'05-أيار'!$L$2:$L$501,0))),"محذوف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IF(L168="","",IF($AO$1=1,IFERROR(MATCH(L168,'03-آذار'!$L$2:$L$501,0),0),0))</f>
        <v/>
      </c>
      <c r="W168" t="str">
        <f t="shared" si="51"/>
        <v/>
      </c>
      <c r="X168" s="38" t="str">
        <f>IF(L168="","",IF(V168&gt;0,INDEX('03-آذار'!$P$2:$P$501,V168),IF($AO$1=1,0,"")))</f>
        <v/>
      </c>
      <c r="Y168" s="38" t="str">
        <f t="shared" si="52"/>
        <v/>
      </c>
      <c r="Z168" s="39" t="str">
        <f>IF(L168="","",IF(V168&gt;0,INDEX('03-آذار'!$Q$2:$Q$501,V168),IF($AO$1=1,0,"")))</f>
        <v/>
      </c>
      <c r="AA168" s="39" t="str">
        <f t="shared" si="53"/>
        <v/>
      </c>
      <c r="AB168" s="40" t="str">
        <f>IF(OR(L168="",V168=0),"",IF(AND(N(I168)&gt;0,N(INDEX('03-آذار'!$I$2:$I$501,V168))&gt;0,INDEX('03-آذار'!$F$2:$F$501,V168)=F168),N(I168)/N(INDEX('03-آذار'!$I$2:$I$501,V168))-1,""))</f>
        <v/>
      </c>
      <c r="AC168" t="str">
        <f>IF(L168="","",IF(AND($AO$2=1,ISNA(MATCH(L168,'05-أيار'!$L$2:$L$501,0))),"محذوف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IF(L169="","",IF($AO$1=1,IFERROR(MATCH(L169,'03-آذار'!$L$2:$L$501,0),0),0))</f>
        <v/>
      </c>
      <c r="W169" t="str">
        <f t="shared" si="51"/>
        <v/>
      </c>
      <c r="X169" s="38" t="str">
        <f>IF(L169="","",IF(V169&gt;0,INDEX('03-آذار'!$P$2:$P$501,V169),IF($AO$1=1,0,"")))</f>
        <v/>
      </c>
      <c r="Y169" s="38" t="str">
        <f t="shared" si="52"/>
        <v/>
      </c>
      <c r="Z169" s="39" t="str">
        <f>IF(L169="","",IF(V169&gt;0,INDEX('03-آذار'!$Q$2:$Q$501,V169),IF($AO$1=1,0,"")))</f>
        <v/>
      </c>
      <c r="AA169" s="39" t="str">
        <f t="shared" si="53"/>
        <v/>
      </c>
      <c r="AB169" s="40" t="str">
        <f>IF(OR(L169="",V169=0),"",IF(AND(N(I169)&gt;0,N(INDEX('03-آذار'!$I$2:$I$501,V169))&gt;0,INDEX('03-آذار'!$F$2:$F$501,V169)=F169),N(I169)/N(INDEX('03-آذار'!$I$2:$I$501,V169))-1,""))</f>
        <v/>
      </c>
      <c r="AC169" t="str">
        <f>IF(L169="","",IF(AND($AO$2=1,ISNA(MATCH(L169,'05-أيار'!$L$2:$L$501,0))),"محذوف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IF(L170="","",IF($AO$1=1,IFERROR(MATCH(L170,'03-آذار'!$L$2:$L$501,0),0),0))</f>
        <v/>
      </c>
      <c r="W170" t="str">
        <f t="shared" si="51"/>
        <v/>
      </c>
      <c r="X170" s="38" t="str">
        <f>IF(L170="","",IF(V170&gt;0,INDEX('03-آذار'!$P$2:$P$501,V170),IF($AO$1=1,0,"")))</f>
        <v/>
      </c>
      <c r="Y170" s="38" t="str">
        <f t="shared" si="52"/>
        <v/>
      </c>
      <c r="Z170" s="39" t="str">
        <f>IF(L170="","",IF(V170&gt;0,INDEX('03-آذار'!$Q$2:$Q$501,V170),IF($AO$1=1,0,"")))</f>
        <v/>
      </c>
      <c r="AA170" s="39" t="str">
        <f t="shared" si="53"/>
        <v/>
      </c>
      <c r="AB170" s="40" t="str">
        <f>IF(OR(L170="",V170=0),"",IF(AND(N(I170)&gt;0,N(INDEX('03-آذار'!$I$2:$I$501,V170))&gt;0,INDEX('03-آذار'!$F$2:$F$501,V170)=F170),N(I170)/N(INDEX('03-آذار'!$I$2:$I$501,V170))-1,""))</f>
        <v/>
      </c>
      <c r="AC170" t="str">
        <f>IF(L170="","",IF(AND($AO$2=1,ISNA(MATCH(L170,'05-أيار'!$L$2:$L$501,0))),"محذوف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IF(L171="","",IF($AO$1=1,IFERROR(MATCH(L171,'03-آذار'!$L$2:$L$501,0),0),0))</f>
        <v/>
      </c>
      <c r="W171" t="str">
        <f t="shared" si="51"/>
        <v/>
      </c>
      <c r="X171" s="38" t="str">
        <f>IF(L171="","",IF(V171&gt;0,INDEX('03-آذار'!$P$2:$P$501,V171),IF($AO$1=1,0,"")))</f>
        <v/>
      </c>
      <c r="Y171" s="38" t="str">
        <f t="shared" si="52"/>
        <v/>
      </c>
      <c r="Z171" s="39" t="str">
        <f>IF(L171="","",IF(V171&gt;0,INDEX('03-آذار'!$Q$2:$Q$501,V171),IF($AO$1=1,0,"")))</f>
        <v/>
      </c>
      <c r="AA171" s="39" t="str">
        <f t="shared" si="53"/>
        <v/>
      </c>
      <c r="AB171" s="40" t="str">
        <f>IF(OR(L171="",V171=0),"",IF(AND(N(I171)&gt;0,N(INDEX('03-آذار'!$I$2:$I$501,V171))&gt;0,INDEX('03-آذار'!$F$2:$F$501,V171)=F171),N(I171)/N(INDEX('03-آذار'!$I$2:$I$501,V171))-1,""))</f>
        <v/>
      </c>
      <c r="AC171" t="str">
        <f>IF(L171="","",IF(AND($AO$2=1,ISNA(MATCH(L171,'05-أيار'!$L$2:$L$501,0))),"محذوف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IF(L172="","",IF($AO$1=1,IFERROR(MATCH(L172,'03-آذار'!$L$2:$L$501,0),0),0))</f>
        <v/>
      </c>
      <c r="W172" t="str">
        <f t="shared" si="51"/>
        <v/>
      </c>
      <c r="X172" s="38" t="str">
        <f>IF(L172="","",IF(V172&gt;0,INDEX('03-آذار'!$P$2:$P$501,V172),IF($AO$1=1,0,"")))</f>
        <v/>
      </c>
      <c r="Y172" s="38" t="str">
        <f t="shared" si="52"/>
        <v/>
      </c>
      <c r="Z172" s="39" t="str">
        <f>IF(L172="","",IF(V172&gt;0,INDEX('03-آذار'!$Q$2:$Q$501,V172),IF($AO$1=1,0,"")))</f>
        <v/>
      </c>
      <c r="AA172" s="39" t="str">
        <f t="shared" si="53"/>
        <v/>
      </c>
      <c r="AB172" s="40" t="str">
        <f>IF(OR(L172="",V172=0),"",IF(AND(N(I172)&gt;0,N(INDEX('03-آذار'!$I$2:$I$501,V172))&gt;0,INDEX('03-آذار'!$F$2:$F$501,V172)=F172),N(I172)/N(INDEX('03-آذار'!$I$2:$I$501,V172))-1,""))</f>
        <v/>
      </c>
      <c r="AC172" t="str">
        <f>IF(L172="","",IF(AND($AO$2=1,ISNA(MATCH(L172,'05-أيار'!$L$2:$L$501,0))),"محذوف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IF(L173="","",IF($AO$1=1,IFERROR(MATCH(L173,'03-آذار'!$L$2:$L$501,0),0),0))</f>
        <v/>
      </c>
      <c r="W173" t="str">
        <f t="shared" si="51"/>
        <v/>
      </c>
      <c r="X173" s="38" t="str">
        <f>IF(L173="","",IF(V173&gt;0,INDEX('03-آذار'!$P$2:$P$501,V173),IF($AO$1=1,0,"")))</f>
        <v/>
      </c>
      <c r="Y173" s="38" t="str">
        <f t="shared" si="52"/>
        <v/>
      </c>
      <c r="Z173" s="39" t="str">
        <f>IF(L173="","",IF(V173&gt;0,INDEX('03-آذار'!$Q$2:$Q$501,V173),IF($AO$1=1,0,"")))</f>
        <v/>
      </c>
      <c r="AA173" s="39" t="str">
        <f t="shared" si="53"/>
        <v/>
      </c>
      <c r="AB173" s="40" t="str">
        <f>IF(OR(L173="",V173=0),"",IF(AND(N(I173)&gt;0,N(INDEX('03-آذار'!$I$2:$I$501,V173))&gt;0,INDEX('03-آذار'!$F$2:$F$501,V173)=F173),N(I173)/N(INDEX('03-آذار'!$I$2:$I$501,V173))-1,""))</f>
        <v/>
      </c>
      <c r="AC173" t="str">
        <f>IF(L173="","",IF(AND($AO$2=1,ISNA(MATCH(L173,'05-أيار'!$L$2:$L$501,0))),"محذوف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IF(L174="","",IF($AO$1=1,IFERROR(MATCH(L174,'03-آذار'!$L$2:$L$501,0),0),0))</f>
        <v/>
      </c>
      <c r="W174" t="str">
        <f t="shared" si="51"/>
        <v/>
      </c>
      <c r="X174" s="38" t="str">
        <f>IF(L174="","",IF(V174&gt;0,INDEX('03-آذار'!$P$2:$P$501,V174),IF($AO$1=1,0,"")))</f>
        <v/>
      </c>
      <c r="Y174" s="38" t="str">
        <f t="shared" si="52"/>
        <v/>
      </c>
      <c r="Z174" s="39" t="str">
        <f>IF(L174="","",IF(V174&gt;0,INDEX('03-آذار'!$Q$2:$Q$501,V174),IF($AO$1=1,0,"")))</f>
        <v/>
      </c>
      <c r="AA174" s="39" t="str">
        <f t="shared" si="53"/>
        <v/>
      </c>
      <c r="AB174" s="40" t="str">
        <f>IF(OR(L174="",V174=0),"",IF(AND(N(I174)&gt;0,N(INDEX('03-آذار'!$I$2:$I$501,V174))&gt;0,INDEX('03-آذار'!$F$2:$F$501,V174)=F174),N(I174)/N(INDEX('03-آذار'!$I$2:$I$501,V174))-1,""))</f>
        <v/>
      </c>
      <c r="AC174" t="str">
        <f>IF(L174="","",IF(AND($AO$2=1,ISNA(MATCH(L174,'05-أيار'!$L$2:$L$501,0))),"محذوف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IF(L175="","",IF($AO$1=1,IFERROR(MATCH(L175,'03-آذار'!$L$2:$L$501,0),0),0))</f>
        <v/>
      </c>
      <c r="W175" t="str">
        <f t="shared" si="51"/>
        <v/>
      </c>
      <c r="X175" s="38" t="str">
        <f>IF(L175="","",IF(V175&gt;0,INDEX('03-آذار'!$P$2:$P$501,V175),IF($AO$1=1,0,"")))</f>
        <v/>
      </c>
      <c r="Y175" s="38" t="str">
        <f t="shared" si="52"/>
        <v/>
      </c>
      <c r="Z175" s="39" t="str">
        <f>IF(L175="","",IF(V175&gt;0,INDEX('03-آذار'!$Q$2:$Q$501,V175),IF($AO$1=1,0,"")))</f>
        <v/>
      </c>
      <c r="AA175" s="39" t="str">
        <f t="shared" si="53"/>
        <v/>
      </c>
      <c r="AB175" s="40" t="str">
        <f>IF(OR(L175="",V175=0),"",IF(AND(N(I175)&gt;0,N(INDEX('03-آذار'!$I$2:$I$501,V175))&gt;0,INDEX('03-آذار'!$F$2:$F$501,V175)=F175),N(I175)/N(INDEX('03-آذار'!$I$2:$I$501,V175))-1,""))</f>
        <v/>
      </c>
      <c r="AC175" t="str">
        <f>IF(L175="","",IF(AND($AO$2=1,ISNA(MATCH(L175,'05-أيار'!$L$2:$L$501,0))),"محذوف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IF(L176="","",IF($AO$1=1,IFERROR(MATCH(L176,'03-آذار'!$L$2:$L$501,0),0),0))</f>
        <v/>
      </c>
      <c r="W176" t="str">
        <f t="shared" si="51"/>
        <v/>
      </c>
      <c r="X176" s="38" t="str">
        <f>IF(L176="","",IF(V176&gt;0,INDEX('03-آذار'!$P$2:$P$501,V176),IF($AO$1=1,0,"")))</f>
        <v/>
      </c>
      <c r="Y176" s="38" t="str">
        <f t="shared" si="52"/>
        <v/>
      </c>
      <c r="Z176" s="39" t="str">
        <f>IF(L176="","",IF(V176&gt;0,INDEX('03-آذار'!$Q$2:$Q$501,V176),IF($AO$1=1,0,"")))</f>
        <v/>
      </c>
      <c r="AA176" s="39" t="str">
        <f t="shared" si="53"/>
        <v/>
      </c>
      <c r="AB176" s="40" t="str">
        <f>IF(OR(L176="",V176=0),"",IF(AND(N(I176)&gt;0,N(INDEX('03-آذار'!$I$2:$I$501,V176))&gt;0,INDEX('03-آذار'!$F$2:$F$501,V176)=F176),N(I176)/N(INDEX('03-آذار'!$I$2:$I$501,V176))-1,""))</f>
        <v/>
      </c>
      <c r="AC176" t="str">
        <f>IF(L176="","",IF(AND($AO$2=1,ISNA(MATCH(L176,'05-أيار'!$L$2:$L$501,0))),"محذوف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IF(L177="","",IF($AO$1=1,IFERROR(MATCH(L177,'03-آذار'!$L$2:$L$501,0),0),0))</f>
        <v/>
      </c>
      <c r="W177" t="str">
        <f t="shared" si="51"/>
        <v/>
      </c>
      <c r="X177" s="38" t="str">
        <f>IF(L177="","",IF(V177&gt;0,INDEX('03-آذار'!$P$2:$P$501,V177),IF($AO$1=1,0,"")))</f>
        <v/>
      </c>
      <c r="Y177" s="38" t="str">
        <f t="shared" si="52"/>
        <v/>
      </c>
      <c r="Z177" s="39" t="str">
        <f>IF(L177="","",IF(V177&gt;0,INDEX('03-آذار'!$Q$2:$Q$501,V177),IF($AO$1=1,0,"")))</f>
        <v/>
      </c>
      <c r="AA177" s="39" t="str">
        <f t="shared" si="53"/>
        <v/>
      </c>
      <c r="AB177" s="40" t="str">
        <f>IF(OR(L177="",V177=0),"",IF(AND(N(I177)&gt;0,N(INDEX('03-آذار'!$I$2:$I$501,V177))&gt;0,INDEX('03-آذار'!$F$2:$F$501,V177)=F177),N(I177)/N(INDEX('03-آذار'!$I$2:$I$501,V177))-1,""))</f>
        <v/>
      </c>
      <c r="AC177" t="str">
        <f>IF(L177="","",IF(AND($AO$2=1,ISNA(MATCH(L177,'05-أيار'!$L$2:$L$501,0))),"محذوف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IF(L178="","",IF($AO$1=1,IFERROR(MATCH(L178,'03-آذار'!$L$2:$L$501,0),0),0))</f>
        <v/>
      </c>
      <c r="W178" t="str">
        <f t="shared" si="51"/>
        <v/>
      </c>
      <c r="X178" s="38" t="str">
        <f>IF(L178="","",IF(V178&gt;0,INDEX('03-آذار'!$P$2:$P$501,V178),IF($AO$1=1,0,"")))</f>
        <v/>
      </c>
      <c r="Y178" s="38" t="str">
        <f t="shared" si="52"/>
        <v/>
      </c>
      <c r="Z178" s="39" t="str">
        <f>IF(L178="","",IF(V178&gt;0,INDEX('03-آذار'!$Q$2:$Q$501,V178),IF($AO$1=1,0,"")))</f>
        <v/>
      </c>
      <c r="AA178" s="39" t="str">
        <f t="shared" si="53"/>
        <v/>
      </c>
      <c r="AB178" s="40" t="str">
        <f>IF(OR(L178="",V178=0),"",IF(AND(N(I178)&gt;0,N(INDEX('03-آذار'!$I$2:$I$501,V178))&gt;0,INDEX('03-آذار'!$F$2:$F$501,V178)=F178),N(I178)/N(INDEX('03-آذار'!$I$2:$I$501,V178))-1,""))</f>
        <v/>
      </c>
      <c r="AC178" t="str">
        <f>IF(L178="","",IF(AND($AO$2=1,ISNA(MATCH(L178,'05-أيار'!$L$2:$L$501,0))),"محذوف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IF(L179="","",IF($AO$1=1,IFERROR(MATCH(L179,'03-آذار'!$L$2:$L$501,0),0),0))</f>
        <v/>
      </c>
      <c r="W179" t="str">
        <f t="shared" si="51"/>
        <v/>
      </c>
      <c r="X179" s="38" t="str">
        <f>IF(L179="","",IF(V179&gt;0,INDEX('03-آذار'!$P$2:$P$501,V179),IF($AO$1=1,0,"")))</f>
        <v/>
      </c>
      <c r="Y179" s="38" t="str">
        <f t="shared" si="52"/>
        <v/>
      </c>
      <c r="Z179" s="39" t="str">
        <f>IF(L179="","",IF(V179&gt;0,INDEX('03-آذار'!$Q$2:$Q$501,V179),IF($AO$1=1,0,"")))</f>
        <v/>
      </c>
      <c r="AA179" s="39" t="str">
        <f t="shared" si="53"/>
        <v/>
      </c>
      <c r="AB179" s="40" t="str">
        <f>IF(OR(L179="",V179=0),"",IF(AND(N(I179)&gt;0,N(INDEX('03-آذار'!$I$2:$I$501,V179))&gt;0,INDEX('03-آذار'!$F$2:$F$501,V179)=F179),N(I179)/N(INDEX('03-آذار'!$I$2:$I$501,V179))-1,""))</f>
        <v/>
      </c>
      <c r="AC179" t="str">
        <f>IF(L179="","",IF(AND($AO$2=1,ISNA(MATCH(L179,'05-أيار'!$L$2:$L$501,0))),"محذوف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IF(L180="","",IF($AO$1=1,IFERROR(MATCH(L180,'03-آذار'!$L$2:$L$501,0),0),0))</f>
        <v/>
      </c>
      <c r="W180" t="str">
        <f t="shared" si="51"/>
        <v/>
      </c>
      <c r="X180" s="38" t="str">
        <f>IF(L180="","",IF(V180&gt;0,INDEX('03-آذار'!$P$2:$P$501,V180),IF($AO$1=1,0,"")))</f>
        <v/>
      </c>
      <c r="Y180" s="38" t="str">
        <f t="shared" si="52"/>
        <v/>
      </c>
      <c r="Z180" s="39" t="str">
        <f>IF(L180="","",IF(V180&gt;0,INDEX('03-آذار'!$Q$2:$Q$501,V180),IF($AO$1=1,0,"")))</f>
        <v/>
      </c>
      <c r="AA180" s="39" t="str">
        <f t="shared" si="53"/>
        <v/>
      </c>
      <c r="AB180" s="40" t="str">
        <f>IF(OR(L180="",V180=0),"",IF(AND(N(I180)&gt;0,N(INDEX('03-آذار'!$I$2:$I$501,V180))&gt;0,INDEX('03-آذار'!$F$2:$F$501,V180)=F180),N(I180)/N(INDEX('03-آذار'!$I$2:$I$501,V180))-1,""))</f>
        <v/>
      </c>
      <c r="AC180" t="str">
        <f>IF(L180="","",IF(AND($AO$2=1,ISNA(MATCH(L180,'05-أيار'!$L$2:$L$501,0))),"محذوف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IF(L181="","",IF($AO$1=1,IFERROR(MATCH(L181,'03-آذار'!$L$2:$L$501,0),0),0))</f>
        <v/>
      </c>
      <c r="W181" t="str">
        <f t="shared" si="51"/>
        <v/>
      </c>
      <c r="X181" s="38" t="str">
        <f>IF(L181="","",IF(V181&gt;0,INDEX('03-آذار'!$P$2:$P$501,V181),IF($AO$1=1,0,"")))</f>
        <v/>
      </c>
      <c r="Y181" s="38" t="str">
        <f t="shared" si="52"/>
        <v/>
      </c>
      <c r="Z181" s="39" t="str">
        <f>IF(L181="","",IF(V181&gt;0,INDEX('03-آذار'!$Q$2:$Q$501,V181),IF($AO$1=1,0,"")))</f>
        <v/>
      </c>
      <c r="AA181" s="39" t="str">
        <f t="shared" si="53"/>
        <v/>
      </c>
      <c r="AB181" s="40" t="str">
        <f>IF(OR(L181="",V181=0),"",IF(AND(N(I181)&gt;0,N(INDEX('03-آذار'!$I$2:$I$501,V181))&gt;0,INDEX('03-آذار'!$F$2:$F$501,V181)=F181),N(I181)/N(INDEX('03-آذار'!$I$2:$I$501,V181))-1,""))</f>
        <v/>
      </c>
      <c r="AC181" t="str">
        <f>IF(L181="","",IF(AND($AO$2=1,ISNA(MATCH(L181,'05-أيار'!$L$2:$L$501,0))),"محذوف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IF(L182="","",IF($AO$1=1,IFERROR(MATCH(L182,'03-آذار'!$L$2:$L$501,0),0),0))</f>
        <v/>
      </c>
      <c r="W182" t="str">
        <f t="shared" si="51"/>
        <v/>
      </c>
      <c r="X182" s="38" t="str">
        <f>IF(L182="","",IF(V182&gt;0,INDEX('03-آذار'!$P$2:$P$501,V182),IF($AO$1=1,0,"")))</f>
        <v/>
      </c>
      <c r="Y182" s="38" t="str">
        <f t="shared" si="52"/>
        <v/>
      </c>
      <c r="Z182" s="39" t="str">
        <f>IF(L182="","",IF(V182&gt;0,INDEX('03-آذار'!$Q$2:$Q$501,V182),IF($AO$1=1,0,"")))</f>
        <v/>
      </c>
      <c r="AA182" s="39" t="str">
        <f t="shared" si="53"/>
        <v/>
      </c>
      <c r="AB182" s="40" t="str">
        <f>IF(OR(L182="",V182=0),"",IF(AND(N(I182)&gt;0,N(INDEX('03-آذار'!$I$2:$I$501,V182))&gt;0,INDEX('03-آذار'!$F$2:$F$501,V182)=F182),N(I182)/N(INDEX('03-آذار'!$I$2:$I$501,V182))-1,""))</f>
        <v/>
      </c>
      <c r="AC182" t="str">
        <f>IF(L182="","",IF(AND($AO$2=1,ISNA(MATCH(L182,'05-أيار'!$L$2:$L$501,0))),"محذوف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IF(L183="","",IF($AO$1=1,IFERROR(MATCH(L183,'03-آذار'!$L$2:$L$501,0),0),0))</f>
        <v/>
      </c>
      <c r="W183" t="str">
        <f t="shared" si="51"/>
        <v/>
      </c>
      <c r="X183" s="38" t="str">
        <f>IF(L183="","",IF(V183&gt;0,INDEX('03-آذار'!$P$2:$P$501,V183),IF($AO$1=1,0,"")))</f>
        <v/>
      </c>
      <c r="Y183" s="38" t="str">
        <f t="shared" si="52"/>
        <v/>
      </c>
      <c r="Z183" s="39" t="str">
        <f>IF(L183="","",IF(V183&gt;0,INDEX('03-آذار'!$Q$2:$Q$501,V183),IF($AO$1=1,0,"")))</f>
        <v/>
      </c>
      <c r="AA183" s="39" t="str">
        <f t="shared" si="53"/>
        <v/>
      </c>
      <c r="AB183" s="40" t="str">
        <f>IF(OR(L183="",V183=0),"",IF(AND(N(I183)&gt;0,N(INDEX('03-آذار'!$I$2:$I$501,V183))&gt;0,INDEX('03-آذار'!$F$2:$F$501,V183)=F183),N(I183)/N(INDEX('03-آذار'!$I$2:$I$501,V183))-1,""))</f>
        <v/>
      </c>
      <c r="AC183" t="str">
        <f>IF(L183="","",IF(AND($AO$2=1,ISNA(MATCH(L183,'05-أيار'!$L$2:$L$501,0))),"محذوف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IF(L184="","",IF($AO$1=1,IFERROR(MATCH(L184,'03-آذار'!$L$2:$L$501,0),0),0))</f>
        <v/>
      </c>
      <c r="W184" t="str">
        <f t="shared" si="51"/>
        <v/>
      </c>
      <c r="X184" s="38" t="str">
        <f>IF(L184="","",IF(V184&gt;0,INDEX('03-آذار'!$P$2:$P$501,V184),IF($AO$1=1,0,"")))</f>
        <v/>
      </c>
      <c r="Y184" s="38" t="str">
        <f t="shared" si="52"/>
        <v/>
      </c>
      <c r="Z184" s="39" t="str">
        <f>IF(L184="","",IF(V184&gt;0,INDEX('03-آذار'!$Q$2:$Q$501,V184),IF($AO$1=1,0,"")))</f>
        <v/>
      </c>
      <c r="AA184" s="39" t="str">
        <f t="shared" si="53"/>
        <v/>
      </c>
      <c r="AB184" s="40" t="str">
        <f>IF(OR(L184="",V184=0),"",IF(AND(N(I184)&gt;0,N(INDEX('03-آذار'!$I$2:$I$501,V184))&gt;0,INDEX('03-آذار'!$F$2:$F$501,V184)=F184),N(I184)/N(INDEX('03-آذار'!$I$2:$I$501,V184))-1,""))</f>
        <v/>
      </c>
      <c r="AC184" t="str">
        <f>IF(L184="","",IF(AND($AO$2=1,ISNA(MATCH(L184,'05-أيار'!$L$2:$L$501,0))),"محذوف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IF(L185="","",IF($AO$1=1,IFERROR(MATCH(L185,'03-آذار'!$L$2:$L$501,0),0),0))</f>
        <v/>
      </c>
      <c r="W185" t="str">
        <f t="shared" si="51"/>
        <v/>
      </c>
      <c r="X185" s="38" t="str">
        <f>IF(L185="","",IF(V185&gt;0,INDEX('03-آذار'!$P$2:$P$501,V185),IF($AO$1=1,0,"")))</f>
        <v/>
      </c>
      <c r="Y185" s="38" t="str">
        <f t="shared" si="52"/>
        <v/>
      </c>
      <c r="Z185" s="39" t="str">
        <f>IF(L185="","",IF(V185&gt;0,INDEX('03-آذار'!$Q$2:$Q$501,V185),IF($AO$1=1,0,"")))</f>
        <v/>
      </c>
      <c r="AA185" s="39" t="str">
        <f t="shared" si="53"/>
        <v/>
      </c>
      <c r="AB185" s="40" t="str">
        <f>IF(OR(L185="",V185=0),"",IF(AND(N(I185)&gt;0,N(INDEX('03-آذار'!$I$2:$I$501,V185))&gt;0,INDEX('03-آذار'!$F$2:$F$501,V185)=F185),N(I185)/N(INDEX('03-آذار'!$I$2:$I$501,V185))-1,""))</f>
        <v/>
      </c>
      <c r="AC185" t="str">
        <f>IF(L185="","",IF(AND($AO$2=1,ISNA(MATCH(L185,'05-أيار'!$L$2:$L$501,0))),"محذوف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IF(L186="","",IF($AO$1=1,IFERROR(MATCH(L186,'03-آذار'!$L$2:$L$501,0),0),0))</f>
        <v/>
      </c>
      <c r="W186" t="str">
        <f t="shared" si="51"/>
        <v/>
      </c>
      <c r="X186" s="38" t="str">
        <f>IF(L186="","",IF(V186&gt;0,INDEX('03-آذار'!$P$2:$P$501,V186),IF($AO$1=1,0,"")))</f>
        <v/>
      </c>
      <c r="Y186" s="38" t="str">
        <f t="shared" si="52"/>
        <v/>
      </c>
      <c r="Z186" s="39" t="str">
        <f>IF(L186="","",IF(V186&gt;0,INDEX('03-آذار'!$Q$2:$Q$501,V186),IF($AO$1=1,0,"")))</f>
        <v/>
      </c>
      <c r="AA186" s="39" t="str">
        <f t="shared" si="53"/>
        <v/>
      </c>
      <c r="AB186" s="40" t="str">
        <f>IF(OR(L186="",V186=0),"",IF(AND(N(I186)&gt;0,N(INDEX('03-آذار'!$I$2:$I$501,V186))&gt;0,INDEX('03-آذار'!$F$2:$F$501,V186)=F186),N(I186)/N(INDEX('03-آذار'!$I$2:$I$501,V186))-1,""))</f>
        <v/>
      </c>
      <c r="AC186" t="str">
        <f>IF(L186="","",IF(AND($AO$2=1,ISNA(MATCH(L186,'05-أيار'!$L$2:$L$501,0))),"محذوف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IF(L187="","",IF($AO$1=1,IFERROR(MATCH(L187,'03-آذار'!$L$2:$L$501,0),0),0))</f>
        <v/>
      </c>
      <c r="W187" t="str">
        <f t="shared" si="51"/>
        <v/>
      </c>
      <c r="X187" s="38" t="str">
        <f>IF(L187="","",IF(V187&gt;0,INDEX('03-آذار'!$P$2:$P$501,V187),IF($AO$1=1,0,"")))</f>
        <v/>
      </c>
      <c r="Y187" s="38" t="str">
        <f t="shared" si="52"/>
        <v/>
      </c>
      <c r="Z187" s="39" t="str">
        <f>IF(L187="","",IF(V187&gt;0,INDEX('03-آذار'!$Q$2:$Q$501,V187),IF($AO$1=1,0,"")))</f>
        <v/>
      </c>
      <c r="AA187" s="39" t="str">
        <f t="shared" si="53"/>
        <v/>
      </c>
      <c r="AB187" s="40" t="str">
        <f>IF(OR(L187="",V187=0),"",IF(AND(N(I187)&gt;0,N(INDEX('03-آذار'!$I$2:$I$501,V187))&gt;0,INDEX('03-آذار'!$F$2:$F$501,V187)=F187),N(I187)/N(INDEX('03-آذار'!$I$2:$I$501,V187))-1,""))</f>
        <v/>
      </c>
      <c r="AC187" t="str">
        <f>IF(L187="","",IF(AND($AO$2=1,ISNA(MATCH(L187,'05-أيار'!$L$2:$L$501,0))),"محذوف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IF(L188="","",IF($AO$1=1,IFERROR(MATCH(L188,'03-آذار'!$L$2:$L$501,0),0),0))</f>
        <v/>
      </c>
      <c r="W188" t="str">
        <f t="shared" si="51"/>
        <v/>
      </c>
      <c r="X188" s="38" t="str">
        <f>IF(L188="","",IF(V188&gt;0,INDEX('03-آذار'!$P$2:$P$501,V188),IF($AO$1=1,0,"")))</f>
        <v/>
      </c>
      <c r="Y188" s="38" t="str">
        <f t="shared" si="52"/>
        <v/>
      </c>
      <c r="Z188" s="39" t="str">
        <f>IF(L188="","",IF(V188&gt;0,INDEX('03-آذار'!$Q$2:$Q$501,V188),IF($AO$1=1,0,"")))</f>
        <v/>
      </c>
      <c r="AA188" s="39" t="str">
        <f t="shared" si="53"/>
        <v/>
      </c>
      <c r="AB188" s="40" t="str">
        <f>IF(OR(L188="",V188=0),"",IF(AND(N(I188)&gt;0,N(INDEX('03-آذار'!$I$2:$I$501,V188))&gt;0,INDEX('03-آذار'!$F$2:$F$501,V188)=F188),N(I188)/N(INDEX('03-آذار'!$I$2:$I$501,V188))-1,""))</f>
        <v/>
      </c>
      <c r="AC188" t="str">
        <f>IF(L188="","",IF(AND($AO$2=1,ISNA(MATCH(L188,'05-أيار'!$L$2:$L$501,0))),"محذوف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IF(L189="","",IF($AO$1=1,IFERROR(MATCH(L189,'03-آذار'!$L$2:$L$501,0),0),0))</f>
        <v/>
      </c>
      <c r="W189" t="str">
        <f t="shared" si="51"/>
        <v/>
      </c>
      <c r="X189" s="38" t="str">
        <f>IF(L189="","",IF(V189&gt;0,INDEX('03-آذار'!$P$2:$P$501,V189),IF($AO$1=1,0,"")))</f>
        <v/>
      </c>
      <c r="Y189" s="38" t="str">
        <f t="shared" si="52"/>
        <v/>
      </c>
      <c r="Z189" s="39" t="str">
        <f>IF(L189="","",IF(V189&gt;0,INDEX('03-آذار'!$Q$2:$Q$501,V189),IF($AO$1=1,0,"")))</f>
        <v/>
      </c>
      <c r="AA189" s="39" t="str">
        <f t="shared" si="53"/>
        <v/>
      </c>
      <c r="AB189" s="40" t="str">
        <f>IF(OR(L189="",V189=0),"",IF(AND(N(I189)&gt;0,N(INDEX('03-آذار'!$I$2:$I$501,V189))&gt;0,INDEX('03-آذار'!$F$2:$F$501,V189)=F189),N(I189)/N(INDEX('03-آذار'!$I$2:$I$501,V189))-1,""))</f>
        <v/>
      </c>
      <c r="AC189" t="str">
        <f>IF(L189="","",IF(AND($AO$2=1,ISNA(MATCH(L189,'05-أيار'!$L$2:$L$501,0))),"محذوف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IF(L190="","",IF($AO$1=1,IFERROR(MATCH(L190,'03-آذار'!$L$2:$L$501,0),0),0))</f>
        <v/>
      </c>
      <c r="W190" t="str">
        <f t="shared" si="51"/>
        <v/>
      </c>
      <c r="X190" s="38" t="str">
        <f>IF(L190="","",IF(V190&gt;0,INDEX('03-آذار'!$P$2:$P$501,V190),IF($AO$1=1,0,"")))</f>
        <v/>
      </c>
      <c r="Y190" s="38" t="str">
        <f t="shared" si="52"/>
        <v/>
      </c>
      <c r="Z190" s="39" t="str">
        <f>IF(L190="","",IF(V190&gt;0,INDEX('03-آذار'!$Q$2:$Q$501,V190),IF($AO$1=1,0,"")))</f>
        <v/>
      </c>
      <c r="AA190" s="39" t="str">
        <f t="shared" si="53"/>
        <v/>
      </c>
      <c r="AB190" s="40" t="str">
        <f>IF(OR(L190="",V190=0),"",IF(AND(N(I190)&gt;0,N(INDEX('03-آذار'!$I$2:$I$501,V190))&gt;0,INDEX('03-آذار'!$F$2:$F$501,V190)=F190),N(I190)/N(INDEX('03-آذار'!$I$2:$I$501,V190))-1,""))</f>
        <v/>
      </c>
      <c r="AC190" t="str">
        <f>IF(L190="","",IF(AND($AO$2=1,ISNA(MATCH(L190,'05-أيار'!$L$2:$L$501,0))),"محذوف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IF(L191="","",IF($AO$1=1,IFERROR(MATCH(L191,'03-آذار'!$L$2:$L$501,0),0),0))</f>
        <v/>
      </c>
      <c r="W191" t="str">
        <f t="shared" si="51"/>
        <v/>
      </c>
      <c r="X191" s="38" t="str">
        <f>IF(L191="","",IF(V191&gt;0,INDEX('03-آذار'!$P$2:$P$501,V191),IF($AO$1=1,0,"")))</f>
        <v/>
      </c>
      <c r="Y191" s="38" t="str">
        <f t="shared" si="52"/>
        <v/>
      </c>
      <c r="Z191" s="39" t="str">
        <f>IF(L191="","",IF(V191&gt;0,INDEX('03-آذار'!$Q$2:$Q$501,V191),IF($AO$1=1,0,"")))</f>
        <v/>
      </c>
      <c r="AA191" s="39" t="str">
        <f t="shared" si="53"/>
        <v/>
      </c>
      <c r="AB191" s="40" t="str">
        <f>IF(OR(L191="",V191=0),"",IF(AND(N(I191)&gt;0,N(INDEX('03-آذار'!$I$2:$I$501,V191))&gt;0,INDEX('03-آذار'!$F$2:$F$501,V191)=F191),N(I191)/N(INDEX('03-آذار'!$I$2:$I$501,V191))-1,""))</f>
        <v/>
      </c>
      <c r="AC191" t="str">
        <f>IF(L191="","",IF(AND($AO$2=1,ISNA(MATCH(L191,'05-أيار'!$L$2:$L$501,0))),"محذوف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IF(L192="","",IF($AO$1=1,IFERROR(MATCH(L192,'03-آذار'!$L$2:$L$501,0),0),0))</f>
        <v/>
      </c>
      <c r="W192" t="str">
        <f t="shared" si="51"/>
        <v/>
      </c>
      <c r="X192" s="38" t="str">
        <f>IF(L192="","",IF(V192&gt;0,INDEX('03-آذار'!$P$2:$P$501,V192),IF($AO$1=1,0,"")))</f>
        <v/>
      </c>
      <c r="Y192" s="38" t="str">
        <f t="shared" si="52"/>
        <v/>
      </c>
      <c r="Z192" s="39" t="str">
        <f>IF(L192="","",IF(V192&gt;0,INDEX('03-آذار'!$Q$2:$Q$501,V192),IF($AO$1=1,0,"")))</f>
        <v/>
      </c>
      <c r="AA192" s="39" t="str">
        <f t="shared" si="53"/>
        <v/>
      </c>
      <c r="AB192" s="40" t="str">
        <f>IF(OR(L192="",V192=0),"",IF(AND(N(I192)&gt;0,N(INDEX('03-آذار'!$I$2:$I$501,V192))&gt;0,INDEX('03-آذار'!$F$2:$F$501,V192)=F192),N(I192)/N(INDEX('03-آذار'!$I$2:$I$501,V192))-1,""))</f>
        <v/>
      </c>
      <c r="AC192" t="str">
        <f>IF(L192="","",IF(AND($AO$2=1,ISNA(MATCH(L192,'05-أيار'!$L$2:$L$501,0))),"محذوف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IF(L193="","",IF($AO$1=1,IFERROR(MATCH(L193,'03-آذار'!$L$2:$L$501,0),0),0))</f>
        <v/>
      </c>
      <c r="W193" t="str">
        <f t="shared" si="51"/>
        <v/>
      </c>
      <c r="X193" s="38" t="str">
        <f>IF(L193="","",IF(V193&gt;0,INDEX('03-آذار'!$P$2:$P$501,V193),IF($AO$1=1,0,"")))</f>
        <v/>
      </c>
      <c r="Y193" s="38" t="str">
        <f t="shared" si="52"/>
        <v/>
      </c>
      <c r="Z193" s="39" t="str">
        <f>IF(L193="","",IF(V193&gt;0,INDEX('03-آذار'!$Q$2:$Q$501,V193),IF($AO$1=1,0,"")))</f>
        <v/>
      </c>
      <c r="AA193" s="39" t="str">
        <f t="shared" si="53"/>
        <v/>
      </c>
      <c r="AB193" s="40" t="str">
        <f>IF(OR(L193="",V193=0),"",IF(AND(N(I193)&gt;0,N(INDEX('03-آذار'!$I$2:$I$501,V193))&gt;0,INDEX('03-آذار'!$F$2:$F$501,V193)=F193),N(I193)/N(INDEX('03-آذار'!$I$2:$I$501,V193))-1,""))</f>
        <v/>
      </c>
      <c r="AC193" t="str">
        <f>IF(L193="","",IF(AND($AO$2=1,ISNA(MATCH(L193,'05-أيار'!$L$2:$L$501,0))),"محذوف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IF(L194="","",IF($AO$1=1,IFERROR(MATCH(L194,'03-آذار'!$L$2:$L$501,0),0),0))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IF(L194="","",IF(V194&gt;0,INDEX('03-آذار'!$P$2:$P$501,V194),IF($AO$1=1,0,"")))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IF(L194="","",IF(V194&gt;0,INDEX('03-آذار'!$Q$2:$Q$501,V194),IF($AO$1=1,0,"")))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IF(OR(L194="",V194=0),"",IF(AND(N(I194)&gt;0,N(INDEX('03-آذار'!$I$2:$I$501,V194))&gt;0,INDEX('03-آذار'!$F$2:$F$501,V194)=F194),N(I194)/N(INDEX('03-آذار'!$I$2:$I$501,V194))-1,""))</f>
        <v/>
      </c>
      <c r="AC194" t="str">
        <f>IF(L194="","",IF(AND($AO$2=1,ISNA(MATCH(L194,'05-أيار'!$L$2:$L$501,0))),"محذوف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IF(L195="","",IF($AO$1=1,IFERROR(MATCH(L195,'03-آذار'!$L$2:$L$501,0),0),0))</f>
        <v/>
      </c>
      <c r="W195" t="str">
        <f t="shared" si="71"/>
        <v/>
      </c>
      <c r="X195" s="38" t="str">
        <f>IF(L195="","",IF(V195&gt;0,INDEX('03-آذار'!$P$2:$P$501,V195),IF($AO$1=1,0,"")))</f>
        <v/>
      </c>
      <c r="Y195" s="38" t="str">
        <f t="shared" si="72"/>
        <v/>
      </c>
      <c r="Z195" s="39" t="str">
        <f>IF(L195="","",IF(V195&gt;0,INDEX('03-آذار'!$Q$2:$Q$501,V195),IF($AO$1=1,0,"")))</f>
        <v/>
      </c>
      <c r="AA195" s="39" t="str">
        <f t="shared" si="73"/>
        <v/>
      </c>
      <c r="AB195" s="40" t="str">
        <f>IF(OR(L195="",V195=0),"",IF(AND(N(I195)&gt;0,N(INDEX('03-آذار'!$I$2:$I$501,V195))&gt;0,INDEX('03-آذار'!$F$2:$F$501,V195)=F195),N(I195)/N(INDEX('03-آذار'!$I$2:$I$501,V195))-1,""))</f>
        <v/>
      </c>
      <c r="AC195" t="str">
        <f>IF(L195="","",IF(AND($AO$2=1,ISNA(MATCH(L195,'05-أيار'!$L$2:$L$501,0))),"محذوف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IF(L196="","",IF($AO$1=1,IFERROR(MATCH(L196,'03-آذار'!$L$2:$L$501,0),0),0))</f>
        <v/>
      </c>
      <c r="W196" t="str">
        <f t="shared" si="71"/>
        <v/>
      </c>
      <c r="X196" s="38" t="str">
        <f>IF(L196="","",IF(V196&gt;0,INDEX('03-آذار'!$P$2:$P$501,V196),IF($AO$1=1,0,"")))</f>
        <v/>
      </c>
      <c r="Y196" s="38" t="str">
        <f t="shared" si="72"/>
        <v/>
      </c>
      <c r="Z196" s="39" t="str">
        <f>IF(L196="","",IF(V196&gt;0,INDEX('03-آذار'!$Q$2:$Q$501,V196),IF($AO$1=1,0,"")))</f>
        <v/>
      </c>
      <c r="AA196" s="39" t="str">
        <f t="shared" si="73"/>
        <v/>
      </c>
      <c r="AB196" s="40" t="str">
        <f>IF(OR(L196="",V196=0),"",IF(AND(N(I196)&gt;0,N(INDEX('03-آذار'!$I$2:$I$501,V196))&gt;0,INDEX('03-آذار'!$F$2:$F$501,V196)=F196),N(I196)/N(INDEX('03-آذار'!$I$2:$I$501,V196))-1,""))</f>
        <v/>
      </c>
      <c r="AC196" t="str">
        <f>IF(L196="","",IF(AND($AO$2=1,ISNA(MATCH(L196,'05-أيار'!$L$2:$L$501,0))),"محذوف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IF(L197="","",IF($AO$1=1,IFERROR(MATCH(L197,'03-آذار'!$L$2:$L$501,0),0),0))</f>
        <v/>
      </c>
      <c r="W197" t="str">
        <f t="shared" si="71"/>
        <v/>
      </c>
      <c r="X197" s="38" t="str">
        <f>IF(L197="","",IF(V197&gt;0,INDEX('03-آذار'!$P$2:$P$501,V197),IF($AO$1=1,0,"")))</f>
        <v/>
      </c>
      <c r="Y197" s="38" t="str">
        <f t="shared" si="72"/>
        <v/>
      </c>
      <c r="Z197" s="39" t="str">
        <f>IF(L197="","",IF(V197&gt;0,INDEX('03-آذار'!$Q$2:$Q$501,V197),IF($AO$1=1,0,"")))</f>
        <v/>
      </c>
      <c r="AA197" s="39" t="str">
        <f t="shared" si="73"/>
        <v/>
      </c>
      <c r="AB197" s="40" t="str">
        <f>IF(OR(L197="",V197=0),"",IF(AND(N(I197)&gt;0,N(INDEX('03-آذار'!$I$2:$I$501,V197))&gt;0,INDEX('03-آذار'!$F$2:$F$501,V197)=F197),N(I197)/N(INDEX('03-آذار'!$I$2:$I$501,V197))-1,""))</f>
        <v/>
      </c>
      <c r="AC197" t="str">
        <f>IF(L197="","",IF(AND($AO$2=1,ISNA(MATCH(L197,'05-أيار'!$L$2:$L$501,0))),"محذوف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IF(L198="","",IF($AO$1=1,IFERROR(MATCH(L198,'03-آذار'!$L$2:$L$501,0),0),0))</f>
        <v/>
      </c>
      <c r="W198" t="str">
        <f t="shared" si="71"/>
        <v/>
      </c>
      <c r="X198" s="38" t="str">
        <f>IF(L198="","",IF(V198&gt;0,INDEX('03-آذار'!$P$2:$P$501,V198),IF($AO$1=1,0,"")))</f>
        <v/>
      </c>
      <c r="Y198" s="38" t="str">
        <f t="shared" si="72"/>
        <v/>
      </c>
      <c r="Z198" s="39" t="str">
        <f>IF(L198="","",IF(V198&gt;0,INDEX('03-آذار'!$Q$2:$Q$501,V198),IF($AO$1=1,0,"")))</f>
        <v/>
      </c>
      <c r="AA198" s="39" t="str">
        <f t="shared" si="73"/>
        <v/>
      </c>
      <c r="AB198" s="40" t="str">
        <f>IF(OR(L198="",V198=0),"",IF(AND(N(I198)&gt;0,N(INDEX('03-آذار'!$I$2:$I$501,V198))&gt;0,INDEX('03-آذار'!$F$2:$F$501,V198)=F198),N(I198)/N(INDEX('03-آذار'!$I$2:$I$501,V198))-1,""))</f>
        <v/>
      </c>
      <c r="AC198" t="str">
        <f>IF(L198="","",IF(AND($AO$2=1,ISNA(MATCH(L198,'05-أيار'!$L$2:$L$501,0))),"محذوف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IF(L199="","",IF($AO$1=1,IFERROR(MATCH(L199,'03-آذار'!$L$2:$L$501,0),0),0))</f>
        <v/>
      </c>
      <c r="W199" t="str">
        <f t="shared" si="71"/>
        <v/>
      </c>
      <c r="X199" s="38" t="str">
        <f>IF(L199="","",IF(V199&gt;0,INDEX('03-آذار'!$P$2:$P$501,V199),IF($AO$1=1,0,"")))</f>
        <v/>
      </c>
      <c r="Y199" s="38" t="str">
        <f t="shared" si="72"/>
        <v/>
      </c>
      <c r="Z199" s="39" t="str">
        <f>IF(L199="","",IF(V199&gt;0,INDEX('03-آذار'!$Q$2:$Q$501,V199),IF($AO$1=1,0,"")))</f>
        <v/>
      </c>
      <c r="AA199" s="39" t="str">
        <f t="shared" si="73"/>
        <v/>
      </c>
      <c r="AB199" s="40" t="str">
        <f>IF(OR(L199="",V199=0),"",IF(AND(N(I199)&gt;0,N(INDEX('03-آذار'!$I$2:$I$501,V199))&gt;0,INDEX('03-آذار'!$F$2:$F$501,V199)=F199),N(I199)/N(INDEX('03-آذار'!$I$2:$I$501,V199))-1,""))</f>
        <v/>
      </c>
      <c r="AC199" t="str">
        <f>IF(L199="","",IF(AND($AO$2=1,ISNA(MATCH(L199,'05-أيار'!$L$2:$L$501,0))),"محذوف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IF(L200="","",IF($AO$1=1,IFERROR(MATCH(L200,'03-آذار'!$L$2:$L$501,0),0),0))</f>
        <v/>
      </c>
      <c r="W200" t="str">
        <f t="shared" si="71"/>
        <v/>
      </c>
      <c r="X200" s="38" t="str">
        <f>IF(L200="","",IF(V200&gt;0,INDEX('03-آذار'!$P$2:$P$501,V200),IF($AO$1=1,0,"")))</f>
        <v/>
      </c>
      <c r="Y200" s="38" t="str">
        <f t="shared" si="72"/>
        <v/>
      </c>
      <c r="Z200" s="39" t="str">
        <f>IF(L200="","",IF(V200&gt;0,INDEX('03-آذار'!$Q$2:$Q$501,V200),IF($AO$1=1,0,"")))</f>
        <v/>
      </c>
      <c r="AA200" s="39" t="str">
        <f t="shared" si="73"/>
        <v/>
      </c>
      <c r="AB200" s="40" t="str">
        <f>IF(OR(L200="",V200=0),"",IF(AND(N(I200)&gt;0,N(INDEX('03-آذار'!$I$2:$I$501,V200))&gt;0,INDEX('03-آذار'!$F$2:$F$501,V200)=F200),N(I200)/N(INDEX('03-آذار'!$I$2:$I$501,V200))-1,""))</f>
        <v/>
      </c>
      <c r="AC200" t="str">
        <f>IF(L200="","",IF(AND($AO$2=1,ISNA(MATCH(L200,'05-أيار'!$L$2:$L$501,0))),"محذوف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IF(L201="","",IF($AO$1=1,IFERROR(MATCH(L201,'03-آذار'!$L$2:$L$501,0),0),0))</f>
        <v/>
      </c>
      <c r="W201" t="str">
        <f t="shared" si="71"/>
        <v/>
      </c>
      <c r="X201" s="38" t="str">
        <f>IF(L201="","",IF(V201&gt;0,INDEX('03-آذار'!$P$2:$P$501,V201),IF($AO$1=1,0,"")))</f>
        <v/>
      </c>
      <c r="Y201" s="38" t="str">
        <f t="shared" si="72"/>
        <v/>
      </c>
      <c r="Z201" s="39" t="str">
        <f>IF(L201="","",IF(V201&gt;0,INDEX('03-آذار'!$Q$2:$Q$501,V201),IF($AO$1=1,0,"")))</f>
        <v/>
      </c>
      <c r="AA201" s="39" t="str">
        <f t="shared" si="73"/>
        <v/>
      </c>
      <c r="AB201" s="40" t="str">
        <f>IF(OR(L201="",V201=0),"",IF(AND(N(I201)&gt;0,N(INDEX('03-آذار'!$I$2:$I$501,V201))&gt;0,INDEX('03-آذار'!$F$2:$F$501,V201)=F201),N(I201)/N(INDEX('03-آذار'!$I$2:$I$501,V201))-1,""))</f>
        <v/>
      </c>
      <c r="AC201" t="str">
        <f>IF(L201="","",IF(AND($AO$2=1,ISNA(MATCH(L201,'05-أيار'!$L$2:$L$501,0))),"محذوف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IF(L202="","",IF($AO$1=1,IFERROR(MATCH(L202,'03-آذار'!$L$2:$L$501,0),0),0))</f>
        <v/>
      </c>
      <c r="W202" t="str">
        <f t="shared" si="71"/>
        <v/>
      </c>
      <c r="X202" s="38" t="str">
        <f>IF(L202="","",IF(V202&gt;0,INDEX('03-آذار'!$P$2:$P$501,V202),IF($AO$1=1,0,"")))</f>
        <v/>
      </c>
      <c r="Y202" s="38" t="str">
        <f t="shared" si="72"/>
        <v/>
      </c>
      <c r="Z202" s="39" t="str">
        <f>IF(L202="","",IF(V202&gt;0,INDEX('03-آذار'!$Q$2:$Q$501,V202),IF($AO$1=1,0,"")))</f>
        <v/>
      </c>
      <c r="AA202" s="39" t="str">
        <f t="shared" si="73"/>
        <v/>
      </c>
      <c r="AB202" s="40" t="str">
        <f>IF(OR(L202="",V202=0),"",IF(AND(N(I202)&gt;0,N(INDEX('03-آذار'!$I$2:$I$501,V202))&gt;0,INDEX('03-آذار'!$F$2:$F$501,V202)=F202),N(I202)/N(INDEX('03-آذار'!$I$2:$I$501,V202))-1,""))</f>
        <v/>
      </c>
      <c r="AC202" t="str">
        <f>IF(L202="","",IF(AND($AO$2=1,ISNA(MATCH(L202,'05-أيار'!$L$2:$L$501,0))),"محذوف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IF(L203="","",IF($AO$1=1,IFERROR(MATCH(L203,'03-آذار'!$L$2:$L$501,0),0),0))</f>
        <v/>
      </c>
      <c r="W203" t="str">
        <f t="shared" si="71"/>
        <v/>
      </c>
      <c r="X203" s="38" t="str">
        <f>IF(L203="","",IF(V203&gt;0,INDEX('03-آذار'!$P$2:$P$501,V203),IF($AO$1=1,0,"")))</f>
        <v/>
      </c>
      <c r="Y203" s="38" t="str">
        <f t="shared" si="72"/>
        <v/>
      </c>
      <c r="Z203" s="39" t="str">
        <f>IF(L203="","",IF(V203&gt;0,INDEX('03-آذار'!$Q$2:$Q$501,V203),IF($AO$1=1,0,"")))</f>
        <v/>
      </c>
      <c r="AA203" s="39" t="str">
        <f t="shared" si="73"/>
        <v/>
      </c>
      <c r="AB203" s="40" t="str">
        <f>IF(OR(L203="",V203=0),"",IF(AND(N(I203)&gt;0,N(INDEX('03-آذار'!$I$2:$I$501,V203))&gt;0,INDEX('03-آذار'!$F$2:$F$501,V203)=F203),N(I203)/N(INDEX('03-آذار'!$I$2:$I$501,V203))-1,""))</f>
        <v/>
      </c>
      <c r="AC203" t="str">
        <f>IF(L203="","",IF(AND($AO$2=1,ISNA(MATCH(L203,'05-أيار'!$L$2:$L$501,0))),"محذوف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IF(L204="","",IF($AO$1=1,IFERROR(MATCH(L204,'03-آذار'!$L$2:$L$501,0),0),0))</f>
        <v/>
      </c>
      <c r="W204" t="str">
        <f t="shared" si="71"/>
        <v/>
      </c>
      <c r="X204" s="38" t="str">
        <f>IF(L204="","",IF(V204&gt;0,INDEX('03-آذار'!$P$2:$P$501,V204),IF($AO$1=1,0,"")))</f>
        <v/>
      </c>
      <c r="Y204" s="38" t="str">
        <f t="shared" si="72"/>
        <v/>
      </c>
      <c r="Z204" s="39" t="str">
        <f>IF(L204="","",IF(V204&gt;0,INDEX('03-آذار'!$Q$2:$Q$501,V204),IF($AO$1=1,0,"")))</f>
        <v/>
      </c>
      <c r="AA204" s="39" t="str">
        <f t="shared" si="73"/>
        <v/>
      </c>
      <c r="AB204" s="40" t="str">
        <f>IF(OR(L204="",V204=0),"",IF(AND(N(I204)&gt;0,N(INDEX('03-آذار'!$I$2:$I$501,V204))&gt;0,INDEX('03-آذار'!$F$2:$F$501,V204)=F204),N(I204)/N(INDEX('03-آذار'!$I$2:$I$501,V204))-1,""))</f>
        <v/>
      </c>
      <c r="AC204" t="str">
        <f>IF(L204="","",IF(AND($AO$2=1,ISNA(MATCH(L204,'05-أيار'!$L$2:$L$501,0))),"محذوف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IF(L205="","",IF($AO$1=1,IFERROR(MATCH(L205,'03-آذار'!$L$2:$L$501,0),0),0))</f>
        <v/>
      </c>
      <c r="W205" t="str">
        <f t="shared" si="71"/>
        <v/>
      </c>
      <c r="X205" s="38" t="str">
        <f>IF(L205="","",IF(V205&gt;0,INDEX('03-آذار'!$P$2:$P$501,V205),IF($AO$1=1,0,"")))</f>
        <v/>
      </c>
      <c r="Y205" s="38" t="str">
        <f t="shared" si="72"/>
        <v/>
      </c>
      <c r="Z205" s="39" t="str">
        <f>IF(L205="","",IF(V205&gt;0,INDEX('03-آذار'!$Q$2:$Q$501,V205),IF($AO$1=1,0,"")))</f>
        <v/>
      </c>
      <c r="AA205" s="39" t="str">
        <f t="shared" si="73"/>
        <v/>
      </c>
      <c r="AB205" s="40" t="str">
        <f>IF(OR(L205="",V205=0),"",IF(AND(N(I205)&gt;0,N(INDEX('03-آذار'!$I$2:$I$501,V205))&gt;0,INDEX('03-آذار'!$F$2:$F$501,V205)=F205),N(I205)/N(INDEX('03-آذار'!$I$2:$I$501,V205))-1,""))</f>
        <v/>
      </c>
      <c r="AC205" t="str">
        <f>IF(L205="","",IF(AND($AO$2=1,ISNA(MATCH(L205,'05-أيار'!$L$2:$L$501,0))),"محذوف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IF(L206="","",IF($AO$1=1,IFERROR(MATCH(L206,'03-آذار'!$L$2:$L$501,0),0),0))</f>
        <v/>
      </c>
      <c r="W206" t="str">
        <f t="shared" si="71"/>
        <v/>
      </c>
      <c r="X206" s="38" t="str">
        <f>IF(L206="","",IF(V206&gt;0,INDEX('03-آذار'!$P$2:$P$501,V206),IF($AO$1=1,0,"")))</f>
        <v/>
      </c>
      <c r="Y206" s="38" t="str">
        <f t="shared" si="72"/>
        <v/>
      </c>
      <c r="Z206" s="39" t="str">
        <f>IF(L206="","",IF(V206&gt;0,INDEX('03-آذار'!$Q$2:$Q$501,V206),IF($AO$1=1,0,"")))</f>
        <v/>
      </c>
      <c r="AA206" s="39" t="str">
        <f t="shared" si="73"/>
        <v/>
      </c>
      <c r="AB206" s="40" t="str">
        <f>IF(OR(L206="",V206=0),"",IF(AND(N(I206)&gt;0,N(INDEX('03-آذار'!$I$2:$I$501,V206))&gt;0,INDEX('03-آذار'!$F$2:$F$501,V206)=F206),N(I206)/N(INDEX('03-آذار'!$I$2:$I$501,V206))-1,""))</f>
        <v/>
      </c>
      <c r="AC206" t="str">
        <f>IF(L206="","",IF(AND($AO$2=1,ISNA(MATCH(L206,'05-أيار'!$L$2:$L$501,0))),"محذوف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IF(L207="","",IF($AO$1=1,IFERROR(MATCH(L207,'03-آذار'!$L$2:$L$501,0),0),0))</f>
        <v/>
      </c>
      <c r="W207" t="str">
        <f t="shared" si="71"/>
        <v/>
      </c>
      <c r="X207" s="38" t="str">
        <f>IF(L207="","",IF(V207&gt;0,INDEX('03-آذار'!$P$2:$P$501,V207),IF($AO$1=1,0,"")))</f>
        <v/>
      </c>
      <c r="Y207" s="38" t="str">
        <f t="shared" si="72"/>
        <v/>
      </c>
      <c r="Z207" s="39" t="str">
        <f>IF(L207="","",IF(V207&gt;0,INDEX('03-آذار'!$Q$2:$Q$501,V207),IF($AO$1=1,0,"")))</f>
        <v/>
      </c>
      <c r="AA207" s="39" t="str">
        <f t="shared" si="73"/>
        <v/>
      </c>
      <c r="AB207" s="40" t="str">
        <f>IF(OR(L207="",V207=0),"",IF(AND(N(I207)&gt;0,N(INDEX('03-آذار'!$I$2:$I$501,V207))&gt;0,INDEX('03-آذار'!$F$2:$F$501,V207)=F207),N(I207)/N(INDEX('03-آذار'!$I$2:$I$501,V207))-1,""))</f>
        <v/>
      </c>
      <c r="AC207" t="str">
        <f>IF(L207="","",IF(AND($AO$2=1,ISNA(MATCH(L207,'05-أيار'!$L$2:$L$501,0))),"محذوف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IF(L208="","",IF($AO$1=1,IFERROR(MATCH(L208,'03-آذار'!$L$2:$L$501,0),0),0))</f>
        <v/>
      </c>
      <c r="W208" t="str">
        <f t="shared" si="71"/>
        <v/>
      </c>
      <c r="X208" s="38" t="str">
        <f>IF(L208="","",IF(V208&gt;0,INDEX('03-آذار'!$P$2:$P$501,V208),IF($AO$1=1,0,"")))</f>
        <v/>
      </c>
      <c r="Y208" s="38" t="str">
        <f t="shared" si="72"/>
        <v/>
      </c>
      <c r="Z208" s="39" t="str">
        <f>IF(L208="","",IF(V208&gt;0,INDEX('03-آذار'!$Q$2:$Q$501,V208),IF($AO$1=1,0,"")))</f>
        <v/>
      </c>
      <c r="AA208" s="39" t="str">
        <f t="shared" si="73"/>
        <v/>
      </c>
      <c r="AB208" s="40" t="str">
        <f>IF(OR(L208="",V208=0),"",IF(AND(N(I208)&gt;0,N(INDEX('03-آذار'!$I$2:$I$501,V208))&gt;0,INDEX('03-آذار'!$F$2:$F$501,V208)=F208),N(I208)/N(INDEX('03-آذار'!$I$2:$I$501,V208))-1,""))</f>
        <v/>
      </c>
      <c r="AC208" t="str">
        <f>IF(L208="","",IF(AND($AO$2=1,ISNA(MATCH(L208,'05-أيار'!$L$2:$L$501,0))),"محذوف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IF(L209="","",IF($AO$1=1,IFERROR(MATCH(L209,'03-آذار'!$L$2:$L$501,0),0),0))</f>
        <v/>
      </c>
      <c r="W209" t="str">
        <f t="shared" si="71"/>
        <v/>
      </c>
      <c r="X209" s="38" t="str">
        <f>IF(L209="","",IF(V209&gt;0,INDEX('03-آذار'!$P$2:$P$501,V209),IF($AO$1=1,0,"")))</f>
        <v/>
      </c>
      <c r="Y209" s="38" t="str">
        <f t="shared" si="72"/>
        <v/>
      </c>
      <c r="Z209" s="39" t="str">
        <f>IF(L209="","",IF(V209&gt;0,INDEX('03-آذار'!$Q$2:$Q$501,V209),IF($AO$1=1,0,"")))</f>
        <v/>
      </c>
      <c r="AA209" s="39" t="str">
        <f t="shared" si="73"/>
        <v/>
      </c>
      <c r="AB209" s="40" t="str">
        <f>IF(OR(L209="",V209=0),"",IF(AND(N(I209)&gt;0,N(INDEX('03-آذار'!$I$2:$I$501,V209))&gt;0,INDEX('03-آذار'!$F$2:$F$501,V209)=F209),N(I209)/N(INDEX('03-آذار'!$I$2:$I$501,V209))-1,""))</f>
        <v/>
      </c>
      <c r="AC209" t="str">
        <f>IF(L209="","",IF(AND($AO$2=1,ISNA(MATCH(L209,'05-أيار'!$L$2:$L$501,0))),"محذوف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IF(L210="","",IF($AO$1=1,IFERROR(MATCH(L210,'03-آذار'!$L$2:$L$501,0),0),0))</f>
        <v/>
      </c>
      <c r="W210" t="str">
        <f t="shared" si="71"/>
        <v/>
      </c>
      <c r="X210" s="38" t="str">
        <f>IF(L210="","",IF(V210&gt;0,INDEX('03-آذار'!$P$2:$P$501,V210),IF($AO$1=1,0,"")))</f>
        <v/>
      </c>
      <c r="Y210" s="38" t="str">
        <f t="shared" si="72"/>
        <v/>
      </c>
      <c r="Z210" s="39" t="str">
        <f>IF(L210="","",IF(V210&gt;0,INDEX('03-آذار'!$Q$2:$Q$501,V210),IF($AO$1=1,0,"")))</f>
        <v/>
      </c>
      <c r="AA210" s="39" t="str">
        <f t="shared" si="73"/>
        <v/>
      </c>
      <c r="AB210" s="40" t="str">
        <f>IF(OR(L210="",V210=0),"",IF(AND(N(I210)&gt;0,N(INDEX('03-آذار'!$I$2:$I$501,V210))&gt;0,INDEX('03-آذار'!$F$2:$F$501,V210)=F210),N(I210)/N(INDEX('03-آذار'!$I$2:$I$501,V210))-1,""))</f>
        <v/>
      </c>
      <c r="AC210" t="str">
        <f>IF(L210="","",IF(AND($AO$2=1,ISNA(MATCH(L210,'05-أيار'!$L$2:$L$501,0))),"محذوف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IF(L211="","",IF($AO$1=1,IFERROR(MATCH(L211,'03-آذار'!$L$2:$L$501,0),0),0))</f>
        <v/>
      </c>
      <c r="W211" t="str">
        <f t="shared" si="71"/>
        <v/>
      </c>
      <c r="X211" s="38" t="str">
        <f>IF(L211="","",IF(V211&gt;0,INDEX('03-آذار'!$P$2:$P$501,V211),IF($AO$1=1,0,"")))</f>
        <v/>
      </c>
      <c r="Y211" s="38" t="str">
        <f t="shared" si="72"/>
        <v/>
      </c>
      <c r="Z211" s="39" t="str">
        <f>IF(L211="","",IF(V211&gt;0,INDEX('03-آذار'!$Q$2:$Q$501,V211),IF($AO$1=1,0,"")))</f>
        <v/>
      </c>
      <c r="AA211" s="39" t="str">
        <f t="shared" si="73"/>
        <v/>
      </c>
      <c r="AB211" s="40" t="str">
        <f>IF(OR(L211="",V211=0),"",IF(AND(N(I211)&gt;0,N(INDEX('03-آذار'!$I$2:$I$501,V211))&gt;0,INDEX('03-آذار'!$F$2:$F$501,V211)=F211),N(I211)/N(INDEX('03-آذار'!$I$2:$I$501,V211))-1,""))</f>
        <v/>
      </c>
      <c r="AC211" t="str">
        <f>IF(L211="","",IF(AND($AO$2=1,ISNA(MATCH(L211,'05-أيار'!$L$2:$L$501,0))),"محذوف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IF(L212="","",IF($AO$1=1,IFERROR(MATCH(L212,'03-آذار'!$L$2:$L$501,0),0),0))</f>
        <v/>
      </c>
      <c r="W212" t="str">
        <f t="shared" si="71"/>
        <v/>
      </c>
      <c r="X212" s="38" t="str">
        <f>IF(L212="","",IF(V212&gt;0,INDEX('03-آذار'!$P$2:$P$501,V212),IF($AO$1=1,0,"")))</f>
        <v/>
      </c>
      <c r="Y212" s="38" t="str">
        <f t="shared" si="72"/>
        <v/>
      </c>
      <c r="Z212" s="39" t="str">
        <f>IF(L212="","",IF(V212&gt;0,INDEX('03-آذار'!$Q$2:$Q$501,V212),IF($AO$1=1,0,"")))</f>
        <v/>
      </c>
      <c r="AA212" s="39" t="str">
        <f t="shared" si="73"/>
        <v/>
      </c>
      <c r="AB212" s="40" t="str">
        <f>IF(OR(L212="",V212=0),"",IF(AND(N(I212)&gt;0,N(INDEX('03-آذار'!$I$2:$I$501,V212))&gt;0,INDEX('03-آذار'!$F$2:$F$501,V212)=F212),N(I212)/N(INDEX('03-آذار'!$I$2:$I$501,V212))-1,""))</f>
        <v/>
      </c>
      <c r="AC212" t="str">
        <f>IF(L212="","",IF(AND($AO$2=1,ISNA(MATCH(L212,'05-أيار'!$L$2:$L$501,0))),"محذوف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IF(L213="","",IF($AO$1=1,IFERROR(MATCH(L213,'03-آذار'!$L$2:$L$501,0),0),0))</f>
        <v/>
      </c>
      <c r="W213" t="str">
        <f t="shared" si="71"/>
        <v/>
      </c>
      <c r="X213" s="38" t="str">
        <f>IF(L213="","",IF(V213&gt;0,INDEX('03-آذار'!$P$2:$P$501,V213),IF($AO$1=1,0,"")))</f>
        <v/>
      </c>
      <c r="Y213" s="38" t="str">
        <f t="shared" si="72"/>
        <v/>
      </c>
      <c r="Z213" s="39" t="str">
        <f>IF(L213="","",IF(V213&gt;0,INDEX('03-آذار'!$Q$2:$Q$501,V213),IF($AO$1=1,0,"")))</f>
        <v/>
      </c>
      <c r="AA213" s="39" t="str">
        <f t="shared" si="73"/>
        <v/>
      </c>
      <c r="AB213" s="40" t="str">
        <f>IF(OR(L213="",V213=0),"",IF(AND(N(I213)&gt;0,N(INDEX('03-آذار'!$I$2:$I$501,V213))&gt;0,INDEX('03-آذار'!$F$2:$F$501,V213)=F213),N(I213)/N(INDEX('03-آذار'!$I$2:$I$501,V213))-1,""))</f>
        <v/>
      </c>
      <c r="AC213" t="str">
        <f>IF(L213="","",IF(AND($AO$2=1,ISNA(MATCH(L213,'05-أيار'!$L$2:$L$501,0))),"محذوف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IF(L214="","",IF($AO$1=1,IFERROR(MATCH(L214,'03-آذار'!$L$2:$L$501,0),0),0))</f>
        <v/>
      </c>
      <c r="W214" t="str">
        <f t="shared" si="71"/>
        <v/>
      </c>
      <c r="X214" s="38" t="str">
        <f>IF(L214="","",IF(V214&gt;0,INDEX('03-آذار'!$P$2:$P$501,V214),IF($AO$1=1,0,"")))</f>
        <v/>
      </c>
      <c r="Y214" s="38" t="str">
        <f t="shared" si="72"/>
        <v/>
      </c>
      <c r="Z214" s="39" t="str">
        <f>IF(L214="","",IF(V214&gt;0,INDEX('03-آذار'!$Q$2:$Q$501,V214),IF($AO$1=1,0,"")))</f>
        <v/>
      </c>
      <c r="AA214" s="39" t="str">
        <f t="shared" si="73"/>
        <v/>
      </c>
      <c r="AB214" s="40" t="str">
        <f>IF(OR(L214="",V214=0),"",IF(AND(N(I214)&gt;0,N(INDEX('03-آذار'!$I$2:$I$501,V214))&gt;0,INDEX('03-آذار'!$F$2:$F$501,V214)=F214),N(I214)/N(INDEX('03-آذار'!$I$2:$I$501,V214))-1,""))</f>
        <v/>
      </c>
      <c r="AC214" t="str">
        <f>IF(L214="","",IF(AND($AO$2=1,ISNA(MATCH(L214,'05-أيار'!$L$2:$L$501,0))),"محذوف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IF(L215="","",IF($AO$1=1,IFERROR(MATCH(L215,'03-آذار'!$L$2:$L$501,0),0),0))</f>
        <v/>
      </c>
      <c r="W215" t="str">
        <f t="shared" si="71"/>
        <v/>
      </c>
      <c r="X215" s="38" t="str">
        <f>IF(L215="","",IF(V215&gt;0,INDEX('03-آذار'!$P$2:$P$501,V215),IF($AO$1=1,0,"")))</f>
        <v/>
      </c>
      <c r="Y215" s="38" t="str">
        <f t="shared" si="72"/>
        <v/>
      </c>
      <c r="Z215" s="39" t="str">
        <f>IF(L215="","",IF(V215&gt;0,INDEX('03-آذار'!$Q$2:$Q$501,V215),IF($AO$1=1,0,"")))</f>
        <v/>
      </c>
      <c r="AA215" s="39" t="str">
        <f t="shared" si="73"/>
        <v/>
      </c>
      <c r="AB215" s="40" t="str">
        <f>IF(OR(L215="",V215=0),"",IF(AND(N(I215)&gt;0,N(INDEX('03-آذار'!$I$2:$I$501,V215))&gt;0,INDEX('03-آذار'!$F$2:$F$501,V215)=F215),N(I215)/N(INDEX('03-آذار'!$I$2:$I$501,V215))-1,""))</f>
        <v/>
      </c>
      <c r="AC215" t="str">
        <f>IF(L215="","",IF(AND($AO$2=1,ISNA(MATCH(L215,'05-أيار'!$L$2:$L$501,0))),"محذوف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IF(L216="","",IF($AO$1=1,IFERROR(MATCH(L216,'03-آذار'!$L$2:$L$501,0),0),0))</f>
        <v/>
      </c>
      <c r="W216" t="str">
        <f t="shared" si="71"/>
        <v/>
      </c>
      <c r="X216" s="38" t="str">
        <f>IF(L216="","",IF(V216&gt;0,INDEX('03-آذار'!$P$2:$P$501,V216),IF($AO$1=1,0,"")))</f>
        <v/>
      </c>
      <c r="Y216" s="38" t="str">
        <f t="shared" si="72"/>
        <v/>
      </c>
      <c r="Z216" s="39" t="str">
        <f>IF(L216="","",IF(V216&gt;0,INDEX('03-آذار'!$Q$2:$Q$501,V216),IF($AO$1=1,0,"")))</f>
        <v/>
      </c>
      <c r="AA216" s="39" t="str">
        <f t="shared" si="73"/>
        <v/>
      </c>
      <c r="AB216" s="40" t="str">
        <f>IF(OR(L216="",V216=0),"",IF(AND(N(I216)&gt;0,N(INDEX('03-آذار'!$I$2:$I$501,V216))&gt;0,INDEX('03-آذار'!$F$2:$F$501,V216)=F216),N(I216)/N(INDEX('03-آذار'!$I$2:$I$501,V216))-1,""))</f>
        <v/>
      </c>
      <c r="AC216" t="str">
        <f>IF(L216="","",IF(AND($AO$2=1,ISNA(MATCH(L216,'05-أيار'!$L$2:$L$501,0))),"محذوف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IF(L217="","",IF($AO$1=1,IFERROR(MATCH(L217,'03-آذار'!$L$2:$L$501,0),0),0))</f>
        <v/>
      </c>
      <c r="W217" t="str">
        <f t="shared" si="71"/>
        <v/>
      </c>
      <c r="X217" s="38" t="str">
        <f>IF(L217="","",IF(V217&gt;0,INDEX('03-آذار'!$P$2:$P$501,V217),IF($AO$1=1,0,"")))</f>
        <v/>
      </c>
      <c r="Y217" s="38" t="str">
        <f t="shared" si="72"/>
        <v/>
      </c>
      <c r="Z217" s="39" t="str">
        <f>IF(L217="","",IF(V217&gt;0,INDEX('03-آذار'!$Q$2:$Q$501,V217),IF($AO$1=1,0,"")))</f>
        <v/>
      </c>
      <c r="AA217" s="39" t="str">
        <f t="shared" si="73"/>
        <v/>
      </c>
      <c r="AB217" s="40" t="str">
        <f>IF(OR(L217="",V217=0),"",IF(AND(N(I217)&gt;0,N(INDEX('03-آذار'!$I$2:$I$501,V217))&gt;0,INDEX('03-آذار'!$F$2:$F$501,V217)=F217),N(I217)/N(INDEX('03-آذار'!$I$2:$I$501,V217))-1,""))</f>
        <v/>
      </c>
      <c r="AC217" t="str">
        <f>IF(L217="","",IF(AND($AO$2=1,ISNA(MATCH(L217,'05-أيار'!$L$2:$L$501,0))),"محذوف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IF(L218="","",IF($AO$1=1,IFERROR(MATCH(L218,'03-آذار'!$L$2:$L$501,0),0),0))</f>
        <v/>
      </c>
      <c r="W218" t="str">
        <f t="shared" si="71"/>
        <v/>
      </c>
      <c r="X218" s="38" t="str">
        <f>IF(L218="","",IF(V218&gt;0,INDEX('03-آذار'!$P$2:$P$501,V218),IF($AO$1=1,0,"")))</f>
        <v/>
      </c>
      <c r="Y218" s="38" t="str">
        <f t="shared" si="72"/>
        <v/>
      </c>
      <c r="Z218" s="39" t="str">
        <f>IF(L218="","",IF(V218&gt;0,INDEX('03-آذار'!$Q$2:$Q$501,V218),IF($AO$1=1,0,"")))</f>
        <v/>
      </c>
      <c r="AA218" s="39" t="str">
        <f t="shared" si="73"/>
        <v/>
      </c>
      <c r="AB218" s="40" t="str">
        <f>IF(OR(L218="",V218=0),"",IF(AND(N(I218)&gt;0,N(INDEX('03-آذار'!$I$2:$I$501,V218))&gt;0,INDEX('03-آذار'!$F$2:$F$501,V218)=F218),N(I218)/N(INDEX('03-آذار'!$I$2:$I$501,V218))-1,""))</f>
        <v/>
      </c>
      <c r="AC218" t="str">
        <f>IF(L218="","",IF(AND($AO$2=1,ISNA(MATCH(L218,'05-أيار'!$L$2:$L$501,0))),"محذوف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IF(L219="","",IF($AO$1=1,IFERROR(MATCH(L219,'03-آذار'!$L$2:$L$501,0),0),0))</f>
        <v/>
      </c>
      <c r="W219" t="str">
        <f t="shared" si="71"/>
        <v/>
      </c>
      <c r="X219" s="38" t="str">
        <f>IF(L219="","",IF(V219&gt;0,INDEX('03-آذار'!$P$2:$P$501,V219),IF($AO$1=1,0,"")))</f>
        <v/>
      </c>
      <c r="Y219" s="38" t="str">
        <f t="shared" si="72"/>
        <v/>
      </c>
      <c r="Z219" s="39" t="str">
        <f>IF(L219="","",IF(V219&gt;0,INDEX('03-آذار'!$Q$2:$Q$501,V219),IF($AO$1=1,0,"")))</f>
        <v/>
      </c>
      <c r="AA219" s="39" t="str">
        <f t="shared" si="73"/>
        <v/>
      </c>
      <c r="AB219" s="40" t="str">
        <f>IF(OR(L219="",V219=0),"",IF(AND(N(I219)&gt;0,N(INDEX('03-آذار'!$I$2:$I$501,V219))&gt;0,INDEX('03-آذار'!$F$2:$F$501,V219)=F219),N(I219)/N(INDEX('03-آذار'!$I$2:$I$501,V219))-1,""))</f>
        <v/>
      </c>
      <c r="AC219" t="str">
        <f>IF(L219="","",IF(AND($AO$2=1,ISNA(MATCH(L219,'05-أيار'!$L$2:$L$501,0))),"محذوف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IF(L220="","",IF($AO$1=1,IFERROR(MATCH(L220,'03-آذار'!$L$2:$L$501,0),0),0))</f>
        <v/>
      </c>
      <c r="W220" t="str">
        <f t="shared" si="71"/>
        <v/>
      </c>
      <c r="X220" s="38" t="str">
        <f>IF(L220="","",IF(V220&gt;0,INDEX('03-آذار'!$P$2:$P$501,V220),IF($AO$1=1,0,"")))</f>
        <v/>
      </c>
      <c r="Y220" s="38" t="str">
        <f t="shared" si="72"/>
        <v/>
      </c>
      <c r="Z220" s="39" t="str">
        <f>IF(L220="","",IF(V220&gt;0,INDEX('03-آذار'!$Q$2:$Q$501,V220),IF($AO$1=1,0,"")))</f>
        <v/>
      </c>
      <c r="AA220" s="39" t="str">
        <f t="shared" si="73"/>
        <v/>
      </c>
      <c r="AB220" s="40" t="str">
        <f>IF(OR(L220="",V220=0),"",IF(AND(N(I220)&gt;0,N(INDEX('03-آذار'!$I$2:$I$501,V220))&gt;0,INDEX('03-آذار'!$F$2:$F$501,V220)=F220),N(I220)/N(INDEX('03-آذار'!$I$2:$I$501,V220))-1,""))</f>
        <v/>
      </c>
      <c r="AC220" t="str">
        <f>IF(L220="","",IF(AND($AO$2=1,ISNA(MATCH(L220,'05-أيار'!$L$2:$L$501,0))),"محذوف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IF(L221="","",IF($AO$1=1,IFERROR(MATCH(L221,'03-آذار'!$L$2:$L$501,0),0),0))</f>
        <v/>
      </c>
      <c r="W221" t="str">
        <f t="shared" si="71"/>
        <v/>
      </c>
      <c r="X221" s="38" t="str">
        <f>IF(L221="","",IF(V221&gt;0,INDEX('03-آذار'!$P$2:$P$501,V221),IF($AO$1=1,0,"")))</f>
        <v/>
      </c>
      <c r="Y221" s="38" t="str">
        <f t="shared" si="72"/>
        <v/>
      </c>
      <c r="Z221" s="39" t="str">
        <f>IF(L221="","",IF(V221&gt;0,INDEX('03-آذار'!$Q$2:$Q$501,V221),IF($AO$1=1,0,"")))</f>
        <v/>
      </c>
      <c r="AA221" s="39" t="str">
        <f t="shared" si="73"/>
        <v/>
      </c>
      <c r="AB221" s="40" t="str">
        <f>IF(OR(L221="",V221=0),"",IF(AND(N(I221)&gt;0,N(INDEX('03-آذار'!$I$2:$I$501,V221))&gt;0,INDEX('03-آذار'!$F$2:$F$501,V221)=F221),N(I221)/N(INDEX('03-آذار'!$I$2:$I$501,V221))-1,""))</f>
        <v/>
      </c>
      <c r="AC221" t="str">
        <f>IF(L221="","",IF(AND($AO$2=1,ISNA(MATCH(L221,'05-أيار'!$L$2:$L$501,0))),"محذوف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IF(L222="","",IF($AO$1=1,IFERROR(MATCH(L222,'03-آذار'!$L$2:$L$501,0),0),0))</f>
        <v/>
      </c>
      <c r="W222" t="str">
        <f t="shared" si="71"/>
        <v/>
      </c>
      <c r="X222" s="38" t="str">
        <f>IF(L222="","",IF(V222&gt;0,INDEX('03-آذار'!$P$2:$P$501,V222),IF($AO$1=1,0,"")))</f>
        <v/>
      </c>
      <c r="Y222" s="38" t="str">
        <f t="shared" si="72"/>
        <v/>
      </c>
      <c r="Z222" s="39" t="str">
        <f>IF(L222="","",IF(V222&gt;0,INDEX('03-آذار'!$Q$2:$Q$501,V222),IF($AO$1=1,0,"")))</f>
        <v/>
      </c>
      <c r="AA222" s="39" t="str">
        <f t="shared" si="73"/>
        <v/>
      </c>
      <c r="AB222" s="40" t="str">
        <f>IF(OR(L222="",V222=0),"",IF(AND(N(I222)&gt;0,N(INDEX('03-آذار'!$I$2:$I$501,V222))&gt;0,INDEX('03-آذار'!$F$2:$F$501,V222)=F222),N(I222)/N(INDEX('03-آذار'!$I$2:$I$501,V222))-1,""))</f>
        <v/>
      </c>
      <c r="AC222" t="str">
        <f>IF(L222="","",IF(AND($AO$2=1,ISNA(MATCH(L222,'05-أيار'!$L$2:$L$501,0))),"محذوف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IF(L223="","",IF($AO$1=1,IFERROR(MATCH(L223,'03-آذار'!$L$2:$L$501,0),0),0))</f>
        <v/>
      </c>
      <c r="W223" t="str">
        <f t="shared" si="71"/>
        <v/>
      </c>
      <c r="X223" s="38" t="str">
        <f>IF(L223="","",IF(V223&gt;0,INDEX('03-آذار'!$P$2:$P$501,V223),IF($AO$1=1,0,"")))</f>
        <v/>
      </c>
      <c r="Y223" s="38" t="str">
        <f t="shared" si="72"/>
        <v/>
      </c>
      <c r="Z223" s="39" t="str">
        <f>IF(L223="","",IF(V223&gt;0,INDEX('03-آذار'!$Q$2:$Q$501,V223),IF($AO$1=1,0,"")))</f>
        <v/>
      </c>
      <c r="AA223" s="39" t="str">
        <f t="shared" si="73"/>
        <v/>
      </c>
      <c r="AB223" s="40" t="str">
        <f>IF(OR(L223="",V223=0),"",IF(AND(N(I223)&gt;0,N(INDEX('03-آذار'!$I$2:$I$501,V223))&gt;0,INDEX('03-آذار'!$F$2:$F$501,V223)=F223),N(I223)/N(INDEX('03-آذار'!$I$2:$I$501,V223))-1,""))</f>
        <v/>
      </c>
      <c r="AC223" t="str">
        <f>IF(L223="","",IF(AND($AO$2=1,ISNA(MATCH(L223,'05-أيار'!$L$2:$L$501,0))),"محذوف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IF(L224="","",IF($AO$1=1,IFERROR(MATCH(L224,'03-آذار'!$L$2:$L$501,0),0),0))</f>
        <v/>
      </c>
      <c r="W224" t="str">
        <f t="shared" si="71"/>
        <v/>
      </c>
      <c r="X224" s="38" t="str">
        <f>IF(L224="","",IF(V224&gt;0,INDEX('03-آذار'!$P$2:$P$501,V224),IF($AO$1=1,0,"")))</f>
        <v/>
      </c>
      <c r="Y224" s="38" t="str">
        <f t="shared" si="72"/>
        <v/>
      </c>
      <c r="Z224" s="39" t="str">
        <f>IF(L224="","",IF(V224&gt;0,INDEX('03-آذار'!$Q$2:$Q$501,V224),IF($AO$1=1,0,"")))</f>
        <v/>
      </c>
      <c r="AA224" s="39" t="str">
        <f t="shared" si="73"/>
        <v/>
      </c>
      <c r="AB224" s="40" t="str">
        <f>IF(OR(L224="",V224=0),"",IF(AND(N(I224)&gt;0,N(INDEX('03-آذار'!$I$2:$I$501,V224))&gt;0,INDEX('03-آذار'!$F$2:$F$501,V224)=F224),N(I224)/N(INDEX('03-آذار'!$I$2:$I$501,V224))-1,""))</f>
        <v/>
      </c>
      <c r="AC224" t="str">
        <f>IF(L224="","",IF(AND($AO$2=1,ISNA(MATCH(L224,'05-أيار'!$L$2:$L$501,0))),"محذوف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IF(L225="","",IF($AO$1=1,IFERROR(MATCH(L225,'03-آذار'!$L$2:$L$501,0),0),0))</f>
        <v/>
      </c>
      <c r="W225" t="str">
        <f t="shared" si="71"/>
        <v/>
      </c>
      <c r="X225" s="38" t="str">
        <f>IF(L225="","",IF(V225&gt;0,INDEX('03-آذار'!$P$2:$P$501,V225),IF($AO$1=1,0,"")))</f>
        <v/>
      </c>
      <c r="Y225" s="38" t="str">
        <f t="shared" si="72"/>
        <v/>
      </c>
      <c r="Z225" s="39" t="str">
        <f>IF(L225="","",IF(V225&gt;0,INDEX('03-آذار'!$Q$2:$Q$501,V225),IF($AO$1=1,0,"")))</f>
        <v/>
      </c>
      <c r="AA225" s="39" t="str">
        <f t="shared" si="73"/>
        <v/>
      </c>
      <c r="AB225" s="40" t="str">
        <f>IF(OR(L225="",V225=0),"",IF(AND(N(I225)&gt;0,N(INDEX('03-آذار'!$I$2:$I$501,V225))&gt;0,INDEX('03-آذار'!$F$2:$F$501,V225)=F225),N(I225)/N(INDEX('03-آذار'!$I$2:$I$501,V225))-1,""))</f>
        <v/>
      </c>
      <c r="AC225" t="str">
        <f>IF(L225="","",IF(AND($AO$2=1,ISNA(MATCH(L225,'05-أيار'!$L$2:$L$501,0))),"محذوف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IF(L226="","",IF($AO$1=1,IFERROR(MATCH(L226,'03-آذار'!$L$2:$L$501,0),0),0))</f>
        <v/>
      </c>
      <c r="W226" t="str">
        <f t="shared" si="71"/>
        <v/>
      </c>
      <c r="X226" s="38" t="str">
        <f>IF(L226="","",IF(V226&gt;0,INDEX('03-آذار'!$P$2:$P$501,V226),IF($AO$1=1,0,"")))</f>
        <v/>
      </c>
      <c r="Y226" s="38" t="str">
        <f t="shared" si="72"/>
        <v/>
      </c>
      <c r="Z226" s="39" t="str">
        <f>IF(L226="","",IF(V226&gt;0,INDEX('03-آذار'!$Q$2:$Q$501,V226),IF($AO$1=1,0,"")))</f>
        <v/>
      </c>
      <c r="AA226" s="39" t="str">
        <f t="shared" si="73"/>
        <v/>
      </c>
      <c r="AB226" s="40" t="str">
        <f>IF(OR(L226="",V226=0),"",IF(AND(N(I226)&gt;0,N(INDEX('03-آذار'!$I$2:$I$501,V226))&gt;0,INDEX('03-آذار'!$F$2:$F$501,V226)=F226),N(I226)/N(INDEX('03-آذار'!$I$2:$I$501,V226))-1,""))</f>
        <v/>
      </c>
      <c r="AC226" t="str">
        <f>IF(L226="","",IF(AND($AO$2=1,ISNA(MATCH(L226,'05-أيار'!$L$2:$L$501,0))),"محذوف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IF(L227="","",IF($AO$1=1,IFERROR(MATCH(L227,'03-آذار'!$L$2:$L$501,0),0),0))</f>
        <v/>
      </c>
      <c r="W227" t="str">
        <f t="shared" si="71"/>
        <v/>
      </c>
      <c r="X227" s="38" t="str">
        <f>IF(L227="","",IF(V227&gt;0,INDEX('03-آذار'!$P$2:$P$501,V227),IF($AO$1=1,0,"")))</f>
        <v/>
      </c>
      <c r="Y227" s="38" t="str">
        <f t="shared" si="72"/>
        <v/>
      </c>
      <c r="Z227" s="39" t="str">
        <f>IF(L227="","",IF(V227&gt;0,INDEX('03-آذار'!$Q$2:$Q$501,V227),IF($AO$1=1,0,"")))</f>
        <v/>
      </c>
      <c r="AA227" s="39" t="str">
        <f t="shared" si="73"/>
        <v/>
      </c>
      <c r="AB227" s="40" t="str">
        <f>IF(OR(L227="",V227=0),"",IF(AND(N(I227)&gt;0,N(INDEX('03-آذار'!$I$2:$I$501,V227))&gt;0,INDEX('03-آذار'!$F$2:$F$501,V227)=F227),N(I227)/N(INDEX('03-آذار'!$I$2:$I$501,V227))-1,""))</f>
        <v/>
      </c>
      <c r="AC227" t="str">
        <f>IF(L227="","",IF(AND($AO$2=1,ISNA(MATCH(L227,'05-أيار'!$L$2:$L$501,0))),"محذوف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IF(L228="","",IF($AO$1=1,IFERROR(MATCH(L228,'03-آذار'!$L$2:$L$501,0),0),0))</f>
        <v/>
      </c>
      <c r="W228" t="str">
        <f t="shared" si="71"/>
        <v/>
      </c>
      <c r="X228" s="38" t="str">
        <f>IF(L228="","",IF(V228&gt;0,INDEX('03-آذار'!$P$2:$P$501,V228),IF($AO$1=1,0,"")))</f>
        <v/>
      </c>
      <c r="Y228" s="38" t="str">
        <f t="shared" si="72"/>
        <v/>
      </c>
      <c r="Z228" s="39" t="str">
        <f>IF(L228="","",IF(V228&gt;0,INDEX('03-آذار'!$Q$2:$Q$501,V228),IF($AO$1=1,0,"")))</f>
        <v/>
      </c>
      <c r="AA228" s="39" t="str">
        <f t="shared" si="73"/>
        <v/>
      </c>
      <c r="AB228" s="40" t="str">
        <f>IF(OR(L228="",V228=0),"",IF(AND(N(I228)&gt;0,N(INDEX('03-آذار'!$I$2:$I$501,V228))&gt;0,INDEX('03-آذار'!$F$2:$F$501,V228)=F228),N(I228)/N(INDEX('03-آذار'!$I$2:$I$501,V228))-1,""))</f>
        <v/>
      </c>
      <c r="AC228" t="str">
        <f>IF(L228="","",IF(AND($AO$2=1,ISNA(MATCH(L228,'05-أيار'!$L$2:$L$501,0))),"محذوف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IF(L229="","",IF($AO$1=1,IFERROR(MATCH(L229,'03-آذار'!$L$2:$L$501,0),0),0))</f>
        <v/>
      </c>
      <c r="W229" t="str">
        <f t="shared" si="71"/>
        <v/>
      </c>
      <c r="X229" s="38" t="str">
        <f>IF(L229="","",IF(V229&gt;0,INDEX('03-آذار'!$P$2:$P$501,V229),IF($AO$1=1,0,"")))</f>
        <v/>
      </c>
      <c r="Y229" s="38" t="str">
        <f t="shared" si="72"/>
        <v/>
      </c>
      <c r="Z229" s="39" t="str">
        <f>IF(L229="","",IF(V229&gt;0,INDEX('03-آذار'!$Q$2:$Q$501,V229),IF($AO$1=1,0,"")))</f>
        <v/>
      </c>
      <c r="AA229" s="39" t="str">
        <f t="shared" si="73"/>
        <v/>
      </c>
      <c r="AB229" s="40" t="str">
        <f>IF(OR(L229="",V229=0),"",IF(AND(N(I229)&gt;0,N(INDEX('03-آذار'!$I$2:$I$501,V229))&gt;0,INDEX('03-آذار'!$F$2:$F$501,V229)=F229),N(I229)/N(INDEX('03-آذار'!$I$2:$I$501,V229))-1,""))</f>
        <v/>
      </c>
      <c r="AC229" t="str">
        <f>IF(L229="","",IF(AND($AO$2=1,ISNA(MATCH(L229,'05-أيار'!$L$2:$L$501,0))),"محذوف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IF(L230="","",IF($AO$1=1,IFERROR(MATCH(L230,'03-آذار'!$L$2:$L$501,0),0),0))</f>
        <v/>
      </c>
      <c r="W230" t="str">
        <f t="shared" si="71"/>
        <v/>
      </c>
      <c r="X230" s="38" t="str">
        <f>IF(L230="","",IF(V230&gt;0,INDEX('03-آذار'!$P$2:$P$501,V230),IF($AO$1=1,0,"")))</f>
        <v/>
      </c>
      <c r="Y230" s="38" t="str">
        <f t="shared" si="72"/>
        <v/>
      </c>
      <c r="Z230" s="39" t="str">
        <f>IF(L230="","",IF(V230&gt;0,INDEX('03-آذار'!$Q$2:$Q$501,V230),IF($AO$1=1,0,"")))</f>
        <v/>
      </c>
      <c r="AA230" s="39" t="str">
        <f t="shared" si="73"/>
        <v/>
      </c>
      <c r="AB230" s="40" t="str">
        <f>IF(OR(L230="",V230=0),"",IF(AND(N(I230)&gt;0,N(INDEX('03-آذار'!$I$2:$I$501,V230))&gt;0,INDEX('03-آذار'!$F$2:$F$501,V230)=F230),N(I230)/N(INDEX('03-آذار'!$I$2:$I$501,V230))-1,""))</f>
        <v/>
      </c>
      <c r="AC230" t="str">
        <f>IF(L230="","",IF(AND($AO$2=1,ISNA(MATCH(L230,'05-أيار'!$L$2:$L$501,0))),"محذوف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IF(L231="","",IF($AO$1=1,IFERROR(MATCH(L231,'03-آذار'!$L$2:$L$501,0),0),0))</f>
        <v/>
      </c>
      <c r="W231" t="str">
        <f t="shared" si="71"/>
        <v/>
      </c>
      <c r="X231" s="38" t="str">
        <f>IF(L231="","",IF(V231&gt;0,INDEX('03-آذار'!$P$2:$P$501,V231),IF($AO$1=1,0,"")))</f>
        <v/>
      </c>
      <c r="Y231" s="38" t="str">
        <f t="shared" si="72"/>
        <v/>
      </c>
      <c r="Z231" s="39" t="str">
        <f>IF(L231="","",IF(V231&gt;0,INDEX('03-آذار'!$Q$2:$Q$501,V231),IF($AO$1=1,0,"")))</f>
        <v/>
      </c>
      <c r="AA231" s="39" t="str">
        <f t="shared" si="73"/>
        <v/>
      </c>
      <c r="AB231" s="40" t="str">
        <f>IF(OR(L231="",V231=0),"",IF(AND(N(I231)&gt;0,N(INDEX('03-آذار'!$I$2:$I$501,V231))&gt;0,INDEX('03-آذار'!$F$2:$F$501,V231)=F231),N(I231)/N(INDEX('03-آذار'!$I$2:$I$501,V231))-1,""))</f>
        <v/>
      </c>
      <c r="AC231" t="str">
        <f>IF(L231="","",IF(AND($AO$2=1,ISNA(MATCH(L231,'05-أيار'!$L$2:$L$501,0))),"محذوف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IF(L232="","",IF($AO$1=1,IFERROR(MATCH(L232,'03-آذار'!$L$2:$L$501,0),0),0))</f>
        <v/>
      </c>
      <c r="W232" t="str">
        <f t="shared" si="71"/>
        <v/>
      </c>
      <c r="X232" s="38" t="str">
        <f>IF(L232="","",IF(V232&gt;0,INDEX('03-آذار'!$P$2:$P$501,V232),IF($AO$1=1,0,"")))</f>
        <v/>
      </c>
      <c r="Y232" s="38" t="str">
        <f t="shared" si="72"/>
        <v/>
      </c>
      <c r="Z232" s="39" t="str">
        <f>IF(L232="","",IF(V232&gt;0,INDEX('03-آذار'!$Q$2:$Q$501,V232),IF($AO$1=1,0,"")))</f>
        <v/>
      </c>
      <c r="AA232" s="39" t="str">
        <f t="shared" si="73"/>
        <v/>
      </c>
      <c r="AB232" s="40" t="str">
        <f>IF(OR(L232="",V232=0),"",IF(AND(N(I232)&gt;0,N(INDEX('03-آذار'!$I$2:$I$501,V232))&gt;0,INDEX('03-آذار'!$F$2:$F$501,V232)=F232),N(I232)/N(INDEX('03-آذار'!$I$2:$I$501,V232))-1,""))</f>
        <v/>
      </c>
      <c r="AC232" t="str">
        <f>IF(L232="","",IF(AND($AO$2=1,ISNA(MATCH(L232,'05-أيار'!$L$2:$L$501,0))),"محذوف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IF(L233="","",IF($AO$1=1,IFERROR(MATCH(L233,'03-آذار'!$L$2:$L$501,0),0),0))</f>
        <v/>
      </c>
      <c r="W233" t="str">
        <f t="shared" si="71"/>
        <v/>
      </c>
      <c r="X233" s="38" t="str">
        <f>IF(L233="","",IF(V233&gt;0,INDEX('03-آذار'!$P$2:$P$501,V233),IF($AO$1=1,0,"")))</f>
        <v/>
      </c>
      <c r="Y233" s="38" t="str">
        <f t="shared" si="72"/>
        <v/>
      </c>
      <c r="Z233" s="39" t="str">
        <f>IF(L233="","",IF(V233&gt;0,INDEX('03-آذار'!$Q$2:$Q$501,V233),IF($AO$1=1,0,"")))</f>
        <v/>
      </c>
      <c r="AA233" s="39" t="str">
        <f t="shared" si="73"/>
        <v/>
      </c>
      <c r="AB233" s="40" t="str">
        <f>IF(OR(L233="",V233=0),"",IF(AND(N(I233)&gt;0,N(INDEX('03-آذار'!$I$2:$I$501,V233))&gt;0,INDEX('03-آذار'!$F$2:$F$501,V233)=F233),N(I233)/N(INDEX('03-آذار'!$I$2:$I$501,V233))-1,""))</f>
        <v/>
      </c>
      <c r="AC233" t="str">
        <f>IF(L233="","",IF(AND($AO$2=1,ISNA(MATCH(L233,'05-أيار'!$L$2:$L$501,0))),"محذوف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IF(L234="","",IF($AO$1=1,IFERROR(MATCH(L234,'03-آذار'!$L$2:$L$501,0),0),0))</f>
        <v/>
      </c>
      <c r="W234" t="str">
        <f t="shared" si="71"/>
        <v/>
      </c>
      <c r="X234" s="38" t="str">
        <f>IF(L234="","",IF(V234&gt;0,INDEX('03-آذار'!$P$2:$P$501,V234),IF($AO$1=1,0,"")))</f>
        <v/>
      </c>
      <c r="Y234" s="38" t="str">
        <f t="shared" si="72"/>
        <v/>
      </c>
      <c r="Z234" s="39" t="str">
        <f>IF(L234="","",IF(V234&gt;0,INDEX('03-آذار'!$Q$2:$Q$501,V234),IF($AO$1=1,0,"")))</f>
        <v/>
      </c>
      <c r="AA234" s="39" t="str">
        <f t="shared" si="73"/>
        <v/>
      </c>
      <c r="AB234" s="40" t="str">
        <f>IF(OR(L234="",V234=0),"",IF(AND(N(I234)&gt;0,N(INDEX('03-آذار'!$I$2:$I$501,V234))&gt;0,INDEX('03-آذار'!$F$2:$F$501,V234)=F234),N(I234)/N(INDEX('03-آذار'!$I$2:$I$501,V234))-1,""))</f>
        <v/>
      </c>
      <c r="AC234" t="str">
        <f>IF(L234="","",IF(AND($AO$2=1,ISNA(MATCH(L234,'05-أيار'!$L$2:$L$501,0))),"محذوف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IF(L235="","",IF($AO$1=1,IFERROR(MATCH(L235,'03-آذار'!$L$2:$L$501,0),0),0))</f>
        <v/>
      </c>
      <c r="W235" t="str">
        <f t="shared" si="71"/>
        <v/>
      </c>
      <c r="X235" s="38" t="str">
        <f>IF(L235="","",IF(V235&gt;0,INDEX('03-آذار'!$P$2:$P$501,V235),IF($AO$1=1,0,"")))</f>
        <v/>
      </c>
      <c r="Y235" s="38" t="str">
        <f t="shared" si="72"/>
        <v/>
      </c>
      <c r="Z235" s="39" t="str">
        <f>IF(L235="","",IF(V235&gt;0,INDEX('03-آذار'!$Q$2:$Q$501,V235),IF($AO$1=1,0,"")))</f>
        <v/>
      </c>
      <c r="AA235" s="39" t="str">
        <f t="shared" si="73"/>
        <v/>
      </c>
      <c r="AB235" s="40" t="str">
        <f>IF(OR(L235="",V235=0),"",IF(AND(N(I235)&gt;0,N(INDEX('03-آذار'!$I$2:$I$501,V235))&gt;0,INDEX('03-آذار'!$F$2:$F$501,V235)=F235),N(I235)/N(INDEX('03-آذار'!$I$2:$I$501,V235))-1,""))</f>
        <v/>
      </c>
      <c r="AC235" t="str">
        <f>IF(L235="","",IF(AND($AO$2=1,ISNA(MATCH(L235,'05-أيار'!$L$2:$L$501,0))),"محذوف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IF(L236="","",IF($AO$1=1,IFERROR(MATCH(L236,'03-آذار'!$L$2:$L$501,0),0),0))</f>
        <v/>
      </c>
      <c r="W236" t="str">
        <f t="shared" si="71"/>
        <v/>
      </c>
      <c r="X236" s="38" t="str">
        <f>IF(L236="","",IF(V236&gt;0,INDEX('03-آذار'!$P$2:$P$501,V236),IF($AO$1=1,0,"")))</f>
        <v/>
      </c>
      <c r="Y236" s="38" t="str">
        <f t="shared" si="72"/>
        <v/>
      </c>
      <c r="Z236" s="39" t="str">
        <f>IF(L236="","",IF(V236&gt;0,INDEX('03-آذار'!$Q$2:$Q$501,V236),IF($AO$1=1,0,"")))</f>
        <v/>
      </c>
      <c r="AA236" s="39" t="str">
        <f t="shared" si="73"/>
        <v/>
      </c>
      <c r="AB236" s="40" t="str">
        <f>IF(OR(L236="",V236=0),"",IF(AND(N(I236)&gt;0,N(INDEX('03-آذار'!$I$2:$I$501,V236))&gt;0,INDEX('03-آذار'!$F$2:$F$501,V236)=F236),N(I236)/N(INDEX('03-آذار'!$I$2:$I$501,V236))-1,""))</f>
        <v/>
      </c>
      <c r="AC236" t="str">
        <f>IF(L236="","",IF(AND($AO$2=1,ISNA(MATCH(L236,'05-أيار'!$L$2:$L$501,0))),"محذوف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IF(L237="","",IF($AO$1=1,IFERROR(MATCH(L237,'03-آذار'!$L$2:$L$501,0),0),0))</f>
        <v/>
      </c>
      <c r="W237" t="str">
        <f t="shared" si="71"/>
        <v/>
      </c>
      <c r="X237" s="38" t="str">
        <f>IF(L237="","",IF(V237&gt;0,INDEX('03-آذار'!$P$2:$P$501,V237),IF($AO$1=1,0,"")))</f>
        <v/>
      </c>
      <c r="Y237" s="38" t="str">
        <f t="shared" si="72"/>
        <v/>
      </c>
      <c r="Z237" s="39" t="str">
        <f>IF(L237="","",IF(V237&gt;0,INDEX('03-آذار'!$Q$2:$Q$501,V237),IF($AO$1=1,0,"")))</f>
        <v/>
      </c>
      <c r="AA237" s="39" t="str">
        <f t="shared" si="73"/>
        <v/>
      </c>
      <c r="AB237" s="40" t="str">
        <f>IF(OR(L237="",V237=0),"",IF(AND(N(I237)&gt;0,N(INDEX('03-آذار'!$I$2:$I$501,V237))&gt;0,INDEX('03-آذار'!$F$2:$F$501,V237)=F237),N(I237)/N(INDEX('03-آذار'!$I$2:$I$501,V237))-1,""))</f>
        <v/>
      </c>
      <c r="AC237" t="str">
        <f>IF(L237="","",IF(AND($AO$2=1,ISNA(MATCH(L237,'05-أيار'!$L$2:$L$501,0))),"محذوف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IF(L238="","",IF($AO$1=1,IFERROR(MATCH(L238,'03-آذار'!$L$2:$L$501,0),0),0))</f>
        <v/>
      </c>
      <c r="W238" t="str">
        <f t="shared" si="71"/>
        <v/>
      </c>
      <c r="X238" s="38" t="str">
        <f>IF(L238="","",IF(V238&gt;0,INDEX('03-آذار'!$P$2:$P$501,V238),IF($AO$1=1,0,"")))</f>
        <v/>
      </c>
      <c r="Y238" s="38" t="str">
        <f t="shared" si="72"/>
        <v/>
      </c>
      <c r="Z238" s="39" t="str">
        <f>IF(L238="","",IF(V238&gt;0,INDEX('03-آذار'!$Q$2:$Q$501,V238),IF($AO$1=1,0,"")))</f>
        <v/>
      </c>
      <c r="AA238" s="39" t="str">
        <f t="shared" si="73"/>
        <v/>
      </c>
      <c r="AB238" s="40" t="str">
        <f>IF(OR(L238="",V238=0),"",IF(AND(N(I238)&gt;0,N(INDEX('03-آذار'!$I$2:$I$501,V238))&gt;0,INDEX('03-آذار'!$F$2:$F$501,V238)=F238),N(I238)/N(INDEX('03-آذار'!$I$2:$I$501,V238))-1,""))</f>
        <v/>
      </c>
      <c r="AC238" t="str">
        <f>IF(L238="","",IF(AND($AO$2=1,ISNA(MATCH(L238,'05-أيار'!$L$2:$L$501,0))),"محذوف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IF(L239="","",IF($AO$1=1,IFERROR(MATCH(L239,'03-آذار'!$L$2:$L$501,0),0),0))</f>
        <v/>
      </c>
      <c r="W239" t="str">
        <f t="shared" si="71"/>
        <v/>
      </c>
      <c r="X239" s="38" t="str">
        <f>IF(L239="","",IF(V239&gt;0,INDEX('03-آذار'!$P$2:$P$501,V239),IF($AO$1=1,0,"")))</f>
        <v/>
      </c>
      <c r="Y239" s="38" t="str">
        <f t="shared" si="72"/>
        <v/>
      </c>
      <c r="Z239" s="39" t="str">
        <f>IF(L239="","",IF(V239&gt;0,INDEX('03-آذار'!$Q$2:$Q$501,V239),IF($AO$1=1,0,"")))</f>
        <v/>
      </c>
      <c r="AA239" s="39" t="str">
        <f t="shared" si="73"/>
        <v/>
      </c>
      <c r="AB239" s="40" t="str">
        <f>IF(OR(L239="",V239=0),"",IF(AND(N(I239)&gt;0,N(INDEX('03-آذار'!$I$2:$I$501,V239))&gt;0,INDEX('03-آذار'!$F$2:$F$501,V239)=F239),N(I239)/N(INDEX('03-آذار'!$I$2:$I$501,V239))-1,""))</f>
        <v/>
      </c>
      <c r="AC239" t="str">
        <f>IF(L239="","",IF(AND($AO$2=1,ISNA(MATCH(L239,'05-أيار'!$L$2:$L$501,0))),"محذوف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IF(L240="","",IF($AO$1=1,IFERROR(MATCH(L240,'03-آذار'!$L$2:$L$501,0),0),0))</f>
        <v/>
      </c>
      <c r="W240" t="str">
        <f t="shared" si="71"/>
        <v/>
      </c>
      <c r="X240" s="38" t="str">
        <f>IF(L240="","",IF(V240&gt;0,INDEX('03-آذار'!$P$2:$P$501,V240),IF($AO$1=1,0,"")))</f>
        <v/>
      </c>
      <c r="Y240" s="38" t="str">
        <f t="shared" si="72"/>
        <v/>
      </c>
      <c r="Z240" s="39" t="str">
        <f>IF(L240="","",IF(V240&gt;0,INDEX('03-آذار'!$Q$2:$Q$501,V240),IF($AO$1=1,0,"")))</f>
        <v/>
      </c>
      <c r="AA240" s="39" t="str">
        <f t="shared" si="73"/>
        <v/>
      </c>
      <c r="AB240" s="40" t="str">
        <f>IF(OR(L240="",V240=0),"",IF(AND(N(I240)&gt;0,N(INDEX('03-آذار'!$I$2:$I$501,V240))&gt;0,INDEX('03-آذار'!$F$2:$F$501,V240)=F240),N(I240)/N(INDEX('03-آذار'!$I$2:$I$501,V240))-1,""))</f>
        <v/>
      </c>
      <c r="AC240" t="str">
        <f>IF(L240="","",IF(AND($AO$2=1,ISNA(MATCH(L240,'05-أيار'!$L$2:$L$501,0))),"محذوف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IF(L241="","",IF($AO$1=1,IFERROR(MATCH(L241,'03-آذار'!$L$2:$L$501,0),0),0))</f>
        <v/>
      </c>
      <c r="W241" t="str">
        <f t="shared" si="71"/>
        <v/>
      </c>
      <c r="X241" s="38" t="str">
        <f>IF(L241="","",IF(V241&gt;0,INDEX('03-آذار'!$P$2:$P$501,V241),IF($AO$1=1,0,"")))</f>
        <v/>
      </c>
      <c r="Y241" s="38" t="str">
        <f t="shared" si="72"/>
        <v/>
      </c>
      <c r="Z241" s="39" t="str">
        <f>IF(L241="","",IF(V241&gt;0,INDEX('03-آذار'!$Q$2:$Q$501,V241),IF($AO$1=1,0,"")))</f>
        <v/>
      </c>
      <c r="AA241" s="39" t="str">
        <f t="shared" si="73"/>
        <v/>
      </c>
      <c r="AB241" s="40" t="str">
        <f>IF(OR(L241="",V241=0),"",IF(AND(N(I241)&gt;0,N(INDEX('03-آذار'!$I$2:$I$501,V241))&gt;0,INDEX('03-آذار'!$F$2:$F$501,V241)=F241),N(I241)/N(INDEX('03-آذار'!$I$2:$I$501,V241))-1,""))</f>
        <v/>
      </c>
      <c r="AC241" t="str">
        <f>IF(L241="","",IF(AND($AO$2=1,ISNA(MATCH(L241,'05-أيار'!$L$2:$L$501,0))),"محذوف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IF(L242="","",IF($AO$1=1,IFERROR(MATCH(L242,'03-آذار'!$L$2:$L$501,0),0),0))</f>
        <v/>
      </c>
      <c r="W242" t="str">
        <f t="shared" si="71"/>
        <v/>
      </c>
      <c r="X242" s="38" t="str">
        <f>IF(L242="","",IF(V242&gt;0,INDEX('03-آذار'!$P$2:$P$501,V242),IF($AO$1=1,0,"")))</f>
        <v/>
      </c>
      <c r="Y242" s="38" t="str">
        <f t="shared" si="72"/>
        <v/>
      </c>
      <c r="Z242" s="39" t="str">
        <f>IF(L242="","",IF(V242&gt;0,INDEX('03-آذار'!$Q$2:$Q$501,V242),IF($AO$1=1,0,"")))</f>
        <v/>
      </c>
      <c r="AA242" s="39" t="str">
        <f t="shared" si="73"/>
        <v/>
      </c>
      <c r="AB242" s="40" t="str">
        <f>IF(OR(L242="",V242=0),"",IF(AND(N(I242)&gt;0,N(INDEX('03-آذار'!$I$2:$I$501,V242))&gt;0,INDEX('03-آذار'!$F$2:$F$501,V242)=F242),N(I242)/N(INDEX('03-آذار'!$I$2:$I$501,V242))-1,""))</f>
        <v/>
      </c>
      <c r="AC242" t="str">
        <f>IF(L242="","",IF(AND($AO$2=1,ISNA(MATCH(L242,'05-أيار'!$L$2:$L$501,0))),"محذوف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IF(L243="","",IF($AO$1=1,IFERROR(MATCH(L243,'03-آذار'!$L$2:$L$501,0),0),0))</f>
        <v/>
      </c>
      <c r="W243" t="str">
        <f t="shared" si="71"/>
        <v/>
      </c>
      <c r="X243" s="38" t="str">
        <f>IF(L243="","",IF(V243&gt;0,INDEX('03-آذار'!$P$2:$P$501,V243),IF($AO$1=1,0,"")))</f>
        <v/>
      </c>
      <c r="Y243" s="38" t="str">
        <f t="shared" si="72"/>
        <v/>
      </c>
      <c r="Z243" s="39" t="str">
        <f>IF(L243="","",IF(V243&gt;0,INDEX('03-آذار'!$Q$2:$Q$501,V243),IF($AO$1=1,0,"")))</f>
        <v/>
      </c>
      <c r="AA243" s="39" t="str">
        <f t="shared" si="73"/>
        <v/>
      </c>
      <c r="AB243" s="40" t="str">
        <f>IF(OR(L243="",V243=0),"",IF(AND(N(I243)&gt;0,N(INDEX('03-آذار'!$I$2:$I$501,V243))&gt;0,INDEX('03-آذار'!$F$2:$F$501,V243)=F243),N(I243)/N(INDEX('03-آذار'!$I$2:$I$501,V243))-1,""))</f>
        <v/>
      </c>
      <c r="AC243" t="str">
        <f>IF(L243="","",IF(AND($AO$2=1,ISNA(MATCH(L243,'05-أيار'!$L$2:$L$501,0))),"محذوف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IF(L244="","",IF($AO$1=1,IFERROR(MATCH(L244,'03-آذار'!$L$2:$L$501,0),0),0))</f>
        <v/>
      </c>
      <c r="W244" t="str">
        <f t="shared" si="71"/>
        <v/>
      </c>
      <c r="X244" s="38" t="str">
        <f>IF(L244="","",IF(V244&gt;0,INDEX('03-آذار'!$P$2:$P$501,V244),IF($AO$1=1,0,"")))</f>
        <v/>
      </c>
      <c r="Y244" s="38" t="str">
        <f t="shared" si="72"/>
        <v/>
      </c>
      <c r="Z244" s="39" t="str">
        <f>IF(L244="","",IF(V244&gt;0,INDEX('03-آذار'!$Q$2:$Q$501,V244),IF($AO$1=1,0,"")))</f>
        <v/>
      </c>
      <c r="AA244" s="39" t="str">
        <f t="shared" si="73"/>
        <v/>
      </c>
      <c r="AB244" s="40" t="str">
        <f>IF(OR(L244="",V244=0),"",IF(AND(N(I244)&gt;0,N(INDEX('03-آذار'!$I$2:$I$501,V244))&gt;0,INDEX('03-آذار'!$F$2:$F$501,V244)=F244),N(I244)/N(INDEX('03-آذار'!$I$2:$I$501,V244))-1,""))</f>
        <v/>
      </c>
      <c r="AC244" t="str">
        <f>IF(L244="","",IF(AND($AO$2=1,ISNA(MATCH(L244,'05-أيار'!$L$2:$L$501,0))),"محذوف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IF(L245="","",IF($AO$1=1,IFERROR(MATCH(L245,'03-آذار'!$L$2:$L$501,0),0),0))</f>
        <v/>
      </c>
      <c r="W245" t="str">
        <f t="shared" si="71"/>
        <v/>
      </c>
      <c r="X245" s="38" t="str">
        <f>IF(L245="","",IF(V245&gt;0,INDEX('03-آذار'!$P$2:$P$501,V245),IF($AO$1=1,0,"")))</f>
        <v/>
      </c>
      <c r="Y245" s="38" t="str">
        <f t="shared" si="72"/>
        <v/>
      </c>
      <c r="Z245" s="39" t="str">
        <f>IF(L245="","",IF(V245&gt;0,INDEX('03-آذار'!$Q$2:$Q$501,V245),IF($AO$1=1,0,"")))</f>
        <v/>
      </c>
      <c r="AA245" s="39" t="str">
        <f t="shared" si="73"/>
        <v/>
      </c>
      <c r="AB245" s="40" t="str">
        <f>IF(OR(L245="",V245=0),"",IF(AND(N(I245)&gt;0,N(INDEX('03-آذار'!$I$2:$I$501,V245))&gt;0,INDEX('03-آذار'!$F$2:$F$501,V245)=F245),N(I245)/N(INDEX('03-آذار'!$I$2:$I$501,V245))-1,""))</f>
        <v/>
      </c>
      <c r="AC245" t="str">
        <f>IF(L245="","",IF(AND($AO$2=1,ISNA(MATCH(L245,'05-أيار'!$L$2:$L$501,0))),"محذوف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IF(L246="","",IF($AO$1=1,IFERROR(MATCH(L246,'03-آذار'!$L$2:$L$501,0),0),0))</f>
        <v/>
      </c>
      <c r="W246" t="str">
        <f t="shared" si="71"/>
        <v/>
      </c>
      <c r="X246" s="38" t="str">
        <f>IF(L246="","",IF(V246&gt;0,INDEX('03-آذار'!$P$2:$P$501,V246),IF($AO$1=1,0,"")))</f>
        <v/>
      </c>
      <c r="Y246" s="38" t="str">
        <f t="shared" si="72"/>
        <v/>
      </c>
      <c r="Z246" s="39" t="str">
        <f>IF(L246="","",IF(V246&gt;0,INDEX('03-آذار'!$Q$2:$Q$501,V246),IF($AO$1=1,0,"")))</f>
        <v/>
      </c>
      <c r="AA246" s="39" t="str">
        <f t="shared" si="73"/>
        <v/>
      </c>
      <c r="AB246" s="40" t="str">
        <f>IF(OR(L246="",V246=0),"",IF(AND(N(I246)&gt;0,N(INDEX('03-آذار'!$I$2:$I$501,V246))&gt;0,INDEX('03-آذار'!$F$2:$F$501,V246)=F246),N(I246)/N(INDEX('03-آذار'!$I$2:$I$501,V246))-1,""))</f>
        <v/>
      </c>
      <c r="AC246" t="str">
        <f>IF(L246="","",IF(AND($AO$2=1,ISNA(MATCH(L246,'05-أيار'!$L$2:$L$501,0))),"محذوف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IF(L247="","",IF($AO$1=1,IFERROR(MATCH(L247,'03-آذار'!$L$2:$L$501,0),0),0))</f>
        <v/>
      </c>
      <c r="W247" t="str">
        <f t="shared" si="71"/>
        <v/>
      </c>
      <c r="X247" s="38" t="str">
        <f>IF(L247="","",IF(V247&gt;0,INDEX('03-آذار'!$P$2:$P$501,V247),IF($AO$1=1,0,"")))</f>
        <v/>
      </c>
      <c r="Y247" s="38" t="str">
        <f t="shared" si="72"/>
        <v/>
      </c>
      <c r="Z247" s="39" t="str">
        <f>IF(L247="","",IF(V247&gt;0,INDEX('03-آذار'!$Q$2:$Q$501,V247),IF($AO$1=1,0,"")))</f>
        <v/>
      </c>
      <c r="AA247" s="39" t="str">
        <f t="shared" si="73"/>
        <v/>
      </c>
      <c r="AB247" s="40" t="str">
        <f>IF(OR(L247="",V247=0),"",IF(AND(N(I247)&gt;0,N(INDEX('03-آذار'!$I$2:$I$501,V247))&gt;0,INDEX('03-آذار'!$F$2:$F$501,V247)=F247),N(I247)/N(INDEX('03-آذار'!$I$2:$I$501,V247))-1,""))</f>
        <v/>
      </c>
      <c r="AC247" t="str">
        <f>IF(L247="","",IF(AND($AO$2=1,ISNA(MATCH(L247,'05-أيار'!$L$2:$L$501,0))),"محذوف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IF(L248="","",IF($AO$1=1,IFERROR(MATCH(L248,'03-آذار'!$L$2:$L$501,0),0),0))</f>
        <v/>
      </c>
      <c r="W248" t="str">
        <f t="shared" si="71"/>
        <v/>
      </c>
      <c r="X248" s="38" t="str">
        <f>IF(L248="","",IF(V248&gt;0,INDEX('03-آذار'!$P$2:$P$501,V248),IF($AO$1=1,0,"")))</f>
        <v/>
      </c>
      <c r="Y248" s="38" t="str">
        <f t="shared" si="72"/>
        <v/>
      </c>
      <c r="Z248" s="39" t="str">
        <f>IF(L248="","",IF(V248&gt;0,INDEX('03-آذار'!$Q$2:$Q$501,V248),IF($AO$1=1,0,"")))</f>
        <v/>
      </c>
      <c r="AA248" s="39" t="str">
        <f t="shared" si="73"/>
        <v/>
      </c>
      <c r="AB248" s="40" t="str">
        <f>IF(OR(L248="",V248=0),"",IF(AND(N(I248)&gt;0,N(INDEX('03-آذار'!$I$2:$I$501,V248))&gt;0,INDEX('03-آذار'!$F$2:$F$501,V248)=F248),N(I248)/N(INDEX('03-آذار'!$I$2:$I$501,V248))-1,""))</f>
        <v/>
      </c>
      <c r="AC248" t="str">
        <f>IF(L248="","",IF(AND($AO$2=1,ISNA(MATCH(L248,'05-أيار'!$L$2:$L$501,0))),"محذوف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IF(L249="","",IF($AO$1=1,IFERROR(MATCH(L249,'03-آذار'!$L$2:$L$501,0),0),0))</f>
        <v/>
      </c>
      <c r="W249" t="str">
        <f t="shared" si="71"/>
        <v/>
      </c>
      <c r="X249" s="38" t="str">
        <f>IF(L249="","",IF(V249&gt;0,INDEX('03-آذار'!$P$2:$P$501,V249),IF($AO$1=1,0,"")))</f>
        <v/>
      </c>
      <c r="Y249" s="38" t="str">
        <f t="shared" si="72"/>
        <v/>
      </c>
      <c r="Z249" s="39" t="str">
        <f>IF(L249="","",IF(V249&gt;0,INDEX('03-آذار'!$Q$2:$Q$501,V249),IF($AO$1=1,0,"")))</f>
        <v/>
      </c>
      <c r="AA249" s="39" t="str">
        <f t="shared" si="73"/>
        <v/>
      </c>
      <c r="AB249" s="40" t="str">
        <f>IF(OR(L249="",V249=0),"",IF(AND(N(I249)&gt;0,N(INDEX('03-آذار'!$I$2:$I$501,V249))&gt;0,INDEX('03-آذار'!$F$2:$F$501,V249)=F249),N(I249)/N(INDEX('03-آذار'!$I$2:$I$501,V249))-1,""))</f>
        <v/>
      </c>
      <c r="AC249" t="str">
        <f>IF(L249="","",IF(AND($AO$2=1,ISNA(MATCH(L249,'05-أيار'!$L$2:$L$501,0))),"محذوف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IF(L250="","",IF($AO$1=1,IFERROR(MATCH(L250,'03-آذار'!$L$2:$L$501,0),0),0))</f>
        <v/>
      </c>
      <c r="W250" t="str">
        <f t="shared" si="71"/>
        <v/>
      </c>
      <c r="X250" s="38" t="str">
        <f>IF(L250="","",IF(V250&gt;0,INDEX('03-آذار'!$P$2:$P$501,V250),IF($AO$1=1,0,"")))</f>
        <v/>
      </c>
      <c r="Y250" s="38" t="str">
        <f t="shared" si="72"/>
        <v/>
      </c>
      <c r="Z250" s="39" t="str">
        <f>IF(L250="","",IF(V250&gt;0,INDEX('03-آذار'!$Q$2:$Q$501,V250),IF($AO$1=1,0,"")))</f>
        <v/>
      </c>
      <c r="AA250" s="39" t="str">
        <f t="shared" si="73"/>
        <v/>
      </c>
      <c r="AB250" s="40" t="str">
        <f>IF(OR(L250="",V250=0),"",IF(AND(N(I250)&gt;0,N(INDEX('03-آذار'!$I$2:$I$501,V250))&gt;0,INDEX('03-آذار'!$F$2:$F$501,V250)=F250),N(I250)/N(INDEX('03-آذار'!$I$2:$I$501,V250))-1,""))</f>
        <v/>
      </c>
      <c r="AC250" t="str">
        <f>IF(L250="","",IF(AND($AO$2=1,ISNA(MATCH(L250,'05-أيار'!$L$2:$L$501,0))),"محذوف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IF(L251="","",IF($AO$1=1,IFERROR(MATCH(L251,'03-آذار'!$L$2:$L$501,0),0),0))</f>
        <v/>
      </c>
      <c r="W251" t="str">
        <f t="shared" si="71"/>
        <v/>
      </c>
      <c r="X251" s="38" t="str">
        <f>IF(L251="","",IF(V251&gt;0,INDEX('03-آذار'!$P$2:$P$501,V251),IF($AO$1=1,0,"")))</f>
        <v/>
      </c>
      <c r="Y251" s="38" t="str">
        <f t="shared" si="72"/>
        <v/>
      </c>
      <c r="Z251" s="39" t="str">
        <f>IF(L251="","",IF(V251&gt;0,INDEX('03-آذار'!$Q$2:$Q$501,V251),IF($AO$1=1,0,"")))</f>
        <v/>
      </c>
      <c r="AA251" s="39" t="str">
        <f t="shared" si="73"/>
        <v/>
      </c>
      <c r="AB251" s="40" t="str">
        <f>IF(OR(L251="",V251=0),"",IF(AND(N(I251)&gt;0,N(INDEX('03-آذار'!$I$2:$I$501,V251))&gt;0,INDEX('03-آذار'!$F$2:$F$501,V251)=F251),N(I251)/N(INDEX('03-آذار'!$I$2:$I$501,V251))-1,""))</f>
        <v/>
      </c>
      <c r="AC251" t="str">
        <f>IF(L251="","",IF(AND($AO$2=1,ISNA(MATCH(L251,'05-أيار'!$L$2:$L$501,0))),"محذوف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IF(L252="","",IF($AO$1=1,IFERROR(MATCH(L252,'03-آذار'!$L$2:$L$501,0),0),0))</f>
        <v/>
      </c>
      <c r="W252" t="str">
        <f t="shared" si="71"/>
        <v/>
      </c>
      <c r="X252" s="38" t="str">
        <f>IF(L252="","",IF(V252&gt;0,INDEX('03-آذار'!$P$2:$P$501,V252),IF($AO$1=1,0,"")))</f>
        <v/>
      </c>
      <c r="Y252" s="38" t="str">
        <f t="shared" si="72"/>
        <v/>
      </c>
      <c r="Z252" s="39" t="str">
        <f>IF(L252="","",IF(V252&gt;0,INDEX('03-آذار'!$Q$2:$Q$501,V252),IF($AO$1=1,0,"")))</f>
        <v/>
      </c>
      <c r="AA252" s="39" t="str">
        <f t="shared" si="73"/>
        <v/>
      </c>
      <c r="AB252" s="40" t="str">
        <f>IF(OR(L252="",V252=0),"",IF(AND(N(I252)&gt;0,N(INDEX('03-آذار'!$I$2:$I$501,V252))&gt;0,INDEX('03-آذار'!$F$2:$F$501,V252)=F252),N(I252)/N(INDEX('03-آذار'!$I$2:$I$501,V252))-1,""))</f>
        <v/>
      </c>
      <c r="AC252" t="str">
        <f>IF(L252="","",IF(AND($AO$2=1,ISNA(MATCH(L252,'05-أيار'!$L$2:$L$501,0))),"محذوف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IF(L253="","",IF($AO$1=1,IFERROR(MATCH(L253,'03-آذار'!$L$2:$L$501,0),0),0))</f>
        <v/>
      </c>
      <c r="W253" t="str">
        <f t="shared" si="71"/>
        <v/>
      </c>
      <c r="X253" s="38" t="str">
        <f>IF(L253="","",IF(V253&gt;0,INDEX('03-آذار'!$P$2:$P$501,V253),IF($AO$1=1,0,"")))</f>
        <v/>
      </c>
      <c r="Y253" s="38" t="str">
        <f t="shared" si="72"/>
        <v/>
      </c>
      <c r="Z253" s="39" t="str">
        <f>IF(L253="","",IF(V253&gt;0,INDEX('03-آذار'!$Q$2:$Q$501,V253),IF($AO$1=1,0,"")))</f>
        <v/>
      </c>
      <c r="AA253" s="39" t="str">
        <f t="shared" si="73"/>
        <v/>
      </c>
      <c r="AB253" s="40" t="str">
        <f>IF(OR(L253="",V253=0),"",IF(AND(N(I253)&gt;0,N(INDEX('03-آذار'!$I$2:$I$501,V253))&gt;0,INDEX('03-آذار'!$F$2:$F$501,V253)=F253),N(I253)/N(INDEX('03-آذار'!$I$2:$I$501,V253))-1,""))</f>
        <v/>
      </c>
      <c r="AC253" t="str">
        <f>IF(L253="","",IF(AND($AO$2=1,ISNA(MATCH(L253,'05-أيار'!$L$2:$L$501,0))),"محذوف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IF(L254="","",IF($AO$1=1,IFERROR(MATCH(L254,'03-آذار'!$L$2:$L$501,0),0),0))</f>
        <v/>
      </c>
      <c r="W254" t="str">
        <f t="shared" si="71"/>
        <v/>
      </c>
      <c r="X254" s="38" t="str">
        <f>IF(L254="","",IF(V254&gt;0,INDEX('03-آذار'!$P$2:$P$501,V254),IF($AO$1=1,0,"")))</f>
        <v/>
      </c>
      <c r="Y254" s="38" t="str">
        <f t="shared" si="72"/>
        <v/>
      </c>
      <c r="Z254" s="39" t="str">
        <f>IF(L254="","",IF(V254&gt;0,INDEX('03-آذار'!$Q$2:$Q$501,V254),IF($AO$1=1,0,"")))</f>
        <v/>
      </c>
      <c r="AA254" s="39" t="str">
        <f t="shared" si="73"/>
        <v/>
      </c>
      <c r="AB254" s="40" t="str">
        <f>IF(OR(L254="",V254=0),"",IF(AND(N(I254)&gt;0,N(INDEX('03-آذار'!$I$2:$I$501,V254))&gt;0,INDEX('03-آذار'!$F$2:$F$501,V254)=F254),N(I254)/N(INDEX('03-آذار'!$I$2:$I$501,V254))-1,""))</f>
        <v/>
      </c>
      <c r="AC254" t="str">
        <f>IF(L254="","",IF(AND($AO$2=1,ISNA(MATCH(L254,'05-أيار'!$L$2:$L$501,0))),"محذوف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IF(L255="","",IF($AO$1=1,IFERROR(MATCH(L255,'03-آذار'!$L$2:$L$501,0),0),0))</f>
        <v/>
      </c>
      <c r="W255" t="str">
        <f t="shared" si="71"/>
        <v/>
      </c>
      <c r="X255" s="38" t="str">
        <f>IF(L255="","",IF(V255&gt;0,INDEX('03-آذار'!$P$2:$P$501,V255),IF($AO$1=1,0,"")))</f>
        <v/>
      </c>
      <c r="Y255" s="38" t="str">
        <f t="shared" si="72"/>
        <v/>
      </c>
      <c r="Z255" s="39" t="str">
        <f>IF(L255="","",IF(V255&gt;0,INDEX('03-آذار'!$Q$2:$Q$501,V255),IF($AO$1=1,0,"")))</f>
        <v/>
      </c>
      <c r="AA255" s="39" t="str">
        <f t="shared" si="73"/>
        <v/>
      </c>
      <c r="AB255" s="40" t="str">
        <f>IF(OR(L255="",V255=0),"",IF(AND(N(I255)&gt;0,N(INDEX('03-آذار'!$I$2:$I$501,V255))&gt;0,INDEX('03-آذار'!$F$2:$F$501,V255)=F255),N(I255)/N(INDEX('03-آذار'!$I$2:$I$501,V255))-1,""))</f>
        <v/>
      </c>
      <c r="AC255" t="str">
        <f>IF(L255="","",IF(AND($AO$2=1,ISNA(MATCH(L255,'05-أيار'!$L$2:$L$501,0))),"محذوف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IF(L256="","",IF($AO$1=1,IFERROR(MATCH(L256,'03-آذار'!$L$2:$L$501,0),0),0))</f>
        <v/>
      </c>
      <c r="W256" t="str">
        <f t="shared" si="71"/>
        <v/>
      </c>
      <c r="X256" s="38" t="str">
        <f>IF(L256="","",IF(V256&gt;0,INDEX('03-آذار'!$P$2:$P$501,V256),IF($AO$1=1,0,"")))</f>
        <v/>
      </c>
      <c r="Y256" s="38" t="str">
        <f t="shared" si="72"/>
        <v/>
      </c>
      <c r="Z256" s="39" t="str">
        <f>IF(L256="","",IF(V256&gt;0,INDEX('03-آذار'!$Q$2:$Q$501,V256),IF($AO$1=1,0,"")))</f>
        <v/>
      </c>
      <c r="AA256" s="39" t="str">
        <f t="shared" si="73"/>
        <v/>
      </c>
      <c r="AB256" s="40" t="str">
        <f>IF(OR(L256="",V256=0),"",IF(AND(N(I256)&gt;0,N(INDEX('03-آذار'!$I$2:$I$501,V256))&gt;0,INDEX('03-آذار'!$F$2:$F$501,V256)=F256),N(I256)/N(INDEX('03-آذار'!$I$2:$I$501,V256))-1,""))</f>
        <v/>
      </c>
      <c r="AC256" t="str">
        <f>IF(L256="","",IF(AND($AO$2=1,ISNA(MATCH(L256,'05-أيار'!$L$2:$L$501,0))),"محذوف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IF(L257="","",IF($AO$1=1,IFERROR(MATCH(L257,'03-آذار'!$L$2:$L$501,0),0),0))</f>
        <v/>
      </c>
      <c r="W257" t="str">
        <f t="shared" si="71"/>
        <v/>
      </c>
      <c r="X257" s="38" t="str">
        <f>IF(L257="","",IF(V257&gt;0,INDEX('03-آذار'!$P$2:$P$501,V257),IF($AO$1=1,0,"")))</f>
        <v/>
      </c>
      <c r="Y257" s="38" t="str">
        <f t="shared" si="72"/>
        <v/>
      </c>
      <c r="Z257" s="39" t="str">
        <f>IF(L257="","",IF(V257&gt;0,INDEX('03-آذار'!$Q$2:$Q$501,V257),IF($AO$1=1,0,"")))</f>
        <v/>
      </c>
      <c r="AA257" s="39" t="str">
        <f t="shared" si="73"/>
        <v/>
      </c>
      <c r="AB257" s="40" t="str">
        <f>IF(OR(L257="",V257=0),"",IF(AND(N(I257)&gt;0,N(INDEX('03-آذار'!$I$2:$I$501,V257))&gt;0,INDEX('03-آذار'!$F$2:$F$501,V257)=F257),N(I257)/N(INDEX('03-آذار'!$I$2:$I$501,V257))-1,""))</f>
        <v/>
      </c>
      <c r="AC257" t="str">
        <f>IF(L257="","",IF(AND($AO$2=1,ISNA(MATCH(L257,'05-أيار'!$L$2:$L$501,0))),"محذوف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IF(L258="","",IF($AO$1=1,IFERROR(MATCH(L258,'03-آذار'!$L$2:$L$501,0),0),0))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IF(L258="","",IF(V258&gt;0,INDEX('03-آذار'!$P$2:$P$501,V258),IF($AO$1=1,0,"")))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IF(L258="","",IF(V258&gt;0,INDEX('03-آذار'!$Q$2:$Q$501,V258),IF($AO$1=1,0,"")))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IF(OR(L258="",V258=0),"",IF(AND(N(I258)&gt;0,N(INDEX('03-آذار'!$I$2:$I$501,V258))&gt;0,INDEX('03-آذار'!$F$2:$F$501,V258)=F258),N(I258)/N(INDEX('03-آذار'!$I$2:$I$501,V258))-1,""))</f>
        <v/>
      </c>
      <c r="AC258" t="str">
        <f>IF(L258="","",IF(AND($AO$2=1,ISNA(MATCH(L258,'05-أيار'!$L$2:$L$501,0))),"محذوف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IF(L259="","",IF($AO$1=1,IFERROR(MATCH(L259,'03-آذار'!$L$2:$L$501,0),0),0))</f>
        <v/>
      </c>
      <c r="W259" t="str">
        <f t="shared" si="91"/>
        <v/>
      </c>
      <c r="X259" s="38" t="str">
        <f>IF(L259="","",IF(V259&gt;0,INDEX('03-آذار'!$P$2:$P$501,V259),IF($AO$1=1,0,"")))</f>
        <v/>
      </c>
      <c r="Y259" s="38" t="str">
        <f t="shared" si="92"/>
        <v/>
      </c>
      <c r="Z259" s="39" t="str">
        <f>IF(L259="","",IF(V259&gt;0,INDEX('03-آذار'!$Q$2:$Q$501,V259),IF($AO$1=1,0,"")))</f>
        <v/>
      </c>
      <c r="AA259" s="39" t="str">
        <f t="shared" si="93"/>
        <v/>
      </c>
      <c r="AB259" s="40" t="str">
        <f>IF(OR(L259="",V259=0),"",IF(AND(N(I259)&gt;0,N(INDEX('03-آذار'!$I$2:$I$501,V259))&gt;0,INDEX('03-آذار'!$F$2:$F$501,V259)=F259),N(I259)/N(INDEX('03-آذار'!$I$2:$I$501,V259))-1,""))</f>
        <v/>
      </c>
      <c r="AC259" t="str">
        <f>IF(L259="","",IF(AND($AO$2=1,ISNA(MATCH(L259,'05-أيار'!$L$2:$L$501,0))),"محذوف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IF(L260="","",IF($AO$1=1,IFERROR(MATCH(L260,'03-آذار'!$L$2:$L$501,0),0),0))</f>
        <v/>
      </c>
      <c r="W260" t="str">
        <f t="shared" si="91"/>
        <v/>
      </c>
      <c r="X260" s="38" t="str">
        <f>IF(L260="","",IF(V260&gt;0,INDEX('03-آذار'!$P$2:$P$501,V260),IF($AO$1=1,0,"")))</f>
        <v/>
      </c>
      <c r="Y260" s="38" t="str">
        <f t="shared" si="92"/>
        <v/>
      </c>
      <c r="Z260" s="39" t="str">
        <f>IF(L260="","",IF(V260&gt;0,INDEX('03-آذار'!$Q$2:$Q$501,V260),IF($AO$1=1,0,"")))</f>
        <v/>
      </c>
      <c r="AA260" s="39" t="str">
        <f t="shared" si="93"/>
        <v/>
      </c>
      <c r="AB260" s="40" t="str">
        <f>IF(OR(L260="",V260=0),"",IF(AND(N(I260)&gt;0,N(INDEX('03-آذار'!$I$2:$I$501,V260))&gt;0,INDEX('03-آذار'!$F$2:$F$501,V260)=F260),N(I260)/N(INDEX('03-آذار'!$I$2:$I$501,V260))-1,""))</f>
        <v/>
      </c>
      <c r="AC260" t="str">
        <f>IF(L260="","",IF(AND($AO$2=1,ISNA(MATCH(L260,'05-أيار'!$L$2:$L$501,0))),"محذوف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IF(L261="","",IF($AO$1=1,IFERROR(MATCH(L261,'03-آذار'!$L$2:$L$501,0),0),0))</f>
        <v/>
      </c>
      <c r="W261" t="str">
        <f t="shared" si="91"/>
        <v/>
      </c>
      <c r="X261" s="38" t="str">
        <f>IF(L261="","",IF(V261&gt;0,INDEX('03-آذار'!$P$2:$P$501,V261),IF($AO$1=1,0,"")))</f>
        <v/>
      </c>
      <c r="Y261" s="38" t="str">
        <f t="shared" si="92"/>
        <v/>
      </c>
      <c r="Z261" s="39" t="str">
        <f>IF(L261="","",IF(V261&gt;0,INDEX('03-آذار'!$Q$2:$Q$501,V261),IF($AO$1=1,0,"")))</f>
        <v/>
      </c>
      <c r="AA261" s="39" t="str">
        <f t="shared" si="93"/>
        <v/>
      </c>
      <c r="AB261" s="40" t="str">
        <f>IF(OR(L261="",V261=0),"",IF(AND(N(I261)&gt;0,N(INDEX('03-آذار'!$I$2:$I$501,V261))&gt;0,INDEX('03-آذار'!$F$2:$F$501,V261)=F261),N(I261)/N(INDEX('03-آذار'!$I$2:$I$501,V261))-1,""))</f>
        <v/>
      </c>
      <c r="AC261" t="str">
        <f>IF(L261="","",IF(AND($AO$2=1,ISNA(MATCH(L261,'05-أيار'!$L$2:$L$501,0))),"محذوف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IF(L262="","",IF($AO$1=1,IFERROR(MATCH(L262,'03-آذار'!$L$2:$L$501,0),0),0))</f>
        <v/>
      </c>
      <c r="W262" t="str">
        <f t="shared" si="91"/>
        <v/>
      </c>
      <c r="X262" s="38" t="str">
        <f>IF(L262="","",IF(V262&gt;0,INDEX('03-آذار'!$P$2:$P$501,V262),IF($AO$1=1,0,"")))</f>
        <v/>
      </c>
      <c r="Y262" s="38" t="str">
        <f t="shared" si="92"/>
        <v/>
      </c>
      <c r="Z262" s="39" t="str">
        <f>IF(L262="","",IF(V262&gt;0,INDEX('03-آذار'!$Q$2:$Q$501,V262),IF($AO$1=1,0,"")))</f>
        <v/>
      </c>
      <c r="AA262" s="39" t="str">
        <f t="shared" si="93"/>
        <v/>
      </c>
      <c r="AB262" s="40" t="str">
        <f>IF(OR(L262="",V262=0),"",IF(AND(N(I262)&gt;0,N(INDEX('03-آذار'!$I$2:$I$501,V262))&gt;0,INDEX('03-آذار'!$F$2:$F$501,V262)=F262),N(I262)/N(INDEX('03-آذار'!$I$2:$I$501,V262))-1,""))</f>
        <v/>
      </c>
      <c r="AC262" t="str">
        <f>IF(L262="","",IF(AND($AO$2=1,ISNA(MATCH(L262,'05-أيار'!$L$2:$L$501,0))),"محذوف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IF(L263="","",IF($AO$1=1,IFERROR(MATCH(L263,'03-آذار'!$L$2:$L$501,0),0),0))</f>
        <v/>
      </c>
      <c r="W263" t="str">
        <f t="shared" si="91"/>
        <v/>
      </c>
      <c r="X263" s="38" t="str">
        <f>IF(L263="","",IF(V263&gt;0,INDEX('03-آذار'!$P$2:$P$501,V263),IF($AO$1=1,0,"")))</f>
        <v/>
      </c>
      <c r="Y263" s="38" t="str">
        <f t="shared" si="92"/>
        <v/>
      </c>
      <c r="Z263" s="39" t="str">
        <f>IF(L263="","",IF(V263&gt;0,INDEX('03-آذار'!$Q$2:$Q$501,V263),IF($AO$1=1,0,"")))</f>
        <v/>
      </c>
      <c r="AA263" s="39" t="str">
        <f t="shared" si="93"/>
        <v/>
      </c>
      <c r="AB263" s="40" t="str">
        <f>IF(OR(L263="",V263=0),"",IF(AND(N(I263)&gt;0,N(INDEX('03-آذار'!$I$2:$I$501,V263))&gt;0,INDEX('03-آذار'!$F$2:$F$501,V263)=F263),N(I263)/N(INDEX('03-آذار'!$I$2:$I$501,V263))-1,""))</f>
        <v/>
      </c>
      <c r="AC263" t="str">
        <f>IF(L263="","",IF(AND($AO$2=1,ISNA(MATCH(L263,'05-أيار'!$L$2:$L$501,0))),"محذوف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IF(L264="","",IF($AO$1=1,IFERROR(MATCH(L264,'03-آذار'!$L$2:$L$501,0),0),0))</f>
        <v/>
      </c>
      <c r="W264" t="str">
        <f t="shared" si="91"/>
        <v/>
      </c>
      <c r="X264" s="38" t="str">
        <f>IF(L264="","",IF(V264&gt;0,INDEX('03-آذار'!$P$2:$P$501,V264),IF($AO$1=1,0,"")))</f>
        <v/>
      </c>
      <c r="Y264" s="38" t="str">
        <f t="shared" si="92"/>
        <v/>
      </c>
      <c r="Z264" s="39" t="str">
        <f>IF(L264="","",IF(V264&gt;0,INDEX('03-آذار'!$Q$2:$Q$501,V264),IF($AO$1=1,0,"")))</f>
        <v/>
      </c>
      <c r="AA264" s="39" t="str">
        <f t="shared" si="93"/>
        <v/>
      </c>
      <c r="AB264" s="40" t="str">
        <f>IF(OR(L264="",V264=0),"",IF(AND(N(I264)&gt;0,N(INDEX('03-آذار'!$I$2:$I$501,V264))&gt;0,INDEX('03-آذار'!$F$2:$F$501,V264)=F264),N(I264)/N(INDEX('03-آذار'!$I$2:$I$501,V264))-1,""))</f>
        <v/>
      </c>
      <c r="AC264" t="str">
        <f>IF(L264="","",IF(AND($AO$2=1,ISNA(MATCH(L264,'05-أيار'!$L$2:$L$501,0))),"محذوف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IF(L265="","",IF($AO$1=1,IFERROR(MATCH(L265,'03-آذار'!$L$2:$L$501,0),0),0))</f>
        <v/>
      </c>
      <c r="W265" t="str">
        <f t="shared" si="91"/>
        <v/>
      </c>
      <c r="X265" s="38" t="str">
        <f>IF(L265="","",IF(V265&gt;0,INDEX('03-آذار'!$P$2:$P$501,V265),IF($AO$1=1,0,"")))</f>
        <v/>
      </c>
      <c r="Y265" s="38" t="str">
        <f t="shared" si="92"/>
        <v/>
      </c>
      <c r="Z265" s="39" t="str">
        <f>IF(L265="","",IF(V265&gt;0,INDEX('03-آذار'!$Q$2:$Q$501,V265),IF($AO$1=1,0,"")))</f>
        <v/>
      </c>
      <c r="AA265" s="39" t="str">
        <f t="shared" si="93"/>
        <v/>
      </c>
      <c r="AB265" s="40" t="str">
        <f>IF(OR(L265="",V265=0),"",IF(AND(N(I265)&gt;0,N(INDEX('03-آذار'!$I$2:$I$501,V265))&gt;0,INDEX('03-آذار'!$F$2:$F$501,V265)=F265),N(I265)/N(INDEX('03-آذار'!$I$2:$I$501,V265))-1,""))</f>
        <v/>
      </c>
      <c r="AC265" t="str">
        <f>IF(L265="","",IF(AND($AO$2=1,ISNA(MATCH(L265,'05-أيار'!$L$2:$L$501,0))),"محذوف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IF(L266="","",IF($AO$1=1,IFERROR(MATCH(L266,'03-آذار'!$L$2:$L$501,0),0),0))</f>
        <v/>
      </c>
      <c r="W266" t="str">
        <f t="shared" si="91"/>
        <v/>
      </c>
      <c r="X266" s="38" t="str">
        <f>IF(L266="","",IF(V266&gt;0,INDEX('03-آذار'!$P$2:$P$501,V266),IF($AO$1=1,0,"")))</f>
        <v/>
      </c>
      <c r="Y266" s="38" t="str">
        <f t="shared" si="92"/>
        <v/>
      </c>
      <c r="Z266" s="39" t="str">
        <f>IF(L266="","",IF(V266&gt;0,INDEX('03-آذار'!$Q$2:$Q$501,V266),IF($AO$1=1,0,"")))</f>
        <v/>
      </c>
      <c r="AA266" s="39" t="str">
        <f t="shared" si="93"/>
        <v/>
      </c>
      <c r="AB266" s="40" t="str">
        <f>IF(OR(L266="",V266=0),"",IF(AND(N(I266)&gt;0,N(INDEX('03-آذار'!$I$2:$I$501,V266))&gt;0,INDEX('03-آذار'!$F$2:$F$501,V266)=F266),N(I266)/N(INDEX('03-آذار'!$I$2:$I$501,V266))-1,""))</f>
        <v/>
      </c>
      <c r="AC266" t="str">
        <f>IF(L266="","",IF(AND($AO$2=1,ISNA(MATCH(L266,'05-أيار'!$L$2:$L$501,0))),"محذوف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IF(L267="","",IF($AO$1=1,IFERROR(MATCH(L267,'03-آذار'!$L$2:$L$501,0),0),0))</f>
        <v/>
      </c>
      <c r="W267" t="str">
        <f t="shared" si="91"/>
        <v/>
      </c>
      <c r="X267" s="38" t="str">
        <f>IF(L267="","",IF(V267&gt;0,INDEX('03-آذار'!$P$2:$P$501,V267),IF($AO$1=1,0,"")))</f>
        <v/>
      </c>
      <c r="Y267" s="38" t="str">
        <f t="shared" si="92"/>
        <v/>
      </c>
      <c r="Z267" s="39" t="str">
        <f>IF(L267="","",IF(V267&gt;0,INDEX('03-آذار'!$Q$2:$Q$501,V267),IF($AO$1=1,0,"")))</f>
        <v/>
      </c>
      <c r="AA267" s="39" t="str">
        <f t="shared" si="93"/>
        <v/>
      </c>
      <c r="AB267" s="40" t="str">
        <f>IF(OR(L267="",V267=0),"",IF(AND(N(I267)&gt;0,N(INDEX('03-آذار'!$I$2:$I$501,V267))&gt;0,INDEX('03-آذار'!$F$2:$F$501,V267)=F267),N(I267)/N(INDEX('03-آذار'!$I$2:$I$501,V267))-1,""))</f>
        <v/>
      </c>
      <c r="AC267" t="str">
        <f>IF(L267="","",IF(AND($AO$2=1,ISNA(MATCH(L267,'05-أيار'!$L$2:$L$501,0))),"محذوف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IF(L268="","",IF($AO$1=1,IFERROR(MATCH(L268,'03-آذار'!$L$2:$L$501,0),0),0))</f>
        <v/>
      </c>
      <c r="W268" t="str">
        <f t="shared" si="91"/>
        <v/>
      </c>
      <c r="X268" s="38" t="str">
        <f>IF(L268="","",IF(V268&gt;0,INDEX('03-آذار'!$P$2:$P$501,V268),IF($AO$1=1,0,"")))</f>
        <v/>
      </c>
      <c r="Y268" s="38" t="str">
        <f t="shared" si="92"/>
        <v/>
      </c>
      <c r="Z268" s="39" t="str">
        <f>IF(L268="","",IF(V268&gt;0,INDEX('03-آذار'!$Q$2:$Q$501,V268),IF($AO$1=1,0,"")))</f>
        <v/>
      </c>
      <c r="AA268" s="39" t="str">
        <f t="shared" si="93"/>
        <v/>
      </c>
      <c r="AB268" s="40" t="str">
        <f>IF(OR(L268="",V268=0),"",IF(AND(N(I268)&gt;0,N(INDEX('03-آذار'!$I$2:$I$501,V268))&gt;0,INDEX('03-آذار'!$F$2:$F$501,V268)=F268),N(I268)/N(INDEX('03-آذار'!$I$2:$I$501,V268))-1,""))</f>
        <v/>
      </c>
      <c r="AC268" t="str">
        <f>IF(L268="","",IF(AND($AO$2=1,ISNA(MATCH(L268,'05-أيار'!$L$2:$L$501,0))),"محذوف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IF(L269="","",IF($AO$1=1,IFERROR(MATCH(L269,'03-آذار'!$L$2:$L$501,0),0),0))</f>
        <v/>
      </c>
      <c r="W269" t="str">
        <f t="shared" si="91"/>
        <v/>
      </c>
      <c r="X269" s="38" t="str">
        <f>IF(L269="","",IF(V269&gt;0,INDEX('03-آذار'!$P$2:$P$501,V269),IF($AO$1=1,0,"")))</f>
        <v/>
      </c>
      <c r="Y269" s="38" t="str">
        <f t="shared" si="92"/>
        <v/>
      </c>
      <c r="Z269" s="39" t="str">
        <f>IF(L269="","",IF(V269&gt;0,INDEX('03-آذار'!$Q$2:$Q$501,V269),IF($AO$1=1,0,"")))</f>
        <v/>
      </c>
      <c r="AA269" s="39" t="str">
        <f t="shared" si="93"/>
        <v/>
      </c>
      <c r="AB269" s="40" t="str">
        <f>IF(OR(L269="",V269=0),"",IF(AND(N(I269)&gt;0,N(INDEX('03-آذار'!$I$2:$I$501,V269))&gt;0,INDEX('03-آذار'!$F$2:$F$501,V269)=F269),N(I269)/N(INDEX('03-آذار'!$I$2:$I$501,V269))-1,""))</f>
        <v/>
      </c>
      <c r="AC269" t="str">
        <f>IF(L269="","",IF(AND($AO$2=1,ISNA(MATCH(L269,'05-أيار'!$L$2:$L$501,0))),"محذوف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IF(L270="","",IF($AO$1=1,IFERROR(MATCH(L270,'03-آذار'!$L$2:$L$501,0),0),0))</f>
        <v/>
      </c>
      <c r="W270" t="str">
        <f t="shared" si="91"/>
        <v/>
      </c>
      <c r="X270" s="38" t="str">
        <f>IF(L270="","",IF(V270&gt;0,INDEX('03-آذار'!$P$2:$P$501,V270),IF($AO$1=1,0,"")))</f>
        <v/>
      </c>
      <c r="Y270" s="38" t="str">
        <f t="shared" si="92"/>
        <v/>
      </c>
      <c r="Z270" s="39" t="str">
        <f>IF(L270="","",IF(V270&gt;0,INDEX('03-آذار'!$Q$2:$Q$501,V270),IF($AO$1=1,0,"")))</f>
        <v/>
      </c>
      <c r="AA270" s="39" t="str">
        <f t="shared" si="93"/>
        <v/>
      </c>
      <c r="AB270" s="40" t="str">
        <f>IF(OR(L270="",V270=0),"",IF(AND(N(I270)&gt;0,N(INDEX('03-آذار'!$I$2:$I$501,V270))&gt;0,INDEX('03-آذار'!$F$2:$F$501,V270)=F270),N(I270)/N(INDEX('03-آذار'!$I$2:$I$501,V270))-1,""))</f>
        <v/>
      </c>
      <c r="AC270" t="str">
        <f>IF(L270="","",IF(AND($AO$2=1,ISNA(MATCH(L270,'05-أيار'!$L$2:$L$501,0))),"محذوف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IF(L271="","",IF($AO$1=1,IFERROR(MATCH(L271,'03-آذار'!$L$2:$L$501,0),0),0))</f>
        <v/>
      </c>
      <c r="W271" t="str">
        <f t="shared" si="91"/>
        <v/>
      </c>
      <c r="X271" s="38" t="str">
        <f>IF(L271="","",IF(V271&gt;0,INDEX('03-آذار'!$P$2:$P$501,V271),IF($AO$1=1,0,"")))</f>
        <v/>
      </c>
      <c r="Y271" s="38" t="str">
        <f t="shared" si="92"/>
        <v/>
      </c>
      <c r="Z271" s="39" t="str">
        <f>IF(L271="","",IF(V271&gt;0,INDEX('03-آذار'!$Q$2:$Q$501,V271),IF($AO$1=1,0,"")))</f>
        <v/>
      </c>
      <c r="AA271" s="39" t="str">
        <f t="shared" si="93"/>
        <v/>
      </c>
      <c r="AB271" s="40" t="str">
        <f>IF(OR(L271="",V271=0),"",IF(AND(N(I271)&gt;0,N(INDEX('03-آذار'!$I$2:$I$501,V271))&gt;0,INDEX('03-آذار'!$F$2:$F$501,V271)=F271),N(I271)/N(INDEX('03-آذار'!$I$2:$I$501,V271))-1,""))</f>
        <v/>
      </c>
      <c r="AC271" t="str">
        <f>IF(L271="","",IF(AND($AO$2=1,ISNA(MATCH(L271,'05-أيار'!$L$2:$L$501,0))),"محذوف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IF(L272="","",IF($AO$1=1,IFERROR(MATCH(L272,'03-آذار'!$L$2:$L$501,0),0),0))</f>
        <v/>
      </c>
      <c r="W272" t="str">
        <f t="shared" si="91"/>
        <v/>
      </c>
      <c r="X272" s="38" t="str">
        <f>IF(L272="","",IF(V272&gt;0,INDEX('03-آذار'!$P$2:$P$501,V272),IF($AO$1=1,0,"")))</f>
        <v/>
      </c>
      <c r="Y272" s="38" t="str">
        <f t="shared" si="92"/>
        <v/>
      </c>
      <c r="Z272" s="39" t="str">
        <f>IF(L272="","",IF(V272&gt;0,INDEX('03-آذار'!$Q$2:$Q$501,V272),IF($AO$1=1,0,"")))</f>
        <v/>
      </c>
      <c r="AA272" s="39" t="str">
        <f t="shared" si="93"/>
        <v/>
      </c>
      <c r="AB272" s="40" t="str">
        <f>IF(OR(L272="",V272=0),"",IF(AND(N(I272)&gt;0,N(INDEX('03-آذار'!$I$2:$I$501,V272))&gt;0,INDEX('03-آذار'!$F$2:$F$501,V272)=F272),N(I272)/N(INDEX('03-آذار'!$I$2:$I$501,V272))-1,""))</f>
        <v/>
      </c>
      <c r="AC272" t="str">
        <f>IF(L272="","",IF(AND($AO$2=1,ISNA(MATCH(L272,'05-أيار'!$L$2:$L$501,0))),"محذوف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IF(L273="","",IF($AO$1=1,IFERROR(MATCH(L273,'03-آذار'!$L$2:$L$501,0),0),0))</f>
        <v/>
      </c>
      <c r="W273" t="str">
        <f t="shared" si="91"/>
        <v/>
      </c>
      <c r="X273" s="38" t="str">
        <f>IF(L273="","",IF(V273&gt;0,INDEX('03-آذار'!$P$2:$P$501,V273),IF($AO$1=1,0,"")))</f>
        <v/>
      </c>
      <c r="Y273" s="38" t="str">
        <f t="shared" si="92"/>
        <v/>
      </c>
      <c r="Z273" s="39" t="str">
        <f>IF(L273="","",IF(V273&gt;0,INDEX('03-آذار'!$Q$2:$Q$501,V273),IF($AO$1=1,0,"")))</f>
        <v/>
      </c>
      <c r="AA273" s="39" t="str">
        <f t="shared" si="93"/>
        <v/>
      </c>
      <c r="AB273" s="40" t="str">
        <f>IF(OR(L273="",V273=0),"",IF(AND(N(I273)&gt;0,N(INDEX('03-آذار'!$I$2:$I$501,V273))&gt;0,INDEX('03-آذار'!$F$2:$F$501,V273)=F273),N(I273)/N(INDEX('03-آذار'!$I$2:$I$501,V273))-1,""))</f>
        <v/>
      </c>
      <c r="AC273" t="str">
        <f>IF(L273="","",IF(AND($AO$2=1,ISNA(MATCH(L273,'05-أيار'!$L$2:$L$501,0))),"محذوف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IF(L274="","",IF($AO$1=1,IFERROR(MATCH(L274,'03-آذار'!$L$2:$L$501,0),0),0))</f>
        <v/>
      </c>
      <c r="W274" t="str">
        <f t="shared" si="91"/>
        <v/>
      </c>
      <c r="X274" s="38" t="str">
        <f>IF(L274="","",IF(V274&gt;0,INDEX('03-آذار'!$P$2:$P$501,V274),IF($AO$1=1,0,"")))</f>
        <v/>
      </c>
      <c r="Y274" s="38" t="str">
        <f t="shared" si="92"/>
        <v/>
      </c>
      <c r="Z274" s="39" t="str">
        <f>IF(L274="","",IF(V274&gt;0,INDEX('03-آذار'!$Q$2:$Q$501,V274),IF($AO$1=1,0,"")))</f>
        <v/>
      </c>
      <c r="AA274" s="39" t="str">
        <f t="shared" si="93"/>
        <v/>
      </c>
      <c r="AB274" s="40" t="str">
        <f>IF(OR(L274="",V274=0),"",IF(AND(N(I274)&gt;0,N(INDEX('03-آذار'!$I$2:$I$501,V274))&gt;0,INDEX('03-آذار'!$F$2:$F$501,V274)=F274),N(I274)/N(INDEX('03-آذار'!$I$2:$I$501,V274))-1,""))</f>
        <v/>
      </c>
      <c r="AC274" t="str">
        <f>IF(L274="","",IF(AND($AO$2=1,ISNA(MATCH(L274,'05-أيار'!$L$2:$L$501,0))),"محذوف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IF(L275="","",IF($AO$1=1,IFERROR(MATCH(L275,'03-آذار'!$L$2:$L$501,0),0),0))</f>
        <v/>
      </c>
      <c r="W275" t="str">
        <f t="shared" si="91"/>
        <v/>
      </c>
      <c r="X275" s="38" t="str">
        <f>IF(L275="","",IF(V275&gt;0,INDEX('03-آذار'!$P$2:$P$501,V275),IF($AO$1=1,0,"")))</f>
        <v/>
      </c>
      <c r="Y275" s="38" t="str">
        <f t="shared" si="92"/>
        <v/>
      </c>
      <c r="Z275" s="39" t="str">
        <f>IF(L275="","",IF(V275&gt;0,INDEX('03-آذار'!$Q$2:$Q$501,V275),IF($AO$1=1,0,"")))</f>
        <v/>
      </c>
      <c r="AA275" s="39" t="str">
        <f t="shared" si="93"/>
        <v/>
      </c>
      <c r="AB275" s="40" t="str">
        <f>IF(OR(L275="",V275=0),"",IF(AND(N(I275)&gt;0,N(INDEX('03-آذار'!$I$2:$I$501,V275))&gt;0,INDEX('03-آذار'!$F$2:$F$501,V275)=F275),N(I275)/N(INDEX('03-آذار'!$I$2:$I$501,V275))-1,""))</f>
        <v/>
      </c>
      <c r="AC275" t="str">
        <f>IF(L275="","",IF(AND($AO$2=1,ISNA(MATCH(L275,'05-أيار'!$L$2:$L$501,0))),"محذوف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IF(L276="","",IF($AO$1=1,IFERROR(MATCH(L276,'03-آذار'!$L$2:$L$501,0),0),0))</f>
        <v/>
      </c>
      <c r="W276" t="str">
        <f t="shared" si="91"/>
        <v/>
      </c>
      <c r="X276" s="38" t="str">
        <f>IF(L276="","",IF(V276&gt;0,INDEX('03-آذار'!$P$2:$P$501,V276),IF($AO$1=1,0,"")))</f>
        <v/>
      </c>
      <c r="Y276" s="38" t="str">
        <f t="shared" si="92"/>
        <v/>
      </c>
      <c r="Z276" s="39" t="str">
        <f>IF(L276="","",IF(V276&gt;0,INDEX('03-آذار'!$Q$2:$Q$501,V276),IF($AO$1=1,0,"")))</f>
        <v/>
      </c>
      <c r="AA276" s="39" t="str">
        <f t="shared" si="93"/>
        <v/>
      </c>
      <c r="AB276" s="40" t="str">
        <f>IF(OR(L276="",V276=0),"",IF(AND(N(I276)&gt;0,N(INDEX('03-آذار'!$I$2:$I$501,V276))&gt;0,INDEX('03-آذار'!$F$2:$F$501,V276)=F276),N(I276)/N(INDEX('03-آذار'!$I$2:$I$501,V276))-1,""))</f>
        <v/>
      </c>
      <c r="AC276" t="str">
        <f>IF(L276="","",IF(AND($AO$2=1,ISNA(MATCH(L276,'05-أيار'!$L$2:$L$501,0))),"محذوف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IF(L277="","",IF($AO$1=1,IFERROR(MATCH(L277,'03-آذار'!$L$2:$L$501,0),0),0))</f>
        <v/>
      </c>
      <c r="W277" t="str">
        <f t="shared" si="91"/>
        <v/>
      </c>
      <c r="X277" s="38" t="str">
        <f>IF(L277="","",IF(V277&gt;0,INDEX('03-آذار'!$P$2:$P$501,V277),IF($AO$1=1,0,"")))</f>
        <v/>
      </c>
      <c r="Y277" s="38" t="str">
        <f t="shared" si="92"/>
        <v/>
      </c>
      <c r="Z277" s="39" t="str">
        <f>IF(L277="","",IF(V277&gt;0,INDEX('03-آذار'!$Q$2:$Q$501,V277),IF($AO$1=1,0,"")))</f>
        <v/>
      </c>
      <c r="AA277" s="39" t="str">
        <f t="shared" si="93"/>
        <v/>
      </c>
      <c r="AB277" s="40" t="str">
        <f>IF(OR(L277="",V277=0),"",IF(AND(N(I277)&gt;0,N(INDEX('03-آذار'!$I$2:$I$501,V277))&gt;0,INDEX('03-آذار'!$F$2:$F$501,V277)=F277),N(I277)/N(INDEX('03-آذار'!$I$2:$I$501,V277))-1,""))</f>
        <v/>
      </c>
      <c r="AC277" t="str">
        <f>IF(L277="","",IF(AND($AO$2=1,ISNA(MATCH(L277,'05-أيار'!$L$2:$L$501,0))),"محذوف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IF(L278="","",IF($AO$1=1,IFERROR(MATCH(L278,'03-آذار'!$L$2:$L$501,0),0),0))</f>
        <v/>
      </c>
      <c r="W278" t="str">
        <f t="shared" si="91"/>
        <v/>
      </c>
      <c r="X278" s="38" t="str">
        <f>IF(L278="","",IF(V278&gt;0,INDEX('03-آذار'!$P$2:$P$501,V278),IF($AO$1=1,0,"")))</f>
        <v/>
      </c>
      <c r="Y278" s="38" t="str">
        <f t="shared" si="92"/>
        <v/>
      </c>
      <c r="Z278" s="39" t="str">
        <f>IF(L278="","",IF(V278&gt;0,INDEX('03-آذار'!$Q$2:$Q$501,V278),IF($AO$1=1,0,"")))</f>
        <v/>
      </c>
      <c r="AA278" s="39" t="str">
        <f t="shared" si="93"/>
        <v/>
      </c>
      <c r="AB278" s="40" t="str">
        <f>IF(OR(L278="",V278=0),"",IF(AND(N(I278)&gt;0,N(INDEX('03-آذار'!$I$2:$I$501,V278))&gt;0,INDEX('03-آذار'!$F$2:$F$501,V278)=F278),N(I278)/N(INDEX('03-آذار'!$I$2:$I$501,V278))-1,""))</f>
        <v/>
      </c>
      <c r="AC278" t="str">
        <f>IF(L278="","",IF(AND($AO$2=1,ISNA(MATCH(L278,'05-أيار'!$L$2:$L$501,0))),"محذوف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IF(L279="","",IF($AO$1=1,IFERROR(MATCH(L279,'03-آذار'!$L$2:$L$501,0),0),0))</f>
        <v/>
      </c>
      <c r="W279" t="str">
        <f t="shared" si="91"/>
        <v/>
      </c>
      <c r="X279" s="38" t="str">
        <f>IF(L279="","",IF(V279&gt;0,INDEX('03-آذار'!$P$2:$P$501,V279),IF($AO$1=1,0,"")))</f>
        <v/>
      </c>
      <c r="Y279" s="38" t="str">
        <f t="shared" si="92"/>
        <v/>
      </c>
      <c r="Z279" s="39" t="str">
        <f>IF(L279="","",IF(V279&gt;0,INDEX('03-آذار'!$Q$2:$Q$501,V279),IF($AO$1=1,0,"")))</f>
        <v/>
      </c>
      <c r="AA279" s="39" t="str">
        <f t="shared" si="93"/>
        <v/>
      </c>
      <c r="AB279" s="40" t="str">
        <f>IF(OR(L279="",V279=0),"",IF(AND(N(I279)&gt;0,N(INDEX('03-آذار'!$I$2:$I$501,V279))&gt;0,INDEX('03-آذار'!$F$2:$F$501,V279)=F279),N(I279)/N(INDEX('03-آذار'!$I$2:$I$501,V279))-1,""))</f>
        <v/>
      </c>
      <c r="AC279" t="str">
        <f>IF(L279="","",IF(AND($AO$2=1,ISNA(MATCH(L279,'05-أيار'!$L$2:$L$501,0))),"محذوف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IF(L280="","",IF($AO$1=1,IFERROR(MATCH(L280,'03-آذار'!$L$2:$L$501,0),0),0))</f>
        <v/>
      </c>
      <c r="W280" t="str">
        <f t="shared" si="91"/>
        <v/>
      </c>
      <c r="X280" s="38" t="str">
        <f>IF(L280="","",IF(V280&gt;0,INDEX('03-آذار'!$P$2:$P$501,V280),IF($AO$1=1,0,"")))</f>
        <v/>
      </c>
      <c r="Y280" s="38" t="str">
        <f t="shared" si="92"/>
        <v/>
      </c>
      <c r="Z280" s="39" t="str">
        <f>IF(L280="","",IF(V280&gt;0,INDEX('03-آذار'!$Q$2:$Q$501,V280),IF($AO$1=1,0,"")))</f>
        <v/>
      </c>
      <c r="AA280" s="39" t="str">
        <f t="shared" si="93"/>
        <v/>
      </c>
      <c r="AB280" s="40" t="str">
        <f>IF(OR(L280="",V280=0),"",IF(AND(N(I280)&gt;0,N(INDEX('03-آذار'!$I$2:$I$501,V280))&gt;0,INDEX('03-آذار'!$F$2:$F$501,V280)=F280),N(I280)/N(INDEX('03-آذار'!$I$2:$I$501,V280))-1,""))</f>
        <v/>
      </c>
      <c r="AC280" t="str">
        <f>IF(L280="","",IF(AND($AO$2=1,ISNA(MATCH(L280,'05-أيار'!$L$2:$L$501,0))),"محذوف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IF(L281="","",IF($AO$1=1,IFERROR(MATCH(L281,'03-آذار'!$L$2:$L$501,0),0),0))</f>
        <v/>
      </c>
      <c r="W281" t="str">
        <f t="shared" si="91"/>
        <v/>
      </c>
      <c r="X281" s="38" t="str">
        <f>IF(L281="","",IF(V281&gt;0,INDEX('03-آذار'!$P$2:$P$501,V281),IF($AO$1=1,0,"")))</f>
        <v/>
      </c>
      <c r="Y281" s="38" t="str">
        <f t="shared" si="92"/>
        <v/>
      </c>
      <c r="Z281" s="39" t="str">
        <f>IF(L281="","",IF(V281&gt;0,INDEX('03-آذار'!$Q$2:$Q$501,V281),IF($AO$1=1,0,"")))</f>
        <v/>
      </c>
      <c r="AA281" s="39" t="str">
        <f t="shared" si="93"/>
        <v/>
      </c>
      <c r="AB281" s="40" t="str">
        <f>IF(OR(L281="",V281=0),"",IF(AND(N(I281)&gt;0,N(INDEX('03-آذار'!$I$2:$I$501,V281))&gt;0,INDEX('03-آذار'!$F$2:$F$501,V281)=F281),N(I281)/N(INDEX('03-آذار'!$I$2:$I$501,V281))-1,""))</f>
        <v/>
      </c>
      <c r="AC281" t="str">
        <f>IF(L281="","",IF(AND($AO$2=1,ISNA(MATCH(L281,'05-أيار'!$L$2:$L$501,0))),"محذوف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IF(L282="","",IF($AO$1=1,IFERROR(MATCH(L282,'03-آذار'!$L$2:$L$501,0),0),0))</f>
        <v/>
      </c>
      <c r="W282" t="str">
        <f t="shared" si="91"/>
        <v/>
      </c>
      <c r="X282" s="38" t="str">
        <f>IF(L282="","",IF(V282&gt;0,INDEX('03-آذار'!$P$2:$P$501,V282),IF($AO$1=1,0,"")))</f>
        <v/>
      </c>
      <c r="Y282" s="38" t="str">
        <f t="shared" si="92"/>
        <v/>
      </c>
      <c r="Z282" s="39" t="str">
        <f>IF(L282="","",IF(V282&gt;0,INDEX('03-آذار'!$Q$2:$Q$501,V282),IF($AO$1=1,0,"")))</f>
        <v/>
      </c>
      <c r="AA282" s="39" t="str">
        <f t="shared" si="93"/>
        <v/>
      </c>
      <c r="AB282" s="40" t="str">
        <f>IF(OR(L282="",V282=0),"",IF(AND(N(I282)&gt;0,N(INDEX('03-آذار'!$I$2:$I$501,V282))&gt;0,INDEX('03-آذار'!$F$2:$F$501,V282)=F282),N(I282)/N(INDEX('03-آذار'!$I$2:$I$501,V282))-1,""))</f>
        <v/>
      </c>
      <c r="AC282" t="str">
        <f>IF(L282="","",IF(AND($AO$2=1,ISNA(MATCH(L282,'05-أيار'!$L$2:$L$501,0))),"محذوف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IF(L283="","",IF($AO$1=1,IFERROR(MATCH(L283,'03-آذار'!$L$2:$L$501,0),0),0))</f>
        <v/>
      </c>
      <c r="W283" t="str">
        <f t="shared" si="91"/>
        <v/>
      </c>
      <c r="X283" s="38" t="str">
        <f>IF(L283="","",IF(V283&gt;0,INDEX('03-آذار'!$P$2:$P$501,V283),IF($AO$1=1,0,"")))</f>
        <v/>
      </c>
      <c r="Y283" s="38" t="str">
        <f t="shared" si="92"/>
        <v/>
      </c>
      <c r="Z283" s="39" t="str">
        <f>IF(L283="","",IF(V283&gt;0,INDEX('03-آذار'!$Q$2:$Q$501,V283),IF($AO$1=1,0,"")))</f>
        <v/>
      </c>
      <c r="AA283" s="39" t="str">
        <f t="shared" si="93"/>
        <v/>
      </c>
      <c r="AB283" s="40" t="str">
        <f>IF(OR(L283="",V283=0),"",IF(AND(N(I283)&gt;0,N(INDEX('03-آذار'!$I$2:$I$501,V283))&gt;0,INDEX('03-آذار'!$F$2:$F$501,V283)=F283),N(I283)/N(INDEX('03-آذار'!$I$2:$I$501,V283))-1,""))</f>
        <v/>
      </c>
      <c r="AC283" t="str">
        <f>IF(L283="","",IF(AND($AO$2=1,ISNA(MATCH(L283,'05-أيار'!$L$2:$L$501,0))),"محذوف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IF(L284="","",IF($AO$1=1,IFERROR(MATCH(L284,'03-آذار'!$L$2:$L$501,0),0),0))</f>
        <v/>
      </c>
      <c r="W284" t="str">
        <f t="shared" si="91"/>
        <v/>
      </c>
      <c r="X284" s="38" t="str">
        <f>IF(L284="","",IF(V284&gt;0,INDEX('03-آذار'!$P$2:$P$501,V284),IF($AO$1=1,0,"")))</f>
        <v/>
      </c>
      <c r="Y284" s="38" t="str">
        <f t="shared" si="92"/>
        <v/>
      </c>
      <c r="Z284" s="39" t="str">
        <f>IF(L284="","",IF(V284&gt;0,INDEX('03-آذار'!$Q$2:$Q$501,V284),IF($AO$1=1,0,"")))</f>
        <v/>
      </c>
      <c r="AA284" s="39" t="str">
        <f t="shared" si="93"/>
        <v/>
      </c>
      <c r="AB284" s="40" t="str">
        <f>IF(OR(L284="",V284=0),"",IF(AND(N(I284)&gt;0,N(INDEX('03-آذار'!$I$2:$I$501,V284))&gt;0,INDEX('03-آذار'!$F$2:$F$501,V284)=F284),N(I284)/N(INDEX('03-آذار'!$I$2:$I$501,V284))-1,""))</f>
        <v/>
      </c>
      <c r="AC284" t="str">
        <f>IF(L284="","",IF(AND($AO$2=1,ISNA(MATCH(L284,'05-أيار'!$L$2:$L$501,0))),"محذوف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IF(L285="","",IF($AO$1=1,IFERROR(MATCH(L285,'03-آذار'!$L$2:$L$501,0),0),0))</f>
        <v/>
      </c>
      <c r="W285" t="str">
        <f t="shared" si="91"/>
        <v/>
      </c>
      <c r="X285" s="38" t="str">
        <f>IF(L285="","",IF(V285&gt;0,INDEX('03-آذار'!$P$2:$P$501,V285),IF($AO$1=1,0,"")))</f>
        <v/>
      </c>
      <c r="Y285" s="38" t="str">
        <f t="shared" si="92"/>
        <v/>
      </c>
      <c r="Z285" s="39" t="str">
        <f>IF(L285="","",IF(V285&gt;0,INDEX('03-آذار'!$Q$2:$Q$501,V285),IF($AO$1=1,0,"")))</f>
        <v/>
      </c>
      <c r="AA285" s="39" t="str">
        <f t="shared" si="93"/>
        <v/>
      </c>
      <c r="AB285" s="40" t="str">
        <f>IF(OR(L285="",V285=0),"",IF(AND(N(I285)&gt;0,N(INDEX('03-آذار'!$I$2:$I$501,V285))&gt;0,INDEX('03-آذار'!$F$2:$F$501,V285)=F285),N(I285)/N(INDEX('03-آذار'!$I$2:$I$501,V285))-1,""))</f>
        <v/>
      </c>
      <c r="AC285" t="str">
        <f>IF(L285="","",IF(AND($AO$2=1,ISNA(MATCH(L285,'05-أيار'!$L$2:$L$501,0))),"محذوف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IF(L286="","",IF($AO$1=1,IFERROR(MATCH(L286,'03-آذار'!$L$2:$L$501,0),0),0))</f>
        <v/>
      </c>
      <c r="W286" t="str">
        <f t="shared" si="91"/>
        <v/>
      </c>
      <c r="X286" s="38" t="str">
        <f>IF(L286="","",IF(V286&gt;0,INDEX('03-آذار'!$P$2:$P$501,V286),IF($AO$1=1,0,"")))</f>
        <v/>
      </c>
      <c r="Y286" s="38" t="str">
        <f t="shared" si="92"/>
        <v/>
      </c>
      <c r="Z286" s="39" t="str">
        <f>IF(L286="","",IF(V286&gt;0,INDEX('03-آذار'!$Q$2:$Q$501,V286),IF($AO$1=1,0,"")))</f>
        <v/>
      </c>
      <c r="AA286" s="39" t="str">
        <f t="shared" si="93"/>
        <v/>
      </c>
      <c r="AB286" s="40" t="str">
        <f>IF(OR(L286="",V286=0),"",IF(AND(N(I286)&gt;0,N(INDEX('03-آذار'!$I$2:$I$501,V286))&gt;0,INDEX('03-آذار'!$F$2:$F$501,V286)=F286),N(I286)/N(INDEX('03-آذار'!$I$2:$I$501,V286))-1,""))</f>
        <v/>
      </c>
      <c r="AC286" t="str">
        <f>IF(L286="","",IF(AND($AO$2=1,ISNA(MATCH(L286,'05-أيار'!$L$2:$L$501,0))),"محذوف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IF(L287="","",IF($AO$1=1,IFERROR(MATCH(L287,'03-آذار'!$L$2:$L$501,0),0),0))</f>
        <v/>
      </c>
      <c r="W287" t="str">
        <f t="shared" si="91"/>
        <v/>
      </c>
      <c r="X287" s="38" t="str">
        <f>IF(L287="","",IF(V287&gt;0,INDEX('03-آذار'!$P$2:$P$501,V287),IF($AO$1=1,0,"")))</f>
        <v/>
      </c>
      <c r="Y287" s="38" t="str">
        <f t="shared" si="92"/>
        <v/>
      </c>
      <c r="Z287" s="39" t="str">
        <f>IF(L287="","",IF(V287&gt;0,INDEX('03-آذار'!$Q$2:$Q$501,V287),IF($AO$1=1,0,"")))</f>
        <v/>
      </c>
      <c r="AA287" s="39" t="str">
        <f t="shared" si="93"/>
        <v/>
      </c>
      <c r="AB287" s="40" t="str">
        <f>IF(OR(L287="",V287=0),"",IF(AND(N(I287)&gt;0,N(INDEX('03-آذار'!$I$2:$I$501,V287))&gt;0,INDEX('03-آذار'!$F$2:$F$501,V287)=F287),N(I287)/N(INDEX('03-آذار'!$I$2:$I$501,V287))-1,""))</f>
        <v/>
      </c>
      <c r="AC287" t="str">
        <f>IF(L287="","",IF(AND($AO$2=1,ISNA(MATCH(L287,'05-أيار'!$L$2:$L$501,0))),"محذوف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IF(L288="","",IF($AO$1=1,IFERROR(MATCH(L288,'03-آذار'!$L$2:$L$501,0),0),0))</f>
        <v/>
      </c>
      <c r="W288" t="str">
        <f t="shared" si="91"/>
        <v/>
      </c>
      <c r="X288" s="38" t="str">
        <f>IF(L288="","",IF(V288&gt;0,INDEX('03-آذار'!$P$2:$P$501,V288),IF($AO$1=1,0,"")))</f>
        <v/>
      </c>
      <c r="Y288" s="38" t="str">
        <f t="shared" si="92"/>
        <v/>
      </c>
      <c r="Z288" s="39" t="str">
        <f>IF(L288="","",IF(V288&gt;0,INDEX('03-آذار'!$Q$2:$Q$501,V288),IF($AO$1=1,0,"")))</f>
        <v/>
      </c>
      <c r="AA288" s="39" t="str">
        <f t="shared" si="93"/>
        <v/>
      </c>
      <c r="AB288" s="40" t="str">
        <f>IF(OR(L288="",V288=0),"",IF(AND(N(I288)&gt;0,N(INDEX('03-آذار'!$I$2:$I$501,V288))&gt;0,INDEX('03-آذار'!$F$2:$F$501,V288)=F288),N(I288)/N(INDEX('03-آذار'!$I$2:$I$501,V288))-1,""))</f>
        <v/>
      </c>
      <c r="AC288" t="str">
        <f>IF(L288="","",IF(AND($AO$2=1,ISNA(MATCH(L288,'05-أيار'!$L$2:$L$501,0))),"محذوف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IF(L289="","",IF($AO$1=1,IFERROR(MATCH(L289,'03-آذار'!$L$2:$L$501,0),0),0))</f>
        <v/>
      </c>
      <c r="W289" t="str">
        <f t="shared" si="91"/>
        <v/>
      </c>
      <c r="X289" s="38" t="str">
        <f>IF(L289="","",IF(V289&gt;0,INDEX('03-آذار'!$P$2:$P$501,V289),IF($AO$1=1,0,"")))</f>
        <v/>
      </c>
      <c r="Y289" s="38" t="str">
        <f t="shared" si="92"/>
        <v/>
      </c>
      <c r="Z289" s="39" t="str">
        <f>IF(L289="","",IF(V289&gt;0,INDEX('03-آذار'!$Q$2:$Q$501,V289),IF($AO$1=1,0,"")))</f>
        <v/>
      </c>
      <c r="AA289" s="39" t="str">
        <f t="shared" si="93"/>
        <v/>
      </c>
      <c r="AB289" s="40" t="str">
        <f>IF(OR(L289="",V289=0),"",IF(AND(N(I289)&gt;0,N(INDEX('03-آذار'!$I$2:$I$501,V289))&gt;0,INDEX('03-آذار'!$F$2:$F$501,V289)=F289),N(I289)/N(INDEX('03-آذار'!$I$2:$I$501,V289))-1,""))</f>
        <v/>
      </c>
      <c r="AC289" t="str">
        <f>IF(L289="","",IF(AND($AO$2=1,ISNA(MATCH(L289,'05-أيار'!$L$2:$L$501,0))),"محذوف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IF(L290="","",IF($AO$1=1,IFERROR(MATCH(L290,'03-آذار'!$L$2:$L$501,0),0),0))</f>
        <v/>
      </c>
      <c r="W290" t="str">
        <f t="shared" si="91"/>
        <v/>
      </c>
      <c r="X290" s="38" t="str">
        <f>IF(L290="","",IF(V290&gt;0,INDEX('03-آذار'!$P$2:$P$501,V290),IF($AO$1=1,0,"")))</f>
        <v/>
      </c>
      <c r="Y290" s="38" t="str">
        <f t="shared" si="92"/>
        <v/>
      </c>
      <c r="Z290" s="39" t="str">
        <f>IF(L290="","",IF(V290&gt;0,INDEX('03-آذار'!$Q$2:$Q$501,V290),IF($AO$1=1,0,"")))</f>
        <v/>
      </c>
      <c r="AA290" s="39" t="str">
        <f t="shared" si="93"/>
        <v/>
      </c>
      <c r="AB290" s="40" t="str">
        <f>IF(OR(L290="",V290=0),"",IF(AND(N(I290)&gt;0,N(INDEX('03-آذار'!$I$2:$I$501,V290))&gt;0,INDEX('03-آذار'!$F$2:$F$501,V290)=F290),N(I290)/N(INDEX('03-آذار'!$I$2:$I$501,V290))-1,""))</f>
        <v/>
      </c>
      <c r="AC290" t="str">
        <f>IF(L290="","",IF(AND($AO$2=1,ISNA(MATCH(L290,'05-أيار'!$L$2:$L$501,0))),"محذوف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IF(L291="","",IF($AO$1=1,IFERROR(MATCH(L291,'03-آذار'!$L$2:$L$501,0),0),0))</f>
        <v/>
      </c>
      <c r="W291" t="str">
        <f t="shared" si="91"/>
        <v/>
      </c>
      <c r="X291" s="38" t="str">
        <f>IF(L291="","",IF(V291&gt;0,INDEX('03-آذار'!$P$2:$P$501,V291),IF($AO$1=1,0,"")))</f>
        <v/>
      </c>
      <c r="Y291" s="38" t="str">
        <f t="shared" si="92"/>
        <v/>
      </c>
      <c r="Z291" s="39" t="str">
        <f>IF(L291="","",IF(V291&gt;0,INDEX('03-آذار'!$Q$2:$Q$501,V291),IF($AO$1=1,0,"")))</f>
        <v/>
      </c>
      <c r="AA291" s="39" t="str">
        <f t="shared" si="93"/>
        <v/>
      </c>
      <c r="AB291" s="40" t="str">
        <f>IF(OR(L291="",V291=0),"",IF(AND(N(I291)&gt;0,N(INDEX('03-آذار'!$I$2:$I$501,V291))&gt;0,INDEX('03-آذار'!$F$2:$F$501,V291)=F291),N(I291)/N(INDEX('03-آذار'!$I$2:$I$501,V291))-1,""))</f>
        <v/>
      </c>
      <c r="AC291" t="str">
        <f>IF(L291="","",IF(AND($AO$2=1,ISNA(MATCH(L291,'05-أيار'!$L$2:$L$501,0))),"محذوف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IF(L292="","",IF($AO$1=1,IFERROR(MATCH(L292,'03-آذار'!$L$2:$L$501,0),0),0))</f>
        <v/>
      </c>
      <c r="W292" t="str">
        <f t="shared" si="91"/>
        <v/>
      </c>
      <c r="X292" s="38" t="str">
        <f>IF(L292="","",IF(V292&gt;0,INDEX('03-آذار'!$P$2:$P$501,V292),IF($AO$1=1,0,"")))</f>
        <v/>
      </c>
      <c r="Y292" s="38" t="str">
        <f t="shared" si="92"/>
        <v/>
      </c>
      <c r="Z292" s="39" t="str">
        <f>IF(L292="","",IF(V292&gt;0,INDEX('03-آذار'!$Q$2:$Q$501,V292),IF($AO$1=1,0,"")))</f>
        <v/>
      </c>
      <c r="AA292" s="39" t="str">
        <f t="shared" si="93"/>
        <v/>
      </c>
      <c r="AB292" s="40" t="str">
        <f>IF(OR(L292="",V292=0),"",IF(AND(N(I292)&gt;0,N(INDEX('03-آذار'!$I$2:$I$501,V292))&gt;0,INDEX('03-آذار'!$F$2:$F$501,V292)=F292),N(I292)/N(INDEX('03-آذار'!$I$2:$I$501,V292))-1,""))</f>
        <v/>
      </c>
      <c r="AC292" t="str">
        <f>IF(L292="","",IF(AND($AO$2=1,ISNA(MATCH(L292,'05-أيار'!$L$2:$L$501,0))),"محذوف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IF(L293="","",IF($AO$1=1,IFERROR(MATCH(L293,'03-آذار'!$L$2:$L$501,0),0),0))</f>
        <v/>
      </c>
      <c r="W293" t="str">
        <f t="shared" si="91"/>
        <v/>
      </c>
      <c r="X293" s="38" t="str">
        <f>IF(L293="","",IF(V293&gt;0,INDEX('03-آذار'!$P$2:$P$501,V293),IF($AO$1=1,0,"")))</f>
        <v/>
      </c>
      <c r="Y293" s="38" t="str">
        <f t="shared" si="92"/>
        <v/>
      </c>
      <c r="Z293" s="39" t="str">
        <f>IF(L293="","",IF(V293&gt;0,INDEX('03-آذار'!$Q$2:$Q$501,V293),IF($AO$1=1,0,"")))</f>
        <v/>
      </c>
      <c r="AA293" s="39" t="str">
        <f t="shared" si="93"/>
        <v/>
      </c>
      <c r="AB293" s="40" t="str">
        <f>IF(OR(L293="",V293=0),"",IF(AND(N(I293)&gt;0,N(INDEX('03-آذار'!$I$2:$I$501,V293))&gt;0,INDEX('03-آذار'!$F$2:$F$501,V293)=F293),N(I293)/N(INDEX('03-آذار'!$I$2:$I$501,V293))-1,""))</f>
        <v/>
      </c>
      <c r="AC293" t="str">
        <f>IF(L293="","",IF(AND($AO$2=1,ISNA(MATCH(L293,'05-أيار'!$L$2:$L$501,0))),"محذوف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IF(L294="","",IF($AO$1=1,IFERROR(MATCH(L294,'03-آذار'!$L$2:$L$501,0),0),0))</f>
        <v/>
      </c>
      <c r="W294" t="str">
        <f t="shared" si="91"/>
        <v/>
      </c>
      <c r="X294" s="38" t="str">
        <f>IF(L294="","",IF(V294&gt;0,INDEX('03-آذار'!$P$2:$P$501,V294),IF($AO$1=1,0,"")))</f>
        <v/>
      </c>
      <c r="Y294" s="38" t="str">
        <f t="shared" si="92"/>
        <v/>
      </c>
      <c r="Z294" s="39" t="str">
        <f>IF(L294="","",IF(V294&gt;0,INDEX('03-آذار'!$Q$2:$Q$501,V294),IF($AO$1=1,0,"")))</f>
        <v/>
      </c>
      <c r="AA294" s="39" t="str">
        <f t="shared" si="93"/>
        <v/>
      </c>
      <c r="AB294" s="40" t="str">
        <f>IF(OR(L294="",V294=0),"",IF(AND(N(I294)&gt;0,N(INDEX('03-آذار'!$I$2:$I$501,V294))&gt;0,INDEX('03-آذار'!$F$2:$F$501,V294)=F294),N(I294)/N(INDEX('03-آذار'!$I$2:$I$501,V294))-1,""))</f>
        <v/>
      </c>
      <c r="AC294" t="str">
        <f>IF(L294="","",IF(AND($AO$2=1,ISNA(MATCH(L294,'05-أيار'!$L$2:$L$501,0))),"محذوف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IF(L295="","",IF($AO$1=1,IFERROR(MATCH(L295,'03-آذار'!$L$2:$L$501,0),0),0))</f>
        <v/>
      </c>
      <c r="W295" t="str">
        <f t="shared" si="91"/>
        <v/>
      </c>
      <c r="X295" s="38" t="str">
        <f>IF(L295="","",IF(V295&gt;0,INDEX('03-آذار'!$P$2:$P$501,V295),IF($AO$1=1,0,"")))</f>
        <v/>
      </c>
      <c r="Y295" s="38" t="str">
        <f t="shared" si="92"/>
        <v/>
      </c>
      <c r="Z295" s="39" t="str">
        <f>IF(L295="","",IF(V295&gt;0,INDEX('03-آذار'!$Q$2:$Q$501,V295),IF($AO$1=1,0,"")))</f>
        <v/>
      </c>
      <c r="AA295" s="39" t="str">
        <f t="shared" si="93"/>
        <v/>
      </c>
      <c r="AB295" s="40" t="str">
        <f>IF(OR(L295="",V295=0),"",IF(AND(N(I295)&gt;0,N(INDEX('03-آذار'!$I$2:$I$501,V295))&gt;0,INDEX('03-آذار'!$F$2:$F$501,V295)=F295),N(I295)/N(INDEX('03-آذار'!$I$2:$I$501,V295))-1,""))</f>
        <v/>
      </c>
      <c r="AC295" t="str">
        <f>IF(L295="","",IF(AND($AO$2=1,ISNA(MATCH(L295,'05-أيار'!$L$2:$L$501,0))),"محذوف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IF(L296="","",IF($AO$1=1,IFERROR(MATCH(L296,'03-آذار'!$L$2:$L$501,0),0),0))</f>
        <v/>
      </c>
      <c r="W296" t="str">
        <f t="shared" si="91"/>
        <v/>
      </c>
      <c r="X296" s="38" t="str">
        <f>IF(L296="","",IF(V296&gt;0,INDEX('03-آذار'!$P$2:$P$501,V296),IF($AO$1=1,0,"")))</f>
        <v/>
      </c>
      <c r="Y296" s="38" t="str">
        <f t="shared" si="92"/>
        <v/>
      </c>
      <c r="Z296" s="39" t="str">
        <f>IF(L296="","",IF(V296&gt;0,INDEX('03-آذار'!$Q$2:$Q$501,V296),IF($AO$1=1,0,"")))</f>
        <v/>
      </c>
      <c r="AA296" s="39" t="str">
        <f t="shared" si="93"/>
        <v/>
      </c>
      <c r="AB296" s="40" t="str">
        <f>IF(OR(L296="",V296=0),"",IF(AND(N(I296)&gt;0,N(INDEX('03-آذار'!$I$2:$I$501,V296))&gt;0,INDEX('03-آذار'!$F$2:$F$501,V296)=F296),N(I296)/N(INDEX('03-آذار'!$I$2:$I$501,V296))-1,""))</f>
        <v/>
      </c>
      <c r="AC296" t="str">
        <f>IF(L296="","",IF(AND($AO$2=1,ISNA(MATCH(L296,'05-أيار'!$L$2:$L$501,0))),"محذوف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IF(L297="","",IF($AO$1=1,IFERROR(MATCH(L297,'03-آذار'!$L$2:$L$501,0),0),0))</f>
        <v/>
      </c>
      <c r="W297" t="str">
        <f t="shared" si="91"/>
        <v/>
      </c>
      <c r="X297" s="38" t="str">
        <f>IF(L297="","",IF(V297&gt;0,INDEX('03-آذار'!$P$2:$P$501,V297),IF($AO$1=1,0,"")))</f>
        <v/>
      </c>
      <c r="Y297" s="38" t="str">
        <f t="shared" si="92"/>
        <v/>
      </c>
      <c r="Z297" s="39" t="str">
        <f>IF(L297="","",IF(V297&gt;0,INDEX('03-آذار'!$Q$2:$Q$501,V297),IF($AO$1=1,0,"")))</f>
        <v/>
      </c>
      <c r="AA297" s="39" t="str">
        <f t="shared" si="93"/>
        <v/>
      </c>
      <c r="AB297" s="40" t="str">
        <f>IF(OR(L297="",V297=0),"",IF(AND(N(I297)&gt;0,N(INDEX('03-آذار'!$I$2:$I$501,V297))&gt;0,INDEX('03-آذار'!$F$2:$F$501,V297)=F297),N(I297)/N(INDEX('03-آذار'!$I$2:$I$501,V297))-1,""))</f>
        <v/>
      </c>
      <c r="AC297" t="str">
        <f>IF(L297="","",IF(AND($AO$2=1,ISNA(MATCH(L297,'05-أيار'!$L$2:$L$501,0))),"محذوف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IF(L298="","",IF($AO$1=1,IFERROR(MATCH(L298,'03-آذار'!$L$2:$L$501,0),0),0))</f>
        <v/>
      </c>
      <c r="W298" t="str">
        <f t="shared" si="91"/>
        <v/>
      </c>
      <c r="X298" s="38" t="str">
        <f>IF(L298="","",IF(V298&gt;0,INDEX('03-آذار'!$P$2:$P$501,V298),IF($AO$1=1,0,"")))</f>
        <v/>
      </c>
      <c r="Y298" s="38" t="str">
        <f t="shared" si="92"/>
        <v/>
      </c>
      <c r="Z298" s="39" t="str">
        <f>IF(L298="","",IF(V298&gt;0,INDEX('03-آذار'!$Q$2:$Q$501,V298),IF($AO$1=1,0,"")))</f>
        <v/>
      </c>
      <c r="AA298" s="39" t="str">
        <f t="shared" si="93"/>
        <v/>
      </c>
      <c r="AB298" s="40" t="str">
        <f>IF(OR(L298="",V298=0),"",IF(AND(N(I298)&gt;0,N(INDEX('03-آذار'!$I$2:$I$501,V298))&gt;0,INDEX('03-آذار'!$F$2:$F$501,V298)=F298),N(I298)/N(INDEX('03-آذار'!$I$2:$I$501,V298))-1,""))</f>
        <v/>
      </c>
      <c r="AC298" t="str">
        <f>IF(L298="","",IF(AND($AO$2=1,ISNA(MATCH(L298,'05-أيار'!$L$2:$L$501,0))),"محذوف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IF(L299="","",IF($AO$1=1,IFERROR(MATCH(L299,'03-آذار'!$L$2:$L$501,0),0),0))</f>
        <v/>
      </c>
      <c r="W299" t="str">
        <f t="shared" si="91"/>
        <v/>
      </c>
      <c r="X299" s="38" t="str">
        <f>IF(L299="","",IF(V299&gt;0,INDEX('03-آذار'!$P$2:$P$501,V299),IF($AO$1=1,0,"")))</f>
        <v/>
      </c>
      <c r="Y299" s="38" t="str">
        <f t="shared" si="92"/>
        <v/>
      </c>
      <c r="Z299" s="39" t="str">
        <f>IF(L299="","",IF(V299&gt;0,INDEX('03-آذار'!$Q$2:$Q$501,V299),IF($AO$1=1,0,"")))</f>
        <v/>
      </c>
      <c r="AA299" s="39" t="str">
        <f t="shared" si="93"/>
        <v/>
      </c>
      <c r="AB299" s="40" t="str">
        <f>IF(OR(L299="",V299=0),"",IF(AND(N(I299)&gt;0,N(INDEX('03-آذار'!$I$2:$I$501,V299))&gt;0,INDEX('03-آذار'!$F$2:$F$501,V299)=F299),N(I299)/N(INDEX('03-آذار'!$I$2:$I$501,V299))-1,""))</f>
        <v/>
      </c>
      <c r="AC299" t="str">
        <f>IF(L299="","",IF(AND($AO$2=1,ISNA(MATCH(L299,'05-أيار'!$L$2:$L$501,0))),"محذوف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IF(L300="","",IF($AO$1=1,IFERROR(MATCH(L300,'03-آذار'!$L$2:$L$501,0),0),0))</f>
        <v/>
      </c>
      <c r="W300" t="str">
        <f t="shared" si="91"/>
        <v/>
      </c>
      <c r="X300" s="38" t="str">
        <f>IF(L300="","",IF(V300&gt;0,INDEX('03-آذار'!$P$2:$P$501,V300),IF($AO$1=1,0,"")))</f>
        <v/>
      </c>
      <c r="Y300" s="38" t="str">
        <f t="shared" si="92"/>
        <v/>
      </c>
      <c r="Z300" s="39" t="str">
        <f>IF(L300="","",IF(V300&gt;0,INDEX('03-آذار'!$Q$2:$Q$501,V300),IF($AO$1=1,0,"")))</f>
        <v/>
      </c>
      <c r="AA300" s="39" t="str">
        <f t="shared" si="93"/>
        <v/>
      </c>
      <c r="AB300" s="40" t="str">
        <f>IF(OR(L300="",V300=0),"",IF(AND(N(I300)&gt;0,N(INDEX('03-آذار'!$I$2:$I$501,V300))&gt;0,INDEX('03-آذار'!$F$2:$F$501,V300)=F300),N(I300)/N(INDEX('03-آذار'!$I$2:$I$501,V300))-1,""))</f>
        <v/>
      </c>
      <c r="AC300" t="str">
        <f>IF(L300="","",IF(AND($AO$2=1,ISNA(MATCH(L300,'05-أيار'!$L$2:$L$501,0))),"محذوف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IF(L301="","",IF($AO$1=1,IFERROR(MATCH(L301,'03-آذار'!$L$2:$L$501,0),0),0))</f>
        <v/>
      </c>
      <c r="W301" t="str">
        <f t="shared" si="91"/>
        <v/>
      </c>
      <c r="X301" s="38" t="str">
        <f>IF(L301="","",IF(V301&gt;0,INDEX('03-آذار'!$P$2:$P$501,V301),IF($AO$1=1,0,"")))</f>
        <v/>
      </c>
      <c r="Y301" s="38" t="str">
        <f t="shared" si="92"/>
        <v/>
      </c>
      <c r="Z301" s="39" t="str">
        <f>IF(L301="","",IF(V301&gt;0,INDEX('03-آذار'!$Q$2:$Q$501,V301),IF($AO$1=1,0,"")))</f>
        <v/>
      </c>
      <c r="AA301" s="39" t="str">
        <f t="shared" si="93"/>
        <v/>
      </c>
      <c r="AB301" s="40" t="str">
        <f>IF(OR(L301="",V301=0),"",IF(AND(N(I301)&gt;0,N(INDEX('03-آذار'!$I$2:$I$501,V301))&gt;0,INDEX('03-آذار'!$F$2:$F$501,V301)=F301),N(I301)/N(INDEX('03-آذار'!$I$2:$I$501,V301))-1,""))</f>
        <v/>
      </c>
      <c r="AC301" t="str">
        <f>IF(L301="","",IF(AND($AO$2=1,ISNA(MATCH(L301,'05-أيار'!$L$2:$L$501,0))),"محذوف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IF(L302="","",IF($AO$1=1,IFERROR(MATCH(L302,'03-آذار'!$L$2:$L$501,0),0),0))</f>
        <v/>
      </c>
      <c r="W302" t="str">
        <f t="shared" si="91"/>
        <v/>
      </c>
      <c r="X302" s="38" t="str">
        <f>IF(L302="","",IF(V302&gt;0,INDEX('03-آذار'!$P$2:$P$501,V302),IF($AO$1=1,0,"")))</f>
        <v/>
      </c>
      <c r="Y302" s="38" t="str">
        <f t="shared" si="92"/>
        <v/>
      </c>
      <c r="Z302" s="39" t="str">
        <f>IF(L302="","",IF(V302&gt;0,INDEX('03-آذار'!$Q$2:$Q$501,V302),IF($AO$1=1,0,"")))</f>
        <v/>
      </c>
      <c r="AA302" s="39" t="str">
        <f t="shared" si="93"/>
        <v/>
      </c>
      <c r="AB302" s="40" t="str">
        <f>IF(OR(L302="",V302=0),"",IF(AND(N(I302)&gt;0,N(INDEX('03-آذار'!$I$2:$I$501,V302))&gt;0,INDEX('03-آذار'!$F$2:$F$501,V302)=F302),N(I302)/N(INDEX('03-آذار'!$I$2:$I$501,V302))-1,""))</f>
        <v/>
      </c>
      <c r="AC302" t="str">
        <f>IF(L302="","",IF(AND($AO$2=1,ISNA(MATCH(L302,'05-أيار'!$L$2:$L$501,0))),"محذوف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IF(L303="","",IF($AO$1=1,IFERROR(MATCH(L303,'03-آذار'!$L$2:$L$501,0),0),0))</f>
        <v/>
      </c>
      <c r="W303" t="str">
        <f t="shared" si="91"/>
        <v/>
      </c>
      <c r="X303" s="38" t="str">
        <f>IF(L303="","",IF(V303&gt;0,INDEX('03-آذار'!$P$2:$P$501,V303),IF($AO$1=1,0,"")))</f>
        <v/>
      </c>
      <c r="Y303" s="38" t="str">
        <f t="shared" si="92"/>
        <v/>
      </c>
      <c r="Z303" s="39" t="str">
        <f>IF(L303="","",IF(V303&gt;0,INDEX('03-آذار'!$Q$2:$Q$501,V303),IF($AO$1=1,0,"")))</f>
        <v/>
      </c>
      <c r="AA303" s="39" t="str">
        <f t="shared" si="93"/>
        <v/>
      </c>
      <c r="AB303" s="40" t="str">
        <f>IF(OR(L303="",V303=0),"",IF(AND(N(I303)&gt;0,N(INDEX('03-آذار'!$I$2:$I$501,V303))&gt;0,INDEX('03-آذار'!$F$2:$F$501,V303)=F303),N(I303)/N(INDEX('03-آذار'!$I$2:$I$501,V303))-1,""))</f>
        <v/>
      </c>
      <c r="AC303" t="str">
        <f>IF(L303="","",IF(AND($AO$2=1,ISNA(MATCH(L303,'05-أيار'!$L$2:$L$501,0))),"محذوف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IF(L304="","",IF($AO$1=1,IFERROR(MATCH(L304,'03-آذار'!$L$2:$L$501,0),0),0))</f>
        <v/>
      </c>
      <c r="W304" t="str">
        <f t="shared" si="91"/>
        <v/>
      </c>
      <c r="X304" s="38" t="str">
        <f>IF(L304="","",IF(V304&gt;0,INDEX('03-آذار'!$P$2:$P$501,V304),IF($AO$1=1,0,"")))</f>
        <v/>
      </c>
      <c r="Y304" s="38" t="str">
        <f t="shared" si="92"/>
        <v/>
      </c>
      <c r="Z304" s="39" t="str">
        <f>IF(L304="","",IF(V304&gt;0,INDEX('03-آذار'!$Q$2:$Q$501,V304),IF($AO$1=1,0,"")))</f>
        <v/>
      </c>
      <c r="AA304" s="39" t="str">
        <f t="shared" si="93"/>
        <v/>
      </c>
      <c r="AB304" s="40" t="str">
        <f>IF(OR(L304="",V304=0),"",IF(AND(N(I304)&gt;0,N(INDEX('03-آذار'!$I$2:$I$501,V304))&gt;0,INDEX('03-آذار'!$F$2:$F$501,V304)=F304),N(I304)/N(INDEX('03-آذار'!$I$2:$I$501,V304))-1,""))</f>
        <v/>
      </c>
      <c r="AC304" t="str">
        <f>IF(L304="","",IF(AND($AO$2=1,ISNA(MATCH(L304,'05-أيار'!$L$2:$L$501,0))),"محذوف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IF(L305="","",IF($AO$1=1,IFERROR(MATCH(L305,'03-آذار'!$L$2:$L$501,0),0),0))</f>
        <v/>
      </c>
      <c r="W305" t="str">
        <f t="shared" si="91"/>
        <v/>
      </c>
      <c r="X305" s="38" t="str">
        <f>IF(L305="","",IF(V305&gt;0,INDEX('03-آذار'!$P$2:$P$501,V305),IF($AO$1=1,0,"")))</f>
        <v/>
      </c>
      <c r="Y305" s="38" t="str">
        <f t="shared" si="92"/>
        <v/>
      </c>
      <c r="Z305" s="39" t="str">
        <f>IF(L305="","",IF(V305&gt;0,INDEX('03-آذار'!$Q$2:$Q$501,V305),IF($AO$1=1,0,"")))</f>
        <v/>
      </c>
      <c r="AA305" s="39" t="str">
        <f t="shared" si="93"/>
        <v/>
      </c>
      <c r="AB305" s="40" t="str">
        <f>IF(OR(L305="",V305=0),"",IF(AND(N(I305)&gt;0,N(INDEX('03-آذار'!$I$2:$I$501,V305))&gt;0,INDEX('03-آذار'!$F$2:$F$501,V305)=F305),N(I305)/N(INDEX('03-آذار'!$I$2:$I$501,V305))-1,""))</f>
        <v/>
      </c>
      <c r="AC305" t="str">
        <f>IF(L305="","",IF(AND($AO$2=1,ISNA(MATCH(L305,'05-أيار'!$L$2:$L$501,0))),"محذوف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IF(L306="","",IF($AO$1=1,IFERROR(MATCH(L306,'03-آذار'!$L$2:$L$501,0),0),0))</f>
        <v/>
      </c>
      <c r="W306" t="str">
        <f t="shared" si="91"/>
        <v/>
      </c>
      <c r="X306" s="38" t="str">
        <f>IF(L306="","",IF(V306&gt;0,INDEX('03-آذار'!$P$2:$P$501,V306),IF($AO$1=1,0,"")))</f>
        <v/>
      </c>
      <c r="Y306" s="38" t="str">
        <f t="shared" si="92"/>
        <v/>
      </c>
      <c r="Z306" s="39" t="str">
        <f>IF(L306="","",IF(V306&gt;0,INDEX('03-آذار'!$Q$2:$Q$501,V306),IF($AO$1=1,0,"")))</f>
        <v/>
      </c>
      <c r="AA306" s="39" t="str">
        <f t="shared" si="93"/>
        <v/>
      </c>
      <c r="AB306" s="40" t="str">
        <f>IF(OR(L306="",V306=0),"",IF(AND(N(I306)&gt;0,N(INDEX('03-آذار'!$I$2:$I$501,V306))&gt;0,INDEX('03-آذار'!$F$2:$F$501,V306)=F306),N(I306)/N(INDEX('03-آذار'!$I$2:$I$501,V306))-1,""))</f>
        <v/>
      </c>
      <c r="AC306" t="str">
        <f>IF(L306="","",IF(AND($AO$2=1,ISNA(MATCH(L306,'05-أيار'!$L$2:$L$501,0))),"محذوف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IF(L307="","",IF($AO$1=1,IFERROR(MATCH(L307,'03-آذار'!$L$2:$L$501,0),0),0))</f>
        <v/>
      </c>
      <c r="W307" t="str">
        <f t="shared" si="91"/>
        <v/>
      </c>
      <c r="X307" s="38" t="str">
        <f>IF(L307="","",IF(V307&gt;0,INDEX('03-آذار'!$P$2:$P$501,V307),IF($AO$1=1,0,"")))</f>
        <v/>
      </c>
      <c r="Y307" s="38" t="str">
        <f t="shared" si="92"/>
        <v/>
      </c>
      <c r="Z307" s="39" t="str">
        <f>IF(L307="","",IF(V307&gt;0,INDEX('03-آذار'!$Q$2:$Q$501,V307),IF($AO$1=1,0,"")))</f>
        <v/>
      </c>
      <c r="AA307" s="39" t="str">
        <f t="shared" si="93"/>
        <v/>
      </c>
      <c r="AB307" s="40" t="str">
        <f>IF(OR(L307="",V307=0),"",IF(AND(N(I307)&gt;0,N(INDEX('03-آذار'!$I$2:$I$501,V307))&gt;0,INDEX('03-آذار'!$F$2:$F$501,V307)=F307),N(I307)/N(INDEX('03-آذار'!$I$2:$I$501,V307))-1,""))</f>
        <v/>
      </c>
      <c r="AC307" t="str">
        <f>IF(L307="","",IF(AND($AO$2=1,ISNA(MATCH(L307,'05-أيار'!$L$2:$L$501,0))),"محذوف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IF(L308="","",IF($AO$1=1,IFERROR(MATCH(L308,'03-آذار'!$L$2:$L$501,0),0),0))</f>
        <v/>
      </c>
      <c r="W308" t="str">
        <f t="shared" si="91"/>
        <v/>
      </c>
      <c r="X308" s="38" t="str">
        <f>IF(L308="","",IF(V308&gt;0,INDEX('03-آذار'!$P$2:$P$501,V308),IF($AO$1=1,0,"")))</f>
        <v/>
      </c>
      <c r="Y308" s="38" t="str">
        <f t="shared" si="92"/>
        <v/>
      </c>
      <c r="Z308" s="39" t="str">
        <f>IF(L308="","",IF(V308&gt;0,INDEX('03-آذار'!$Q$2:$Q$501,V308),IF($AO$1=1,0,"")))</f>
        <v/>
      </c>
      <c r="AA308" s="39" t="str">
        <f t="shared" si="93"/>
        <v/>
      </c>
      <c r="AB308" s="40" t="str">
        <f>IF(OR(L308="",V308=0),"",IF(AND(N(I308)&gt;0,N(INDEX('03-آذار'!$I$2:$I$501,V308))&gt;0,INDEX('03-آذار'!$F$2:$F$501,V308)=F308),N(I308)/N(INDEX('03-آذار'!$I$2:$I$501,V308))-1,""))</f>
        <v/>
      </c>
      <c r="AC308" t="str">
        <f>IF(L308="","",IF(AND($AO$2=1,ISNA(MATCH(L308,'05-أيار'!$L$2:$L$501,0))),"محذوف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IF(L309="","",IF($AO$1=1,IFERROR(MATCH(L309,'03-آذار'!$L$2:$L$501,0),0),0))</f>
        <v/>
      </c>
      <c r="W309" t="str">
        <f t="shared" si="91"/>
        <v/>
      </c>
      <c r="X309" s="38" t="str">
        <f>IF(L309="","",IF(V309&gt;0,INDEX('03-آذار'!$P$2:$P$501,V309),IF($AO$1=1,0,"")))</f>
        <v/>
      </c>
      <c r="Y309" s="38" t="str">
        <f t="shared" si="92"/>
        <v/>
      </c>
      <c r="Z309" s="39" t="str">
        <f>IF(L309="","",IF(V309&gt;0,INDEX('03-آذار'!$Q$2:$Q$501,V309),IF($AO$1=1,0,"")))</f>
        <v/>
      </c>
      <c r="AA309" s="39" t="str">
        <f t="shared" si="93"/>
        <v/>
      </c>
      <c r="AB309" s="40" t="str">
        <f>IF(OR(L309="",V309=0),"",IF(AND(N(I309)&gt;0,N(INDEX('03-آذار'!$I$2:$I$501,V309))&gt;0,INDEX('03-آذار'!$F$2:$F$501,V309)=F309),N(I309)/N(INDEX('03-آذار'!$I$2:$I$501,V309))-1,""))</f>
        <v/>
      </c>
      <c r="AC309" t="str">
        <f>IF(L309="","",IF(AND($AO$2=1,ISNA(MATCH(L309,'05-أيار'!$L$2:$L$501,0))),"محذوف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IF(L310="","",IF($AO$1=1,IFERROR(MATCH(L310,'03-آذار'!$L$2:$L$501,0),0),0))</f>
        <v/>
      </c>
      <c r="W310" t="str">
        <f t="shared" si="91"/>
        <v/>
      </c>
      <c r="X310" s="38" t="str">
        <f>IF(L310="","",IF(V310&gt;0,INDEX('03-آذار'!$P$2:$P$501,V310),IF($AO$1=1,0,"")))</f>
        <v/>
      </c>
      <c r="Y310" s="38" t="str">
        <f t="shared" si="92"/>
        <v/>
      </c>
      <c r="Z310" s="39" t="str">
        <f>IF(L310="","",IF(V310&gt;0,INDEX('03-آذار'!$Q$2:$Q$501,V310),IF($AO$1=1,0,"")))</f>
        <v/>
      </c>
      <c r="AA310" s="39" t="str">
        <f t="shared" si="93"/>
        <v/>
      </c>
      <c r="AB310" s="40" t="str">
        <f>IF(OR(L310="",V310=0),"",IF(AND(N(I310)&gt;0,N(INDEX('03-آذار'!$I$2:$I$501,V310))&gt;0,INDEX('03-آذار'!$F$2:$F$501,V310)=F310),N(I310)/N(INDEX('03-آذار'!$I$2:$I$501,V310))-1,""))</f>
        <v/>
      </c>
      <c r="AC310" t="str">
        <f>IF(L310="","",IF(AND($AO$2=1,ISNA(MATCH(L310,'05-أيار'!$L$2:$L$501,0))),"محذوف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IF(L311="","",IF($AO$1=1,IFERROR(MATCH(L311,'03-آذار'!$L$2:$L$501,0),0),0))</f>
        <v/>
      </c>
      <c r="W311" t="str">
        <f t="shared" si="91"/>
        <v/>
      </c>
      <c r="X311" s="38" t="str">
        <f>IF(L311="","",IF(V311&gt;0,INDEX('03-آذار'!$P$2:$P$501,V311),IF($AO$1=1,0,"")))</f>
        <v/>
      </c>
      <c r="Y311" s="38" t="str">
        <f t="shared" si="92"/>
        <v/>
      </c>
      <c r="Z311" s="39" t="str">
        <f>IF(L311="","",IF(V311&gt;0,INDEX('03-آذار'!$Q$2:$Q$501,V311),IF($AO$1=1,0,"")))</f>
        <v/>
      </c>
      <c r="AA311" s="39" t="str">
        <f t="shared" si="93"/>
        <v/>
      </c>
      <c r="AB311" s="40" t="str">
        <f>IF(OR(L311="",V311=0),"",IF(AND(N(I311)&gt;0,N(INDEX('03-آذار'!$I$2:$I$501,V311))&gt;0,INDEX('03-آذار'!$F$2:$F$501,V311)=F311),N(I311)/N(INDEX('03-آذار'!$I$2:$I$501,V311))-1,""))</f>
        <v/>
      </c>
      <c r="AC311" t="str">
        <f>IF(L311="","",IF(AND($AO$2=1,ISNA(MATCH(L311,'05-أيار'!$L$2:$L$501,0))),"محذوف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IF(L312="","",IF($AO$1=1,IFERROR(MATCH(L312,'03-آذار'!$L$2:$L$501,0),0),0))</f>
        <v/>
      </c>
      <c r="W312" t="str">
        <f t="shared" si="91"/>
        <v/>
      </c>
      <c r="X312" s="38" t="str">
        <f>IF(L312="","",IF(V312&gt;0,INDEX('03-آذار'!$P$2:$P$501,V312),IF($AO$1=1,0,"")))</f>
        <v/>
      </c>
      <c r="Y312" s="38" t="str">
        <f t="shared" si="92"/>
        <v/>
      </c>
      <c r="Z312" s="39" t="str">
        <f>IF(L312="","",IF(V312&gt;0,INDEX('03-آذار'!$Q$2:$Q$501,V312),IF($AO$1=1,0,"")))</f>
        <v/>
      </c>
      <c r="AA312" s="39" t="str">
        <f t="shared" si="93"/>
        <v/>
      </c>
      <c r="AB312" s="40" t="str">
        <f>IF(OR(L312="",V312=0),"",IF(AND(N(I312)&gt;0,N(INDEX('03-آذار'!$I$2:$I$501,V312))&gt;0,INDEX('03-آذار'!$F$2:$F$501,V312)=F312),N(I312)/N(INDEX('03-آذار'!$I$2:$I$501,V312))-1,""))</f>
        <v/>
      </c>
      <c r="AC312" t="str">
        <f>IF(L312="","",IF(AND($AO$2=1,ISNA(MATCH(L312,'05-أيار'!$L$2:$L$501,0))),"محذوف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IF(L313="","",IF($AO$1=1,IFERROR(MATCH(L313,'03-آذار'!$L$2:$L$501,0),0),0))</f>
        <v/>
      </c>
      <c r="W313" t="str">
        <f t="shared" si="91"/>
        <v/>
      </c>
      <c r="X313" s="38" t="str">
        <f>IF(L313="","",IF(V313&gt;0,INDEX('03-آذار'!$P$2:$P$501,V313),IF($AO$1=1,0,"")))</f>
        <v/>
      </c>
      <c r="Y313" s="38" t="str">
        <f t="shared" si="92"/>
        <v/>
      </c>
      <c r="Z313" s="39" t="str">
        <f>IF(L313="","",IF(V313&gt;0,INDEX('03-آذار'!$Q$2:$Q$501,V313),IF($AO$1=1,0,"")))</f>
        <v/>
      </c>
      <c r="AA313" s="39" t="str">
        <f t="shared" si="93"/>
        <v/>
      </c>
      <c r="AB313" s="40" t="str">
        <f>IF(OR(L313="",V313=0),"",IF(AND(N(I313)&gt;0,N(INDEX('03-آذار'!$I$2:$I$501,V313))&gt;0,INDEX('03-آذار'!$F$2:$F$501,V313)=F313),N(I313)/N(INDEX('03-آذار'!$I$2:$I$501,V313))-1,""))</f>
        <v/>
      </c>
      <c r="AC313" t="str">
        <f>IF(L313="","",IF(AND($AO$2=1,ISNA(MATCH(L313,'05-أيار'!$L$2:$L$501,0))),"محذوف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IF(L314="","",IF($AO$1=1,IFERROR(MATCH(L314,'03-آذار'!$L$2:$L$501,0),0),0))</f>
        <v/>
      </c>
      <c r="W314" t="str">
        <f t="shared" si="91"/>
        <v/>
      </c>
      <c r="X314" s="38" t="str">
        <f>IF(L314="","",IF(V314&gt;0,INDEX('03-آذار'!$P$2:$P$501,V314),IF($AO$1=1,0,"")))</f>
        <v/>
      </c>
      <c r="Y314" s="38" t="str">
        <f t="shared" si="92"/>
        <v/>
      </c>
      <c r="Z314" s="39" t="str">
        <f>IF(L314="","",IF(V314&gt;0,INDEX('03-آذار'!$Q$2:$Q$501,V314),IF($AO$1=1,0,"")))</f>
        <v/>
      </c>
      <c r="AA314" s="39" t="str">
        <f t="shared" si="93"/>
        <v/>
      </c>
      <c r="AB314" s="40" t="str">
        <f>IF(OR(L314="",V314=0),"",IF(AND(N(I314)&gt;0,N(INDEX('03-آذار'!$I$2:$I$501,V314))&gt;0,INDEX('03-آذار'!$F$2:$F$501,V314)=F314),N(I314)/N(INDEX('03-آذار'!$I$2:$I$501,V314))-1,""))</f>
        <v/>
      </c>
      <c r="AC314" t="str">
        <f>IF(L314="","",IF(AND($AO$2=1,ISNA(MATCH(L314,'05-أيار'!$L$2:$L$501,0))),"محذوف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IF(L315="","",IF($AO$1=1,IFERROR(MATCH(L315,'03-آذار'!$L$2:$L$501,0),0),0))</f>
        <v/>
      </c>
      <c r="W315" t="str">
        <f t="shared" si="91"/>
        <v/>
      </c>
      <c r="X315" s="38" t="str">
        <f>IF(L315="","",IF(V315&gt;0,INDEX('03-آذار'!$P$2:$P$501,V315),IF($AO$1=1,0,"")))</f>
        <v/>
      </c>
      <c r="Y315" s="38" t="str">
        <f t="shared" si="92"/>
        <v/>
      </c>
      <c r="Z315" s="39" t="str">
        <f>IF(L315="","",IF(V315&gt;0,INDEX('03-آذار'!$Q$2:$Q$501,V315),IF($AO$1=1,0,"")))</f>
        <v/>
      </c>
      <c r="AA315" s="39" t="str">
        <f t="shared" si="93"/>
        <v/>
      </c>
      <c r="AB315" s="40" t="str">
        <f>IF(OR(L315="",V315=0),"",IF(AND(N(I315)&gt;0,N(INDEX('03-آذار'!$I$2:$I$501,V315))&gt;0,INDEX('03-آذار'!$F$2:$F$501,V315)=F315),N(I315)/N(INDEX('03-آذار'!$I$2:$I$501,V315))-1,""))</f>
        <v/>
      </c>
      <c r="AC315" t="str">
        <f>IF(L315="","",IF(AND($AO$2=1,ISNA(MATCH(L315,'05-أيار'!$L$2:$L$501,0))),"محذوف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IF(L316="","",IF($AO$1=1,IFERROR(MATCH(L316,'03-آذار'!$L$2:$L$501,0),0),0))</f>
        <v/>
      </c>
      <c r="W316" t="str">
        <f t="shared" si="91"/>
        <v/>
      </c>
      <c r="X316" s="38" t="str">
        <f>IF(L316="","",IF(V316&gt;0,INDEX('03-آذار'!$P$2:$P$501,V316),IF($AO$1=1,0,"")))</f>
        <v/>
      </c>
      <c r="Y316" s="38" t="str">
        <f t="shared" si="92"/>
        <v/>
      </c>
      <c r="Z316" s="39" t="str">
        <f>IF(L316="","",IF(V316&gt;0,INDEX('03-آذار'!$Q$2:$Q$501,V316),IF($AO$1=1,0,"")))</f>
        <v/>
      </c>
      <c r="AA316" s="39" t="str">
        <f t="shared" si="93"/>
        <v/>
      </c>
      <c r="AB316" s="40" t="str">
        <f>IF(OR(L316="",V316=0),"",IF(AND(N(I316)&gt;0,N(INDEX('03-آذار'!$I$2:$I$501,V316))&gt;0,INDEX('03-آذار'!$F$2:$F$501,V316)=F316),N(I316)/N(INDEX('03-آذار'!$I$2:$I$501,V316))-1,""))</f>
        <v/>
      </c>
      <c r="AC316" t="str">
        <f>IF(L316="","",IF(AND($AO$2=1,ISNA(MATCH(L316,'05-أيار'!$L$2:$L$501,0))),"محذوف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IF(L317="","",IF($AO$1=1,IFERROR(MATCH(L317,'03-آذار'!$L$2:$L$501,0),0),0))</f>
        <v/>
      </c>
      <c r="W317" t="str">
        <f t="shared" si="91"/>
        <v/>
      </c>
      <c r="X317" s="38" t="str">
        <f>IF(L317="","",IF(V317&gt;0,INDEX('03-آذار'!$P$2:$P$501,V317),IF($AO$1=1,0,"")))</f>
        <v/>
      </c>
      <c r="Y317" s="38" t="str">
        <f t="shared" si="92"/>
        <v/>
      </c>
      <c r="Z317" s="39" t="str">
        <f>IF(L317="","",IF(V317&gt;0,INDEX('03-آذار'!$Q$2:$Q$501,V317),IF($AO$1=1,0,"")))</f>
        <v/>
      </c>
      <c r="AA317" s="39" t="str">
        <f t="shared" si="93"/>
        <v/>
      </c>
      <c r="AB317" s="40" t="str">
        <f>IF(OR(L317="",V317=0),"",IF(AND(N(I317)&gt;0,N(INDEX('03-آذار'!$I$2:$I$501,V317))&gt;0,INDEX('03-آذار'!$F$2:$F$501,V317)=F317),N(I317)/N(INDEX('03-آذار'!$I$2:$I$501,V317))-1,""))</f>
        <v/>
      </c>
      <c r="AC317" t="str">
        <f>IF(L317="","",IF(AND($AO$2=1,ISNA(MATCH(L317,'05-أيار'!$L$2:$L$501,0))),"محذوف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IF(L318="","",IF($AO$1=1,IFERROR(MATCH(L318,'03-آذار'!$L$2:$L$501,0),0),0))</f>
        <v/>
      </c>
      <c r="W318" t="str">
        <f t="shared" si="91"/>
        <v/>
      </c>
      <c r="X318" s="38" t="str">
        <f>IF(L318="","",IF(V318&gt;0,INDEX('03-آذار'!$P$2:$P$501,V318),IF($AO$1=1,0,"")))</f>
        <v/>
      </c>
      <c r="Y318" s="38" t="str">
        <f t="shared" si="92"/>
        <v/>
      </c>
      <c r="Z318" s="39" t="str">
        <f>IF(L318="","",IF(V318&gt;0,INDEX('03-آذار'!$Q$2:$Q$501,V318),IF($AO$1=1,0,"")))</f>
        <v/>
      </c>
      <c r="AA318" s="39" t="str">
        <f t="shared" si="93"/>
        <v/>
      </c>
      <c r="AB318" s="40" t="str">
        <f>IF(OR(L318="",V318=0),"",IF(AND(N(I318)&gt;0,N(INDEX('03-آذار'!$I$2:$I$501,V318))&gt;0,INDEX('03-آذار'!$F$2:$F$501,V318)=F318),N(I318)/N(INDEX('03-آذار'!$I$2:$I$501,V318))-1,""))</f>
        <v/>
      </c>
      <c r="AC318" t="str">
        <f>IF(L318="","",IF(AND($AO$2=1,ISNA(MATCH(L318,'05-أيار'!$L$2:$L$501,0))),"محذوف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IF(L319="","",IF($AO$1=1,IFERROR(MATCH(L319,'03-آذار'!$L$2:$L$501,0),0),0))</f>
        <v/>
      </c>
      <c r="W319" t="str">
        <f t="shared" si="91"/>
        <v/>
      </c>
      <c r="X319" s="38" t="str">
        <f>IF(L319="","",IF(V319&gt;0,INDEX('03-آذار'!$P$2:$P$501,V319),IF($AO$1=1,0,"")))</f>
        <v/>
      </c>
      <c r="Y319" s="38" t="str">
        <f t="shared" si="92"/>
        <v/>
      </c>
      <c r="Z319" s="39" t="str">
        <f>IF(L319="","",IF(V319&gt;0,INDEX('03-آذار'!$Q$2:$Q$501,V319),IF($AO$1=1,0,"")))</f>
        <v/>
      </c>
      <c r="AA319" s="39" t="str">
        <f t="shared" si="93"/>
        <v/>
      </c>
      <c r="AB319" s="40" t="str">
        <f>IF(OR(L319="",V319=0),"",IF(AND(N(I319)&gt;0,N(INDEX('03-آذار'!$I$2:$I$501,V319))&gt;0,INDEX('03-آذار'!$F$2:$F$501,V319)=F319),N(I319)/N(INDEX('03-آذار'!$I$2:$I$501,V319))-1,""))</f>
        <v/>
      </c>
      <c r="AC319" t="str">
        <f>IF(L319="","",IF(AND($AO$2=1,ISNA(MATCH(L319,'05-أيار'!$L$2:$L$501,0))),"محذوف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IF(L320="","",IF($AO$1=1,IFERROR(MATCH(L320,'03-آذار'!$L$2:$L$501,0),0),0))</f>
        <v/>
      </c>
      <c r="W320" t="str">
        <f t="shared" si="91"/>
        <v/>
      </c>
      <c r="X320" s="38" t="str">
        <f>IF(L320="","",IF(V320&gt;0,INDEX('03-آذار'!$P$2:$P$501,V320),IF($AO$1=1,0,"")))</f>
        <v/>
      </c>
      <c r="Y320" s="38" t="str">
        <f t="shared" si="92"/>
        <v/>
      </c>
      <c r="Z320" s="39" t="str">
        <f>IF(L320="","",IF(V320&gt;0,INDEX('03-آذار'!$Q$2:$Q$501,V320),IF($AO$1=1,0,"")))</f>
        <v/>
      </c>
      <c r="AA320" s="39" t="str">
        <f t="shared" si="93"/>
        <v/>
      </c>
      <c r="AB320" s="40" t="str">
        <f>IF(OR(L320="",V320=0),"",IF(AND(N(I320)&gt;0,N(INDEX('03-آذار'!$I$2:$I$501,V320))&gt;0,INDEX('03-آذار'!$F$2:$F$501,V320)=F320),N(I320)/N(INDEX('03-آذار'!$I$2:$I$501,V320))-1,""))</f>
        <v/>
      </c>
      <c r="AC320" t="str">
        <f>IF(L320="","",IF(AND($AO$2=1,ISNA(MATCH(L320,'05-أيار'!$L$2:$L$501,0))),"محذوف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IF(L321="","",IF($AO$1=1,IFERROR(MATCH(L321,'03-آذار'!$L$2:$L$501,0),0),0))</f>
        <v/>
      </c>
      <c r="W321" t="str">
        <f t="shared" si="91"/>
        <v/>
      </c>
      <c r="X321" s="38" t="str">
        <f>IF(L321="","",IF(V321&gt;0,INDEX('03-آذار'!$P$2:$P$501,V321),IF($AO$1=1,0,"")))</f>
        <v/>
      </c>
      <c r="Y321" s="38" t="str">
        <f t="shared" si="92"/>
        <v/>
      </c>
      <c r="Z321" s="39" t="str">
        <f>IF(L321="","",IF(V321&gt;0,INDEX('03-آذار'!$Q$2:$Q$501,V321),IF($AO$1=1,0,"")))</f>
        <v/>
      </c>
      <c r="AA321" s="39" t="str">
        <f t="shared" si="93"/>
        <v/>
      </c>
      <c r="AB321" s="40" t="str">
        <f>IF(OR(L321="",V321=0),"",IF(AND(N(I321)&gt;0,N(INDEX('03-آذار'!$I$2:$I$501,V321))&gt;0,INDEX('03-آذار'!$F$2:$F$501,V321)=F321),N(I321)/N(INDEX('03-آذار'!$I$2:$I$501,V321))-1,""))</f>
        <v/>
      </c>
      <c r="AC321" t="str">
        <f>IF(L321="","",IF(AND($AO$2=1,ISNA(MATCH(L321,'05-أيار'!$L$2:$L$501,0))),"محذوف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IF(L322="","",IF($AO$1=1,IFERROR(MATCH(L322,'03-آذار'!$L$2:$L$501,0),0),0))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IF(L322="","",IF(V322&gt;0,INDEX('03-آذار'!$P$2:$P$501,V322),IF($AO$1=1,0,"")))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IF(L322="","",IF(V322&gt;0,INDEX('03-آذار'!$Q$2:$Q$501,V322),IF($AO$1=1,0,"")))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IF(OR(L322="",V322=0),"",IF(AND(N(I322)&gt;0,N(INDEX('03-آذار'!$I$2:$I$501,V322))&gt;0,INDEX('03-آذار'!$F$2:$F$501,V322)=F322),N(I322)/N(INDEX('03-آذار'!$I$2:$I$501,V322))-1,""))</f>
        <v/>
      </c>
      <c r="AC322" t="str">
        <f>IF(L322="","",IF(AND($AO$2=1,ISNA(MATCH(L322,'05-أيار'!$L$2:$L$501,0))),"محذوف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IF(L323="","",IF($AO$1=1,IFERROR(MATCH(L323,'03-آذار'!$L$2:$L$501,0),0),0))</f>
        <v/>
      </c>
      <c r="W323" t="str">
        <f t="shared" si="111"/>
        <v/>
      </c>
      <c r="X323" s="38" t="str">
        <f>IF(L323="","",IF(V323&gt;0,INDEX('03-آذار'!$P$2:$P$501,V323),IF($AO$1=1,0,"")))</f>
        <v/>
      </c>
      <c r="Y323" s="38" t="str">
        <f t="shared" si="112"/>
        <v/>
      </c>
      <c r="Z323" s="39" t="str">
        <f>IF(L323="","",IF(V323&gt;0,INDEX('03-آذار'!$Q$2:$Q$501,V323),IF($AO$1=1,0,"")))</f>
        <v/>
      </c>
      <c r="AA323" s="39" t="str">
        <f t="shared" si="113"/>
        <v/>
      </c>
      <c r="AB323" s="40" t="str">
        <f>IF(OR(L323="",V323=0),"",IF(AND(N(I323)&gt;0,N(INDEX('03-آذار'!$I$2:$I$501,V323))&gt;0,INDEX('03-آذار'!$F$2:$F$501,V323)=F323),N(I323)/N(INDEX('03-آذار'!$I$2:$I$501,V323))-1,""))</f>
        <v/>
      </c>
      <c r="AC323" t="str">
        <f>IF(L323="","",IF(AND($AO$2=1,ISNA(MATCH(L323,'05-أيار'!$L$2:$L$501,0))),"محذوف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IF(L324="","",IF($AO$1=1,IFERROR(MATCH(L324,'03-آذار'!$L$2:$L$501,0),0),0))</f>
        <v/>
      </c>
      <c r="W324" t="str">
        <f t="shared" si="111"/>
        <v/>
      </c>
      <c r="X324" s="38" t="str">
        <f>IF(L324="","",IF(V324&gt;0,INDEX('03-آذار'!$P$2:$P$501,V324),IF($AO$1=1,0,"")))</f>
        <v/>
      </c>
      <c r="Y324" s="38" t="str">
        <f t="shared" si="112"/>
        <v/>
      </c>
      <c r="Z324" s="39" t="str">
        <f>IF(L324="","",IF(V324&gt;0,INDEX('03-آذار'!$Q$2:$Q$501,V324),IF($AO$1=1,0,"")))</f>
        <v/>
      </c>
      <c r="AA324" s="39" t="str">
        <f t="shared" si="113"/>
        <v/>
      </c>
      <c r="AB324" s="40" t="str">
        <f>IF(OR(L324="",V324=0),"",IF(AND(N(I324)&gt;0,N(INDEX('03-آذار'!$I$2:$I$501,V324))&gt;0,INDEX('03-آذار'!$F$2:$F$501,V324)=F324),N(I324)/N(INDEX('03-آذار'!$I$2:$I$501,V324))-1,""))</f>
        <v/>
      </c>
      <c r="AC324" t="str">
        <f>IF(L324="","",IF(AND($AO$2=1,ISNA(MATCH(L324,'05-أيار'!$L$2:$L$501,0))),"محذوف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IF(L325="","",IF($AO$1=1,IFERROR(MATCH(L325,'03-آذار'!$L$2:$L$501,0),0),0))</f>
        <v/>
      </c>
      <c r="W325" t="str">
        <f t="shared" si="111"/>
        <v/>
      </c>
      <c r="X325" s="38" t="str">
        <f>IF(L325="","",IF(V325&gt;0,INDEX('03-آذار'!$P$2:$P$501,V325),IF($AO$1=1,0,"")))</f>
        <v/>
      </c>
      <c r="Y325" s="38" t="str">
        <f t="shared" si="112"/>
        <v/>
      </c>
      <c r="Z325" s="39" t="str">
        <f>IF(L325="","",IF(V325&gt;0,INDEX('03-آذار'!$Q$2:$Q$501,V325),IF($AO$1=1,0,"")))</f>
        <v/>
      </c>
      <c r="AA325" s="39" t="str">
        <f t="shared" si="113"/>
        <v/>
      </c>
      <c r="AB325" s="40" t="str">
        <f>IF(OR(L325="",V325=0),"",IF(AND(N(I325)&gt;0,N(INDEX('03-آذار'!$I$2:$I$501,V325))&gt;0,INDEX('03-آذار'!$F$2:$F$501,V325)=F325),N(I325)/N(INDEX('03-آذار'!$I$2:$I$501,V325))-1,""))</f>
        <v/>
      </c>
      <c r="AC325" t="str">
        <f>IF(L325="","",IF(AND($AO$2=1,ISNA(MATCH(L325,'05-أيار'!$L$2:$L$501,0))),"محذوف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IF(L326="","",IF($AO$1=1,IFERROR(MATCH(L326,'03-آذار'!$L$2:$L$501,0),0),0))</f>
        <v/>
      </c>
      <c r="W326" t="str">
        <f t="shared" si="111"/>
        <v/>
      </c>
      <c r="X326" s="38" t="str">
        <f>IF(L326="","",IF(V326&gt;0,INDEX('03-آذار'!$P$2:$P$501,V326),IF($AO$1=1,0,"")))</f>
        <v/>
      </c>
      <c r="Y326" s="38" t="str">
        <f t="shared" si="112"/>
        <v/>
      </c>
      <c r="Z326" s="39" t="str">
        <f>IF(L326="","",IF(V326&gt;0,INDEX('03-آذار'!$Q$2:$Q$501,V326),IF($AO$1=1,0,"")))</f>
        <v/>
      </c>
      <c r="AA326" s="39" t="str">
        <f t="shared" si="113"/>
        <v/>
      </c>
      <c r="AB326" s="40" t="str">
        <f>IF(OR(L326="",V326=0),"",IF(AND(N(I326)&gt;0,N(INDEX('03-آذار'!$I$2:$I$501,V326))&gt;0,INDEX('03-آذار'!$F$2:$F$501,V326)=F326),N(I326)/N(INDEX('03-آذار'!$I$2:$I$501,V326))-1,""))</f>
        <v/>
      </c>
      <c r="AC326" t="str">
        <f>IF(L326="","",IF(AND($AO$2=1,ISNA(MATCH(L326,'05-أيار'!$L$2:$L$501,0))),"محذوف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IF(L327="","",IF($AO$1=1,IFERROR(MATCH(L327,'03-آذار'!$L$2:$L$501,0),0),0))</f>
        <v/>
      </c>
      <c r="W327" t="str">
        <f t="shared" si="111"/>
        <v/>
      </c>
      <c r="X327" s="38" t="str">
        <f>IF(L327="","",IF(V327&gt;0,INDEX('03-آذار'!$P$2:$P$501,V327),IF($AO$1=1,0,"")))</f>
        <v/>
      </c>
      <c r="Y327" s="38" t="str">
        <f t="shared" si="112"/>
        <v/>
      </c>
      <c r="Z327" s="39" t="str">
        <f>IF(L327="","",IF(V327&gt;0,INDEX('03-آذار'!$Q$2:$Q$501,V327),IF($AO$1=1,0,"")))</f>
        <v/>
      </c>
      <c r="AA327" s="39" t="str">
        <f t="shared" si="113"/>
        <v/>
      </c>
      <c r="AB327" s="40" t="str">
        <f>IF(OR(L327="",V327=0),"",IF(AND(N(I327)&gt;0,N(INDEX('03-آذار'!$I$2:$I$501,V327))&gt;0,INDEX('03-آذار'!$F$2:$F$501,V327)=F327),N(I327)/N(INDEX('03-آذار'!$I$2:$I$501,V327))-1,""))</f>
        <v/>
      </c>
      <c r="AC327" t="str">
        <f>IF(L327="","",IF(AND($AO$2=1,ISNA(MATCH(L327,'05-أيار'!$L$2:$L$501,0))),"محذوف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IF(L328="","",IF($AO$1=1,IFERROR(MATCH(L328,'03-آذار'!$L$2:$L$501,0),0),0))</f>
        <v/>
      </c>
      <c r="W328" t="str">
        <f t="shared" si="111"/>
        <v/>
      </c>
      <c r="X328" s="38" t="str">
        <f>IF(L328="","",IF(V328&gt;0,INDEX('03-آذار'!$P$2:$P$501,V328),IF($AO$1=1,0,"")))</f>
        <v/>
      </c>
      <c r="Y328" s="38" t="str">
        <f t="shared" si="112"/>
        <v/>
      </c>
      <c r="Z328" s="39" t="str">
        <f>IF(L328="","",IF(V328&gt;0,INDEX('03-آذار'!$Q$2:$Q$501,V328),IF($AO$1=1,0,"")))</f>
        <v/>
      </c>
      <c r="AA328" s="39" t="str">
        <f t="shared" si="113"/>
        <v/>
      </c>
      <c r="AB328" s="40" t="str">
        <f>IF(OR(L328="",V328=0),"",IF(AND(N(I328)&gt;0,N(INDEX('03-آذار'!$I$2:$I$501,V328))&gt;0,INDEX('03-آذار'!$F$2:$F$501,V328)=F328),N(I328)/N(INDEX('03-آذار'!$I$2:$I$501,V328))-1,""))</f>
        <v/>
      </c>
      <c r="AC328" t="str">
        <f>IF(L328="","",IF(AND($AO$2=1,ISNA(MATCH(L328,'05-أيار'!$L$2:$L$501,0))),"محذوف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IF(L329="","",IF($AO$1=1,IFERROR(MATCH(L329,'03-آذار'!$L$2:$L$501,0),0),0))</f>
        <v/>
      </c>
      <c r="W329" t="str">
        <f t="shared" si="111"/>
        <v/>
      </c>
      <c r="X329" s="38" t="str">
        <f>IF(L329="","",IF(V329&gt;0,INDEX('03-آذار'!$P$2:$P$501,V329),IF($AO$1=1,0,"")))</f>
        <v/>
      </c>
      <c r="Y329" s="38" t="str">
        <f t="shared" si="112"/>
        <v/>
      </c>
      <c r="Z329" s="39" t="str">
        <f>IF(L329="","",IF(V329&gt;0,INDEX('03-آذار'!$Q$2:$Q$501,V329),IF($AO$1=1,0,"")))</f>
        <v/>
      </c>
      <c r="AA329" s="39" t="str">
        <f t="shared" si="113"/>
        <v/>
      </c>
      <c r="AB329" s="40" t="str">
        <f>IF(OR(L329="",V329=0),"",IF(AND(N(I329)&gt;0,N(INDEX('03-آذار'!$I$2:$I$501,V329))&gt;0,INDEX('03-آذار'!$F$2:$F$501,V329)=F329),N(I329)/N(INDEX('03-آذار'!$I$2:$I$501,V329))-1,""))</f>
        <v/>
      </c>
      <c r="AC329" t="str">
        <f>IF(L329="","",IF(AND($AO$2=1,ISNA(MATCH(L329,'05-أيار'!$L$2:$L$501,0))),"محذوف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IF(L330="","",IF($AO$1=1,IFERROR(MATCH(L330,'03-آذار'!$L$2:$L$501,0),0),0))</f>
        <v/>
      </c>
      <c r="W330" t="str">
        <f t="shared" si="111"/>
        <v/>
      </c>
      <c r="X330" s="38" t="str">
        <f>IF(L330="","",IF(V330&gt;0,INDEX('03-آذار'!$P$2:$P$501,V330),IF($AO$1=1,0,"")))</f>
        <v/>
      </c>
      <c r="Y330" s="38" t="str">
        <f t="shared" si="112"/>
        <v/>
      </c>
      <c r="Z330" s="39" t="str">
        <f>IF(L330="","",IF(V330&gt;0,INDEX('03-آذار'!$Q$2:$Q$501,V330),IF($AO$1=1,0,"")))</f>
        <v/>
      </c>
      <c r="AA330" s="39" t="str">
        <f t="shared" si="113"/>
        <v/>
      </c>
      <c r="AB330" s="40" t="str">
        <f>IF(OR(L330="",V330=0),"",IF(AND(N(I330)&gt;0,N(INDEX('03-آذار'!$I$2:$I$501,V330))&gt;0,INDEX('03-آذار'!$F$2:$F$501,V330)=F330),N(I330)/N(INDEX('03-آذار'!$I$2:$I$501,V330))-1,""))</f>
        <v/>
      </c>
      <c r="AC330" t="str">
        <f>IF(L330="","",IF(AND($AO$2=1,ISNA(MATCH(L330,'05-أيار'!$L$2:$L$501,0))),"محذوف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IF(L331="","",IF($AO$1=1,IFERROR(MATCH(L331,'03-آذار'!$L$2:$L$501,0),0),0))</f>
        <v/>
      </c>
      <c r="W331" t="str">
        <f t="shared" si="111"/>
        <v/>
      </c>
      <c r="X331" s="38" t="str">
        <f>IF(L331="","",IF(V331&gt;0,INDEX('03-آذار'!$P$2:$P$501,V331),IF($AO$1=1,0,"")))</f>
        <v/>
      </c>
      <c r="Y331" s="38" t="str">
        <f t="shared" si="112"/>
        <v/>
      </c>
      <c r="Z331" s="39" t="str">
        <f>IF(L331="","",IF(V331&gt;0,INDEX('03-آذار'!$Q$2:$Q$501,V331),IF($AO$1=1,0,"")))</f>
        <v/>
      </c>
      <c r="AA331" s="39" t="str">
        <f t="shared" si="113"/>
        <v/>
      </c>
      <c r="AB331" s="40" t="str">
        <f>IF(OR(L331="",V331=0),"",IF(AND(N(I331)&gt;0,N(INDEX('03-آذار'!$I$2:$I$501,V331))&gt;0,INDEX('03-آذار'!$F$2:$F$501,V331)=F331),N(I331)/N(INDEX('03-آذار'!$I$2:$I$501,V331))-1,""))</f>
        <v/>
      </c>
      <c r="AC331" t="str">
        <f>IF(L331="","",IF(AND($AO$2=1,ISNA(MATCH(L331,'05-أيار'!$L$2:$L$501,0))),"محذوف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IF(L332="","",IF($AO$1=1,IFERROR(MATCH(L332,'03-آذار'!$L$2:$L$501,0),0),0))</f>
        <v/>
      </c>
      <c r="W332" t="str">
        <f t="shared" si="111"/>
        <v/>
      </c>
      <c r="X332" s="38" t="str">
        <f>IF(L332="","",IF(V332&gt;0,INDEX('03-آذار'!$P$2:$P$501,V332),IF($AO$1=1,0,"")))</f>
        <v/>
      </c>
      <c r="Y332" s="38" t="str">
        <f t="shared" si="112"/>
        <v/>
      </c>
      <c r="Z332" s="39" t="str">
        <f>IF(L332="","",IF(V332&gt;0,INDEX('03-آذار'!$Q$2:$Q$501,V332),IF($AO$1=1,0,"")))</f>
        <v/>
      </c>
      <c r="AA332" s="39" t="str">
        <f t="shared" si="113"/>
        <v/>
      </c>
      <c r="AB332" s="40" t="str">
        <f>IF(OR(L332="",V332=0),"",IF(AND(N(I332)&gt;0,N(INDEX('03-آذار'!$I$2:$I$501,V332))&gt;0,INDEX('03-آذار'!$F$2:$F$501,V332)=F332),N(I332)/N(INDEX('03-آذار'!$I$2:$I$501,V332))-1,""))</f>
        <v/>
      </c>
      <c r="AC332" t="str">
        <f>IF(L332="","",IF(AND($AO$2=1,ISNA(MATCH(L332,'05-أيار'!$L$2:$L$501,0))),"محذوف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IF(L333="","",IF($AO$1=1,IFERROR(MATCH(L333,'03-آذار'!$L$2:$L$501,0),0),0))</f>
        <v/>
      </c>
      <c r="W333" t="str">
        <f t="shared" si="111"/>
        <v/>
      </c>
      <c r="X333" s="38" t="str">
        <f>IF(L333="","",IF(V333&gt;0,INDEX('03-آذار'!$P$2:$P$501,V333),IF($AO$1=1,0,"")))</f>
        <v/>
      </c>
      <c r="Y333" s="38" t="str">
        <f t="shared" si="112"/>
        <v/>
      </c>
      <c r="Z333" s="39" t="str">
        <f>IF(L333="","",IF(V333&gt;0,INDEX('03-آذار'!$Q$2:$Q$501,V333),IF($AO$1=1,0,"")))</f>
        <v/>
      </c>
      <c r="AA333" s="39" t="str">
        <f t="shared" si="113"/>
        <v/>
      </c>
      <c r="AB333" s="40" t="str">
        <f>IF(OR(L333="",V333=0),"",IF(AND(N(I333)&gt;0,N(INDEX('03-آذار'!$I$2:$I$501,V333))&gt;0,INDEX('03-آذار'!$F$2:$F$501,V333)=F333),N(I333)/N(INDEX('03-آذار'!$I$2:$I$501,V333))-1,""))</f>
        <v/>
      </c>
      <c r="AC333" t="str">
        <f>IF(L333="","",IF(AND($AO$2=1,ISNA(MATCH(L333,'05-أيار'!$L$2:$L$501,0))),"محذوف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IF(L334="","",IF($AO$1=1,IFERROR(MATCH(L334,'03-آذار'!$L$2:$L$501,0),0),0))</f>
        <v/>
      </c>
      <c r="W334" t="str">
        <f t="shared" si="111"/>
        <v/>
      </c>
      <c r="X334" s="38" t="str">
        <f>IF(L334="","",IF(V334&gt;0,INDEX('03-آذار'!$P$2:$P$501,V334),IF($AO$1=1,0,"")))</f>
        <v/>
      </c>
      <c r="Y334" s="38" t="str">
        <f t="shared" si="112"/>
        <v/>
      </c>
      <c r="Z334" s="39" t="str">
        <f>IF(L334="","",IF(V334&gt;0,INDEX('03-آذار'!$Q$2:$Q$501,V334),IF($AO$1=1,0,"")))</f>
        <v/>
      </c>
      <c r="AA334" s="39" t="str">
        <f t="shared" si="113"/>
        <v/>
      </c>
      <c r="AB334" s="40" t="str">
        <f>IF(OR(L334="",V334=0),"",IF(AND(N(I334)&gt;0,N(INDEX('03-آذار'!$I$2:$I$501,V334))&gt;0,INDEX('03-آذار'!$F$2:$F$501,V334)=F334),N(I334)/N(INDEX('03-آذار'!$I$2:$I$501,V334))-1,""))</f>
        <v/>
      </c>
      <c r="AC334" t="str">
        <f>IF(L334="","",IF(AND($AO$2=1,ISNA(MATCH(L334,'05-أيار'!$L$2:$L$501,0))),"محذوف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IF(L335="","",IF($AO$1=1,IFERROR(MATCH(L335,'03-آذار'!$L$2:$L$501,0),0),0))</f>
        <v/>
      </c>
      <c r="W335" t="str">
        <f t="shared" si="111"/>
        <v/>
      </c>
      <c r="X335" s="38" t="str">
        <f>IF(L335="","",IF(V335&gt;0,INDEX('03-آذار'!$P$2:$P$501,V335),IF($AO$1=1,0,"")))</f>
        <v/>
      </c>
      <c r="Y335" s="38" t="str">
        <f t="shared" si="112"/>
        <v/>
      </c>
      <c r="Z335" s="39" t="str">
        <f>IF(L335="","",IF(V335&gt;0,INDEX('03-آذار'!$Q$2:$Q$501,V335),IF($AO$1=1,0,"")))</f>
        <v/>
      </c>
      <c r="AA335" s="39" t="str">
        <f t="shared" si="113"/>
        <v/>
      </c>
      <c r="AB335" s="40" t="str">
        <f>IF(OR(L335="",V335=0),"",IF(AND(N(I335)&gt;0,N(INDEX('03-آذار'!$I$2:$I$501,V335))&gt;0,INDEX('03-آذار'!$F$2:$F$501,V335)=F335),N(I335)/N(INDEX('03-آذار'!$I$2:$I$501,V335))-1,""))</f>
        <v/>
      </c>
      <c r="AC335" t="str">
        <f>IF(L335="","",IF(AND($AO$2=1,ISNA(MATCH(L335,'05-أيار'!$L$2:$L$501,0))),"محذوف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IF(L336="","",IF($AO$1=1,IFERROR(MATCH(L336,'03-آذار'!$L$2:$L$501,0),0),0))</f>
        <v/>
      </c>
      <c r="W336" t="str">
        <f t="shared" si="111"/>
        <v/>
      </c>
      <c r="X336" s="38" t="str">
        <f>IF(L336="","",IF(V336&gt;0,INDEX('03-آذار'!$P$2:$P$501,V336),IF($AO$1=1,0,"")))</f>
        <v/>
      </c>
      <c r="Y336" s="38" t="str">
        <f t="shared" si="112"/>
        <v/>
      </c>
      <c r="Z336" s="39" t="str">
        <f>IF(L336="","",IF(V336&gt;0,INDEX('03-آذار'!$Q$2:$Q$501,V336),IF($AO$1=1,0,"")))</f>
        <v/>
      </c>
      <c r="AA336" s="39" t="str">
        <f t="shared" si="113"/>
        <v/>
      </c>
      <c r="AB336" s="40" t="str">
        <f>IF(OR(L336="",V336=0),"",IF(AND(N(I336)&gt;0,N(INDEX('03-آذار'!$I$2:$I$501,V336))&gt;0,INDEX('03-آذار'!$F$2:$F$501,V336)=F336),N(I336)/N(INDEX('03-آذار'!$I$2:$I$501,V336))-1,""))</f>
        <v/>
      </c>
      <c r="AC336" t="str">
        <f>IF(L336="","",IF(AND($AO$2=1,ISNA(MATCH(L336,'05-أيار'!$L$2:$L$501,0))),"محذوف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IF(L337="","",IF($AO$1=1,IFERROR(MATCH(L337,'03-آذار'!$L$2:$L$501,0),0),0))</f>
        <v/>
      </c>
      <c r="W337" t="str">
        <f t="shared" si="111"/>
        <v/>
      </c>
      <c r="X337" s="38" t="str">
        <f>IF(L337="","",IF(V337&gt;0,INDEX('03-آذار'!$P$2:$P$501,V337),IF($AO$1=1,0,"")))</f>
        <v/>
      </c>
      <c r="Y337" s="38" t="str">
        <f t="shared" si="112"/>
        <v/>
      </c>
      <c r="Z337" s="39" t="str">
        <f>IF(L337="","",IF(V337&gt;0,INDEX('03-آذار'!$Q$2:$Q$501,V337),IF($AO$1=1,0,"")))</f>
        <v/>
      </c>
      <c r="AA337" s="39" t="str">
        <f t="shared" si="113"/>
        <v/>
      </c>
      <c r="AB337" s="40" t="str">
        <f>IF(OR(L337="",V337=0),"",IF(AND(N(I337)&gt;0,N(INDEX('03-آذار'!$I$2:$I$501,V337))&gt;0,INDEX('03-آذار'!$F$2:$F$501,V337)=F337),N(I337)/N(INDEX('03-آذار'!$I$2:$I$501,V337))-1,""))</f>
        <v/>
      </c>
      <c r="AC337" t="str">
        <f>IF(L337="","",IF(AND($AO$2=1,ISNA(MATCH(L337,'05-أيار'!$L$2:$L$501,0))),"محذوف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IF(L338="","",IF($AO$1=1,IFERROR(MATCH(L338,'03-آذار'!$L$2:$L$501,0),0),0))</f>
        <v/>
      </c>
      <c r="W338" t="str">
        <f t="shared" si="111"/>
        <v/>
      </c>
      <c r="X338" s="38" t="str">
        <f>IF(L338="","",IF(V338&gt;0,INDEX('03-آذار'!$P$2:$P$501,V338),IF($AO$1=1,0,"")))</f>
        <v/>
      </c>
      <c r="Y338" s="38" t="str">
        <f t="shared" si="112"/>
        <v/>
      </c>
      <c r="Z338" s="39" t="str">
        <f>IF(L338="","",IF(V338&gt;0,INDEX('03-آذار'!$Q$2:$Q$501,V338),IF($AO$1=1,0,"")))</f>
        <v/>
      </c>
      <c r="AA338" s="39" t="str">
        <f t="shared" si="113"/>
        <v/>
      </c>
      <c r="AB338" s="40" t="str">
        <f>IF(OR(L338="",V338=0),"",IF(AND(N(I338)&gt;0,N(INDEX('03-آذار'!$I$2:$I$501,V338))&gt;0,INDEX('03-آذار'!$F$2:$F$501,V338)=F338),N(I338)/N(INDEX('03-آذار'!$I$2:$I$501,V338))-1,""))</f>
        <v/>
      </c>
      <c r="AC338" t="str">
        <f>IF(L338="","",IF(AND($AO$2=1,ISNA(MATCH(L338,'05-أيار'!$L$2:$L$501,0))),"محذوف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IF(L339="","",IF($AO$1=1,IFERROR(MATCH(L339,'03-آذار'!$L$2:$L$501,0),0),0))</f>
        <v/>
      </c>
      <c r="W339" t="str">
        <f t="shared" si="111"/>
        <v/>
      </c>
      <c r="X339" s="38" t="str">
        <f>IF(L339="","",IF(V339&gt;0,INDEX('03-آذار'!$P$2:$P$501,V339),IF($AO$1=1,0,"")))</f>
        <v/>
      </c>
      <c r="Y339" s="38" t="str">
        <f t="shared" si="112"/>
        <v/>
      </c>
      <c r="Z339" s="39" t="str">
        <f>IF(L339="","",IF(V339&gt;0,INDEX('03-آذار'!$Q$2:$Q$501,V339),IF($AO$1=1,0,"")))</f>
        <v/>
      </c>
      <c r="AA339" s="39" t="str">
        <f t="shared" si="113"/>
        <v/>
      </c>
      <c r="AB339" s="40" t="str">
        <f>IF(OR(L339="",V339=0),"",IF(AND(N(I339)&gt;0,N(INDEX('03-آذار'!$I$2:$I$501,V339))&gt;0,INDEX('03-آذار'!$F$2:$F$501,V339)=F339),N(I339)/N(INDEX('03-آذار'!$I$2:$I$501,V339))-1,""))</f>
        <v/>
      </c>
      <c r="AC339" t="str">
        <f>IF(L339="","",IF(AND($AO$2=1,ISNA(MATCH(L339,'05-أيار'!$L$2:$L$501,0))),"محذوف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IF(L340="","",IF($AO$1=1,IFERROR(MATCH(L340,'03-آذار'!$L$2:$L$501,0),0),0))</f>
        <v/>
      </c>
      <c r="W340" t="str">
        <f t="shared" si="111"/>
        <v/>
      </c>
      <c r="X340" s="38" t="str">
        <f>IF(L340="","",IF(V340&gt;0,INDEX('03-آذار'!$P$2:$P$501,V340),IF($AO$1=1,0,"")))</f>
        <v/>
      </c>
      <c r="Y340" s="38" t="str">
        <f t="shared" si="112"/>
        <v/>
      </c>
      <c r="Z340" s="39" t="str">
        <f>IF(L340="","",IF(V340&gt;0,INDEX('03-آذار'!$Q$2:$Q$501,V340),IF($AO$1=1,0,"")))</f>
        <v/>
      </c>
      <c r="AA340" s="39" t="str">
        <f t="shared" si="113"/>
        <v/>
      </c>
      <c r="AB340" s="40" t="str">
        <f>IF(OR(L340="",V340=0),"",IF(AND(N(I340)&gt;0,N(INDEX('03-آذار'!$I$2:$I$501,V340))&gt;0,INDEX('03-آذار'!$F$2:$F$501,V340)=F340),N(I340)/N(INDEX('03-آذار'!$I$2:$I$501,V340))-1,""))</f>
        <v/>
      </c>
      <c r="AC340" t="str">
        <f>IF(L340="","",IF(AND($AO$2=1,ISNA(MATCH(L340,'05-أيار'!$L$2:$L$501,0))),"محذوف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IF(L341="","",IF($AO$1=1,IFERROR(MATCH(L341,'03-آذار'!$L$2:$L$501,0),0),0))</f>
        <v/>
      </c>
      <c r="W341" t="str">
        <f t="shared" si="111"/>
        <v/>
      </c>
      <c r="X341" s="38" t="str">
        <f>IF(L341="","",IF(V341&gt;0,INDEX('03-آذار'!$P$2:$P$501,V341),IF($AO$1=1,0,"")))</f>
        <v/>
      </c>
      <c r="Y341" s="38" t="str">
        <f t="shared" si="112"/>
        <v/>
      </c>
      <c r="Z341" s="39" t="str">
        <f>IF(L341="","",IF(V341&gt;0,INDEX('03-آذار'!$Q$2:$Q$501,V341),IF($AO$1=1,0,"")))</f>
        <v/>
      </c>
      <c r="AA341" s="39" t="str">
        <f t="shared" si="113"/>
        <v/>
      </c>
      <c r="AB341" s="40" t="str">
        <f>IF(OR(L341="",V341=0),"",IF(AND(N(I341)&gt;0,N(INDEX('03-آذار'!$I$2:$I$501,V341))&gt;0,INDEX('03-آذار'!$F$2:$F$501,V341)=F341),N(I341)/N(INDEX('03-آذار'!$I$2:$I$501,V341))-1,""))</f>
        <v/>
      </c>
      <c r="AC341" t="str">
        <f>IF(L341="","",IF(AND($AO$2=1,ISNA(MATCH(L341,'05-أيار'!$L$2:$L$501,0))),"محذوف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IF(L342="","",IF($AO$1=1,IFERROR(MATCH(L342,'03-آذار'!$L$2:$L$501,0),0),0))</f>
        <v/>
      </c>
      <c r="W342" t="str">
        <f t="shared" si="111"/>
        <v/>
      </c>
      <c r="X342" s="38" t="str">
        <f>IF(L342="","",IF(V342&gt;0,INDEX('03-آذار'!$P$2:$P$501,V342),IF($AO$1=1,0,"")))</f>
        <v/>
      </c>
      <c r="Y342" s="38" t="str">
        <f t="shared" si="112"/>
        <v/>
      </c>
      <c r="Z342" s="39" t="str">
        <f>IF(L342="","",IF(V342&gt;0,INDEX('03-آذار'!$Q$2:$Q$501,V342),IF($AO$1=1,0,"")))</f>
        <v/>
      </c>
      <c r="AA342" s="39" t="str">
        <f t="shared" si="113"/>
        <v/>
      </c>
      <c r="AB342" s="40" t="str">
        <f>IF(OR(L342="",V342=0),"",IF(AND(N(I342)&gt;0,N(INDEX('03-آذار'!$I$2:$I$501,V342))&gt;0,INDEX('03-آذار'!$F$2:$F$501,V342)=F342),N(I342)/N(INDEX('03-آذار'!$I$2:$I$501,V342))-1,""))</f>
        <v/>
      </c>
      <c r="AC342" t="str">
        <f>IF(L342="","",IF(AND($AO$2=1,ISNA(MATCH(L342,'05-أيار'!$L$2:$L$501,0))),"محذوف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IF(L343="","",IF($AO$1=1,IFERROR(MATCH(L343,'03-آذار'!$L$2:$L$501,0),0),0))</f>
        <v/>
      </c>
      <c r="W343" t="str">
        <f t="shared" si="111"/>
        <v/>
      </c>
      <c r="X343" s="38" t="str">
        <f>IF(L343="","",IF(V343&gt;0,INDEX('03-آذار'!$P$2:$P$501,V343),IF($AO$1=1,0,"")))</f>
        <v/>
      </c>
      <c r="Y343" s="38" t="str">
        <f t="shared" si="112"/>
        <v/>
      </c>
      <c r="Z343" s="39" t="str">
        <f>IF(L343="","",IF(V343&gt;0,INDEX('03-آذار'!$Q$2:$Q$501,V343),IF($AO$1=1,0,"")))</f>
        <v/>
      </c>
      <c r="AA343" s="39" t="str">
        <f t="shared" si="113"/>
        <v/>
      </c>
      <c r="AB343" s="40" t="str">
        <f>IF(OR(L343="",V343=0),"",IF(AND(N(I343)&gt;0,N(INDEX('03-آذار'!$I$2:$I$501,V343))&gt;0,INDEX('03-آذار'!$F$2:$F$501,V343)=F343),N(I343)/N(INDEX('03-آذار'!$I$2:$I$501,V343))-1,""))</f>
        <v/>
      </c>
      <c r="AC343" t="str">
        <f>IF(L343="","",IF(AND($AO$2=1,ISNA(MATCH(L343,'05-أيار'!$L$2:$L$501,0))),"محذوف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IF(L344="","",IF($AO$1=1,IFERROR(MATCH(L344,'03-آذار'!$L$2:$L$501,0),0),0))</f>
        <v/>
      </c>
      <c r="W344" t="str">
        <f t="shared" si="111"/>
        <v/>
      </c>
      <c r="X344" s="38" t="str">
        <f>IF(L344="","",IF(V344&gt;0,INDEX('03-آذار'!$P$2:$P$501,V344),IF($AO$1=1,0,"")))</f>
        <v/>
      </c>
      <c r="Y344" s="38" t="str">
        <f t="shared" si="112"/>
        <v/>
      </c>
      <c r="Z344" s="39" t="str">
        <f>IF(L344="","",IF(V344&gt;0,INDEX('03-آذار'!$Q$2:$Q$501,V344),IF($AO$1=1,0,"")))</f>
        <v/>
      </c>
      <c r="AA344" s="39" t="str">
        <f t="shared" si="113"/>
        <v/>
      </c>
      <c r="AB344" s="40" t="str">
        <f>IF(OR(L344="",V344=0),"",IF(AND(N(I344)&gt;0,N(INDEX('03-آذار'!$I$2:$I$501,V344))&gt;0,INDEX('03-آذار'!$F$2:$F$501,V344)=F344),N(I344)/N(INDEX('03-آذار'!$I$2:$I$501,V344))-1,""))</f>
        <v/>
      </c>
      <c r="AC344" t="str">
        <f>IF(L344="","",IF(AND($AO$2=1,ISNA(MATCH(L344,'05-أيار'!$L$2:$L$501,0))),"محذوف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IF(L345="","",IF($AO$1=1,IFERROR(MATCH(L345,'03-آذار'!$L$2:$L$501,0),0),0))</f>
        <v/>
      </c>
      <c r="W345" t="str">
        <f t="shared" si="111"/>
        <v/>
      </c>
      <c r="X345" s="38" t="str">
        <f>IF(L345="","",IF(V345&gt;0,INDEX('03-آذار'!$P$2:$P$501,V345),IF($AO$1=1,0,"")))</f>
        <v/>
      </c>
      <c r="Y345" s="38" t="str">
        <f t="shared" si="112"/>
        <v/>
      </c>
      <c r="Z345" s="39" t="str">
        <f>IF(L345="","",IF(V345&gt;0,INDEX('03-آذار'!$Q$2:$Q$501,V345),IF($AO$1=1,0,"")))</f>
        <v/>
      </c>
      <c r="AA345" s="39" t="str">
        <f t="shared" si="113"/>
        <v/>
      </c>
      <c r="AB345" s="40" t="str">
        <f>IF(OR(L345="",V345=0),"",IF(AND(N(I345)&gt;0,N(INDEX('03-آذار'!$I$2:$I$501,V345))&gt;0,INDEX('03-آذار'!$F$2:$F$501,V345)=F345),N(I345)/N(INDEX('03-آذار'!$I$2:$I$501,V345))-1,""))</f>
        <v/>
      </c>
      <c r="AC345" t="str">
        <f>IF(L345="","",IF(AND($AO$2=1,ISNA(MATCH(L345,'05-أيار'!$L$2:$L$501,0))),"محذوف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IF(L346="","",IF($AO$1=1,IFERROR(MATCH(L346,'03-آذار'!$L$2:$L$501,0),0),0))</f>
        <v/>
      </c>
      <c r="W346" t="str">
        <f t="shared" si="111"/>
        <v/>
      </c>
      <c r="X346" s="38" t="str">
        <f>IF(L346="","",IF(V346&gt;0,INDEX('03-آذار'!$P$2:$P$501,V346),IF($AO$1=1,0,"")))</f>
        <v/>
      </c>
      <c r="Y346" s="38" t="str">
        <f t="shared" si="112"/>
        <v/>
      </c>
      <c r="Z346" s="39" t="str">
        <f>IF(L346="","",IF(V346&gt;0,INDEX('03-آذار'!$Q$2:$Q$501,V346),IF($AO$1=1,0,"")))</f>
        <v/>
      </c>
      <c r="AA346" s="39" t="str">
        <f t="shared" si="113"/>
        <v/>
      </c>
      <c r="AB346" s="40" t="str">
        <f>IF(OR(L346="",V346=0),"",IF(AND(N(I346)&gt;0,N(INDEX('03-آذار'!$I$2:$I$501,V346))&gt;0,INDEX('03-آذار'!$F$2:$F$501,V346)=F346),N(I346)/N(INDEX('03-آذار'!$I$2:$I$501,V346))-1,""))</f>
        <v/>
      </c>
      <c r="AC346" t="str">
        <f>IF(L346="","",IF(AND($AO$2=1,ISNA(MATCH(L346,'05-أيار'!$L$2:$L$501,0))),"محذوف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IF(L347="","",IF($AO$1=1,IFERROR(MATCH(L347,'03-آذار'!$L$2:$L$501,0),0),0))</f>
        <v/>
      </c>
      <c r="W347" t="str">
        <f t="shared" si="111"/>
        <v/>
      </c>
      <c r="X347" s="38" t="str">
        <f>IF(L347="","",IF(V347&gt;0,INDEX('03-آذار'!$P$2:$P$501,V347),IF($AO$1=1,0,"")))</f>
        <v/>
      </c>
      <c r="Y347" s="38" t="str">
        <f t="shared" si="112"/>
        <v/>
      </c>
      <c r="Z347" s="39" t="str">
        <f>IF(L347="","",IF(V347&gt;0,INDEX('03-آذار'!$Q$2:$Q$501,V347),IF($AO$1=1,0,"")))</f>
        <v/>
      </c>
      <c r="AA347" s="39" t="str">
        <f t="shared" si="113"/>
        <v/>
      </c>
      <c r="AB347" s="40" t="str">
        <f>IF(OR(L347="",V347=0),"",IF(AND(N(I347)&gt;0,N(INDEX('03-آذار'!$I$2:$I$501,V347))&gt;0,INDEX('03-آذار'!$F$2:$F$501,V347)=F347),N(I347)/N(INDEX('03-آذار'!$I$2:$I$501,V347))-1,""))</f>
        <v/>
      </c>
      <c r="AC347" t="str">
        <f>IF(L347="","",IF(AND($AO$2=1,ISNA(MATCH(L347,'05-أيار'!$L$2:$L$501,0))),"محذوف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IF(L348="","",IF($AO$1=1,IFERROR(MATCH(L348,'03-آذار'!$L$2:$L$501,0),0),0))</f>
        <v/>
      </c>
      <c r="W348" t="str">
        <f t="shared" si="111"/>
        <v/>
      </c>
      <c r="X348" s="38" t="str">
        <f>IF(L348="","",IF(V348&gt;0,INDEX('03-آذار'!$P$2:$P$501,V348),IF($AO$1=1,0,"")))</f>
        <v/>
      </c>
      <c r="Y348" s="38" t="str">
        <f t="shared" si="112"/>
        <v/>
      </c>
      <c r="Z348" s="39" t="str">
        <f>IF(L348="","",IF(V348&gt;0,INDEX('03-آذار'!$Q$2:$Q$501,V348),IF($AO$1=1,0,"")))</f>
        <v/>
      </c>
      <c r="AA348" s="39" t="str">
        <f t="shared" si="113"/>
        <v/>
      </c>
      <c r="AB348" s="40" t="str">
        <f>IF(OR(L348="",V348=0),"",IF(AND(N(I348)&gt;0,N(INDEX('03-آذار'!$I$2:$I$501,V348))&gt;0,INDEX('03-آذار'!$F$2:$F$501,V348)=F348),N(I348)/N(INDEX('03-آذار'!$I$2:$I$501,V348))-1,""))</f>
        <v/>
      </c>
      <c r="AC348" t="str">
        <f>IF(L348="","",IF(AND($AO$2=1,ISNA(MATCH(L348,'05-أيار'!$L$2:$L$501,0))),"محذوف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IF(L349="","",IF($AO$1=1,IFERROR(MATCH(L349,'03-آذار'!$L$2:$L$501,0),0),0))</f>
        <v/>
      </c>
      <c r="W349" t="str">
        <f t="shared" si="111"/>
        <v/>
      </c>
      <c r="X349" s="38" t="str">
        <f>IF(L349="","",IF(V349&gt;0,INDEX('03-آذار'!$P$2:$P$501,V349),IF($AO$1=1,0,"")))</f>
        <v/>
      </c>
      <c r="Y349" s="38" t="str">
        <f t="shared" si="112"/>
        <v/>
      </c>
      <c r="Z349" s="39" t="str">
        <f>IF(L349="","",IF(V349&gt;0,INDEX('03-آذار'!$Q$2:$Q$501,V349),IF($AO$1=1,0,"")))</f>
        <v/>
      </c>
      <c r="AA349" s="39" t="str">
        <f t="shared" si="113"/>
        <v/>
      </c>
      <c r="AB349" s="40" t="str">
        <f>IF(OR(L349="",V349=0),"",IF(AND(N(I349)&gt;0,N(INDEX('03-آذار'!$I$2:$I$501,V349))&gt;0,INDEX('03-آذار'!$F$2:$F$501,V349)=F349),N(I349)/N(INDEX('03-آذار'!$I$2:$I$501,V349))-1,""))</f>
        <v/>
      </c>
      <c r="AC349" t="str">
        <f>IF(L349="","",IF(AND($AO$2=1,ISNA(MATCH(L349,'05-أيار'!$L$2:$L$501,0))),"محذوف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IF(L350="","",IF($AO$1=1,IFERROR(MATCH(L350,'03-آذار'!$L$2:$L$501,0),0),0))</f>
        <v/>
      </c>
      <c r="W350" t="str">
        <f t="shared" si="111"/>
        <v/>
      </c>
      <c r="X350" s="38" t="str">
        <f>IF(L350="","",IF(V350&gt;0,INDEX('03-آذار'!$P$2:$P$501,V350),IF($AO$1=1,0,"")))</f>
        <v/>
      </c>
      <c r="Y350" s="38" t="str">
        <f t="shared" si="112"/>
        <v/>
      </c>
      <c r="Z350" s="39" t="str">
        <f>IF(L350="","",IF(V350&gt;0,INDEX('03-آذار'!$Q$2:$Q$501,V350),IF($AO$1=1,0,"")))</f>
        <v/>
      </c>
      <c r="AA350" s="39" t="str">
        <f t="shared" si="113"/>
        <v/>
      </c>
      <c r="AB350" s="40" t="str">
        <f>IF(OR(L350="",V350=0),"",IF(AND(N(I350)&gt;0,N(INDEX('03-آذار'!$I$2:$I$501,V350))&gt;0,INDEX('03-آذار'!$F$2:$F$501,V350)=F350),N(I350)/N(INDEX('03-آذار'!$I$2:$I$501,V350))-1,""))</f>
        <v/>
      </c>
      <c r="AC350" t="str">
        <f>IF(L350="","",IF(AND($AO$2=1,ISNA(MATCH(L350,'05-أيار'!$L$2:$L$501,0))),"محذوف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IF(L351="","",IF($AO$1=1,IFERROR(MATCH(L351,'03-آذار'!$L$2:$L$501,0),0),0))</f>
        <v/>
      </c>
      <c r="W351" t="str">
        <f t="shared" si="111"/>
        <v/>
      </c>
      <c r="X351" s="38" t="str">
        <f>IF(L351="","",IF(V351&gt;0,INDEX('03-آذار'!$P$2:$P$501,V351),IF($AO$1=1,0,"")))</f>
        <v/>
      </c>
      <c r="Y351" s="38" t="str">
        <f t="shared" si="112"/>
        <v/>
      </c>
      <c r="Z351" s="39" t="str">
        <f>IF(L351="","",IF(V351&gt;0,INDEX('03-آذار'!$Q$2:$Q$501,V351),IF($AO$1=1,0,"")))</f>
        <v/>
      </c>
      <c r="AA351" s="39" t="str">
        <f t="shared" si="113"/>
        <v/>
      </c>
      <c r="AB351" s="40" t="str">
        <f>IF(OR(L351="",V351=0),"",IF(AND(N(I351)&gt;0,N(INDEX('03-آذار'!$I$2:$I$501,V351))&gt;0,INDEX('03-آذار'!$F$2:$F$501,V351)=F351),N(I351)/N(INDEX('03-آذار'!$I$2:$I$501,V351))-1,""))</f>
        <v/>
      </c>
      <c r="AC351" t="str">
        <f>IF(L351="","",IF(AND($AO$2=1,ISNA(MATCH(L351,'05-أيار'!$L$2:$L$501,0))),"محذوف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IF(L352="","",IF($AO$1=1,IFERROR(MATCH(L352,'03-آذار'!$L$2:$L$501,0),0),0))</f>
        <v/>
      </c>
      <c r="W352" t="str">
        <f t="shared" si="111"/>
        <v/>
      </c>
      <c r="X352" s="38" t="str">
        <f>IF(L352="","",IF(V352&gt;0,INDEX('03-آذار'!$P$2:$P$501,V352),IF($AO$1=1,0,"")))</f>
        <v/>
      </c>
      <c r="Y352" s="38" t="str">
        <f t="shared" si="112"/>
        <v/>
      </c>
      <c r="Z352" s="39" t="str">
        <f>IF(L352="","",IF(V352&gt;0,INDEX('03-آذار'!$Q$2:$Q$501,V352),IF($AO$1=1,0,"")))</f>
        <v/>
      </c>
      <c r="AA352" s="39" t="str">
        <f t="shared" si="113"/>
        <v/>
      </c>
      <c r="AB352" s="40" t="str">
        <f>IF(OR(L352="",V352=0),"",IF(AND(N(I352)&gt;0,N(INDEX('03-آذار'!$I$2:$I$501,V352))&gt;0,INDEX('03-آذار'!$F$2:$F$501,V352)=F352),N(I352)/N(INDEX('03-آذار'!$I$2:$I$501,V352))-1,""))</f>
        <v/>
      </c>
      <c r="AC352" t="str">
        <f>IF(L352="","",IF(AND($AO$2=1,ISNA(MATCH(L352,'05-أيار'!$L$2:$L$501,0))),"محذوف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IF(L353="","",IF($AO$1=1,IFERROR(MATCH(L353,'03-آذار'!$L$2:$L$501,0),0),0))</f>
        <v/>
      </c>
      <c r="W353" t="str">
        <f t="shared" si="111"/>
        <v/>
      </c>
      <c r="X353" s="38" t="str">
        <f>IF(L353="","",IF(V353&gt;0,INDEX('03-آذار'!$P$2:$P$501,V353),IF($AO$1=1,0,"")))</f>
        <v/>
      </c>
      <c r="Y353" s="38" t="str">
        <f t="shared" si="112"/>
        <v/>
      </c>
      <c r="Z353" s="39" t="str">
        <f>IF(L353="","",IF(V353&gt;0,INDEX('03-آذار'!$Q$2:$Q$501,V353),IF($AO$1=1,0,"")))</f>
        <v/>
      </c>
      <c r="AA353" s="39" t="str">
        <f t="shared" si="113"/>
        <v/>
      </c>
      <c r="AB353" s="40" t="str">
        <f>IF(OR(L353="",V353=0),"",IF(AND(N(I353)&gt;0,N(INDEX('03-آذار'!$I$2:$I$501,V353))&gt;0,INDEX('03-آذار'!$F$2:$F$501,V353)=F353),N(I353)/N(INDEX('03-آذار'!$I$2:$I$501,V353))-1,""))</f>
        <v/>
      </c>
      <c r="AC353" t="str">
        <f>IF(L353="","",IF(AND($AO$2=1,ISNA(MATCH(L353,'05-أيار'!$L$2:$L$501,0))),"محذوف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IF(L354="","",IF($AO$1=1,IFERROR(MATCH(L354,'03-آذار'!$L$2:$L$501,0),0),0))</f>
        <v/>
      </c>
      <c r="W354" t="str">
        <f t="shared" si="111"/>
        <v/>
      </c>
      <c r="X354" s="38" t="str">
        <f>IF(L354="","",IF(V354&gt;0,INDEX('03-آذار'!$P$2:$P$501,V354),IF($AO$1=1,0,"")))</f>
        <v/>
      </c>
      <c r="Y354" s="38" t="str">
        <f t="shared" si="112"/>
        <v/>
      </c>
      <c r="Z354" s="39" t="str">
        <f>IF(L354="","",IF(V354&gt;0,INDEX('03-آذار'!$Q$2:$Q$501,V354),IF($AO$1=1,0,"")))</f>
        <v/>
      </c>
      <c r="AA354" s="39" t="str">
        <f t="shared" si="113"/>
        <v/>
      </c>
      <c r="AB354" s="40" t="str">
        <f>IF(OR(L354="",V354=0),"",IF(AND(N(I354)&gt;0,N(INDEX('03-آذار'!$I$2:$I$501,V354))&gt;0,INDEX('03-آذار'!$F$2:$F$501,V354)=F354),N(I354)/N(INDEX('03-آذار'!$I$2:$I$501,V354))-1,""))</f>
        <v/>
      </c>
      <c r="AC354" t="str">
        <f>IF(L354="","",IF(AND($AO$2=1,ISNA(MATCH(L354,'05-أيار'!$L$2:$L$501,0))),"محذوف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IF(L355="","",IF($AO$1=1,IFERROR(MATCH(L355,'03-آذار'!$L$2:$L$501,0),0),0))</f>
        <v/>
      </c>
      <c r="W355" t="str">
        <f t="shared" si="111"/>
        <v/>
      </c>
      <c r="X355" s="38" t="str">
        <f>IF(L355="","",IF(V355&gt;0,INDEX('03-آذار'!$P$2:$P$501,V355),IF($AO$1=1,0,"")))</f>
        <v/>
      </c>
      <c r="Y355" s="38" t="str">
        <f t="shared" si="112"/>
        <v/>
      </c>
      <c r="Z355" s="39" t="str">
        <f>IF(L355="","",IF(V355&gt;0,INDEX('03-آذار'!$Q$2:$Q$501,V355),IF($AO$1=1,0,"")))</f>
        <v/>
      </c>
      <c r="AA355" s="39" t="str">
        <f t="shared" si="113"/>
        <v/>
      </c>
      <c r="AB355" s="40" t="str">
        <f>IF(OR(L355="",V355=0),"",IF(AND(N(I355)&gt;0,N(INDEX('03-آذار'!$I$2:$I$501,V355))&gt;0,INDEX('03-آذار'!$F$2:$F$501,V355)=F355),N(I355)/N(INDEX('03-آذار'!$I$2:$I$501,V355))-1,""))</f>
        <v/>
      </c>
      <c r="AC355" t="str">
        <f>IF(L355="","",IF(AND($AO$2=1,ISNA(MATCH(L355,'05-أيار'!$L$2:$L$501,0))),"محذوف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IF(L356="","",IF($AO$1=1,IFERROR(MATCH(L356,'03-آذار'!$L$2:$L$501,0),0),0))</f>
        <v/>
      </c>
      <c r="W356" t="str">
        <f t="shared" si="111"/>
        <v/>
      </c>
      <c r="X356" s="38" t="str">
        <f>IF(L356="","",IF(V356&gt;0,INDEX('03-آذار'!$P$2:$P$501,V356),IF($AO$1=1,0,"")))</f>
        <v/>
      </c>
      <c r="Y356" s="38" t="str">
        <f t="shared" si="112"/>
        <v/>
      </c>
      <c r="Z356" s="39" t="str">
        <f>IF(L356="","",IF(V356&gt;0,INDEX('03-آذار'!$Q$2:$Q$501,V356),IF($AO$1=1,0,"")))</f>
        <v/>
      </c>
      <c r="AA356" s="39" t="str">
        <f t="shared" si="113"/>
        <v/>
      </c>
      <c r="AB356" s="40" t="str">
        <f>IF(OR(L356="",V356=0),"",IF(AND(N(I356)&gt;0,N(INDEX('03-آذار'!$I$2:$I$501,V356))&gt;0,INDEX('03-آذار'!$F$2:$F$501,V356)=F356),N(I356)/N(INDEX('03-آذار'!$I$2:$I$501,V356))-1,""))</f>
        <v/>
      </c>
      <c r="AC356" t="str">
        <f>IF(L356="","",IF(AND($AO$2=1,ISNA(MATCH(L356,'05-أيار'!$L$2:$L$501,0))),"محذوف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IF(L357="","",IF($AO$1=1,IFERROR(MATCH(L357,'03-آذار'!$L$2:$L$501,0),0),0))</f>
        <v/>
      </c>
      <c r="W357" t="str">
        <f t="shared" si="111"/>
        <v/>
      </c>
      <c r="X357" s="38" t="str">
        <f>IF(L357="","",IF(V357&gt;0,INDEX('03-آذار'!$P$2:$P$501,V357),IF($AO$1=1,0,"")))</f>
        <v/>
      </c>
      <c r="Y357" s="38" t="str">
        <f t="shared" si="112"/>
        <v/>
      </c>
      <c r="Z357" s="39" t="str">
        <f>IF(L357="","",IF(V357&gt;0,INDEX('03-آذار'!$Q$2:$Q$501,V357),IF($AO$1=1,0,"")))</f>
        <v/>
      </c>
      <c r="AA357" s="39" t="str">
        <f t="shared" si="113"/>
        <v/>
      </c>
      <c r="AB357" s="40" t="str">
        <f>IF(OR(L357="",V357=0),"",IF(AND(N(I357)&gt;0,N(INDEX('03-آذار'!$I$2:$I$501,V357))&gt;0,INDEX('03-آذار'!$F$2:$F$501,V357)=F357),N(I357)/N(INDEX('03-آذار'!$I$2:$I$501,V357))-1,""))</f>
        <v/>
      </c>
      <c r="AC357" t="str">
        <f>IF(L357="","",IF(AND($AO$2=1,ISNA(MATCH(L357,'05-أيار'!$L$2:$L$501,0))),"محذوف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IF(L358="","",IF($AO$1=1,IFERROR(MATCH(L358,'03-آذار'!$L$2:$L$501,0),0),0))</f>
        <v/>
      </c>
      <c r="W358" t="str">
        <f t="shared" si="111"/>
        <v/>
      </c>
      <c r="X358" s="38" t="str">
        <f>IF(L358="","",IF(V358&gt;0,INDEX('03-آذار'!$P$2:$P$501,V358),IF($AO$1=1,0,"")))</f>
        <v/>
      </c>
      <c r="Y358" s="38" t="str">
        <f t="shared" si="112"/>
        <v/>
      </c>
      <c r="Z358" s="39" t="str">
        <f>IF(L358="","",IF(V358&gt;0,INDEX('03-آذار'!$Q$2:$Q$501,V358),IF($AO$1=1,0,"")))</f>
        <v/>
      </c>
      <c r="AA358" s="39" t="str">
        <f t="shared" si="113"/>
        <v/>
      </c>
      <c r="AB358" s="40" t="str">
        <f>IF(OR(L358="",V358=0),"",IF(AND(N(I358)&gt;0,N(INDEX('03-آذار'!$I$2:$I$501,V358))&gt;0,INDEX('03-آذار'!$F$2:$F$501,V358)=F358),N(I358)/N(INDEX('03-آذار'!$I$2:$I$501,V358))-1,""))</f>
        <v/>
      </c>
      <c r="AC358" t="str">
        <f>IF(L358="","",IF(AND($AO$2=1,ISNA(MATCH(L358,'05-أيار'!$L$2:$L$501,0))),"محذوف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IF(L359="","",IF($AO$1=1,IFERROR(MATCH(L359,'03-آذار'!$L$2:$L$501,0),0),0))</f>
        <v/>
      </c>
      <c r="W359" t="str">
        <f t="shared" si="111"/>
        <v/>
      </c>
      <c r="X359" s="38" t="str">
        <f>IF(L359="","",IF(V359&gt;0,INDEX('03-آذار'!$P$2:$P$501,V359),IF($AO$1=1,0,"")))</f>
        <v/>
      </c>
      <c r="Y359" s="38" t="str">
        <f t="shared" si="112"/>
        <v/>
      </c>
      <c r="Z359" s="39" t="str">
        <f>IF(L359="","",IF(V359&gt;0,INDEX('03-آذار'!$Q$2:$Q$501,V359),IF($AO$1=1,0,"")))</f>
        <v/>
      </c>
      <c r="AA359" s="39" t="str">
        <f t="shared" si="113"/>
        <v/>
      </c>
      <c r="AB359" s="40" t="str">
        <f>IF(OR(L359="",V359=0),"",IF(AND(N(I359)&gt;0,N(INDEX('03-آذار'!$I$2:$I$501,V359))&gt;0,INDEX('03-آذار'!$F$2:$F$501,V359)=F359),N(I359)/N(INDEX('03-آذار'!$I$2:$I$501,V359))-1,""))</f>
        <v/>
      </c>
      <c r="AC359" t="str">
        <f>IF(L359="","",IF(AND($AO$2=1,ISNA(MATCH(L359,'05-أيار'!$L$2:$L$501,0))),"محذوف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IF(L360="","",IF($AO$1=1,IFERROR(MATCH(L360,'03-آذار'!$L$2:$L$501,0),0),0))</f>
        <v/>
      </c>
      <c r="W360" t="str">
        <f t="shared" si="111"/>
        <v/>
      </c>
      <c r="X360" s="38" t="str">
        <f>IF(L360="","",IF(V360&gt;0,INDEX('03-آذار'!$P$2:$P$501,V360),IF($AO$1=1,0,"")))</f>
        <v/>
      </c>
      <c r="Y360" s="38" t="str">
        <f t="shared" si="112"/>
        <v/>
      </c>
      <c r="Z360" s="39" t="str">
        <f>IF(L360="","",IF(V360&gt;0,INDEX('03-آذار'!$Q$2:$Q$501,V360),IF($AO$1=1,0,"")))</f>
        <v/>
      </c>
      <c r="AA360" s="39" t="str">
        <f t="shared" si="113"/>
        <v/>
      </c>
      <c r="AB360" s="40" t="str">
        <f>IF(OR(L360="",V360=0),"",IF(AND(N(I360)&gt;0,N(INDEX('03-آذار'!$I$2:$I$501,V360))&gt;0,INDEX('03-آذار'!$F$2:$F$501,V360)=F360),N(I360)/N(INDEX('03-آذار'!$I$2:$I$501,V360))-1,""))</f>
        <v/>
      </c>
      <c r="AC360" t="str">
        <f>IF(L360="","",IF(AND($AO$2=1,ISNA(MATCH(L360,'05-أيار'!$L$2:$L$501,0))),"محذوف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IF(L361="","",IF($AO$1=1,IFERROR(MATCH(L361,'03-آذار'!$L$2:$L$501,0),0),0))</f>
        <v/>
      </c>
      <c r="W361" t="str">
        <f t="shared" si="111"/>
        <v/>
      </c>
      <c r="X361" s="38" t="str">
        <f>IF(L361="","",IF(V361&gt;0,INDEX('03-آذار'!$P$2:$P$501,V361),IF($AO$1=1,0,"")))</f>
        <v/>
      </c>
      <c r="Y361" s="38" t="str">
        <f t="shared" si="112"/>
        <v/>
      </c>
      <c r="Z361" s="39" t="str">
        <f>IF(L361="","",IF(V361&gt;0,INDEX('03-آذار'!$Q$2:$Q$501,V361),IF($AO$1=1,0,"")))</f>
        <v/>
      </c>
      <c r="AA361" s="39" t="str">
        <f t="shared" si="113"/>
        <v/>
      </c>
      <c r="AB361" s="40" t="str">
        <f>IF(OR(L361="",V361=0),"",IF(AND(N(I361)&gt;0,N(INDEX('03-آذار'!$I$2:$I$501,V361))&gt;0,INDEX('03-آذار'!$F$2:$F$501,V361)=F361),N(I361)/N(INDEX('03-آذار'!$I$2:$I$501,V361))-1,""))</f>
        <v/>
      </c>
      <c r="AC361" t="str">
        <f>IF(L361="","",IF(AND($AO$2=1,ISNA(MATCH(L361,'05-أيار'!$L$2:$L$501,0))),"محذوف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IF(L362="","",IF($AO$1=1,IFERROR(MATCH(L362,'03-آذار'!$L$2:$L$501,0),0),0))</f>
        <v/>
      </c>
      <c r="W362" t="str">
        <f t="shared" si="111"/>
        <v/>
      </c>
      <c r="X362" s="38" t="str">
        <f>IF(L362="","",IF(V362&gt;0,INDEX('03-آذار'!$P$2:$P$501,V362),IF($AO$1=1,0,"")))</f>
        <v/>
      </c>
      <c r="Y362" s="38" t="str">
        <f t="shared" si="112"/>
        <v/>
      </c>
      <c r="Z362" s="39" t="str">
        <f>IF(L362="","",IF(V362&gt;0,INDEX('03-آذار'!$Q$2:$Q$501,V362),IF($AO$1=1,0,"")))</f>
        <v/>
      </c>
      <c r="AA362" s="39" t="str">
        <f t="shared" si="113"/>
        <v/>
      </c>
      <c r="AB362" s="40" t="str">
        <f>IF(OR(L362="",V362=0),"",IF(AND(N(I362)&gt;0,N(INDEX('03-آذار'!$I$2:$I$501,V362))&gt;0,INDEX('03-آذار'!$F$2:$F$501,V362)=F362),N(I362)/N(INDEX('03-آذار'!$I$2:$I$501,V362))-1,""))</f>
        <v/>
      </c>
      <c r="AC362" t="str">
        <f>IF(L362="","",IF(AND($AO$2=1,ISNA(MATCH(L362,'05-أيار'!$L$2:$L$501,0))),"محذوف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IF(L363="","",IF($AO$1=1,IFERROR(MATCH(L363,'03-آذار'!$L$2:$L$501,0),0),0))</f>
        <v/>
      </c>
      <c r="W363" t="str">
        <f t="shared" si="111"/>
        <v/>
      </c>
      <c r="X363" s="38" t="str">
        <f>IF(L363="","",IF(V363&gt;0,INDEX('03-آذار'!$P$2:$P$501,V363),IF($AO$1=1,0,"")))</f>
        <v/>
      </c>
      <c r="Y363" s="38" t="str">
        <f t="shared" si="112"/>
        <v/>
      </c>
      <c r="Z363" s="39" t="str">
        <f>IF(L363="","",IF(V363&gt;0,INDEX('03-آذار'!$Q$2:$Q$501,V363),IF($AO$1=1,0,"")))</f>
        <v/>
      </c>
      <c r="AA363" s="39" t="str">
        <f t="shared" si="113"/>
        <v/>
      </c>
      <c r="AB363" s="40" t="str">
        <f>IF(OR(L363="",V363=0),"",IF(AND(N(I363)&gt;0,N(INDEX('03-آذار'!$I$2:$I$501,V363))&gt;0,INDEX('03-آذار'!$F$2:$F$501,V363)=F363),N(I363)/N(INDEX('03-آذار'!$I$2:$I$501,V363))-1,""))</f>
        <v/>
      </c>
      <c r="AC363" t="str">
        <f>IF(L363="","",IF(AND($AO$2=1,ISNA(MATCH(L363,'05-أيار'!$L$2:$L$501,0))),"محذوف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IF(L364="","",IF($AO$1=1,IFERROR(MATCH(L364,'03-آذار'!$L$2:$L$501,0),0),0))</f>
        <v/>
      </c>
      <c r="W364" t="str">
        <f t="shared" si="111"/>
        <v/>
      </c>
      <c r="X364" s="38" t="str">
        <f>IF(L364="","",IF(V364&gt;0,INDEX('03-آذار'!$P$2:$P$501,V364),IF($AO$1=1,0,"")))</f>
        <v/>
      </c>
      <c r="Y364" s="38" t="str">
        <f t="shared" si="112"/>
        <v/>
      </c>
      <c r="Z364" s="39" t="str">
        <f>IF(L364="","",IF(V364&gt;0,INDEX('03-آذار'!$Q$2:$Q$501,V364),IF($AO$1=1,0,"")))</f>
        <v/>
      </c>
      <c r="AA364" s="39" t="str">
        <f t="shared" si="113"/>
        <v/>
      </c>
      <c r="AB364" s="40" t="str">
        <f>IF(OR(L364="",V364=0),"",IF(AND(N(I364)&gt;0,N(INDEX('03-آذار'!$I$2:$I$501,V364))&gt;0,INDEX('03-آذار'!$F$2:$F$501,V364)=F364),N(I364)/N(INDEX('03-آذار'!$I$2:$I$501,V364))-1,""))</f>
        <v/>
      </c>
      <c r="AC364" t="str">
        <f>IF(L364="","",IF(AND($AO$2=1,ISNA(MATCH(L364,'05-أيار'!$L$2:$L$501,0))),"محذوف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IF(L365="","",IF($AO$1=1,IFERROR(MATCH(L365,'03-آذار'!$L$2:$L$501,0),0),0))</f>
        <v/>
      </c>
      <c r="W365" t="str">
        <f t="shared" si="111"/>
        <v/>
      </c>
      <c r="X365" s="38" t="str">
        <f>IF(L365="","",IF(V365&gt;0,INDEX('03-آذار'!$P$2:$P$501,V365),IF($AO$1=1,0,"")))</f>
        <v/>
      </c>
      <c r="Y365" s="38" t="str">
        <f t="shared" si="112"/>
        <v/>
      </c>
      <c r="Z365" s="39" t="str">
        <f>IF(L365="","",IF(V365&gt;0,INDEX('03-آذار'!$Q$2:$Q$501,V365),IF($AO$1=1,0,"")))</f>
        <v/>
      </c>
      <c r="AA365" s="39" t="str">
        <f t="shared" si="113"/>
        <v/>
      </c>
      <c r="AB365" s="40" t="str">
        <f>IF(OR(L365="",V365=0),"",IF(AND(N(I365)&gt;0,N(INDEX('03-آذار'!$I$2:$I$501,V365))&gt;0,INDEX('03-آذار'!$F$2:$F$501,V365)=F365),N(I365)/N(INDEX('03-آذار'!$I$2:$I$501,V365))-1,""))</f>
        <v/>
      </c>
      <c r="AC365" t="str">
        <f>IF(L365="","",IF(AND($AO$2=1,ISNA(MATCH(L365,'05-أيار'!$L$2:$L$501,0))),"محذوف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IF(L366="","",IF($AO$1=1,IFERROR(MATCH(L366,'03-آذار'!$L$2:$L$501,0),0),0))</f>
        <v/>
      </c>
      <c r="W366" t="str">
        <f t="shared" si="111"/>
        <v/>
      </c>
      <c r="X366" s="38" t="str">
        <f>IF(L366="","",IF(V366&gt;0,INDEX('03-آذار'!$P$2:$P$501,V366),IF($AO$1=1,0,"")))</f>
        <v/>
      </c>
      <c r="Y366" s="38" t="str">
        <f t="shared" si="112"/>
        <v/>
      </c>
      <c r="Z366" s="39" t="str">
        <f>IF(L366="","",IF(V366&gt;0,INDEX('03-آذار'!$Q$2:$Q$501,V366),IF($AO$1=1,0,"")))</f>
        <v/>
      </c>
      <c r="AA366" s="39" t="str">
        <f t="shared" si="113"/>
        <v/>
      </c>
      <c r="AB366" s="40" t="str">
        <f>IF(OR(L366="",V366=0),"",IF(AND(N(I366)&gt;0,N(INDEX('03-آذار'!$I$2:$I$501,V366))&gt;0,INDEX('03-آذار'!$F$2:$F$501,V366)=F366),N(I366)/N(INDEX('03-آذار'!$I$2:$I$501,V366))-1,""))</f>
        <v/>
      </c>
      <c r="AC366" t="str">
        <f>IF(L366="","",IF(AND($AO$2=1,ISNA(MATCH(L366,'05-أيار'!$L$2:$L$501,0))),"محذوف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IF(L367="","",IF($AO$1=1,IFERROR(MATCH(L367,'03-آذار'!$L$2:$L$501,0),0),0))</f>
        <v/>
      </c>
      <c r="W367" t="str">
        <f t="shared" si="111"/>
        <v/>
      </c>
      <c r="X367" s="38" t="str">
        <f>IF(L367="","",IF(V367&gt;0,INDEX('03-آذار'!$P$2:$P$501,V367),IF($AO$1=1,0,"")))</f>
        <v/>
      </c>
      <c r="Y367" s="38" t="str">
        <f t="shared" si="112"/>
        <v/>
      </c>
      <c r="Z367" s="39" t="str">
        <f>IF(L367="","",IF(V367&gt;0,INDEX('03-آذار'!$Q$2:$Q$501,V367),IF($AO$1=1,0,"")))</f>
        <v/>
      </c>
      <c r="AA367" s="39" t="str">
        <f t="shared" si="113"/>
        <v/>
      </c>
      <c r="AB367" s="40" t="str">
        <f>IF(OR(L367="",V367=0),"",IF(AND(N(I367)&gt;0,N(INDEX('03-آذار'!$I$2:$I$501,V367))&gt;0,INDEX('03-آذار'!$F$2:$F$501,V367)=F367),N(I367)/N(INDEX('03-آذار'!$I$2:$I$501,V367))-1,""))</f>
        <v/>
      </c>
      <c r="AC367" t="str">
        <f>IF(L367="","",IF(AND($AO$2=1,ISNA(MATCH(L367,'05-أيار'!$L$2:$L$501,0))),"محذوف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IF(L368="","",IF($AO$1=1,IFERROR(MATCH(L368,'03-آذار'!$L$2:$L$501,0),0),0))</f>
        <v/>
      </c>
      <c r="W368" t="str">
        <f t="shared" si="111"/>
        <v/>
      </c>
      <c r="X368" s="38" t="str">
        <f>IF(L368="","",IF(V368&gt;0,INDEX('03-آذار'!$P$2:$P$501,V368),IF($AO$1=1,0,"")))</f>
        <v/>
      </c>
      <c r="Y368" s="38" t="str">
        <f t="shared" si="112"/>
        <v/>
      </c>
      <c r="Z368" s="39" t="str">
        <f>IF(L368="","",IF(V368&gt;0,INDEX('03-آذار'!$Q$2:$Q$501,V368),IF($AO$1=1,0,"")))</f>
        <v/>
      </c>
      <c r="AA368" s="39" t="str">
        <f t="shared" si="113"/>
        <v/>
      </c>
      <c r="AB368" s="40" t="str">
        <f>IF(OR(L368="",V368=0),"",IF(AND(N(I368)&gt;0,N(INDEX('03-آذار'!$I$2:$I$501,V368))&gt;0,INDEX('03-آذار'!$F$2:$F$501,V368)=F368),N(I368)/N(INDEX('03-آذار'!$I$2:$I$501,V368))-1,""))</f>
        <v/>
      </c>
      <c r="AC368" t="str">
        <f>IF(L368="","",IF(AND($AO$2=1,ISNA(MATCH(L368,'05-أيار'!$L$2:$L$501,0))),"محذوف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IF(L369="","",IF($AO$1=1,IFERROR(MATCH(L369,'03-آذار'!$L$2:$L$501,0),0),0))</f>
        <v/>
      </c>
      <c r="W369" t="str">
        <f t="shared" si="111"/>
        <v/>
      </c>
      <c r="X369" s="38" t="str">
        <f>IF(L369="","",IF(V369&gt;0,INDEX('03-آذار'!$P$2:$P$501,V369),IF($AO$1=1,0,"")))</f>
        <v/>
      </c>
      <c r="Y369" s="38" t="str">
        <f t="shared" si="112"/>
        <v/>
      </c>
      <c r="Z369" s="39" t="str">
        <f>IF(L369="","",IF(V369&gt;0,INDEX('03-آذار'!$Q$2:$Q$501,V369),IF($AO$1=1,0,"")))</f>
        <v/>
      </c>
      <c r="AA369" s="39" t="str">
        <f t="shared" si="113"/>
        <v/>
      </c>
      <c r="AB369" s="40" t="str">
        <f>IF(OR(L369="",V369=0),"",IF(AND(N(I369)&gt;0,N(INDEX('03-آذار'!$I$2:$I$501,V369))&gt;0,INDEX('03-آذار'!$F$2:$F$501,V369)=F369),N(I369)/N(INDEX('03-آذار'!$I$2:$I$501,V369))-1,""))</f>
        <v/>
      </c>
      <c r="AC369" t="str">
        <f>IF(L369="","",IF(AND($AO$2=1,ISNA(MATCH(L369,'05-أيار'!$L$2:$L$501,0))),"محذوف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IF(L370="","",IF($AO$1=1,IFERROR(MATCH(L370,'03-آذار'!$L$2:$L$501,0),0),0))</f>
        <v/>
      </c>
      <c r="W370" t="str">
        <f t="shared" si="111"/>
        <v/>
      </c>
      <c r="X370" s="38" t="str">
        <f>IF(L370="","",IF(V370&gt;0,INDEX('03-آذار'!$P$2:$P$501,V370),IF($AO$1=1,0,"")))</f>
        <v/>
      </c>
      <c r="Y370" s="38" t="str">
        <f t="shared" si="112"/>
        <v/>
      </c>
      <c r="Z370" s="39" t="str">
        <f>IF(L370="","",IF(V370&gt;0,INDEX('03-آذار'!$Q$2:$Q$501,V370),IF($AO$1=1,0,"")))</f>
        <v/>
      </c>
      <c r="AA370" s="39" t="str">
        <f t="shared" si="113"/>
        <v/>
      </c>
      <c r="AB370" s="40" t="str">
        <f>IF(OR(L370="",V370=0),"",IF(AND(N(I370)&gt;0,N(INDEX('03-آذار'!$I$2:$I$501,V370))&gt;0,INDEX('03-آذار'!$F$2:$F$501,V370)=F370),N(I370)/N(INDEX('03-آذار'!$I$2:$I$501,V370))-1,""))</f>
        <v/>
      </c>
      <c r="AC370" t="str">
        <f>IF(L370="","",IF(AND($AO$2=1,ISNA(MATCH(L370,'05-أيار'!$L$2:$L$501,0))),"محذوف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IF(L371="","",IF($AO$1=1,IFERROR(MATCH(L371,'03-آذار'!$L$2:$L$501,0),0),0))</f>
        <v/>
      </c>
      <c r="W371" t="str">
        <f t="shared" si="111"/>
        <v/>
      </c>
      <c r="X371" s="38" t="str">
        <f>IF(L371="","",IF(V371&gt;0,INDEX('03-آذار'!$P$2:$P$501,V371),IF($AO$1=1,0,"")))</f>
        <v/>
      </c>
      <c r="Y371" s="38" t="str">
        <f t="shared" si="112"/>
        <v/>
      </c>
      <c r="Z371" s="39" t="str">
        <f>IF(L371="","",IF(V371&gt;0,INDEX('03-آذار'!$Q$2:$Q$501,V371),IF($AO$1=1,0,"")))</f>
        <v/>
      </c>
      <c r="AA371" s="39" t="str">
        <f t="shared" si="113"/>
        <v/>
      </c>
      <c r="AB371" s="40" t="str">
        <f>IF(OR(L371="",V371=0),"",IF(AND(N(I371)&gt;0,N(INDEX('03-آذار'!$I$2:$I$501,V371))&gt;0,INDEX('03-آذار'!$F$2:$F$501,V371)=F371),N(I371)/N(INDEX('03-آذار'!$I$2:$I$501,V371))-1,""))</f>
        <v/>
      </c>
      <c r="AC371" t="str">
        <f>IF(L371="","",IF(AND($AO$2=1,ISNA(MATCH(L371,'05-أيار'!$L$2:$L$501,0))),"محذوف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IF(L372="","",IF($AO$1=1,IFERROR(MATCH(L372,'03-آذار'!$L$2:$L$501,0),0),0))</f>
        <v/>
      </c>
      <c r="W372" t="str">
        <f t="shared" si="111"/>
        <v/>
      </c>
      <c r="X372" s="38" t="str">
        <f>IF(L372="","",IF(V372&gt;0,INDEX('03-آذار'!$P$2:$P$501,V372),IF($AO$1=1,0,"")))</f>
        <v/>
      </c>
      <c r="Y372" s="38" t="str">
        <f t="shared" si="112"/>
        <v/>
      </c>
      <c r="Z372" s="39" t="str">
        <f>IF(L372="","",IF(V372&gt;0,INDEX('03-آذار'!$Q$2:$Q$501,V372),IF($AO$1=1,0,"")))</f>
        <v/>
      </c>
      <c r="AA372" s="39" t="str">
        <f t="shared" si="113"/>
        <v/>
      </c>
      <c r="AB372" s="40" t="str">
        <f>IF(OR(L372="",V372=0),"",IF(AND(N(I372)&gt;0,N(INDEX('03-آذار'!$I$2:$I$501,V372))&gt;0,INDEX('03-آذار'!$F$2:$F$501,V372)=F372),N(I372)/N(INDEX('03-آذار'!$I$2:$I$501,V372))-1,""))</f>
        <v/>
      </c>
      <c r="AC372" t="str">
        <f>IF(L372="","",IF(AND($AO$2=1,ISNA(MATCH(L372,'05-أيار'!$L$2:$L$501,0))),"محذوف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IF(L373="","",IF($AO$1=1,IFERROR(MATCH(L373,'03-آذار'!$L$2:$L$501,0),0),0))</f>
        <v/>
      </c>
      <c r="W373" t="str">
        <f t="shared" si="111"/>
        <v/>
      </c>
      <c r="X373" s="38" t="str">
        <f>IF(L373="","",IF(V373&gt;0,INDEX('03-آذار'!$P$2:$P$501,V373),IF($AO$1=1,0,"")))</f>
        <v/>
      </c>
      <c r="Y373" s="38" t="str">
        <f t="shared" si="112"/>
        <v/>
      </c>
      <c r="Z373" s="39" t="str">
        <f>IF(L373="","",IF(V373&gt;0,INDEX('03-آذار'!$Q$2:$Q$501,V373),IF($AO$1=1,0,"")))</f>
        <v/>
      </c>
      <c r="AA373" s="39" t="str">
        <f t="shared" si="113"/>
        <v/>
      </c>
      <c r="AB373" s="40" t="str">
        <f>IF(OR(L373="",V373=0),"",IF(AND(N(I373)&gt;0,N(INDEX('03-آذار'!$I$2:$I$501,V373))&gt;0,INDEX('03-آذار'!$F$2:$F$501,V373)=F373),N(I373)/N(INDEX('03-آذار'!$I$2:$I$501,V373))-1,""))</f>
        <v/>
      </c>
      <c r="AC373" t="str">
        <f>IF(L373="","",IF(AND($AO$2=1,ISNA(MATCH(L373,'05-أيار'!$L$2:$L$501,0))),"محذوف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IF(L374="","",IF($AO$1=1,IFERROR(MATCH(L374,'03-آذار'!$L$2:$L$501,0),0),0))</f>
        <v/>
      </c>
      <c r="W374" t="str">
        <f t="shared" si="111"/>
        <v/>
      </c>
      <c r="X374" s="38" t="str">
        <f>IF(L374="","",IF(V374&gt;0,INDEX('03-آذار'!$P$2:$P$501,V374),IF($AO$1=1,0,"")))</f>
        <v/>
      </c>
      <c r="Y374" s="38" t="str">
        <f t="shared" si="112"/>
        <v/>
      </c>
      <c r="Z374" s="39" t="str">
        <f>IF(L374="","",IF(V374&gt;0,INDEX('03-آذار'!$Q$2:$Q$501,V374),IF($AO$1=1,0,"")))</f>
        <v/>
      </c>
      <c r="AA374" s="39" t="str">
        <f t="shared" si="113"/>
        <v/>
      </c>
      <c r="AB374" s="40" t="str">
        <f>IF(OR(L374="",V374=0),"",IF(AND(N(I374)&gt;0,N(INDEX('03-آذار'!$I$2:$I$501,V374))&gt;0,INDEX('03-آذار'!$F$2:$F$501,V374)=F374),N(I374)/N(INDEX('03-آذار'!$I$2:$I$501,V374))-1,""))</f>
        <v/>
      </c>
      <c r="AC374" t="str">
        <f>IF(L374="","",IF(AND($AO$2=1,ISNA(MATCH(L374,'05-أيار'!$L$2:$L$501,0))),"محذوف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IF(L375="","",IF($AO$1=1,IFERROR(MATCH(L375,'03-آذار'!$L$2:$L$501,0),0),0))</f>
        <v/>
      </c>
      <c r="W375" t="str">
        <f t="shared" si="111"/>
        <v/>
      </c>
      <c r="X375" s="38" t="str">
        <f>IF(L375="","",IF(V375&gt;0,INDEX('03-آذار'!$P$2:$P$501,V375),IF($AO$1=1,0,"")))</f>
        <v/>
      </c>
      <c r="Y375" s="38" t="str">
        <f t="shared" si="112"/>
        <v/>
      </c>
      <c r="Z375" s="39" t="str">
        <f>IF(L375="","",IF(V375&gt;0,INDEX('03-آذار'!$Q$2:$Q$501,V375),IF($AO$1=1,0,"")))</f>
        <v/>
      </c>
      <c r="AA375" s="39" t="str">
        <f t="shared" si="113"/>
        <v/>
      </c>
      <c r="AB375" s="40" t="str">
        <f>IF(OR(L375="",V375=0),"",IF(AND(N(I375)&gt;0,N(INDEX('03-آذار'!$I$2:$I$501,V375))&gt;0,INDEX('03-آذار'!$F$2:$F$501,V375)=F375),N(I375)/N(INDEX('03-آذار'!$I$2:$I$501,V375))-1,""))</f>
        <v/>
      </c>
      <c r="AC375" t="str">
        <f>IF(L375="","",IF(AND($AO$2=1,ISNA(MATCH(L375,'05-أيار'!$L$2:$L$501,0))),"محذوف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IF(L376="","",IF($AO$1=1,IFERROR(MATCH(L376,'03-آذار'!$L$2:$L$501,0),0),0))</f>
        <v/>
      </c>
      <c r="W376" t="str">
        <f t="shared" si="111"/>
        <v/>
      </c>
      <c r="X376" s="38" t="str">
        <f>IF(L376="","",IF(V376&gt;0,INDEX('03-آذار'!$P$2:$P$501,V376),IF($AO$1=1,0,"")))</f>
        <v/>
      </c>
      <c r="Y376" s="38" t="str">
        <f t="shared" si="112"/>
        <v/>
      </c>
      <c r="Z376" s="39" t="str">
        <f>IF(L376="","",IF(V376&gt;0,INDEX('03-آذار'!$Q$2:$Q$501,V376),IF($AO$1=1,0,"")))</f>
        <v/>
      </c>
      <c r="AA376" s="39" t="str">
        <f t="shared" si="113"/>
        <v/>
      </c>
      <c r="AB376" s="40" t="str">
        <f>IF(OR(L376="",V376=0),"",IF(AND(N(I376)&gt;0,N(INDEX('03-آذار'!$I$2:$I$501,V376))&gt;0,INDEX('03-آذار'!$F$2:$F$501,V376)=F376),N(I376)/N(INDEX('03-آذار'!$I$2:$I$501,V376))-1,""))</f>
        <v/>
      </c>
      <c r="AC376" t="str">
        <f>IF(L376="","",IF(AND($AO$2=1,ISNA(MATCH(L376,'05-أيار'!$L$2:$L$501,0))),"محذوف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IF(L377="","",IF($AO$1=1,IFERROR(MATCH(L377,'03-آذار'!$L$2:$L$501,0),0),0))</f>
        <v/>
      </c>
      <c r="W377" t="str">
        <f t="shared" si="111"/>
        <v/>
      </c>
      <c r="X377" s="38" t="str">
        <f>IF(L377="","",IF(V377&gt;0,INDEX('03-آذار'!$P$2:$P$501,V377),IF($AO$1=1,0,"")))</f>
        <v/>
      </c>
      <c r="Y377" s="38" t="str">
        <f t="shared" si="112"/>
        <v/>
      </c>
      <c r="Z377" s="39" t="str">
        <f>IF(L377="","",IF(V377&gt;0,INDEX('03-آذار'!$Q$2:$Q$501,V377),IF($AO$1=1,0,"")))</f>
        <v/>
      </c>
      <c r="AA377" s="39" t="str">
        <f t="shared" si="113"/>
        <v/>
      </c>
      <c r="AB377" s="40" t="str">
        <f>IF(OR(L377="",V377=0),"",IF(AND(N(I377)&gt;0,N(INDEX('03-آذار'!$I$2:$I$501,V377))&gt;0,INDEX('03-آذار'!$F$2:$F$501,V377)=F377),N(I377)/N(INDEX('03-آذار'!$I$2:$I$501,V377))-1,""))</f>
        <v/>
      </c>
      <c r="AC377" t="str">
        <f>IF(L377="","",IF(AND($AO$2=1,ISNA(MATCH(L377,'05-أيار'!$L$2:$L$501,0))),"محذوف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IF(L378="","",IF($AO$1=1,IFERROR(MATCH(L378,'03-آذار'!$L$2:$L$501,0),0),0))</f>
        <v/>
      </c>
      <c r="W378" t="str">
        <f t="shared" si="111"/>
        <v/>
      </c>
      <c r="X378" s="38" t="str">
        <f>IF(L378="","",IF(V378&gt;0,INDEX('03-آذار'!$P$2:$P$501,V378),IF($AO$1=1,0,"")))</f>
        <v/>
      </c>
      <c r="Y378" s="38" t="str">
        <f t="shared" si="112"/>
        <v/>
      </c>
      <c r="Z378" s="39" t="str">
        <f>IF(L378="","",IF(V378&gt;0,INDEX('03-آذار'!$Q$2:$Q$501,V378),IF($AO$1=1,0,"")))</f>
        <v/>
      </c>
      <c r="AA378" s="39" t="str">
        <f t="shared" si="113"/>
        <v/>
      </c>
      <c r="AB378" s="40" t="str">
        <f>IF(OR(L378="",V378=0),"",IF(AND(N(I378)&gt;0,N(INDEX('03-آذار'!$I$2:$I$501,V378))&gt;0,INDEX('03-آذار'!$F$2:$F$501,V378)=F378),N(I378)/N(INDEX('03-آذار'!$I$2:$I$501,V378))-1,""))</f>
        <v/>
      </c>
      <c r="AC378" t="str">
        <f>IF(L378="","",IF(AND($AO$2=1,ISNA(MATCH(L378,'05-أيار'!$L$2:$L$501,0))),"محذوف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IF(L379="","",IF($AO$1=1,IFERROR(MATCH(L379,'03-آذار'!$L$2:$L$501,0),0),0))</f>
        <v/>
      </c>
      <c r="W379" t="str">
        <f t="shared" si="111"/>
        <v/>
      </c>
      <c r="X379" s="38" t="str">
        <f>IF(L379="","",IF(V379&gt;0,INDEX('03-آذار'!$P$2:$P$501,V379),IF($AO$1=1,0,"")))</f>
        <v/>
      </c>
      <c r="Y379" s="38" t="str">
        <f t="shared" si="112"/>
        <v/>
      </c>
      <c r="Z379" s="39" t="str">
        <f>IF(L379="","",IF(V379&gt;0,INDEX('03-آذار'!$Q$2:$Q$501,V379),IF($AO$1=1,0,"")))</f>
        <v/>
      </c>
      <c r="AA379" s="39" t="str">
        <f t="shared" si="113"/>
        <v/>
      </c>
      <c r="AB379" s="40" t="str">
        <f>IF(OR(L379="",V379=0),"",IF(AND(N(I379)&gt;0,N(INDEX('03-آذار'!$I$2:$I$501,V379))&gt;0,INDEX('03-آذار'!$F$2:$F$501,V379)=F379),N(I379)/N(INDEX('03-آذار'!$I$2:$I$501,V379))-1,""))</f>
        <v/>
      </c>
      <c r="AC379" t="str">
        <f>IF(L379="","",IF(AND($AO$2=1,ISNA(MATCH(L379,'05-أيار'!$L$2:$L$501,0))),"محذوف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IF(L380="","",IF($AO$1=1,IFERROR(MATCH(L380,'03-آذار'!$L$2:$L$501,0),0),0))</f>
        <v/>
      </c>
      <c r="W380" t="str">
        <f t="shared" si="111"/>
        <v/>
      </c>
      <c r="X380" s="38" t="str">
        <f>IF(L380="","",IF(V380&gt;0,INDEX('03-آذار'!$P$2:$P$501,V380),IF($AO$1=1,0,"")))</f>
        <v/>
      </c>
      <c r="Y380" s="38" t="str">
        <f t="shared" si="112"/>
        <v/>
      </c>
      <c r="Z380" s="39" t="str">
        <f>IF(L380="","",IF(V380&gt;0,INDEX('03-آذار'!$Q$2:$Q$501,V380),IF($AO$1=1,0,"")))</f>
        <v/>
      </c>
      <c r="AA380" s="39" t="str">
        <f t="shared" si="113"/>
        <v/>
      </c>
      <c r="AB380" s="40" t="str">
        <f>IF(OR(L380="",V380=0),"",IF(AND(N(I380)&gt;0,N(INDEX('03-آذار'!$I$2:$I$501,V380))&gt;0,INDEX('03-آذار'!$F$2:$F$501,V380)=F380),N(I380)/N(INDEX('03-آذار'!$I$2:$I$501,V380))-1,""))</f>
        <v/>
      </c>
      <c r="AC380" t="str">
        <f>IF(L380="","",IF(AND($AO$2=1,ISNA(MATCH(L380,'05-أيار'!$L$2:$L$501,0))),"محذوف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IF(L381="","",IF($AO$1=1,IFERROR(MATCH(L381,'03-آذار'!$L$2:$L$501,0),0),0))</f>
        <v/>
      </c>
      <c r="W381" t="str">
        <f t="shared" si="111"/>
        <v/>
      </c>
      <c r="X381" s="38" t="str">
        <f>IF(L381="","",IF(V381&gt;0,INDEX('03-آذار'!$P$2:$P$501,V381),IF($AO$1=1,0,"")))</f>
        <v/>
      </c>
      <c r="Y381" s="38" t="str">
        <f t="shared" si="112"/>
        <v/>
      </c>
      <c r="Z381" s="39" t="str">
        <f>IF(L381="","",IF(V381&gt;0,INDEX('03-آذار'!$Q$2:$Q$501,V381),IF($AO$1=1,0,"")))</f>
        <v/>
      </c>
      <c r="AA381" s="39" t="str">
        <f t="shared" si="113"/>
        <v/>
      </c>
      <c r="AB381" s="40" t="str">
        <f>IF(OR(L381="",V381=0),"",IF(AND(N(I381)&gt;0,N(INDEX('03-آذار'!$I$2:$I$501,V381))&gt;0,INDEX('03-آذار'!$F$2:$F$501,V381)=F381),N(I381)/N(INDEX('03-آذار'!$I$2:$I$501,V381))-1,""))</f>
        <v/>
      </c>
      <c r="AC381" t="str">
        <f>IF(L381="","",IF(AND($AO$2=1,ISNA(MATCH(L381,'05-أيار'!$L$2:$L$501,0))),"محذوف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IF(L382="","",IF($AO$1=1,IFERROR(MATCH(L382,'03-آذار'!$L$2:$L$501,0),0),0))</f>
        <v/>
      </c>
      <c r="W382" t="str">
        <f t="shared" si="111"/>
        <v/>
      </c>
      <c r="X382" s="38" t="str">
        <f>IF(L382="","",IF(V382&gt;0,INDEX('03-آذار'!$P$2:$P$501,V382),IF($AO$1=1,0,"")))</f>
        <v/>
      </c>
      <c r="Y382" s="38" t="str">
        <f t="shared" si="112"/>
        <v/>
      </c>
      <c r="Z382" s="39" t="str">
        <f>IF(L382="","",IF(V382&gt;0,INDEX('03-آذار'!$Q$2:$Q$501,V382),IF($AO$1=1,0,"")))</f>
        <v/>
      </c>
      <c r="AA382" s="39" t="str">
        <f t="shared" si="113"/>
        <v/>
      </c>
      <c r="AB382" s="40" t="str">
        <f>IF(OR(L382="",V382=0),"",IF(AND(N(I382)&gt;0,N(INDEX('03-آذار'!$I$2:$I$501,V382))&gt;0,INDEX('03-آذار'!$F$2:$F$501,V382)=F382),N(I382)/N(INDEX('03-آذار'!$I$2:$I$501,V382))-1,""))</f>
        <v/>
      </c>
      <c r="AC382" t="str">
        <f>IF(L382="","",IF(AND($AO$2=1,ISNA(MATCH(L382,'05-أيار'!$L$2:$L$501,0))),"محذوف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IF(L383="","",IF($AO$1=1,IFERROR(MATCH(L383,'03-آذار'!$L$2:$L$501,0),0),0))</f>
        <v/>
      </c>
      <c r="W383" t="str">
        <f t="shared" si="111"/>
        <v/>
      </c>
      <c r="X383" s="38" t="str">
        <f>IF(L383="","",IF(V383&gt;0,INDEX('03-آذار'!$P$2:$P$501,V383),IF($AO$1=1,0,"")))</f>
        <v/>
      </c>
      <c r="Y383" s="38" t="str">
        <f t="shared" si="112"/>
        <v/>
      </c>
      <c r="Z383" s="39" t="str">
        <f>IF(L383="","",IF(V383&gt;0,INDEX('03-آذار'!$Q$2:$Q$501,V383),IF($AO$1=1,0,"")))</f>
        <v/>
      </c>
      <c r="AA383" s="39" t="str">
        <f t="shared" si="113"/>
        <v/>
      </c>
      <c r="AB383" s="40" t="str">
        <f>IF(OR(L383="",V383=0),"",IF(AND(N(I383)&gt;0,N(INDEX('03-آذار'!$I$2:$I$501,V383))&gt;0,INDEX('03-آذار'!$F$2:$F$501,V383)=F383),N(I383)/N(INDEX('03-آذار'!$I$2:$I$501,V383))-1,""))</f>
        <v/>
      </c>
      <c r="AC383" t="str">
        <f>IF(L383="","",IF(AND($AO$2=1,ISNA(MATCH(L383,'05-أيار'!$L$2:$L$501,0))),"محذوف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IF(L384="","",IF($AO$1=1,IFERROR(MATCH(L384,'03-آذار'!$L$2:$L$501,0),0),0))</f>
        <v/>
      </c>
      <c r="W384" t="str">
        <f t="shared" si="111"/>
        <v/>
      </c>
      <c r="X384" s="38" t="str">
        <f>IF(L384="","",IF(V384&gt;0,INDEX('03-آذار'!$P$2:$P$501,V384),IF($AO$1=1,0,"")))</f>
        <v/>
      </c>
      <c r="Y384" s="38" t="str">
        <f t="shared" si="112"/>
        <v/>
      </c>
      <c r="Z384" s="39" t="str">
        <f>IF(L384="","",IF(V384&gt;0,INDEX('03-آذار'!$Q$2:$Q$501,V384),IF($AO$1=1,0,"")))</f>
        <v/>
      </c>
      <c r="AA384" s="39" t="str">
        <f t="shared" si="113"/>
        <v/>
      </c>
      <c r="AB384" s="40" t="str">
        <f>IF(OR(L384="",V384=0),"",IF(AND(N(I384)&gt;0,N(INDEX('03-آذار'!$I$2:$I$501,V384))&gt;0,INDEX('03-آذار'!$F$2:$F$501,V384)=F384),N(I384)/N(INDEX('03-آذار'!$I$2:$I$501,V384))-1,""))</f>
        <v/>
      </c>
      <c r="AC384" t="str">
        <f>IF(L384="","",IF(AND($AO$2=1,ISNA(MATCH(L384,'05-أيار'!$L$2:$L$501,0))),"محذوف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IF(L385="","",IF($AO$1=1,IFERROR(MATCH(L385,'03-آذار'!$L$2:$L$501,0),0),0))</f>
        <v/>
      </c>
      <c r="W385" t="str">
        <f t="shared" si="111"/>
        <v/>
      </c>
      <c r="X385" s="38" t="str">
        <f>IF(L385="","",IF(V385&gt;0,INDEX('03-آذار'!$P$2:$P$501,V385),IF($AO$1=1,0,"")))</f>
        <v/>
      </c>
      <c r="Y385" s="38" t="str">
        <f t="shared" si="112"/>
        <v/>
      </c>
      <c r="Z385" s="39" t="str">
        <f>IF(L385="","",IF(V385&gt;0,INDEX('03-آذار'!$Q$2:$Q$501,V385),IF($AO$1=1,0,"")))</f>
        <v/>
      </c>
      <c r="AA385" s="39" t="str">
        <f t="shared" si="113"/>
        <v/>
      </c>
      <c r="AB385" s="40" t="str">
        <f>IF(OR(L385="",V385=0),"",IF(AND(N(I385)&gt;0,N(INDEX('03-آذار'!$I$2:$I$501,V385))&gt;0,INDEX('03-آذار'!$F$2:$F$501,V385)=F385),N(I385)/N(INDEX('03-آذار'!$I$2:$I$501,V385))-1,""))</f>
        <v/>
      </c>
      <c r="AC385" t="str">
        <f>IF(L385="","",IF(AND($AO$2=1,ISNA(MATCH(L385,'05-أيار'!$L$2:$L$501,0))),"محذوف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IF(L386="","",IF($AO$1=1,IFERROR(MATCH(L386,'03-آذار'!$L$2:$L$501,0),0),0))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IF(L386="","",IF(V386&gt;0,INDEX('03-آذار'!$P$2:$P$501,V386),IF($AO$1=1,0,"")))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IF(L386="","",IF(V386&gt;0,INDEX('03-آذار'!$Q$2:$Q$501,V386),IF($AO$1=1,0,"")))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IF(OR(L386="",V386=0),"",IF(AND(N(I386)&gt;0,N(INDEX('03-آذار'!$I$2:$I$501,V386))&gt;0,INDEX('03-آذار'!$F$2:$F$501,V386)=F386),N(I386)/N(INDEX('03-آذار'!$I$2:$I$501,V386))-1,""))</f>
        <v/>
      </c>
      <c r="AC386" t="str">
        <f>IF(L386="","",IF(AND($AO$2=1,ISNA(MATCH(L386,'05-أيار'!$L$2:$L$501,0))),"محذوف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IF(L387="","",IF($AO$1=1,IFERROR(MATCH(L387,'03-آذار'!$L$2:$L$501,0),0),0))</f>
        <v/>
      </c>
      <c r="W387" t="str">
        <f t="shared" si="131"/>
        <v/>
      </c>
      <c r="X387" s="38" t="str">
        <f>IF(L387="","",IF(V387&gt;0,INDEX('03-آذار'!$P$2:$P$501,V387),IF($AO$1=1,0,"")))</f>
        <v/>
      </c>
      <c r="Y387" s="38" t="str">
        <f t="shared" si="132"/>
        <v/>
      </c>
      <c r="Z387" s="39" t="str">
        <f>IF(L387="","",IF(V387&gt;0,INDEX('03-آذار'!$Q$2:$Q$501,V387),IF($AO$1=1,0,"")))</f>
        <v/>
      </c>
      <c r="AA387" s="39" t="str">
        <f t="shared" si="133"/>
        <v/>
      </c>
      <c r="AB387" s="40" t="str">
        <f>IF(OR(L387="",V387=0),"",IF(AND(N(I387)&gt;0,N(INDEX('03-آذار'!$I$2:$I$501,V387))&gt;0,INDEX('03-آذار'!$F$2:$F$501,V387)=F387),N(I387)/N(INDEX('03-آذار'!$I$2:$I$501,V387))-1,""))</f>
        <v/>
      </c>
      <c r="AC387" t="str">
        <f>IF(L387="","",IF(AND($AO$2=1,ISNA(MATCH(L387,'05-أيار'!$L$2:$L$501,0))),"محذوف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IF(L388="","",IF($AO$1=1,IFERROR(MATCH(L388,'03-آذار'!$L$2:$L$501,0),0),0))</f>
        <v/>
      </c>
      <c r="W388" t="str">
        <f t="shared" si="131"/>
        <v/>
      </c>
      <c r="X388" s="38" t="str">
        <f>IF(L388="","",IF(V388&gt;0,INDEX('03-آذار'!$P$2:$P$501,V388),IF($AO$1=1,0,"")))</f>
        <v/>
      </c>
      <c r="Y388" s="38" t="str">
        <f t="shared" si="132"/>
        <v/>
      </c>
      <c r="Z388" s="39" t="str">
        <f>IF(L388="","",IF(V388&gt;0,INDEX('03-آذار'!$Q$2:$Q$501,V388),IF($AO$1=1,0,"")))</f>
        <v/>
      </c>
      <c r="AA388" s="39" t="str">
        <f t="shared" si="133"/>
        <v/>
      </c>
      <c r="AB388" s="40" t="str">
        <f>IF(OR(L388="",V388=0),"",IF(AND(N(I388)&gt;0,N(INDEX('03-آذار'!$I$2:$I$501,V388))&gt;0,INDEX('03-آذار'!$F$2:$F$501,V388)=F388),N(I388)/N(INDEX('03-آذار'!$I$2:$I$501,V388))-1,""))</f>
        <v/>
      </c>
      <c r="AC388" t="str">
        <f>IF(L388="","",IF(AND($AO$2=1,ISNA(MATCH(L388,'05-أيار'!$L$2:$L$501,0))),"محذوف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IF(L389="","",IF($AO$1=1,IFERROR(MATCH(L389,'03-آذار'!$L$2:$L$501,0),0),0))</f>
        <v/>
      </c>
      <c r="W389" t="str">
        <f t="shared" si="131"/>
        <v/>
      </c>
      <c r="X389" s="38" t="str">
        <f>IF(L389="","",IF(V389&gt;0,INDEX('03-آذار'!$P$2:$P$501,V389),IF($AO$1=1,0,"")))</f>
        <v/>
      </c>
      <c r="Y389" s="38" t="str">
        <f t="shared" si="132"/>
        <v/>
      </c>
      <c r="Z389" s="39" t="str">
        <f>IF(L389="","",IF(V389&gt;0,INDEX('03-آذار'!$Q$2:$Q$501,V389),IF($AO$1=1,0,"")))</f>
        <v/>
      </c>
      <c r="AA389" s="39" t="str">
        <f t="shared" si="133"/>
        <v/>
      </c>
      <c r="AB389" s="40" t="str">
        <f>IF(OR(L389="",V389=0),"",IF(AND(N(I389)&gt;0,N(INDEX('03-آذار'!$I$2:$I$501,V389))&gt;0,INDEX('03-آذار'!$F$2:$F$501,V389)=F389),N(I389)/N(INDEX('03-آذار'!$I$2:$I$501,V389))-1,""))</f>
        <v/>
      </c>
      <c r="AC389" t="str">
        <f>IF(L389="","",IF(AND($AO$2=1,ISNA(MATCH(L389,'05-أيار'!$L$2:$L$501,0))),"محذوف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IF(L390="","",IF($AO$1=1,IFERROR(MATCH(L390,'03-آذار'!$L$2:$L$501,0),0),0))</f>
        <v/>
      </c>
      <c r="W390" t="str">
        <f t="shared" si="131"/>
        <v/>
      </c>
      <c r="X390" s="38" t="str">
        <f>IF(L390="","",IF(V390&gt;0,INDEX('03-آذار'!$P$2:$P$501,V390),IF($AO$1=1,0,"")))</f>
        <v/>
      </c>
      <c r="Y390" s="38" t="str">
        <f t="shared" si="132"/>
        <v/>
      </c>
      <c r="Z390" s="39" t="str">
        <f>IF(L390="","",IF(V390&gt;0,INDEX('03-آذار'!$Q$2:$Q$501,V390),IF($AO$1=1,0,"")))</f>
        <v/>
      </c>
      <c r="AA390" s="39" t="str">
        <f t="shared" si="133"/>
        <v/>
      </c>
      <c r="AB390" s="40" t="str">
        <f>IF(OR(L390="",V390=0),"",IF(AND(N(I390)&gt;0,N(INDEX('03-آذار'!$I$2:$I$501,V390))&gt;0,INDEX('03-آذار'!$F$2:$F$501,V390)=F390),N(I390)/N(INDEX('03-آذار'!$I$2:$I$501,V390))-1,""))</f>
        <v/>
      </c>
      <c r="AC390" t="str">
        <f>IF(L390="","",IF(AND($AO$2=1,ISNA(MATCH(L390,'05-أيار'!$L$2:$L$501,0))),"محذوف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IF(L391="","",IF($AO$1=1,IFERROR(MATCH(L391,'03-آذار'!$L$2:$L$501,0),0),0))</f>
        <v/>
      </c>
      <c r="W391" t="str">
        <f t="shared" si="131"/>
        <v/>
      </c>
      <c r="X391" s="38" t="str">
        <f>IF(L391="","",IF(V391&gt;0,INDEX('03-آذار'!$P$2:$P$501,V391),IF($AO$1=1,0,"")))</f>
        <v/>
      </c>
      <c r="Y391" s="38" t="str">
        <f t="shared" si="132"/>
        <v/>
      </c>
      <c r="Z391" s="39" t="str">
        <f>IF(L391="","",IF(V391&gt;0,INDEX('03-آذار'!$Q$2:$Q$501,V391),IF($AO$1=1,0,"")))</f>
        <v/>
      </c>
      <c r="AA391" s="39" t="str">
        <f t="shared" si="133"/>
        <v/>
      </c>
      <c r="AB391" s="40" t="str">
        <f>IF(OR(L391="",V391=0),"",IF(AND(N(I391)&gt;0,N(INDEX('03-آذار'!$I$2:$I$501,V391))&gt;0,INDEX('03-آذار'!$F$2:$F$501,V391)=F391),N(I391)/N(INDEX('03-آذار'!$I$2:$I$501,V391))-1,""))</f>
        <v/>
      </c>
      <c r="AC391" t="str">
        <f>IF(L391="","",IF(AND($AO$2=1,ISNA(MATCH(L391,'05-أيار'!$L$2:$L$501,0))),"محذوف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IF(L392="","",IF($AO$1=1,IFERROR(MATCH(L392,'03-آذار'!$L$2:$L$501,0),0),0))</f>
        <v/>
      </c>
      <c r="W392" t="str">
        <f t="shared" si="131"/>
        <v/>
      </c>
      <c r="X392" s="38" t="str">
        <f>IF(L392="","",IF(V392&gt;0,INDEX('03-آذار'!$P$2:$P$501,V392),IF($AO$1=1,0,"")))</f>
        <v/>
      </c>
      <c r="Y392" s="38" t="str">
        <f t="shared" si="132"/>
        <v/>
      </c>
      <c r="Z392" s="39" t="str">
        <f>IF(L392="","",IF(V392&gt;0,INDEX('03-آذار'!$Q$2:$Q$501,V392),IF($AO$1=1,0,"")))</f>
        <v/>
      </c>
      <c r="AA392" s="39" t="str">
        <f t="shared" si="133"/>
        <v/>
      </c>
      <c r="AB392" s="40" t="str">
        <f>IF(OR(L392="",V392=0),"",IF(AND(N(I392)&gt;0,N(INDEX('03-آذار'!$I$2:$I$501,V392))&gt;0,INDEX('03-آذار'!$F$2:$F$501,V392)=F392),N(I392)/N(INDEX('03-آذار'!$I$2:$I$501,V392))-1,""))</f>
        <v/>
      </c>
      <c r="AC392" t="str">
        <f>IF(L392="","",IF(AND($AO$2=1,ISNA(MATCH(L392,'05-أيار'!$L$2:$L$501,0))),"محذوف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IF(L393="","",IF($AO$1=1,IFERROR(MATCH(L393,'03-آذار'!$L$2:$L$501,0),0),0))</f>
        <v/>
      </c>
      <c r="W393" t="str">
        <f t="shared" si="131"/>
        <v/>
      </c>
      <c r="X393" s="38" t="str">
        <f>IF(L393="","",IF(V393&gt;0,INDEX('03-آذار'!$P$2:$P$501,V393),IF($AO$1=1,0,"")))</f>
        <v/>
      </c>
      <c r="Y393" s="38" t="str">
        <f t="shared" si="132"/>
        <v/>
      </c>
      <c r="Z393" s="39" t="str">
        <f>IF(L393="","",IF(V393&gt;0,INDEX('03-آذار'!$Q$2:$Q$501,V393),IF($AO$1=1,0,"")))</f>
        <v/>
      </c>
      <c r="AA393" s="39" t="str">
        <f t="shared" si="133"/>
        <v/>
      </c>
      <c r="AB393" s="40" t="str">
        <f>IF(OR(L393="",V393=0),"",IF(AND(N(I393)&gt;0,N(INDEX('03-آذار'!$I$2:$I$501,V393))&gt;0,INDEX('03-آذار'!$F$2:$F$501,V393)=F393),N(I393)/N(INDEX('03-آذار'!$I$2:$I$501,V393))-1,""))</f>
        <v/>
      </c>
      <c r="AC393" t="str">
        <f>IF(L393="","",IF(AND($AO$2=1,ISNA(MATCH(L393,'05-أيار'!$L$2:$L$501,0))),"محذوف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IF(L394="","",IF($AO$1=1,IFERROR(MATCH(L394,'03-آذار'!$L$2:$L$501,0),0),0))</f>
        <v/>
      </c>
      <c r="W394" t="str">
        <f t="shared" si="131"/>
        <v/>
      </c>
      <c r="X394" s="38" t="str">
        <f>IF(L394="","",IF(V394&gt;0,INDEX('03-آذار'!$P$2:$P$501,V394),IF($AO$1=1,0,"")))</f>
        <v/>
      </c>
      <c r="Y394" s="38" t="str">
        <f t="shared" si="132"/>
        <v/>
      </c>
      <c r="Z394" s="39" t="str">
        <f>IF(L394="","",IF(V394&gt;0,INDEX('03-آذار'!$Q$2:$Q$501,V394),IF($AO$1=1,0,"")))</f>
        <v/>
      </c>
      <c r="AA394" s="39" t="str">
        <f t="shared" si="133"/>
        <v/>
      </c>
      <c r="AB394" s="40" t="str">
        <f>IF(OR(L394="",V394=0),"",IF(AND(N(I394)&gt;0,N(INDEX('03-آذار'!$I$2:$I$501,V394))&gt;0,INDEX('03-آذار'!$F$2:$F$501,V394)=F394),N(I394)/N(INDEX('03-آذار'!$I$2:$I$501,V394))-1,""))</f>
        <v/>
      </c>
      <c r="AC394" t="str">
        <f>IF(L394="","",IF(AND($AO$2=1,ISNA(MATCH(L394,'05-أيار'!$L$2:$L$501,0))),"محذوف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IF(L395="","",IF($AO$1=1,IFERROR(MATCH(L395,'03-آذار'!$L$2:$L$501,0),0),0))</f>
        <v/>
      </c>
      <c r="W395" t="str">
        <f t="shared" si="131"/>
        <v/>
      </c>
      <c r="X395" s="38" t="str">
        <f>IF(L395="","",IF(V395&gt;0,INDEX('03-آذار'!$P$2:$P$501,V395),IF($AO$1=1,0,"")))</f>
        <v/>
      </c>
      <c r="Y395" s="38" t="str">
        <f t="shared" si="132"/>
        <v/>
      </c>
      <c r="Z395" s="39" t="str">
        <f>IF(L395="","",IF(V395&gt;0,INDEX('03-آذار'!$Q$2:$Q$501,V395),IF($AO$1=1,0,"")))</f>
        <v/>
      </c>
      <c r="AA395" s="39" t="str">
        <f t="shared" si="133"/>
        <v/>
      </c>
      <c r="AB395" s="40" t="str">
        <f>IF(OR(L395="",V395=0),"",IF(AND(N(I395)&gt;0,N(INDEX('03-آذار'!$I$2:$I$501,V395))&gt;0,INDEX('03-آذار'!$F$2:$F$501,V395)=F395),N(I395)/N(INDEX('03-آذار'!$I$2:$I$501,V395))-1,""))</f>
        <v/>
      </c>
      <c r="AC395" t="str">
        <f>IF(L395="","",IF(AND($AO$2=1,ISNA(MATCH(L395,'05-أيار'!$L$2:$L$501,0))),"محذوف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IF(L396="","",IF($AO$1=1,IFERROR(MATCH(L396,'03-آذار'!$L$2:$L$501,0),0),0))</f>
        <v/>
      </c>
      <c r="W396" t="str">
        <f t="shared" si="131"/>
        <v/>
      </c>
      <c r="X396" s="38" t="str">
        <f>IF(L396="","",IF(V396&gt;0,INDEX('03-آذار'!$P$2:$P$501,V396),IF($AO$1=1,0,"")))</f>
        <v/>
      </c>
      <c r="Y396" s="38" t="str">
        <f t="shared" si="132"/>
        <v/>
      </c>
      <c r="Z396" s="39" t="str">
        <f>IF(L396="","",IF(V396&gt;0,INDEX('03-آذار'!$Q$2:$Q$501,V396),IF($AO$1=1,0,"")))</f>
        <v/>
      </c>
      <c r="AA396" s="39" t="str">
        <f t="shared" si="133"/>
        <v/>
      </c>
      <c r="AB396" s="40" t="str">
        <f>IF(OR(L396="",V396=0),"",IF(AND(N(I396)&gt;0,N(INDEX('03-آذار'!$I$2:$I$501,V396))&gt;0,INDEX('03-آذار'!$F$2:$F$501,V396)=F396),N(I396)/N(INDEX('03-آذار'!$I$2:$I$501,V396))-1,""))</f>
        <v/>
      </c>
      <c r="AC396" t="str">
        <f>IF(L396="","",IF(AND($AO$2=1,ISNA(MATCH(L396,'05-أيار'!$L$2:$L$501,0))),"محذوف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IF(L397="","",IF($AO$1=1,IFERROR(MATCH(L397,'03-آذار'!$L$2:$L$501,0),0),0))</f>
        <v/>
      </c>
      <c r="W397" t="str">
        <f t="shared" si="131"/>
        <v/>
      </c>
      <c r="X397" s="38" t="str">
        <f>IF(L397="","",IF(V397&gt;0,INDEX('03-آذار'!$P$2:$P$501,V397),IF($AO$1=1,0,"")))</f>
        <v/>
      </c>
      <c r="Y397" s="38" t="str">
        <f t="shared" si="132"/>
        <v/>
      </c>
      <c r="Z397" s="39" t="str">
        <f>IF(L397="","",IF(V397&gt;0,INDEX('03-آذار'!$Q$2:$Q$501,V397),IF($AO$1=1,0,"")))</f>
        <v/>
      </c>
      <c r="AA397" s="39" t="str">
        <f t="shared" si="133"/>
        <v/>
      </c>
      <c r="AB397" s="40" t="str">
        <f>IF(OR(L397="",V397=0),"",IF(AND(N(I397)&gt;0,N(INDEX('03-آذار'!$I$2:$I$501,V397))&gt;0,INDEX('03-آذار'!$F$2:$F$501,V397)=F397),N(I397)/N(INDEX('03-آذار'!$I$2:$I$501,V397))-1,""))</f>
        <v/>
      </c>
      <c r="AC397" t="str">
        <f>IF(L397="","",IF(AND($AO$2=1,ISNA(MATCH(L397,'05-أيار'!$L$2:$L$501,0))),"محذوف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IF(L398="","",IF($AO$1=1,IFERROR(MATCH(L398,'03-آذار'!$L$2:$L$501,0),0),0))</f>
        <v/>
      </c>
      <c r="W398" t="str">
        <f t="shared" si="131"/>
        <v/>
      </c>
      <c r="X398" s="38" t="str">
        <f>IF(L398="","",IF(V398&gt;0,INDEX('03-آذار'!$P$2:$P$501,V398),IF($AO$1=1,0,"")))</f>
        <v/>
      </c>
      <c r="Y398" s="38" t="str">
        <f t="shared" si="132"/>
        <v/>
      </c>
      <c r="Z398" s="39" t="str">
        <f>IF(L398="","",IF(V398&gt;0,INDEX('03-آذار'!$Q$2:$Q$501,V398),IF($AO$1=1,0,"")))</f>
        <v/>
      </c>
      <c r="AA398" s="39" t="str">
        <f t="shared" si="133"/>
        <v/>
      </c>
      <c r="AB398" s="40" t="str">
        <f>IF(OR(L398="",V398=0),"",IF(AND(N(I398)&gt;0,N(INDEX('03-آذار'!$I$2:$I$501,V398))&gt;0,INDEX('03-آذار'!$F$2:$F$501,V398)=F398),N(I398)/N(INDEX('03-آذار'!$I$2:$I$501,V398))-1,""))</f>
        <v/>
      </c>
      <c r="AC398" t="str">
        <f>IF(L398="","",IF(AND($AO$2=1,ISNA(MATCH(L398,'05-أيار'!$L$2:$L$501,0))),"محذوف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IF(L399="","",IF($AO$1=1,IFERROR(MATCH(L399,'03-آذار'!$L$2:$L$501,0),0),0))</f>
        <v/>
      </c>
      <c r="W399" t="str">
        <f t="shared" si="131"/>
        <v/>
      </c>
      <c r="X399" s="38" t="str">
        <f>IF(L399="","",IF(V399&gt;0,INDEX('03-آذار'!$P$2:$P$501,V399),IF($AO$1=1,0,"")))</f>
        <v/>
      </c>
      <c r="Y399" s="38" t="str">
        <f t="shared" si="132"/>
        <v/>
      </c>
      <c r="Z399" s="39" t="str">
        <f>IF(L399="","",IF(V399&gt;0,INDEX('03-آذار'!$Q$2:$Q$501,V399),IF($AO$1=1,0,"")))</f>
        <v/>
      </c>
      <c r="AA399" s="39" t="str">
        <f t="shared" si="133"/>
        <v/>
      </c>
      <c r="AB399" s="40" t="str">
        <f>IF(OR(L399="",V399=0),"",IF(AND(N(I399)&gt;0,N(INDEX('03-آذار'!$I$2:$I$501,V399))&gt;0,INDEX('03-آذار'!$F$2:$F$501,V399)=F399),N(I399)/N(INDEX('03-آذار'!$I$2:$I$501,V399))-1,""))</f>
        <v/>
      </c>
      <c r="AC399" t="str">
        <f>IF(L399="","",IF(AND($AO$2=1,ISNA(MATCH(L399,'05-أيار'!$L$2:$L$501,0))),"محذوف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IF(L400="","",IF($AO$1=1,IFERROR(MATCH(L400,'03-آذار'!$L$2:$L$501,0),0),0))</f>
        <v/>
      </c>
      <c r="W400" t="str">
        <f t="shared" si="131"/>
        <v/>
      </c>
      <c r="X400" s="38" t="str">
        <f>IF(L400="","",IF(V400&gt;0,INDEX('03-آذار'!$P$2:$P$501,V400),IF($AO$1=1,0,"")))</f>
        <v/>
      </c>
      <c r="Y400" s="38" t="str">
        <f t="shared" si="132"/>
        <v/>
      </c>
      <c r="Z400" s="39" t="str">
        <f>IF(L400="","",IF(V400&gt;0,INDEX('03-آذار'!$Q$2:$Q$501,V400),IF($AO$1=1,0,"")))</f>
        <v/>
      </c>
      <c r="AA400" s="39" t="str">
        <f t="shared" si="133"/>
        <v/>
      </c>
      <c r="AB400" s="40" t="str">
        <f>IF(OR(L400="",V400=0),"",IF(AND(N(I400)&gt;0,N(INDEX('03-آذار'!$I$2:$I$501,V400))&gt;0,INDEX('03-آذار'!$F$2:$F$501,V400)=F400),N(I400)/N(INDEX('03-آذار'!$I$2:$I$501,V400))-1,""))</f>
        <v/>
      </c>
      <c r="AC400" t="str">
        <f>IF(L400="","",IF(AND($AO$2=1,ISNA(MATCH(L400,'05-أيار'!$L$2:$L$501,0))),"محذوف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IF(L401="","",IF($AO$1=1,IFERROR(MATCH(L401,'03-آذار'!$L$2:$L$501,0),0),0))</f>
        <v/>
      </c>
      <c r="W401" t="str">
        <f t="shared" si="131"/>
        <v/>
      </c>
      <c r="X401" s="38" t="str">
        <f>IF(L401="","",IF(V401&gt;0,INDEX('03-آذار'!$P$2:$P$501,V401),IF($AO$1=1,0,"")))</f>
        <v/>
      </c>
      <c r="Y401" s="38" t="str">
        <f t="shared" si="132"/>
        <v/>
      </c>
      <c r="Z401" s="39" t="str">
        <f>IF(L401="","",IF(V401&gt;0,INDEX('03-آذار'!$Q$2:$Q$501,V401),IF($AO$1=1,0,"")))</f>
        <v/>
      </c>
      <c r="AA401" s="39" t="str">
        <f t="shared" si="133"/>
        <v/>
      </c>
      <c r="AB401" s="40" t="str">
        <f>IF(OR(L401="",V401=0),"",IF(AND(N(I401)&gt;0,N(INDEX('03-آذار'!$I$2:$I$501,V401))&gt;0,INDEX('03-آذار'!$F$2:$F$501,V401)=F401),N(I401)/N(INDEX('03-آذار'!$I$2:$I$501,V401))-1,""))</f>
        <v/>
      </c>
      <c r="AC401" t="str">
        <f>IF(L401="","",IF(AND($AO$2=1,ISNA(MATCH(L401,'05-أيار'!$L$2:$L$501,0))),"محذوف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IF(L402="","",IF($AO$1=1,IFERROR(MATCH(L402,'03-آذار'!$L$2:$L$501,0),0),0))</f>
        <v/>
      </c>
      <c r="W402" t="str">
        <f t="shared" si="131"/>
        <v/>
      </c>
      <c r="X402" s="38" t="str">
        <f>IF(L402="","",IF(V402&gt;0,INDEX('03-آذار'!$P$2:$P$501,V402),IF($AO$1=1,0,"")))</f>
        <v/>
      </c>
      <c r="Y402" s="38" t="str">
        <f t="shared" si="132"/>
        <v/>
      </c>
      <c r="Z402" s="39" t="str">
        <f>IF(L402="","",IF(V402&gt;0,INDEX('03-آذار'!$Q$2:$Q$501,V402),IF($AO$1=1,0,"")))</f>
        <v/>
      </c>
      <c r="AA402" s="39" t="str">
        <f t="shared" si="133"/>
        <v/>
      </c>
      <c r="AB402" s="40" t="str">
        <f>IF(OR(L402="",V402=0),"",IF(AND(N(I402)&gt;0,N(INDEX('03-آذار'!$I$2:$I$501,V402))&gt;0,INDEX('03-آذار'!$F$2:$F$501,V402)=F402),N(I402)/N(INDEX('03-آذار'!$I$2:$I$501,V402))-1,""))</f>
        <v/>
      </c>
      <c r="AC402" t="str">
        <f>IF(L402="","",IF(AND($AO$2=1,ISNA(MATCH(L402,'05-أيار'!$L$2:$L$501,0))),"محذوف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IF(L403="","",IF($AO$1=1,IFERROR(MATCH(L403,'03-آذار'!$L$2:$L$501,0),0),0))</f>
        <v/>
      </c>
      <c r="W403" t="str">
        <f t="shared" si="131"/>
        <v/>
      </c>
      <c r="X403" s="38" t="str">
        <f>IF(L403="","",IF(V403&gt;0,INDEX('03-آذار'!$P$2:$P$501,V403),IF($AO$1=1,0,"")))</f>
        <v/>
      </c>
      <c r="Y403" s="38" t="str">
        <f t="shared" si="132"/>
        <v/>
      </c>
      <c r="Z403" s="39" t="str">
        <f>IF(L403="","",IF(V403&gt;0,INDEX('03-آذار'!$Q$2:$Q$501,V403),IF($AO$1=1,0,"")))</f>
        <v/>
      </c>
      <c r="AA403" s="39" t="str">
        <f t="shared" si="133"/>
        <v/>
      </c>
      <c r="AB403" s="40" t="str">
        <f>IF(OR(L403="",V403=0),"",IF(AND(N(I403)&gt;0,N(INDEX('03-آذار'!$I$2:$I$501,V403))&gt;0,INDEX('03-آذار'!$F$2:$F$501,V403)=F403),N(I403)/N(INDEX('03-آذار'!$I$2:$I$501,V403))-1,""))</f>
        <v/>
      </c>
      <c r="AC403" t="str">
        <f>IF(L403="","",IF(AND($AO$2=1,ISNA(MATCH(L403,'05-أيار'!$L$2:$L$501,0))),"محذوف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IF(L404="","",IF($AO$1=1,IFERROR(MATCH(L404,'03-آذار'!$L$2:$L$501,0),0),0))</f>
        <v/>
      </c>
      <c r="W404" t="str">
        <f t="shared" si="131"/>
        <v/>
      </c>
      <c r="X404" s="38" t="str">
        <f>IF(L404="","",IF(V404&gt;0,INDEX('03-آذار'!$P$2:$P$501,V404),IF($AO$1=1,0,"")))</f>
        <v/>
      </c>
      <c r="Y404" s="38" t="str">
        <f t="shared" si="132"/>
        <v/>
      </c>
      <c r="Z404" s="39" t="str">
        <f>IF(L404="","",IF(V404&gt;0,INDEX('03-آذار'!$Q$2:$Q$501,V404),IF($AO$1=1,0,"")))</f>
        <v/>
      </c>
      <c r="AA404" s="39" t="str">
        <f t="shared" si="133"/>
        <v/>
      </c>
      <c r="AB404" s="40" t="str">
        <f>IF(OR(L404="",V404=0),"",IF(AND(N(I404)&gt;0,N(INDEX('03-آذار'!$I$2:$I$501,V404))&gt;0,INDEX('03-آذار'!$F$2:$F$501,V404)=F404),N(I404)/N(INDEX('03-آذار'!$I$2:$I$501,V404))-1,""))</f>
        <v/>
      </c>
      <c r="AC404" t="str">
        <f>IF(L404="","",IF(AND($AO$2=1,ISNA(MATCH(L404,'05-أيار'!$L$2:$L$501,0))),"محذوف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IF(L405="","",IF($AO$1=1,IFERROR(MATCH(L405,'03-آذار'!$L$2:$L$501,0),0),0))</f>
        <v/>
      </c>
      <c r="W405" t="str">
        <f t="shared" si="131"/>
        <v/>
      </c>
      <c r="X405" s="38" t="str">
        <f>IF(L405="","",IF(V405&gt;0,INDEX('03-آذار'!$P$2:$P$501,V405),IF($AO$1=1,0,"")))</f>
        <v/>
      </c>
      <c r="Y405" s="38" t="str">
        <f t="shared" si="132"/>
        <v/>
      </c>
      <c r="Z405" s="39" t="str">
        <f>IF(L405="","",IF(V405&gt;0,INDEX('03-آذار'!$Q$2:$Q$501,V405),IF($AO$1=1,0,"")))</f>
        <v/>
      </c>
      <c r="AA405" s="39" t="str">
        <f t="shared" si="133"/>
        <v/>
      </c>
      <c r="AB405" s="40" t="str">
        <f>IF(OR(L405="",V405=0),"",IF(AND(N(I405)&gt;0,N(INDEX('03-آذار'!$I$2:$I$501,V405))&gt;0,INDEX('03-آذار'!$F$2:$F$501,V405)=F405),N(I405)/N(INDEX('03-آذار'!$I$2:$I$501,V405))-1,""))</f>
        <v/>
      </c>
      <c r="AC405" t="str">
        <f>IF(L405="","",IF(AND($AO$2=1,ISNA(MATCH(L405,'05-أيار'!$L$2:$L$501,0))),"محذوف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IF(L406="","",IF($AO$1=1,IFERROR(MATCH(L406,'03-آذار'!$L$2:$L$501,0),0),0))</f>
        <v/>
      </c>
      <c r="W406" t="str">
        <f t="shared" si="131"/>
        <v/>
      </c>
      <c r="X406" s="38" t="str">
        <f>IF(L406="","",IF(V406&gt;0,INDEX('03-آذار'!$P$2:$P$501,V406),IF($AO$1=1,0,"")))</f>
        <v/>
      </c>
      <c r="Y406" s="38" t="str">
        <f t="shared" si="132"/>
        <v/>
      </c>
      <c r="Z406" s="39" t="str">
        <f>IF(L406="","",IF(V406&gt;0,INDEX('03-آذار'!$Q$2:$Q$501,V406),IF($AO$1=1,0,"")))</f>
        <v/>
      </c>
      <c r="AA406" s="39" t="str">
        <f t="shared" si="133"/>
        <v/>
      </c>
      <c r="AB406" s="40" t="str">
        <f>IF(OR(L406="",V406=0),"",IF(AND(N(I406)&gt;0,N(INDEX('03-آذار'!$I$2:$I$501,V406))&gt;0,INDEX('03-آذار'!$F$2:$F$501,V406)=F406),N(I406)/N(INDEX('03-آذار'!$I$2:$I$501,V406))-1,""))</f>
        <v/>
      </c>
      <c r="AC406" t="str">
        <f>IF(L406="","",IF(AND($AO$2=1,ISNA(MATCH(L406,'05-أيار'!$L$2:$L$501,0))),"محذوف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IF(L407="","",IF($AO$1=1,IFERROR(MATCH(L407,'03-آذار'!$L$2:$L$501,0),0),0))</f>
        <v/>
      </c>
      <c r="W407" t="str">
        <f t="shared" si="131"/>
        <v/>
      </c>
      <c r="X407" s="38" t="str">
        <f>IF(L407="","",IF(V407&gt;0,INDEX('03-آذار'!$P$2:$P$501,V407),IF($AO$1=1,0,"")))</f>
        <v/>
      </c>
      <c r="Y407" s="38" t="str">
        <f t="shared" si="132"/>
        <v/>
      </c>
      <c r="Z407" s="39" t="str">
        <f>IF(L407="","",IF(V407&gt;0,INDEX('03-آذار'!$Q$2:$Q$501,V407),IF($AO$1=1,0,"")))</f>
        <v/>
      </c>
      <c r="AA407" s="39" t="str">
        <f t="shared" si="133"/>
        <v/>
      </c>
      <c r="AB407" s="40" t="str">
        <f>IF(OR(L407="",V407=0),"",IF(AND(N(I407)&gt;0,N(INDEX('03-آذار'!$I$2:$I$501,V407))&gt;0,INDEX('03-آذار'!$F$2:$F$501,V407)=F407),N(I407)/N(INDEX('03-آذار'!$I$2:$I$501,V407))-1,""))</f>
        <v/>
      </c>
      <c r="AC407" t="str">
        <f>IF(L407="","",IF(AND($AO$2=1,ISNA(MATCH(L407,'05-أيار'!$L$2:$L$501,0))),"محذوف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IF(L408="","",IF($AO$1=1,IFERROR(MATCH(L408,'03-آذار'!$L$2:$L$501,0),0),0))</f>
        <v/>
      </c>
      <c r="W408" t="str">
        <f t="shared" si="131"/>
        <v/>
      </c>
      <c r="X408" s="38" t="str">
        <f>IF(L408="","",IF(V408&gt;0,INDEX('03-آذار'!$P$2:$P$501,V408),IF($AO$1=1,0,"")))</f>
        <v/>
      </c>
      <c r="Y408" s="38" t="str">
        <f t="shared" si="132"/>
        <v/>
      </c>
      <c r="Z408" s="39" t="str">
        <f>IF(L408="","",IF(V408&gt;0,INDEX('03-آذار'!$Q$2:$Q$501,V408),IF($AO$1=1,0,"")))</f>
        <v/>
      </c>
      <c r="AA408" s="39" t="str">
        <f t="shared" si="133"/>
        <v/>
      </c>
      <c r="AB408" s="40" t="str">
        <f>IF(OR(L408="",V408=0),"",IF(AND(N(I408)&gt;0,N(INDEX('03-آذار'!$I$2:$I$501,V408))&gt;0,INDEX('03-آذار'!$F$2:$F$501,V408)=F408),N(I408)/N(INDEX('03-آذار'!$I$2:$I$501,V408))-1,""))</f>
        <v/>
      </c>
      <c r="AC408" t="str">
        <f>IF(L408="","",IF(AND($AO$2=1,ISNA(MATCH(L408,'05-أيار'!$L$2:$L$501,0))),"محذوف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IF(L409="","",IF($AO$1=1,IFERROR(MATCH(L409,'03-آذار'!$L$2:$L$501,0),0),0))</f>
        <v/>
      </c>
      <c r="W409" t="str">
        <f t="shared" si="131"/>
        <v/>
      </c>
      <c r="X409" s="38" t="str">
        <f>IF(L409="","",IF(V409&gt;0,INDEX('03-آذار'!$P$2:$P$501,V409),IF($AO$1=1,0,"")))</f>
        <v/>
      </c>
      <c r="Y409" s="38" t="str">
        <f t="shared" si="132"/>
        <v/>
      </c>
      <c r="Z409" s="39" t="str">
        <f>IF(L409="","",IF(V409&gt;0,INDEX('03-آذار'!$Q$2:$Q$501,V409),IF($AO$1=1,0,"")))</f>
        <v/>
      </c>
      <c r="AA409" s="39" t="str">
        <f t="shared" si="133"/>
        <v/>
      </c>
      <c r="AB409" s="40" t="str">
        <f>IF(OR(L409="",V409=0),"",IF(AND(N(I409)&gt;0,N(INDEX('03-آذار'!$I$2:$I$501,V409))&gt;0,INDEX('03-آذار'!$F$2:$F$501,V409)=F409),N(I409)/N(INDEX('03-آذار'!$I$2:$I$501,V409))-1,""))</f>
        <v/>
      </c>
      <c r="AC409" t="str">
        <f>IF(L409="","",IF(AND($AO$2=1,ISNA(MATCH(L409,'05-أيار'!$L$2:$L$501,0))),"محذوف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IF(L410="","",IF($AO$1=1,IFERROR(MATCH(L410,'03-آذار'!$L$2:$L$501,0),0),0))</f>
        <v/>
      </c>
      <c r="W410" t="str">
        <f t="shared" si="131"/>
        <v/>
      </c>
      <c r="X410" s="38" t="str">
        <f>IF(L410="","",IF(V410&gt;0,INDEX('03-آذار'!$P$2:$P$501,V410),IF($AO$1=1,0,"")))</f>
        <v/>
      </c>
      <c r="Y410" s="38" t="str">
        <f t="shared" si="132"/>
        <v/>
      </c>
      <c r="Z410" s="39" t="str">
        <f>IF(L410="","",IF(V410&gt;0,INDEX('03-آذار'!$Q$2:$Q$501,V410),IF($AO$1=1,0,"")))</f>
        <v/>
      </c>
      <c r="AA410" s="39" t="str">
        <f t="shared" si="133"/>
        <v/>
      </c>
      <c r="AB410" s="40" t="str">
        <f>IF(OR(L410="",V410=0),"",IF(AND(N(I410)&gt;0,N(INDEX('03-آذار'!$I$2:$I$501,V410))&gt;0,INDEX('03-آذار'!$F$2:$F$501,V410)=F410),N(I410)/N(INDEX('03-آذار'!$I$2:$I$501,V410))-1,""))</f>
        <v/>
      </c>
      <c r="AC410" t="str">
        <f>IF(L410="","",IF(AND($AO$2=1,ISNA(MATCH(L410,'05-أيار'!$L$2:$L$501,0))),"محذوف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IF(L411="","",IF($AO$1=1,IFERROR(MATCH(L411,'03-آذار'!$L$2:$L$501,0),0),0))</f>
        <v/>
      </c>
      <c r="W411" t="str">
        <f t="shared" si="131"/>
        <v/>
      </c>
      <c r="X411" s="38" t="str">
        <f>IF(L411="","",IF(V411&gt;0,INDEX('03-آذار'!$P$2:$P$501,V411),IF($AO$1=1,0,"")))</f>
        <v/>
      </c>
      <c r="Y411" s="38" t="str">
        <f t="shared" si="132"/>
        <v/>
      </c>
      <c r="Z411" s="39" t="str">
        <f>IF(L411="","",IF(V411&gt;0,INDEX('03-آذار'!$Q$2:$Q$501,V411),IF($AO$1=1,0,"")))</f>
        <v/>
      </c>
      <c r="AA411" s="39" t="str">
        <f t="shared" si="133"/>
        <v/>
      </c>
      <c r="AB411" s="40" t="str">
        <f>IF(OR(L411="",V411=0),"",IF(AND(N(I411)&gt;0,N(INDEX('03-آذار'!$I$2:$I$501,V411))&gt;0,INDEX('03-آذار'!$F$2:$F$501,V411)=F411),N(I411)/N(INDEX('03-آذار'!$I$2:$I$501,V411))-1,""))</f>
        <v/>
      </c>
      <c r="AC411" t="str">
        <f>IF(L411="","",IF(AND($AO$2=1,ISNA(MATCH(L411,'05-أيار'!$L$2:$L$501,0))),"محذوف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IF(L412="","",IF($AO$1=1,IFERROR(MATCH(L412,'03-آذار'!$L$2:$L$501,0),0),0))</f>
        <v/>
      </c>
      <c r="W412" t="str">
        <f t="shared" si="131"/>
        <v/>
      </c>
      <c r="X412" s="38" t="str">
        <f>IF(L412="","",IF(V412&gt;0,INDEX('03-آذار'!$P$2:$P$501,V412),IF($AO$1=1,0,"")))</f>
        <v/>
      </c>
      <c r="Y412" s="38" t="str">
        <f t="shared" si="132"/>
        <v/>
      </c>
      <c r="Z412" s="39" t="str">
        <f>IF(L412="","",IF(V412&gt;0,INDEX('03-آذار'!$Q$2:$Q$501,V412),IF($AO$1=1,0,"")))</f>
        <v/>
      </c>
      <c r="AA412" s="39" t="str">
        <f t="shared" si="133"/>
        <v/>
      </c>
      <c r="AB412" s="40" t="str">
        <f>IF(OR(L412="",V412=0),"",IF(AND(N(I412)&gt;0,N(INDEX('03-آذار'!$I$2:$I$501,V412))&gt;0,INDEX('03-آذار'!$F$2:$F$501,V412)=F412),N(I412)/N(INDEX('03-آذار'!$I$2:$I$501,V412))-1,""))</f>
        <v/>
      </c>
      <c r="AC412" t="str">
        <f>IF(L412="","",IF(AND($AO$2=1,ISNA(MATCH(L412,'05-أيار'!$L$2:$L$501,0))),"محذوف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IF(L413="","",IF($AO$1=1,IFERROR(MATCH(L413,'03-آذار'!$L$2:$L$501,0),0),0))</f>
        <v/>
      </c>
      <c r="W413" t="str">
        <f t="shared" si="131"/>
        <v/>
      </c>
      <c r="X413" s="38" t="str">
        <f>IF(L413="","",IF(V413&gt;0,INDEX('03-آذار'!$P$2:$P$501,V413),IF($AO$1=1,0,"")))</f>
        <v/>
      </c>
      <c r="Y413" s="38" t="str">
        <f t="shared" si="132"/>
        <v/>
      </c>
      <c r="Z413" s="39" t="str">
        <f>IF(L413="","",IF(V413&gt;0,INDEX('03-آذار'!$Q$2:$Q$501,V413),IF($AO$1=1,0,"")))</f>
        <v/>
      </c>
      <c r="AA413" s="39" t="str">
        <f t="shared" si="133"/>
        <v/>
      </c>
      <c r="AB413" s="40" t="str">
        <f>IF(OR(L413="",V413=0),"",IF(AND(N(I413)&gt;0,N(INDEX('03-آذار'!$I$2:$I$501,V413))&gt;0,INDEX('03-آذار'!$F$2:$F$501,V413)=F413),N(I413)/N(INDEX('03-آذار'!$I$2:$I$501,V413))-1,""))</f>
        <v/>
      </c>
      <c r="AC413" t="str">
        <f>IF(L413="","",IF(AND($AO$2=1,ISNA(MATCH(L413,'05-أيار'!$L$2:$L$501,0))),"محذوف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IF(L414="","",IF($AO$1=1,IFERROR(MATCH(L414,'03-آذار'!$L$2:$L$501,0),0),0))</f>
        <v/>
      </c>
      <c r="W414" t="str">
        <f t="shared" si="131"/>
        <v/>
      </c>
      <c r="X414" s="38" t="str">
        <f>IF(L414="","",IF(V414&gt;0,INDEX('03-آذار'!$P$2:$P$501,V414),IF($AO$1=1,0,"")))</f>
        <v/>
      </c>
      <c r="Y414" s="38" t="str">
        <f t="shared" si="132"/>
        <v/>
      </c>
      <c r="Z414" s="39" t="str">
        <f>IF(L414="","",IF(V414&gt;0,INDEX('03-آذار'!$Q$2:$Q$501,V414),IF($AO$1=1,0,"")))</f>
        <v/>
      </c>
      <c r="AA414" s="39" t="str">
        <f t="shared" si="133"/>
        <v/>
      </c>
      <c r="AB414" s="40" t="str">
        <f>IF(OR(L414="",V414=0),"",IF(AND(N(I414)&gt;0,N(INDEX('03-آذار'!$I$2:$I$501,V414))&gt;0,INDEX('03-آذار'!$F$2:$F$501,V414)=F414),N(I414)/N(INDEX('03-آذار'!$I$2:$I$501,V414))-1,""))</f>
        <v/>
      </c>
      <c r="AC414" t="str">
        <f>IF(L414="","",IF(AND($AO$2=1,ISNA(MATCH(L414,'05-أيار'!$L$2:$L$501,0))),"محذوف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IF(L415="","",IF($AO$1=1,IFERROR(MATCH(L415,'03-آذار'!$L$2:$L$501,0),0),0))</f>
        <v/>
      </c>
      <c r="W415" t="str">
        <f t="shared" si="131"/>
        <v/>
      </c>
      <c r="X415" s="38" t="str">
        <f>IF(L415="","",IF(V415&gt;0,INDEX('03-آذار'!$P$2:$P$501,V415),IF($AO$1=1,0,"")))</f>
        <v/>
      </c>
      <c r="Y415" s="38" t="str">
        <f t="shared" si="132"/>
        <v/>
      </c>
      <c r="Z415" s="39" t="str">
        <f>IF(L415="","",IF(V415&gt;0,INDEX('03-آذار'!$Q$2:$Q$501,V415),IF($AO$1=1,0,"")))</f>
        <v/>
      </c>
      <c r="AA415" s="39" t="str">
        <f t="shared" si="133"/>
        <v/>
      </c>
      <c r="AB415" s="40" t="str">
        <f>IF(OR(L415="",V415=0),"",IF(AND(N(I415)&gt;0,N(INDEX('03-آذار'!$I$2:$I$501,V415))&gt;0,INDEX('03-آذار'!$F$2:$F$501,V415)=F415),N(I415)/N(INDEX('03-آذار'!$I$2:$I$501,V415))-1,""))</f>
        <v/>
      </c>
      <c r="AC415" t="str">
        <f>IF(L415="","",IF(AND($AO$2=1,ISNA(MATCH(L415,'05-أيار'!$L$2:$L$501,0))),"محذوف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IF(L416="","",IF($AO$1=1,IFERROR(MATCH(L416,'03-آذار'!$L$2:$L$501,0),0),0))</f>
        <v/>
      </c>
      <c r="W416" t="str">
        <f t="shared" si="131"/>
        <v/>
      </c>
      <c r="X416" s="38" t="str">
        <f>IF(L416="","",IF(V416&gt;0,INDEX('03-آذار'!$P$2:$P$501,V416),IF($AO$1=1,0,"")))</f>
        <v/>
      </c>
      <c r="Y416" s="38" t="str">
        <f t="shared" si="132"/>
        <v/>
      </c>
      <c r="Z416" s="39" t="str">
        <f>IF(L416="","",IF(V416&gt;0,INDEX('03-آذار'!$Q$2:$Q$501,V416),IF($AO$1=1,0,"")))</f>
        <v/>
      </c>
      <c r="AA416" s="39" t="str">
        <f t="shared" si="133"/>
        <v/>
      </c>
      <c r="AB416" s="40" t="str">
        <f>IF(OR(L416="",V416=0),"",IF(AND(N(I416)&gt;0,N(INDEX('03-آذار'!$I$2:$I$501,V416))&gt;0,INDEX('03-آذار'!$F$2:$F$501,V416)=F416),N(I416)/N(INDEX('03-آذار'!$I$2:$I$501,V416))-1,""))</f>
        <v/>
      </c>
      <c r="AC416" t="str">
        <f>IF(L416="","",IF(AND($AO$2=1,ISNA(MATCH(L416,'05-أيار'!$L$2:$L$501,0))),"محذوف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IF(L417="","",IF($AO$1=1,IFERROR(MATCH(L417,'03-آذار'!$L$2:$L$501,0),0),0))</f>
        <v/>
      </c>
      <c r="W417" t="str">
        <f t="shared" si="131"/>
        <v/>
      </c>
      <c r="X417" s="38" t="str">
        <f>IF(L417="","",IF(V417&gt;0,INDEX('03-آذار'!$P$2:$P$501,V417),IF($AO$1=1,0,"")))</f>
        <v/>
      </c>
      <c r="Y417" s="38" t="str">
        <f t="shared" si="132"/>
        <v/>
      </c>
      <c r="Z417" s="39" t="str">
        <f>IF(L417="","",IF(V417&gt;0,INDEX('03-آذار'!$Q$2:$Q$501,V417),IF($AO$1=1,0,"")))</f>
        <v/>
      </c>
      <c r="AA417" s="39" t="str">
        <f t="shared" si="133"/>
        <v/>
      </c>
      <c r="AB417" s="40" t="str">
        <f>IF(OR(L417="",V417=0),"",IF(AND(N(I417)&gt;0,N(INDEX('03-آذار'!$I$2:$I$501,V417))&gt;0,INDEX('03-آذار'!$F$2:$F$501,V417)=F417),N(I417)/N(INDEX('03-آذار'!$I$2:$I$501,V417))-1,""))</f>
        <v/>
      </c>
      <c r="AC417" t="str">
        <f>IF(L417="","",IF(AND($AO$2=1,ISNA(MATCH(L417,'05-أيار'!$L$2:$L$501,0))),"محذوف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IF(L418="","",IF($AO$1=1,IFERROR(MATCH(L418,'03-آذار'!$L$2:$L$501,0),0),0))</f>
        <v/>
      </c>
      <c r="W418" t="str">
        <f t="shared" si="131"/>
        <v/>
      </c>
      <c r="X418" s="38" t="str">
        <f>IF(L418="","",IF(V418&gt;0,INDEX('03-آذار'!$P$2:$P$501,V418),IF($AO$1=1,0,"")))</f>
        <v/>
      </c>
      <c r="Y418" s="38" t="str">
        <f t="shared" si="132"/>
        <v/>
      </c>
      <c r="Z418" s="39" t="str">
        <f>IF(L418="","",IF(V418&gt;0,INDEX('03-آذار'!$Q$2:$Q$501,V418),IF($AO$1=1,0,"")))</f>
        <v/>
      </c>
      <c r="AA418" s="39" t="str">
        <f t="shared" si="133"/>
        <v/>
      </c>
      <c r="AB418" s="40" t="str">
        <f>IF(OR(L418="",V418=0),"",IF(AND(N(I418)&gt;0,N(INDEX('03-آذار'!$I$2:$I$501,V418))&gt;0,INDEX('03-آذار'!$F$2:$F$501,V418)=F418),N(I418)/N(INDEX('03-آذار'!$I$2:$I$501,V418))-1,""))</f>
        <v/>
      </c>
      <c r="AC418" t="str">
        <f>IF(L418="","",IF(AND($AO$2=1,ISNA(MATCH(L418,'05-أيار'!$L$2:$L$501,0))),"محذوف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IF(L419="","",IF($AO$1=1,IFERROR(MATCH(L419,'03-آذار'!$L$2:$L$501,0),0),0))</f>
        <v/>
      </c>
      <c r="W419" t="str">
        <f t="shared" si="131"/>
        <v/>
      </c>
      <c r="X419" s="38" t="str">
        <f>IF(L419="","",IF(V419&gt;0,INDEX('03-آذار'!$P$2:$P$501,V419),IF($AO$1=1,0,"")))</f>
        <v/>
      </c>
      <c r="Y419" s="38" t="str">
        <f t="shared" si="132"/>
        <v/>
      </c>
      <c r="Z419" s="39" t="str">
        <f>IF(L419="","",IF(V419&gt;0,INDEX('03-آذار'!$Q$2:$Q$501,V419),IF($AO$1=1,0,"")))</f>
        <v/>
      </c>
      <c r="AA419" s="39" t="str">
        <f t="shared" si="133"/>
        <v/>
      </c>
      <c r="AB419" s="40" t="str">
        <f>IF(OR(L419="",V419=0),"",IF(AND(N(I419)&gt;0,N(INDEX('03-آذار'!$I$2:$I$501,V419))&gt;0,INDEX('03-آذار'!$F$2:$F$501,V419)=F419),N(I419)/N(INDEX('03-آذار'!$I$2:$I$501,V419))-1,""))</f>
        <v/>
      </c>
      <c r="AC419" t="str">
        <f>IF(L419="","",IF(AND($AO$2=1,ISNA(MATCH(L419,'05-أيار'!$L$2:$L$501,0))),"محذوف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IF(L420="","",IF($AO$1=1,IFERROR(MATCH(L420,'03-آذار'!$L$2:$L$501,0),0),0))</f>
        <v/>
      </c>
      <c r="W420" t="str">
        <f t="shared" si="131"/>
        <v/>
      </c>
      <c r="X420" s="38" t="str">
        <f>IF(L420="","",IF(V420&gt;0,INDEX('03-آذار'!$P$2:$P$501,V420),IF($AO$1=1,0,"")))</f>
        <v/>
      </c>
      <c r="Y420" s="38" t="str">
        <f t="shared" si="132"/>
        <v/>
      </c>
      <c r="Z420" s="39" t="str">
        <f>IF(L420="","",IF(V420&gt;0,INDEX('03-آذار'!$Q$2:$Q$501,V420),IF($AO$1=1,0,"")))</f>
        <v/>
      </c>
      <c r="AA420" s="39" t="str">
        <f t="shared" si="133"/>
        <v/>
      </c>
      <c r="AB420" s="40" t="str">
        <f>IF(OR(L420="",V420=0),"",IF(AND(N(I420)&gt;0,N(INDEX('03-آذار'!$I$2:$I$501,V420))&gt;0,INDEX('03-آذار'!$F$2:$F$501,V420)=F420),N(I420)/N(INDEX('03-آذار'!$I$2:$I$501,V420))-1,""))</f>
        <v/>
      </c>
      <c r="AC420" t="str">
        <f>IF(L420="","",IF(AND($AO$2=1,ISNA(MATCH(L420,'05-أيار'!$L$2:$L$501,0))),"محذوف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IF(L421="","",IF($AO$1=1,IFERROR(MATCH(L421,'03-آذار'!$L$2:$L$501,0),0),0))</f>
        <v/>
      </c>
      <c r="W421" t="str">
        <f t="shared" si="131"/>
        <v/>
      </c>
      <c r="X421" s="38" t="str">
        <f>IF(L421="","",IF(V421&gt;0,INDEX('03-آذار'!$P$2:$P$501,V421),IF($AO$1=1,0,"")))</f>
        <v/>
      </c>
      <c r="Y421" s="38" t="str">
        <f t="shared" si="132"/>
        <v/>
      </c>
      <c r="Z421" s="39" t="str">
        <f>IF(L421="","",IF(V421&gt;0,INDEX('03-آذار'!$Q$2:$Q$501,V421),IF($AO$1=1,0,"")))</f>
        <v/>
      </c>
      <c r="AA421" s="39" t="str">
        <f t="shared" si="133"/>
        <v/>
      </c>
      <c r="AB421" s="40" t="str">
        <f>IF(OR(L421="",V421=0),"",IF(AND(N(I421)&gt;0,N(INDEX('03-آذار'!$I$2:$I$501,V421))&gt;0,INDEX('03-آذار'!$F$2:$F$501,V421)=F421),N(I421)/N(INDEX('03-آذار'!$I$2:$I$501,V421))-1,""))</f>
        <v/>
      </c>
      <c r="AC421" t="str">
        <f>IF(L421="","",IF(AND($AO$2=1,ISNA(MATCH(L421,'05-أيار'!$L$2:$L$501,0))),"محذوف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IF(L422="","",IF($AO$1=1,IFERROR(MATCH(L422,'03-آذار'!$L$2:$L$501,0),0),0))</f>
        <v/>
      </c>
      <c r="W422" t="str">
        <f t="shared" si="131"/>
        <v/>
      </c>
      <c r="X422" s="38" t="str">
        <f>IF(L422="","",IF(V422&gt;0,INDEX('03-آذار'!$P$2:$P$501,V422),IF($AO$1=1,0,"")))</f>
        <v/>
      </c>
      <c r="Y422" s="38" t="str">
        <f t="shared" si="132"/>
        <v/>
      </c>
      <c r="Z422" s="39" t="str">
        <f>IF(L422="","",IF(V422&gt;0,INDEX('03-آذار'!$Q$2:$Q$501,V422),IF($AO$1=1,0,"")))</f>
        <v/>
      </c>
      <c r="AA422" s="39" t="str">
        <f t="shared" si="133"/>
        <v/>
      </c>
      <c r="AB422" s="40" t="str">
        <f>IF(OR(L422="",V422=0),"",IF(AND(N(I422)&gt;0,N(INDEX('03-آذار'!$I$2:$I$501,V422))&gt;0,INDEX('03-آذار'!$F$2:$F$501,V422)=F422),N(I422)/N(INDEX('03-آذار'!$I$2:$I$501,V422))-1,""))</f>
        <v/>
      </c>
      <c r="AC422" t="str">
        <f>IF(L422="","",IF(AND($AO$2=1,ISNA(MATCH(L422,'05-أيار'!$L$2:$L$501,0))),"محذوف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IF(L423="","",IF($AO$1=1,IFERROR(MATCH(L423,'03-آذار'!$L$2:$L$501,0),0),0))</f>
        <v/>
      </c>
      <c r="W423" t="str">
        <f t="shared" si="131"/>
        <v/>
      </c>
      <c r="X423" s="38" t="str">
        <f>IF(L423="","",IF(V423&gt;0,INDEX('03-آذار'!$P$2:$P$501,V423),IF($AO$1=1,0,"")))</f>
        <v/>
      </c>
      <c r="Y423" s="38" t="str">
        <f t="shared" si="132"/>
        <v/>
      </c>
      <c r="Z423" s="39" t="str">
        <f>IF(L423="","",IF(V423&gt;0,INDEX('03-آذار'!$Q$2:$Q$501,V423),IF($AO$1=1,0,"")))</f>
        <v/>
      </c>
      <c r="AA423" s="39" t="str">
        <f t="shared" si="133"/>
        <v/>
      </c>
      <c r="AB423" s="40" t="str">
        <f>IF(OR(L423="",V423=0),"",IF(AND(N(I423)&gt;0,N(INDEX('03-آذار'!$I$2:$I$501,V423))&gt;0,INDEX('03-آذار'!$F$2:$F$501,V423)=F423),N(I423)/N(INDEX('03-آذار'!$I$2:$I$501,V423))-1,""))</f>
        <v/>
      </c>
      <c r="AC423" t="str">
        <f>IF(L423="","",IF(AND($AO$2=1,ISNA(MATCH(L423,'05-أيار'!$L$2:$L$501,0))),"محذوف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IF(L424="","",IF($AO$1=1,IFERROR(MATCH(L424,'03-آذار'!$L$2:$L$501,0),0),0))</f>
        <v/>
      </c>
      <c r="W424" t="str">
        <f t="shared" si="131"/>
        <v/>
      </c>
      <c r="X424" s="38" t="str">
        <f>IF(L424="","",IF(V424&gt;0,INDEX('03-آذار'!$P$2:$P$501,V424),IF($AO$1=1,0,"")))</f>
        <v/>
      </c>
      <c r="Y424" s="38" t="str">
        <f t="shared" si="132"/>
        <v/>
      </c>
      <c r="Z424" s="39" t="str">
        <f>IF(L424="","",IF(V424&gt;0,INDEX('03-آذار'!$Q$2:$Q$501,V424),IF($AO$1=1,0,"")))</f>
        <v/>
      </c>
      <c r="AA424" s="39" t="str">
        <f t="shared" si="133"/>
        <v/>
      </c>
      <c r="AB424" s="40" t="str">
        <f>IF(OR(L424="",V424=0),"",IF(AND(N(I424)&gt;0,N(INDEX('03-آذار'!$I$2:$I$501,V424))&gt;0,INDEX('03-آذار'!$F$2:$F$501,V424)=F424),N(I424)/N(INDEX('03-آذار'!$I$2:$I$501,V424))-1,""))</f>
        <v/>
      </c>
      <c r="AC424" t="str">
        <f>IF(L424="","",IF(AND($AO$2=1,ISNA(MATCH(L424,'05-أيار'!$L$2:$L$501,0))),"محذوف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IF(L425="","",IF($AO$1=1,IFERROR(MATCH(L425,'03-آذار'!$L$2:$L$501,0),0),0))</f>
        <v/>
      </c>
      <c r="W425" t="str">
        <f t="shared" si="131"/>
        <v/>
      </c>
      <c r="X425" s="38" t="str">
        <f>IF(L425="","",IF(V425&gt;0,INDEX('03-آذار'!$P$2:$P$501,V425),IF($AO$1=1,0,"")))</f>
        <v/>
      </c>
      <c r="Y425" s="38" t="str">
        <f t="shared" si="132"/>
        <v/>
      </c>
      <c r="Z425" s="39" t="str">
        <f>IF(L425="","",IF(V425&gt;0,INDEX('03-آذار'!$Q$2:$Q$501,V425),IF($AO$1=1,0,"")))</f>
        <v/>
      </c>
      <c r="AA425" s="39" t="str">
        <f t="shared" si="133"/>
        <v/>
      </c>
      <c r="AB425" s="40" t="str">
        <f>IF(OR(L425="",V425=0),"",IF(AND(N(I425)&gt;0,N(INDEX('03-آذار'!$I$2:$I$501,V425))&gt;0,INDEX('03-آذار'!$F$2:$F$501,V425)=F425),N(I425)/N(INDEX('03-آذار'!$I$2:$I$501,V425))-1,""))</f>
        <v/>
      </c>
      <c r="AC425" t="str">
        <f>IF(L425="","",IF(AND($AO$2=1,ISNA(MATCH(L425,'05-أيار'!$L$2:$L$501,0))),"محذوف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IF(L426="","",IF($AO$1=1,IFERROR(MATCH(L426,'03-آذار'!$L$2:$L$501,0),0),0))</f>
        <v/>
      </c>
      <c r="W426" t="str">
        <f t="shared" si="131"/>
        <v/>
      </c>
      <c r="X426" s="38" t="str">
        <f>IF(L426="","",IF(V426&gt;0,INDEX('03-آذار'!$P$2:$P$501,V426),IF($AO$1=1,0,"")))</f>
        <v/>
      </c>
      <c r="Y426" s="38" t="str">
        <f t="shared" si="132"/>
        <v/>
      </c>
      <c r="Z426" s="39" t="str">
        <f>IF(L426="","",IF(V426&gt;0,INDEX('03-آذار'!$Q$2:$Q$501,V426),IF($AO$1=1,0,"")))</f>
        <v/>
      </c>
      <c r="AA426" s="39" t="str">
        <f t="shared" si="133"/>
        <v/>
      </c>
      <c r="AB426" s="40" t="str">
        <f>IF(OR(L426="",V426=0),"",IF(AND(N(I426)&gt;0,N(INDEX('03-آذار'!$I$2:$I$501,V426))&gt;0,INDEX('03-آذار'!$F$2:$F$501,V426)=F426),N(I426)/N(INDEX('03-آذار'!$I$2:$I$501,V426))-1,""))</f>
        <v/>
      </c>
      <c r="AC426" t="str">
        <f>IF(L426="","",IF(AND($AO$2=1,ISNA(MATCH(L426,'05-أيار'!$L$2:$L$501,0))),"محذوف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IF(L427="","",IF($AO$1=1,IFERROR(MATCH(L427,'03-آذار'!$L$2:$L$501,0),0),0))</f>
        <v/>
      </c>
      <c r="W427" t="str">
        <f t="shared" si="131"/>
        <v/>
      </c>
      <c r="X427" s="38" t="str">
        <f>IF(L427="","",IF(V427&gt;0,INDEX('03-آذار'!$P$2:$P$501,V427),IF($AO$1=1,0,"")))</f>
        <v/>
      </c>
      <c r="Y427" s="38" t="str">
        <f t="shared" si="132"/>
        <v/>
      </c>
      <c r="Z427" s="39" t="str">
        <f>IF(L427="","",IF(V427&gt;0,INDEX('03-آذار'!$Q$2:$Q$501,V427),IF($AO$1=1,0,"")))</f>
        <v/>
      </c>
      <c r="AA427" s="39" t="str">
        <f t="shared" si="133"/>
        <v/>
      </c>
      <c r="AB427" s="40" t="str">
        <f>IF(OR(L427="",V427=0),"",IF(AND(N(I427)&gt;0,N(INDEX('03-آذار'!$I$2:$I$501,V427))&gt;0,INDEX('03-آذار'!$F$2:$F$501,V427)=F427),N(I427)/N(INDEX('03-آذار'!$I$2:$I$501,V427))-1,""))</f>
        <v/>
      </c>
      <c r="AC427" t="str">
        <f>IF(L427="","",IF(AND($AO$2=1,ISNA(MATCH(L427,'05-أيار'!$L$2:$L$501,0))),"محذوف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IF(L428="","",IF($AO$1=1,IFERROR(MATCH(L428,'03-آذار'!$L$2:$L$501,0),0),0))</f>
        <v/>
      </c>
      <c r="W428" t="str">
        <f t="shared" si="131"/>
        <v/>
      </c>
      <c r="X428" s="38" t="str">
        <f>IF(L428="","",IF(V428&gt;0,INDEX('03-آذار'!$P$2:$P$501,V428),IF($AO$1=1,0,"")))</f>
        <v/>
      </c>
      <c r="Y428" s="38" t="str">
        <f t="shared" si="132"/>
        <v/>
      </c>
      <c r="Z428" s="39" t="str">
        <f>IF(L428="","",IF(V428&gt;0,INDEX('03-آذار'!$Q$2:$Q$501,V428),IF($AO$1=1,0,"")))</f>
        <v/>
      </c>
      <c r="AA428" s="39" t="str">
        <f t="shared" si="133"/>
        <v/>
      </c>
      <c r="AB428" s="40" t="str">
        <f>IF(OR(L428="",V428=0),"",IF(AND(N(I428)&gt;0,N(INDEX('03-آذار'!$I$2:$I$501,V428))&gt;0,INDEX('03-آذار'!$F$2:$F$501,V428)=F428),N(I428)/N(INDEX('03-آذار'!$I$2:$I$501,V428))-1,""))</f>
        <v/>
      </c>
      <c r="AC428" t="str">
        <f>IF(L428="","",IF(AND($AO$2=1,ISNA(MATCH(L428,'05-أيار'!$L$2:$L$501,0))),"محذوف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IF(L429="","",IF($AO$1=1,IFERROR(MATCH(L429,'03-آذار'!$L$2:$L$501,0),0),0))</f>
        <v/>
      </c>
      <c r="W429" t="str">
        <f t="shared" si="131"/>
        <v/>
      </c>
      <c r="X429" s="38" t="str">
        <f>IF(L429="","",IF(V429&gt;0,INDEX('03-آذار'!$P$2:$P$501,V429),IF($AO$1=1,0,"")))</f>
        <v/>
      </c>
      <c r="Y429" s="38" t="str">
        <f t="shared" si="132"/>
        <v/>
      </c>
      <c r="Z429" s="39" t="str">
        <f>IF(L429="","",IF(V429&gt;0,INDEX('03-آذار'!$Q$2:$Q$501,V429),IF($AO$1=1,0,"")))</f>
        <v/>
      </c>
      <c r="AA429" s="39" t="str">
        <f t="shared" si="133"/>
        <v/>
      </c>
      <c r="AB429" s="40" t="str">
        <f>IF(OR(L429="",V429=0),"",IF(AND(N(I429)&gt;0,N(INDEX('03-آذار'!$I$2:$I$501,V429))&gt;0,INDEX('03-آذار'!$F$2:$F$501,V429)=F429),N(I429)/N(INDEX('03-آذار'!$I$2:$I$501,V429))-1,""))</f>
        <v/>
      </c>
      <c r="AC429" t="str">
        <f>IF(L429="","",IF(AND($AO$2=1,ISNA(MATCH(L429,'05-أيار'!$L$2:$L$501,0))),"محذوف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IF(L430="","",IF($AO$1=1,IFERROR(MATCH(L430,'03-آذار'!$L$2:$L$501,0),0),0))</f>
        <v/>
      </c>
      <c r="W430" t="str">
        <f t="shared" si="131"/>
        <v/>
      </c>
      <c r="X430" s="38" t="str">
        <f>IF(L430="","",IF(V430&gt;0,INDEX('03-آذار'!$P$2:$P$501,V430),IF($AO$1=1,0,"")))</f>
        <v/>
      </c>
      <c r="Y430" s="38" t="str">
        <f t="shared" si="132"/>
        <v/>
      </c>
      <c r="Z430" s="39" t="str">
        <f>IF(L430="","",IF(V430&gt;0,INDEX('03-آذار'!$Q$2:$Q$501,V430),IF($AO$1=1,0,"")))</f>
        <v/>
      </c>
      <c r="AA430" s="39" t="str">
        <f t="shared" si="133"/>
        <v/>
      </c>
      <c r="AB430" s="40" t="str">
        <f>IF(OR(L430="",V430=0),"",IF(AND(N(I430)&gt;0,N(INDEX('03-آذار'!$I$2:$I$501,V430))&gt;0,INDEX('03-آذار'!$F$2:$F$501,V430)=F430),N(I430)/N(INDEX('03-آذار'!$I$2:$I$501,V430))-1,""))</f>
        <v/>
      </c>
      <c r="AC430" t="str">
        <f>IF(L430="","",IF(AND($AO$2=1,ISNA(MATCH(L430,'05-أيار'!$L$2:$L$501,0))),"محذوف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IF(L431="","",IF($AO$1=1,IFERROR(MATCH(L431,'03-آذار'!$L$2:$L$501,0),0),0))</f>
        <v/>
      </c>
      <c r="W431" t="str">
        <f t="shared" si="131"/>
        <v/>
      </c>
      <c r="X431" s="38" t="str">
        <f>IF(L431="","",IF(V431&gt;0,INDEX('03-آذار'!$P$2:$P$501,V431),IF($AO$1=1,0,"")))</f>
        <v/>
      </c>
      <c r="Y431" s="38" t="str">
        <f t="shared" si="132"/>
        <v/>
      </c>
      <c r="Z431" s="39" t="str">
        <f>IF(L431="","",IF(V431&gt;0,INDEX('03-آذار'!$Q$2:$Q$501,V431),IF($AO$1=1,0,"")))</f>
        <v/>
      </c>
      <c r="AA431" s="39" t="str">
        <f t="shared" si="133"/>
        <v/>
      </c>
      <c r="AB431" s="40" t="str">
        <f>IF(OR(L431="",V431=0),"",IF(AND(N(I431)&gt;0,N(INDEX('03-آذار'!$I$2:$I$501,V431))&gt;0,INDEX('03-آذار'!$F$2:$F$501,V431)=F431),N(I431)/N(INDEX('03-آذار'!$I$2:$I$501,V431))-1,""))</f>
        <v/>
      </c>
      <c r="AC431" t="str">
        <f>IF(L431="","",IF(AND($AO$2=1,ISNA(MATCH(L431,'05-أيار'!$L$2:$L$501,0))),"محذوف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IF(L432="","",IF($AO$1=1,IFERROR(MATCH(L432,'03-آذار'!$L$2:$L$501,0),0),0))</f>
        <v/>
      </c>
      <c r="W432" t="str">
        <f t="shared" si="131"/>
        <v/>
      </c>
      <c r="X432" s="38" t="str">
        <f>IF(L432="","",IF(V432&gt;0,INDEX('03-آذار'!$P$2:$P$501,V432),IF($AO$1=1,0,"")))</f>
        <v/>
      </c>
      <c r="Y432" s="38" t="str">
        <f t="shared" si="132"/>
        <v/>
      </c>
      <c r="Z432" s="39" t="str">
        <f>IF(L432="","",IF(V432&gt;0,INDEX('03-آذار'!$Q$2:$Q$501,V432),IF($AO$1=1,0,"")))</f>
        <v/>
      </c>
      <c r="AA432" s="39" t="str">
        <f t="shared" si="133"/>
        <v/>
      </c>
      <c r="AB432" s="40" t="str">
        <f>IF(OR(L432="",V432=0),"",IF(AND(N(I432)&gt;0,N(INDEX('03-آذار'!$I$2:$I$501,V432))&gt;0,INDEX('03-آذار'!$F$2:$F$501,V432)=F432),N(I432)/N(INDEX('03-آذار'!$I$2:$I$501,V432))-1,""))</f>
        <v/>
      </c>
      <c r="AC432" t="str">
        <f>IF(L432="","",IF(AND($AO$2=1,ISNA(MATCH(L432,'05-أيار'!$L$2:$L$501,0))),"محذوف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IF(L433="","",IF($AO$1=1,IFERROR(MATCH(L433,'03-آذار'!$L$2:$L$501,0),0),0))</f>
        <v/>
      </c>
      <c r="W433" t="str">
        <f t="shared" si="131"/>
        <v/>
      </c>
      <c r="X433" s="38" t="str">
        <f>IF(L433="","",IF(V433&gt;0,INDEX('03-آذار'!$P$2:$P$501,V433),IF($AO$1=1,0,"")))</f>
        <v/>
      </c>
      <c r="Y433" s="38" t="str">
        <f t="shared" si="132"/>
        <v/>
      </c>
      <c r="Z433" s="39" t="str">
        <f>IF(L433="","",IF(V433&gt;0,INDEX('03-آذار'!$Q$2:$Q$501,V433),IF($AO$1=1,0,"")))</f>
        <v/>
      </c>
      <c r="AA433" s="39" t="str">
        <f t="shared" si="133"/>
        <v/>
      </c>
      <c r="AB433" s="40" t="str">
        <f>IF(OR(L433="",V433=0),"",IF(AND(N(I433)&gt;0,N(INDEX('03-آذار'!$I$2:$I$501,V433))&gt;0,INDEX('03-آذار'!$F$2:$F$501,V433)=F433),N(I433)/N(INDEX('03-آذار'!$I$2:$I$501,V433))-1,""))</f>
        <v/>
      </c>
      <c r="AC433" t="str">
        <f>IF(L433="","",IF(AND($AO$2=1,ISNA(MATCH(L433,'05-أيار'!$L$2:$L$501,0))),"محذوف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IF(L434="","",IF($AO$1=1,IFERROR(MATCH(L434,'03-آذار'!$L$2:$L$501,0),0),0))</f>
        <v/>
      </c>
      <c r="W434" t="str">
        <f t="shared" si="131"/>
        <v/>
      </c>
      <c r="X434" s="38" t="str">
        <f>IF(L434="","",IF(V434&gt;0,INDEX('03-آذار'!$P$2:$P$501,V434),IF($AO$1=1,0,"")))</f>
        <v/>
      </c>
      <c r="Y434" s="38" t="str">
        <f t="shared" si="132"/>
        <v/>
      </c>
      <c r="Z434" s="39" t="str">
        <f>IF(L434="","",IF(V434&gt;0,INDEX('03-آذار'!$Q$2:$Q$501,V434),IF($AO$1=1,0,"")))</f>
        <v/>
      </c>
      <c r="AA434" s="39" t="str">
        <f t="shared" si="133"/>
        <v/>
      </c>
      <c r="AB434" s="40" t="str">
        <f>IF(OR(L434="",V434=0),"",IF(AND(N(I434)&gt;0,N(INDEX('03-آذار'!$I$2:$I$501,V434))&gt;0,INDEX('03-آذار'!$F$2:$F$501,V434)=F434),N(I434)/N(INDEX('03-آذار'!$I$2:$I$501,V434))-1,""))</f>
        <v/>
      </c>
      <c r="AC434" t="str">
        <f>IF(L434="","",IF(AND($AO$2=1,ISNA(MATCH(L434,'05-أيار'!$L$2:$L$501,0))),"محذوف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IF(L435="","",IF($AO$1=1,IFERROR(MATCH(L435,'03-آذار'!$L$2:$L$501,0),0),0))</f>
        <v/>
      </c>
      <c r="W435" t="str">
        <f t="shared" si="131"/>
        <v/>
      </c>
      <c r="X435" s="38" t="str">
        <f>IF(L435="","",IF(V435&gt;0,INDEX('03-آذار'!$P$2:$P$501,V435),IF($AO$1=1,0,"")))</f>
        <v/>
      </c>
      <c r="Y435" s="38" t="str">
        <f t="shared" si="132"/>
        <v/>
      </c>
      <c r="Z435" s="39" t="str">
        <f>IF(L435="","",IF(V435&gt;0,INDEX('03-آذار'!$Q$2:$Q$501,V435),IF($AO$1=1,0,"")))</f>
        <v/>
      </c>
      <c r="AA435" s="39" t="str">
        <f t="shared" si="133"/>
        <v/>
      </c>
      <c r="AB435" s="40" t="str">
        <f>IF(OR(L435="",V435=0),"",IF(AND(N(I435)&gt;0,N(INDEX('03-آذار'!$I$2:$I$501,V435))&gt;0,INDEX('03-آذار'!$F$2:$F$501,V435)=F435),N(I435)/N(INDEX('03-آذار'!$I$2:$I$501,V435))-1,""))</f>
        <v/>
      </c>
      <c r="AC435" t="str">
        <f>IF(L435="","",IF(AND($AO$2=1,ISNA(MATCH(L435,'05-أيار'!$L$2:$L$501,0))),"محذوف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IF(L436="","",IF($AO$1=1,IFERROR(MATCH(L436,'03-آذار'!$L$2:$L$501,0),0),0))</f>
        <v/>
      </c>
      <c r="W436" t="str">
        <f t="shared" si="131"/>
        <v/>
      </c>
      <c r="X436" s="38" t="str">
        <f>IF(L436="","",IF(V436&gt;0,INDEX('03-آذار'!$P$2:$P$501,V436),IF($AO$1=1,0,"")))</f>
        <v/>
      </c>
      <c r="Y436" s="38" t="str">
        <f t="shared" si="132"/>
        <v/>
      </c>
      <c r="Z436" s="39" t="str">
        <f>IF(L436="","",IF(V436&gt;0,INDEX('03-آذار'!$Q$2:$Q$501,V436),IF($AO$1=1,0,"")))</f>
        <v/>
      </c>
      <c r="AA436" s="39" t="str">
        <f t="shared" si="133"/>
        <v/>
      </c>
      <c r="AB436" s="40" t="str">
        <f>IF(OR(L436="",V436=0),"",IF(AND(N(I436)&gt;0,N(INDEX('03-آذار'!$I$2:$I$501,V436))&gt;0,INDEX('03-آذار'!$F$2:$F$501,V436)=F436),N(I436)/N(INDEX('03-آذار'!$I$2:$I$501,V436))-1,""))</f>
        <v/>
      </c>
      <c r="AC436" t="str">
        <f>IF(L436="","",IF(AND($AO$2=1,ISNA(MATCH(L436,'05-أيار'!$L$2:$L$501,0))),"محذوف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IF(L437="","",IF($AO$1=1,IFERROR(MATCH(L437,'03-آذار'!$L$2:$L$501,0),0),0))</f>
        <v/>
      </c>
      <c r="W437" t="str">
        <f t="shared" si="131"/>
        <v/>
      </c>
      <c r="X437" s="38" t="str">
        <f>IF(L437="","",IF(V437&gt;0,INDEX('03-آذار'!$P$2:$P$501,V437),IF($AO$1=1,0,"")))</f>
        <v/>
      </c>
      <c r="Y437" s="38" t="str">
        <f t="shared" si="132"/>
        <v/>
      </c>
      <c r="Z437" s="39" t="str">
        <f>IF(L437="","",IF(V437&gt;0,INDEX('03-آذار'!$Q$2:$Q$501,V437),IF($AO$1=1,0,"")))</f>
        <v/>
      </c>
      <c r="AA437" s="39" t="str">
        <f t="shared" si="133"/>
        <v/>
      </c>
      <c r="AB437" s="40" t="str">
        <f>IF(OR(L437="",V437=0),"",IF(AND(N(I437)&gt;0,N(INDEX('03-آذار'!$I$2:$I$501,V437))&gt;0,INDEX('03-آذار'!$F$2:$F$501,V437)=F437),N(I437)/N(INDEX('03-آذار'!$I$2:$I$501,V437))-1,""))</f>
        <v/>
      </c>
      <c r="AC437" t="str">
        <f>IF(L437="","",IF(AND($AO$2=1,ISNA(MATCH(L437,'05-أيار'!$L$2:$L$501,0))),"محذوف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IF(L438="","",IF($AO$1=1,IFERROR(MATCH(L438,'03-آذار'!$L$2:$L$501,0),0),0))</f>
        <v/>
      </c>
      <c r="W438" t="str">
        <f t="shared" si="131"/>
        <v/>
      </c>
      <c r="X438" s="38" t="str">
        <f>IF(L438="","",IF(V438&gt;0,INDEX('03-آذار'!$P$2:$P$501,V438),IF($AO$1=1,0,"")))</f>
        <v/>
      </c>
      <c r="Y438" s="38" t="str">
        <f t="shared" si="132"/>
        <v/>
      </c>
      <c r="Z438" s="39" t="str">
        <f>IF(L438="","",IF(V438&gt;0,INDEX('03-آذار'!$Q$2:$Q$501,V438),IF($AO$1=1,0,"")))</f>
        <v/>
      </c>
      <c r="AA438" s="39" t="str">
        <f t="shared" si="133"/>
        <v/>
      </c>
      <c r="AB438" s="40" t="str">
        <f>IF(OR(L438="",V438=0),"",IF(AND(N(I438)&gt;0,N(INDEX('03-آذار'!$I$2:$I$501,V438))&gt;0,INDEX('03-آذار'!$F$2:$F$501,V438)=F438),N(I438)/N(INDEX('03-آذار'!$I$2:$I$501,V438))-1,""))</f>
        <v/>
      </c>
      <c r="AC438" t="str">
        <f>IF(L438="","",IF(AND($AO$2=1,ISNA(MATCH(L438,'05-أيار'!$L$2:$L$501,0))),"محذوف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IF(L439="","",IF($AO$1=1,IFERROR(MATCH(L439,'03-آذار'!$L$2:$L$501,0),0),0))</f>
        <v/>
      </c>
      <c r="W439" t="str">
        <f t="shared" si="131"/>
        <v/>
      </c>
      <c r="X439" s="38" t="str">
        <f>IF(L439="","",IF(V439&gt;0,INDEX('03-آذار'!$P$2:$P$501,V439),IF($AO$1=1,0,"")))</f>
        <v/>
      </c>
      <c r="Y439" s="38" t="str">
        <f t="shared" si="132"/>
        <v/>
      </c>
      <c r="Z439" s="39" t="str">
        <f>IF(L439="","",IF(V439&gt;0,INDEX('03-آذار'!$Q$2:$Q$501,V439),IF($AO$1=1,0,"")))</f>
        <v/>
      </c>
      <c r="AA439" s="39" t="str">
        <f t="shared" si="133"/>
        <v/>
      </c>
      <c r="AB439" s="40" t="str">
        <f>IF(OR(L439="",V439=0),"",IF(AND(N(I439)&gt;0,N(INDEX('03-آذار'!$I$2:$I$501,V439))&gt;0,INDEX('03-آذار'!$F$2:$F$501,V439)=F439),N(I439)/N(INDEX('03-آذار'!$I$2:$I$501,V439))-1,""))</f>
        <v/>
      </c>
      <c r="AC439" t="str">
        <f>IF(L439="","",IF(AND($AO$2=1,ISNA(MATCH(L439,'05-أيار'!$L$2:$L$501,0))),"محذوف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IF(L440="","",IF($AO$1=1,IFERROR(MATCH(L440,'03-آذار'!$L$2:$L$501,0),0),0))</f>
        <v/>
      </c>
      <c r="W440" t="str">
        <f t="shared" si="131"/>
        <v/>
      </c>
      <c r="X440" s="38" t="str">
        <f>IF(L440="","",IF(V440&gt;0,INDEX('03-آذار'!$P$2:$P$501,V440),IF($AO$1=1,0,"")))</f>
        <v/>
      </c>
      <c r="Y440" s="38" t="str">
        <f t="shared" si="132"/>
        <v/>
      </c>
      <c r="Z440" s="39" t="str">
        <f>IF(L440="","",IF(V440&gt;0,INDEX('03-آذار'!$Q$2:$Q$501,V440),IF($AO$1=1,0,"")))</f>
        <v/>
      </c>
      <c r="AA440" s="39" t="str">
        <f t="shared" si="133"/>
        <v/>
      </c>
      <c r="AB440" s="40" t="str">
        <f>IF(OR(L440="",V440=0),"",IF(AND(N(I440)&gt;0,N(INDEX('03-آذار'!$I$2:$I$501,V440))&gt;0,INDEX('03-آذار'!$F$2:$F$501,V440)=F440),N(I440)/N(INDEX('03-آذار'!$I$2:$I$501,V440))-1,""))</f>
        <v/>
      </c>
      <c r="AC440" t="str">
        <f>IF(L440="","",IF(AND($AO$2=1,ISNA(MATCH(L440,'05-أيار'!$L$2:$L$501,0))),"محذوف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IF(L441="","",IF($AO$1=1,IFERROR(MATCH(L441,'03-آذار'!$L$2:$L$501,0),0),0))</f>
        <v/>
      </c>
      <c r="W441" t="str">
        <f t="shared" si="131"/>
        <v/>
      </c>
      <c r="X441" s="38" t="str">
        <f>IF(L441="","",IF(V441&gt;0,INDEX('03-آذار'!$P$2:$P$501,V441),IF($AO$1=1,0,"")))</f>
        <v/>
      </c>
      <c r="Y441" s="38" t="str">
        <f t="shared" si="132"/>
        <v/>
      </c>
      <c r="Z441" s="39" t="str">
        <f>IF(L441="","",IF(V441&gt;0,INDEX('03-آذار'!$Q$2:$Q$501,V441),IF($AO$1=1,0,"")))</f>
        <v/>
      </c>
      <c r="AA441" s="39" t="str">
        <f t="shared" si="133"/>
        <v/>
      </c>
      <c r="AB441" s="40" t="str">
        <f>IF(OR(L441="",V441=0),"",IF(AND(N(I441)&gt;0,N(INDEX('03-آذار'!$I$2:$I$501,V441))&gt;0,INDEX('03-آذار'!$F$2:$F$501,V441)=F441),N(I441)/N(INDEX('03-آذار'!$I$2:$I$501,V441))-1,""))</f>
        <v/>
      </c>
      <c r="AC441" t="str">
        <f>IF(L441="","",IF(AND($AO$2=1,ISNA(MATCH(L441,'05-أيار'!$L$2:$L$501,0))),"محذوف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IF(L442="","",IF($AO$1=1,IFERROR(MATCH(L442,'03-آذار'!$L$2:$L$501,0),0),0))</f>
        <v/>
      </c>
      <c r="W442" t="str">
        <f t="shared" si="131"/>
        <v/>
      </c>
      <c r="X442" s="38" t="str">
        <f>IF(L442="","",IF(V442&gt;0,INDEX('03-آذار'!$P$2:$P$501,V442),IF($AO$1=1,0,"")))</f>
        <v/>
      </c>
      <c r="Y442" s="38" t="str">
        <f t="shared" si="132"/>
        <v/>
      </c>
      <c r="Z442" s="39" t="str">
        <f>IF(L442="","",IF(V442&gt;0,INDEX('03-آذار'!$Q$2:$Q$501,V442),IF($AO$1=1,0,"")))</f>
        <v/>
      </c>
      <c r="AA442" s="39" t="str">
        <f t="shared" si="133"/>
        <v/>
      </c>
      <c r="AB442" s="40" t="str">
        <f>IF(OR(L442="",V442=0),"",IF(AND(N(I442)&gt;0,N(INDEX('03-آذار'!$I$2:$I$501,V442))&gt;0,INDEX('03-آذار'!$F$2:$F$501,V442)=F442),N(I442)/N(INDEX('03-آذار'!$I$2:$I$501,V442))-1,""))</f>
        <v/>
      </c>
      <c r="AC442" t="str">
        <f>IF(L442="","",IF(AND($AO$2=1,ISNA(MATCH(L442,'05-أيار'!$L$2:$L$501,0))),"محذوف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IF(L443="","",IF($AO$1=1,IFERROR(MATCH(L443,'03-آذار'!$L$2:$L$501,0),0),0))</f>
        <v/>
      </c>
      <c r="W443" t="str">
        <f t="shared" si="131"/>
        <v/>
      </c>
      <c r="X443" s="38" t="str">
        <f>IF(L443="","",IF(V443&gt;0,INDEX('03-آذار'!$P$2:$P$501,V443),IF($AO$1=1,0,"")))</f>
        <v/>
      </c>
      <c r="Y443" s="38" t="str">
        <f t="shared" si="132"/>
        <v/>
      </c>
      <c r="Z443" s="39" t="str">
        <f>IF(L443="","",IF(V443&gt;0,INDEX('03-آذار'!$Q$2:$Q$501,V443),IF($AO$1=1,0,"")))</f>
        <v/>
      </c>
      <c r="AA443" s="39" t="str">
        <f t="shared" si="133"/>
        <v/>
      </c>
      <c r="AB443" s="40" t="str">
        <f>IF(OR(L443="",V443=0),"",IF(AND(N(I443)&gt;0,N(INDEX('03-آذار'!$I$2:$I$501,V443))&gt;0,INDEX('03-آذار'!$F$2:$F$501,V443)=F443),N(I443)/N(INDEX('03-آذار'!$I$2:$I$501,V443))-1,""))</f>
        <v/>
      </c>
      <c r="AC443" t="str">
        <f>IF(L443="","",IF(AND($AO$2=1,ISNA(MATCH(L443,'05-أيار'!$L$2:$L$501,0))),"محذوف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IF(L444="","",IF($AO$1=1,IFERROR(MATCH(L444,'03-آذار'!$L$2:$L$501,0),0),0))</f>
        <v/>
      </c>
      <c r="W444" t="str">
        <f t="shared" si="131"/>
        <v/>
      </c>
      <c r="X444" s="38" t="str">
        <f>IF(L444="","",IF(V444&gt;0,INDEX('03-آذار'!$P$2:$P$501,V444),IF($AO$1=1,0,"")))</f>
        <v/>
      </c>
      <c r="Y444" s="38" t="str">
        <f t="shared" si="132"/>
        <v/>
      </c>
      <c r="Z444" s="39" t="str">
        <f>IF(L444="","",IF(V444&gt;0,INDEX('03-آذار'!$Q$2:$Q$501,V444),IF($AO$1=1,0,"")))</f>
        <v/>
      </c>
      <c r="AA444" s="39" t="str">
        <f t="shared" si="133"/>
        <v/>
      </c>
      <c r="AB444" s="40" t="str">
        <f>IF(OR(L444="",V444=0),"",IF(AND(N(I444)&gt;0,N(INDEX('03-آذار'!$I$2:$I$501,V444))&gt;0,INDEX('03-آذار'!$F$2:$F$501,V444)=F444),N(I444)/N(INDEX('03-آذار'!$I$2:$I$501,V444))-1,""))</f>
        <v/>
      </c>
      <c r="AC444" t="str">
        <f>IF(L444="","",IF(AND($AO$2=1,ISNA(MATCH(L444,'05-أيار'!$L$2:$L$501,0))),"محذوف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IF(L445="","",IF($AO$1=1,IFERROR(MATCH(L445,'03-آذار'!$L$2:$L$501,0),0),0))</f>
        <v/>
      </c>
      <c r="W445" t="str">
        <f t="shared" si="131"/>
        <v/>
      </c>
      <c r="X445" s="38" t="str">
        <f>IF(L445="","",IF(V445&gt;0,INDEX('03-آذار'!$P$2:$P$501,V445),IF($AO$1=1,0,"")))</f>
        <v/>
      </c>
      <c r="Y445" s="38" t="str">
        <f t="shared" si="132"/>
        <v/>
      </c>
      <c r="Z445" s="39" t="str">
        <f>IF(L445="","",IF(V445&gt;0,INDEX('03-آذار'!$Q$2:$Q$501,V445),IF($AO$1=1,0,"")))</f>
        <v/>
      </c>
      <c r="AA445" s="39" t="str">
        <f t="shared" si="133"/>
        <v/>
      </c>
      <c r="AB445" s="40" t="str">
        <f>IF(OR(L445="",V445=0),"",IF(AND(N(I445)&gt;0,N(INDEX('03-آذار'!$I$2:$I$501,V445))&gt;0,INDEX('03-آذار'!$F$2:$F$501,V445)=F445),N(I445)/N(INDEX('03-آذار'!$I$2:$I$501,V445))-1,""))</f>
        <v/>
      </c>
      <c r="AC445" t="str">
        <f>IF(L445="","",IF(AND($AO$2=1,ISNA(MATCH(L445,'05-أيار'!$L$2:$L$501,0))),"محذوف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IF(L446="","",IF($AO$1=1,IFERROR(MATCH(L446,'03-آذار'!$L$2:$L$501,0),0),0))</f>
        <v/>
      </c>
      <c r="W446" t="str">
        <f t="shared" si="131"/>
        <v/>
      </c>
      <c r="X446" s="38" t="str">
        <f>IF(L446="","",IF(V446&gt;0,INDEX('03-آذار'!$P$2:$P$501,V446),IF($AO$1=1,0,"")))</f>
        <v/>
      </c>
      <c r="Y446" s="38" t="str">
        <f t="shared" si="132"/>
        <v/>
      </c>
      <c r="Z446" s="39" t="str">
        <f>IF(L446="","",IF(V446&gt;0,INDEX('03-آذار'!$Q$2:$Q$501,V446),IF($AO$1=1,0,"")))</f>
        <v/>
      </c>
      <c r="AA446" s="39" t="str">
        <f t="shared" si="133"/>
        <v/>
      </c>
      <c r="AB446" s="40" t="str">
        <f>IF(OR(L446="",V446=0),"",IF(AND(N(I446)&gt;0,N(INDEX('03-آذار'!$I$2:$I$501,V446))&gt;0,INDEX('03-آذار'!$F$2:$F$501,V446)=F446),N(I446)/N(INDEX('03-آذار'!$I$2:$I$501,V446))-1,""))</f>
        <v/>
      </c>
      <c r="AC446" t="str">
        <f>IF(L446="","",IF(AND($AO$2=1,ISNA(MATCH(L446,'05-أيار'!$L$2:$L$501,0))),"محذوف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IF(L447="","",IF($AO$1=1,IFERROR(MATCH(L447,'03-آذار'!$L$2:$L$501,0),0),0))</f>
        <v/>
      </c>
      <c r="W447" t="str">
        <f t="shared" si="131"/>
        <v/>
      </c>
      <c r="X447" s="38" t="str">
        <f>IF(L447="","",IF(V447&gt;0,INDEX('03-آذار'!$P$2:$P$501,V447),IF($AO$1=1,0,"")))</f>
        <v/>
      </c>
      <c r="Y447" s="38" t="str">
        <f t="shared" si="132"/>
        <v/>
      </c>
      <c r="Z447" s="39" t="str">
        <f>IF(L447="","",IF(V447&gt;0,INDEX('03-آذار'!$Q$2:$Q$501,V447),IF($AO$1=1,0,"")))</f>
        <v/>
      </c>
      <c r="AA447" s="39" t="str">
        <f t="shared" si="133"/>
        <v/>
      </c>
      <c r="AB447" s="40" t="str">
        <f>IF(OR(L447="",V447=0),"",IF(AND(N(I447)&gt;0,N(INDEX('03-آذار'!$I$2:$I$501,V447))&gt;0,INDEX('03-آذار'!$F$2:$F$501,V447)=F447),N(I447)/N(INDEX('03-آذار'!$I$2:$I$501,V447))-1,""))</f>
        <v/>
      </c>
      <c r="AC447" t="str">
        <f>IF(L447="","",IF(AND($AO$2=1,ISNA(MATCH(L447,'05-أيار'!$L$2:$L$501,0))),"محذوف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IF(L448="","",IF($AO$1=1,IFERROR(MATCH(L448,'03-آذار'!$L$2:$L$501,0),0),0))</f>
        <v/>
      </c>
      <c r="W448" t="str">
        <f t="shared" si="131"/>
        <v/>
      </c>
      <c r="X448" s="38" t="str">
        <f>IF(L448="","",IF(V448&gt;0,INDEX('03-آذار'!$P$2:$P$501,V448),IF($AO$1=1,0,"")))</f>
        <v/>
      </c>
      <c r="Y448" s="38" t="str">
        <f t="shared" si="132"/>
        <v/>
      </c>
      <c r="Z448" s="39" t="str">
        <f>IF(L448="","",IF(V448&gt;0,INDEX('03-آذار'!$Q$2:$Q$501,V448),IF($AO$1=1,0,"")))</f>
        <v/>
      </c>
      <c r="AA448" s="39" t="str">
        <f t="shared" si="133"/>
        <v/>
      </c>
      <c r="AB448" s="40" t="str">
        <f>IF(OR(L448="",V448=0),"",IF(AND(N(I448)&gt;0,N(INDEX('03-آذار'!$I$2:$I$501,V448))&gt;0,INDEX('03-آذار'!$F$2:$F$501,V448)=F448),N(I448)/N(INDEX('03-آذار'!$I$2:$I$501,V448))-1,""))</f>
        <v/>
      </c>
      <c r="AC448" t="str">
        <f>IF(L448="","",IF(AND($AO$2=1,ISNA(MATCH(L448,'05-أيار'!$L$2:$L$501,0))),"محذوف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IF(L449="","",IF($AO$1=1,IFERROR(MATCH(L449,'03-آذار'!$L$2:$L$501,0),0),0))</f>
        <v/>
      </c>
      <c r="W449" t="str">
        <f t="shared" si="131"/>
        <v/>
      </c>
      <c r="X449" s="38" t="str">
        <f>IF(L449="","",IF(V449&gt;0,INDEX('03-آذار'!$P$2:$P$501,V449),IF($AO$1=1,0,"")))</f>
        <v/>
      </c>
      <c r="Y449" s="38" t="str">
        <f t="shared" si="132"/>
        <v/>
      </c>
      <c r="Z449" s="39" t="str">
        <f>IF(L449="","",IF(V449&gt;0,INDEX('03-آذار'!$Q$2:$Q$501,V449),IF($AO$1=1,0,"")))</f>
        <v/>
      </c>
      <c r="AA449" s="39" t="str">
        <f t="shared" si="133"/>
        <v/>
      </c>
      <c r="AB449" s="40" t="str">
        <f>IF(OR(L449="",V449=0),"",IF(AND(N(I449)&gt;0,N(INDEX('03-آذار'!$I$2:$I$501,V449))&gt;0,INDEX('03-آذار'!$F$2:$F$501,V449)=F449),N(I449)/N(INDEX('03-آذار'!$I$2:$I$501,V449))-1,""))</f>
        <v/>
      </c>
      <c r="AC449" t="str">
        <f>IF(L449="","",IF(AND($AO$2=1,ISNA(MATCH(L449,'05-أيار'!$L$2:$L$501,0))),"محذوف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IF(L450="","",IF($AO$1=1,IFERROR(MATCH(L450,'03-آذار'!$L$2:$L$501,0),0),0))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IF(L450="","",IF(V450&gt;0,INDEX('03-آذار'!$P$2:$P$501,V450),IF($AO$1=1,0,"")))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IF(L450="","",IF(V450&gt;0,INDEX('03-آذار'!$Q$2:$Q$501,V450),IF($AO$1=1,0,"")))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IF(OR(L450="",V450=0),"",IF(AND(N(I450)&gt;0,N(INDEX('03-آذار'!$I$2:$I$501,V450))&gt;0,INDEX('03-آذار'!$F$2:$F$501,V450)=F450),N(I450)/N(INDEX('03-آذار'!$I$2:$I$501,V450))-1,""))</f>
        <v/>
      </c>
      <c r="AC450" t="str">
        <f>IF(L450="","",IF(AND($AO$2=1,ISNA(MATCH(L450,'05-أيار'!$L$2:$L$501,0))),"محذوف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IF(L451="","",IF($AO$1=1,IFERROR(MATCH(L451,'03-آذار'!$L$2:$L$501,0),0),0))</f>
        <v/>
      </c>
      <c r="W451" t="str">
        <f t="shared" si="151"/>
        <v/>
      </c>
      <c r="X451" s="38" t="str">
        <f>IF(L451="","",IF(V451&gt;0,INDEX('03-آذار'!$P$2:$P$501,V451),IF($AO$1=1,0,"")))</f>
        <v/>
      </c>
      <c r="Y451" s="38" t="str">
        <f t="shared" si="152"/>
        <v/>
      </c>
      <c r="Z451" s="39" t="str">
        <f>IF(L451="","",IF(V451&gt;0,INDEX('03-آذار'!$Q$2:$Q$501,V451),IF($AO$1=1,0,"")))</f>
        <v/>
      </c>
      <c r="AA451" s="39" t="str">
        <f t="shared" si="153"/>
        <v/>
      </c>
      <c r="AB451" s="40" t="str">
        <f>IF(OR(L451="",V451=0),"",IF(AND(N(I451)&gt;0,N(INDEX('03-آذار'!$I$2:$I$501,V451))&gt;0,INDEX('03-آذار'!$F$2:$F$501,V451)=F451),N(I451)/N(INDEX('03-آذار'!$I$2:$I$501,V451))-1,""))</f>
        <v/>
      </c>
      <c r="AC451" t="str">
        <f>IF(L451="","",IF(AND($AO$2=1,ISNA(MATCH(L451,'05-أيار'!$L$2:$L$501,0))),"محذوف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IF(L452="","",IF($AO$1=1,IFERROR(MATCH(L452,'03-آذار'!$L$2:$L$501,0),0),0))</f>
        <v/>
      </c>
      <c r="W452" t="str">
        <f t="shared" si="151"/>
        <v/>
      </c>
      <c r="X452" s="38" t="str">
        <f>IF(L452="","",IF(V452&gt;0,INDEX('03-آذار'!$P$2:$P$501,V452),IF($AO$1=1,0,"")))</f>
        <v/>
      </c>
      <c r="Y452" s="38" t="str">
        <f t="shared" si="152"/>
        <v/>
      </c>
      <c r="Z452" s="39" t="str">
        <f>IF(L452="","",IF(V452&gt;0,INDEX('03-آذار'!$Q$2:$Q$501,V452),IF($AO$1=1,0,"")))</f>
        <v/>
      </c>
      <c r="AA452" s="39" t="str">
        <f t="shared" si="153"/>
        <v/>
      </c>
      <c r="AB452" s="40" t="str">
        <f>IF(OR(L452="",V452=0),"",IF(AND(N(I452)&gt;0,N(INDEX('03-آذار'!$I$2:$I$501,V452))&gt;0,INDEX('03-آذار'!$F$2:$F$501,V452)=F452),N(I452)/N(INDEX('03-آذار'!$I$2:$I$501,V452))-1,""))</f>
        <v/>
      </c>
      <c r="AC452" t="str">
        <f>IF(L452="","",IF(AND($AO$2=1,ISNA(MATCH(L452,'05-أيار'!$L$2:$L$501,0))),"محذوف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IF(L453="","",IF($AO$1=1,IFERROR(MATCH(L453,'03-آذار'!$L$2:$L$501,0),0),0))</f>
        <v/>
      </c>
      <c r="W453" t="str">
        <f t="shared" si="151"/>
        <v/>
      </c>
      <c r="X453" s="38" t="str">
        <f>IF(L453="","",IF(V453&gt;0,INDEX('03-آذار'!$P$2:$P$501,V453),IF($AO$1=1,0,"")))</f>
        <v/>
      </c>
      <c r="Y453" s="38" t="str">
        <f t="shared" si="152"/>
        <v/>
      </c>
      <c r="Z453" s="39" t="str">
        <f>IF(L453="","",IF(V453&gt;0,INDEX('03-آذار'!$Q$2:$Q$501,V453),IF($AO$1=1,0,"")))</f>
        <v/>
      </c>
      <c r="AA453" s="39" t="str">
        <f t="shared" si="153"/>
        <v/>
      </c>
      <c r="AB453" s="40" t="str">
        <f>IF(OR(L453="",V453=0),"",IF(AND(N(I453)&gt;0,N(INDEX('03-آذار'!$I$2:$I$501,V453))&gt;0,INDEX('03-آذار'!$F$2:$F$501,V453)=F453),N(I453)/N(INDEX('03-آذار'!$I$2:$I$501,V453))-1,""))</f>
        <v/>
      </c>
      <c r="AC453" t="str">
        <f>IF(L453="","",IF(AND($AO$2=1,ISNA(MATCH(L453,'05-أيار'!$L$2:$L$501,0))),"محذوف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IF(L454="","",IF($AO$1=1,IFERROR(MATCH(L454,'03-آذار'!$L$2:$L$501,0),0),0))</f>
        <v/>
      </c>
      <c r="W454" t="str">
        <f t="shared" si="151"/>
        <v/>
      </c>
      <c r="X454" s="38" t="str">
        <f>IF(L454="","",IF(V454&gt;0,INDEX('03-آذار'!$P$2:$P$501,V454),IF($AO$1=1,0,"")))</f>
        <v/>
      </c>
      <c r="Y454" s="38" t="str">
        <f t="shared" si="152"/>
        <v/>
      </c>
      <c r="Z454" s="39" t="str">
        <f>IF(L454="","",IF(V454&gt;0,INDEX('03-آذار'!$Q$2:$Q$501,V454),IF($AO$1=1,0,"")))</f>
        <v/>
      </c>
      <c r="AA454" s="39" t="str">
        <f t="shared" si="153"/>
        <v/>
      </c>
      <c r="AB454" s="40" t="str">
        <f>IF(OR(L454="",V454=0),"",IF(AND(N(I454)&gt;0,N(INDEX('03-آذار'!$I$2:$I$501,V454))&gt;0,INDEX('03-آذار'!$F$2:$F$501,V454)=F454),N(I454)/N(INDEX('03-آذار'!$I$2:$I$501,V454))-1,""))</f>
        <v/>
      </c>
      <c r="AC454" t="str">
        <f>IF(L454="","",IF(AND($AO$2=1,ISNA(MATCH(L454,'05-أيار'!$L$2:$L$501,0))),"محذوف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IF(L455="","",IF($AO$1=1,IFERROR(MATCH(L455,'03-آذار'!$L$2:$L$501,0),0),0))</f>
        <v/>
      </c>
      <c r="W455" t="str">
        <f t="shared" si="151"/>
        <v/>
      </c>
      <c r="X455" s="38" t="str">
        <f>IF(L455="","",IF(V455&gt;0,INDEX('03-آذار'!$P$2:$P$501,V455),IF($AO$1=1,0,"")))</f>
        <v/>
      </c>
      <c r="Y455" s="38" t="str">
        <f t="shared" si="152"/>
        <v/>
      </c>
      <c r="Z455" s="39" t="str">
        <f>IF(L455="","",IF(V455&gt;0,INDEX('03-آذار'!$Q$2:$Q$501,V455),IF($AO$1=1,0,"")))</f>
        <v/>
      </c>
      <c r="AA455" s="39" t="str">
        <f t="shared" si="153"/>
        <v/>
      </c>
      <c r="AB455" s="40" t="str">
        <f>IF(OR(L455="",V455=0),"",IF(AND(N(I455)&gt;0,N(INDEX('03-آذار'!$I$2:$I$501,V455))&gt;0,INDEX('03-آذار'!$F$2:$F$501,V455)=F455),N(I455)/N(INDEX('03-آذار'!$I$2:$I$501,V455))-1,""))</f>
        <v/>
      </c>
      <c r="AC455" t="str">
        <f>IF(L455="","",IF(AND($AO$2=1,ISNA(MATCH(L455,'05-أيار'!$L$2:$L$501,0))),"محذوف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IF(L456="","",IF($AO$1=1,IFERROR(MATCH(L456,'03-آذار'!$L$2:$L$501,0),0),0))</f>
        <v/>
      </c>
      <c r="W456" t="str">
        <f t="shared" si="151"/>
        <v/>
      </c>
      <c r="X456" s="38" t="str">
        <f>IF(L456="","",IF(V456&gt;0,INDEX('03-آذار'!$P$2:$P$501,V456),IF($AO$1=1,0,"")))</f>
        <v/>
      </c>
      <c r="Y456" s="38" t="str">
        <f t="shared" si="152"/>
        <v/>
      </c>
      <c r="Z456" s="39" t="str">
        <f>IF(L456="","",IF(V456&gt;0,INDEX('03-آذار'!$Q$2:$Q$501,V456),IF($AO$1=1,0,"")))</f>
        <v/>
      </c>
      <c r="AA456" s="39" t="str">
        <f t="shared" si="153"/>
        <v/>
      </c>
      <c r="AB456" s="40" t="str">
        <f>IF(OR(L456="",V456=0),"",IF(AND(N(I456)&gt;0,N(INDEX('03-آذار'!$I$2:$I$501,V456))&gt;0,INDEX('03-آذار'!$F$2:$F$501,V456)=F456),N(I456)/N(INDEX('03-آذار'!$I$2:$I$501,V456))-1,""))</f>
        <v/>
      </c>
      <c r="AC456" t="str">
        <f>IF(L456="","",IF(AND($AO$2=1,ISNA(MATCH(L456,'05-أيار'!$L$2:$L$501,0))),"محذوف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IF(L457="","",IF($AO$1=1,IFERROR(MATCH(L457,'03-آذار'!$L$2:$L$501,0),0),0))</f>
        <v/>
      </c>
      <c r="W457" t="str">
        <f t="shared" si="151"/>
        <v/>
      </c>
      <c r="X457" s="38" t="str">
        <f>IF(L457="","",IF(V457&gt;0,INDEX('03-آذار'!$P$2:$P$501,V457),IF($AO$1=1,0,"")))</f>
        <v/>
      </c>
      <c r="Y457" s="38" t="str">
        <f t="shared" si="152"/>
        <v/>
      </c>
      <c r="Z457" s="39" t="str">
        <f>IF(L457="","",IF(V457&gt;0,INDEX('03-آذار'!$Q$2:$Q$501,V457),IF($AO$1=1,0,"")))</f>
        <v/>
      </c>
      <c r="AA457" s="39" t="str">
        <f t="shared" si="153"/>
        <v/>
      </c>
      <c r="AB457" s="40" t="str">
        <f>IF(OR(L457="",V457=0),"",IF(AND(N(I457)&gt;0,N(INDEX('03-آذار'!$I$2:$I$501,V457))&gt;0,INDEX('03-آذار'!$F$2:$F$501,V457)=F457),N(I457)/N(INDEX('03-آذار'!$I$2:$I$501,V457))-1,""))</f>
        <v/>
      </c>
      <c r="AC457" t="str">
        <f>IF(L457="","",IF(AND($AO$2=1,ISNA(MATCH(L457,'05-أيار'!$L$2:$L$501,0))),"محذوف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IF(L458="","",IF($AO$1=1,IFERROR(MATCH(L458,'03-آذار'!$L$2:$L$501,0),0),0))</f>
        <v/>
      </c>
      <c r="W458" t="str">
        <f t="shared" si="151"/>
        <v/>
      </c>
      <c r="X458" s="38" t="str">
        <f>IF(L458="","",IF(V458&gt;0,INDEX('03-آذار'!$P$2:$P$501,V458),IF($AO$1=1,0,"")))</f>
        <v/>
      </c>
      <c r="Y458" s="38" t="str">
        <f t="shared" si="152"/>
        <v/>
      </c>
      <c r="Z458" s="39" t="str">
        <f>IF(L458="","",IF(V458&gt;0,INDEX('03-آذار'!$Q$2:$Q$501,V458),IF($AO$1=1,0,"")))</f>
        <v/>
      </c>
      <c r="AA458" s="39" t="str">
        <f t="shared" si="153"/>
        <v/>
      </c>
      <c r="AB458" s="40" t="str">
        <f>IF(OR(L458="",V458=0),"",IF(AND(N(I458)&gt;0,N(INDEX('03-آذار'!$I$2:$I$501,V458))&gt;0,INDEX('03-آذار'!$F$2:$F$501,V458)=F458),N(I458)/N(INDEX('03-آذار'!$I$2:$I$501,V458))-1,""))</f>
        <v/>
      </c>
      <c r="AC458" t="str">
        <f>IF(L458="","",IF(AND($AO$2=1,ISNA(MATCH(L458,'05-أيار'!$L$2:$L$501,0))),"محذوف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IF(L459="","",IF($AO$1=1,IFERROR(MATCH(L459,'03-آذار'!$L$2:$L$501,0),0),0))</f>
        <v/>
      </c>
      <c r="W459" t="str">
        <f t="shared" si="151"/>
        <v/>
      </c>
      <c r="X459" s="38" t="str">
        <f>IF(L459="","",IF(V459&gt;0,INDEX('03-آذار'!$P$2:$P$501,V459),IF($AO$1=1,0,"")))</f>
        <v/>
      </c>
      <c r="Y459" s="38" t="str">
        <f t="shared" si="152"/>
        <v/>
      </c>
      <c r="Z459" s="39" t="str">
        <f>IF(L459="","",IF(V459&gt;0,INDEX('03-آذار'!$Q$2:$Q$501,V459),IF($AO$1=1,0,"")))</f>
        <v/>
      </c>
      <c r="AA459" s="39" t="str">
        <f t="shared" si="153"/>
        <v/>
      </c>
      <c r="AB459" s="40" t="str">
        <f>IF(OR(L459="",V459=0),"",IF(AND(N(I459)&gt;0,N(INDEX('03-آذار'!$I$2:$I$501,V459))&gt;0,INDEX('03-آذار'!$F$2:$F$501,V459)=F459),N(I459)/N(INDEX('03-آذار'!$I$2:$I$501,V459))-1,""))</f>
        <v/>
      </c>
      <c r="AC459" t="str">
        <f>IF(L459="","",IF(AND($AO$2=1,ISNA(MATCH(L459,'05-أيار'!$L$2:$L$501,0))),"محذوف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IF(L460="","",IF($AO$1=1,IFERROR(MATCH(L460,'03-آذار'!$L$2:$L$501,0),0),0))</f>
        <v/>
      </c>
      <c r="W460" t="str">
        <f t="shared" si="151"/>
        <v/>
      </c>
      <c r="X460" s="38" t="str">
        <f>IF(L460="","",IF(V460&gt;0,INDEX('03-آذار'!$P$2:$P$501,V460),IF($AO$1=1,0,"")))</f>
        <v/>
      </c>
      <c r="Y460" s="38" t="str">
        <f t="shared" si="152"/>
        <v/>
      </c>
      <c r="Z460" s="39" t="str">
        <f>IF(L460="","",IF(V460&gt;0,INDEX('03-آذار'!$Q$2:$Q$501,V460),IF($AO$1=1,0,"")))</f>
        <v/>
      </c>
      <c r="AA460" s="39" t="str">
        <f t="shared" si="153"/>
        <v/>
      </c>
      <c r="AB460" s="40" t="str">
        <f>IF(OR(L460="",V460=0),"",IF(AND(N(I460)&gt;0,N(INDEX('03-آذار'!$I$2:$I$501,V460))&gt;0,INDEX('03-آذار'!$F$2:$F$501,V460)=F460),N(I460)/N(INDEX('03-آذار'!$I$2:$I$501,V460))-1,""))</f>
        <v/>
      </c>
      <c r="AC460" t="str">
        <f>IF(L460="","",IF(AND($AO$2=1,ISNA(MATCH(L460,'05-أيار'!$L$2:$L$501,0))),"محذوف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IF(L461="","",IF($AO$1=1,IFERROR(MATCH(L461,'03-آذار'!$L$2:$L$501,0),0),0))</f>
        <v/>
      </c>
      <c r="W461" t="str">
        <f t="shared" si="151"/>
        <v/>
      </c>
      <c r="X461" s="38" t="str">
        <f>IF(L461="","",IF(V461&gt;0,INDEX('03-آذار'!$P$2:$P$501,V461),IF($AO$1=1,0,"")))</f>
        <v/>
      </c>
      <c r="Y461" s="38" t="str">
        <f t="shared" si="152"/>
        <v/>
      </c>
      <c r="Z461" s="39" t="str">
        <f>IF(L461="","",IF(V461&gt;0,INDEX('03-آذار'!$Q$2:$Q$501,V461),IF($AO$1=1,0,"")))</f>
        <v/>
      </c>
      <c r="AA461" s="39" t="str">
        <f t="shared" si="153"/>
        <v/>
      </c>
      <c r="AB461" s="40" t="str">
        <f>IF(OR(L461="",V461=0),"",IF(AND(N(I461)&gt;0,N(INDEX('03-آذار'!$I$2:$I$501,V461))&gt;0,INDEX('03-آذار'!$F$2:$F$501,V461)=F461),N(I461)/N(INDEX('03-آذار'!$I$2:$I$501,V461))-1,""))</f>
        <v/>
      </c>
      <c r="AC461" t="str">
        <f>IF(L461="","",IF(AND($AO$2=1,ISNA(MATCH(L461,'05-أيار'!$L$2:$L$501,0))),"محذوف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IF(L462="","",IF($AO$1=1,IFERROR(MATCH(L462,'03-آذار'!$L$2:$L$501,0),0),0))</f>
        <v/>
      </c>
      <c r="W462" t="str">
        <f t="shared" si="151"/>
        <v/>
      </c>
      <c r="X462" s="38" t="str">
        <f>IF(L462="","",IF(V462&gt;0,INDEX('03-آذار'!$P$2:$P$501,V462),IF($AO$1=1,0,"")))</f>
        <v/>
      </c>
      <c r="Y462" s="38" t="str">
        <f t="shared" si="152"/>
        <v/>
      </c>
      <c r="Z462" s="39" t="str">
        <f>IF(L462="","",IF(V462&gt;0,INDEX('03-آذار'!$Q$2:$Q$501,V462),IF($AO$1=1,0,"")))</f>
        <v/>
      </c>
      <c r="AA462" s="39" t="str">
        <f t="shared" si="153"/>
        <v/>
      </c>
      <c r="AB462" s="40" t="str">
        <f>IF(OR(L462="",V462=0),"",IF(AND(N(I462)&gt;0,N(INDEX('03-آذار'!$I$2:$I$501,V462))&gt;0,INDEX('03-آذار'!$F$2:$F$501,V462)=F462),N(I462)/N(INDEX('03-آذار'!$I$2:$I$501,V462))-1,""))</f>
        <v/>
      </c>
      <c r="AC462" t="str">
        <f>IF(L462="","",IF(AND($AO$2=1,ISNA(MATCH(L462,'05-أيار'!$L$2:$L$501,0))),"محذوف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IF(L463="","",IF($AO$1=1,IFERROR(MATCH(L463,'03-آذار'!$L$2:$L$501,0),0),0))</f>
        <v/>
      </c>
      <c r="W463" t="str">
        <f t="shared" si="151"/>
        <v/>
      </c>
      <c r="X463" s="38" t="str">
        <f>IF(L463="","",IF(V463&gt;0,INDEX('03-آذار'!$P$2:$P$501,V463),IF($AO$1=1,0,"")))</f>
        <v/>
      </c>
      <c r="Y463" s="38" t="str">
        <f t="shared" si="152"/>
        <v/>
      </c>
      <c r="Z463" s="39" t="str">
        <f>IF(L463="","",IF(V463&gt;0,INDEX('03-آذار'!$Q$2:$Q$501,V463),IF($AO$1=1,0,"")))</f>
        <v/>
      </c>
      <c r="AA463" s="39" t="str">
        <f t="shared" si="153"/>
        <v/>
      </c>
      <c r="AB463" s="40" t="str">
        <f>IF(OR(L463="",V463=0),"",IF(AND(N(I463)&gt;0,N(INDEX('03-آذار'!$I$2:$I$501,V463))&gt;0,INDEX('03-آذار'!$F$2:$F$501,V463)=F463),N(I463)/N(INDEX('03-آذار'!$I$2:$I$501,V463))-1,""))</f>
        <v/>
      </c>
      <c r="AC463" t="str">
        <f>IF(L463="","",IF(AND($AO$2=1,ISNA(MATCH(L463,'05-أيار'!$L$2:$L$501,0))),"محذوف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IF(L464="","",IF($AO$1=1,IFERROR(MATCH(L464,'03-آذار'!$L$2:$L$501,0),0),0))</f>
        <v/>
      </c>
      <c r="W464" t="str">
        <f t="shared" si="151"/>
        <v/>
      </c>
      <c r="X464" s="38" t="str">
        <f>IF(L464="","",IF(V464&gt;0,INDEX('03-آذار'!$P$2:$P$501,V464),IF($AO$1=1,0,"")))</f>
        <v/>
      </c>
      <c r="Y464" s="38" t="str">
        <f t="shared" si="152"/>
        <v/>
      </c>
      <c r="Z464" s="39" t="str">
        <f>IF(L464="","",IF(V464&gt;0,INDEX('03-آذار'!$Q$2:$Q$501,V464),IF($AO$1=1,0,"")))</f>
        <v/>
      </c>
      <c r="AA464" s="39" t="str">
        <f t="shared" si="153"/>
        <v/>
      </c>
      <c r="AB464" s="40" t="str">
        <f>IF(OR(L464="",V464=0),"",IF(AND(N(I464)&gt;0,N(INDEX('03-آذار'!$I$2:$I$501,V464))&gt;0,INDEX('03-آذار'!$F$2:$F$501,V464)=F464),N(I464)/N(INDEX('03-آذار'!$I$2:$I$501,V464))-1,""))</f>
        <v/>
      </c>
      <c r="AC464" t="str">
        <f>IF(L464="","",IF(AND($AO$2=1,ISNA(MATCH(L464,'05-أيار'!$L$2:$L$501,0))),"محذوف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IF(L465="","",IF($AO$1=1,IFERROR(MATCH(L465,'03-آذار'!$L$2:$L$501,0),0),0))</f>
        <v/>
      </c>
      <c r="W465" t="str">
        <f t="shared" si="151"/>
        <v/>
      </c>
      <c r="X465" s="38" t="str">
        <f>IF(L465="","",IF(V465&gt;0,INDEX('03-آذار'!$P$2:$P$501,V465),IF($AO$1=1,0,"")))</f>
        <v/>
      </c>
      <c r="Y465" s="38" t="str">
        <f t="shared" si="152"/>
        <v/>
      </c>
      <c r="Z465" s="39" t="str">
        <f>IF(L465="","",IF(V465&gt;0,INDEX('03-آذار'!$Q$2:$Q$501,V465),IF($AO$1=1,0,"")))</f>
        <v/>
      </c>
      <c r="AA465" s="39" t="str">
        <f t="shared" si="153"/>
        <v/>
      </c>
      <c r="AB465" s="40" t="str">
        <f>IF(OR(L465="",V465=0),"",IF(AND(N(I465)&gt;0,N(INDEX('03-آذار'!$I$2:$I$501,V465))&gt;0,INDEX('03-آذار'!$F$2:$F$501,V465)=F465),N(I465)/N(INDEX('03-آذار'!$I$2:$I$501,V465))-1,""))</f>
        <v/>
      </c>
      <c r="AC465" t="str">
        <f>IF(L465="","",IF(AND($AO$2=1,ISNA(MATCH(L465,'05-أيار'!$L$2:$L$501,0))),"محذوف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IF(L466="","",IF($AO$1=1,IFERROR(MATCH(L466,'03-آذار'!$L$2:$L$501,0),0),0))</f>
        <v/>
      </c>
      <c r="W466" t="str">
        <f t="shared" si="151"/>
        <v/>
      </c>
      <c r="X466" s="38" t="str">
        <f>IF(L466="","",IF(V466&gt;0,INDEX('03-آذار'!$P$2:$P$501,V466),IF($AO$1=1,0,"")))</f>
        <v/>
      </c>
      <c r="Y466" s="38" t="str">
        <f t="shared" si="152"/>
        <v/>
      </c>
      <c r="Z466" s="39" t="str">
        <f>IF(L466="","",IF(V466&gt;0,INDEX('03-آذار'!$Q$2:$Q$501,V466),IF($AO$1=1,0,"")))</f>
        <v/>
      </c>
      <c r="AA466" s="39" t="str">
        <f t="shared" si="153"/>
        <v/>
      </c>
      <c r="AB466" s="40" t="str">
        <f>IF(OR(L466="",V466=0),"",IF(AND(N(I466)&gt;0,N(INDEX('03-آذار'!$I$2:$I$501,V466))&gt;0,INDEX('03-آذار'!$F$2:$F$501,V466)=F466),N(I466)/N(INDEX('03-آذار'!$I$2:$I$501,V466))-1,""))</f>
        <v/>
      </c>
      <c r="AC466" t="str">
        <f>IF(L466="","",IF(AND($AO$2=1,ISNA(MATCH(L466,'05-أيار'!$L$2:$L$501,0))),"محذوف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IF(L467="","",IF($AO$1=1,IFERROR(MATCH(L467,'03-آذار'!$L$2:$L$501,0),0),0))</f>
        <v/>
      </c>
      <c r="W467" t="str">
        <f t="shared" si="151"/>
        <v/>
      </c>
      <c r="X467" s="38" t="str">
        <f>IF(L467="","",IF(V467&gt;0,INDEX('03-آذار'!$P$2:$P$501,V467),IF($AO$1=1,0,"")))</f>
        <v/>
      </c>
      <c r="Y467" s="38" t="str">
        <f t="shared" si="152"/>
        <v/>
      </c>
      <c r="Z467" s="39" t="str">
        <f>IF(L467="","",IF(V467&gt;0,INDEX('03-آذار'!$Q$2:$Q$501,V467),IF($AO$1=1,0,"")))</f>
        <v/>
      </c>
      <c r="AA467" s="39" t="str">
        <f t="shared" si="153"/>
        <v/>
      </c>
      <c r="AB467" s="40" t="str">
        <f>IF(OR(L467="",V467=0),"",IF(AND(N(I467)&gt;0,N(INDEX('03-آذار'!$I$2:$I$501,V467))&gt;0,INDEX('03-آذار'!$F$2:$F$501,V467)=F467),N(I467)/N(INDEX('03-آذار'!$I$2:$I$501,V467))-1,""))</f>
        <v/>
      </c>
      <c r="AC467" t="str">
        <f>IF(L467="","",IF(AND($AO$2=1,ISNA(MATCH(L467,'05-أيار'!$L$2:$L$501,0))),"محذوف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IF(L468="","",IF($AO$1=1,IFERROR(MATCH(L468,'03-آذار'!$L$2:$L$501,0),0),0))</f>
        <v/>
      </c>
      <c r="W468" t="str">
        <f t="shared" si="151"/>
        <v/>
      </c>
      <c r="X468" s="38" t="str">
        <f>IF(L468="","",IF(V468&gt;0,INDEX('03-آذار'!$P$2:$P$501,V468),IF($AO$1=1,0,"")))</f>
        <v/>
      </c>
      <c r="Y468" s="38" t="str">
        <f t="shared" si="152"/>
        <v/>
      </c>
      <c r="Z468" s="39" t="str">
        <f>IF(L468="","",IF(V468&gt;0,INDEX('03-آذار'!$Q$2:$Q$501,V468),IF($AO$1=1,0,"")))</f>
        <v/>
      </c>
      <c r="AA468" s="39" t="str">
        <f t="shared" si="153"/>
        <v/>
      </c>
      <c r="AB468" s="40" t="str">
        <f>IF(OR(L468="",V468=0),"",IF(AND(N(I468)&gt;0,N(INDEX('03-آذار'!$I$2:$I$501,V468))&gt;0,INDEX('03-آذار'!$F$2:$F$501,V468)=F468),N(I468)/N(INDEX('03-آذار'!$I$2:$I$501,V468))-1,""))</f>
        <v/>
      </c>
      <c r="AC468" t="str">
        <f>IF(L468="","",IF(AND($AO$2=1,ISNA(MATCH(L468,'05-أيار'!$L$2:$L$501,0))),"محذوف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IF(L469="","",IF($AO$1=1,IFERROR(MATCH(L469,'03-آذار'!$L$2:$L$501,0),0),0))</f>
        <v/>
      </c>
      <c r="W469" t="str">
        <f t="shared" si="151"/>
        <v/>
      </c>
      <c r="X469" s="38" t="str">
        <f>IF(L469="","",IF(V469&gt;0,INDEX('03-آذار'!$P$2:$P$501,V469),IF($AO$1=1,0,"")))</f>
        <v/>
      </c>
      <c r="Y469" s="38" t="str">
        <f t="shared" si="152"/>
        <v/>
      </c>
      <c r="Z469" s="39" t="str">
        <f>IF(L469="","",IF(V469&gt;0,INDEX('03-آذار'!$Q$2:$Q$501,V469),IF($AO$1=1,0,"")))</f>
        <v/>
      </c>
      <c r="AA469" s="39" t="str">
        <f t="shared" si="153"/>
        <v/>
      </c>
      <c r="AB469" s="40" t="str">
        <f>IF(OR(L469="",V469=0),"",IF(AND(N(I469)&gt;0,N(INDEX('03-آذار'!$I$2:$I$501,V469))&gt;0,INDEX('03-آذار'!$F$2:$F$501,V469)=F469),N(I469)/N(INDEX('03-آذار'!$I$2:$I$501,V469))-1,""))</f>
        <v/>
      </c>
      <c r="AC469" t="str">
        <f>IF(L469="","",IF(AND($AO$2=1,ISNA(MATCH(L469,'05-أيار'!$L$2:$L$501,0))),"محذوف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IF(L470="","",IF($AO$1=1,IFERROR(MATCH(L470,'03-آذار'!$L$2:$L$501,0),0),0))</f>
        <v/>
      </c>
      <c r="W470" t="str">
        <f t="shared" si="151"/>
        <v/>
      </c>
      <c r="X470" s="38" t="str">
        <f>IF(L470="","",IF(V470&gt;0,INDEX('03-آذار'!$P$2:$P$501,V470),IF($AO$1=1,0,"")))</f>
        <v/>
      </c>
      <c r="Y470" s="38" t="str">
        <f t="shared" si="152"/>
        <v/>
      </c>
      <c r="Z470" s="39" t="str">
        <f>IF(L470="","",IF(V470&gt;0,INDEX('03-آذار'!$Q$2:$Q$501,V470),IF($AO$1=1,0,"")))</f>
        <v/>
      </c>
      <c r="AA470" s="39" t="str">
        <f t="shared" si="153"/>
        <v/>
      </c>
      <c r="AB470" s="40" t="str">
        <f>IF(OR(L470="",V470=0),"",IF(AND(N(I470)&gt;0,N(INDEX('03-آذار'!$I$2:$I$501,V470))&gt;0,INDEX('03-آذار'!$F$2:$F$501,V470)=F470),N(I470)/N(INDEX('03-آذار'!$I$2:$I$501,V470))-1,""))</f>
        <v/>
      </c>
      <c r="AC470" t="str">
        <f>IF(L470="","",IF(AND($AO$2=1,ISNA(MATCH(L470,'05-أيار'!$L$2:$L$501,0))),"محذوف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IF(L471="","",IF($AO$1=1,IFERROR(MATCH(L471,'03-آذار'!$L$2:$L$501,0),0),0))</f>
        <v/>
      </c>
      <c r="W471" t="str">
        <f t="shared" si="151"/>
        <v/>
      </c>
      <c r="X471" s="38" t="str">
        <f>IF(L471="","",IF(V471&gt;0,INDEX('03-آذار'!$P$2:$P$501,V471),IF($AO$1=1,0,"")))</f>
        <v/>
      </c>
      <c r="Y471" s="38" t="str">
        <f t="shared" si="152"/>
        <v/>
      </c>
      <c r="Z471" s="39" t="str">
        <f>IF(L471="","",IF(V471&gt;0,INDEX('03-آذار'!$Q$2:$Q$501,V471),IF($AO$1=1,0,"")))</f>
        <v/>
      </c>
      <c r="AA471" s="39" t="str">
        <f t="shared" si="153"/>
        <v/>
      </c>
      <c r="AB471" s="40" t="str">
        <f>IF(OR(L471="",V471=0),"",IF(AND(N(I471)&gt;0,N(INDEX('03-آذار'!$I$2:$I$501,V471))&gt;0,INDEX('03-آذار'!$F$2:$F$501,V471)=F471),N(I471)/N(INDEX('03-آذار'!$I$2:$I$501,V471))-1,""))</f>
        <v/>
      </c>
      <c r="AC471" t="str">
        <f>IF(L471="","",IF(AND($AO$2=1,ISNA(MATCH(L471,'05-أيار'!$L$2:$L$501,0))),"محذوف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IF(L472="","",IF($AO$1=1,IFERROR(MATCH(L472,'03-آذار'!$L$2:$L$501,0),0),0))</f>
        <v/>
      </c>
      <c r="W472" t="str">
        <f t="shared" si="151"/>
        <v/>
      </c>
      <c r="X472" s="38" t="str">
        <f>IF(L472="","",IF(V472&gt;0,INDEX('03-آذار'!$P$2:$P$501,V472),IF($AO$1=1,0,"")))</f>
        <v/>
      </c>
      <c r="Y472" s="38" t="str">
        <f t="shared" si="152"/>
        <v/>
      </c>
      <c r="Z472" s="39" t="str">
        <f>IF(L472="","",IF(V472&gt;0,INDEX('03-آذار'!$Q$2:$Q$501,V472),IF($AO$1=1,0,"")))</f>
        <v/>
      </c>
      <c r="AA472" s="39" t="str">
        <f t="shared" si="153"/>
        <v/>
      </c>
      <c r="AB472" s="40" t="str">
        <f>IF(OR(L472="",V472=0),"",IF(AND(N(I472)&gt;0,N(INDEX('03-آذار'!$I$2:$I$501,V472))&gt;0,INDEX('03-آذار'!$F$2:$F$501,V472)=F472),N(I472)/N(INDEX('03-آذار'!$I$2:$I$501,V472))-1,""))</f>
        <v/>
      </c>
      <c r="AC472" t="str">
        <f>IF(L472="","",IF(AND($AO$2=1,ISNA(MATCH(L472,'05-أيار'!$L$2:$L$501,0))),"محذوف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IF(L473="","",IF($AO$1=1,IFERROR(MATCH(L473,'03-آذار'!$L$2:$L$501,0),0),0))</f>
        <v/>
      </c>
      <c r="W473" t="str">
        <f t="shared" si="151"/>
        <v/>
      </c>
      <c r="X473" s="38" t="str">
        <f>IF(L473="","",IF(V473&gt;0,INDEX('03-آذار'!$P$2:$P$501,V473),IF($AO$1=1,0,"")))</f>
        <v/>
      </c>
      <c r="Y473" s="38" t="str">
        <f t="shared" si="152"/>
        <v/>
      </c>
      <c r="Z473" s="39" t="str">
        <f>IF(L473="","",IF(V473&gt;0,INDEX('03-آذار'!$Q$2:$Q$501,V473),IF($AO$1=1,0,"")))</f>
        <v/>
      </c>
      <c r="AA473" s="39" t="str">
        <f t="shared" si="153"/>
        <v/>
      </c>
      <c r="AB473" s="40" t="str">
        <f>IF(OR(L473="",V473=0),"",IF(AND(N(I473)&gt;0,N(INDEX('03-آذار'!$I$2:$I$501,V473))&gt;0,INDEX('03-آذار'!$F$2:$F$501,V473)=F473),N(I473)/N(INDEX('03-آذار'!$I$2:$I$501,V473))-1,""))</f>
        <v/>
      </c>
      <c r="AC473" t="str">
        <f>IF(L473="","",IF(AND($AO$2=1,ISNA(MATCH(L473,'05-أيار'!$L$2:$L$501,0))),"محذوف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IF(L474="","",IF($AO$1=1,IFERROR(MATCH(L474,'03-آذار'!$L$2:$L$501,0),0),0))</f>
        <v/>
      </c>
      <c r="W474" t="str">
        <f t="shared" si="151"/>
        <v/>
      </c>
      <c r="X474" s="38" t="str">
        <f>IF(L474="","",IF(V474&gt;0,INDEX('03-آذار'!$P$2:$P$501,V474),IF($AO$1=1,0,"")))</f>
        <v/>
      </c>
      <c r="Y474" s="38" t="str">
        <f t="shared" si="152"/>
        <v/>
      </c>
      <c r="Z474" s="39" t="str">
        <f>IF(L474="","",IF(V474&gt;0,INDEX('03-آذار'!$Q$2:$Q$501,V474),IF($AO$1=1,0,"")))</f>
        <v/>
      </c>
      <c r="AA474" s="39" t="str">
        <f t="shared" si="153"/>
        <v/>
      </c>
      <c r="AB474" s="40" t="str">
        <f>IF(OR(L474="",V474=0),"",IF(AND(N(I474)&gt;0,N(INDEX('03-آذار'!$I$2:$I$501,V474))&gt;0,INDEX('03-آذار'!$F$2:$F$501,V474)=F474),N(I474)/N(INDEX('03-آذار'!$I$2:$I$501,V474))-1,""))</f>
        <v/>
      </c>
      <c r="AC474" t="str">
        <f>IF(L474="","",IF(AND($AO$2=1,ISNA(MATCH(L474,'05-أيار'!$L$2:$L$501,0))),"محذوف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IF(L475="","",IF($AO$1=1,IFERROR(MATCH(L475,'03-آذار'!$L$2:$L$501,0),0),0))</f>
        <v/>
      </c>
      <c r="W475" t="str">
        <f t="shared" si="151"/>
        <v/>
      </c>
      <c r="X475" s="38" t="str">
        <f>IF(L475="","",IF(V475&gt;0,INDEX('03-آذار'!$P$2:$P$501,V475),IF($AO$1=1,0,"")))</f>
        <v/>
      </c>
      <c r="Y475" s="38" t="str">
        <f t="shared" si="152"/>
        <v/>
      </c>
      <c r="Z475" s="39" t="str">
        <f>IF(L475="","",IF(V475&gt;0,INDEX('03-آذار'!$Q$2:$Q$501,V475),IF($AO$1=1,0,"")))</f>
        <v/>
      </c>
      <c r="AA475" s="39" t="str">
        <f t="shared" si="153"/>
        <v/>
      </c>
      <c r="AB475" s="40" t="str">
        <f>IF(OR(L475="",V475=0),"",IF(AND(N(I475)&gt;0,N(INDEX('03-آذار'!$I$2:$I$501,V475))&gt;0,INDEX('03-آذار'!$F$2:$F$501,V475)=F475),N(I475)/N(INDEX('03-آذار'!$I$2:$I$501,V475))-1,""))</f>
        <v/>
      </c>
      <c r="AC475" t="str">
        <f>IF(L475="","",IF(AND($AO$2=1,ISNA(MATCH(L475,'05-أيار'!$L$2:$L$501,0))),"محذوف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IF(L476="","",IF($AO$1=1,IFERROR(MATCH(L476,'03-آذار'!$L$2:$L$501,0),0),0))</f>
        <v/>
      </c>
      <c r="W476" t="str">
        <f t="shared" si="151"/>
        <v/>
      </c>
      <c r="X476" s="38" t="str">
        <f>IF(L476="","",IF(V476&gt;0,INDEX('03-آذار'!$P$2:$P$501,V476),IF($AO$1=1,0,"")))</f>
        <v/>
      </c>
      <c r="Y476" s="38" t="str">
        <f t="shared" si="152"/>
        <v/>
      </c>
      <c r="Z476" s="39" t="str">
        <f>IF(L476="","",IF(V476&gt;0,INDEX('03-آذار'!$Q$2:$Q$501,V476),IF($AO$1=1,0,"")))</f>
        <v/>
      </c>
      <c r="AA476" s="39" t="str">
        <f t="shared" si="153"/>
        <v/>
      </c>
      <c r="AB476" s="40" t="str">
        <f>IF(OR(L476="",V476=0),"",IF(AND(N(I476)&gt;0,N(INDEX('03-آذار'!$I$2:$I$501,V476))&gt;0,INDEX('03-آذار'!$F$2:$F$501,V476)=F476),N(I476)/N(INDEX('03-آذار'!$I$2:$I$501,V476))-1,""))</f>
        <v/>
      </c>
      <c r="AC476" t="str">
        <f>IF(L476="","",IF(AND($AO$2=1,ISNA(MATCH(L476,'05-أيار'!$L$2:$L$501,0))),"محذوف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IF(L477="","",IF($AO$1=1,IFERROR(MATCH(L477,'03-آذار'!$L$2:$L$501,0),0),0))</f>
        <v/>
      </c>
      <c r="W477" t="str">
        <f t="shared" si="151"/>
        <v/>
      </c>
      <c r="X477" s="38" t="str">
        <f>IF(L477="","",IF(V477&gt;0,INDEX('03-آذار'!$P$2:$P$501,V477),IF($AO$1=1,0,"")))</f>
        <v/>
      </c>
      <c r="Y477" s="38" t="str">
        <f t="shared" si="152"/>
        <v/>
      </c>
      <c r="Z477" s="39" t="str">
        <f>IF(L477="","",IF(V477&gt;0,INDEX('03-آذار'!$Q$2:$Q$501,V477),IF($AO$1=1,0,"")))</f>
        <v/>
      </c>
      <c r="AA477" s="39" t="str">
        <f t="shared" si="153"/>
        <v/>
      </c>
      <c r="AB477" s="40" t="str">
        <f>IF(OR(L477="",V477=0),"",IF(AND(N(I477)&gt;0,N(INDEX('03-آذار'!$I$2:$I$501,V477))&gt;0,INDEX('03-آذار'!$F$2:$F$501,V477)=F477),N(I477)/N(INDEX('03-آذار'!$I$2:$I$501,V477))-1,""))</f>
        <v/>
      </c>
      <c r="AC477" t="str">
        <f>IF(L477="","",IF(AND($AO$2=1,ISNA(MATCH(L477,'05-أيار'!$L$2:$L$501,0))),"محذوف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IF(L478="","",IF($AO$1=1,IFERROR(MATCH(L478,'03-آذار'!$L$2:$L$501,0),0),0))</f>
        <v/>
      </c>
      <c r="W478" t="str">
        <f t="shared" si="151"/>
        <v/>
      </c>
      <c r="X478" s="38" t="str">
        <f>IF(L478="","",IF(V478&gt;0,INDEX('03-آذار'!$P$2:$P$501,V478),IF($AO$1=1,0,"")))</f>
        <v/>
      </c>
      <c r="Y478" s="38" t="str">
        <f t="shared" si="152"/>
        <v/>
      </c>
      <c r="Z478" s="39" t="str">
        <f>IF(L478="","",IF(V478&gt;0,INDEX('03-آذار'!$Q$2:$Q$501,V478),IF($AO$1=1,0,"")))</f>
        <v/>
      </c>
      <c r="AA478" s="39" t="str">
        <f t="shared" si="153"/>
        <v/>
      </c>
      <c r="AB478" s="40" t="str">
        <f>IF(OR(L478="",V478=0),"",IF(AND(N(I478)&gt;0,N(INDEX('03-آذار'!$I$2:$I$501,V478))&gt;0,INDEX('03-آذار'!$F$2:$F$501,V478)=F478),N(I478)/N(INDEX('03-آذار'!$I$2:$I$501,V478))-1,""))</f>
        <v/>
      </c>
      <c r="AC478" t="str">
        <f>IF(L478="","",IF(AND($AO$2=1,ISNA(MATCH(L478,'05-أيار'!$L$2:$L$501,0))),"محذوف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IF(L479="","",IF($AO$1=1,IFERROR(MATCH(L479,'03-آذار'!$L$2:$L$501,0),0),0))</f>
        <v/>
      </c>
      <c r="W479" t="str">
        <f t="shared" si="151"/>
        <v/>
      </c>
      <c r="X479" s="38" t="str">
        <f>IF(L479="","",IF(V479&gt;0,INDEX('03-آذار'!$P$2:$P$501,V479),IF($AO$1=1,0,"")))</f>
        <v/>
      </c>
      <c r="Y479" s="38" t="str">
        <f t="shared" si="152"/>
        <v/>
      </c>
      <c r="Z479" s="39" t="str">
        <f>IF(L479="","",IF(V479&gt;0,INDEX('03-آذار'!$Q$2:$Q$501,V479),IF($AO$1=1,0,"")))</f>
        <v/>
      </c>
      <c r="AA479" s="39" t="str">
        <f t="shared" si="153"/>
        <v/>
      </c>
      <c r="AB479" s="40" t="str">
        <f>IF(OR(L479="",V479=0),"",IF(AND(N(I479)&gt;0,N(INDEX('03-آذار'!$I$2:$I$501,V479))&gt;0,INDEX('03-آذار'!$F$2:$F$501,V479)=F479),N(I479)/N(INDEX('03-آذار'!$I$2:$I$501,V479))-1,""))</f>
        <v/>
      </c>
      <c r="AC479" t="str">
        <f>IF(L479="","",IF(AND($AO$2=1,ISNA(MATCH(L479,'05-أيار'!$L$2:$L$501,0))),"محذوف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IF(L480="","",IF($AO$1=1,IFERROR(MATCH(L480,'03-آذار'!$L$2:$L$501,0),0),0))</f>
        <v/>
      </c>
      <c r="W480" t="str">
        <f t="shared" si="151"/>
        <v/>
      </c>
      <c r="X480" s="38" t="str">
        <f>IF(L480="","",IF(V480&gt;0,INDEX('03-آذار'!$P$2:$P$501,V480),IF($AO$1=1,0,"")))</f>
        <v/>
      </c>
      <c r="Y480" s="38" t="str">
        <f t="shared" si="152"/>
        <v/>
      </c>
      <c r="Z480" s="39" t="str">
        <f>IF(L480="","",IF(V480&gt;0,INDEX('03-آذار'!$Q$2:$Q$501,V480),IF($AO$1=1,0,"")))</f>
        <v/>
      </c>
      <c r="AA480" s="39" t="str">
        <f t="shared" si="153"/>
        <v/>
      </c>
      <c r="AB480" s="40" t="str">
        <f>IF(OR(L480="",V480=0),"",IF(AND(N(I480)&gt;0,N(INDEX('03-آذار'!$I$2:$I$501,V480))&gt;0,INDEX('03-آذار'!$F$2:$F$501,V480)=F480),N(I480)/N(INDEX('03-آذار'!$I$2:$I$501,V480))-1,""))</f>
        <v/>
      </c>
      <c r="AC480" t="str">
        <f>IF(L480="","",IF(AND($AO$2=1,ISNA(MATCH(L480,'05-أيار'!$L$2:$L$501,0))),"محذوف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IF(L481="","",IF($AO$1=1,IFERROR(MATCH(L481,'03-آذار'!$L$2:$L$501,0),0),0))</f>
        <v/>
      </c>
      <c r="W481" t="str">
        <f t="shared" si="151"/>
        <v/>
      </c>
      <c r="X481" s="38" t="str">
        <f>IF(L481="","",IF(V481&gt;0,INDEX('03-آذار'!$P$2:$P$501,V481),IF($AO$1=1,0,"")))</f>
        <v/>
      </c>
      <c r="Y481" s="38" t="str">
        <f t="shared" si="152"/>
        <v/>
      </c>
      <c r="Z481" s="39" t="str">
        <f>IF(L481="","",IF(V481&gt;0,INDEX('03-آذار'!$Q$2:$Q$501,V481),IF($AO$1=1,0,"")))</f>
        <v/>
      </c>
      <c r="AA481" s="39" t="str">
        <f t="shared" si="153"/>
        <v/>
      </c>
      <c r="AB481" s="40" t="str">
        <f>IF(OR(L481="",V481=0),"",IF(AND(N(I481)&gt;0,N(INDEX('03-آذار'!$I$2:$I$501,V481))&gt;0,INDEX('03-آذار'!$F$2:$F$501,V481)=F481),N(I481)/N(INDEX('03-آذار'!$I$2:$I$501,V481))-1,""))</f>
        <v/>
      </c>
      <c r="AC481" t="str">
        <f>IF(L481="","",IF(AND($AO$2=1,ISNA(MATCH(L481,'05-أيار'!$L$2:$L$501,0))),"محذوف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IF(L482="","",IF($AO$1=1,IFERROR(MATCH(L482,'03-آذار'!$L$2:$L$501,0),0),0))</f>
        <v/>
      </c>
      <c r="W482" t="str">
        <f t="shared" si="151"/>
        <v/>
      </c>
      <c r="X482" s="38" t="str">
        <f>IF(L482="","",IF(V482&gt;0,INDEX('03-آذار'!$P$2:$P$501,V482),IF($AO$1=1,0,"")))</f>
        <v/>
      </c>
      <c r="Y482" s="38" t="str">
        <f t="shared" si="152"/>
        <v/>
      </c>
      <c r="Z482" s="39" t="str">
        <f>IF(L482="","",IF(V482&gt;0,INDEX('03-آذار'!$Q$2:$Q$501,V482),IF($AO$1=1,0,"")))</f>
        <v/>
      </c>
      <c r="AA482" s="39" t="str">
        <f t="shared" si="153"/>
        <v/>
      </c>
      <c r="AB482" s="40" t="str">
        <f>IF(OR(L482="",V482=0),"",IF(AND(N(I482)&gt;0,N(INDEX('03-آذار'!$I$2:$I$501,V482))&gt;0,INDEX('03-آذار'!$F$2:$F$501,V482)=F482),N(I482)/N(INDEX('03-آذار'!$I$2:$I$501,V482))-1,""))</f>
        <v/>
      </c>
      <c r="AC482" t="str">
        <f>IF(L482="","",IF(AND($AO$2=1,ISNA(MATCH(L482,'05-أيار'!$L$2:$L$501,0))),"محذوف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IF(L483="","",IF($AO$1=1,IFERROR(MATCH(L483,'03-آذار'!$L$2:$L$501,0),0),0))</f>
        <v/>
      </c>
      <c r="W483" t="str">
        <f t="shared" si="151"/>
        <v/>
      </c>
      <c r="X483" s="38" t="str">
        <f>IF(L483="","",IF(V483&gt;0,INDEX('03-آذار'!$P$2:$P$501,V483),IF($AO$1=1,0,"")))</f>
        <v/>
      </c>
      <c r="Y483" s="38" t="str">
        <f t="shared" si="152"/>
        <v/>
      </c>
      <c r="Z483" s="39" t="str">
        <f>IF(L483="","",IF(V483&gt;0,INDEX('03-آذار'!$Q$2:$Q$501,V483),IF($AO$1=1,0,"")))</f>
        <v/>
      </c>
      <c r="AA483" s="39" t="str">
        <f t="shared" si="153"/>
        <v/>
      </c>
      <c r="AB483" s="40" t="str">
        <f>IF(OR(L483="",V483=0),"",IF(AND(N(I483)&gt;0,N(INDEX('03-آذار'!$I$2:$I$501,V483))&gt;0,INDEX('03-آذار'!$F$2:$F$501,V483)=F483),N(I483)/N(INDEX('03-آذار'!$I$2:$I$501,V483))-1,""))</f>
        <v/>
      </c>
      <c r="AC483" t="str">
        <f>IF(L483="","",IF(AND($AO$2=1,ISNA(MATCH(L483,'05-أيار'!$L$2:$L$501,0))),"محذوف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IF(L484="","",IF($AO$1=1,IFERROR(MATCH(L484,'03-آذار'!$L$2:$L$501,0),0),0))</f>
        <v/>
      </c>
      <c r="W484" t="str">
        <f t="shared" si="151"/>
        <v/>
      </c>
      <c r="X484" s="38" t="str">
        <f>IF(L484="","",IF(V484&gt;0,INDEX('03-آذار'!$P$2:$P$501,V484),IF($AO$1=1,0,"")))</f>
        <v/>
      </c>
      <c r="Y484" s="38" t="str">
        <f t="shared" si="152"/>
        <v/>
      </c>
      <c r="Z484" s="39" t="str">
        <f>IF(L484="","",IF(V484&gt;0,INDEX('03-آذار'!$Q$2:$Q$501,V484),IF($AO$1=1,0,"")))</f>
        <v/>
      </c>
      <c r="AA484" s="39" t="str">
        <f t="shared" si="153"/>
        <v/>
      </c>
      <c r="AB484" s="40" t="str">
        <f>IF(OR(L484="",V484=0),"",IF(AND(N(I484)&gt;0,N(INDEX('03-آذار'!$I$2:$I$501,V484))&gt;0,INDEX('03-آذار'!$F$2:$F$501,V484)=F484),N(I484)/N(INDEX('03-آذار'!$I$2:$I$501,V484))-1,""))</f>
        <v/>
      </c>
      <c r="AC484" t="str">
        <f>IF(L484="","",IF(AND($AO$2=1,ISNA(MATCH(L484,'05-أيار'!$L$2:$L$501,0))),"محذوف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IF(L485="","",IF($AO$1=1,IFERROR(MATCH(L485,'03-آذار'!$L$2:$L$501,0),0),0))</f>
        <v/>
      </c>
      <c r="W485" t="str">
        <f t="shared" si="151"/>
        <v/>
      </c>
      <c r="X485" s="38" t="str">
        <f>IF(L485="","",IF(V485&gt;0,INDEX('03-آذار'!$P$2:$P$501,V485),IF($AO$1=1,0,"")))</f>
        <v/>
      </c>
      <c r="Y485" s="38" t="str">
        <f t="shared" si="152"/>
        <v/>
      </c>
      <c r="Z485" s="39" t="str">
        <f>IF(L485="","",IF(V485&gt;0,INDEX('03-آذار'!$Q$2:$Q$501,V485),IF($AO$1=1,0,"")))</f>
        <v/>
      </c>
      <c r="AA485" s="39" t="str">
        <f t="shared" si="153"/>
        <v/>
      </c>
      <c r="AB485" s="40" t="str">
        <f>IF(OR(L485="",V485=0),"",IF(AND(N(I485)&gt;0,N(INDEX('03-آذار'!$I$2:$I$501,V485))&gt;0,INDEX('03-آذار'!$F$2:$F$501,V485)=F485),N(I485)/N(INDEX('03-آذار'!$I$2:$I$501,V485))-1,""))</f>
        <v/>
      </c>
      <c r="AC485" t="str">
        <f>IF(L485="","",IF(AND($AO$2=1,ISNA(MATCH(L485,'05-أيار'!$L$2:$L$501,0))),"محذوف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IF(L486="","",IF($AO$1=1,IFERROR(MATCH(L486,'03-آذار'!$L$2:$L$501,0),0),0))</f>
        <v/>
      </c>
      <c r="W486" t="str">
        <f t="shared" si="151"/>
        <v/>
      </c>
      <c r="X486" s="38" t="str">
        <f>IF(L486="","",IF(V486&gt;0,INDEX('03-آذار'!$P$2:$P$501,V486),IF($AO$1=1,0,"")))</f>
        <v/>
      </c>
      <c r="Y486" s="38" t="str">
        <f t="shared" si="152"/>
        <v/>
      </c>
      <c r="Z486" s="39" t="str">
        <f>IF(L486="","",IF(V486&gt;0,INDEX('03-آذار'!$Q$2:$Q$501,V486),IF($AO$1=1,0,"")))</f>
        <v/>
      </c>
      <c r="AA486" s="39" t="str">
        <f t="shared" si="153"/>
        <v/>
      </c>
      <c r="AB486" s="40" t="str">
        <f>IF(OR(L486="",V486=0),"",IF(AND(N(I486)&gt;0,N(INDEX('03-آذار'!$I$2:$I$501,V486))&gt;0,INDEX('03-آذار'!$F$2:$F$501,V486)=F486),N(I486)/N(INDEX('03-آذار'!$I$2:$I$501,V486))-1,""))</f>
        <v/>
      </c>
      <c r="AC486" t="str">
        <f>IF(L486="","",IF(AND($AO$2=1,ISNA(MATCH(L486,'05-أيار'!$L$2:$L$501,0))),"محذوف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IF(L487="","",IF($AO$1=1,IFERROR(MATCH(L487,'03-آذار'!$L$2:$L$501,0),0),0))</f>
        <v/>
      </c>
      <c r="W487" t="str">
        <f t="shared" si="151"/>
        <v/>
      </c>
      <c r="X487" s="38" t="str">
        <f>IF(L487="","",IF(V487&gt;0,INDEX('03-آذار'!$P$2:$P$501,V487),IF($AO$1=1,0,"")))</f>
        <v/>
      </c>
      <c r="Y487" s="38" t="str">
        <f t="shared" si="152"/>
        <v/>
      </c>
      <c r="Z487" s="39" t="str">
        <f>IF(L487="","",IF(V487&gt;0,INDEX('03-آذار'!$Q$2:$Q$501,V487),IF($AO$1=1,0,"")))</f>
        <v/>
      </c>
      <c r="AA487" s="39" t="str">
        <f t="shared" si="153"/>
        <v/>
      </c>
      <c r="AB487" s="40" t="str">
        <f>IF(OR(L487="",V487=0),"",IF(AND(N(I487)&gt;0,N(INDEX('03-آذار'!$I$2:$I$501,V487))&gt;0,INDEX('03-آذار'!$F$2:$F$501,V487)=F487),N(I487)/N(INDEX('03-آذار'!$I$2:$I$501,V487))-1,""))</f>
        <v/>
      </c>
      <c r="AC487" t="str">
        <f>IF(L487="","",IF(AND($AO$2=1,ISNA(MATCH(L487,'05-أيار'!$L$2:$L$501,0))),"محذوف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IF(L488="","",IF($AO$1=1,IFERROR(MATCH(L488,'03-آذار'!$L$2:$L$501,0),0),0))</f>
        <v/>
      </c>
      <c r="W488" t="str">
        <f t="shared" si="151"/>
        <v/>
      </c>
      <c r="X488" s="38" t="str">
        <f>IF(L488="","",IF(V488&gt;0,INDEX('03-آذار'!$P$2:$P$501,V488),IF($AO$1=1,0,"")))</f>
        <v/>
      </c>
      <c r="Y488" s="38" t="str">
        <f t="shared" si="152"/>
        <v/>
      </c>
      <c r="Z488" s="39" t="str">
        <f>IF(L488="","",IF(V488&gt;0,INDEX('03-آذار'!$Q$2:$Q$501,V488),IF($AO$1=1,0,"")))</f>
        <v/>
      </c>
      <c r="AA488" s="39" t="str">
        <f t="shared" si="153"/>
        <v/>
      </c>
      <c r="AB488" s="40" t="str">
        <f>IF(OR(L488="",V488=0),"",IF(AND(N(I488)&gt;0,N(INDEX('03-آذار'!$I$2:$I$501,V488))&gt;0,INDEX('03-آذار'!$F$2:$F$501,V488)=F488),N(I488)/N(INDEX('03-آذار'!$I$2:$I$501,V488))-1,""))</f>
        <v/>
      </c>
      <c r="AC488" t="str">
        <f>IF(L488="","",IF(AND($AO$2=1,ISNA(MATCH(L488,'05-أيار'!$L$2:$L$501,0))),"محذوف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IF(L489="","",IF($AO$1=1,IFERROR(MATCH(L489,'03-آذار'!$L$2:$L$501,0),0),0))</f>
        <v/>
      </c>
      <c r="W489" t="str">
        <f t="shared" si="151"/>
        <v/>
      </c>
      <c r="X489" s="38" t="str">
        <f>IF(L489="","",IF(V489&gt;0,INDEX('03-آذار'!$P$2:$P$501,V489),IF($AO$1=1,0,"")))</f>
        <v/>
      </c>
      <c r="Y489" s="38" t="str">
        <f t="shared" si="152"/>
        <v/>
      </c>
      <c r="Z489" s="39" t="str">
        <f>IF(L489="","",IF(V489&gt;0,INDEX('03-آذار'!$Q$2:$Q$501,V489),IF($AO$1=1,0,"")))</f>
        <v/>
      </c>
      <c r="AA489" s="39" t="str">
        <f t="shared" si="153"/>
        <v/>
      </c>
      <c r="AB489" s="40" t="str">
        <f>IF(OR(L489="",V489=0),"",IF(AND(N(I489)&gt;0,N(INDEX('03-آذار'!$I$2:$I$501,V489))&gt;0,INDEX('03-آذار'!$F$2:$F$501,V489)=F489),N(I489)/N(INDEX('03-آذار'!$I$2:$I$501,V489))-1,""))</f>
        <v/>
      </c>
      <c r="AC489" t="str">
        <f>IF(L489="","",IF(AND($AO$2=1,ISNA(MATCH(L489,'05-أيار'!$L$2:$L$501,0))),"محذوف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IF(L490="","",IF($AO$1=1,IFERROR(MATCH(L490,'03-آذار'!$L$2:$L$501,0),0),0))</f>
        <v/>
      </c>
      <c r="W490" t="str">
        <f t="shared" si="151"/>
        <v/>
      </c>
      <c r="X490" s="38" t="str">
        <f>IF(L490="","",IF(V490&gt;0,INDEX('03-آذار'!$P$2:$P$501,V490),IF($AO$1=1,0,"")))</f>
        <v/>
      </c>
      <c r="Y490" s="38" t="str">
        <f t="shared" si="152"/>
        <v/>
      </c>
      <c r="Z490" s="39" t="str">
        <f>IF(L490="","",IF(V490&gt;0,INDEX('03-آذار'!$Q$2:$Q$501,V490),IF($AO$1=1,0,"")))</f>
        <v/>
      </c>
      <c r="AA490" s="39" t="str">
        <f t="shared" si="153"/>
        <v/>
      </c>
      <c r="AB490" s="40" t="str">
        <f>IF(OR(L490="",V490=0),"",IF(AND(N(I490)&gt;0,N(INDEX('03-آذار'!$I$2:$I$501,V490))&gt;0,INDEX('03-آذار'!$F$2:$F$501,V490)=F490),N(I490)/N(INDEX('03-آذار'!$I$2:$I$501,V490))-1,""))</f>
        <v/>
      </c>
      <c r="AC490" t="str">
        <f>IF(L490="","",IF(AND($AO$2=1,ISNA(MATCH(L490,'05-أيار'!$L$2:$L$501,0))),"محذوف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IF(L491="","",IF($AO$1=1,IFERROR(MATCH(L491,'03-آذار'!$L$2:$L$501,0),0),0))</f>
        <v/>
      </c>
      <c r="W491" t="str">
        <f t="shared" si="151"/>
        <v/>
      </c>
      <c r="X491" s="38" t="str">
        <f>IF(L491="","",IF(V491&gt;0,INDEX('03-آذار'!$P$2:$P$501,V491),IF($AO$1=1,0,"")))</f>
        <v/>
      </c>
      <c r="Y491" s="38" t="str">
        <f t="shared" si="152"/>
        <v/>
      </c>
      <c r="Z491" s="39" t="str">
        <f>IF(L491="","",IF(V491&gt;0,INDEX('03-آذار'!$Q$2:$Q$501,V491),IF($AO$1=1,0,"")))</f>
        <v/>
      </c>
      <c r="AA491" s="39" t="str">
        <f t="shared" si="153"/>
        <v/>
      </c>
      <c r="AB491" s="40" t="str">
        <f>IF(OR(L491="",V491=0),"",IF(AND(N(I491)&gt;0,N(INDEX('03-آذار'!$I$2:$I$501,V491))&gt;0,INDEX('03-آذار'!$F$2:$F$501,V491)=F491),N(I491)/N(INDEX('03-آذار'!$I$2:$I$501,V491))-1,""))</f>
        <v/>
      </c>
      <c r="AC491" t="str">
        <f>IF(L491="","",IF(AND($AO$2=1,ISNA(MATCH(L491,'05-أيار'!$L$2:$L$501,0))),"محذوف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IF(L492="","",IF($AO$1=1,IFERROR(MATCH(L492,'03-آذار'!$L$2:$L$501,0),0),0))</f>
        <v/>
      </c>
      <c r="W492" t="str">
        <f t="shared" si="151"/>
        <v/>
      </c>
      <c r="X492" s="38" t="str">
        <f>IF(L492="","",IF(V492&gt;0,INDEX('03-آذار'!$P$2:$P$501,V492),IF($AO$1=1,0,"")))</f>
        <v/>
      </c>
      <c r="Y492" s="38" t="str">
        <f t="shared" si="152"/>
        <v/>
      </c>
      <c r="Z492" s="39" t="str">
        <f>IF(L492="","",IF(V492&gt;0,INDEX('03-آذار'!$Q$2:$Q$501,V492),IF($AO$1=1,0,"")))</f>
        <v/>
      </c>
      <c r="AA492" s="39" t="str">
        <f t="shared" si="153"/>
        <v/>
      </c>
      <c r="AB492" s="40" t="str">
        <f>IF(OR(L492="",V492=0),"",IF(AND(N(I492)&gt;0,N(INDEX('03-آذار'!$I$2:$I$501,V492))&gt;0,INDEX('03-آذار'!$F$2:$F$501,V492)=F492),N(I492)/N(INDEX('03-آذار'!$I$2:$I$501,V492))-1,""))</f>
        <v/>
      </c>
      <c r="AC492" t="str">
        <f>IF(L492="","",IF(AND($AO$2=1,ISNA(MATCH(L492,'05-أيار'!$L$2:$L$501,0))),"محذوف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IF(L493="","",IF($AO$1=1,IFERROR(MATCH(L493,'03-آذار'!$L$2:$L$501,0),0),0))</f>
        <v/>
      </c>
      <c r="W493" t="str">
        <f t="shared" si="151"/>
        <v/>
      </c>
      <c r="X493" s="38" t="str">
        <f>IF(L493="","",IF(V493&gt;0,INDEX('03-آذار'!$P$2:$P$501,V493),IF($AO$1=1,0,"")))</f>
        <v/>
      </c>
      <c r="Y493" s="38" t="str">
        <f t="shared" si="152"/>
        <v/>
      </c>
      <c r="Z493" s="39" t="str">
        <f>IF(L493="","",IF(V493&gt;0,INDEX('03-آذار'!$Q$2:$Q$501,V493),IF($AO$1=1,0,"")))</f>
        <v/>
      </c>
      <c r="AA493" s="39" t="str">
        <f t="shared" si="153"/>
        <v/>
      </c>
      <c r="AB493" s="40" t="str">
        <f>IF(OR(L493="",V493=0),"",IF(AND(N(I493)&gt;0,N(INDEX('03-آذار'!$I$2:$I$501,V493))&gt;0,INDEX('03-آذار'!$F$2:$F$501,V493)=F493),N(I493)/N(INDEX('03-آذار'!$I$2:$I$501,V493))-1,""))</f>
        <v/>
      </c>
      <c r="AC493" t="str">
        <f>IF(L493="","",IF(AND($AO$2=1,ISNA(MATCH(L493,'05-أيار'!$L$2:$L$501,0))),"محذوف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IF(L494="","",IF($AO$1=1,IFERROR(MATCH(L494,'03-آذار'!$L$2:$L$501,0),0),0))</f>
        <v/>
      </c>
      <c r="W494" t="str">
        <f t="shared" si="151"/>
        <v/>
      </c>
      <c r="X494" s="38" t="str">
        <f>IF(L494="","",IF(V494&gt;0,INDEX('03-آذار'!$P$2:$P$501,V494),IF($AO$1=1,0,"")))</f>
        <v/>
      </c>
      <c r="Y494" s="38" t="str">
        <f t="shared" si="152"/>
        <v/>
      </c>
      <c r="Z494" s="39" t="str">
        <f>IF(L494="","",IF(V494&gt;0,INDEX('03-آذار'!$Q$2:$Q$501,V494),IF($AO$1=1,0,"")))</f>
        <v/>
      </c>
      <c r="AA494" s="39" t="str">
        <f t="shared" si="153"/>
        <v/>
      </c>
      <c r="AB494" s="40" t="str">
        <f>IF(OR(L494="",V494=0),"",IF(AND(N(I494)&gt;0,N(INDEX('03-آذار'!$I$2:$I$501,V494))&gt;0,INDEX('03-آذار'!$F$2:$F$501,V494)=F494),N(I494)/N(INDEX('03-آذار'!$I$2:$I$501,V494))-1,""))</f>
        <v/>
      </c>
      <c r="AC494" t="str">
        <f>IF(L494="","",IF(AND($AO$2=1,ISNA(MATCH(L494,'05-أيار'!$L$2:$L$501,0))),"محذوف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IF(L495="","",IF($AO$1=1,IFERROR(MATCH(L495,'03-آذار'!$L$2:$L$501,0),0),0))</f>
        <v/>
      </c>
      <c r="W495" t="str">
        <f t="shared" si="151"/>
        <v/>
      </c>
      <c r="X495" s="38" t="str">
        <f>IF(L495="","",IF(V495&gt;0,INDEX('03-آذار'!$P$2:$P$501,V495),IF($AO$1=1,0,"")))</f>
        <v/>
      </c>
      <c r="Y495" s="38" t="str">
        <f t="shared" si="152"/>
        <v/>
      </c>
      <c r="Z495" s="39" t="str">
        <f>IF(L495="","",IF(V495&gt;0,INDEX('03-آذار'!$Q$2:$Q$501,V495),IF($AO$1=1,0,"")))</f>
        <v/>
      </c>
      <c r="AA495" s="39" t="str">
        <f t="shared" si="153"/>
        <v/>
      </c>
      <c r="AB495" s="40" t="str">
        <f>IF(OR(L495="",V495=0),"",IF(AND(N(I495)&gt;0,N(INDEX('03-آذار'!$I$2:$I$501,V495))&gt;0,INDEX('03-آذار'!$F$2:$F$501,V495)=F495),N(I495)/N(INDEX('03-آذار'!$I$2:$I$501,V495))-1,""))</f>
        <v/>
      </c>
      <c r="AC495" t="str">
        <f>IF(L495="","",IF(AND($AO$2=1,ISNA(MATCH(L495,'05-أيار'!$L$2:$L$501,0))),"محذوف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IF(L496="","",IF($AO$1=1,IFERROR(MATCH(L496,'03-آذار'!$L$2:$L$501,0),0),0))</f>
        <v/>
      </c>
      <c r="W496" t="str">
        <f t="shared" si="151"/>
        <v/>
      </c>
      <c r="X496" s="38" t="str">
        <f>IF(L496="","",IF(V496&gt;0,INDEX('03-آذار'!$P$2:$P$501,V496),IF($AO$1=1,0,"")))</f>
        <v/>
      </c>
      <c r="Y496" s="38" t="str">
        <f t="shared" si="152"/>
        <v/>
      </c>
      <c r="Z496" s="39" t="str">
        <f>IF(L496="","",IF(V496&gt;0,INDEX('03-آذار'!$Q$2:$Q$501,V496),IF($AO$1=1,0,"")))</f>
        <v/>
      </c>
      <c r="AA496" s="39" t="str">
        <f t="shared" si="153"/>
        <v/>
      </c>
      <c r="AB496" s="40" t="str">
        <f>IF(OR(L496="",V496=0),"",IF(AND(N(I496)&gt;0,N(INDEX('03-آذار'!$I$2:$I$501,V496))&gt;0,INDEX('03-آذار'!$F$2:$F$501,V496)=F496),N(I496)/N(INDEX('03-آذار'!$I$2:$I$501,V496))-1,""))</f>
        <v/>
      </c>
      <c r="AC496" t="str">
        <f>IF(L496="","",IF(AND($AO$2=1,ISNA(MATCH(L496,'05-أيار'!$L$2:$L$501,0))),"محذوف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IF(L497="","",IF($AO$1=1,IFERROR(MATCH(L497,'03-آذار'!$L$2:$L$501,0),0),0))</f>
        <v/>
      </c>
      <c r="W497" t="str">
        <f t="shared" si="151"/>
        <v/>
      </c>
      <c r="X497" s="38" t="str">
        <f>IF(L497="","",IF(V497&gt;0,INDEX('03-آذار'!$P$2:$P$501,V497),IF($AO$1=1,0,"")))</f>
        <v/>
      </c>
      <c r="Y497" s="38" t="str">
        <f t="shared" si="152"/>
        <v/>
      </c>
      <c r="Z497" s="39" t="str">
        <f>IF(L497="","",IF(V497&gt;0,INDEX('03-آذار'!$Q$2:$Q$501,V497),IF($AO$1=1,0,"")))</f>
        <v/>
      </c>
      <c r="AA497" s="39" t="str">
        <f t="shared" si="153"/>
        <v/>
      </c>
      <c r="AB497" s="40" t="str">
        <f>IF(OR(L497="",V497=0),"",IF(AND(N(I497)&gt;0,N(INDEX('03-آذار'!$I$2:$I$501,V497))&gt;0,INDEX('03-آذار'!$F$2:$F$501,V497)=F497),N(I497)/N(INDEX('03-آذار'!$I$2:$I$501,V497))-1,""))</f>
        <v/>
      </c>
      <c r="AC497" t="str">
        <f>IF(L497="","",IF(AND($AO$2=1,ISNA(MATCH(L497,'05-أيار'!$L$2:$L$501,0))),"محذوف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IF(L498="","",IF($AO$1=1,IFERROR(MATCH(L498,'03-آذار'!$L$2:$L$501,0),0),0))</f>
        <v/>
      </c>
      <c r="W498" t="str">
        <f t="shared" si="151"/>
        <v/>
      </c>
      <c r="X498" s="38" t="str">
        <f>IF(L498="","",IF(V498&gt;0,INDEX('03-آذار'!$P$2:$P$501,V498),IF($AO$1=1,0,"")))</f>
        <v/>
      </c>
      <c r="Y498" s="38" t="str">
        <f t="shared" si="152"/>
        <v/>
      </c>
      <c r="Z498" s="39" t="str">
        <f>IF(L498="","",IF(V498&gt;0,INDEX('03-آذار'!$Q$2:$Q$501,V498),IF($AO$1=1,0,"")))</f>
        <v/>
      </c>
      <c r="AA498" s="39" t="str">
        <f t="shared" si="153"/>
        <v/>
      </c>
      <c r="AB498" s="40" t="str">
        <f>IF(OR(L498="",V498=0),"",IF(AND(N(I498)&gt;0,N(INDEX('03-آذار'!$I$2:$I$501,V498))&gt;0,INDEX('03-آذار'!$F$2:$F$501,V498)=F498),N(I498)/N(INDEX('03-آذار'!$I$2:$I$501,V498))-1,""))</f>
        <v/>
      </c>
      <c r="AC498" t="str">
        <f>IF(L498="","",IF(AND($AO$2=1,ISNA(MATCH(L498,'05-أيار'!$L$2:$L$501,0))),"محذوف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IF(L499="","",IF($AO$1=1,IFERROR(MATCH(L499,'03-آذار'!$L$2:$L$501,0),0),0))</f>
        <v/>
      </c>
      <c r="W499" t="str">
        <f t="shared" si="151"/>
        <v/>
      </c>
      <c r="X499" s="38" t="str">
        <f>IF(L499="","",IF(V499&gt;0,INDEX('03-آذار'!$P$2:$P$501,V499),IF($AO$1=1,0,"")))</f>
        <v/>
      </c>
      <c r="Y499" s="38" t="str">
        <f t="shared" si="152"/>
        <v/>
      </c>
      <c r="Z499" s="39" t="str">
        <f>IF(L499="","",IF(V499&gt;0,INDEX('03-آذار'!$Q$2:$Q$501,V499),IF($AO$1=1,0,"")))</f>
        <v/>
      </c>
      <c r="AA499" s="39" t="str">
        <f t="shared" si="153"/>
        <v/>
      </c>
      <c r="AB499" s="40" t="str">
        <f>IF(OR(L499="",V499=0),"",IF(AND(N(I499)&gt;0,N(INDEX('03-آذار'!$I$2:$I$501,V499))&gt;0,INDEX('03-آذار'!$F$2:$F$501,V499)=F499),N(I499)/N(INDEX('03-آذار'!$I$2:$I$501,V499))-1,""))</f>
        <v/>
      </c>
      <c r="AC499" t="str">
        <f>IF(L499="","",IF(AND($AO$2=1,ISNA(MATCH(L499,'05-أيار'!$L$2:$L$501,0))),"محذوف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IF(L500="","",IF($AO$1=1,IFERROR(MATCH(L500,'03-آذار'!$L$2:$L$501,0),0),0))</f>
        <v/>
      </c>
      <c r="W500" t="str">
        <f t="shared" si="151"/>
        <v/>
      </c>
      <c r="X500" s="38" t="str">
        <f>IF(L500="","",IF(V500&gt;0,INDEX('03-آذار'!$P$2:$P$501,V500),IF($AO$1=1,0,"")))</f>
        <v/>
      </c>
      <c r="Y500" s="38" t="str">
        <f t="shared" si="152"/>
        <v/>
      </c>
      <c r="Z500" s="39" t="str">
        <f>IF(L500="","",IF(V500&gt;0,INDEX('03-آذار'!$Q$2:$Q$501,V500),IF($AO$1=1,0,"")))</f>
        <v/>
      </c>
      <c r="AA500" s="39" t="str">
        <f t="shared" si="153"/>
        <v/>
      </c>
      <c r="AB500" s="40" t="str">
        <f>IF(OR(L500="",V500=0),"",IF(AND(N(I500)&gt;0,N(INDEX('03-آذار'!$I$2:$I$501,V500))&gt;0,INDEX('03-آذار'!$F$2:$F$501,V500)=F500),N(I500)/N(INDEX('03-آذار'!$I$2:$I$501,V500))-1,""))</f>
        <v/>
      </c>
      <c r="AC500" t="str">
        <f>IF(L500="","",IF(AND($AO$2=1,ISNA(MATCH(L500,'05-أيار'!$L$2:$L$501,0))),"محذوف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IF(L501="","",IF($AO$1=1,IFERROR(MATCH(L501,'03-آذار'!$L$2:$L$501,0),0),0))</f>
        <v/>
      </c>
      <c r="W501" t="str">
        <f t="shared" si="151"/>
        <v/>
      </c>
      <c r="X501" s="38" t="str">
        <f>IF(L501="","",IF(V501&gt;0,INDEX('03-آذار'!$P$2:$P$501,V501),IF($AO$1=1,0,"")))</f>
        <v/>
      </c>
      <c r="Y501" s="38" t="str">
        <f t="shared" si="152"/>
        <v/>
      </c>
      <c r="Z501" s="39" t="str">
        <f>IF(L501="","",IF(V501&gt;0,INDEX('03-آذار'!$Q$2:$Q$501,V501),IF($AO$1=1,0,"")))</f>
        <v/>
      </c>
      <c r="AA501" s="39" t="str">
        <f t="shared" si="153"/>
        <v/>
      </c>
      <c r="AB501" s="40" t="str">
        <f>IF(OR(L501="",V501=0),"",IF(AND(N(I501)&gt;0,N(INDEX('03-آذار'!$I$2:$I$501,V501))&gt;0,INDEX('03-آذار'!$F$2:$F$501,V501)=F501),N(I501)/N(INDEX('03-آذار'!$I$2:$I$501,V501))-1,""))</f>
        <v/>
      </c>
      <c r="AC501" t="str">
        <f>IF(L501="","",IF(AND($AO$2=1,ISNA(MATCH(L501,'05-أيار'!$L$2:$L$501,0))),"محذوف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9000000}"/>
  <conditionalFormatting sqref="K1">
    <cfRule type="expression" dxfId="44" priority="2">
      <formula>LEFT(K1,1)="⚠"</formula>
    </cfRule>
    <cfRule type="expression" dxfId="43" priority="3">
      <formula>LEFT(K1,1)="✓"</formula>
    </cfRule>
  </conditionalFormatting>
  <conditionalFormatting sqref="K2:U501">
    <cfRule type="expression" dxfId="42" priority="4">
      <formula>$U2&lt;&gt;""</formula>
    </cfRule>
  </conditionalFormatting>
  <conditionalFormatting sqref="W2:W501">
    <cfRule type="expression" dxfId="41" priority="5">
      <formula>$W2="جديد"</formula>
    </cfRule>
  </conditionalFormatting>
  <conditionalFormatting sqref="AC2:AC501">
    <cfRule type="expression" dxfId="4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IF(COUNTA('04-نيسان'!$A$2:$A$501)&gt;0,1,0)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IF(L2="","",IF($AO$1=1,IFERROR(MATCH(L2,'04-نيسان'!$L$2:$L$501,0),0),0))</f>
        <v/>
      </c>
      <c r="W2" t="str">
        <f t="shared" ref="W2:W65" si="11">IF(L2="","",IF(AND($AO$1=1,V2=0),"جديد",""))</f>
        <v/>
      </c>
      <c r="X2" s="38" t="str">
        <f>IF(L2="","",IF(V2&gt;0,INDEX('04-نيسان'!$P$2:$P$501,V2),IF($AO$1=1,0,"")))</f>
        <v/>
      </c>
      <c r="Y2" s="38" t="str">
        <f t="shared" ref="Y2:Y65" si="12">IF(OR(L2="",X2=""),"",P2-X2)</f>
        <v/>
      </c>
      <c r="Z2" s="39" t="str">
        <f>IF(L2="","",IF(V2&gt;0,INDEX('04-نيسان'!$Q$2:$Q$501,V2),IF($AO$1=1,0,"")))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IF(OR(L2="",V2=0),"",IF(AND(N(I2)&gt;0,N(INDEX('04-نيسان'!$I$2:$I$501,V2))&gt;0,INDEX('04-نيسان'!$F$2:$F$501,V2)=F2),N(I2)/N(INDEX('04-نيسان'!$I$2:$I$501,V2))-1,""))</f>
        <v/>
      </c>
      <c r="AC2" t="str">
        <f>IF(L2="","",IF(AND($AO$2=1,ISNA(MATCH(L2,'06-حزيران'!$L$2:$L$499,0))),"محذوف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IF(COUNTA('06-حزيران'!$A$2:$A$499)&gt;0,1,0)</f>
        <v>1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IF(L3="","",IF($AO$1=1,IFERROR(MATCH(L3,'04-نيسان'!$L$2:$L$501,0),0),0))</f>
        <v/>
      </c>
      <c r="W3" t="str">
        <f t="shared" si="11"/>
        <v/>
      </c>
      <c r="X3" s="38" t="str">
        <f>IF(L3="","",IF(V3&gt;0,INDEX('04-نيسان'!$P$2:$P$501,V3),IF($AO$1=1,0,"")))</f>
        <v/>
      </c>
      <c r="Y3" s="38" t="str">
        <f t="shared" si="12"/>
        <v/>
      </c>
      <c r="Z3" s="39" t="str">
        <f>IF(L3="","",IF(V3&gt;0,INDEX('04-نيسان'!$Q$2:$Q$501,V3),IF($AO$1=1,0,"")))</f>
        <v/>
      </c>
      <c r="AA3" s="39" t="str">
        <f t="shared" si="13"/>
        <v/>
      </c>
      <c r="AB3" s="40" t="str">
        <f>IF(OR(L3="",V3=0),"",IF(AND(N(I3)&gt;0,N(INDEX('04-نيسان'!$I$2:$I$501,V3))&gt;0,INDEX('04-نيسان'!$F$2:$F$501,V3)=F3),N(I3)/N(INDEX('04-نيسان'!$I$2:$I$501,V3))-1,""))</f>
        <v/>
      </c>
      <c r="AC3" t="str">
        <f>IF(L3="","",IF(AND($AO$2=1,ISNA(MATCH(L3,'06-حزيران'!$L$2:$L$499,0))),"محذوف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التحكم'!$C$20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IF(L4="","",IF($AO$1=1,IFERROR(MATCH(L4,'04-نيسان'!$L$2:$L$501,0),0),0))</f>
        <v/>
      </c>
      <c r="W4" t="str">
        <f t="shared" si="11"/>
        <v/>
      </c>
      <c r="X4" s="38" t="str">
        <f>IF(L4="","",IF(V4&gt;0,INDEX('04-نيسان'!$P$2:$P$501,V4),IF($AO$1=1,0,"")))</f>
        <v/>
      </c>
      <c r="Y4" s="38" t="str">
        <f t="shared" si="12"/>
        <v/>
      </c>
      <c r="Z4" s="39" t="str">
        <f>IF(L4="","",IF(V4&gt;0,INDEX('04-نيسان'!$Q$2:$Q$501,V4),IF($AO$1=1,0,"")))</f>
        <v/>
      </c>
      <c r="AA4" s="39" t="str">
        <f t="shared" si="13"/>
        <v/>
      </c>
      <c r="AB4" s="40" t="str">
        <f>IF(OR(L4="",V4=0),"",IF(AND(N(I4)&gt;0,N(INDEX('04-نيسان'!$I$2:$I$501,V4))&gt;0,INDEX('04-نيسان'!$F$2:$F$501,V4)=F4),N(I4)/N(INDEX('04-نيسان'!$I$2:$I$501,V4))-1,""))</f>
        <v/>
      </c>
      <c r="AC4" t="str">
        <f>IF(L4="","",IF(AND($AO$2=1,ISNA(MATCH(L4,'06-حزيران'!$L$2:$L$499,0))),"محذوف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IF(L5="","",IF($AO$1=1,IFERROR(MATCH(L5,'04-نيسان'!$L$2:$L$501,0),0),0))</f>
        <v/>
      </c>
      <c r="W5" t="str">
        <f t="shared" si="11"/>
        <v/>
      </c>
      <c r="X5" s="38" t="str">
        <f>IF(L5="","",IF(V5&gt;0,INDEX('04-نيسان'!$P$2:$P$501,V5),IF($AO$1=1,0,"")))</f>
        <v/>
      </c>
      <c r="Y5" s="38" t="str">
        <f t="shared" si="12"/>
        <v/>
      </c>
      <c r="Z5" s="39" t="str">
        <f>IF(L5="","",IF(V5&gt;0,INDEX('04-نيسان'!$Q$2:$Q$501,V5),IF($AO$1=1,0,"")))</f>
        <v/>
      </c>
      <c r="AA5" s="39" t="str">
        <f t="shared" si="13"/>
        <v/>
      </c>
      <c r="AB5" s="40" t="str">
        <f>IF(OR(L5="",V5=0),"",IF(AND(N(I5)&gt;0,N(INDEX('04-نيسان'!$I$2:$I$501,V5))&gt;0,INDEX('04-نيسان'!$F$2:$F$501,V5)=F5),N(I5)/N(INDEX('04-نيسان'!$I$2:$I$501,V5))-1,""))</f>
        <v/>
      </c>
      <c r="AC5" t="str">
        <f>IF(L5="","",IF(AND($AO$2=1,ISNA(MATCH(L5,'06-حزيران'!$L$2:$L$499,0))),"محذوف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IF(L6="","",IF($AO$1=1,IFERROR(MATCH(L6,'04-نيسان'!$L$2:$L$501,0),0),0))</f>
        <v/>
      </c>
      <c r="W6" t="str">
        <f t="shared" si="11"/>
        <v/>
      </c>
      <c r="X6" s="38" t="str">
        <f>IF(L6="","",IF(V6&gt;0,INDEX('04-نيسان'!$P$2:$P$501,V6),IF($AO$1=1,0,"")))</f>
        <v/>
      </c>
      <c r="Y6" s="38" t="str">
        <f t="shared" si="12"/>
        <v/>
      </c>
      <c r="Z6" s="39" t="str">
        <f>IF(L6="","",IF(V6&gt;0,INDEX('04-نيسان'!$Q$2:$Q$501,V6),IF($AO$1=1,0,"")))</f>
        <v/>
      </c>
      <c r="AA6" s="39" t="str">
        <f t="shared" si="13"/>
        <v/>
      </c>
      <c r="AB6" s="40" t="str">
        <f>IF(OR(L6="",V6=0),"",IF(AND(N(I6)&gt;0,N(INDEX('04-نيسان'!$I$2:$I$501,V6))&gt;0,INDEX('04-نيسان'!$F$2:$F$501,V6)=F6),N(I6)/N(INDEX('04-نيسان'!$I$2:$I$501,V6))-1,""))</f>
        <v/>
      </c>
      <c r="AC6" t="str">
        <f>IF(L6="","",IF(AND($AO$2=1,ISNA(MATCH(L6,'06-حزيران'!$L$2:$L$499,0))),"محذوف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IF(L7="","",IF($AO$1=1,IFERROR(MATCH(L7,'04-نيسان'!$L$2:$L$501,0),0),0))</f>
        <v/>
      </c>
      <c r="W7" t="str">
        <f t="shared" si="11"/>
        <v/>
      </c>
      <c r="X7" s="38" t="str">
        <f>IF(L7="","",IF(V7&gt;0,INDEX('04-نيسان'!$P$2:$P$501,V7),IF($AO$1=1,0,"")))</f>
        <v/>
      </c>
      <c r="Y7" s="38" t="str">
        <f t="shared" si="12"/>
        <v/>
      </c>
      <c r="Z7" s="39" t="str">
        <f>IF(L7="","",IF(V7&gt;0,INDEX('04-نيسان'!$Q$2:$Q$501,V7),IF($AO$1=1,0,"")))</f>
        <v/>
      </c>
      <c r="AA7" s="39" t="str">
        <f t="shared" si="13"/>
        <v/>
      </c>
      <c r="AB7" s="40" t="str">
        <f>IF(OR(L7="",V7=0),"",IF(AND(N(I7)&gt;0,N(INDEX('04-نيسان'!$I$2:$I$501,V7))&gt;0,INDEX('04-نيسان'!$F$2:$F$501,V7)=F7),N(I7)/N(INDEX('04-نيسان'!$I$2:$I$501,V7))-1,""))</f>
        <v/>
      </c>
      <c r="AC7" t="str">
        <f>IF(L7="","",IF(AND($AO$2=1,ISNA(MATCH(L7,'06-حزيران'!$L$2:$L$499,0))),"محذوف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IF(L8="","",IF($AO$1=1,IFERROR(MATCH(L8,'04-نيسان'!$L$2:$L$501,0),0),0))</f>
        <v/>
      </c>
      <c r="W8" t="str">
        <f t="shared" si="11"/>
        <v/>
      </c>
      <c r="X8" s="38" t="str">
        <f>IF(L8="","",IF(V8&gt;0,INDEX('04-نيسان'!$P$2:$P$501,V8),IF($AO$1=1,0,"")))</f>
        <v/>
      </c>
      <c r="Y8" s="38" t="str">
        <f t="shared" si="12"/>
        <v/>
      </c>
      <c r="Z8" s="39" t="str">
        <f>IF(L8="","",IF(V8&gt;0,INDEX('04-نيسان'!$Q$2:$Q$501,V8),IF($AO$1=1,0,"")))</f>
        <v/>
      </c>
      <c r="AA8" s="39" t="str">
        <f t="shared" si="13"/>
        <v/>
      </c>
      <c r="AB8" s="40" t="str">
        <f>IF(OR(L8="",V8=0),"",IF(AND(N(I8)&gt;0,N(INDEX('04-نيسان'!$I$2:$I$501,V8))&gt;0,INDEX('04-نيسان'!$F$2:$F$501,V8)=F8),N(I8)/N(INDEX('04-نيسان'!$I$2:$I$501,V8))-1,""))</f>
        <v/>
      </c>
      <c r="AC8" t="str">
        <f>IF(L8="","",IF(AND($AO$2=1,ISNA(MATCH(L8,'06-حزيران'!$L$2:$L$499,0))),"محذوف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IF(L9="","",IF($AO$1=1,IFERROR(MATCH(L9,'04-نيسان'!$L$2:$L$501,0),0),0))</f>
        <v/>
      </c>
      <c r="W9" t="str">
        <f t="shared" si="11"/>
        <v/>
      </c>
      <c r="X9" s="38" t="str">
        <f>IF(L9="","",IF(V9&gt;0,INDEX('04-نيسان'!$P$2:$P$501,V9),IF($AO$1=1,0,"")))</f>
        <v/>
      </c>
      <c r="Y9" s="38" t="str">
        <f t="shared" si="12"/>
        <v/>
      </c>
      <c r="Z9" s="39" t="str">
        <f>IF(L9="","",IF(V9&gt;0,INDEX('04-نيسان'!$Q$2:$Q$501,V9),IF($AO$1=1,0,"")))</f>
        <v/>
      </c>
      <c r="AA9" s="39" t="str">
        <f t="shared" si="13"/>
        <v/>
      </c>
      <c r="AB9" s="40" t="str">
        <f>IF(OR(L9="",V9=0),"",IF(AND(N(I9)&gt;0,N(INDEX('04-نيسان'!$I$2:$I$501,V9))&gt;0,INDEX('04-نيسان'!$F$2:$F$501,V9)=F9),N(I9)/N(INDEX('04-نيسان'!$I$2:$I$501,V9))-1,""))</f>
        <v/>
      </c>
      <c r="AC9" t="str">
        <f>IF(L9="","",IF(AND($AO$2=1,ISNA(MATCH(L9,'06-حزيران'!$L$2:$L$499,0))),"محذوف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IF(L10="","",IF($AO$1=1,IFERROR(MATCH(L10,'04-نيسان'!$L$2:$L$501,0),0),0))</f>
        <v/>
      </c>
      <c r="W10" t="str">
        <f t="shared" si="11"/>
        <v/>
      </c>
      <c r="X10" s="38" t="str">
        <f>IF(L10="","",IF(V10&gt;0,INDEX('04-نيسان'!$P$2:$P$501,V10),IF($AO$1=1,0,"")))</f>
        <v/>
      </c>
      <c r="Y10" s="38" t="str">
        <f t="shared" si="12"/>
        <v/>
      </c>
      <c r="Z10" s="39" t="str">
        <f>IF(L10="","",IF(V10&gt;0,INDEX('04-نيسان'!$Q$2:$Q$501,V10),IF($AO$1=1,0,"")))</f>
        <v/>
      </c>
      <c r="AA10" s="39" t="str">
        <f t="shared" si="13"/>
        <v/>
      </c>
      <c r="AB10" s="40" t="str">
        <f>IF(OR(L10="",V10=0),"",IF(AND(N(I10)&gt;0,N(INDEX('04-نيسان'!$I$2:$I$501,V10))&gt;0,INDEX('04-نيسان'!$F$2:$F$501,V10)=F10),N(I10)/N(INDEX('04-نيسان'!$I$2:$I$501,V10))-1,""))</f>
        <v/>
      </c>
      <c r="AC10" t="str">
        <f>IF(L10="","",IF(AND($AO$2=1,ISNA(MATCH(L10,'06-حزيران'!$L$2:$L$499,0))),"محذوف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IF(L11="","",IF($AO$1=1,IFERROR(MATCH(L11,'04-نيسان'!$L$2:$L$501,0),0),0))</f>
        <v/>
      </c>
      <c r="W11" t="str">
        <f t="shared" si="11"/>
        <v/>
      </c>
      <c r="X11" s="38" t="str">
        <f>IF(L11="","",IF(V11&gt;0,INDEX('04-نيسان'!$P$2:$P$501,V11),IF($AO$1=1,0,"")))</f>
        <v/>
      </c>
      <c r="Y11" s="38" t="str">
        <f t="shared" si="12"/>
        <v/>
      </c>
      <c r="Z11" s="39" t="str">
        <f>IF(L11="","",IF(V11&gt;0,INDEX('04-نيسان'!$Q$2:$Q$501,V11),IF($AO$1=1,0,"")))</f>
        <v/>
      </c>
      <c r="AA11" s="39" t="str">
        <f t="shared" si="13"/>
        <v/>
      </c>
      <c r="AB11" s="40" t="str">
        <f>IF(OR(L11="",V11=0),"",IF(AND(N(I11)&gt;0,N(INDEX('04-نيسان'!$I$2:$I$501,V11))&gt;0,INDEX('04-نيسان'!$F$2:$F$501,V11)=F11),N(I11)/N(INDEX('04-نيسان'!$I$2:$I$501,V11))-1,""))</f>
        <v/>
      </c>
      <c r="AC11" t="str">
        <f>IF(L11="","",IF(AND($AO$2=1,ISNA(MATCH(L11,'06-حزيران'!$L$2:$L$499,0))),"محذوف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IF(L12="","",IF($AO$1=1,IFERROR(MATCH(L12,'04-نيسان'!$L$2:$L$501,0),0),0))</f>
        <v/>
      </c>
      <c r="W12" t="str">
        <f t="shared" si="11"/>
        <v/>
      </c>
      <c r="X12" s="38" t="str">
        <f>IF(L12="","",IF(V12&gt;0,INDEX('04-نيسان'!$P$2:$P$501,V12),IF($AO$1=1,0,"")))</f>
        <v/>
      </c>
      <c r="Y12" s="38" t="str">
        <f t="shared" si="12"/>
        <v/>
      </c>
      <c r="Z12" s="39" t="str">
        <f>IF(L12="","",IF(V12&gt;0,INDEX('04-نيسان'!$Q$2:$Q$501,V12),IF($AO$1=1,0,"")))</f>
        <v/>
      </c>
      <c r="AA12" s="39" t="str">
        <f t="shared" si="13"/>
        <v/>
      </c>
      <c r="AB12" s="40" t="str">
        <f>IF(OR(L12="",V12=0),"",IF(AND(N(I12)&gt;0,N(INDEX('04-نيسان'!$I$2:$I$501,V12))&gt;0,INDEX('04-نيسان'!$F$2:$F$501,V12)=F12),N(I12)/N(INDEX('04-نيسان'!$I$2:$I$501,V12))-1,""))</f>
        <v/>
      </c>
      <c r="AC12" t="str">
        <f>IF(L12="","",IF(AND($AO$2=1,ISNA(MATCH(L12,'06-حزيران'!$L$2:$L$499,0))),"محذوف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IF(L13="","",IF($AO$1=1,IFERROR(MATCH(L13,'04-نيسان'!$L$2:$L$501,0),0),0))</f>
        <v/>
      </c>
      <c r="W13" t="str">
        <f t="shared" si="11"/>
        <v/>
      </c>
      <c r="X13" s="38" t="str">
        <f>IF(L13="","",IF(V13&gt;0,INDEX('04-نيسان'!$P$2:$P$501,V13),IF($AO$1=1,0,"")))</f>
        <v/>
      </c>
      <c r="Y13" s="38" t="str">
        <f t="shared" si="12"/>
        <v/>
      </c>
      <c r="Z13" s="39" t="str">
        <f>IF(L13="","",IF(V13&gt;0,INDEX('04-نيسان'!$Q$2:$Q$501,V13),IF($AO$1=1,0,"")))</f>
        <v/>
      </c>
      <c r="AA13" s="39" t="str">
        <f t="shared" si="13"/>
        <v/>
      </c>
      <c r="AB13" s="40" t="str">
        <f>IF(OR(L13="",V13=0),"",IF(AND(N(I13)&gt;0,N(INDEX('04-نيسان'!$I$2:$I$501,V13))&gt;0,INDEX('04-نيسان'!$F$2:$F$501,V13)=F13),N(I13)/N(INDEX('04-نيسان'!$I$2:$I$501,V13))-1,""))</f>
        <v/>
      </c>
      <c r="AC13" t="str">
        <f>IF(L13="","",IF(AND($AO$2=1,ISNA(MATCH(L13,'06-حزيران'!$L$2:$L$499,0))),"محذوف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IF(L14="","",IF($AO$1=1,IFERROR(MATCH(L14,'04-نيسان'!$L$2:$L$501,0),0),0))</f>
        <v/>
      </c>
      <c r="W14" t="str">
        <f t="shared" si="11"/>
        <v/>
      </c>
      <c r="X14" s="38" t="str">
        <f>IF(L14="","",IF(V14&gt;0,INDEX('04-نيسان'!$P$2:$P$501,V14),IF($AO$1=1,0,"")))</f>
        <v/>
      </c>
      <c r="Y14" s="38" t="str">
        <f t="shared" si="12"/>
        <v/>
      </c>
      <c r="Z14" s="39" t="str">
        <f>IF(L14="","",IF(V14&gt;0,INDEX('04-نيسان'!$Q$2:$Q$501,V14),IF($AO$1=1,0,"")))</f>
        <v/>
      </c>
      <c r="AA14" s="39" t="str">
        <f t="shared" si="13"/>
        <v/>
      </c>
      <c r="AB14" s="40" t="str">
        <f>IF(OR(L14="",V14=0),"",IF(AND(N(I14)&gt;0,N(INDEX('04-نيسان'!$I$2:$I$501,V14))&gt;0,INDEX('04-نيسان'!$F$2:$F$501,V14)=F14),N(I14)/N(INDEX('04-نيسان'!$I$2:$I$501,V14))-1,""))</f>
        <v/>
      </c>
      <c r="AC14" t="str">
        <f>IF(L14="","",IF(AND($AO$2=1,ISNA(MATCH(L14,'06-حزيران'!$L$2:$L$499,0))),"محذوف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IF(L15="","",IF($AO$1=1,IFERROR(MATCH(L15,'04-نيسان'!$L$2:$L$501,0),0),0))</f>
        <v/>
      </c>
      <c r="W15" t="str">
        <f t="shared" si="11"/>
        <v/>
      </c>
      <c r="X15" s="38" t="str">
        <f>IF(L15="","",IF(V15&gt;0,INDEX('04-نيسان'!$P$2:$P$501,V15),IF($AO$1=1,0,"")))</f>
        <v/>
      </c>
      <c r="Y15" s="38" t="str">
        <f t="shared" si="12"/>
        <v/>
      </c>
      <c r="Z15" s="39" t="str">
        <f>IF(L15="","",IF(V15&gt;0,INDEX('04-نيسان'!$Q$2:$Q$501,V15),IF($AO$1=1,0,"")))</f>
        <v/>
      </c>
      <c r="AA15" s="39" t="str">
        <f t="shared" si="13"/>
        <v/>
      </c>
      <c r="AB15" s="40" t="str">
        <f>IF(OR(L15="",V15=0),"",IF(AND(N(I15)&gt;0,N(INDEX('04-نيسان'!$I$2:$I$501,V15))&gt;0,INDEX('04-نيسان'!$F$2:$F$501,V15)=F15),N(I15)/N(INDEX('04-نيسان'!$I$2:$I$501,V15))-1,""))</f>
        <v/>
      </c>
      <c r="AC15" t="str">
        <f>IF(L15="","",IF(AND($AO$2=1,ISNA(MATCH(L15,'06-حزيران'!$L$2:$L$499,0))),"محذوف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IF(L16="","",IF($AO$1=1,IFERROR(MATCH(L16,'04-نيسان'!$L$2:$L$501,0),0),0))</f>
        <v/>
      </c>
      <c r="W16" t="str">
        <f t="shared" si="11"/>
        <v/>
      </c>
      <c r="X16" s="38" t="str">
        <f>IF(L16="","",IF(V16&gt;0,INDEX('04-نيسان'!$P$2:$P$501,V16),IF($AO$1=1,0,"")))</f>
        <v/>
      </c>
      <c r="Y16" s="38" t="str">
        <f t="shared" si="12"/>
        <v/>
      </c>
      <c r="Z16" s="39" t="str">
        <f>IF(L16="","",IF(V16&gt;0,INDEX('04-نيسان'!$Q$2:$Q$501,V16),IF($AO$1=1,0,"")))</f>
        <v/>
      </c>
      <c r="AA16" s="39" t="str">
        <f t="shared" si="13"/>
        <v/>
      </c>
      <c r="AB16" s="40" t="str">
        <f>IF(OR(L16="",V16=0),"",IF(AND(N(I16)&gt;0,N(INDEX('04-نيسان'!$I$2:$I$501,V16))&gt;0,INDEX('04-نيسان'!$F$2:$F$501,V16)=F16),N(I16)/N(INDEX('04-نيسان'!$I$2:$I$501,V16))-1,""))</f>
        <v/>
      </c>
      <c r="AC16" t="str">
        <f>IF(L16="","",IF(AND($AO$2=1,ISNA(MATCH(L16,'06-حزيران'!$L$2:$L$499,0))),"محذوف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IF(L17="","",IF($AO$1=1,IFERROR(MATCH(L17,'04-نيسان'!$L$2:$L$501,0),0),0))</f>
        <v/>
      </c>
      <c r="W17" t="str">
        <f t="shared" si="11"/>
        <v/>
      </c>
      <c r="X17" s="38" t="str">
        <f>IF(L17="","",IF(V17&gt;0,INDEX('04-نيسان'!$P$2:$P$501,V17),IF($AO$1=1,0,"")))</f>
        <v/>
      </c>
      <c r="Y17" s="38" t="str">
        <f t="shared" si="12"/>
        <v/>
      </c>
      <c r="Z17" s="39" t="str">
        <f>IF(L17="","",IF(V17&gt;0,INDEX('04-نيسان'!$Q$2:$Q$501,V17),IF($AO$1=1,0,"")))</f>
        <v/>
      </c>
      <c r="AA17" s="39" t="str">
        <f t="shared" si="13"/>
        <v/>
      </c>
      <c r="AB17" s="40" t="str">
        <f>IF(OR(L17="",V17=0),"",IF(AND(N(I17)&gt;0,N(INDEX('04-نيسان'!$I$2:$I$501,V17))&gt;0,INDEX('04-نيسان'!$F$2:$F$501,V17)=F17),N(I17)/N(INDEX('04-نيسان'!$I$2:$I$501,V17))-1,""))</f>
        <v/>
      </c>
      <c r="AC17" t="str">
        <f>IF(L17="","",IF(AND($AO$2=1,ISNA(MATCH(L17,'06-حزيران'!$L$2:$L$499,0))),"محذوف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IF(L18="","",IF($AO$1=1,IFERROR(MATCH(L18,'04-نيسان'!$L$2:$L$501,0),0),0))</f>
        <v/>
      </c>
      <c r="W18" t="str">
        <f t="shared" si="11"/>
        <v/>
      </c>
      <c r="X18" s="38" t="str">
        <f>IF(L18="","",IF(V18&gt;0,INDEX('04-نيسان'!$P$2:$P$501,V18),IF($AO$1=1,0,"")))</f>
        <v/>
      </c>
      <c r="Y18" s="38" t="str">
        <f t="shared" si="12"/>
        <v/>
      </c>
      <c r="Z18" s="39" t="str">
        <f>IF(L18="","",IF(V18&gt;0,INDEX('04-نيسان'!$Q$2:$Q$501,V18),IF($AO$1=1,0,"")))</f>
        <v/>
      </c>
      <c r="AA18" s="39" t="str">
        <f t="shared" si="13"/>
        <v/>
      </c>
      <c r="AB18" s="40" t="str">
        <f>IF(OR(L18="",V18=0),"",IF(AND(N(I18)&gt;0,N(INDEX('04-نيسان'!$I$2:$I$501,V18))&gt;0,INDEX('04-نيسان'!$F$2:$F$501,V18)=F18),N(I18)/N(INDEX('04-نيسان'!$I$2:$I$501,V18))-1,""))</f>
        <v/>
      </c>
      <c r="AC18" t="str">
        <f>IF(L18="","",IF(AND($AO$2=1,ISNA(MATCH(L18,'06-حزيران'!$L$2:$L$499,0))),"محذوف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IF(L19="","",IF($AO$1=1,IFERROR(MATCH(L19,'04-نيسان'!$L$2:$L$501,0),0),0))</f>
        <v/>
      </c>
      <c r="W19" t="str">
        <f t="shared" si="11"/>
        <v/>
      </c>
      <c r="X19" s="38" t="str">
        <f>IF(L19="","",IF(V19&gt;0,INDEX('04-نيسان'!$P$2:$P$501,V19),IF($AO$1=1,0,"")))</f>
        <v/>
      </c>
      <c r="Y19" s="38" t="str">
        <f t="shared" si="12"/>
        <v/>
      </c>
      <c r="Z19" s="39" t="str">
        <f>IF(L19="","",IF(V19&gt;0,INDEX('04-نيسان'!$Q$2:$Q$501,V19),IF($AO$1=1,0,"")))</f>
        <v/>
      </c>
      <c r="AA19" s="39" t="str">
        <f t="shared" si="13"/>
        <v/>
      </c>
      <c r="AB19" s="40" t="str">
        <f>IF(OR(L19="",V19=0),"",IF(AND(N(I19)&gt;0,N(INDEX('04-نيسان'!$I$2:$I$501,V19))&gt;0,INDEX('04-نيسان'!$F$2:$F$501,V19)=F19),N(I19)/N(INDEX('04-نيسان'!$I$2:$I$501,V19))-1,""))</f>
        <v/>
      </c>
      <c r="AC19" t="str">
        <f>IF(L19="","",IF(AND($AO$2=1,ISNA(MATCH(L19,'06-حزيران'!$L$2:$L$499,0))),"محذوف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IF(L20="","",IF($AO$1=1,IFERROR(MATCH(L20,'04-نيسان'!$L$2:$L$501,0),0),0))</f>
        <v/>
      </c>
      <c r="W20" t="str">
        <f t="shared" si="11"/>
        <v/>
      </c>
      <c r="X20" s="38" t="str">
        <f>IF(L20="","",IF(V20&gt;0,INDEX('04-نيسان'!$P$2:$P$501,V20),IF($AO$1=1,0,"")))</f>
        <v/>
      </c>
      <c r="Y20" s="38" t="str">
        <f t="shared" si="12"/>
        <v/>
      </c>
      <c r="Z20" s="39" t="str">
        <f>IF(L20="","",IF(V20&gt;0,INDEX('04-نيسان'!$Q$2:$Q$501,V20),IF($AO$1=1,0,"")))</f>
        <v/>
      </c>
      <c r="AA20" s="39" t="str">
        <f t="shared" si="13"/>
        <v/>
      </c>
      <c r="AB20" s="40" t="str">
        <f>IF(OR(L20="",V20=0),"",IF(AND(N(I20)&gt;0,N(INDEX('04-نيسان'!$I$2:$I$501,V20))&gt;0,INDEX('04-نيسان'!$F$2:$F$501,V20)=F20),N(I20)/N(INDEX('04-نيسان'!$I$2:$I$501,V20))-1,""))</f>
        <v/>
      </c>
      <c r="AC20" t="str">
        <f>IF(L20="","",IF(AND($AO$2=1,ISNA(MATCH(L20,'06-حزيران'!$L$2:$L$499,0))),"محذوف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IF(L21="","",IF($AO$1=1,IFERROR(MATCH(L21,'04-نيسان'!$L$2:$L$501,0),0),0))</f>
        <v/>
      </c>
      <c r="W21" t="str">
        <f t="shared" si="11"/>
        <v/>
      </c>
      <c r="X21" s="38" t="str">
        <f>IF(L21="","",IF(V21&gt;0,INDEX('04-نيسان'!$P$2:$P$501,V21),IF($AO$1=1,0,"")))</f>
        <v/>
      </c>
      <c r="Y21" s="38" t="str">
        <f t="shared" si="12"/>
        <v/>
      </c>
      <c r="Z21" s="39" t="str">
        <f>IF(L21="","",IF(V21&gt;0,INDEX('04-نيسان'!$Q$2:$Q$501,V21),IF($AO$1=1,0,"")))</f>
        <v/>
      </c>
      <c r="AA21" s="39" t="str">
        <f t="shared" si="13"/>
        <v/>
      </c>
      <c r="AB21" s="40" t="str">
        <f>IF(OR(L21="",V21=0),"",IF(AND(N(I21)&gt;0,N(INDEX('04-نيسان'!$I$2:$I$501,V21))&gt;0,INDEX('04-نيسان'!$F$2:$F$501,V21)=F21),N(I21)/N(INDEX('04-نيسان'!$I$2:$I$501,V21))-1,""))</f>
        <v/>
      </c>
      <c r="AC21" t="str">
        <f>IF(L21="","",IF(AND($AO$2=1,ISNA(MATCH(L21,'06-حزيران'!$L$2:$L$499,0))),"محذوف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IF(L22="","",IF($AO$1=1,IFERROR(MATCH(L22,'04-نيسان'!$L$2:$L$501,0),0),0))</f>
        <v/>
      </c>
      <c r="W22" t="str">
        <f t="shared" si="11"/>
        <v/>
      </c>
      <c r="X22" s="38" t="str">
        <f>IF(L22="","",IF(V22&gt;0,INDEX('04-نيسان'!$P$2:$P$501,V22),IF($AO$1=1,0,"")))</f>
        <v/>
      </c>
      <c r="Y22" s="38" t="str">
        <f t="shared" si="12"/>
        <v/>
      </c>
      <c r="Z22" s="39" t="str">
        <f>IF(L22="","",IF(V22&gt;0,INDEX('04-نيسان'!$Q$2:$Q$501,V22),IF($AO$1=1,0,"")))</f>
        <v/>
      </c>
      <c r="AA22" s="39" t="str">
        <f t="shared" si="13"/>
        <v/>
      </c>
      <c r="AB22" s="40" t="str">
        <f>IF(OR(L22="",V22=0),"",IF(AND(N(I22)&gt;0,N(INDEX('04-نيسان'!$I$2:$I$501,V22))&gt;0,INDEX('04-نيسان'!$F$2:$F$501,V22)=F22),N(I22)/N(INDEX('04-نيسان'!$I$2:$I$501,V22))-1,""))</f>
        <v/>
      </c>
      <c r="AC22" t="str">
        <f>IF(L22="","",IF(AND($AO$2=1,ISNA(MATCH(L22,'06-حزيران'!$L$2:$L$499,0))),"محذوف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IF(L23="","",IF($AO$1=1,IFERROR(MATCH(L23,'04-نيسان'!$L$2:$L$501,0),0),0))</f>
        <v/>
      </c>
      <c r="W23" t="str">
        <f t="shared" si="11"/>
        <v/>
      </c>
      <c r="X23" s="38" t="str">
        <f>IF(L23="","",IF(V23&gt;0,INDEX('04-نيسان'!$P$2:$P$501,V23),IF($AO$1=1,0,"")))</f>
        <v/>
      </c>
      <c r="Y23" s="38" t="str">
        <f t="shared" si="12"/>
        <v/>
      </c>
      <c r="Z23" s="39" t="str">
        <f>IF(L23="","",IF(V23&gt;0,INDEX('04-نيسان'!$Q$2:$Q$501,V23),IF($AO$1=1,0,"")))</f>
        <v/>
      </c>
      <c r="AA23" s="39" t="str">
        <f t="shared" si="13"/>
        <v/>
      </c>
      <c r="AB23" s="40" t="str">
        <f>IF(OR(L23="",V23=0),"",IF(AND(N(I23)&gt;0,N(INDEX('04-نيسان'!$I$2:$I$501,V23))&gt;0,INDEX('04-نيسان'!$F$2:$F$501,V23)=F23),N(I23)/N(INDEX('04-نيسان'!$I$2:$I$501,V23))-1,""))</f>
        <v/>
      </c>
      <c r="AC23" t="str">
        <f>IF(L23="","",IF(AND($AO$2=1,ISNA(MATCH(L23,'06-حزيران'!$L$2:$L$499,0))),"محذوف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IF(L24="","",IF($AO$1=1,IFERROR(MATCH(L24,'04-نيسان'!$L$2:$L$501,0),0),0))</f>
        <v/>
      </c>
      <c r="W24" t="str">
        <f t="shared" si="11"/>
        <v/>
      </c>
      <c r="X24" s="38" t="str">
        <f>IF(L24="","",IF(V24&gt;0,INDEX('04-نيسان'!$P$2:$P$501,V24),IF($AO$1=1,0,"")))</f>
        <v/>
      </c>
      <c r="Y24" s="38" t="str">
        <f t="shared" si="12"/>
        <v/>
      </c>
      <c r="Z24" s="39" t="str">
        <f>IF(L24="","",IF(V24&gt;0,INDEX('04-نيسان'!$Q$2:$Q$501,V24),IF($AO$1=1,0,"")))</f>
        <v/>
      </c>
      <c r="AA24" s="39" t="str">
        <f t="shared" si="13"/>
        <v/>
      </c>
      <c r="AB24" s="40" t="str">
        <f>IF(OR(L24="",V24=0),"",IF(AND(N(I24)&gt;0,N(INDEX('04-نيسان'!$I$2:$I$501,V24))&gt;0,INDEX('04-نيسان'!$F$2:$F$501,V24)=F24),N(I24)/N(INDEX('04-نيسان'!$I$2:$I$501,V24))-1,""))</f>
        <v/>
      </c>
      <c r="AC24" t="str">
        <f>IF(L24="","",IF(AND($AO$2=1,ISNA(MATCH(L24,'06-حزيران'!$L$2:$L$499,0))),"محذوف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IF(L25="","",IF($AO$1=1,IFERROR(MATCH(L25,'04-نيسان'!$L$2:$L$501,0),0),0))</f>
        <v/>
      </c>
      <c r="W25" t="str">
        <f t="shared" si="11"/>
        <v/>
      </c>
      <c r="X25" s="38" t="str">
        <f>IF(L25="","",IF(V25&gt;0,INDEX('04-نيسان'!$P$2:$P$501,V25),IF($AO$1=1,0,"")))</f>
        <v/>
      </c>
      <c r="Y25" s="38" t="str">
        <f t="shared" si="12"/>
        <v/>
      </c>
      <c r="Z25" s="39" t="str">
        <f>IF(L25="","",IF(V25&gt;0,INDEX('04-نيسان'!$Q$2:$Q$501,V25),IF($AO$1=1,0,"")))</f>
        <v/>
      </c>
      <c r="AA25" s="39" t="str">
        <f t="shared" si="13"/>
        <v/>
      </c>
      <c r="AB25" s="40" t="str">
        <f>IF(OR(L25="",V25=0),"",IF(AND(N(I25)&gt;0,N(INDEX('04-نيسان'!$I$2:$I$501,V25))&gt;0,INDEX('04-نيسان'!$F$2:$F$501,V25)=F25),N(I25)/N(INDEX('04-نيسان'!$I$2:$I$501,V25))-1,""))</f>
        <v/>
      </c>
      <c r="AC25" t="str">
        <f>IF(L25="","",IF(AND($AO$2=1,ISNA(MATCH(L25,'06-حزيران'!$L$2:$L$499,0))),"محذوف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IF(L26="","",IF($AO$1=1,IFERROR(MATCH(L26,'04-نيسان'!$L$2:$L$501,0),0),0))</f>
        <v/>
      </c>
      <c r="W26" t="str">
        <f t="shared" si="11"/>
        <v/>
      </c>
      <c r="X26" s="38" t="str">
        <f>IF(L26="","",IF(V26&gt;0,INDEX('04-نيسان'!$P$2:$P$501,V26),IF($AO$1=1,0,"")))</f>
        <v/>
      </c>
      <c r="Y26" s="38" t="str">
        <f t="shared" si="12"/>
        <v/>
      </c>
      <c r="Z26" s="39" t="str">
        <f>IF(L26="","",IF(V26&gt;0,INDEX('04-نيسان'!$Q$2:$Q$501,V26),IF($AO$1=1,0,"")))</f>
        <v/>
      </c>
      <c r="AA26" s="39" t="str">
        <f t="shared" si="13"/>
        <v/>
      </c>
      <c r="AB26" s="40" t="str">
        <f>IF(OR(L26="",V26=0),"",IF(AND(N(I26)&gt;0,N(INDEX('04-نيسان'!$I$2:$I$501,V26))&gt;0,INDEX('04-نيسان'!$F$2:$F$501,V26)=F26),N(I26)/N(INDEX('04-نيسان'!$I$2:$I$501,V26))-1,""))</f>
        <v/>
      </c>
      <c r="AC26" t="str">
        <f>IF(L26="","",IF(AND($AO$2=1,ISNA(MATCH(L26,'06-حزيران'!$L$2:$L$499,0))),"محذوف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IF(L27="","",IF($AO$1=1,IFERROR(MATCH(L27,'04-نيسان'!$L$2:$L$501,0),0),0))</f>
        <v/>
      </c>
      <c r="W27" t="str">
        <f t="shared" si="11"/>
        <v/>
      </c>
      <c r="X27" s="38" t="str">
        <f>IF(L27="","",IF(V27&gt;0,INDEX('04-نيسان'!$P$2:$P$501,V27),IF($AO$1=1,0,"")))</f>
        <v/>
      </c>
      <c r="Y27" s="38" t="str">
        <f t="shared" si="12"/>
        <v/>
      </c>
      <c r="Z27" s="39" t="str">
        <f>IF(L27="","",IF(V27&gt;0,INDEX('04-نيسان'!$Q$2:$Q$501,V27),IF($AO$1=1,0,"")))</f>
        <v/>
      </c>
      <c r="AA27" s="39" t="str">
        <f t="shared" si="13"/>
        <v/>
      </c>
      <c r="AB27" s="40" t="str">
        <f>IF(OR(L27="",V27=0),"",IF(AND(N(I27)&gt;0,N(INDEX('04-نيسان'!$I$2:$I$501,V27))&gt;0,INDEX('04-نيسان'!$F$2:$F$501,V27)=F27),N(I27)/N(INDEX('04-نيسان'!$I$2:$I$501,V27))-1,""))</f>
        <v/>
      </c>
      <c r="AC27" t="str">
        <f>IF(L27="","",IF(AND($AO$2=1,ISNA(MATCH(L27,'06-حزيران'!$L$2:$L$499,0))),"محذوف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IF(L28="","",IF($AO$1=1,IFERROR(MATCH(L28,'04-نيسان'!$L$2:$L$501,0),0),0))</f>
        <v/>
      </c>
      <c r="W28" t="str">
        <f t="shared" si="11"/>
        <v/>
      </c>
      <c r="X28" s="38" t="str">
        <f>IF(L28="","",IF(V28&gt;0,INDEX('04-نيسان'!$P$2:$P$501,V28),IF($AO$1=1,0,"")))</f>
        <v/>
      </c>
      <c r="Y28" s="38" t="str">
        <f t="shared" si="12"/>
        <v/>
      </c>
      <c r="Z28" s="39" t="str">
        <f>IF(L28="","",IF(V28&gt;0,INDEX('04-نيسان'!$Q$2:$Q$501,V28),IF($AO$1=1,0,"")))</f>
        <v/>
      </c>
      <c r="AA28" s="39" t="str">
        <f t="shared" si="13"/>
        <v/>
      </c>
      <c r="AB28" s="40" t="str">
        <f>IF(OR(L28="",V28=0),"",IF(AND(N(I28)&gt;0,N(INDEX('04-نيسان'!$I$2:$I$501,V28))&gt;0,INDEX('04-نيسان'!$F$2:$F$501,V28)=F28),N(I28)/N(INDEX('04-نيسان'!$I$2:$I$501,V28))-1,""))</f>
        <v/>
      </c>
      <c r="AC28" t="str">
        <f>IF(L28="","",IF(AND($AO$2=1,ISNA(MATCH(L28,'06-حزيران'!$L$2:$L$499,0))),"محذوف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IF(L29="","",IF($AO$1=1,IFERROR(MATCH(L29,'04-نيسان'!$L$2:$L$501,0),0),0))</f>
        <v/>
      </c>
      <c r="W29" t="str">
        <f t="shared" si="11"/>
        <v/>
      </c>
      <c r="X29" s="38" t="str">
        <f>IF(L29="","",IF(V29&gt;0,INDEX('04-نيسان'!$P$2:$P$501,V29),IF($AO$1=1,0,"")))</f>
        <v/>
      </c>
      <c r="Y29" s="38" t="str">
        <f t="shared" si="12"/>
        <v/>
      </c>
      <c r="Z29" s="39" t="str">
        <f>IF(L29="","",IF(V29&gt;0,INDEX('04-نيسان'!$Q$2:$Q$501,V29),IF($AO$1=1,0,"")))</f>
        <v/>
      </c>
      <c r="AA29" s="39" t="str">
        <f t="shared" si="13"/>
        <v/>
      </c>
      <c r="AB29" s="40" t="str">
        <f>IF(OR(L29="",V29=0),"",IF(AND(N(I29)&gt;0,N(INDEX('04-نيسان'!$I$2:$I$501,V29))&gt;0,INDEX('04-نيسان'!$F$2:$F$501,V29)=F29),N(I29)/N(INDEX('04-نيسان'!$I$2:$I$501,V29))-1,""))</f>
        <v/>
      </c>
      <c r="AC29" t="str">
        <f>IF(L29="","",IF(AND($AO$2=1,ISNA(MATCH(L29,'06-حزيران'!$L$2:$L$499,0))),"محذوف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IF(L30="","",IF($AO$1=1,IFERROR(MATCH(L30,'04-نيسان'!$L$2:$L$501,0),0),0))</f>
        <v/>
      </c>
      <c r="W30" t="str">
        <f t="shared" si="11"/>
        <v/>
      </c>
      <c r="X30" s="38" t="str">
        <f>IF(L30="","",IF(V30&gt;0,INDEX('04-نيسان'!$P$2:$P$501,V30),IF($AO$1=1,0,"")))</f>
        <v/>
      </c>
      <c r="Y30" s="38" t="str">
        <f t="shared" si="12"/>
        <v/>
      </c>
      <c r="Z30" s="39" t="str">
        <f>IF(L30="","",IF(V30&gt;0,INDEX('04-نيسان'!$Q$2:$Q$501,V30),IF($AO$1=1,0,"")))</f>
        <v/>
      </c>
      <c r="AA30" s="39" t="str">
        <f t="shared" si="13"/>
        <v/>
      </c>
      <c r="AB30" s="40" t="str">
        <f>IF(OR(L30="",V30=0),"",IF(AND(N(I30)&gt;0,N(INDEX('04-نيسان'!$I$2:$I$501,V30))&gt;0,INDEX('04-نيسان'!$F$2:$F$501,V30)=F30),N(I30)/N(INDEX('04-نيسان'!$I$2:$I$501,V30))-1,""))</f>
        <v/>
      </c>
      <c r="AC30" t="str">
        <f>IF(L30="","",IF(AND($AO$2=1,ISNA(MATCH(L30,'06-حزيران'!$L$2:$L$499,0))),"محذوف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IF(L31="","",IF($AO$1=1,IFERROR(MATCH(L31,'04-نيسان'!$L$2:$L$501,0),0),0))</f>
        <v/>
      </c>
      <c r="W31" t="str">
        <f t="shared" si="11"/>
        <v/>
      </c>
      <c r="X31" s="38" t="str">
        <f>IF(L31="","",IF(V31&gt;0,INDEX('04-نيسان'!$P$2:$P$501,V31),IF($AO$1=1,0,"")))</f>
        <v/>
      </c>
      <c r="Y31" s="38" t="str">
        <f t="shared" si="12"/>
        <v/>
      </c>
      <c r="Z31" s="39" t="str">
        <f>IF(L31="","",IF(V31&gt;0,INDEX('04-نيسان'!$Q$2:$Q$501,V31),IF($AO$1=1,0,"")))</f>
        <v/>
      </c>
      <c r="AA31" s="39" t="str">
        <f t="shared" si="13"/>
        <v/>
      </c>
      <c r="AB31" s="40" t="str">
        <f>IF(OR(L31="",V31=0),"",IF(AND(N(I31)&gt;0,N(INDEX('04-نيسان'!$I$2:$I$501,V31))&gt;0,INDEX('04-نيسان'!$F$2:$F$501,V31)=F31),N(I31)/N(INDEX('04-نيسان'!$I$2:$I$501,V31))-1,""))</f>
        <v/>
      </c>
      <c r="AC31" t="str">
        <f>IF(L31="","",IF(AND($AO$2=1,ISNA(MATCH(L31,'06-حزيران'!$L$2:$L$499,0))),"محذوف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IF(L32="","",IF($AO$1=1,IFERROR(MATCH(L32,'04-نيسان'!$L$2:$L$501,0),0),0))</f>
        <v/>
      </c>
      <c r="W32" t="str">
        <f t="shared" si="11"/>
        <v/>
      </c>
      <c r="X32" s="38" t="str">
        <f>IF(L32="","",IF(V32&gt;0,INDEX('04-نيسان'!$P$2:$P$501,V32),IF($AO$1=1,0,"")))</f>
        <v/>
      </c>
      <c r="Y32" s="38" t="str">
        <f t="shared" si="12"/>
        <v/>
      </c>
      <c r="Z32" s="39" t="str">
        <f>IF(L32="","",IF(V32&gt;0,INDEX('04-نيسان'!$Q$2:$Q$501,V32),IF($AO$1=1,0,"")))</f>
        <v/>
      </c>
      <c r="AA32" s="39" t="str">
        <f t="shared" si="13"/>
        <v/>
      </c>
      <c r="AB32" s="40" t="str">
        <f>IF(OR(L32="",V32=0),"",IF(AND(N(I32)&gt;0,N(INDEX('04-نيسان'!$I$2:$I$501,V32))&gt;0,INDEX('04-نيسان'!$F$2:$F$501,V32)=F32),N(I32)/N(INDEX('04-نيسان'!$I$2:$I$501,V32))-1,""))</f>
        <v/>
      </c>
      <c r="AC32" t="str">
        <f>IF(L32="","",IF(AND($AO$2=1,ISNA(MATCH(L32,'06-حزيران'!$L$2:$L$499,0))),"محذوف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IF(L33="","",IF($AO$1=1,IFERROR(MATCH(L33,'04-نيسان'!$L$2:$L$501,0),0),0))</f>
        <v/>
      </c>
      <c r="W33" t="str">
        <f t="shared" si="11"/>
        <v/>
      </c>
      <c r="X33" s="38" t="str">
        <f>IF(L33="","",IF(V33&gt;0,INDEX('04-نيسان'!$P$2:$P$501,V33),IF($AO$1=1,0,"")))</f>
        <v/>
      </c>
      <c r="Y33" s="38" t="str">
        <f t="shared" si="12"/>
        <v/>
      </c>
      <c r="Z33" s="39" t="str">
        <f>IF(L33="","",IF(V33&gt;0,INDEX('04-نيسان'!$Q$2:$Q$501,V33),IF($AO$1=1,0,"")))</f>
        <v/>
      </c>
      <c r="AA33" s="39" t="str">
        <f t="shared" si="13"/>
        <v/>
      </c>
      <c r="AB33" s="40" t="str">
        <f>IF(OR(L33="",V33=0),"",IF(AND(N(I33)&gt;0,N(INDEX('04-نيسان'!$I$2:$I$501,V33))&gt;0,INDEX('04-نيسان'!$F$2:$F$501,V33)=F33),N(I33)/N(INDEX('04-نيسان'!$I$2:$I$501,V33))-1,""))</f>
        <v/>
      </c>
      <c r="AC33" t="str">
        <f>IF(L33="","",IF(AND($AO$2=1,ISNA(MATCH(L33,'06-حزيران'!$L$2:$L$499,0))),"محذوف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IF(L34="","",IF($AO$1=1,IFERROR(MATCH(L34,'04-نيسان'!$L$2:$L$501,0),0),0))</f>
        <v/>
      </c>
      <c r="W34" t="str">
        <f t="shared" si="11"/>
        <v/>
      </c>
      <c r="X34" s="38" t="str">
        <f>IF(L34="","",IF(V34&gt;0,INDEX('04-نيسان'!$P$2:$P$501,V34),IF($AO$1=1,0,"")))</f>
        <v/>
      </c>
      <c r="Y34" s="38" t="str">
        <f t="shared" si="12"/>
        <v/>
      </c>
      <c r="Z34" s="39" t="str">
        <f>IF(L34="","",IF(V34&gt;0,INDEX('04-نيسان'!$Q$2:$Q$501,V34),IF($AO$1=1,0,"")))</f>
        <v/>
      </c>
      <c r="AA34" s="39" t="str">
        <f t="shared" si="13"/>
        <v/>
      </c>
      <c r="AB34" s="40" t="str">
        <f>IF(OR(L34="",V34=0),"",IF(AND(N(I34)&gt;0,N(INDEX('04-نيسان'!$I$2:$I$501,V34))&gt;0,INDEX('04-نيسان'!$F$2:$F$501,V34)=F34),N(I34)/N(INDEX('04-نيسان'!$I$2:$I$501,V34))-1,""))</f>
        <v/>
      </c>
      <c r="AC34" t="str">
        <f>IF(L34="","",IF(AND($AO$2=1,ISNA(MATCH(L34,'06-حزيران'!$L$2:$L$499,0))),"محذوف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IF(L35="","",IF($AO$1=1,IFERROR(MATCH(L35,'04-نيسان'!$L$2:$L$501,0),0),0))</f>
        <v/>
      </c>
      <c r="W35" t="str">
        <f t="shared" si="11"/>
        <v/>
      </c>
      <c r="X35" s="38" t="str">
        <f>IF(L35="","",IF(V35&gt;0,INDEX('04-نيسان'!$P$2:$P$501,V35),IF($AO$1=1,0,"")))</f>
        <v/>
      </c>
      <c r="Y35" s="38" t="str">
        <f t="shared" si="12"/>
        <v/>
      </c>
      <c r="Z35" s="39" t="str">
        <f>IF(L35="","",IF(V35&gt;0,INDEX('04-نيسان'!$Q$2:$Q$501,V35),IF($AO$1=1,0,"")))</f>
        <v/>
      </c>
      <c r="AA35" s="39" t="str">
        <f t="shared" si="13"/>
        <v/>
      </c>
      <c r="AB35" s="40" t="str">
        <f>IF(OR(L35="",V35=0),"",IF(AND(N(I35)&gt;0,N(INDEX('04-نيسان'!$I$2:$I$501,V35))&gt;0,INDEX('04-نيسان'!$F$2:$F$501,V35)=F35),N(I35)/N(INDEX('04-نيسان'!$I$2:$I$501,V35))-1,""))</f>
        <v/>
      </c>
      <c r="AC35" t="str">
        <f>IF(L35="","",IF(AND($AO$2=1,ISNA(MATCH(L35,'06-حزيران'!$L$2:$L$499,0))),"محذوف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IF(L36="","",IF($AO$1=1,IFERROR(MATCH(L36,'04-نيسان'!$L$2:$L$501,0),0),0))</f>
        <v/>
      </c>
      <c r="W36" t="str">
        <f t="shared" si="11"/>
        <v/>
      </c>
      <c r="X36" s="38" t="str">
        <f>IF(L36="","",IF(V36&gt;0,INDEX('04-نيسان'!$P$2:$P$501,V36),IF($AO$1=1,0,"")))</f>
        <v/>
      </c>
      <c r="Y36" s="38" t="str">
        <f t="shared" si="12"/>
        <v/>
      </c>
      <c r="Z36" s="39" t="str">
        <f>IF(L36="","",IF(V36&gt;0,INDEX('04-نيسان'!$Q$2:$Q$501,V36),IF($AO$1=1,0,"")))</f>
        <v/>
      </c>
      <c r="AA36" s="39" t="str">
        <f t="shared" si="13"/>
        <v/>
      </c>
      <c r="AB36" s="40" t="str">
        <f>IF(OR(L36="",V36=0),"",IF(AND(N(I36)&gt;0,N(INDEX('04-نيسان'!$I$2:$I$501,V36))&gt;0,INDEX('04-نيسان'!$F$2:$F$501,V36)=F36),N(I36)/N(INDEX('04-نيسان'!$I$2:$I$501,V36))-1,""))</f>
        <v/>
      </c>
      <c r="AC36" t="str">
        <f>IF(L36="","",IF(AND($AO$2=1,ISNA(MATCH(L36,'06-حزيران'!$L$2:$L$499,0))),"محذوف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IF(L37="","",IF($AO$1=1,IFERROR(MATCH(L37,'04-نيسان'!$L$2:$L$501,0),0),0))</f>
        <v/>
      </c>
      <c r="W37" t="str">
        <f t="shared" si="11"/>
        <v/>
      </c>
      <c r="X37" s="38" t="str">
        <f>IF(L37="","",IF(V37&gt;0,INDEX('04-نيسان'!$P$2:$P$501,V37),IF($AO$1=1,0,"")))</f>
        <v/>
      </c>
      <c r="Y37" s="38" t="str">
        <f t="shared" si="12"/>
        <v/>
      </c>
      <c r="Z37" s="39" t="str">
        <f>IF(L37="","",IF(V37&gt;0,INDEX('04-نيسان'!$Q$2:$Q$501,V37),IF($AO$1=1,0,"")))</f>
        <v/>
      </c>
      <c r="AA37" s="39" t="str">
        <f t="shared" si="13"/>
        <v/>
      </c>
      <c r="AB37" s="40" t="str">
        <f>IF(OR(L37="",V37=0),"",IF(AND(N(I37)&gt;0,N(INDEX('04-نيسان'!$I$2:$I$501,V37))&gt;0,INDEX('04-نيسان'!$F$2:$F$501,V37)=F37),N(I37)/N(INDEX('04-نيسان'!$I$2:$I$501,V37))-1,""))</f>
        <v/>
      </c>
      <c r="AC37" t="str">
        <f>IF(L37="","",IF(AND($AO$2=1,ISNA(MATCH(L37,'06-حزيران'!$L$2:$L$499,0))),"محذوف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IF(L38="","",IF($AO$1=1,IFERROR(MATCH(L38,'04-نيسان'!$L$2:$L$501,0),0),0))</f>
        <v/>
      </c>
      <c r="W38" t="str">
        <f t="shared" si="11"/>
        <v/>
      </c>
      <c r="X38" s="38" t="str">
        <f>IF(L38="","",IF(V38&gt;0,INDEX('04-نيسان'!$P$2:$P$501,V38),IF($AO$1=1,0,"")))</f>
        <v/>
      </c>
      <c r="Y38" s="38" t="str">
        <f t="shared" si="12"/>
        <v/>
      </c>
      <c r="Z38" s="39" t="str">
        <f>IF(L38="","",IF(V38&gt;0,INDEX('04-نيسان'!$Q$2:$Q$501,V38),IF($AO$1=1,0,"")))</f>
        <v/>
      </c>
      <c r="AA38" s="39" t="str">
        <f t="shared" si="13"/>
        <v/>
      </c>
      <c r="AB38" s="40" t="str">
        <f>IF(OR(L38="",V38=0),"",IF(AND(N(I38)&gt;0,N(INDEX('04-نيسان'!$I$2:$I$501,V38))&gt;0,INDEX('04-نيسان'!$F$2:$F$501,V38)=F38),N(I38)/N(INDEX('04-نيسان'!$I$2:$I$501,V38))-1,""))</f>
        <v/>
      </c>
      <c r="AC38" t="str">
        <f>IF(L38="","",IF(AND($AO$2=1,ISNA(MATCH(L38,'06-حزيران'!$L$2:$L$499,0))),"محذوف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IF(L39="","",IF($AO$1=1,IFERROR(MATCH(L39,'04-نيسان'!$L$2:$L$501,0),0),0))</f>
        <v/>
      </c>
      <c r="W39" t="str">
        <f t="shared" si="11"/>
        <v/>
      </c>
      <c r="X39" s="38" t="str">
        <f>IF(L39="","",IF(V39&gt;0,INDEX('04-نيسان'!$P$2:$P$501,V39),IF($AO$1=1,0,"")))</f>
        <v/>
      </c>
      <c r="Y39" s="38" t="str">
        <f t="shared" si="12"/>
        <v/>
      </c>
      <c r="Z39" s="39" t="str">
        <f>IF(L39="","",IF(V39&gt;0,INDEX('04-نيسان'!$Q$2:$Q$501,V39),IF($AO$1=1,0,"")))</f>
        <v/>
      </c>
      <c r="AA39" s="39" t="str">
        <f t="shared" si="13"/>
        <v/>
      </c>
      <c r="AB39" s="40" t="str">
        <f>IF(OR(L39="",V39=0),"",IF(AND(N(I39)&gt;0,N(INDEX('04-نيسان'!$I$2:$I$501,V39))&gt;0,INDEX('04-نيسان'!$F$2:$F$501,V39)=F39),N(I39)/N(INDEX('04-نيسان'!$I$2:$I$501,V39))-1,""))</f>
        <v/>
      </c>
      <c r="AC39" t="str">
        <f>IF(L39="","",IF(AND($AO$2=1,ISNA(MATCH(L39,'06-حزيران'!$L$2:$L$499,0))),"محذوف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IF(L40="","",IF($AO$1=1,IFERROR(MATCH(L40,'04-نيسان'!$L$2:$L$501,0),0),0))</f>
        <v/>
      </c>
      <c r="W40" t="str">
        <f t="shared" si="11"/>
        <v/>
      </c>
      <c r="X40" s="38" t="str">
        <f>IF(L40="","",IF(V40&gt;0,INDEX('04-نيسان'!$P$2:$P$501,V40),IF($AO$1=1,0,"")))</f>
        <v/>
      </c>
      <c r="Y40" s="38" t="str">
        <f t="shared" si="12"/>
        <v/>
      </c>
      <c r="Z40" s="39" t="str">
        <f>IF(L40="","",IF(V40&gt;0,INDEX('04-نيسان'!$Q$2:$Q$501,V40),IF($AO$1=1,0,"")))</f>
        <v/>
      </c>
      <c r="AA40" s="39" t="str">
        <f t="shared" si="13"/>
        <v/>
      </c>
      <c r="AB40" s="40" t="str">
        <f>IF(OR(L40="",V40=0),"",IF(AND(N(I40)&gt;0,N(INDEX('04-نيسان'!$I$2:$I$501,V40))&gt;0,INDEX('04-نيسان'!$F$2:$F$501,V40)=F40),N(I40)/N(INDEX('04-نيسان'!$I$2:$I$501,V40))-1,""))</f>
        <v/>
      </c>
      <c r="AC40" t="str">
        <f>IF(L40="","",IF(AND($AO$2=1,ISNA(MATCH(L40,'06-حزيران'!$L$2:$L$499,0))),"محذوف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IF(L41="","",IF($AO$1=1,IFERROR(MATCH(L41,'04-نيسان'!$L$2:$L$501,0),0),0))</f>
        <v/>
      </c>
      <c r="W41" t="str">
        <f t="shared" si="11"/>
        <v/>
      </c>
      <c r="X41" s="38" t="str">
        <f>IF(L41="","",IF(V41&gt;0,INDEX('04-نيسان'!$P$2:$P$501,V41),IF($AO$1=1,0,"")))</f>
        <v/>
      </c>
      <c r="Y41" s="38" t="str">
        <f t="shared" si="12"/>
        <v/>
      </c>
      <c r="Z41" s="39" t="str">
        <f>IF(L41="","",IF(V41&gt;0,INDEX('04-نيسان'!$Q$2:$Q$501,V41),IF($AO$1=1,0,"")))</f>
        <v/>
      </c>
      <c r="AA41" s="39" t="str">
        <f t="shared" si="13"/>
        <v/>
      </c>
      <c r="AB41" s="40" t="str">
        <f>IF(OR(L41="",V41=0),"",IF(AND(N(I41)&gt;0,N(INDEX('04-نيسان'!$I$2:$I$501,V41))&gt;0,INDEX('04-نيسان'!$F$2:$F$501,V41)=F41),N(I41)/N(INDEX('04-نيسان'!$I$2:$I$501,V41))-1,""))</f>
        <v/>
      </c>
      <c r="AC41" t="str">
        <f>IF(L41="","",IF(AND($AO$2=1,ISNA(MATCH(L41,'06-حزيران'!$L$2:$L$499,0))),"محذوف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IF(L42="","",IF($AO$1=1,IFERROR(MATCH(L42,'04-نيسان'!$L$2:$L$501,0),0),0))</f>
        <v/>
      </c>
      <c r="W42" t="str">
        <f t="shared" si="11"/>
        <v/>
      </c>
      <c r="X42" s="38" t="str">
        <f>IF(L42="","",IF(V42&gt;0,INDEX('04-نيسان'!$P$2:$P$501,V42),IF($AO$1=1,0,"")))</f>
        <v/>
      </c>
      <c r="Y42" s="38" t="str">
        <f t="shared" si="12"/>
        <v/>
      </c>
      <c r="Z42" s="39" t="str">
        <f>IF(L42="","",IF(V42&gt;0,INDEX('04-نيسان'!$Q$2:$Q$501,V42),IF($AO$1=1,0,"")))</f>
        <v/>
      </c>
      <c r="AA42" s="39" t="str">
        <f t="shared" si="13"/>
        <v/>
      </c>
      <c r="AB42" s="40" t="str">
        <f>IF(OR(L42="",V42=0),"",IF(AND(N(I42)&gt;0,N(INDEX('04-نيسان'!$I$2:$I$501,V42))&gt;0,INDEX('04-نيسان'!$F$2:$F$501,V42)=F42),N(I42)/N(INDEX('04-نيسان'!$I$2:$I$501,V42))-1,""))</f>
        <v/>
      </c>
      <c r="AC42" t="str">
        <f>IF(L42="","",IF(AND($AO$2=1,ISNA(MATCH(L42,'06-حزيران'!$L$2:$L$499,0))),"محذوف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IF(L43="","",IF($AO$1=1,IFERROR(MATCH(L43,'04-نيسان'!$L$2:$L$501,0),0),0))</f>
        <v/>
      </c>
      <c r="W43" t="str">
        <f t="shared" si="11"/>
        <v/>
      </c>
      <c r="X43" s="38" t="str">
        <f>IF(L43="","",IF(V43&gt;0,INDEX('04-نيسان'!$P$2:$P$501,V43),IF($AO$1=1,0,"")))</f>
        <v/>
      </c>
      <c r="Y43" s="38" t="str">
        <f t="shared" si="12"/>
        <v/>
      </c>
      <c r="Z43" s="39" t="str">
        <f>IF(L43="","",IF(V43&gt;0,INDEX('04-نيسان'!$Q$2:$Q$501,V43),IF($AO$1=1,0,"")))</f>
        <v/>
      </c>
      <c r="AA43" s="39" t="str">
        <f t="shared" si="13"/>
        <v/>
      </c>
      <c r="AB43" s="40" t="str">
        <f>IF(OR(L43="",V43=0),"",IF(AND(N(I43)&gt;0,N(INDEX('04-نيسان'!$I$2:$I$501,V43))&gt;0,INDEX('04-نيسان'!$F$2:$F$501,V43)=F43),N(I43)/N(INDEX('04-نيسان'!$I$2:$I$501,V43))-1,""))</f>
        <v/>
      </c>
      <c r="AC43" t="str">
        <f>IF(L43="","",IF(AND($AO$2=1,ISNA(MATCH(L43,'06-حزيران'!$L$2:$L$499,0))),"محذوف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IF(L44="","",IF($AO$1=1,IFERROR(MATCH(L44,'04-نيسان'!$L$2:$L$501,0),0),0))</f>
        <v/>
      </c>
      <c r="W44" t="str">
        <f t="shared" si="11"/>
        <v/>
      </c>
      <c r="X44" s="38" t="str">
        <f>IF(L44="","",IF(V44&gt;0,INDEX('04-نيسان'!$P$2:$P$501,V44),IF($AO$1=1,0,"")))</f>
        <v/>
      </c>
      <c r="Y44" s="38" t="str">
        <f t="shared" si="12"/>
        <v/>
      </c>
      <c r="Z44" s="39" t="str">
        <f>IF(L44="","",IF(V44&gt;0,INDEX('04-نيسان'!$Q$2:$Q$501,V44),IF($AO$1=1,0,"")))</f>
        <v/>
      </c>
      <c r="AA44" s="39" t="str">
        <f t="shared" si="13"/>
        <v/>
      </c>
      <c r="AB44" s="40" t="str">
        <f>IF(OR(L44="",V44=0),"",IF(AND(N(I44)&gt;0,N(INDEX('04-نيسان'!$I$2:$I$501,V44))&gt;0,INDEX('04-نيسان'!$F$2:$F$501,V44)=F44),N(I44)/N(INDEX('04-نيسان'!$I$2:$I$501,V44))-1,""))</f>
        <v/>
      </c>
      <c r="AC44" t="str">
        <f>IF(L44="","",IF(AND($AO$2=1,ISNA(MATCH(L44,'06-حزيران'!$L$2:$L$499,0))),"محذوف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IF(L45="","",IF($AO$1=1,IFERROR(MATCH(L45,'04-نيسان'!$L$2:$L$501,0),0),0))</f>
        <v/>
      </c>
      <c r="W45" t="str">
        <f t="shared" si="11"/>
        <v/>
      </c>
      <c r="X45" s="38" t="str">
        <f>IF(L45="","",IF(V45&gt;0,INDEX('04-نيسان'!$P$2:$P$501,V45),IF($AO$1=1,0,"")))</f>
        <v/>
      </c>
      <c r="Y45" s="38" t="str">
        <f t="shared" si="12"/>
        <v/>
      </c>
      <c r="Z45" s="39" t="str">
        <f>IF(L45="","",IF(V45&gt;0,INDEX('04-نيسان'!$Q$2:$Q$501,V45),IF($AO$1=1,0,"")))</f>
        <v/>
      </c>
      <c r="AA45" s="39" t="str">
        <f t="shared" si="13"/>
        <v/>
      </c>
      <c r="AB45" s="40" t="str">
        <f>IF(OR(L45="",V45=0),"",IF(AND(N(I45)&gt;0,N(INDEX('04-نيسان'!$I$2:$I$501,V45))&gt;0,INDEX('04-نيسان'!$F$2:$F$501,V45)=F45),N(I45)/N(INDEX('04-نيسان'!$I$2:$I$501,V45))-1,""))</f>
        <v/>
      </c>
      <c r="AC45" t="str">
        <f>IF(L45="","",IF(AND($AO$2=1,ISNA(MATCH(L45,'06-حزيران'!$L$2:$L$499,0))),"محذوف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IF(L46="","",IF($AO$1=1,IFERROR(MATCH(L46,'04-نيسان'!$L$2:$L$501,0),0),0))</f>
        <v/>
      </c>
      <c r="W46" t="str">
        <f t="shared" si="11"/>
        <v/>
      </c>
      <c r="X46" s="38" t="str">
        <f>IF(L46="","",IF(V46&gt;0,INDEX('04-نيسان'!$P$2:$P$501,V46),IF($AO$1=1,0,"")))</f>
        <v/>
      </c>
      <c r="Y46" s="38" t="str">
        <f t="shared" si="12"/>
        <v/>
      </c>
      <c r="Z46" s="39" t="str">
        <f>IF(L46="","",IF(V46&gt;0,INDEX('04-نيسان'!$Q$2:$Q$501,V46),IF($AO$1=1,0,"")))</f>
        <v/>
      </c>
      <c r="AA46" s="39" t="str">
        <f t="shared" si="13"/>
        <v/>
      </c>
      <c r="AB46" s="40" t="str">
        <f>IF(OR(L46="",V46=0),"",IF(AND(N(I46)&gt;0,N(INDEX('04-نيسان'!$I$2:$I$501,V46))&gt;0,INDEX('04-نيسان'!$F$2:$F$501,V46)=F46),N(I46)/N(INDEX('04-نيسان'!$I$2:$I$501,V46))-1,""))</f>
        <v/>
      </c>
      <c r="AC46" t="str">
        <f>IF(L46="","",IF(AND($AO$2=1,ISNA(MATCH(L46,'06-حزيران'!$L$2:$L$499,0))),"محذوف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IF(L47="","",IF($AO$1=1,IFERROR(MATCH(L47,'04-نيسان'!$L$2:$L$501,0),0),0))</f>
        <v/>
      </c>
      <c r="W47" t="str">
        <f t="shared" si="11"/>
        <v/>
      </c>
      <c r="X47" s="38" t="str">
        <f>IF(L47="","",IF(V47&gt;0,INDEX('04-نيسان'!$P$2:$P$501,V47),IF($AO$1=1,0,"")))</f>
        <v/>
      </c>
      <c r="Y47" s="38" t="str">
        <f t="shared" si="12"/>
        <v/>
      </c>
      <c r="Z47" s="39" t="str">
        <f>IF(L47="","",IF(V47&gt;0,INDEX('04-نيسان'!$Q$2:$Q$501,V47),IF($AO$1=1,0,"")))</f>
        <v/>
      </c>
      <c r="AA47" s="39" t="str">
        <f t="shared" si="13"/>
        <v/>
      </c>
      <c r="AB47" s="40" t="str">
        <f>IF(OR(L47="",V47=0),"",IF(AND(N(I47)&gt;0,N(INDEX('04-نيسان'!$I$2:$I$501,V47))&gt;0,INDEX('04-نيسان'!$F$2:$F$501,V47)=F47),N(I47)/N(INDEX('04-نيسان'!$I$2:$I$501,V47))-1,""))</f>
        <v/>
      </c>
      <c r="AC47" t="str">
        <f>IF(L47="","",IF(AND($AO$2=1,ISNA(MATCH(L47,'06-حزيران'!$L$2:$L$499,0))),"محذوف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IF(L48="","",IF($AO$1=1,IFERROR(MATCH(L48,'04-نيسان'!$L$2:$L$501,0),0),0))</f>
        <v/>
      </c>
      <c r="W48" t="str">
        <f t="shared" si="11"/>
        <v/>
      </c>
      <c r="X48" s="38" t="str">
        <f>IF(L48="","",IF(V48&gt;0,INDEX('04-نيسان'!$P$2:$P$501,V48),IF($AO$1=1,0,"")))</f>
        <v/>
      </c>
      <c r="Y48" s="38" t="str">
        <f t="shared" si="12"/>
        <v/>
      </c>
      <c r="Z48" s="39" t="str">
        <f>IF(L48="","",IF(V48&gt;0,INDEX('04-نيسان'!$Q$2:$Q$501,V48),IF($AO$1=1,0,"")))</f>
        <v/>
      </c>
      <c r="AA48" s="39" t="str">
        <f t="shared" si="13"/>
        <v/>
      </c>
      <c r="AB48" s="40" t="str">
        <f>IF(OR(L48="",V48=0),"",IF(AND(N(I48)&gt;0,N(INDEX('04-نيسان'!$I$2:$I$501,V48))&gt;0,INDEX('04-نيسان'!$F$2:$F$501,V48)=F48),N(I48)/N(INDEX('04-نيسان'!$I$2:$I$501,V48))-1,""))</f>
        <v/>
      </c>
      <c r="AC48" t="str">
        <f>IF(L48="","",IF(AND($AO$2=1,ISNA(MATCH(L48,'06-حزيران'!$L$2:$L$499,0))),"محذوف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IF(L49="","",IF($AO$1=1,IFERROR(MATCH(L49,'04-نيسان'!$L$2:$L$501,0),0),0))</f>
        <v/>
      </c>
      <c r="W49" t="str">
        <f t="shared" si="11"/>
        <v/>
      </c>
      <c r="X49" s="38" t="str">
        <f>IF(L49="","",IF(V49&gt;0,INDEX('04-نيسان'!$P$2:$P$501,V49),IF($AO$1=1,0,"")))</f>
        <v/>
      </c>
      <c r="Y49" s="38" t="str">
        <f t="shared" si="12"/>
        <v/>
      </c>
      <c r="Z49" s="39" t="str">
        <f>IF(L49="","",IF(V49&gt;0,INDEX('04-نيسان'!$Q$2:$Q$501,V49),IF($AO$1=1,0,"")))</f>
        <v/>
      </c>
      <c r="AA49" s="39" t="str">
        <f t="shared" si="13"/>
        <v/>
      </c>
      <c r="AB49" s="40" t="str">
        <f>IF(OR(L49="",V49=0),"",IF(AND(N(I49)&gt;0,N(INDEX('04-نيسان'!$I$2:$I$501,V49))&gt;0,INDEX('04-نيسان'!$F$2:$F$501,V49)=F49),N(I49)/N(INDEX('04-نيسان'!$I$2:$I$501,V49))-1,""))</f>
        <v/>
      </c>
      <c r="AC49" t="str">
        <f>IF(L49="","",IF(AND($AO$2=1,ISNA(MATCH(L49,'06-حزيران'!$L$2:$L$499,0))),"محذوف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IF(L50="","",IF($AO$1=1,IFERROR(MATCH(L50,'04-نيسان'!$L$2:$L$501,0),0),0))</f>
        <v/>
      </c>
      <c r="W50" t="str">
        <f t="shared" si="11"/>
        <v/>
      </c>
      <c r="X50" s="38" t="str">
        <f>IF(L50="","",IF(V50&gt;0,INDEX('04-نيسان'!$P$2:$P$501,V50),IF($AO$1=1,0,"")))</f>
        <v/>
      </c>
      <c r="Y50" s="38" t="str">
        <f t="shared" si="12"/>
        <v/>
      </c>
      <c r="Z50" s="39" t="str">
        <f>IF(L50="","",IF(V50&gt;0,INDEX('04-نيسان'!$Q$2:$Q$501,V50),IF($AO$1=1,0,"")))</f>
        <v/>
      </c>
      <c r="AA50" s="39" t="str">
        <f t="shared" si="13"/>
        <v/>
      </c>
      <c r="AB50" s="40" t="str">
        <f>IF(OR(L50="",V50=0),"",IF(AND(N(I50)&gt;0,N(INDEX('04-نيسان'!$I$2:$I$501,V50))&gt;0,INDEX('04-نيسان'!$F$2:$F$501,V50)=F50),N(I50)/N(INDEX('04-نيسان'!$I$2:$I$501,V50))-1,""))</f>
        <v/>
      </c>
      <c r="AC50" t="str">
        <f>IF(L50="","",IF(AND($AO$2=1,ISNA(MATCH(L50,'06-حزيران'!$L$2:$L$499,0))),"محذوف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IF(L51="","",IF($AO$1=1,IFERROR(MATCH(L51,'04-نيسان'!$L$2:$L$501,0),0),0))</f>
        <v/>
      </c>
      <c r="W51" t="str">
        <f t="shared" si="11"/>
        <v/>
      </c>
      <c r="X51" s="38" t="str">
        <f>IF(L51="","",IF(V51&gt;0,INDEX('04-نيسان'!$P$2:$P$501,V51),IF($AO$1=1,0,"")))</f>
        <v/>
      </c>
      <c r="Y51" s="38" t="str">
        <f t="shared" si="12"/>
        <v/>
      </c>
      <c r="Z51" s="39" t="str">
        <f>IF(L51="","",IF(V51&gt;0,INDEX('04-نيسان'!$Q$2:$Q$501,V51),IF($AO$1=1,0,"")))</f>
        <v/>
      </c>
      <c r="AA51" s="39" t="str">
        <f t="shared" si="13"/>
        <v/>
      </c>
      <c r="AB51" s="40" t="str">
        <f>IF(OR(L51="",V51=0),"",IF(AND(N(I51)&gt;0,N(INDEX('04-نيسان'!$I$2:$I$501,V51))&gt;0,INDEX('04-نيسان'!$F$2:$F$501,V51)=F51),N(I51)/N(INDEX('04-نيسان'!$I$2:$I$501,V51))-1,""))</f>
        <v/>
      </c>
      <c r="AC51" t="str">
        <f>IF(L51="","",IF(AND($AO$2=1,ISNA(MATCH(L51,'06-حزيران'!$L$2:$L$499,0))),"محذوف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IF(L52="","",IF($AO$1=1,IFERROR(MATCH(L52,'04-نيسان'!$L$2:$L$501,0),0),0))</f>
        <v/>
      </c>
      <c r="W52" t="str">
        <f t="shared" si="11"/>
        <v/>
      </c>
      <c r="X52" s="38" t="str">
        <f>IF(L52="","",IF(V52&gt;0,INDEX('04-نيسان'!$P$2:$P$501,V52),IF($AO$1=1,0,"")))</f>
        <v/>
      </c>
      <c r="Y52" s="38" t="str">
        <f t="shared" si="12"/>
        <v/>
      </c>
      <c r="Z52" s="39" t="str">
        <f>IF(L52="","",IF(V52&gt;0,INDEX('04-نيسان'!$Q$2:$Q$501,V52),IF($AO$1=1,0,"")))</f>
        <v/>
      </c>
      <c r="AA52" s="39" t="str">
        <f t="shared" si="13"/>
        <v/>
      </c>
      <c r="AB52" s="40" t="str">
        <f>IF(OR(L52="",V52=0),"",IF(AND(N(I52)&gt;0,N(INDEX('04-نيسان'!$I$2:$I$501,V52))&gt;0,INDEX('04-نيسان'!$F$2:$F$501,V52)=F52),N(I52)/N(INDEX('04-نيسان'!$I$2:$I$501,V52))-1,""))</f>
        <v/>
      </c>
      <c r="AC52" t="str">
        <f>IF(L52="","",IF(AND($AO$2=1,ISNA(MATCH(L52,'06-حزيران'!$L$2:$L$499,0))),"محذوف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IF(L53="","",IF($AO$1=1,IFERROR(MATCH(L53,'04-نيسان'!$L$2:$L$501,0),0),0))</f>
        <v/>
      </c>
      <c r="W53" t="str">
        <f t="shared" si="11"/>
        <v/>
      </c>
      <c r="X53" s="38" t="str">
        <f>IF(L53="","",IF(V53&gt;0,INDEX('04-نيسان'!$P$2:$P$501,V53),IF($AO$1=1,0,"")))</f>
        <v/>
      </c>
      <c r="Y53" s="38" t="str">
        <f t="shared" si="12"/>
        <v/>
      </c>
      <c r="Z53" s="39" t="str">
        <f>IF(L53="","",IF(V53&gt;0,INDEX('04-نيسان'!$Q$2:$Q$501,V53),IF($AO$1=1,0,"")))</f>
        <v/>
      </c>
      <c r="AA53" s="39" t="str">
        <f t="shared" si="13"/>
        <v/>
      </c>
      <c r="AB53" s="40" t="str">
        <f>IF(OR(L53="",V53=0),"",IF(AND(N(I53)&gt;0,N(INDEX('04-نيسان'!$I$2:$I$501,V53))&gt;0,INDEX('04-نيسان'!$F$2:$F$501,V53)=F53),N(I53)/N(INDEX('04-نيسان'!$I$2:$I$501,V53))-1,""))</f>
        <v/>
      </c>
      <c r="AC53" t="str">
        <f>IF(L53="","",IF(AND($AO$2=1,ISNA(MATCH(L53,'06-حزيران'!$L$2:$L$499,0))),"محذوف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IF(L54="","",IF($AO$1=1,IFERROR(MATCH(L54,'04-نيسان'!$L$2:$L$501,0),0),0))</f>
        <v/>
      </c>
      <c r="W54" t="str">
        <f t="shared" si="11"/>
        <v/>
      </c>
      <c r="X54" s="38" t="str">
        <f>IF(L54="","",IF(V54&gt;0,INDEX('04-نيسان'!$P$2:$P$501,V54),IF($AO$1=1,0,"")))</f>
        <v/>
      </c>
      <c r="Y54" s="38" t="str">
        <f t="shared" si="12"/>
        <v/>
      </c>
      <c r="Z54" s="39" t="str">
        <f>IF(L54="","",IF(V54&gt;0,INDEX('04-نيسان'!$Q$2:$Q$501,V54),IF($AO$1=1,0,"")))</f>
        <v/>
      </c>
      <c r="AA54" s="39" t="str">
        <f t="shared" si="13"/>
        <v/>
      </c>
      <c r="AB54" s="40" t="str">
        <f>IF(OR(L54="",V54=0),"",IF(AND(N(I54)&gt;0,N(INDEX('04-نيسان'!$I$2:$I$501,V54))&gt;0,INDEX('04-نيسان'!$F$2:$F$501,V54)=F54),N(I54)/N(INDEX('04-نيسان'!$I$2:$I$501,V54))-1,""))</f>
        <v/>
      </c>
      <c r="AC54" t="str">
        <f>IF(L54="","",IF(AND($AO$2=1,ISNA(MATCH(L54,'06-حزيران'!$L$2:$L$499,0))),"محذوف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IF(L55="","",IF($AO$1=1,IFERROR(MATCH(L55,'04-نيسان'!$L$2:$L$501,0),0),0))</f>
        <v/>
      </c>
      <c r="W55" t="str">
        <f t="shared" si="11"/>
        <v/>
      </c>
      <c r="X55" s="38" t="str">
        <f>IF(L55="","",IF(V55&gt;0,INDEX('04-نيسان'!$P$2:$P$501,V55),IF($AO$1=1,0,"")))</f>
        <v/>
      </c>
      <c r="Y55" s="38" t="str">
        <f t="shared" si="12"/>
        <v/>
      </c>
      <c r="Z55" s="39" t="str">
        <f>IF(L55="","",IF(V55&gt;0,INDEX('04-نيسان'!$Q$2:$Q$501,V55),IF($AO$1=1,0,"")))</f>
        <v/>
      </c>
      <c r="AA55" s="39" t="str">
        <f t="shared" si="13"/>
        <v/>
      </c>
      <c r="AB55" s="40" t="str">
        <f>IF(OR(L55="",V55=0),"",IF(AND(N(I55)&gt;0,N(INDEX('04-نيسان'!$I$2:$I$501,V55))&gt;0,INDEX('04-نيسان'!$F$2:$F$501,V55)=F55),N(I55)/N(INDEX('04-نيسان'!$I$2:$I$501,V55))-1,""))</f>
        <v/>
      </c>
      <c r="AC55" t="str">
        <f>IF(L55="","",IF(AND($AO$2=1,ISNA(MATCH(L55,'06-حزيران'!$L$2:$L$499,0))),"محذوف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IF(L56="","",IF($AO$1=1,IFERROR(MATCH(L56,'04-نيسان'!$L$2:$L$501,0),0),0))</f>
        <v/>
      </c>
      <c r="W56" t="str">
        <f t="shared" si="11"/>
        <v/>
      </c>
      <c r="X56" s="38" t="str">
        <f>IF(L56="","",IF(V56&gt;0,INDEX('04-نيسان'!$P$2:$P$501,V56),IF($AO$1=1,0,"")))</f>
        <v/>
      </c>
      <c r="Y56" s="38" t="str">
        <f t="shared" si="12"/>
        <v/>
      </c>
      <c r="Z56" s="39" t="str">
        <f>IF(L56="","",IF(V56&gt;0,INDEX('04-نيسان'!$Q$2:$Q$501,V56),IF($AO$1=1,0,"")))</f>
        <v/>
      </c>
      <c r="AA56" s="39" t="str">
        <f t="shared" si="13"/>
        <v/>
      </c>
      <c r="AB56" s="40" t="str">
        <f>IF(OR(L56="",V56=0),"",IF(AND(N(I56)&gt;0,N(INDEX('04-نيسان'!$I$2:$I$501,V56))&gt;0,INDEX('04-نيسان'!$F$2:$F$501,V56)=F56),N(I56)/N(INDEX('04-نيسان'!$I$2:$I$501,V56))-1,""))</f>
        <v/>
      </c>
      <c r="AC56" t="str">
        <f>IF(L56="","",IF(AND($AO$2=1,ISNA(MATCH(L56,'06-حزيران'!$L$2:$L$499,0))),"محذوف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IF(L57="","",IF($AO$1=1,IFERROR(MATCH(L57,'04-نيسان'!$L$2:$L$501,0),0),0))</f>
        <v/>
      </c>
      <c r="W57" t="str">
        <f t="shared" si="11"/>
        <v/>
      </c>
      <c r="X57" s="38" t="str">
        <f>IF(L57="","",IF(V57&gt;0,INDEX('04-نيسان'!$P$2:$P$501,V57),IF($AO$1=1,0,"")))</f>
        <v/>
      </c>
      <c r="Y57" s="38" t="str">
        <f t="shared" si="12"/>
        <v/>
      </c>
      <c r="Z57" s="39" t="str">
        <f>IF(L57="","",IF(V57&gt;0,INDEX('04-نيسان'!$Q$2:$Q$501,V57),IF($AO$1=1,0,"")))</f>
        <v/>
      </c>
      <c r="AA57" s="39" t="str">
        <f t="shared" si="13"/>
        <v/>
      </c>
      <c r="AB57" s="40" t="str">
        <f>IF(OR(L57="",V57=0),"",IF(AND(N(I57)&gt;0,N(INDEX('04-نيسان'!$I$2:$I$501,V57))&gt;0,INDEX('04-نيسان'!$F$2:$F$501,V57)=F57),N(I57)/N(INDEX('04-نيسان'!$I$2:$I$501,V57))-1,""))</f>
        <v/>
      </c>
      <c r="AC57" t="str">
        <f>IF(L57="","",IF(AND($AO$2=1,ISNA(MATCH(L57,'06-حزيران'!$L$2:$L$499,0))),"محذوف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IF(L58="","",IF($AO$1=1,IFERROR(MATCH(L58,'04-نيسان'!$L$2:$L$501,0),0),0))</f>
        <v/>
      </c>
      <c r="W58" t="str">
        <f t="shared" si="11"/>
        <v/>
      </c>
      <c r="X58" s="38" t="str">
        <f>IF(L58="","",IF(V58&gt;0,INDEX('04-نيسان'!$P$2:$P$501,V58),IF($AO$1=1,0,"")))</f>
        <v/>
      </c>
      <c r="Y58" s="38" t="str">
        <f t="shared" si="12"/>
        <v/>
      </c>
      <c r="Z58" s="39" t="str">
        <f>IF(L58="","",IF(V58&gt;0,INDEX('04-نيسان'!$Q$2:$Q$501,V58),IF($AO$1=1,0,"")))</f>
        <v/>
      </c>
      <c r="AA58" s="39" t="str">
        <f t="shared" si="13"/>
        <v/>
      </c>
      <c r="AB58" s="40" t="str">
        <f>IF(OR(L58="",V58=0),"",IF(AND(N(I58)&gt;0,N(INDEX('04-نيسان'!$I$2:$I$501,V58))&gt;0,INDEX('04-نيسان'!$F$2:$F$501,V58)=F58),N(I58)/N(INDEX('04-نيسان'!$I$2:$I$501,V58))-1,""))</f>
        <v/>
      </c>
      <c r="AC58" t="str">
        <f>IF(L58="","",IF(AND($AO$2=1,ISNA(MATCH(L58,'06-حزيران'!$L$2:$L$499,0))),"محذوف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IF(L59="","",IF($AO$1=1,IFERROR(MATCH(L59,'04-نيسان'!$L$2:$L$501,0),0),0))</f>
        <v/>
      </c>
      <c r="W59" t="str">
        <f t="shared" si="11"/>
        <v/>
      </c>
      <c r="X59" s="38" t="str">
        <f>IF(L59="","",IF(V59&gt;0,INDEX('04-نيسان'!$P$2:$P$501,V59),IF($AO$1=1,0,"")))</f>
        <v/>
      </c>
      <c r="Y59" s="38" t="str">
        <f t="shared" si="12"/>
        <v/>
      </c>
      <c r="Z59" s="39" t="str">
        <f>IF(L59="","",IF(V59&gt;0,INDEX('04-نيسان'!$Q$2:$Q$501,V59),IF($AO$1=1,0,"")))</f>
        <v/>
      </c>
      <c r="AA59" s="39" t="str">
        <f t="shared" si="13"/>
        <v/>
      </c>
      <c r="AB59" s="40" t="str">
        <f>IF(OR(L59="",V59=0),"",IF(AND(N(I59)&gt;0,N(INDEX('04-نيسان'!$I$2:$I$501,V59))&gt;0,INDEX('04-نيسان'!$F$2:$F$501,V59)=F59),N(I59)/N(INDEX('04-نيسان'!$I$2:$I$501,V59))-1,""))</f>
        <v/>
      </c>
      <c r="AC59" t="str">
        <f>IF(L59="","",IF(AND($AO$2=1,ISNA(MATCH(L59,'06-حزيران'!$L$2:$L$499,0))),"محذوف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IF(L60="","",IF($AO$1=1,IFERROR(MATCH(L60,'04-نيسان'!$L$2:$L$501,0),0),0))</f>
        <v/>
      </c>
      <c r="W60" t="str">
        <f t="shared" si="11"/>
        <v/>
      </c>
      <c r="X60" s="38" t="str">
        <f>IF(L60="","",IF(V60&gt;0,INDEX('04-نيسان'!$P$2:$P$501,V60),IF($AO$1=1,0,"")))</f>
        <v/>
      </c>
      <c r="Y60" s="38" t="str">
        <f t="shared" si="12"/>
        <v/>
      </c>
      <c r="Z60" s="39" t="str">
        <f>IF(L60="","",IF(V60&gt;0,INDEX('04-نيسان'!$Q$2:$Q$501,V60),IF($AO$1=1,0,"")))</f>
        <v/>
      </c>
      <c r="AA60" s="39" t="str">
        <f t="shared" si="13"/>
        <v/>
      </c>
      <c r="AB60" s="40" t="str">
        <f>IF(OR(L60="",V60=0),"",IF(AND(N(I60)&gt;0,N(INDEX('04-نيسان'!$I$2:$I$501,V60))&gt;0,INDEX('04-نيسان'!$F$2:$F$501,V60)=F60),N(I60)/N(INDEX('04-نيسان'!$I$2:$I$501,V60))-1,""))</f>
        <v/>
      </c>
      <c r="AC60" t="str">
        <f>IF(L60="","",IF(AND($AO$2=1,ISNA(MATCH(L60,'06-حزيران'!$L$2:$L$499,0))),"محذوف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IF(L61="","",IF($AO$1=1,IFERROR(MATCH(L61,'04-نيسان'!$L$2:$L$501,0),0),0))</f>
        <v/>
      </c>
      <c r="W61" t="str">
        <f t="shared" si="11"/>
        <v/>
      </c>
      <c r="X61" s="38" t="str">
        <f>IF(L61="","",IF(V61&gt;0,INDEX('04-نيسان'!$P$2:$P$501,V61),IF($AO$1=1,0,"")))</f>
        <v/>
      </c>
      <c r="Y61" s="38" t="str">
        <f t="shared" si="12"/>
        <v/>
      </c>
      <c r="Z61" s="39" t="str">
        <f>IF(L61="","",IF(V61&gt;0,INDEX('04-نيسان'!$Q$2:$Q$501,V61),IF($AO$1=1,0,"")))</f>
        <v/>
      </c>
      <c r="AA61" s="39" t="str">
        <f t="shared" si="13"/>
        <v/>
      </c>
      <c r="AB61" s="40" t="str">
        <f>IF(OR(L61="",V61=0),"",IF(AND(N(I61)&gt;0,N(INDEX('04-نيسان'!$I$2:$I$501,V61))&gt;0,INDEX('04-نيسان'!$F$2:$F$501,V61)=F61),N(I61)/N(INDEX('04-نيسان'!$I$2:$I$501,V61))-1,""))</f>
        <v/>
      </c>
      <c r="AC61" t="str">
        <f>IF(L61="","",IF(AND($AO$2=1,ISNA(MATCH(L61,'06-حزيران'!$L$2:$L$499,0))),"محذوف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IF(L62="","",IF($AO$1=1,IFERROR(MATCH(L62,'04-نيسان'!$L$2:$L$501,0),0),0))</f>
        <v/>
      </c>
      <c r="W62" t="str">
        <f t="shared" si="11"/>
        <v/>
      </c>
      <c r="X62" s="38" t="str">
        <f>IF(L62="","",IF(V62&gt;0,INDEX('04-نيسان'!$P$2:$P$501,V62),IF($AO$1=1,0,"")))</f>
        <v/>
      </c>
      <c r="Y62" s="38" t="str">
        <f t="shared" si="12"/>
        <v/>
      </c>
      <c r="Z62" s="39" t="str">
        <f>IF(L62="","",IF(V62&gt;0,INDEX('04-نيسان'!$Q$2:$Q$501,V62),IF($AO$1=1,0,"")))</f>
        <v/>
      </c>
      <c r="AA62" s="39" t="str">
        <f t="shared" si="13"/>
        <v/>
      </c>
      <c r="AB62" s="40" t="str">
        <f>IF(OR(L62="",V62=0),"",IF(AND(N(I62)&gt;0,N(INDEX('04-نيسان'!$I$2:$I$501,V62))&gt;0,INDEX('04-نيسان'!$F$2:$F$501,V62)=F62),N(I62)/N(INDEX('04-نيسان'!$I$2:$I$501,V62))-1,""))</f>
        <v/>
      </c>
      <c r="AC62" t="str">
        <f>IF(L62="","",IF(AND($AO$2=1,ISNA(MATCH(L62,'06-حزيران'!$L$2:$L$499,0))),"محذوف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IF(L63="","",IF($AO$1=1,IFERROR(MATCH(L63,'04-نيسان'!$L$2:$L$501,0),0),0))</f>
        <v/>
      </c>
      <c r="W63" t="str">
        <f t="shared" si="11"/>
        <v/>
      </c>
      <c r="X63" s="38" t="str">
        <f>IF(L63="","",IF(V63&gt;0,INDEX('04-نيسان'!$P$2:$P$501,V63),IF($AO$1=1,0,"")))</f>
        <v/>
      </c>
      <c r="Y63" s="38" t="str">
        <f t="shared" si="12"/>
        <v/>
      </c>
      <c r="Z63" s="39" t="str">
        <f>IF(L63="","",IF(V63&gt;0,INDEX('04-نيسان'!$Q$2:$Q$501,V63),IF($AO$1=1,0,"")))</f>
        <v/>
      </c>
      <c r="AA63" s="39" t="str">
        <f t="shared" si="13"/>
        <v/>
      </c>
      <c r="AB63" s="40" t="str">
        <f>IF(OR(L63="",V63=0),"",IF(AND(N(I63)&gt;0,N(INDEX('04-نيسان'!$I$2:$I$501,V63))&gt;0,INDEX('04-نيسان'!$F$2:$F$501,V63)=F63),N(I63)/N(INDEX('04-نيسان'!$I$2:$I$501,V63))-1,""))</f>
        <v/>
      </c>
      <c r="AC63" t="str">
        <f>IF(L63="","",IF(AND($AO$2=1,ISNA(MATCH(L63,'06-حزيران'!$L$2:$L$499,0))),"محذوف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IF(L64="","",IF($AO$1=1,IFERROR(MATCH(L64,'04-نيسان'!$L$2:$L$501,0),0),0))</f>
        <v/>
      </c>
      <c r="W64" t="str">
        <f t="shared" si="11"/>
        <v/>
      </c>
      <c r="X64" s="38" t="str">
        <f>IF(L64="","",IF(V64&gt;0,INDEX('04-نيسان'!$P$2:$P$501,V64),IF($AO$1=1,0,"")))</f>
        <v/>
      </c>
      <c r="Y64" s="38" t="str">
        <f t="shared" si="12"/>
        <v/>
      </c>
      <c r="Z64" s="39" t="str">
        <f>IF(L64="","",IF(V64&gt;0,INDEX('04-نيسان'!$Q$2:$Q$501,V64),IF($AO$1=1,0,"")))</f>
        <v/>
      </c>
      <c r="AA64" s="39" t="str">
        <f t="shared" si="13"/>
        <v/>
      </c>
      <c r="AB64" s="40" t="str">
        <f>IF(OR(L64="",V64=0),"",IF(AND(N(I64)&gt;0,N(INDEX('04-نيسان'!$I$2:$I$501,V64))&gt;0,INDEX('04-نيسان'!$F$2:$F$501,V64)=F64),N(I64)/N(INDEX('04-نيسان'!$I$2:$I$501,V64))-1,""))</f>
        <v/>
      </c>
      <c r="AC64" t="str">
        <f>IF(L64="","",IF(AND($AO$2=1,ISNA(MATCH(L64,'06-حزيران'!$L$2:$L$499,0))),"محذوف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IF(L65="","",IF($AO$1=1,IFERROR(MATCH(L65,'04-نيسان'!$L$2:$L$501,0),0),0))</f>
        <v/>
      </c>
      <c r="W65" t="str">
        <f t="shared" si="11"/>
        <v/>
      </c>
      <c r="X65" s="38" t="str">
        <f>IF(L65="","",IF(V65&gt;0,INDEX('04-نيسان'!$P$2:$P$501,V65),IF($AO$1=1,0,"")))</f>
        <v/>
      </c>
      <c r="Y65" s="38" t="str">
        <f t="shared" si="12"/>
        <v/>
      </c>
      <c r="Z65" s="39" t="str">
        <f>IF(L65="","",IF(V65&gt;0,INDEX('04-نيسان'!$Q$2:$Q$501,V65),IF($AO$1=1,0,"")))</f>
        <v/>
      </c>
      <c r="AA65" s="39" t="str">
        <f t="shared" si="13"/>
        <v/>
      </c>
      <c r="AB65" s="40" t="str">
        <f>IF(OR(L65="",V65=0),"",IF(AND(N(I65)&gt;0,N(INDEX('04-نيسان'!$I$2:$I$501,V65))&gt;0,INDEX('04-نيسان'!$F$2:$F$501,V65)=F65),N(I65)/N(INDEX('04-نيسان'!$I$2:$I$501,V65))-1,""))</f>
        <v/>
      </c>
      <c r="AC65" t="str">
        <f>IF(L65="","",IF(AND($AO$2=1,ISNA(MATCH(L65,'06-حزيران'!$L$2:$L$499,0))),"محذوف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IF(L66="","",IF($AO$1=1,IFERROR(MATCH(L66,'04-نيسان'!$L$2:$L$501,0),0),0))</f>
        <v/>
      </c>
      <c r="W66" t="str">
        <f t="shared" ref="W66:W129" si="31">IF(L66="","",IF(AND($AO$1=1,V66=0),"جديد",""))</f>
        <v/>
      </c>
      <c r="X66" s="38" t="str">
        <f>IF(L66="","",IF(V66&gt;0,INDEX('04-نيسان'!$P$2:$P$501,V66),IF($AO$1=1,0,"")))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IF(L66="","",IF(V66&gt;0,INDEX('04-نيسان'!$Q$2:$Q$501,V66),IF($AO$1=1,0,"")))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IF(OR(L66="",V66=0),"",IF(AND(N(I66)&gt;0,N(INDEX('04-نيسان'!$I$2:$I$501,V66))&gt;0,INDEX('04-نيسان'!$F$2:$F$501,V66)=F66),N(I66)/N(INDEX('04-نيسان'!$I$2:$I$501,V66))-1,""))</f>
        <v/>
      </c>
      <c r="AC66" t="str">
        <f>IF(L66="","",IF(AND($AO$2=1,ISNA(MATCH(L66,'06-حزيران'!$L$2:$L$499,0))),"محذوف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IF(L67="","",IF($AO$1=1,IFERROR(MATCH(L67,'04-نيسان'!$L$2:$L$501,0),0),0))</f>
        <v/>
      </c>
      <c r="W67" t="str">
        <f t="shared" si="31"/>
        <v/>
      </c>
      <c r="X67" s="38" t="str">
        <f>IF(L67="","",IF(V67&gt;0,INDEX('04-نيسان'!$P$2:$P$501,V67),IF($AO$1=1,0,"")))</f>
        <v/>
      </c>
      <c r="Y67" s="38" t="str">
        <f t="shared" si="32"/>
        <v/>
      </c>
      <c r="Z67" s="39" t="str">
        <f>IF(L67="","",IF(V67&gt;0,INDEX('04-نيسان'!$Q$2:$Q$501,V67),IF($AO$1=1,0,"")))</f>
        <v/>
      </c>
      <c r="AA67" s="39" t="str">
        <f t="shared" si="33"/>
        <v/>
      </c>
      <c r="AB67" s="40" t="str">
        <f>IF(OR(L67="",V67=0),"",IF(AND(N(I67)&gt;0,N(INDEX('04-نيسان'!$I$2:$I$501,V67))&gt;0,INDEX('04-نيسان'!$F$2:$F$501,V67)=F67),N(I67)/N(INDEX('04-نيسان'!$I$2:$I$501,V67))-1,""))</f>
        <v/>
      </c>
      <c r="AC67" t="str">
        <f>IF(L67="","",IF(AND($AO$2=1,ISNA(MATCH(L67,'06-حزيران'!$L$2:$L$499,0))),"محذوف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IF(L68="","",IF($AO$1=1,IFERROR(MATCH(L68,'04-نيسان'!$L$2:$L$501,0),0),0))</f>
        <v/>
      </c>
      <c r="W68" t="str">
        <f t="shared" si="31"/>
        <v/>
      </c>
      <c r="X68" s="38" t="str">
        <f>IF(L68="","",IF(V68&gt;0,INDEX('04-نيسان'!$P$2:$P$501,V68),IF($AO$1=1,0,"")))</f>
        <v/>
      </c>
      <c r="Y68" s="38" t="str">
        <f t="shared" si="32"/>
        <v/>
      </c>
      <c r="Z68" s="39" t="str">
        <f>IF(L68="","",IF(V68&gt;0,INDEX('04-نيسان'!$Q$2:$Q$501,V68),IF($AO$1=1,0,"")))</f>
        <v/>
      </c>
      <c r="AA68" s="39" t="str">
        <f t="shared" si="33"/>
        <v/>
      </c>
      <c r="AB68" s="40" t="str">
        <f>IF(OR(L68="",V68=0),"",IF(AND(N(I68)&gt;0,N(INDEX('04-نيسان'!$I$2:$I$501,V68))&gt;0,INDEX('04-نيسان'!$F$2:$F$501,V68)=F68),N(I68)/N(INDEX('04-نيسان'!$I$2:$I$501,V68))-1,""))</f>
        <v/>
      </c>
      <c r="AC68" t="str">
        <f>IF(L68="","",IF(AND($AO$2=1,ISNA(MATCH(L68,'06-حزيران'!$L$2:$L$499,0))),"محذوف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IF(L69="","",IF($AO$1=1,IFERROR(MATCH(L69,'04-نيسان'!$L$2:$L$501,0),0),0))</f>
        <v/>
      </c>
      <c r="W69" t="str">
        <f t="shared" si="31"/>
        <v/>
      </c>
      <c r="X69" s="38" t="str">
        <f>IF(L69="","",IF(V69&gt;0,INDEX('04-نيسان'!$P$2:$P$501,V69),IF($AO$1=1,0,"")))</f>
        <v/>
      </c>
      <c r="Y69" s="38" t="str">
        <f t="shared" si="32"/>
        <v/>
      </c>
      <c r="Z69" s="39" t="str">
        <f>IF(L69="","",IF(V69&gt;0,INDEX('04-نيسان'!$Q$2:$Q$501,V69),IF($AO$1=1,0,"")))</f>
        <v/>
      </c>
      <c r="AA69" s="39" t="str">
        <f t="shared" si="33"/>
        <v/>
      </c>
      <c r="AB69" s="40" t="str">
        <f>IF(OR(L69="",V69=0),"",IF(AND(N(I69)&gt;0,N(INDEX('04-نيسان'!$I$2:$I$501,V69))&gt;0,INDEX('04-نيسان'!$F$2:$F$501,V69)=F69),N(I69)/N(INDEX('04-نيسان'!$I$2:$I$501,V69))-1,""))</f>
        <v/>
      </c>
      <c r="AC69" t="str">
        <f>IF(L69="","",IF(AND($AO$2=1,ISNA(MATCH(L69,'06-حزيران'!$L$2:$L$499,0))),"محذوف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IF(L70="","",IF($AO$1=1,IFERROR(MATCH(L70,'04-نيسان'!$L$2:$L$501,0),0),0))</f>
        <v/>
      </c>
      <c r="W70" t="str">
        <f t="shared" si="31"/>
        <v/>
      </c>
      <c r="X70" s="38" t="str">
        <f>IF(L70="","",IF(V70&gt;0,INDEX('04-نيسان'!$P$2:$P$501,V70),IF($AO$1=1,0,"")))</f>
        <v/>
      </c>
      <c r="Y70" s="38" t="str">
        <f t="shared" si="32"/>
        <v/>
      </c>
      <c r="Z70" s="39" t="str">
        <f>IF(L70="","",IF(V70&gt;0,INDEX('04-نيسان'!$Q$2:$Q$501,V70),IF($AO$1=1,0,"")))</f>
        <v/>
      </c>
      <c r="AA70" s="39" t="str">
        <f t="shared" si="33"/>
        <v/>
      </c>
      <c r="AB70" s="40" t="str">
        <f>IF(OR(L70="",V70=0),"",IF(AND(N(I70)&gt;0,N(INDEX('04-نيسان'!$I$2:$I$501,V70))&gt;0,INDEX('04-نيسان'!$F$2:$F$501,V70)=F70),N(I70)/N(INDEX('04-نيسان'!$I$2:$I$501,V70))-1,""))</f>
        <v/>
      </c>
      <c r="AC70" t="str">
        <f>IF(L70="","",IF(AND($AO$2=1,ISNA(MATCH(L70,'06-حزيران'!$L$2:$L$499,0))),"محذوف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IF(L71="","",IF($AO$1=1,IFERROR(MATCH(L71,'04-نيسان'!$L$2:$L$501,0),0),0))</f>
        <v/>
      </c>
      <c r="W71" t="str">
        <f t="shared" si="31"/>
        <v/>
      </c>
      <c r="X71" s="38" t="str">
        <f>IF(L71="","",IF(V71&gt;0,INDEX('04-نيسان'!$P$2:$P$501,V71),IF($AO$1=1,0,"")))</f>
        <v/>
      </c>
      <c r="Y71" s="38" t="str">
        <f t="shared" si="32"/>
        <v/>
      </c>
      <c r="Z71" s="39" t="str">
        <f>IF(L71="","",IF(V71&gt;0,INDEX('04-نيسان'!$Q$2:$Q$501,V71),IF($AO$1=1,0,"")))</f>
        <v/>
      </c>
      <c r="AA71" s="39" t="str">
        <f t="shared" si="33"/>
        <v/>
      </c>
      <c r="AB71" s="40" t="str">
        <f>IF(OR(L71="",V71=0),"",IF(AND(N(I71)&gt;0,N(INDEX('04-نيسان'!$I$2:$I$501,V71))&gt;0,INDEX('04-نيسان'!$F$2:$F$501,V71)=F71),N(I71)/N(INDEX('04-نيسان'!$I$2:$I$501,V71))-1,""))</f>
        <v/>
      </c>
      <c r="AC71" t="str">
        <f>IF(L71="","",IF(AND($AO$2=1,ISNA(MATCH(L71,'06-حزيران'!$L$2:$L$499,0))),"محذوف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IF(L72="","",IF($AO$1=1,IFERROR(MATCH(L72,'04-نيسان'!$L$2:$L$501,0),0),0))</f>
        <v/>
      </c>
      <c r="W72" t="str">
        <f t="shared" si="31"/>
        <v/>
      </c>
      <c r="X72" s="38" t="str">
        <f>IF(L72="","",IF(V72&gt;0,INDEX('04-نيسان'!$P$2:$P$501,V72),IF($AO$1=1,0,"")))</f>
        <v/>
      </c>
      <c r="Y72" s="38" t="str">
        <f t="shared" si="32"/>
        <v/>
      </c>
      <c r="Z72" s="39" t="str">
        <f>IF(L72="","",IF(V72&gt;0,INDEX('04-نيسان'!$Q$2:$Q$501,V72),IF($AO$1=1,0,"")))</f>
        <v/>
      </c>
      <c r="AA72" s="39" t="str">
        <f t="shared" si="33"/>
        <v/>
      </c>
      <c r="AB72" s="40" t="str">
        <f>IF(OR(L72="",V72=0),"",IF(AND(N(I72)&gt;0,N(INDEX('04-نيسان'!$I$2:$I$501,V72))&gt;0,INDEX('04-نيسان'!$F$2:$F$501,V72)=F72),N(I72)/N(INDEX('04-نيسان'!$I$2:$I$501,V72))-1,""))</f>
        <v/>
      </c>
      <c r="AC72" t="str">
        <f>IF(L72="","",IF(AND($AO$2=1,ISNA(MATCH(L72,'06-حزيران'!$L$2:$L$499,0))),"محذوف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IF(L73="","",IF($AO$1=1,IFERROR(MATCH(L73,'04-نيسان'!$L$2:$L$501,0),0),0))</f>
        <v/>
      </c>
      <c r="W73" t="str">
        <f t="shared" si="31"/>
        <v/>
      </c>
      <c r="X73" s="38" t="str">
        <f>IF(L73="","",IF(V73&gt;0,INDEX('04-نيسان'!$P$2:$P$501,V73),IF($AO$1=1,0,"")))</f>
        <v/>
      </c>
      <c r="Y73" s="38" t="str">
        <f t="shared" si="32"/>
        <v/>
      </c>
      <c r="Z73" s="39" t="str">
        <f>IF(L73="","",IF(V73&gt;0,INDEX('04-نيسان'!$Q$2:$Q$501,V73),IF($AO$1=1,0,"")))</f>
        <v/>
      </c>
      <c r="AA73" s="39" t="str">
        <f t="shared" si="33"/>
        <v/>
      </c>
      <c r="AB73" s="40" t="str">
        <f>IF(OR(L73="",V73=0),"",IF(AND(N(I73)&gt;0,N(INDEX('04-نيسان'!$I$2:$I$501,V73))&gt;0,INDEX('04-نيسان'!$F$2:$F$501,V73)=F73),N(I73)/N(INDEX('04-نيسان'!$I$2:$I$501,V73))-1,""))</f>
        <v/>
      </c>
      <c r="AC73" t="str">
        <f>IF(L73="","",IF(AND($AO$2=1,ISNA(MATCH(L73,'06-حزيران'!$L$2:$L$499,0))),"محذوف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IF(L74="","",IF($AO$1=1,IFERROR(MATCH(L74,'04-نيسان'!$L$2:$L$501,0),0),0))</f>
        <v/>
      </c>
      <c r="W74" t="str">
        <f t="shared" si="31"/>
        <v/>
      </c>
      <c r="X74" s="38" t="str">
        <f>IF(L74="","",IF(V74&gt;0,INDEX('04-نيسان'!$P$2:$P$501,V74),IF($AO$1=1,0,"")))</f>
        <v/>
      </c>
      <c r="Y74" s="38" t="str">
        <f t="shared" si="32"/>
        <v/>
      </c>
      <c r="Z74" s="39" t="str">
        <f>IF(L74="","",IF(V74&gt;0,INDEX('04-نيسان'!$Q$2:$Q$501,V74),IF($AO$1=1,0,"")))</f>
        <v/>
      </c>
      <c r="AA74" s="39" t="str">
        <f t="shared" si="33"/>
        <v/>
      </c>
      <c r="AB74" s="40" t="str">
        <f>IF(OR(L74="",V74=0),"",IF(AND(N(I74)&gt;0,N(INDEX('04-نيسان'!$I$2:$I$501,V74))&gt;0,INDEX('04-نيسان'!$F$2:$F$501,V74)=F74),N(I74)/N(INDEX('04-نيسان'!$I$2:$I$501,V74))-1,""))</f>
        <v/>
      </c>
      <c r="AC74" t="str">
        <f>IF(L74="","",IF(AND($AO$2=1,ISNA(MATCH(L74,'06-حزيران'!$L$2:$L$499,0))),"محذوف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IF(L75="","",IF($AO$1=1,IFERROR(MATCH(L75,'04-نيسان'!$L$2:$L$501,0),0),0))</f>
        <v/>
      </c>
      <c r="W75" t="str">
        <f t="shared" si="31"/>
        <v/>
      </c>
      <c r="X75" s="38" t="str">
        <f>IF(L75="","",IF(V75&gt;0,INDEX('04-نيسان'!$P$2:$P$501,V75),IF($AO$1=1,0,"")))</f>
        <v/>
      </c>
      <c r="Y75" s="38" t="str">
        <f t="shared" si="32"/>
        <v/>
      </c>
      <c r="Z75" s="39" t="str">
        <f>IF(L75="","",IF(V75&gt;0,INDEX('04-نيسان'!$Q$2:$Q$501,V75),IF($AO$1=1,0,"")))</f>
        <v/>
      </c>
      <c r="AA75" s="39" t="str">
        <f t="shared" si="33"/>
        <v/>
      </c>
      <c r="AB75" s="40" t="str">
        <f>IF(OR(L75="",V75=0),"",IF(AND(N(I75)&gt;0,N(INDEX('04-نيسان'!$I$2:$I$501,V75))&gt;0,INDEX('04-نيسان'!$F$2:$F$501,V75)=F75),N(I75)/N(INDEX('04-نيسان'!$I$2:$I$501,V75))-1,""))</f>
        <v/>
      </c>
      <c r="AC75" t="str">
        <f>IF(L75="","",IF(AND($AO$2=1,ISNA(MATCH(L75,'06-حزيران'!$L$2:$L$499,0))),"محذوف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IF(L76="","",IF($AO$1=1,IFERROR(MATCH(L76,'04-نيسان'!$L$2:$L$501,0),0),0))</f>
        <v/>
      </c>
      <c r="W76" t="str">
        <f t="shared" si="31"/>
        <v/>
      </c>
      <c r="X76" s="38" t="str">
        <f>IF(L76="","",IF(V76&gt;0,INDEX('04-نيسان'!$P$2:$P$501,V76),IF($AO$1=1,0,"")))</f>
        <v/>
      </c>
      <c r="Y76" s="38" t="str">
        <f t="shared" si="32"/>
        <v/>
      </c>
      <c r="Z76" s="39" t="str">
        <f>IF(L76="","",IF(V76&gt;0,INDEX('04-نيسان'!$Q$2:$Q$501,V76),IF($AO$1=1,0,"")))</f>
        <v/>
      </c>
      <c r="AA76" s="39" t="str">
        <f t="shared" si="33"/>
        <v/>
      </c>
      <c r="AB76" s="40" t="str">
        <f>IF(OR(L76="",V76=0),"",IF(AND(N(I76)&gt;0,N(INDEX('04-نيسان'!$I$2:$I$501,V76))&gt;0,INDEX('04-نيسان'!$F$2:$F$501,V76)=F76),N(I76)/N(INDEX('04-نيسان'!$I$2:$I$501,V76))-1,""))</f>
        <v/>
      </c>
      <c r="AC76" t="str">
        <f>IF(L76="","",IF(AND($AO$2=1,ISNA(MATCH(L76,'06-حزيران'!$L$2:$L$499,0))),"محذوف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IF(L77="","",IF($AO$1=1,IFERROR(MATCH(L77,'04-نيسان'!$L$2:$L$501,0),0),0))</f>
        <v/>
      </c>
      <c r="W77" t="str">
        <f t="shared" si="31"/>
        <v/>
      </c>
      <c r="X77" s="38" t="str">
        <f>IF(L77="","",IF(V77&gt;0,INDEX('04-نيسان'!$P$2:$P$501,V77),IF($AO$1=1,0,"")))</f>
        <v/>
      </c>
      <c r="Y77" s="38" t="str">
        <f t="shared" si="32"/>
        <v/>
      </c>
      <c r="Z77" s="39" t="str">
        <f>IF(L77="","",IF(V77&gt;0,INDEX('04-نيسان'!$Q$2:$Q$501,V77),IF($AO$1=1,0,"")))</f>
        <v/>
      </c>
      <c r="AA77" s="39" t="str">
        <f t="shared" si="33"/>
        <v/>
      </c>
      <c r="AB77" s="40" t="str">
        <f>IF(OR(L77="",V77=0),"",IF(AND(N(I77)&gt;0,N(INDEX('04-نيسان'!$I$2:$I$501,V77))&gt;0,INDEX('04-نيسان'!$F$2:$F$501,V77)=F77),N(I77)/N(INDEX('04-نيسان'!$I$2:$I$501,V77))-1,""))</f>
        <v/>
      </c>
      <c r="AC77" t="str">
        <f>IF(L77="","",IF(AND($AO$2=1,ISNA(MATCH(L77,'06-حزيران'!$L$2:$L$499,0))),"محذوف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IF(L78="","",IF($AO$1=1,IFERROR(MATCH(L78,'04-نيسان'!$L$2:$L$501,0),0),0))</f>
        <v/>
      </c>
      <c r="W78" t="str">
        <f t="shared" si="31"/>
        <v/>
      </c>
      <c r="X78" s="38" t="str">
        <f>IF(L78="","",IF(V78&gt;0,INDEX('04-نيسان'!$P$2:$P$501,V78),IF($AO$1=1,0,"")))</f>
        <v/>
      </c>
      <c r="Y78" s="38" t="str">
        <f t="shared" si="32"/>
        <v/>
      </c>
      <c r="Z78" s="39" t="str">
        <f>IF(L78="","",IF(V78&gt;0,INDEX('04-نيسان'!$Q$2:$Q$501,V78),IF($AO$1=1,0,"")))</f>
        <v/>
      </c>
      <c r="AA78" s="39" t="str">
        <f t="shared" si="33"/>
        <v/>
      </c>
      <c r="AB78" s="40" t="str">
        <f>IF(OR(L78="",V78=0),"",IF(AND(N(I78)&gt;0,N(INDEX('04-نيسان'!$I$2:$I$501,V78))&gt;0,INDEX('04-نيسان'!$F$2:$F$501,V78)=F78),N(I78)/N(INDEX('04-نيسان'!$I$2:$I$501,V78))-1,""))</f>
        <v/>
      </c>
      <c r="AC78" t="str">
        <f>IF(L78="","",IF(AND($AO$2=1,ISNA(MATCH(L78,'06-حزيران'!$L$2:$L$499,0))),"محذوف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IF(L79="","",IF($AO$1=1,IFERROR(MATCH(L79,'04-نيسان'!$L$2:$L$501,0),0),0))</f>
        <v/>
      </c>
      <c r="W79" t="str">
        <f t="shared" si="31"/>
        <v/>
      </c>
      <c r="X79" s="38" t="str">
        <f>IF(L79="","",IF(V79&gt;0,INDEX('04-نيسان'!$P$2:$P$501,V79),IF($AO$1=1,0,"")))</f>
        <v/>
      </c>
      <c r="Y79" s="38" t="str">
        <f t="shared" si="32"/>
        <v/>
      </c>
      <c r="Z79" s="39" t="str">
        <f>IF(L79="","",IF(V79&gt;0,INDEX('04-نيسان'!$Q$2:$Q$501,V79),IF($AO$1=1,0,"")))</f>
        <v/>
      </c>
      <c r="AA79" s="39" t="str">
        <f t="shared" si="33"/>
        <v/>
      </c>
      <c r="AB79" s="40" t="str">
        <f>IF(OR(L79="",V79=0),"",IF(AND(N(I79)&gt;0,N(INDEX('04-نيسان'!$I$2:$I$501,V79))&gt;0,INDEX('04-نيسان'!$F$2:$F$501,V79)=F79),N(I79)/N(INDEX('04-نيسان'!$I$2:$I$501,V79))-1,""))</f>
        <v/>
      </c>
      <c r="AC79" t="str">
        <f>IF(L79="","",IF(AND($AO$2=1,ISNA(MATCH(L79,'06-حزيران'!$L$2:$L$499,0))),"محذوف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IF(L80="","",IF($AO$1=1,IFERROR(MATCH(L80,'04-نيسان'!$L$2:$L$501,0),0),0))</f>
        <v/>
      </c>
      <c r="W80" t="str">
        <f t="shared" si="31"/>
        <v/>
      </c>
      <c r="X80" s="38" t="str">
        <f>IF(L80="","",IF(V80&gt;0,INDEX('04-نيسان'!$P$2:$P$501,V80),IF($AO$1=1,0,"")))</f>
        <v/>
      </c>
      <c r="Y80" s="38" t="str">
        <f t="shared" si="32"/>
        <v/>
      </c>
      <c r="Z80" s="39" t="str">
        <f>IF(L80="","",IF(V80&gt;0,INDEX('04-نيسان'!$Q$2:$Q$501,V80),IF($AO$1=1,0,"")))</f>
        <v/>
      </c>
      <c r="AA80" s="39" t="str">
        <f t="shared" si="33"/>
        <v/>
      </c>
      <c r="AB80" s="40" t="str">
        <f>IF(OR(L80="",V80=0),"",IF(AND(N(I80)&gt;0,N(INDEX('04-نيسان'!$I$2:$I$501,V80))&gt;0,INDEX('04-نيسان'!$F$2:$F$501,V80)=F80),N(I80)/N(INDEX('04-نيسان'!$I$2:$I$501,V80))-1,""))</f>
        <v/>
      </c>
      <c r="AC80" t="str">
        <f>IF(L80="","",IF(AND($AO$2=1,ISNA(MATCH(L80,'06-حزيران'!$L$2:$L$499,0))),"محذوف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IF(L81="","",IF($AO$1=1,IFERROR(MATCH(L81,'04-نيسان'!$L$2:$L$501,0),0),0))</f>
        <v/>
      </c>
      <c r="W81" t="str">
        <f t="shared" si="31"/>
        <v/>
      </c>
      <c r="X81" s="38" t="str">
        <f>IF(L81="","",IF(V81&gt;0,INDEX('04-نيسان'!$P$2:$P$501,V81),IF($AO$1=1,0,"")))</f>
        <v/>
      </c>
      <c r="Y81" s="38" t="str">
        <f t="shared" si="32"/>
        <v/>
      </c>
      <c r="Z81" s="39" t="str">
        <f>IF(L81="","",IF(V81&gt;0,INDEX('04-نيسان'!$Q$2:$Q$501,V81),IF($AO$1=1,0,"")))</f>
        <v/>
      </c>
      <c r="AA81" s="39" t="str">
        <f t="shared" si="33"/>
        <v/>
      </c>
      <c r="AB81" s="40" t="str">
        <f>IF(OR(L81="",V81=0),"",IF(AND(N(I81)&gt;0,N(INDEX('04-نيسان'!$I$2:$I$501,V81))&gt;0,INDEX('04-نيسان'!$F$2:$F$501,V81)=F81),N(I81)/N(INDEX('04-نيسان'!$I$2:$I$501,V81))-1,""))</f>
        <v/>
      </c>
      <c r="AC81" t="str">
        <f>IF(L81="","",IF(AND($AO$2=1,ISNA(MATCH(L81,'06-حزيران'!$L$2:$L$499,0))),"محذوف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IF(L82="","",IF($AO$1=1,IFERROR(MATCH(L82,'04-نيسان'!$L$2:$L$501,0),0),0))</f>
        <v/>
      </c>
      <c r="W82" t="str">
        <f t="shared" si="31"/>
        <v/>
      </c>
      <c r="X82" s="38" t="str">
        <f>IF(L82="","",IF(V82&gt;0,INDEX('04-نيسان'!$P$2:$P$501,V82),IF($AO$1=1,0,"")))</f>
        <v/>
      </c>
      <c r="Y82" s="38" t="str">
        <f t="shared" si="32"/>
        <v/>
      </c>
      <c r="Z82" s="39" t="str">
        <f>IF(L82="","",IF(V82&gt;0,INDEX('04-نيسان'!$Q$2:$Q$501,V82),IF($AO$1=1,0,"")))</f>
        <v/>
      </c>
      <c r="AA82" s="39" t="str">
        <f t="shared" si="33"/>
        <v/>
      </c>
      <c r="AB82" s="40" t="str">
        <f>IF(OR(L82="",V82=0),"",IF(AND(N(I82)&gt;0,N(INDEX('04-نيسان'!$I$2:$I$501,V82))&gt;0,INDEX('04-نيسان'!$F$2:$F$501,V82)=F82),N(I82)/N(INDEX('04-نيسان'!$I$2:$I$501,V82))-1,""))</f>
        <v/>
      </c>
      <c r="AC82" t="str">
        <f>IF(L82="","",IF(AND($AO$2=1,ISNA(MATCH(L82,'06-حزيران'!$L$2:$L$499,0))),"محذوف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IF(L83="","",IF($AO$1=1,IFERROR(MATCH(L83,'04-نيسان'!$L$2:$L$501,0),0),0))</f>
        <v/>
      </c>
      <c r="W83" t="str">
        <f t="shared" si="31"/>
        <v/>
      </c>
      <c r="X83" s="38" t="str">
        <f>IF(L83="","",IF(V83&gt;0,INDEX('04-نيسان'!$P$2:$P$501,V83),IF($AO$1=1,0,"")))</f>
        <v/>
      </c>
      <c r="Y83" s="38" t="str">
        <f t="shared" si="32"/>
        <v/>
      </c>
      <c r="Z83" s="39" t="str">
        <f>IF(L83="","",IF(V83&gt;0,INDEX('04-نيسان'!$Q$2:$Q$501,V83),IF($AO$1=1,0,"")))</f>
        <v/>
      </c>
      <c r="AA83" s="39" t="str">
        <f t="shared" si="33"/>
        <v/>
      </c>
      <c r="AB83" s="40" t="str">
        <f>IF(OR(L83="",V83=0),"",IF(AND(N(I83)&gt;0,N(INDEX('04-نيسان'!$I$2:$I$501,V83))&gt;0,INDEX('04-نيسان'!$F$2:$F$501,V83)=F83),N(I83)/N(INDEX('04-نيسان'!$I$2:$I$501,V83))-1,""))</f>
        <v/>
      </c>
      <c r="AC83" t="str">
        <f>IF(L83="","",IF(AND($AO$2=1,ISNA(MATCH(L83,'06-حزيران'!$L$2:$L$499,0))),"محذوف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IF(L84="","",IF($AO$1=1,IFERROR(MATCH(L84,'04-نيسان'!$L$2:$L$501,0),0),0))</f>
        <v/>
      </c>
      <c r="W84" t="str">
        <f t="shared" si="31"/>
        <v/>
      </c>
      <c r="X84" s="38" t="str">
        <f>IF(L84="","",IF(V84&gt;0,INDEX('04-نيسان'!$P$2:$P$501,V84),IF($AO$1=1,0,"")))</f>
        <v/>
      </c>
      <c r="Y84" s="38" t="str">
        <f t="shared" si="32"/>
        <v/>
      </c>
      <c r="Z84" s="39" t="str">
        <f>IF(L84="","",IF(V84&gt;0,INDEX('04-نيسان'!$Q$2:$Q$501,V84),IF($AO$1=1,0,"")))</f>
        <v/>
      </c>
      <c r="AA84" s="39" t="str">
        <f t="shared" si="33"/>
        <v/>
      </c>
      <c r="AB84" s="40" t="str">
        <f>IF(OR(L84="",V84=0),"",IF(AND(N(I84)&gt;0,N(INDEX('04-نيسان'!$I$2:$I$501,V84))&gt;0,INDEX('04-نيسان'!$F$2:$F$501,V84)=F84),N(I84)/N(INDEX('04-نيسان'!$I$2:$I$501,V84))-1,""))</f>
        <v/>
      </c>
      <c r="AC84" t="str">
        <f>IF(L84="","",IF(AND($AO$2=1,ISNA(MATCH(L84,'06-حزيران'!$L$2:$L$499,0))),"محذوف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IF(L85="","",IF($AO$1=1,IFERROR(MATCH(L85,'04-نيسان'!$L$2:$L$501,0),0),0))</f>
        <v/>
      </c>
      <c r="W85" t="str">
        <f t="shared" si="31"/>
        <v/>
      </c>
      <c r="X85" s="38" t="str">
        <f>IF(L85="","",IF(V85&gt;0,INDEX('04-نيسان'!$P$2:$P$501,V85),IF($AO$1=1,0,"")))</f>
        <v/>
      </c>
      <c r="Y85" s="38" t="str">
        <f t="shared" si="32"/>
        <v/>
      </c>
      <c r="Z85" s="39" t="str">
        <f>IF(L85="","",IF(V85&gt;0,INDEX('04-نيسان'!$Q$2:$Q$501,V85),IF($AO$1=1,0,"")))</f>
        <v/>
      </c>
      <c r="AA85" s="39" t="str">
        <f t="shared" si="33"/>
        <v/>
      </c>
      <c r="AB85" s="40" t="str">
        <f>IF(OR(L85="",V85=0),"",IF(AND(N(I85)&gt;0,N(INDEX('04-نيسان'!$I$2:$I$501,V85))&gt;0,INDEX('04-نيسان'!$F$2:$F$501,V85)=F85),N(I85)/N(INDEX('04-نيسان'!$I$2:$I$501,V85))-1,""))</f>
        <v/>
      </c>
      <c r="AC85" t="str">
        <f>IF(L85="","",IF(AND($AO$2=1,ISNA(MATCH(L85,'06-حزيران'!$L$2:$L$499,0))),"محذوف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IF(L86="","",IF($AO$1=1,IFERROR(MATCH(L86,'04-نيسان'!$L$2:$L$501,0),0),0))</f>
        <v/>
      </c>
      <c r="W86" t="str">
        <f t="shared" si="31"/>
        <v/>
      </c>
      <c r="X86" s="38" t="str">
        <f>IF(L86="","",IF(V86&gt;0,INDEX('04-نيسان'!$P$2:$P$501,V86),IF($AO$1=1,0,"")))</f>
        <v/>
      </c>
      <c r="Y86" s="38" t="str">
        <f t="shared" si="32"/>
        <v/>
      </c>
      <c r="Z86" s="39" t="str">
        <f>IF(L86="","",IF(V86&gt;0,INDEX('04-نيسان'!$Q$2:$Q$501,V86),IF($AO$1=1,0,"")))</f>
        <v/>
      </c>
      <c r="AA86" s="39" t="str">
        <f t="shared" si="33"/>
        <v/>
      </c>
      <c r="AB86" s="40" t="str">
        <f>IF(OR(L86="",V86=0),"",IF(AND(N(I86)&gt;0,N(INDEX('04-نيسان'!$I$2:$I$501,V86))&gt;0,INDEX('04-نيسان'!$F$2:$F$501,V86)=F86),N(I86)/N(INDEX('04-نيسان'!$I$2:$I$501,V86))-1,""))</f>
        <v/>
      </c>
      <c r="AC86" t="str">
        <f>IF(L86="","",IF(AND($AO$2=1,ISNA(MATCH(L86,'06-حزيران'!$L$2:$L$499,0))),"محذوف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IF(L87="","",IF($AO$1=1,IFERROR(MATCH(L87,'04-نيسان'!$L$2:$L$501,0),0),0))</f>
        <v/>
      </c>
      <c r="W87" t="str">
        <f t="shared" si="31"/>
        <v/>
      </c>
      <c r="X87" s="38" t="str">
        <f>IF(L87="","",IF(V87&gt;0,INDEX('04-نيسان'!$P$2:$P$501,V87),IF($AO$1=1,0,"")))</f>
        <v/>
      </c>
      <c r="Y87" s="38" t="str">
        <f t="shared" si="32"/>
        <v/>
      </c>
      <c r="Z87" s="39" t="str">
        <f>IF(L87="","",IF(V87&gt;0,INDEX('04-نيسان'!$Q$2:$Q$501,V87),IF($AO$1=1,0,"")))</f>
        <v/>
      </c>
      <c r="AA87" s="39" t="str">
        <f t="shared" si="33"/>
        <v/>
      </c>
      <c r="AB87" s="40" t="str">
        <f>IF(OR(L87="",V87=0),"",IF(AND(N(I87)&gt;0,N(INDEX('04-نيسان'!$I$2:$I$501,V87))&gt;0,INDEX('04-نيسان'!$F$2:$F$501,V87)=F87),N(I87)/N(INDEX('04-نيسان'!$I$2:$I$501,V87))-1,""))</f>
        <v/>
      </c>
      <c r="AC87" t="str">
        <f>IF(L87="","",IF(AND($AO$2=1,ISNA(MATCH(L87,'06-حزيران'!$L$2:$L$499,0))),"محذوف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IF(L88="","",IF($AO$1=1,IFERROR(MATCH(L88,'04-نيسان'!$L$2:$L$501,0),0),0))</f>
        <v/>
      </c>
      <c r="W88" t="str">
        <f t="shared" si="31"/>
        <v/>
      </c>
      <c r="X88" s="38" t="str">
        <f>IF(L88="","",IF(V88&gt;0,INDEX('04-نيسان'!$P$2:$P$501,V88),IF($AO$1=1,0,"")))</f>
        <v/>
      </c>
      <c r="Y88" s="38" t="str">
        <f t="shared" si="32"/>
        <v/>
      </c>
      <c r="Z88" s="39" t="str">
        <f>IF(L88="","",IF(V88&gt;0,INDEX('04-نيسان'!$Q$2:$Q$501,V88),IF($AO$1=1,0,"")))</f>
        <v/>
      </c>
      <c r="AA88" s="39" t="str">
        <f t="shared" si="33"/>
        <v/>
      </c>
      <c r="AB88" s="40" t="str">
        <f>IF(OR(L88="",V88=0),"",IF(AND(N(I88)&gt;0,N(INDEX('04-نيسان'!$I$2:$I$501,V88))&gt;0,INDEX('04-نيسان'!$F$2:$F$501,V88)=F88),N(I88)/N(INDEX('04-نيسان'!$I$2:$I$501,V88))-1,""))</f>
        <v/>
      </c>
      <c r="AC88" t="str">
        <f>IF(L88="","",IF(AND($AO$2=1,ISNA(MATCH(L88,'06-حزيران'!$L$2:$L$499,0))),"محذوف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IF(L89="","",IF($AO$1=1,IFERROR(MATCH(L89,'04-نيسان'!$L$2:$L$501,0),0),0))</f>
        <v/>
      </c>
      <c r="W89" t="str">
        <f t="shared" si="31"/>
        <v/>
      </c>
      <c r="X89" s="38" t="str">
        <f>IF(L89="","",IF(V89&gt;0,INDEX('04-نيسان'!$P$2:$P$501,V89),IF($AO$1=1,0,"")))</f>
        <v/>
      </c>
      <c r="Y89" s="38" t="str">
        <f t="shared" si="32"/>
        <v/>
      </c>
      <c r="Z89" s="39" t="str">
        <f>IF(L89="","",IF(V89&gt;0,INDEX('04-نيسان'!$Q$2:$Q$501,V89),IF($AO$1=1,0,"")))</f>
        <v/>
      </c>
      <c r="AA89" s="39" t="str">
        <f t="shared" si="33"/>
        <v/>
      </c>
      <c r="AB89" s="40" t="str">
        <f>IF(OR(L89="",V89=0),"",IF(AND(N(I89)&gt;0,N(INDEX('04-نيسان'!$I$2:$I$501,V89))&gt;0,INDEX('04-نيسان'!$F$2:$F$501,V89)=F89),N(I89)/N(INDEX('04-نيسان'!$I$2:$I$501,V89))-1,""))</f>
        <v/>
      </c>
      <c r="AC89" t="str">
        <f>IF(L89="","",IF(AND($AO$2=1,ISNA(MATCH(L89,'06-حزيران'!$L$2:$L$499,0))),"محذوف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IF(L90="","",IF($AO$1=1,IFERROR(MATCH(L90,'04-نيسان'!$L$2:$L$501,0),0),0))</f>
        <v/>
      </c>
      <c r="W90" t="str">
        <f t="shared" si="31"/>
        <v/>
      </c>
      <c r="X90" s="38" t="str">
        <f>IF(L90="","",IF(V90&gt;0,INDEX('04-نيسان'!$P$2:$P$501,V90),IF($AO$1=1,0,"")))</f>
        <v/>
      </c>
      <c r="Y90" s="38" t="str">
        <f t="shared" si="32"/>
        <v/>
      </c>
      <c r="Z90" s="39" t="str">
        <f>IF(L90="","",IF(V90&gt;0,INDEX('04-نيسان'!$Q$2:$Q$501,V90),IF($AO$1=1,0,"")))</f>
        <v/>
      </c>
      <c r="AA90" s="39" t="str">
        <f t="shared" si="33"/>
        <v/>
      </c>
      <c r="AB90" s="40" t="str">
        <f>IF(OR(L90="",V90=0),"",IF(AND(N(I90)&gt;0,N(INDEX('04-نيسان'!$I$2:$I$501,V90))&gt;0,INDEX('04-نيسان'!$F$2:$F$501,V90)=F90),N(I90)/N(INDEX('04-نيسان'!$I$2:$I$501,V90))-1,""))</f>
        <v/>
      </c>
      <c r="AC90" t="str">
        <f>IF(L90="","",IF(AND($AO$2=1,ISNA(MATCH(L90,'06-حزيران'!$L$2:$L$499,0))),"محذوف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IF(L91="","",IF($AO$1=1,IFERROR(MATCH(L91,'04-نيسان'!$L$2:$L$501,0),0),0))</f>
        <v/>
      </c>
      <c r="W91" t="str">
        <f t="shared" si="31"/>
        <v/>
      </c>
      <c r="X91" s="38" t="str">
        <f>IF(L91="","",IF(V91&gt;0,INDEX('04-نيسان'!$P$2:$P$501,V91),IF($AO$1=1,0,"")))</f>
        <v/>
      </c>
      <c r="Y91" s="38" t="str">
        <f t="shared" si="32"/>
        <v/>
      </c>
      <c r="Z91" s="39" t="str">
        <f>IF(L91="","",IF(V91&gt;0,INDEX('04-نيسان'!$Q$2:$Q$501,V91),IF($AO$1=1,0,"")))</f>
        <v/>
      </c>
      <c r="AA91" s="39" t="str">
        <f t="shared" si="33"/>
        <v/>
      </c>
      <c r="AB91" s="40" t="str">
        <f>IF(OR(L91="",V91=0),"",IF(AND(N(I91)&gt;0,N(INDEX('04-نيسان'!$I$2:$I$501,V91))&gt;0,INDEX('04-نيسان'!$F$2:$F$501,V91)=F91),N(I91)/N(INDEX('04-نيسان'!$I$2:$I$501,V91))-1,""))</f>
        <v/>
      </c>
      <c r="AC91" t="str">
        <f>IF(L91="","",IF(AND($AO$2=1,ISNA(MATCH(L91,'06-حزيران'!$L$2:$L$499,0))),"محذوف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IF(L92="","",IF($AO$1=1,IFERROR(MATCH(L92,'04-نيسان'!$L$2:$L$501,0),0),0))</f>
        <v/>
      </c>
      <c r="W92" t="str">
        <f t="shared" si="31"/>
        <v/>
      </c>
      <c r="X92" s="38" t="str">
        <f>IF(L92="","",IF(V92&gt;0,INDEX('04-نيسان'!$P$2:$P$501,V92),IF($AO$1=1,0,"")))</f>
        <v/>
      </c>
      <c r="Y92" s="38" t="str">
        <f t="shared" si="32"/>
        <v/>
      </c>
      <c r="Z92" s="39" t="str">
        <f>IF(L92="","",IF(V92&gt;0,INDEX('04-نيسان'!$Q$2:$Q$501,V92),IF($AO$1=1,0,"")))</f>
        <v/>
      </c>
      <c r="AA92" s="39" t="str">
        <f t="shared" si="33"/>
        <v/>
      </c>
      <c r="AB92" s="40" t="str">
        <f>IF(OR(L92="",V92=0),"",IF(AND(N(I92)&gt;0,N(INDEX('04-نيسان'!$I$2:$I$501,V92))&gt;0,INDEX('04-نيسان'!$F$2:$F$501,V92)=F92),N(I92)/N(INDEX('04-نيسان'!$I$2:$I$501,V92))-1,""))</f>
        <v/>
      </c>
      <c r="AC92" t="str">
        <f>IF(L92="","",IF(AND($AO$2=1,ISNA(MATCH(L92,'06-حزيران'!$L$2:$L$499,0))),"محذوف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IF(L93="","",IF($AO$1=1,IFERROR(MATCH(L93,'04-نيسان'!$L$2:$L$501,0),0),0))</f>
        <v/>
      </c>
      <c r="W93" t="str">
        <f t="shared" si="31"/>
        <v/>
      </c>
      <c r="X93" s="38" t="str">
        <f>IF(L93="","",IF(V93&gt;0,INDEX('04-نيسان'!$P$2:$P$501,V93),IF($AO$1=1,0,"")))</f>
        <v/>
      </c>
      <c r="Y93" s="38" t="str">
        <f t="shared" si="32"/>
        <v/>
      </c>
      <c r="Z93" s="39" t="str">
        <f>IF(L93="","",IF(V93&gt;0,INDEX('04-نيسان'!$Q$2:$Q$501,V93),IF($AO$1=1,0,"")))</f>
        <v/>
      </c>
      <c r="AA93" s="39" t="str">
        <f t="shared" si="33"/>
        <v/>
      </c>
      <c r="AB93" s="40" t="str">
        <f>IF(OR(L93="",V93=0),"",IF(AND(N(I93)&gt;0,N(INDEX('04-نيسان'!$I$2:$I$501,V93))&gt;0,INDEX('04-نيسان'!$F$2:$F$501,V93)=F93),N(I93)/N(INDEX('04-نيسان'!$I$2:$I$501,V93))-1,""))</f>
        <v/>
      </c>
      <c r="AC93" t="str">
        <f>IF(L93="","",IF(AND($AO$2=1,ISNA(MATCH(L93,'06-حزيران'!$L$2:$L$499,0))),"محذوف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IF(L94="","",IF($AO$1=1,IFERROR(MATCH(L94,'04-نيسان'!$L$2:$L$501,0),0),0))</f>
        <v/>
      </c>
      <c r="W94" t="str">
        <f t="shared" si="31"/>
        <v/>
      </c>
      <c r="X94" s="38" t="str">
        <f>IF(L94="","",IF(V94&gt;0,INDEX('04-نيسان'!$P$2:$P$501,V94),IF($AO$1=1,0,"")))</f>
        <v/>
      </c>
      <c r="Y94" s="38" t="str">
        <f t="shared" si="32"/>
        <v/>
      </c>
      <c r="Z94" s="39" t="str">
        <f>IF(L94="","",IF(V94&gt;0,INDEX('04-نيسان'!$Q$2:$Q$501,V94),IF($AO$1=1,0,"")))</f>
        <v/>
      </c>
      <c r="AA94" s="39" t="str">
        <f t="shared" si="33"/>
        <v/>
      </c>
      <c r="AB94" s="40" t="str">
        <f>IF(OR(L94="",V94=0),"",IF(AND(N(I94)&gt;0,N(INDEX('04-نيسان'!$I$2:$I$501,V94))&gt;0,INDEX('04-نيسان'!$F$2:$F$501,V94)=F94),N(I94)/N(INDEX('04-نيسان'!$I$2:$I$501,V94))-1,""))</f>
        <v/>
      </c>
      <c r="AC94" t="str">
        <f>IF(L94="","",IF(AND($AO$2=1,ISNA(MATCH(L94,'06-حزيران'!$L$2:$L$499,0))),"محذوف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IF(L95="","",IF($AO$1=1,IFERROR(MATCH(L95,'04-نيسان'!$L$2:$L$501,0),0),0))</f>
        <v/>
      </c>
      <c r="W95" t="str">
        <f t="shared" si="31"/>
        <v/>
      </c>
      <c r="X95" s="38" t="str">
        <f>IF(L95="","",IF(V95&gt;0,INDEX('04-نيسان'!$P$2:$P$501,V95),IF($AO$1=1,0,"")))</f>
        <v/>
      </c>
      <c r="Y95" s="38" t="str">
        <f t="shared" si="32"/>
        <v/>
      </c>
      <c r="Z95" s="39" t="str">
        <f>IF(L95="","",IF(V95&gt;0,INDEX('04-نيسان'!$Q$2:$Q$501,V95),IF($AO$1=1,0,"")))</f>
        <v/>
      </c>
      <c r="AA95" s="39" t="str">
        <f t="shared" si="33"/>
        <v/>
      </c>
      <c r="AB95" s="40" t="str">
        <f>IF(OR(L95="",V95=0),"",IF(AND(N(I95)&gt;0,N(INDEX('04-نيسان'!$I$2:$I$501,V95))&gt;0,INDEX('04-نيسان'!$F$2:$F$501,V95)=F95),N(I95)/N(INDEX('04-نيسان'!$I$2:$I$501,V95))-1,""))</f>
        <v/>
      </c>
      <c r="AC95" t="str">
        <f>IF(L95="","",IF(AND($AO$2=1,ISNA(MATCH(L95,'06-حزيران'!$L$2:$L$499,0))),"محذوف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IF(L96="","",IF($AO$1=1,IFERROR(MATCH(L96,'04-نيسان'!$L$2:$L$501,0),0),0))</f>
        <v/>
      </c>
      <c r="W96" t="str">
        <f t="shared" si="31"/>
        <v/>
      </c>
      <c r="X96" s="38" t="str">
        <f>IF(L96="","",IF(V96&gt;0,INDEX('04-نيسان'!$P$2:$P$501,V96),IF($AO$1=1,0,"")))</f>
        <v/>
      </c>
      <c r="Y96" s="38" t="str">
        <f t="shared" si="32"/>
        <v/>
      </c>
      <c r="Z96" s="39" t="str">
        <f>IF(L96="","",IF(V96&gt;0,INDEX('04-نيسان'!$Q$2:$Q$501,V96),IF($AO$1=1,0,"")))</f>
        <v/>
      </c>
      <c r="AA96" s="39" t="str">
        <f t="shared" si="33"/>
        <v/>
      </c>
      <c r="AB96" s="40" t="str">
        <f>IF(OR(L96="",V96=0),"",IF(AND(N(I96)&gt;0,N(INDEX('04-نيسان'!$I$2:$I$501,V96))&gt;0,INDEX('04-نيسان'!$F$2:$F$501,V96)=F96),N(I96)/N(INDEX('04-نيسان'!$I$2:$I$501,V96))-1,""))</f>
        <v/>
      </c>
      <c r="AC96" t="str">
        <f>IF(L96="","",IF(AND($AO$2=1,ISNA(MATCH(L96,'06-حزيران'!$L$2:$L$499,0))),"محذوف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IF(L97="","",IF($AO$1=1,IFERROR(MATCH(L97,'04-نيسان'!$L$2:$L$501,0),0),0))</f>
        <v/>
      </c>
      <c r="W97" t="str">
        <f t="shared" si="31"/>
        <v/>
      </c>
      <c r="X97" s="38" t="str">
        <f>IF(L97="","",IF(V97&gt;0,INDEX('04-نيسان'!$P$2:$P$501,V97),IF($AO$1=1,0,"")))</f>
        <v/>
      </c>
      <c r="Y97" s="38" t="str">
        <f t="shared" si="32"/>
        <v/>
      </c>
      <c r="Z97" s="39" t="str">
        <f>IF(L97="","",IF(V97&gt;0,INDEX('04-نيسان'!$Q$2:$Q$501,V97),IF($AO$1=1,0,"")))</f>
        <v/>
      </c>
      <c r="AA97" s="39" t="str">
        <f t="shared" si="33"/>
        <v/>
      </c>
      <c r="AB97" s="40" t="str">
        <f>IF(OR(L97="",V97=0),"",IF(AND(N(I97)&gt;0,N(INDEX('04-نيسان'!$I$2:$I$501,V97))&gt;0,INDEX('04-نيسان'!$F$2:$F$501,V97)=F97),N(I97)/N(INDEX('04-نيسان'!$I$2:$I$501,V97))-1,""))</f>
        <v/>
      </c>
      <c r="AC97" t="str">
        <f>IF(L97="","",IF(AND($AO$2=1,ISNA(MATCH(L97,'06-حزيران'!$L$2:$L$499,0))),"محذوف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IF(L98="","",IF($AO$1=1,IFERROR(MATCH(L98,'04-نيسان'!$L$2:$L$501,0),0),0))</f>
        <v/>
      </c>
      <c r="W98" t="str">
        <f t="shared" si="31"/>
        <v/>
      </c>
      <c r="X98" s="38" t="str">
        <f>IF(L98="","",IF(V98&gt;0,INDEX('04-نيسان'!$P$2:$P$501,V98),IF($AO$1=1,0,"")))</f>
        <v/>
      </c>
      <c r="Y98" s="38" t="str">
        <f t="shared" si="32"/>
        <v/>
      </c>
      <c r="Z98" s="39" t="str">
        <f>IF(L98="","",IF(V98&gt;0,INDEX('04-نيسان'!$Q$2:$Q$501,V98),IF($AO$1=1,0,"")))</f>
        <v/>
      </c>
      <c r="AA98" s="39" t="str">
        <f t="shared" si="33"/>
        <v/>
      </c>
      <c r="AB98" s="40" t="str">
        <f>IF(OR(L98="",V98=0),"",IF(AND(N(I98)&gt;0,N(INDEX('04-نيسان'!$I$2:$I$501,V98))&gt;0,INDEX('04-نيسان'!$F$2:$F$501,V98)=F98),N(I98)/N(INDEX('04-نيسان'!$I$2:$I$501,V98))-1,""))</f>
        <v/>
      </c>
      <c r="AC98" t="str">
        <f>IF(L98="","",IF(AND($AO$2=1,ISNA(MATCH(L98,'06-حزيران'!$L$2:$L$499,0))),"محذوف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IF(L99="","",IF($AO$1=1,IFERROR(MATCH(L99,'04-نيسان'!$L$2:$L$501,0),0),0))</f>
        <v/>
      </c>
      <c r="W99" t="str">
        <f t="shared" si="31"/>
        <v/>
      </c>
      <c r="X99" s="38" t="str">
        <f>IF(L99="","",IF(V99&gt;0,INDEX('04-نيسان'!$P$2:$P$501,V99),IF($AO$1=1,0,"")))</f>
        <v/>
      </c>
      <c r="Y99" s="38" t="str">
        <f t="shared" si="32"/>
        <v/>
      </c>
      <c r="Z99" s="39" t="str">
        <f>IF(L99="","",IF(V99&gt;0,INDEX('04-نيسان'!$Q$2:$Q$501,V99),IF($AO$1=1,0,"")))</f>
        <v/>
      </c>
      <c r="AA99" s="39" t="str">
        <f t="shared" si="33"/>
        <v/>
      </c>
      <c r="AB99" s="40" t="str">
        <f>IF(OR(L99="",V99=0),"",IF(AND(N(I99)&gt;0,N(INDEX('04-نيسان'!$I$2:$I$501,V99))&gt;0,INDEX('04-نيسان'!$F$2:$F$501,V99)=F99),N(I99)/N(INDEX('04-نيسان'!$I$2:$I$501,V99))-1,""))</f>
        <v/>
      </c>
      <c r="AC99" t="str">
        <f>IF(L99="","",IF(AND($AO$2=1,ISNA(MATCH(L99,'06-حزيران'!$L$2:$L$499,0))),"محذوف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IF(L100="","",IF($AO$1=1,IFERROR(MATCH(L100,'04-نيسان'!$L$2:$L$501,0),0),0))</f>
        <v/>
      </c>
      <c r="W100" t="str">
        <f t="shared" si="31"/>
        <v/>
      </c>
      <c r="X100" s="38" t="str">
        <f>IF(L100="","",IF(V100&gt;0,INDEX('04-نيسان'!$P$2:$P$501,V100),IF($AO$1=1,0,"")))</f>
        <v/>
      </c>
      <c r="Y100" s="38" t="str">
        <f t="shared" si="32"/>
        <v/>
      </c>
      <c r="Z100" s="39" t="str">
        <f>IF(L100="","",IF(V100&gt;0,INDEX('04-نيسان'!$Q$2:$Q$501,V100),IF($AO$1=1,0,"")))</f>
        <v/>
      </c>
      <c r="AA100" s="39" t="str">
        <f t="shared" si="33"/>
        <v/>
      </c>
      <c r="AB100" s="40" t="str">
        <f>IF(OR(L100="",V100=0),"",IF(AND(N(I100)&gt;0,N(INDEX('04-نيسان'!$I$2:$I$501,V100))&gt;0,INDEX('04-نيسان'!$F$2:$F$501,V100)=F100),N(I100)/N(INDEX('04-نيسان'!$I$2:$I$501,V100))-1,""))</f>
        <v/>
      </c>
      <c r="AC100" t="str">
        <f>IF(L100="","",IF(AND($AO$2=1,ISNA(MATCH(L100,'06-حزيران'!$L$2:$L$499,0))),"محذوف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IF(L101="","",IF($AO$1=1,IFERROR(MATCH(L101,'04-نيسان'!$L$2:$L$501,0),0),0))</f>
        <v/>
      </c>
      <c r="W101" t="str">
        <f t="shared" si="31"/>
        <v/>
      </c>
      <c r="X101" s="38" t="str">
        <f>IF(L101="","",IF(V101&gt;0,INDEX('04-نيسان'!$P$2:$P$501,V101),IF($AO$1=1,0,"")))</f>
        <v/>
      </c>
      <c r="Y101" s="38" t="str">
        <f t="shared" si="32"/>
        <v/>
      </c>
      <c r="Z101" s="39" t="str">
        <f>IF(L101="","",IF(V101&gt;0,INDEX('04-نيسان'!$Q$2:$Q$501,V101),IF($AO$1=1,0,"")))</f>
        <v/>
      </c>
      <c r="AA101" s="39" t="str">
        <f t="shared" si="33"/>
        <v/>
      </c>
      <c r="AB101" s="40" t="str">
        <f>IF(OR(L101="",V101=0),"",IF(AND(N(I101)&gt;0,N(INDEX('04-نيسان'!$I$2:$I$501,V101))&gt;0,INDEX('04-نيسان'!$F$2:$F$501,V101)=F101),N(I101)/N(INDEX('04-نيسان'!$I$2:$I$501,V101))-1,""))</f>
        <v/>
      </c>
      <c r="AC101" t="str">
        <f>IF(L101="","",IF(AND($AO$2=1,ISNA(MATCH(L101,'06-حزيران'!$L$2:$L$499,0))),"محذوف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IF(L102="","",IF($AO$1=1,IFERROR(MATCH(L102,'04-نيسان'!$L$2:$L$501,0),0),0))</f>
        <v/>
      </c>
      <c r="W102" t="str">
        <f t="shared" si="31"/>
        <v/>
      </c>
      <c r="X102" s="38" t="str">
        <f>IF(L102="","",IF(V102&gt;0,INDEX('04-نيسان'!$P$2:$P$501,V102),IF($AO$1=1,0,"")))</f>
        <v/>
      </c>
      <c r="Y102" s="38" t="str">
        <f t="shared" si="32"/>
        <v/>
      </c>
      <c r="Z102" s="39" t="str">
        <f>IF(L102="","",IF(V102&gt;0,INDEX('04-نيسان'!$Q$2:$Q$501,V102),IF($AO$1=1,0,"")))</f>
        <v/>
      </c>
      <c r="AA102" s="39" t="str">
        <f t="shared" si="33"/>
        <v/>
      </c>
      <c r="AB102" s="40" t="str">
        <f>IF(OR(L102="",V102=0),"",IF(AND(N(I102)&gt;0,N(INDEX('04-نيسان'!$I$2:$I$501,V102))&gt;0,INDEX('04-نيسان'!$F$2:$F$501,V102)=F102),N(I102)/N(INDEX('04-نيسان'!$I$2:$I$501,V102))-1,""))</f>
        <v/>
      </c>
      <c r="AC102" t="str">
        <f>IF(L102="","",IF(AND($AO$2=1,ISNA(MATCH(L102,'06-حزيران'!$L$2:$L$499,0))),"محذوف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IF(L103="","",IF($AO$1=1,IFERROR(MATCH(L103,'04-نيسان'!$L$2:$L$501,0),0),0))</f>
        <v/>
      </c>
      <c r="W103" t="str">
        <f t="shared" si="31"/>
        <v/>
      </c>
      <c r="X103" s="38" t="str">
        <f>IF(L103="","",IF(V103&gt;0,INDEX('04-نيسان'!$P$2:$P$501,V103),IF($AO$1=1,0,"")))</f>
        <v/>
      </c>
      <c r="Y103" s="38" t="str">
        <f t="shared" si="32"/>
        <v/>
      </c>
      <c r="Z103" s="39" t="str">
        <f>IF(L103="","",IF(V103&gt;0,INDEX('04-نيسان'!$Q$2:$Q$501,V103),IF($AO$1=1,0,"")))</f>
        <v/>
      </c>
      <c r="AA103" s="39" t="str">
        <f t="shared" si="33"/>
        <v/>
      </c>
      <c r="AB103" s="40" t="str">
        <f>IF(OR(L103="",V103=0),"",IF(AND(N(I103)&gt;0,N(INDEX('04-نيسان'!$I$2:$I$501,V103))&gt;0,INDEX('04-نيسان'!$F$2:$F$501,V103)=F103),N(I103)/N(INDEX('04-نيسان'!$I$2:$I$501,V103))-1,""))</f>
        <v/>
      </c>
      <c r="AC103" t="str">
        <f>IF(L103="","",IF(AND($AO$2=1,ISNA(MATCH(L103,'06-حزيران'!$L$2:$L$499,0))),"محذوف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IF(L104="","",IF($AO$1=1,IFERROR(MATCH(L104,'04-نيسان'!$L$2:$L$501,0),0),0))</f>
        <v/>
      </c>
      <c r="W104" t="str">
        <f t="shared" si="31"/>
        <v/>
      </c>
      <c r="X104" s="38" t="str">
        <f>IF(L104="","",IF(V104&gt;0,INDEX('04-نيسان'!$P$2:$P$501,V104),IF($AO$1=1,0,"")))</f>
        <v/>
      </c>
      <c r="Y104" s="38" t="str">
        <f t="shared" si="32"/>
        <v/>
      </c>
      <c r="Z104" s="39" t="str">
        <f>IF(L104="","",IF(V104&gt;0,INDEX('04-نيسان'!$Q$2:$Q$501,V104),IF($AO$1=1,0,"")))</f>
        <v/>
      </c>
      <c r="AA104" s="39" t="str">
        <f t="shared" si="33"/>
        <v/>
      </c>
      <c r="AB104" s="40" t="str">
        <f>IF(OR(L104="",V104=0),"",IF(AND(N(I104)&gt;0,N(INDEX('04-نيسان'!$I$2:$I$501,V104))&gt;0,INDEX('04-نيسان'!$F$2:$F$501,V104)=F104),N(I104)/N(INDEX('04-نيسان'!$I$2:$I$501,V104))-1,""))</f>
        <v/>
      </c>
      <c r="AC104" t="str">
        <f>IF(L104="","",IF(AND($AO$2=1,ISNA(MATCH(L104,'06-حزيران'!$L$2:$L$499,0))),"محذوف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IF(L105="","",IF($AO$1=1,IFERROR(MATCH(L105,'04-نيسان'!$L$2:$L$501,0),0),0))</f>
        <v/>
      </c>
      <c r="W105" t="str">
        <f t="shared" si="31"/>
        <v/>
      </c>
      <c r="X105" s="38" t="str">
        <f>IF(L105="","",IF(V105&gt;0,INDEX('04-نيسان'!$P$2:$P$501,V105),IF($AO$1=1,0,"")))</f>
        <v/>
      </c>
      <c r="Y105" s="38" t="str">
        <f t="shared" si="32"/>
        <v/>
      </c>
      <c r="Z105" s="39" t="str">
        <f>IF(L105="","",IF(V105&gt;0,INDEX('04-نيسان'!$Q$2:$Q$501,V105),IF($AO$1=1,0,"")))</f>
        <v/>
      </c>
      <c r="AA105" s="39" t="str">
        <f t="shared" si="33"/>
        <v/>
      </c>
      <c r="AB105" s="40" t="str">
        <f>IF(OR(L105="",V105=0),"",IF(AND(N(I105)&gt;0,N(INDEX('04-نيسان'!$I$2:$I$501,V105))&gt;0,INDEX('04-نيسان'!$F$2:$F$501,V105)=F105),N(I105)/N(INDEX('04-نيسان'!$I$2:$I$501,V105))-1,""))</f>
        <v/>
      </c>
      <c r="AC105" t="str">
        <f>IF(L105="","",IF(AND($AO$2=1,ISNA(MATCH(L105,'06-حزيران'!$L$2:$L$499,0))),"محذوف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IF(L106="","",IF($AO$1=1,IFERROR(MATCH(L106,'04-نيسان'!$L$2:$L$501,0),0),0))</f>
        <v/>
      </c>
      <c r="W106" t="str">
        <f t="shared" si="31"/>
        <v/>
      </c>
      <c r="X106" s="38" t="str">
        <f>IF(L106="","",IF(V106&gt;0,INDEX('04-نيسان'!$P$2:$P$501,V106),IF($AO$1=1,0,"")))</f>
        <v/>
      </c>
      <c r="Y106" s="38" t="str">
        <f t="shared" si="32"/>
        <v/>
      </c>
      <c r="Z106" s="39" t="str">
        <f>IF(L106="","",IF(V106&gt;0,INDEX('04-نيسان'!$Q$2:$Q$501,V106),IF($AO$1=1,0,"")))</f>
        <v/>
      </c>
      <c r="AA106" s="39" t="str">
        <f t="shared" si="33"/>
        <v/>
      </c>
      <c r="AB106" s="40" t="str">
        <f>IF(OR(L106="",V106=0),"",IF(AND(N(I106)&gt;0,N(INDEX('04-نيسان'!$I$2:$I$501,V106))&gt;0,INDEX('04-نيسان'!$F$2:$F$501,V106)=F106),N(I106)/N(INDEX('04-نيسان'!$I$2:$I$501,V106))-1,""))</f>
        <v/>
      </c>
      <c r="AC106" t="str">
        <f>IF(L106="","",IF(AND($AO$2=1,ISNA(MATCH(L106,'06-حزيران'!$L$2:$L$499,0))),"محذوف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IF(L107="","",IF($AO$1=1,IFERROR(MATCH(L107,'04-نيسان'!$L$2:$L$501,0),0),0))</f>
        <v/>
      </c>
      <c r="W107" t="str">
        <f t="shared" si="31"/>
        <v/>
      </c>
      <c r="X107" s="38" t="str">
        <f>IF(L107="","",IF(V107&gt;0,INDEX('04-نيسان'!$P$2:$P$501,V107),IF($AO$1=1,0,"")))</f>
        <v/>
      </c>
      <c r="Y107" s="38" t="str">
        <f t="shared" si="32"/>
        <v/>
      </c>
      <c r="Z107" s="39" t="str">
        <f>IF(L107="","",IF(V107&gt;0,INDEX('04-نيسان'!$Q$2:$Q$501,V107),IF($AO$1=1,0,"")))</f>
        <v/>
      </c>
      <c r="AA107" s="39" t="str">
        <f t="shared" si="33"/>
        <v/>
      </c>
      <c r="AB107" s="40" t="str">
        <f>IF(OR(L107="",V107=0),"",IF(AND(N(I107)&gt;0,N(INDEX('04-نيسان'!$I$2:$I$501,V107))&gt;0,INDEX('04-نيسان'!$F$2:$F$501,V107)=F107),N(I107)/N(INDEX('04-نيسان'!$I$2:$I$501,V107))-1,""))</f>
        <v/>
      </c>
      <c r="AC107" t="str">
        <f>IF(L107="","",IF(AND($AO$2=1,ISNA(MATCH(L107,'06-حزيران'!$L$2:$L$499,0))),"محذوف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IF(L108="","",IF($AO$1=1,IFERROR(MATCH(L108,'04-نيسان'!$L$2:$L$501,0),0),0))</f>
        <v/>
      </c>
      <c r="W108" t="str">
        <f t="shared" si="31"/>
        <v/>
      </c>
      <c r="X108" s="38" t="str">
        <f>IF(L108="","",IF(V108&gt;0,INDEX('04-نيسان'!$P$2:$P$501,V108),IF($AO$1=1,0,"")))</f>
        <v/>
      </c>
      <c r="Y108" s="38" t="str">
        <f t="shared" si="32"/>
        <v/>
      </c>
      <c r="Z108" s="39" t="str">
        <f>IF(L108="","",IF(V108&gt;0,INDEX('04-نيسان'!$Q$2:$Q$501,V108),IF($AO$1=1,0,"")))</f>
        <v/>
      </c>
      <c r="AA108" s="39" t="str">
        <f t="shared" si="33"/>
        <v/>
      </c>
      <c r="AB108" s="40" t="str">
        <f>IF(OR(L108="",V108=0),"",IF(AND(N(I108)&gt;0,N(INDEX('04-نيسان'!$I$2:$I$501,V108))&gt;0,INDEX('04-نيسان'!$F$2:$F$501,V108)=F108),N(I108)/N(INDEX('04-نيسان'!$I$2:$I$501,V108))-1,""))</f>
        <v/>
      </c>
      <c r="AC108" t="str">
        <f>IF(L108="","",IF(AND($AO$2=1,ISNA(MATCH(L108,'06-حزيران'!$L$2:$L$499,0))),"محذوف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IF(L109="","",IF($AO$1=1,IFERROR(MATCH(L109,'04-نيسان'!$L$2:$L$501,0),0),0))</f>
        <v/>
      </c>
      <c r="W109" t="str">
        <f t="shared" si="31"/>
        <v/>
      </c>
      <c r="X109" s="38" t="str">
        <f>IF(L109="","",IF(V109&gt;0,INDEX('04-نيسان'!$P$2:$P$501,V109),IF($AO$1=1,0,"")))</f>
        <v/>
      </c>
      <c r="Y109" s="38" t="str">
        <f t="shared" si="32"/>
        <v/>
      </c>
      <c r="Z109" s="39" t="str">
        <f>IF(L109="","",IF(V109&gt;0,INDEX('04-نيسان'!$Q$2:$Q$501,V109),IF($AO$1=1,0,"")))</f>
        <v/>
      </c>
      <c r="AA109" s="39" t="str">
        <f t="shared" si="33"/>
        <v/>
      </c>
      <c r="AB109" s="40" t="str">
        <f>IF(OR(L109="",V109=0),"",IF(AND(N(I109)&gt;0,N(INDEX('04-نيسان'!$I$2:$I$501,V109))&gt;0,INDEX('04-نيسان'!$F$2:$F$501,V109)=F109),N(I109)/N(INDEX('04-نيسان'!$I$2:$I$501,V109))-1,""))</f>
        <v/>
      </c>
      <c r="AC109" t="str">
        <f>IF(L109="","",IF(AND($AO$2=1,ISNA(MATCH(L109,'06-حزيران'!$L$2:$L$499,0))),"محذوف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IF(L110="","",IF($AO$1=1,IFERROR(MATCH(L110,'04-نيسان'!$L$2:$L$501,0),0),0))</f>
        <v/>
      </c>
      <c r="W110" t="str">
        <f t="shared" si="31"/>
        <v/>
      </c>
      <c r="X110" s="38" t="str">
        <f>IF(L110="","",IF(V110&gt;0,INDEX('04-نيسان'!$P$2:$P$501,V110),IF($AO$1=1,0,"")))</f>
        <v/>
      </c>
      <c r="Y110" s="38" t="str">
        <f t="shared" si="32"/>
        <v/>
      </c>
      <c r="Z110" s="39" t="str">
        <f>IF(L110="","",IF(V110&gt;0,INDEX('04-نيسان'!$Q$2:$Q$501,V110),IF($AO$1=1,0,"")))</f>
        <v/>
      </c>
      <c r="AA110" s="39" t="str">
        <f t="shared" si="33"/>
        <v/>
      </c>
      <c r="AB110" s="40" t="str">
        <f>IF(OR(L110="",V110=0),"",IF(AND(N(I110)&gt;0,N(INDEX('04-نيسان'!$I$2:$I$501,V110))&gt;0,INDEX('04-نيسان'!$F$2:$F$501,V110)=F110),N(I110)/N(INDEX('04-نيسان'!$I$2:$I$501,V110))-1,""))</f>
        <v/>
      </c>
      <c r="AC110" t="str">
        <f>IF(L110="","",IF(AND($AO$2=1,ISNA(MATCH(L110,'06-حزيران'!$L$2:$L$499,0))),"محذوف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IF(L111="","",IF($AO$1=1,IFERROR(MATCH(L111,'04-نيسان'!$L$2:$L$501,0),0),0))</f>
        <v/>
      </c>
      <c r="W111" t="str">
        <f t="shared" si="31"/>
        <v/>
      </c>
      <c r="X111" s="38" t="str">
        <f>IF(L111="","",IF(V111&gt;0,INDEX('04-نيسان'!$P$2:$P$501,V111),IF($AO$1=1,0,"")))</f>
        <v/>
      </c>
      <c r="Y111" s="38" t="str">
        <f t="shared" si="32"/>
        <v/>
      </c>
      <c r="Z111" s="39" t="str">
        <f>IF(L111="","",IF(V111&gt;0,INDEX('04-نيسان'!$Q$2:$Q$501,V111),IF($AO$1=1,0,"")))</f>
        <v/>
      </c>
      <c r="AA111" s="39" t="str">
        <f t="shared" si="33"/>
        <v/>
      </c>
      <c r="AB111" s="40" t="str">
        <f>IF(OR(L111="",V111=0),"",IF(AND(N(I111)&gt;0,N(INDEX('04-نيسان'!$I$2:$I$501,V111))&gt;0,INDEX('04-نيسان'!$F$2:$F$501,V111)=F111),N(I111)/N(INDEX('04-نيسان'!$I$2:$I$501,V111))-1,""))</f>
        <v/>
      </c>
      <c r="AC111" t="str">
        <f>IF(L111="","",IF(AND($AO$2=1,ISNA(MATCH(L111,'06-حزيران'!$L$2:$L$499,0))),"محذوف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IF(L112="","",IF($AO$1=1,IFERROR(MATCH(L112,'04-نيسان'!$L$2:$L$501,0),0),0))</f>
        <v/>
      </c>
      <c r="W112" t="str">
        <f t="shared" si="31"/>
        <v/>
      </c>
      <c r="X112" s="38" t="str">
        <f>IF(L112="","",IF(V112&gt;0,INDEX('04-نيسان'!$P$2:$P$501,V112),IF($AO$1=1,0,"")))</f>
        <v/>
      </c>
      <c r="Y112" s="38" t="str">
        <f t="shared" si="32"/>
        <v/>
      </c>
      <c r="Z112" s="39" t="str">
        <f>IF(L112="","",IF(V112&gt;0,INDEX('04-نيسان'!$Q$2:$Q$501,V112),IF($AO$1=1,0,"")))</f>
        <v/>
      </c>
      <c r="AA112" s="39" t="str">
        <f t="shared" si="33"/>
        <v/>
      </c>
      <c r="AB112" s="40" t="str">
        <f>IF(OR(L112="",V112=0),"",IF(AND(N(I112)&gt;0,N(INDEX('04-نيسان'!$I$2:$I$501,V112))&gt;0,INDEX('04-نيسان'!$F$2:$F$501,V112)=F112),N(I112)/N(INDEX('04-نيسان'!$I$2:$I$501,V112))-1,""))</f>
        <v/>
      </c>
      <c r="AC112" t="str">
        <f>IF(L112="","",IF(AND($AO$2=1,ISNA(MATCH(L112,'06-حزيران'!$L$2:$L$499,0))),"محذوف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IF(L113="","",IF($AO$1=1,IFERROR(MATCH(L113,'04-نيسان'!$L$2:$L$501,0),0),0))</f>
        <v/>
      </c>
      <c r="W113" t="str">
        <f t="shared" si="31"/>
        <v/>
      </c>
      <c r="X113" s="38" t="str">
        <f>IF(L113="","",IF(V113&gt;0,INDEX('04-نيسان'!$P$2:$P$501,V113),IF($AO$1=1,0,"")))</f>
        <v/>
      </c>
      <c r="Y113" s="38" t="str">
        <f t="shared" si="32"/>
        <v/>
      </c>
      <c r="Z113" s="39" t="str">
        <f>IF(L113="","",IF(V113&gt;0,INDEX('04-نيسان'!$Q$2:$Q$501,V113),IF($AO$1=1,0,"")))</f>
        <v/>
      </c>
      <c r="AA113" s="39" t="str">
        <f t="shared" si="33"/>
        <v/>
      </c>
      <c r="AB113" s="40" t="str">
        <f>IF(OR(L113="",V113=0),"",IF(AND(N(I113)&gt;0,N(INDEX('04-نيسان'!$I$2:$I$501,V113))&gt;0,INDEX('04-نيسان'!$F$2:$F$501,V113)=F113),N(I113)/N(INDEX('04-نيسان'!$I$2:$I$501,V113))-1,""))</f>
        <v/>
      </c>
      <c r="AC113" t="str">
        <f>IF(L113="","",IF(AND($AO$2=1,ISNA(MATCH(L113,'06-حزيران'!$L$2:$L$499,0))),"محذوف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IF(L114="","",IF($AO$1=1,IFERROR(MATCH(L114,'04-نيسان'!$L$2:$L$501,0),0),0))</f>
        <v/>
      </c>
      <c r="W114" t="str">
        <f t="shared" si="31"/>
        <v/>
      </c>
      <c r="X114" s="38" t="str">
        <f>IF(L114="","",IF(V114&gt;0,INDEX('04-نيسان'!$P$2:$P$501,V114),IF($AO$1=1,0,"")))</f>
        <v/>
      </c>
      <c r="Y114" s="38" t="str">
        <f t="shared" si="32"/>
        <v/>
      </c>
      <c r="Z114" s="39" t="str">
        <f>IF(L114="","",IF(V114&gt;0,INDEX('04-نيسان'!$Q$2:$Q$501,V114),IF($AO$1=1,0,"")))</f>
        <v/>
      </c>
      <c r="AA114" s="39" t="str">
        <f t="shared" si="33"/>
        <v/>
      </c>
      <c r="AB114" s="40" t="str">
        <f>IF(OR(L114="",V114=0),"",IF(AND(N(I114)&gt;0,N(INDEX('04-نيسان'!$I$2:$I$501,V114))&gt;0,INDEX('04-نيسان'!$F$2:$F$501,V114)=F114),N(I114)/N(INDEX('04-نيسان'!$I$2:$I$501,V114))-1,""))</f>
        <v/>
      </c>
      <c r="AC114" t="str">
        <f>IF(L114="","",IF(AND($AO$2=1,ISNA(MATCH(L114,'06-حزيران'!$L$2:$L$499,0))),"محذوف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IF(L115="","",IF($AO$1=1,IFERROR(MATCH(L115,'04-نيسان'!$L$2:$L$501,0),0),0))</f>
        <v/>
      </c>
      <c r="W115" t="str">
        <f t="shared" si="31"/>
        <v/>
      </c>
      <c r="X115" s="38" t="str">
        <f>IF(L115="","",IF(V115&gt;0,INDEX('04-نيسان'!$P$2:$P$501,V115),IF($AO$1=1,0,"")))</f>
        <v/>
      </c>
      <c r="Y115" s="38" t="str">
        <f t="shared" si="32"/>
        <v/>
      </c>
      <c r="Z115" s="39" t="str">
        <f>IF(L115="","",IF(V115&gt;0,INDEX('04-نيسان'!$Q$2:$Q$501,V115),IF($AO$1=1,0,"")))</f>
        <v/>
      </c>
      <c r="AA115" s="39" t="str">
        <f t="shared" si="33"/>
        <v/>
      </c>
      <c r="AB115" s="40" t="str">
        <f>IF(OR(L115="",V115=0),"",IF(AND(N(I115)&gt;0,N(INDEX('04-نيسان'!$I$2:$I$501,V115))&gt;0,INDEX('04-نيسان'!$F$2:$F$501,V115)=F115),N(I115)/N(INDEX('04-نيسان'!$I$2:$I$501,V115))-1,""))</f>
        <v/>
      </c>
      <c r="AC115" t="str">
        <f>IF(L115="","",IF(AND($AO$2=1,ISNA(MATCH(L115,'06-حزيران'!$L$2:$L$499,0))),"محذوف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IF(L116="","",IF($AO$1=1,IFERROR(MATCH(L116,'04-نيسان'!$L$2:$L$501,0),0),0))</f>
        <v/>
      </c>
      <c r="W116" t="str">
        <f t="shared" si="31"/>
        <v/>
      </c>
      <c r="X116" s="38" t="str">
        <f>IF(L116="","",IF(V116&gt;0,INDEX('04-نيسان'!$P$2:$P$501,V116),IF($AO$1=1,0,"")))</f>
        <v/>
      </c>
      <c r="Y116" s="38" t="str">
        <f t="shared" si="32"/>
        <v/>
      </c>
      <c r="Z116" s="39" t="str">
        <f>IF(L116="","",IF(V116&gt;0,INDEX('04-نيسان'!$Q$2:$Q$501,V116),IF($AO$1=1,0,"")))</f>
        <v/>
      </c>
      <c r="AA116" s="39" t="str">
        <f t="shared" si="33"/>
        <v/>
      </c>
      <c r="AB116" s="40" t="str">
        <f>IF(OR(L116="",V116=0),"",IF(AND(N(I116)&gt;0,N(INDEX('04-نيسان'!$I$2:$I$501,V116))&gt;0,INDEX('04-نيسان'!$F$2:$F$501,V116)=F116),N(I116)/N(INDEX('04-نيسان'!$I$2:$I$501,V116))-1,""))</f>
        <v/>
      </c>
      <c r="AC116" t="str">
        <f>IF(L116="","",IF(AND($AO$2=1,ISNA(MATCH(L116,'06-حزيران'!$L$2:$L$499,0))),"محذوف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IF(L117="","",IF($AO$1=1,IFERROR(MATCH(L117,'04-نيسان'!$L$2:$L$501,0),0),0))</f>
        <v/>
      </c>
      <c r="W117" t="str">
        <f t="shared" si="31"/>
        <v/>
      </c>
      <c r="X117" s="38" t="str">
        <f>IF(L117="","",IF(V117&gt;0,INDEX('04-نيسان'!$P$2:$P$501,V117),IF($AO$1=1,0,"")))</f>
        <v/>
      </c>
      <c r="Y117" s="38" t="str">
        <f t="shared" si="32"/>
        <v/>
      </c>
      <c r="Z117" s="39" t="str">
        <f>IF(L117="","",IF(V117&gt;0,INDEX('04-نيسان'!$Q$2:$Q$501,V117),IF($AO$1=1,0,"")))</f>
        <v/>
      </c>
      <c r="AA117" s="39" t="str">
        <f t="shared" si="33"/>
        <v/>
      </c>
      <c r="AB117" s="40" t="str">
        <f>IF(OR(L117="",V117=0),"",IF(AND(N(I117)&gt;0,N(INDEX('04-نيسان'!$I$2:$I$501,V117))&gt;0,INDEX('04-نيسان'!$F$2:$F$501,V117)=F117),N(I117)/N(INDEX('04-نيسان'!$I$2:$I$501,V117))-1,""))</f>
        <v/>
      </c>
      <c r="AC117" t="str">
        <f>IF(L117="","",IF(AND($AO$2=1,ISNA(MATCH(L117,'06-حزيران'!$L$2:$L$499,0))),"محذوف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IF(L118="","",IF($AO$1=1,IFERROR(MATCH(L118,'04-نيسان'!$L$2:$L$501,0),0),0))</f>
        <v/>
      </c>
      <c r="W118" t="str">
        <f t="shared" si="31"/>
        <v/>
      </c>
      <c r="X118" s="38" t="str">
        <f>IF(L118="","",IF(V118&gt;0,INDEX('04-نيسان'!$P$2:$P$501,V118),IF($AO$1=1,0,"")))</f>
        <v/>
      </c>
      <c r="Y118" s="38" t="str">
        <f t="shared" si="32"/>
        <v/>
      </c>
      <c r="Z118" s="39" t="str">
        <f>IF(L118="","",IF(V118&gt;0,INDEX('04-نيسان'!$Q$2:$Q$501,V118),IF($AO$1=1,0,"")))</f>
        <v/>
      </c>
      <c r="AA118" s="39" t="str">
        <f t="shared" si="33"/>
        <v/>
      </c>
      <c r="AB118" s="40" t="str">
        <f>IF(OR(L118="",V118=0),"",IF(AND(N(I118)&gt;0,N(INDEX('04-نيسان'!$I$2:$I$501,V118))&gt;0,INDEX('04-نيسان'!$F$2:$F$501,V118)=F118),N(I118)/N(INDEX('04-نيسان'!$I$2:$I$501,V118))-1,""))</f>
        <v/>
      </c>
      <c r="AC118" t="str">
        <f>IF(L118="","",IF(AND($AO$2=1,ISNA(MATCH(L118,'06-حزيران'!$L$2:$L$499,0))),"محذوف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IF(L119="","",IF($AO$1=1,IFERROR(MATCH(L119,'04-نيسان'!$L$2:$L$501,0),0),0))</f>
        <v/>
      </c>
      <c r="W119" t="str">
        <f t="shared" si="31"/>
        <v/>
      </c>
      <c r="X119" s="38" t="str">
        <f>IF(L119="","",IF(V119&gt;0,INDEX('04-نيسان'!$P$2:$P$501,V119),IF($AO$1=1,0,"")))</f>
        <v/>
      </c>
      <c r="Y119" s="38" t="str">
        <f t="shared" si="32"/>
        <v/>
      </c>
      <c r="Z119" s="39" t="str">
        <f>IF(L119="","",IF(V119&gt;0,INDEX('04-نيسان'!$Q$2:$Q$501,V119),IF($AO$1=1,0,"")))</f>
        <v/>
      </c>
      <c r="AA119" s="39" t="str">
        <f t="shared" si="33"/>
        <v/>
      </c>
      <c r="AB119" s="40" t="str">
        <f>IF(OR(L119="",V119=0),"",IF(AND(N(I119)&gt;0,N(INDEX('04-نيسان'!$I$2:$I$501,V119))&gt;0,INDEX('04-نيسان'!$F$2:$F$501,V119)=F119),N(I119)/N(INDEX('04-نيسان'!$I$2:$I$501,V119))-1,""))</f>
        <v/>
      </c>
      <c r="AC119" t="str">
        <f>IF(L119="","",IF(AND($AO$2=1,ISNA(MATCH(L119,'06-حزيران'!$L$2:$L$499,0))),"محذوف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IF(L120="","",IF($AO$1=1,IFERROR(MATCH(L120,'04-نيسان'!$L$2:$L$501,0),0),0))</f>
        <v/>
      </c>
      <c r="W120" t="str">
        <f t="shared" si="31"/>
        <v/>
      </c>
      <c r="X120" s="38" t="str">
        <f>IF(L120="","",IF(V120&gt;0,INDEX('04-نيسان'!$P$2:$P$501,V120),IF($AO$1=1,0,"")))</f>
        <v/>
      </c>
      <c r="Y120" s="38" t="str">
        <f t="shared" si="32"/>
        <v/>
      </c>
      <c r="Z120" s="39" t="str">
        <f>IF(L120="","",IF(V120&gt;0,INDEX('04-نيسان'!$Q$2:$Q$501,V120),IF($AO$1=1,0,"")))</f>
        <v/>
      </c>
      <c r="AA120" s="39" t="str">
        <f t="shared" si="33"/>
        <v/>
      </c>
      <c r="AB120" s="40" t="str">
        <f>IF(OR(L120="",V120=0),"",IF(AND(N(I120)&gt;0,N(INDEX('04-نيسان'!$I$2:$I$501,V120))&gt;0,INDEX('04-نيسان'!$F$2:$F$501,V120)=F120),N(I120)/N(INDEX('04-نيسان'!$I$2:$I$501,V120))-1,""))</f>
        <v/>
      </c>
      <c r="AC120" t="str">
        <f>IF(L120="","",IF(AND($AO$2=1,ISNA(MATCH(L120,'06-حزيران'!$L$2:$L$499,0))),"محذوف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IF(L121="","",IF($AO$1=1,IFERROR(MATCH(L121,'04-نيسان'!$L$2:$L$501,0),0),0))</f>
        <v/>
      </c>
      <c r="W121" t="str">
        <f t="shared" si="31"/>
        <v/>
      </c>
      <c r="X121" s="38" t="str">
        <f>IF(L121="","",IF(V121&gt;0,INDEX('04-نيسان'!$P$2:$P$501,V121),IF($AO$1=1,0,"")))</f>
        <v/>
      </c>
      <c r="Y121" s="38" t="str">
        <f t="shared" si="32"/>
        <v/>
      </c>
      <c r="Z121" s="39" t="str">
        <f>IF(L121="","",IF(V121&gt;0,INDEX('04-نيسان'!$Q$2:$Q$501,V121),IF($AO$1=1,0,"")))</f>
        <v/>
      </c>
      <c r="AA121" s="39" t="str">
        <f t="shared" si="33"/>
        <v/>
      </c>
      <c r="AB121" s="40" t="str">
        <f>IF(OR(L121="",V121=0),"",IF(AND(N(I121)&gt;0,N(INDEX('04-نيسان'!$I$2:$I$501,V121))&gt;0,INDEX('04-نيسان'!$F$2:$F$501,V121)=F121),N(I121)/N(INDEX('04-نيسان'!$I$2:$I$501,V121))-1,""))</f>
        <v/>
      </c>
      <c r="AC121" t="str">
        <f>IF(L121="","",IF(AND($AO$2=1,ISNA(MATCH(L121,'06-حزيران'!$L$2:$L$499,0))),"محذوف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IF(L122="","",IF($AO$1=1,IFERROR(MATCH(L122,'04-نيسان'!$L$2:$L$501,0),0),0))</f>
        <v/>
      </c>
      <c r="W122" t="str">
        <f t="shared" si="31"/>
        <v/>
      </c>
      <c r="X122" s="38" t="str">
        <f>IF(L122="","",IF(V122&gt;0,INDEX('04-نيسان'!$P$2:$P$501,V122),IF($AO$1=1,0,"")))</f>
        <v/>
      </c>
      <c r="Y122" s="38" t="str">
        <f t="shared" si="32"/>
        <v/>
      </c>
      <c r="Z122" s="39" t="str">
        <f>IF(L122="","",IF(V122&gt;0,INDEX('04-نيسان'!$Q$2:$Q$501,V122),IF($AO$1=1,0,"")))</f>
        <v/>
      </c>
      <c r="AA122" s="39" t="str">
        <f t="shared" si="33"/>
        <v/>
      </c>
      <c r="AB122" s="40" t="str">
        <f>IF(OR(L122="",V122=0),"",IF(AND(N(I122)&gt;0,N(INDEX('04-نيسان'!$I$2:$I$501,V122))&gt;0,INDEX('04-نيسان'!$F$2:$F$501,V122)=F122),N(I122)/N(INDEX('04-نيسان'!$I$2:$I$501,V122))-1,""))</f>
        <v/>
      </c>
      <c r="AC122" t="str">
        <f>IF(L122="","",IF(AND($AO$2=1,ISNA(MATCH(L122,'06-حزيران'!$L$2:$L$499,0))),"محذوف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IF(L123="","",IF($AO$1=1,IFERROR(MATCH(L123,'04-نيسان'!$L$2:$L$501,0),0),0))</f>
        <v/>
      </c>
      <c r="W123" t="str">
        <f t="shared" si="31"/>
        <v/>
      </c>
      <c r="X123" s="38" t="str">
        <f>IF(L123="","",IF(V123&gt;0,INDEX('04-نيسان'!$P$2:$P$501,V123),IF($AO$1=1,0,"")))</f>
        <v/>
      </c>
      <c r="Y123" s="38" t="str">
        <f t="shared" si="32"/>
        <v/>
      </c>
      <c r="Z123" s="39" t="str">
        <f>IF(L123="","",IF(V123&gt;0,INDEX('04-نيسان'!$Q$2:$Q$501,V123),IF($AO$1=1,0,"")))</f>
        <v/>
      </c>
      <c r="AA123" s="39" t="str">
        <f t="shared" si="33"/>
        <v/>
      </c>
      <c r="AB123" s="40" t="str">
        <f>IF(OR(L123="",V123=0),"",IF(AND(N(I123)&gt;0,N(INDEX('04-نيسان'!$I$2:$I$501,V123))&gt;0,INDEX('04-نيسان'!$F$2:$F$501,V123)=F123),N(I123)/N(INDEX('04-نيسان'!$I$2:$I$501,V123))-1,""))</f>
        <v/>
      </c>
      <c r="AC123" t="str">
        <f>IF(L123="","",IF(AND($AO$2=1,ISNA(MATCH(L123,'06-حزيران'!$L$2:$L$499,0))),"محذوف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IF(L124="","",IF($AO$1=1,IFERROR(MATCH(L124,'04-نيسان'!$L$2:$L$501,0),0),0))</f>
        <v/>
      </c>
      <c r="W124" t="str">
        <f t="shared" si="31"/>
        <v/>
      </c>
      <c r="X124" s="38" t="str">
        <f>IF(L124="","",IF(V124&gt;0,INDEX('04-نيسان'!$P$2:$P$501,V124),IF($AO$1=1,0,"")))</f>
        <v/>
      </c>
      <c r="Y124" s="38" t="str">
        <f t="shared" si="32"/>
        <v/>
      </c>
      <c r="Z124" s="39" t="str">
        <f>IF(L124="","",IF(V124&gt;0,INDEX('04-نيسان'!$Q$2:$Q$501,V124),IF($AO$1=1,0,"")))</f>
        <v/>
      </c>
      <c r="AA124" s="39" t="str">
        <f t="shared" si="33"/>
        <v/>
      </c>
      <c r="AB124" s="40" t="str">
        <f>IF(OR(L124="",V124=0),"",IF(AND(N(I124)&gt;0,N(INDEX('04-نيسان'!$I$2:$I$501,V124))&gt;0,INDEX('04-نيسان'!$F$2:$F$501,V124)=F124),N(I124)/N(INDEX('04-نيسان'!$I$2:$I$501,V124))-1,""))</f>
        <v/>
      </c>
      <c r="AC124" t="str">
        <f>IF(L124="","",IF(AND($AO$2=1,ISNA(MATCH(L124,'06-حزيران'!$L$2:$L$499,0))),"محذوف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IF(L125="","",IF($AO$1=1,IFERROR(MATCH(L125,'04-نيسان'!$L$2:$L$501,0),0),0))</f>
        <v/>
      </c>
      <c r="W125" t="str">
        <f t="shared" si="31"/>
        <v/>
      </c>
      <c r="X125" s="38" t="str">
        <f>IF(L125="","",IF(V125&gt;0,INDEX('04-نيسان'!$P$2:$P$501,V125),IF($AO$1=1,0,"")))</f>
        <v/>
      </c>
      <c r="Y125" s="38" t="str">
        <f t="shared" si="32"/>
        <v/>
      </c>
      <c r="Z125" s="39" t="str">
        <f>IF(L125="","",IF(V125&gt;0,INDEX('04-نيسان'!$Q$2:$Q$501,V125),IF($AO$1=1,0,"")))</f>
        <v/>
      </c>
      <c r="AA125" s="39" t="str">
        <f t="shared" si="33"/>
        <v/>
      </c>
      <c r="AB125" s="40" t="str">
        <f>IF(OR(L125="",V125=0),"",IF(AND(N(I125)&gt;0,N(INDEX('04-نيسان'!$I$2:$I$501,V125))&gt;0,INDEX('04-نيسان'!$F$2:$F$501,V125)=F125),N(I125)/N(INDEX('04-نيسان'!$I$2:$I$501,V125))-1,""))</f>
        <v/>
      </c>
      <c r="AC125" t="str">
        <f>IF(L125="","",IF(AND($AO$2=1,ISNA(MATCH(L125,'06-حزيران'!$L$2:$L$499,0))),"محذوف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IF(L126="","",IF($AO$1=1,IFERROR(MATCH(L126,'04-نيسان'!$L$2:$L$501,0),0),0))</f>
        <v/>
      </c>
      <c r="W126" t="str">
        <f t="shared" si="31"/>
        <v/>
      </c>
      <c r="X126" s="38" t="str">
        <f>IF(L126="","",IF(V126&gt;0,INDEX('04-نيسان'!$P$2:$P$501,V126),IF($AO$1=1,0,"")))</f>
        <v/>
      </c>
      <c r="Y126" s="38" t="str">
        <f t="shared" si="32"/>
        <v/>
      </c>
      <c r="Z126" s="39" t="str">
        <f>IF(L126="","",IF(V126&gt;0,INDEX('04-نيسان'!$Q$2:$Q$501,V126),IF($AO$1=1,0,"")))</f>
        <v/>
      </c>
      <c r="AA126" s="39" t="str">
        <f t="shared" si="33"/>
        <v/>
      </c>
      <c r="AB126" s="40" t="str">
        <f>IF(OR(L126="",V126=0),"",IF(AND(N(I126)&gt;0,N(INDEX('04-نيسان'!$I$2:$I$501,V126))&gt;0,INDEX('04-نيسان'!$F$2:$F$501,V126)=F126),N(I126)/N(INDEX('04-نيسان'!$I$2:$I$501,V126))-1,""))</f>
        <v/>
      </c>
      <c r="AC126" t="str">
        <f>IF(L126="","",IF(AND($AO$2=1,ISNA(MATCH(L126,'06-حزيران'!$L$2:$L$499,0))),"محذوف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IF(L127="","",IF($AO$1=1,IFERROR(MATCH(L127,'04-نيسان'!$L$2:$L$501,0),0),0))</f>
        <v/>
      </c>
      <c r="W127" t="str">
        <f t="shared" si="31"/>
        <v/>
      </c>
      <c r="X127" s="38" t="str">
        <f>IF(L127="","",IF(V127&gt;0,INDEX('04-نيسان'!$P$2:$P$501,V127),IF($AO$1=1,0,"")))</f>
        <v/>
      </c>
      <c r="Y127" s="38" t="str">
        <f t="shared" si="32"/>
        <v/>
      </c>
      <c r="Z127" s="39" t="str">
        <f>IF(L127="","",IF(V127&gt;0,INDEX('04-نيسان'!$Q$2:$Q$501,V127),IF($AO$1=1,0,"")))</f>
        <v/>
      </c>
      <c r="AA127" s="39" t="str">
        <f t="shared" si="33"/>
        <v/>
      </c>
      <c r="AB127" s="40" t="str">
        <f>IF(OR(L127="",V127=0),"",IF(AND(N(I127)&gt;0,N(INDEX('04-نيسان'!$I$2:$I$501,V127))&gt;0,INDEX('04-نيسان'!$F$2:$F$501,V127)=F127),N(I127)/N(INDEX('04-نيسان'!$I$2:$I$501,V127))-1,""))</f>
        <v/>
      </c>
      <c r="AC127" t="str">
        <f>IF(L127="","",IF(AND($AO$2=1,ISNA(MATCH(L127,'06-حزيران'!$L$2:$L$499,0))),"محذوف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IF(L128="","",IF($AO$1=1,IFERROR(MATCH(L128,'04-نيسان'!$L$2:$L$501,0),0),0))</f>
        <v/>
      </c>
      <c r="W128" t="str">
        <f t="shared" si="31"/>
        <v/>
      </c>
      <c r="X128" s="38" t="str">
        <f>IF(L128="","",IF(V128&gt;0,INDEX('04-نيسان'!$P$2:$P$501,V128),IF($AO$1=1,0,"")))</f>
        <v/>
      </c>
      <c r="Y128" s="38" t="str">
        <f t="shared" si="32"/>
        <v/>
      </c>
      <c r="Z128" s="39" t="str">
        <f>IF(L128="","",IF(V128&gt;0,INDEX('04-نيسان'!$Q$2:$Q$501,V128),IF($AO$1=1,0,"")))</f>
        <v/>
      </c>
      <c r="AA128" s="39" t="str">
        <f t="shared" si="33"/>
        <v/>
      </c>
      <c r="AB128" s="40" t="str">
        <f>IF(OR(L128="",V128=0),"",IF(AND(N(I128)&gt;0,N(INDEX('04-نيسان'!$I$2:$I$501,V128))&gt;0,INDEX('04-نيسان'!$F$2:$F$501,V128)=F128),N(I128)/N(INDEX('04-نيسان'!$I$2:$I$501,V128))-1,""))</f>
        <v/>
      </c>
      <c r="AC128" t="str">
        <f>IF(L128="","",IF(AND($AO$2=1,ISNA(MATCH(L128,'06-حزيران'!$L$2:$L$499,0))),"محذوف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IF(L129="","",IF($AO$1=1,IFERROR(MATCH(L129,'04-نيسان'!$L$2:$L$501,0),0),0))</f>
        <v/>
      </c>
      <c r="W129" t="str">
        <f t="shared" si="31"/>
        <v/>
      </c>
      <c r="X129" s="38" t="str">
        <f>IF(L129="","",IF(V129&gt;0,INDEX('04-نيسان'!$P$2:$P$501,V129),IF($AO$1=1,0,"")))</f>
        <v/>
      </c>
      <c r="Y129" s="38" t="str">
        <f t="shared" si="32"/>
        <v/>
      </c>
      <c r="Z129" s="39" t="str">
        <f>IF(L129="","",IF(V129&gt;0,INDEX('04-نيسان'!$Q$2:$Q$501,V129),IF($AO$1=1,0,"")))</f>
        <v/>
      </c>
      <c r="AA129" s="39" t="str">
        <f t="shared" si="33"/>
        <v/>
      </c>
      <c r="AB129" s="40" t="str">
        <f>IF(OR(L129="",V129=0),"",IF(AND(N(I129)&gt;0,N(INDEX('04-نيسان'!$I$2:$I$501,V129))&gt;0,INDEX('04-نيسان'!$F$2:$F$501,V129)=F129),N(I129)/N(INDEX('04-نيسان'!$I$2:$I$501,V129))-1,""))</f>
        <v/>
      </c>
      <c r="AC129" t="str">
        <f>IF(L129="","",IF(AND($AO$2=1,ISNA(MATCH(L129,'06-حزيران'!$L$2:$L$499,0))),"محذوف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IF(L130="","",IF($AO$1=1,IFERROR(MATCH(L130,'04-نيسان'!$L$2:$L$501,0),0),0))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IF(L130="","",IF(V130&gt;0,INDEX('04-نيسان'!$P$2:$P$501,V130),IF($AO$1=1,0,"")))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IF(L130="","",IF(V130&gt;0,INDEX('04-نيسان'!$Q$2:$Q$501,V130),IF($AO$1=1,0,"")))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IF(OR(L130="",V130=0),"",IF(AND(N(I130)&gt;0,N(INDEX('04-نيسان'!$I$2:$I$501,V130))&gt;0,INDEX('04-نيسان'!$F$2:$F$501,V130)=F130),N(I130)/N(INDEX('04-نيسان'!$I$2:$I$501,V130))-1,""))</f>
        <v/>
      </c>
      <c r="AC130" t="str">
        <f>IF(L130="","",IF(AND($AO$2=1,ISNA(MATCH(L130,'06-حزيران'!$L$2:$L$499,0))),"محذوف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IF(L131="","",IF($AO$1=1,IFERROR(MATCH(L131,'04-نيسان'!$L$2:$L$501,0),0),0))</f>
        <v/>
      </c>
      <c r="W131" t="str">
        <f t="shared" si="51"/>
        <v/>
      </c>
      <c r="X131" s="38" t="str">
        <f>IF(L131="","",IF(V131&gt;0,INDEX('04-نيسان'!$P$2:$P$501,V131),IF($AO$1=1,0,"")))</f>
        <v/>
      </c>
      <c r="Y131" s="38" t="str">
        <f t="shared" si="52"/>
        <v/>
      </c>
      <c r="Z131" s="39" t="str">
        <f>IF(L131="","",IF(V131&gt;0,INDEX('04-نيسان'!$Q$2:$Q$501,V131),IF($AO$1=1,0,"")))</f>
        <v/>
      </c>
      <c r="AA131" s="39" t="str">
        <f t="shared" si="53"/>
        <v/>
      </c>
      <c r="AB131" s="40" t="str">
        <f>IF(OR(L131="",V131=0),"",IF(AND(N(I131)&gt;0,N(INDEX('04-نيسان'!$I$2:$I$501,V131))&gt;0,INDEX('04-نيسان'!$F$2:$F$501,V131)=F131),N(I131)/N(INDEX('04-نيسان'!$I$2:$I$501,V131))-1,""))</f>
        <v/>
      </c>
      <c r="AC131" t="str">
        <f>IF(L131="","",IF(AND($AO$2=1,ISNA(MATCH(L131,'06-حزيران'!$L$2:$L$499,0))),"محذوف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IF(L132="","",IF($AO$1=1,IFERROR(MATCH(L132,'04-نيسان'!$L$2:$L$501,0),0),0))</f>
        <v/>
      </c>
      <c r="W132" t="str">
        <f t="shared" si="51"/>
        <v/>
      </c>
      <c r="X132" s="38" t="str">
        <f>IF(L132="","",IF(V132&gt;0,INDEX('04-نيسان'!$P$2:$P$501,V132),IF($AO$1=1,0,"")))</f>
        <v/>
      </c>
      <c r="Y132" s="38" t="str">
        <f t="shared" si="52"/>
        <v/>
      </c>
      <c r="Z132" s="39" t="str">
        <f>IF(L132="","",IF(V132&gt;0,INDEX('04-نيسان'!$Q$2:$Q$501,V132),IF($AO$1=1,0,"")))</f>
        <v/>
      </c>
      <c r="AA132" s="39" t="str">
        <f t="shared" si="53"/>
        <v/>
      </c>
      <c r="AB132" s="40" t="str">
        <f>IF(OR(L132="",V132=0),"",IF(AND(N(I132)&gt;0,N(INDEX('04-نيسان'!$I$2:$I$501,V132))&gt;0,INDEX('04-نيسان'!$F$2:$F$501,V132)=F132),N(I132)/N(INDEX('04-نيسان'!$I$2:$I$501,V132))-1,""))</f>
        <v/>
      </c>
      <c r="AC132" t="str">
        <f>IF(L132="","",IF(AND($AO$2=1,ISNA(MATCH(L132,'06-حزيران'!$L$2:$L$499,0))),"محذوف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IF(L133="","",IF($AO$1=1,IFERROR(MATCH(L133,'04-نيسان'!$L$2:$L$501,0),0),0))</f>
        <v/>
      </c>
      <c r="W133" t="str">
        <f t="shared" si="51"/>
        <v/>
      </c>
      <c r="X133" s="38" t="str">
        <f>IF(L133="","",IF(V133&gt;0,INDEX('04-نيسان'!$P$2:$P$501,V133),IF($AO$1=1,0,"")))</f>
        <v/>
      </c>
      <c r="Y133" s="38" t="str">
        <f t="shared" si="52"/>
        <v/>
      </c>
      <c r="Z133" s="39" t="str">
        <f>IF(L133="","",IF(V133&gt;0,INDEX('04-نيسان'!$Q$2:$Q$501,V133),IF($AO$1=1,0,"")))</f>
        <v/>
      </c>
      <c r="AA133" s="39" t="str">
        <f t="shared" si="53"/>
        <v/>
      </c>
      <c r="AB133" s="40" t="str">
        <f>IF(OR(L133="",V133=0),"",IF(AND(N(I133)&gt;0,N(INDEX('04-نيسان'!$I$2:$I$501,V133))&gt;0,INDEX('04-نيسان'!$F$2:$F$501,V133)=F133),N(I133)/N(INDEX('04-نيسان'!$I$2:$I$501,V133))-1,""))</f>
        <v/>
      </c>
      <c r="AC133" t="str">
        <f>IF(L133="","",IF(AND($AO$2=1,ISNA(MATCH(L133,'06-حزيران'!$L$2:$L$499,0))),"محذوف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IF(L134="","",IF($AO$1=1,IFERROR(MATCH(L134,'04-نيسان'!$L$2:$L$501,0),0),0))</f>
        <v/>
      </c>
      <c r="W134" t="str">
        <f t="shared" si="51"/>
        <v/>
      </c>
      <c r="X134" s="38" t="str">
        <f>IF(L134="","",IF(V134&gt;0,INDEX('04-نيسان'!$P$2:$P$501,V134),IF($AO$1=1,0,"")))</f>
        <v/>
      </c>
      <c r="Y134" s="38" t="str">
        <f t="shared" si="52"/>
        <v/>
      </c>
      <c r="Z134" s="39" t="str">
        <f>IF(L134="","",IF(V134&gt;0,INDEX('04-نيسان'!$Q$2:$Q$501,V134),IF($AO$1=1,0,"")))</f>
        <v/>
      </c>
      <c r="AA134" s="39" t="str">
        <f t="shared" si="53"/>
        <v/>
      </c>
      <c r="AB134" s="40" t="str">
        <f>IF(OR(L134="",V134=0),"",IF(AND(N(I134)&gt;0,N(INDEX('04-نيسان'!$I$2:$I$501,V134))&gt;0,INDEX('04-نيسان'!$F$2:$F$501,V134)=F134),N(I134)/N(INDEX('04-نيسان'!$I$2:$I$501,V134))-1,""))</f>
        <v/>
      </c>
      <c r="AC134" t="str">
        <f>IF(L134="","",IF(AND($AO$2=1,ISNA(MATCH(L134,'06-حزيران'!$L$2:$L$499,0))),"محذوف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IF(L135="","",IF($AO$1=1,IFERROR(MATCH(L135,'04-نيسان'!$L$2:$L$501,0),0),0))</f>
        <v/>
      </c>
      <c r="W135" t="str">
        <f t="shared" si="51"/>
        <v/>
      </c>
      <c r="X135" s="38" t="str">
        <f>IF(L135="","",IF(V135&gt;0,INDEX('04-نيسان'!$P$2:$P$501,V135),IF($AO$1=1,0,"")))</f>
        <v/>
      </c>
      <c r="Y135" s="38" t="str">
        <f t="shared" si="52"/>
        <v/>
      </c>
      <c r="Z135" s="39" t="str">
        <f>IF(L135="","",IF(V135&gt;0,INDEX('04-نيسان'!$Q$2:$Q$501,V135),IF($AO$1=1,0,"")))</f>
        <v/>
      </c>
      <c r="AA135" s="39" t="str">
        <f t="shared" si="53"/>
        <v/>
      </c>
      <c r="AB135" s="40" t="str">
        <f>IF(OR(L135="",V135=0),"",IF(AND(N(I135)&gt;0,N(INDEX('04-نيسان'!$I$2:$I$501,V135))&gt;0,INDEX('04-نيسان'!$F$2:$F$501,V135)=F135),N(I135)/N(INDEX('04-نيسان'!$I$2:$I$501,V135))-1,""))</f>
        <v/>
      </c>
      <c r="AC135" t="str">
        <f>IF(L135="","",IF(AND($AO$2=1,ISNA(MATCH(L135,'06-حزيران'!$L$2:$L$499,0))),"محذوف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IF(L136="","",IF($AO$1=1,IFERROR(MATCH(L136,'04-نيسان'!$L$2:$L$501,0),0),0))</f>
        <v/>
      </c>
      <c r="W136" t="str">
        <f t="shared" si="51"/>
        <v/>
      </c>
      <c r="X136" s="38" t="str">
        <f>IF(L136="","",IF(V136&gt;0,INDEX('04-نيسان'!$P$2:$P$501,V136),IF($AO$1=1,0,"")))</f>
        <v/>
      </c>
      <c r="Y136" s="38" t="str">
        <f t="shared" si="52"/>
        <v/>
      </c>
      <c r="Z136" s="39" t="str">
        <f>IF(L136="","",IF(V136&gt;0,INDEX('04-نيسان'!$Q$2:$Q$501,V136),IF($AO$1=1,0,"")))</f>
        <v/>
      </c>
      <c r="AA136" s="39" t="str">
        <f t="shared" si="53"/>
        <v/>
      </c>
      <c r="AB136" s="40" t="str">
        <f>IF(OR(L136="",V136=0),"",IF(AND(N(I136)&gt;0,N(INDEX('04-نيسان'!$I$2:$I$501,V136))&gt;0,INDEX('04-نيسان'!$F$2:$F$501,V136)=F136),N(I136)/N(INDEX('04-نيسان'!$I$2:$I$501,V136))-1,""))</f>
        <v/>
      </c>
      <c r="AC136" t="str">
        <f>IF(L136="","",IF(AND($AO$2=1,ISNA(MATCH(L136,'06-حزيران'!$L$2:$L$499,0))),"محذوف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IF(L137="","",IF($AO$1=1,IFERROR(MATCH(L137,'04-نيسان'!$L$2:$L$501,0),0),0))</f>
        <v/>
      </c>
      <c r="W137" t="str">
        <f t="shared" si="51"/>
        <v/>
      </c>
      <c r="X137" s="38" t="str">
        <f>IF(L137="","",IF(V137&gt;0,INDEX('04-نيسان'!$P$2:$P$501,V137),IF($AO$1=1,0,"")))</f>
        <v/>
      </c>
      <c r="Y137" s="38" t="str">
        <f t="shared" si="52"/>
        <v/>
      </c>
      <c r="Z137" s="39" t="str">
        <f>IF(L137="","",IF(V137&gt;0,INDEX('04-نيسان'!$Q$2:$Q$501,V137),IF($AO$1=1,0,"")))</f>
        <v/>
      </c>
      <c r="AA137" s="39" t="str">
        <f t="shared" si="53"/>
        <v/>
      </c>
      <c r="AB137" s="40" t="str">
        <f>IF(OR(L137="",V137=0),"",IF(AND(N(I137)&gt;0,N(INDEX('04-نيسان'!$I$2:$I$501,V137))&gt;0,INDEX('04-نيسان'!$F$2:$F$501,V137)=F137),N(I137)/N(INDEX('04-نيسان'!$I$2:$I$501,V137))-1,""))</f>
        <v/>
      </c>
      <c r="AC137" t="str">
        <f>IF(L137="","",IF(AND($AO$2=1,ISNA(MATCH(L137,'06-حزيران'!$L$2:$L$499,0))),"محذوف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IF(L138="","",IF($AO$1=1,IFERROR(MATCH(L138,'04-نيسان'!$L$2:$L$501,0),0),0))</f>
        <v/>
      </c>
      <c r="W138" t="str">
        <f t="shared" si="51"/>
        <v/>
      </c>
      <c r="X138" s="38" t="str">
        <f>IF(L138="","",IF(V138&gt;0,INDEX('04-نيسان'!$P$2:$P$501,V138),IF($AO$1=1,0,"")))</f>
        <v/>
      </c>
      <c r="Y138" s="38" t="str">
        <f t="shared" si="52"/>
        <v/>
      </c>
      <c r="Z138" s="39" t="str">
        <f>IF(L138="","",IF(V138&gt;0,INDEX('04-نيسان'!$Q$2:$Q$501,V138),IF($AO$1=1,0,"")))</f>
        <v/>
      </c>
      <c r="AA138" s="39" t="str">
        <f t="shared" si="53"/>
        <v/>
      </c>
      <c r="AB138" s="40" t="str">
        <f>IF(OR(L138="",V138=0),"",IF(AND(N(I138)&gt;0,N(INDEX('04-نيسان'!$I$2:$I$501,V138))&gt;0,INDEX('04-نيسان'!$F$2:$F$501,V138)=F138),N(I138)/N(INDEX('04-نيسان'!$I$2:$I$501,V138))-1,""))</f>
        <v/>
      </c>
      <c r="AC138" t="str">
        <f>IF(L138="","",IF(AND($AO$2=1,ISNA(MATCH(L138,'06-حزيران'!$L$2:$L$499,0))),"محذوف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IF(L139="","",IF($AO$1=1,IFERROR(MATCH(L139,'04-نيسان'!$L$2:$L$501,0),0),0))</f>
        <v/>
      </c>
      <c r="W139" t="str">
        <f t="shared" si="51"/>
        <v/>
      </c>
      <c r="X139" s="38" t="str">
        <f>IF(L139="","",IF(V139&gt;0,INDEX('04-نيسان'!$P$2:$P$501,V139),IF($AO$1=1,0,"")))</f>
        <v/>
      </c>
      <c r="Y139" s="38" t="str">
        <f t="shared" si="52"/>
        <v/>
      </c>
      <c r="Z139" s="39" t="str">
        <f>IF(L139="","",IF(V139&gt;0,INDEX('04-نيسان'!$Q$2:$Q$501,V139),IF($AO$1=1,0,"")))</f>
        <v/>
      </c>
      <c r="AA139" s="39" t="str">
        <f t="shared" si="53"/>
        <v/>
      </c>
      <c r="AB139" s="40" t="str">
        <f>IF(OR(L139="",V139=0),"",IF(AND(N(I139)&gt;0,N(INDEX('04-نيسان'!$I$2:$I$501,V139))&gt;0,INDEX('04-نيسان'!$F$2:$F$501,V139)=F139),N(I139)/N(INDEX('04-نيسان'!$I$2:$I$501,V139))-1,""))</f>
        <v/>
      </c>
      <c r="AC139" t="str">
        <f>IF(L139="","",IF(AND($AO$2=1,ISNA(MATCH(L139,'06-حزيران'!$L$2:$L$499,0))),"محذوف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IF(L140="","",IF($AO$1=1,IFERROR(MATCH(L140,'04-نيسان'!$L$2:$L$501,0),0),0))</f>
        <v/>
      </c>
      <c r="W140" t="str">
        <f t="shared" si="51"/>
        <v/>
      </c>
      <c r="X140" s="38" t="str">
        <f>IF(L140="","",IF(V140&gt;0,INDEX('04-نيسان'!$P$2:$P$501,V140),IF($AO$1=1,0,"")))</f>
        <v/>
      </c>
      <c r="Y140" s="38" t="str">
        <f t="shared" si="52"/>
        <v/>
      </c>
      <c r="Z140" s="39" t="str">
        <f>IF(L140="","",IF(V140&gt;0,INDEX('04-نيسان'!$Q$2:$Q$501,V140),IF($AO$1=1,0,"")))</f>
        <v/>
      </c>
      <c r="AA140" s="39" t="str">
        <f t="shared" si="53"/>
        <v/>
      </c>
      <c r="AB140" s="40" t="str">
        <f>IF(OR(L140="",V140=0),"",IF(AND(N(I140)&gt;0,N(INDEX('04-نيسان'!$I$2:$I$501,V140))&gt;0,INDEX('04-نيسان'!$F$2:$F$501,V140)=F140),N(I140)/N(INDEX('04-نيسان'!$I$2:$I$501,V140))-1,""))</f>
        <v/>
      </c>
      <c r="AC140" t="str">
        <f>IF(L140="","",IF(AND($AO$2=1,ISNA(MATCH(L140,'06-حزيران'!$L$2:$L$499,0))),"محذوف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IF(L141="","",IF($AO$1=1,IFERROR(MATCH(L141,'04-نيسان'!$L$2:$L$501,0),0),0))</f>
        <v/>
      </c>
      <c r="W141" t="str">
        <f t="shared" si="51"/>
        <v/>
      </c>
      <c r="X141" s="38" t="str">
        <f>IF(L141="","",IF(V141&gt;0,INDEX('04-نيسان'!$P$2:$P$501,V141),IF($AO$1=1,0,"")))</f>
        <v/>
      </c>
      <c r="Y141" s="38" t="str">
        <f t="shared" si="52"/>
        <v/>
      </c>
      <c r="Z141" s="39" t="str">
        <f>IF(L141="","",IF(V141&gt;0,INDEX('04-نيسان'!$Q$2:$Q$501,V141),IF($AO$1=1,0,"")))</f>
        <v/>
      </c>
      <c r="AA141" s="39" t="str">
        <f t="shared" si="53"/>
        <v/>
      </c>
      <c r="AB141" s="40" t="str">
        <f>IF(OR(L141="",V141=0),"",IF(AND(N(I141)&gt;0,N(INDEX('04-نيسان'!$I$2:$I$501,V141))&gt;0,INDEX('04-نيسان'!$F$2:$F$501,V141)=F141),N(I141)/N(INDEX('04-نيسان'!$I$2:$I$501,V141))-1,""))</f>
        <v/>
      </c>
      <c r="AC141" t="str">
        <f>IF(L141="","",IF(AND($AO$2=1,ISNA(MATCH(L141,'06-حزيران'!$L$2:$L$499,0))),"محذوف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IF(L142="","",IF($AO$1=1,IFERROR(MATCH(L142,'04-نيسان'!$L$2:$L$501,0),0),0))</f>
        <v/>
      </c>
      <c r="W142" t="str">
        <f t="shared" si="51"/>
        <v/>
      </c>
      <c r="X142" s="38" t="str">
        <f>IF(L142="","",IF(V142&gt;0,INDEX('04-نيسان'!$P$2:$P$501,V142),IF($AO$1=1,0,"")))</f>
        <v/>
      </c>
      <c r="Y142" s="38" t="str">
        <f t="shared" si="52"/>
        <v/>
      </c>
      <c r="Z142" s="39" t="str">
        <f>IF(L142="","",IF(V142&gt;0,INDEX('04-نيسان'!$Q$2:$Q$501,V142),IF($AO$1=1,0,"")))</f>
        <v/>
      </c>
      <c r="AA142" s="39" t="str">
        <f t="shared" si="53"/>
        <v/>
      </c>
      <c r="AB142" s="40" t="str">
        <f>IF(OR(L142="",V142=0),"",IF(AND(N(I142)&gt;0,N(INDEX('04-نيسان'!$I$2:$I$501,V142))&gt;0,INDEX('04-نيسان'!$F$2:$F$501,V142)=F142),N(I142)/N(INDEX('04-نيسان'!$I$2:$I$501,V142))-1,""))</f>
        <v/>
      </c>
      <c r="AC142" t="str">
        <f>IF(L142="","",IF(AND($AO$2=1,ISNA(MATCH(L142,'06-حزيران'!$L$2:$L$499,0))),"محذوف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IF(L143="","",IF($AO$1=1,IFERROR(MATCH(L143,'04-نيسان'!$L$2:$L$501,0),0),0))</f>
        <v/>
      </c>
      <c r="W143" t="str">
        <f t="shared" si="51"/>
        <v/>
      </c>
      <c r="X143" s="38" t="str">
        <f>IF(L143="","",IF(V143&gt;0,INDEX('04-نيسان'!$P$2:$P$501,V143),IF($AO$1=1,0,"")))</f>
        <v/>
      </c>
      <c r="Y143" s="38" t="str">
        <f t="shared" si="52"/>
        <v/>
      </c>
      <c r="Z143" s="39" t="str">
        <f>IF(L143="","",IF(V143&gt;0,INDEX('04-نيسان'!$Q$2:$Q$501,V143),IF($AO$1=1,0,"")))</f>
        <v/>
      </c>
      <c r="AA143" s="39" t="str">
        <f t="shared" si="53"/>
        <v/>
      </c>
      <c r="AB143" s="40" t="str">
        <f>IF(OR(L143="",V143=0),"",IF(AND(N(I143)&gt;0,N(INDEX('04-نيسان'!$I$2:$I$501,V143))&gt;0,INDEX('04-نيسان'!$F$2:$F$501,V143)=F143),N(I143)/N(INDEX('04-نيسان'!$I$2:$I$501,V143))-1,""))</f>
        <v/>
      </c>
      <c r="AC143" t="str">
        <f>IF(L143="","",IF(AND($AO$2=1,ISNA(MATCH(L143,'06-حزيران'!$L$2:$L$499,0))),"محذوف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IF(L144="","",IF($AO$1=1,IFERROR(MATCH(L144,'04-نيسان'!$L$2:$L$501,0),0),0))</f>
        <v/>
      </c>
      <c r="W144" t="str">
        <f t="shared" si="51"/>
        <v/>
      </c>
      <c r="X144" s="38" t="str">
        <f>IF(L144="","",IF(V144&gt;0,INDEX('04-نيسان'!$P$2:$P$501,V144),IF($AO$1=1,0,"")))</f>
        <v/>
      </c>
      <c r="Y144" s="38" t="str">
        <f t="shared" si="52"/>
        <v/>
      </c>
      <c r="Z144" s="39" t="str">
        <f>IF(L144="","",IF(V144&gt;0,INDEX('04-نيسان'!$Q$2:$Q$501,V144),IF($AO$1=1,0,"")))</f>
        <v/>
      </c>
      <c r="AA144" s="39" t="str">
        <f t="shared" si="53"/>
        <v/>
      </c>
      <c r="AB144" s="40" t="str">
        <f>IF(OR(L144="",V144=0),"",IF(AND(N(I144)&gt;0,N(INDEX('04-نيسان'!$I$2:$I$501,V144))&gt;0,INDEX('04-نيسان'!$F$2:$F$501,V144)=F144),N(I144)/N(INDEX('04-نيسان'!$I$2:$I$501,V144))-1,""))</f>
        <v/>
      </c>
      <c r="AC144" t="str">
        <f>IF(L144="","",IF(AND($AO$2=1,ISNA(MATCH(L144,'06-حزيران'!$L$2:$L$499,0))),"محذوف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IF(L145="","",IF($AO$1=1,IFERROR(MATCH(L145,'04-نيسان'!$L$2:$L$501,0),0),0))</f>
        <v/>
      </c>
      <c r="W145" t="str">
        <f t="shared" si="51"/>
        <v/>
      </c>
      <c r="X145" s="38" t="str">
        <f>IF(L145="","",IF(V145&gt;0,INDEX('04-نيسان'!$P$2:$P$501,V145),IF($AO$1=1,0,"")))</f>
        <v/>
      </c>
      <c r="Y145" s="38" t="str">
        <f t="shared" si="52"/>
        <v/>
      </c>
      <c r="Z145" s="39" t="str">
        <f>IF(L145="","",IF(V145&gt;0,INDEX('04-نيسان'!$Q$2:$Q$501,V145),IF($AO$1=1,0,"")))</f>
        <v/>
      </c>
      <c r="AA145" s="39" t="str">
        <f t="shared" si="53"/>
        <v/>
      </c>
      <c r="AB145" s="40" t="str">
        <f>IF(OR(L145="",V145=0),"",IF(AND(N(I145)&gt;0,N(INDEX('04-نيسان'!$I$2:$I$501,V145))&gt;0,INDEX('04-نيسان'!$F$2:$F$501,V145)=F145),N(I145)/N(INDEX('04-نيسان'!$I$2:$I$501,V145))-1,""))</f>
        <v/>
      </c>
      <c r="AC145" t="str">
        <f>IF(L145="","",IF(AND($AO$2=1,ISNA(MATCH(L145,'06-حزيران'!$L$2:$L$499,0))),"محذوف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IF(L146="","",IF($AO$1=1,IFERROR(MATCH(L146,'04-نيسان'!$L$2:$L$501,0),0),0))</f>
        <v/>
      </c>
      <c r="W146" t="str">
        <f t="shared" si="51"/>
        <v/>
      </c>
      <c r="X146" s="38" t="str">
        <f>IF(L146="","",IF(V146&gt;0,INDEX('04-نيسان'!$P$2:$P$501,V146),IF($AO$1=1,0,"")))</f>
        <v/>
      </c>
      <c r="Y146" s="38" t="str">
        <f t="shared" si="52"/>
        <v/>
      </c>
      <c r="Z146" s="39" t="str">
        <f>IF(L146="","",IF(V146&gt;0,INDEX('04-نيسان'!$Q$2:$Q$501,V146),IF($AO$1=1,0,"")))</f>
        <v/>
      </c>
      <c r="AA146" s="39" t="str">
        <f t="shared" si="53"/>
        <v/>
      </c>
      <c r="AB146" s="40" t="str">
        <f>IF(OR(L146="",V146=0),"",IF(AND(N(I146)&gt;0,N(INDEX('04-نيسان'!$I$2:$I$501,V146))&gt;0,INDEX('04-نيسان'!$F$2:$F$501,V146)=F146),N(I146)/N(INDEX('04-نيسان'!$I$2:$I$501,V146))-1,""))</f>
        <v/>
      </c>
      <c r="AC146" t="str">
        <f>IF(L146="","",IF(AND($AO$2=1,ISNA(MATCH(L146,'06-حزيران'!$L$2:$L$499,0))),"محذوف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IF(L147="","",IF($AO$1=1,IFERROR(MATCH(L147,'04-نيسان'!$L$2:$L$501,0),0),0))</f>
        <v/>
      </c>
      <c r="W147" t="str">
        <f t="shared" si="51"/>
        <v/>
      </c>
      <c r="X147" s="38" t="str">
        <f>IF(L147="","",IF(V147&gt;0,INDEX('04-نيسان'!$P$2:$P$501,V147),IF($AO$1=1,0,"")))</f>
        <v/>
      </c>
      <c r="Y147" s="38" t="str">
        <f t="shared" si="52"/>
        <v/>
      </c>
      <c r="Z147" s="39" t="str">
        <f>IF(L147="","",IF(V147&gt;0,INDEX('04-نيسان'!$Q$2:$Q$501,V147),IF($AO$1=1,0,"")))</f>
        <v/>
      </c>
      <c r="AA147" s="39" t="str">
        <f t="shared" si="53"/>
        <v/>
      </c>
      <c r="AB147" s="40" t="str">
        <f>IF(OR(L147="",V147=0),"",IF(AND(N(I147)&gt;0,N(INDEX('04-نيسان'!$I$2:$I$501,V147))&gt;0,INDEX('04-نيسان'!$F$2:$F$501,V147)=F147),N(I147)/N(INDEX('04-نيسان'!$I$2:$I$501,V147))-1,""))</f>
        <v/>
      </c>
      <c r="AC147" t="str">
        <f>IF(L147="","",IF(AND($AO$2=1,ISNA(MATCH(L147,'06-حزيران'!$L$2:$L$499,0))),"محذوف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IF(L148="","",IF($AO$1=1,IFERROR(MATCH(L148,'04-نيسان'!$L$2:$L$501,0),0),0))</f>
        <v/>
      </c>
      <c r="W148" t="str">
        <f t="shared" si="51"/>
        <v/>
      </c>
      <c r="X148" s="38" t="str">
        <f>IF(L148="","",IF(V148&gt;0,INDEX('04-نيسان'!$P$2:$P$501,V148),IF($AO$1=1,0,"")))</f>
        <v/>
      </c>
      <c r="Y148" s="38" t="str">
        <f t="shared" si="52"/>
        <v/>
      </c>
      <c r="Z148" s="39" t="str">
        <f>IF(L148="","",IF(V148&gt;0,INDEX('04-نيسان'!$Q$2:$Q$501,V148),IF($AO$1=1,0,"")))</f>
        <v/>
      </c>
      <c r="AA148" s="39" t="str">
        <f t="shared" si="53"/>
        <v/>
      </c>
      <c r="AB148" s="40" t="str">
        <f>IF(OR(L148="",V148=0),"",IF(AND(N(I148)&gt;0,N(INDEX('04-نيسان'!$I$2:$I$501,V148))&gt;0,INDEX('04-نيسان'!$F$2:$F$501,V148)=F148),N(I148)/N(INDEX('04-نيسان'!$I$2:$I$501,V148))-1,""))</f>
        <v/>
      </c>
      <c r="AC148" t="str">
        <f>IF(L148="","",IF(AND($AO$2=1,ISNA(MATCH(L148,'06-حزيران'!$L$2:$L$499,0))),"محذوف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IF(L149="","",IF($AO$1=1,IFERROR(MATCH(L149,'04-نيسان'!$L$2:$L$501,0),0),0))</f>
        <v/>
      </c>
      <c r="W149" t="str">
        <f t="shared" si="51"/>
        <v/>
      </c>
      <c r="X149" s="38" t="str">
        <f>IF(L149="","",IF(V149&gt;0,INDEX('04-نيسان'!$P$2:$P$501,V149),IF($AO$1=1,0,"")))</f>
        <v/>
      </c>
      <c r="Y149" s="38" t="str">
        <f t="shared" si="52"/>
        <v/>
      </c>
      <c r="Z149" s="39" t="str">
        <f>IF(L149="","",IF(V149&gt;0,INDEX('04-نيسان'!$Q$2:$Q$501,V149),IF($AO$1=1,0,"")))</f>
        <v/>
      </c>
      <c r="AA149" s="39" t="str">
        <f t="shared" si="53"/>
        <v/>
      </c>
      <c r="AB149" s="40" t="str">
        <f>IF(OR(L149="",V149=0),"",IF(AND(N(I149)&gt;0,N(INDEX('04-نيسان'!$I$2:$I$501,V149))&gt;0,INDEX('04-نيسان'!$F$2:$F$501,V149)=F149),N(I149)/N(INDEX('04-نيسان'!$I$2:$I$501,V149))-1,""))</f>
        <v/>
      </c>
      <c r="AC149" t="str">
        <f>IF(L149="","",IF(AND($AO$2=1,ISNA(MATCH(L149,'06-حزيران'!$L$2:$L$499,0))),"محذوف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IF(L150="","",IF($AO$1=1,IFERROR(MATCH(L150,'04-نيسان'!$L$2:$L$501,0),0),0))</f>
        <v/>
      </c>
      <c r="W150" t="str">
        <f t="shared" si="51"/>
        <v/>
      </c>
      <c r="X150" s="38" t="str">
        <f>IF(L150="","",IF(V150&gt;0,INDEX('04-نيسان'!$P$2:$P$501,V150),IF($AO$1=1,0,"")))</f>
        <v/>
      </c>
      <c r="Y150" s="38" t="str">
        <f t="shared" si="52"/>
        <v/>
      </c>
      <c r="Z150" s="39" t="str">
        <f>IF(L150="","",IF(V150&gt;0,INDEX('04-نيسان'!$Q$2:$Q$501,V150),IF($AO$1=1,0,"")))</f>
        <v/>
      </c>
      <c r="AA150" s="39" t="str">
        <f t="shared" si="53"/>
        <v/>
      </c>
      <c r="AB150" s="40" t="str">
        <f>IF(OR(L150="",V150=0),"",IF(AND(N(I150)&gt;0,N(INDEX('04-نيسان'!$I$2:$I$501,V150))&gt;0,INDEX('04-نيسان'!$F$2:$F$501,V150)=F150),N(I150)/N(INDEX('04-نيسان'!$I$2:$I$501,V150))-1,""))</f>
        <v/>
      </c>
      <c r="AC150" t="str">
        <f>IF(L150="","",IF(AND($AO$2=1,ISNA(MATCH(L150,'06-حزيران'!$L$2:$L$499,0))),"محذوف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IF(L151="","",IF($AO$1=1,IFERROR(MATCH(L151,'04-نيسان'!$L$2:$L$501,0),0),0))</f>
        <v/>
      </c>
      <c r="W151" t="str">
        <f t="shared" si="51"/>
        <v/>
      </c>
      <c r="X151" s="38" t="str">
        <f>IF(L151="","",IF(V151&gt;0,INDEX('04-نيسان'!$P$2:$P$501,V151),IF($AO$1=1,0,"")))</f>
        <v/>
      </c>
      <c r="Y151" s="38" t="str">
        <f t="shared" si="52"/>
        <v/>
      </c>
      <c r="Z151" s="39" t="str">
        <f>IF(L151="","",IF(V151&gt;0,INDEX('04-نيسان'!$Q$2:$Q$501,V151),IF($AO$1=1,0,"")))</f>
        <v/>
      </c>
      <c r="AA151" s="39" t="str">
        <f t="shared" si="53"/>
        <v/>
      </c>
      <c r="AB151" s="40" t="str">
        <f>IF(OR(L151="",V151=0),"",IF(AND(N(I151)&gt;0,N(INDEX('04-نيسان'!$I$2:$I$501,V151))&gt;0,INDEX('04-نيسان'!$F$2:$F$501,V151)=F151),N(I151)/N(INDEX('04-نيسان'!$I$2:$I$501,V151))-1,""))</f>
        <v/>
      </c>
      <c r="AC151" t="str">
        <f>IF(L151="","",IF(AND($AO$2=1,ISNA(MATCH(L151,'06-حزيران'!$L$2:$L$499,0))),"محذوف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IF(L152="","",IF($AO$1=1,IFERROR(MATCH(L152,'04-نيسان'!$L$2:$L$501,0),0),0))</f>
        <v/>
      </c>
      <c r="W152" t="str">
        <f t="shared" si="51"/>
        <v/>
      </c>
      <c r="X152" s="38" t="str">
        <f>IF(L152="","",IF(V152&gt;0,INDEX('04-نيسان'!$P$2:$P$501,V152),IF($AO$1=1,0,"")))</f>
        <v/>
      </c>
      <c r="Y152" s="38" t="str">
        <f t="shared" si="52"/>
        <v/>
      </c>
      <c r="Z152" s="39" t="str">
        <f>IF(L152="","",IF(V152&gt;0,INDEX('04-نيسان'!$Q$2:$Q$501,V152),IF($AO$1=1,0,"")))</f>
        <v/>
      </c>
      <c r="AA152" s="39" t="str">
        <f t="shared" si="53"/>
        <v/>
      </c>
      <c r="AB152" s="40" t="str">
        <f>IF(OR(L152="",V152=0),"",IF(AND(N(I152)&gt;0,N(INDEX('04-نيسان'!$I$2:$I$501,V152))&gt;0,INDEX('04-نيسان'!$F$2:$F$501,V152)=F152),N(I152)/N(INDEX('04-نيسان'!$I$2:$I$501,V152))-1,""))</f>
        <v/>
      </c>
      <c r="AC152" t="str">
        <f>IF(L152="","",IF(AND($AO$2=1,ISNA(MATCH(L152,'06-حزيران'!$L$2:$L$499,0))),"محذوف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IF(L153="","",IF($AO$1=1,IFERROR(MATCH(L153,'04-نيسان'!$L$2:$L$501,0),0),0))</f>
        <v/>
      </c>
      <c r="W153" t="str">
        <f t="shared" si="51"/>
        <v/>
      </c>
      <c r="X153" s="38" t="str">
        <f>IF(L153="","",IF(V153&gt;0,INDEX('04-نيسان'!$P$2:$P$501,V153),IF($AO$1=1,0,"")))</f>
        <v/>
      </c>
      <c r="Y153" s="38" t="str">
        <f t="shared" si="52"/>
        <v/>
      </c>
      <c r="Z153" s="39" t="str">
        <f>IF(L153="","",IF(V153&gt;0,INDEX('04-نيسان'!$Q$2:$Q$501,V153),IF($AO$1=1,0,"")))</f>
        <v/>
      </c>
      <c r="AA153" s="39" t="str">
        <f t="shared" si="53"/>
        <v/>
      </c>
      <c r="AB153" s="40" t="str">
        <f>IF(OR(L153="",V153=0),"",IF(AND(N(I153)&gt;0,N(INDEX('04-نيسان'!$I$2:$I$501,V153))&gt;0,INDEX('04-نيسان'!$F$2:$F$501,V153)=F153),N(I153)/N(INDEX('04-نيسان'!$I$2:$I$501,V153))-1,""))</f>
        <v/>
      </c>
      <c r="AC153" t="str">
        <f>IF(L153="","",IF(AND($AO$2=1,ISNA(MATCH(L153,'06-حزيران'!$L$2:$L$499,0))),"محذوف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IF(L154="","",IF($AO$1=1,IFERROR(MATCH(L154,'04-نيسان'!$L$2:$L$501,0),0),0))</f>
        <v/>
      </c>
      <c r="W154" t="str">
        <f t="shared" si="51"/>
        <v/>
      </c>
      <c r="X154" s="38" t="str">
        <f>IF(L154="","",IF(V154&gt;0,INDEX('04-نيسان'!$P$2:$P$501,V154),IF($AO$1=1,0,"")))</f>
        <v/>
      </c>
      <c r="Y154" s="38" t="str">
        <f t="shared" si="52"/>
        <v/>
      </c>
      <c r="Z154" s="39" t="str">
        <f>IF(L154="","",IF(V154&gt;0,INDEX('04-نيسان'!$Q$2:$Q$501,V154),IF($AO$1=1,0,"")))</f>
        <v/>
      </c>
      <c r="AA154" s="39" t="str">
        <f t="shared" si="53"/>
        <v/>
      </c>
      <c r="AB154" s="40" t="str">
        <f>IF(OR(L154="",V154=0),"",IF(AND(N(I154)&gt;0,N(INDEX('04-نيسان'!$I$2:$I$501,V154))&gt;0,INDEX('04-نيسان'!$F$2:$F$501,V154)=F154),N(I154)/N(INDEX('04-نيسان'!$I$2:$I$501,V154))-1,""))</f>
        <v/>
      </c>
      <c r="AC154" t="str">
        <f>IF(L154="","",IF(AND($AO$2=1,ISNA(MATCH(L154,'06-حزيران'!$L$2:$L$499,0))),"محذوف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IF(L155="","",IF($AO$1=1,IFERROR(MATCH(L155,'04-نيسان'!$L$2:$L$501,0),0),0))</f>
        <v/>
      </c>
      <c r="W155" t="str">
        <f t="shared" si="51"/>
        <v/>
      </c>
      <c r="X155" s="38" t="str">
        <f>IF(L155="","",IF(V155&gt;0,INDEX('04-نيسان'!$P$2:$P$501,V155),IF($AO$1=1,0,"")))</f>
        <v/>
      </c>
      <c r="Y155" s="38" t="str">
        <f t="shared" si="52"/>
        <v/>
      </c>
      <c r="Z155" s="39" t="str">
        <f>IF(L155="","",IF(V155&gt;0,INDEX('04-نيسان'!$Q$2:$Q$501,V155),IF($AO$1=1,0,"")))</f>
        <v/>
      </c>
      <c r="AA155" s="39" t="str">
        <f t="shared" si="53"/>
        <v/>
      </c>
      <c r="AB155" s="40" t="str">
        <f>IF(OR(L155="",V155=0),"",IF(AND(N(I155)&gt;0,N(INDEX('04-نيسان'!$I$2:$I$501,V155))&gt;0,INDEX('04-نيسان'!$F$2:$F$501,V155)=F155),N(I155)/N(INDEX('04-نيسان'!$I$2:$I$501,V155))-1,""))</f>
        <v/>
      </c>
      <c r="AC155" t="str">
        <f>IF(L155="","",IF(AND($AO$2=1,ISNA(MATCH(L155,'06-حزيران'!$L$2:$L$499,0))),"محذوف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IF(L156="","",IF($AO$1=1,IFERROR(MATCH(L156,'04-نيسان'!$L$2:$L$501,0),0),0))</f>
        <v/>
      </c>
      <c r="W156" t="str">
        <f t="shared" si="51"/>
        <v/>
      </c>
      <c r="X156" s="38" t="str">
        <f>IF(L156="","",IF(V156&gt;0,INDEX('04-نيسان'!$P$2:$P$501,V156),IF($AO$1=1,0,"")))</f>
        <v/>
      </c>
      <c r="Y156" s="38" t="str">
        <f t="shared" si="52"/>
        <v/>
      </c>
      <c r="Z156" s="39" t="str">
        <f>IF(L156="","",IF(V156&gt;0,INDEX('04-نيسان'!$Q$2:$Q$501,V156),IF($AO$1=1,0,"")))</f>
        <v/>
      </c>
      <c r="AA156" s="39" t="str">
        <f t="shared" si="53"/>
        <v/>
      </c>
      <c r="AB156" s="40" t="str">
        <f>IF(OR(L156="",V156=0),"",IF(AND(N(I156)&gt;0,N(INDEX('04-نيسان'!$I$2:$I$501,V156))&gt;0,INDEX('04-نيسان'!$F$2:$F$501,V156)=F156),N(I156)/N(INDEX('04-نيسان'!$I$2:$I$501,V156))-1,""))</f>
        <v/>
      </c>
      <c r="AC156" t="str">
        <f>IF(L156="","",IF(AND($AO$2=1,ISNA(MATCH(L156,'06-حزيران'!$L$2:$L$499,0))),"محذوف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IF(L157="","",IF($AO$1=1,IFERROR(MATCH(L157,'04-نيسان'!$L$2:$L$501,0),0),0))</f>
        <v/>
      </c>
      <c r="W157" t="str">
        <f t="shared" si="51"/>
        <v/>
      </c>
      <c r="X157" s="38" t="str">
        <f>IF(L157="","",IF(V157&gt;0,INDEX('04-نيسان'!$P$2:$P$501,V157),IF($AO$1=1,0,"")))</f>
        <v/>
      </c>
      <c r="Y157" s="38" t="str">
        <f t="shared" si="52"/>
        <v/>
      </c>
      <c r="Z157" s="39" t="str">
        <f>IF(L157="","",IF(V157&gt;0,INDEX('04-نيسان'!$Q$2:$Q$501,V157),IF($AO$1=1,0,"")))</f>
        <v/>
      </c>
      <c r="AA157" s="39" t="str">
        <f t="shared" si="53"/>
        <v/>
      </c>
      <c r="AB157" s="40" t="str">
        <f>IF(OR(L157="",V157=0),"",IF(AND(N(I157)&gt;0,N(INDEX('04-نيسان'!$I$2:$I$501,V157))&gt;0,INDEX('04-نيسان'!$F$2:$F$501,V157)=F157),N(I157)/N(INDEX('04-نيسان'!$I$2:$I$501,V157))-1,""))</f>
        <v/>
      </c>
      <c r="AC157" t="str">
        <f>IF(L157="","",IF(AND($AO$2=1,ISNA(MATCH(L157,'06-حزيران'!$L$2:$L$499,0))),"محذوف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IF(L158="","",IF($AO$1=1,IFERROR(MATCH(L158,'04-نيسان'!$L$2:$L$501,0),0),0))</f>
        <v/>
      </c>
      <c r="W158" t="str">
        <f t="shared" si="51"/>
        <v/>
      </c>
      <c r="X158" s="38" t="str">
        <f>IF(L158="","",IF(V158&gt;0,INDEX('04-نيسان'!$P$2:$P$501,V158),IF($AO$1=1,0,"")))</f>
        <v/>
      </c>
      <c r="Y158" s="38" t="str">
        <f t="shared" si="52"/>
        <v/>
      </c>
      <c r="Z158" s="39" t="str">
        <f>IF(L158="","",IF(V158&gt;0,INDEX('04-نيسان'!$Q$2:$Q$501,V158),IF($AO$1=1,0,"")))</f>
        <v/>
      </c>
      <c r="AA158" s="39" t="str">
        <f t="shared" si="53"/>
        <v/>
      </c>
      <c r="AB158" s="40" t="str">
        <f>IF(OR(L158="",V158=0),"",IF(AND(N(I158)&gt;0,N(INDEX('04-نيسان'!$I$2:$I$501,V158))&gt;0,INDEX('04-نيسان'!$F$2:$F$501,V158)=F158),N(I158)/N(INDEX('04-نيسان'!$I$2:$I$501,V158))-1,""))</f>
        <v/>
      </c>
      <c r="AC158" t="str">
        <f>IF(L158="","",IF(AND($AO$2=1,ISNA(MATCH(L158,'06-حزيران'!$L$2:$L$499,0))),"محذوف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IF(L159="","",IF($AO$1=1,IFERROR(MATCH(L159,'04-نيسان'!$L$2:$L$501,0),0),0))</f>
        <v/>
      </c>
      <c r="W159" t="str">
        <f t="shared" si="51"/>
        <v/>
      </c>
      <c r="X159" s="38" t="str">
        <f>IF(L159="","",IF(V159&gt;0,INDEX('04-نيسان'!$P$2:$P$501,V159),IF($AO$1=1,0,"")))</f>
        <v/>
      </c>
      <c r="Y159" s="38" t="str">
        <f t="shared" si="52"/>
        <v/>
      </c>
      <c r="Z159" s="39" t="str">
        <f>IF(L159="","",IF(V159&gt;0,INDEX('04-نيسان'!$Q$2:$Q$501,V159),IF($AO$1=1,0,"")))</f>
        <v/>
      </c>
      <c r="AA159" s="39" t="str">
        <f t="shared" si="53"/>
        <v/>
      </c>
      <c r="AB159" s="40" t="str">
        <f>IF(OR(L159="",V159=0),"",IF(AND(N(I159)&gt;0,N(INDEX('04-نيسان'!$I$2:$I$501,V159))&gt;0,INDEX('04-نيسان'!$F$2:$F$501,V159)=F159),N(I159)/N(INDEX('04-نيسان'!$I$2:$I$501,V159))-1,""))</f>
        <v/>
      </c>
      <c r="AC159" t="str">
        <f>IF(L159="","",IF(AND($AO$2=1,ISNA(MATCH(L159,'06-حزيران'!$L$2:$L$499,0))),"محذوف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IF(L160="","",IF($AO$1=1,IFERROR(MATCH(L160,'04-نيسان'!$L$2:$L$501,0),0),0))</f>
        <v/>
      </c>
      <c r="W160" t="str">
        <f t="shared" si="51"/>
        <v/>
      </c>
      <c r="X160" s="38" t="str">
        <f>IF(L160="","",IF(V160&gt;0,INDEX('04-نيسان'!$P$2:$P$501,V160),IF($AO$1=1,0,"")))</f>
        <v/>
      </c>
      <c r="Y160" s="38" t="str">
        <f t="shared" si="52"/>
        <v/>
      </c>
      <c r="Z160" s="39" t="str">
        <f>IF(L160="","",IF(V160&gt;0,INDEX('04-نيسان'!$Q$2:$Q$501,V160),IF($AO$1=1,0,"")))</f>
        <v/>
      </c>
      <c r="AA160" s="39" t="str">
        <f t="shared" si="53"/>
        <v/>
      </c>
      <c r="AB160" s="40" t="str">
        <f>IF(OR(L160="",V160=0),"",IF(AND(N(I160)&gt;0,N(INDEX('04-نيسان'!$I$2:$I$501,V160))&gt;0,INDEX('04-نيسان'!$F$2:$F$501,V160)=F160),N(I160)/N(INDEX('04-نيسان'!$I$2:$I$501,V160))-1,""))</f>
        <v/>
      </c>
      <c r="AC160" t="str">
        <f>IF(L160="","",IF(AND($AO$2=1,ISNA(MATCH(L160,'06-حزيران'!$L$2:$L$499,0))),"محذوف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IF(L161="","",IF($AO$1=1,IFERROR(MATCH(L161,'04-نيسان'!$L$2:$L$501,0),0),0))</f>
        <v/>
      </c>
      <c r="W161" t="str">
        <f t="shared" si="51"/>
        <v/>
      </c>
      <c r="X161" s="38" t="str">
        <f>IF(L161="","",IF(V161&gt;0,INDEX('04-نيسان'!$P$2:$P$501,V161),IF($AO$1=1,0,"")))</f>
        <v/>
      </c>
      <c r="Y161" s="38" t="str">
        <f t="shared" si="52"/>
        <v/>
      </c>
      <c r="Z161" s="39" t="str">
        <f>IF(L161="","",IF(V161&gt;0,INDEX('04-نيسان'!$Q$2:$Q$501,V161),IF($AO$1=1,0,"")))</f>
        <v/>
      </c>
      <c r="AA161" s="39" t="str">
        <f t="shared" si="53"/>
        <v/>
      </c>
      <c r="AB161" s="40" t="str">
        <f>IF(OR(L161="",V161=0),"",IF(AND(N(I161)&gt;0,N(INDEX('04-نيسان'!$I$2:$I$501,V161))&gt;0,INDEX('04-نيسان'!$F$2:$F$501,V161)=F161),N(I161)/N(INDEX('04-نيسان'!$I$2:$I$501,V161))-1,""))</f>
        <v/>
      </c>
      <c r="AC161" t="str">
        <f>IF(L161="","",IF(AND($AO$2=1,ISNA(MATCH(L161,'06-حزيران'!$L$2:$L$499,0))),"محذوف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IF(L162="","",IF($AO$1=1,IFERROR(MATCH(L162,'04-نيسان'!$L$2:$L$501,0),0),0))</f>
        <v/>
      </c>
      <c r="W162" t="str">
        <f t="shared" si="51"/>
        <v/>
      </c>
      <c r="X162" s="38" t="str">
        <f>IF(L162="","",IF(V162&gt;0,INDEX('04-نيسان'!$P$2:$P$501,V162),IF($AO$1=1,0,"")))</f>
        <v/>
      </c>
      <c r="Y162" s="38" t="str">
        <f t="shared" si="52"/>
        <v/>
      </c>
      <c r="Z162" s="39" t="str">
        <f>IF(L162="","",IF(V162&gt;0,INDEX('04-نيسان'!$Q$2:$Q$501,V162),IF($AO$1=1,0,"")))</f>
        <v/>
      </c>
      <c r="AA162" s="39" t="str">
        <f t="shared" si="53"/>
        <v/>
      </c>
      <c r="AB162" s="40" t="str">
        <f>IF(OR(L162="",V162=0),"",IF(AND(N(I162)&gt;0,N(INDEX('04-نيسان'!$I$2:$I$501,V162))&gt;0,INDEX('04-نيسان'!$F$2:$F$501,V162)=F162),N(I162)/N(INDEX('04-نيسان'!$I$2:$I$501,V162))-1,""))</f>
        <v/>
      </c>
      <c r="AC162" t="str">
        <f>IF(L162="","",IF(AND($AO$2=1,ISNA(MATCH(L162,'06-حزيران'!$L$2:$L$499,0))),"محذوف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IF(L163="","",IF($AO$1=1,IFERROR(MATCH(L163,'04-نيسان'!$L$2:$L$501,0),0),0))</f>
        <v/>
      </c>
      <c r="W163" t="str">
        <f t="shared" si="51"/>
        <v/>
      </c>
      <c r="X163" s="38" t="str">
        <f>IF(L163="","",IF(V163&gt;0,INDEX('04-نيسان'!$P$2:$P$501,V163),IF($AO$1=1,0,"")))</f>
        <v/>
      </c>
      <c r="Y163" s="38" t="str">
        <f t="shared" si="52"/>
        <v/>
      </c>
      <c r="Z163" s="39" t="str">
        <f>IF(L163="","",IF(V163&gt;0,INDEX('04-نيسان'!$Q$2:$Q$501,V163),IF($AO$1=1,0,"")))</f>
        <v/>
      </c>
      <c r="AA163" s="39" t="str">
        <f t="shared" si="53"/>
        <v/>
      </c>
      <c r="AB163" s="40" t="str">
        <f>IF(OR(L163="",V163=0),"",IF(AND(N(I163)&gt;0,N(INDEX('04-نيسان'!$I$2:$I$501,V163))&gt;0,INDEX('04-نيسان'!$F$2:$F$501,V163)=F163),N(I163)/N(INDEX('04-نيسان'!$I$2:$I$501,V163))-1,""))</f>
        <v/>
      </c>
      <c r="AC163" t="str">
        <f>IF(L163="","",IF(AND($AO$2=1,ISNA(MATCH(L163,'06-حزيران'!$L$2:$L$499,0))),"محذوف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IF(L164="","",IF($AO$1=1,IFERROR(MATCH(L164,'04-نيسان'!$L$2:$L$501,0),0),0))</f>
        <v/>
      </c>
      <c r="W164" t="str">
        <f t="shared" si="51"/>
        <v/>
      </c>
      <c r="X164" s="38" t="str">
        <f>IF(L164="","",IF(V164&gt;0,INDEX('04-نيسان'!$P$2:$P$501,V164),IF($AO$1=1,0,"")))</f>
        <v/>
      </c>
      <c r="Y164" s="38" t="str">
        <f t="shared" si="52"/>
        <v/>
      </c>
      <c r="Z164" s="39" t="str">
        <f>IF(L164="","",IF(V164&gt;0,INDEX('04-نيسان'!$Q$2:$Q$501,V164),IF($AO$1=1,0,"")))</f>
        <v/>
      </c>
      <c r="AA164" s="39" t="str">
        <f t="shared" si="53"/>
        <v/>
      </c>
      <c r="AB164" s="40" t="str">
        <f>IF(OR(L164="",V164=0),"",IF(AND(N(I164)&gt;0,N(INDEX('04-نيسان'!$I$2:$I$501,V164))&gt;0,INDEX('04-نيسان'!$F$2:$F$501,V164)=F164),N(I164)/N(INDEX('04-نيسان'!$I$2:$I$501,V164))-1,""))</f>
        <v/>
      </c>
      <c r="AC164" t="str">
        <f>IF(L164="","",IF(AND($AO$2=1,ISNA(MATCH(L164,'06-حزيران'!$L$2:$L$499,0))),"محذوف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IF(L165="","",IF($AO$1=1,IFERROR(MATCH(L165,'04-نيسان'!$L$2:$L$501,0),0),0))</f>
        <v/>
      </c>
      <c r="W165" t="str">
        <f t="shared" si="51"/>
        <v/>
      </c>
      <c r="X165" s="38" t="str">
        <f>IF(L165="","",IF(V165&gt;0,INDEX('04-نيسان'!$P$2:$P$501,V165),IF($AO$1=1,0,"")))</f>
        <v/>
      </c>
      <c r="Y165" s="38" t="str">
        <f t="shared" si="52"/>
        <v/>
      </c>
      <c r="Z165" s="39" t="str">
        <f>IF(L165="","",IF(V165&gt;0,INDEX('04-نيسان'!$Q$2:$Q$501,V165),IF($AO$1=1,0,"")))</f>
        <v/>
      </c>
      <c r="AA165" s="39" t="str">
        <f t="shared" si="53"/>
        <v/>
      </c>
      <c r="AB165" s="40" t="str">
        <f>IF(OR(L165="",V165=0),"",IF(AND(N(I165)&gt;0,N(INDEX('04-نيسان'!$I$2:$I$501,V165))&gt;0,INDEX('04-نيسان'!$F$2:$F$501,V165)=F165),N(I165)/N(INDEX('04-نيسان'!$I$2:$I$501,V165))-1,""))</f>
        <v/>
      </c>
      <c r="AC165" t="str">
        <f>IF(L165="","",IF(AND($AO$2=1,ISNA(MATCH(L165,'06-حزيران'!$L$2:$L$499,0))),"محذوف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IF(L166="","",IF($AO$1=1,IFERROR(MATCH(L166,'04-نيسان'!$L$2:$L$501,0),0),0))</f>
        <v/>
      </c>
      <c r="W166" t="str">
        <f t="shared" si="51"/>
        <v/>
      </c>
      <c r="X166" s="38" t="str">
        <f>IF(L166="","",IF(V166&gt;0,INDEX('04-نيسان'!$P$2:$P$501,V166),IF($AO$1=1,0,"")))</f>
        <v/>
      </c>
      <c r="Y166" s="38" t="str">
        <f t="shared" si="52"/>
        <v/>
      </c>
      <c r="Z166" s="39" t="str">
        <f>IF(L166="","",IF(V166&gt;0,INDEX('04-نيسان'!$Q$2:$Q$501,V166),IF($AO$1=1,0,"")))</f>
        <v/>
      </c>
      <c r="AA166" s="39" t="str">
        <f t="shared" si="53"/>
        <v/>
      </c>
      <c r="AB166" s="40" t="str">
        <f>IF(OR(L166="",V166=0),"",IF(AND(N(I166)&gt;0,N(INDEX('04-نيسان'!$I$2:$I$501,V166))&gt;0,INDEX('04-نيسان'!$F$2:$F$501,V166)=F166),N(I166)/N(INDEX('04-نيسان'!$I$2:$I$501,V166))-1,""))</f>
        <v/>
      </c>
      <c r="AC166" t="str">
        <f>IF(L166="","",IF(AND($AO$2=1,ISNA(MATCH(L166,'06-حزيران'!$L$2:$L$499,0))),"محذوف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IF(L167="","",IF($AO$1=1,IFERROR(MATCH(L167,'04-نيسان'!$L$2:$L$501,0),0),0))</f>
        <v/>
      </c>
      <c r="W167" t="str">
        <f t="shared" si="51"/>
        <v/>
      </c>
      <c r="X167" s="38" t="str">
        <f>IF(L167="","",IF(V167&gt;0,INDEX('04-نيسان'!$P$2:$P$501,V167),IF($AO$1=1,0,"")))</f>
        <v/>
      </c>
      <c r="Y167" s="38" t="str">
        <f t="shared" si="52"/>
        <v/>
      </c>
      <c r="Z167" s="39" t="str">
        <f>IF(L167="","",IF(V167&gt;0,INDEX('04-نيسان'!$Q$2:$Q$501,V167),IF($AO$1=1,0,"")))</f>
        <v/>
      </c>
      <c r="AA167" s="39" t="str">
        <f t="shared" si="53"/>
        <v/>
      </c>
      <c r="AB167" s="40" t="str">
        <f>IF(OR(L167="",V167=0),"",IF(AND(N(I167)&gt;0,N(INDEX('04-نيسان'!$I$2:$I$501,V167))&gt;0,INDEX('04-نيسان'!$F$2:$F$501,V167)=F167),N(I167)/N(INDEX('04-نيسان'!$I$2:$I$501,V167))-1,""))</f>
        <v/>
      </c>
      <c r="AC167" t="str">
        <f>IF(L167="","",IF(AND($AO$2=1,ISNA(MATCH(L167,'06-حزيران'!$L$2:$L$499,0))),"محذوف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IF(L168="","",IF($AO$1=1,IFERROR(MATCH(L168,'04-نيسان'!$L$2:$L$501,0),0),0))</f>
        <v/>
      </c>
      <c r="W168" t="str">
        <f t="shared" si="51"/>
        <v/>
      </c>
      <c r="X168" s="38" t="str">
        <f>IF(L168="","",IF(V168&gt;0,INDEX('04-نيسان'!$P$2:$P$501,V168),IF($AO$1=1,0,"")))</f>
        <v/>
      </c>
      <c r="Y168" s="38" t="str">
        <f t="shared" si="52"/>
        <v/>
      </c>
      <c r="Z168" s="39" t="str">
        <f>IF(L168="","",IF(V168&gt;0,INDEX('04-نيسان'!$Q$2:$Q$501,V168),IF($AO$1=1,0,"")))</f>
        <v/>
      </c>
      <c r="AA168" s="39" t="str">
        <f t="shared" si="53"/>
        <v/>
      </c>
      <c r="AB168" s="40" t="str">
        <f>IF(OR(L168="",V168=0),"",IF(AND(N(I168)&gt;0,N(INDEX('04-نيسان'!$I$2:$I$501,V168))&gt;0,INDEX('04-نيسان'!$F$2:$F$501,V168)=F168),N(I168)/N(INDEX('04-نيسان'!$I$2:$I$501,V168))-1,""))</f>
        <v/>
      </c>
      <c r="AC168" t="str">
        <f>IF(L168="","",IF(AND($AO$2=1,ISNA(MATCH(L168,'06-حزيران'!$L$2:$L$499,0))),"محذوف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IF(L169="","",IF($AO$1=1,IFERROR(MATCH(L169,'04-نيسان'!$L$2:$L$501,0),0),0))</f>
        <v/>
      </c>
      <c r="W169" t="str">
        <f t="shared" si="51"/>
        <v/>
      </c>
      <c r="X169" s="38" t="str">
        <f>IF(L169="","",IF(V169&gt;0,INDEX('04-نيسان'!$P$2:$P$501,V169),IF($AO$1=1,0,"")))</f>
        <v/>
      </c>
      <c r="Y169" s="38" t="str">
        <f t="shared" si="52"/>
        <v/>
      </c>
      <c r="Z169" s="39" t="str">
        <f>IF(L169="","",IF(V169&gt;0,INDEX('04-نيسان'!$Q$2:$Q$501,V169),IF($AO$1=1,0,"")))</f>
        <v/>
      </c>
      <c r="AA169" s="39" t="str">
        <f t="shared" si="53"/>
        <v/>
      </c>
      <c r="AB169" s="40" t="str">
        <f>IF(OR(L169="",V169=0),"",IF(AND(N(I169)&gt;0,N(INDEX('04-نيسان'!$I$2:$I$501,V169))&gt;0,INDEX('04-نيسان'!$F$2:$F$501,V169)=F169),N(I169)/N(INDEX('04-نيسان'!$I$2:$I$501,V169))-1,""))</f>
        <v/>
      </c>
      <c r="AC169" t="str">
        <f>IF(L169="","",IF(AND($AO$2=1,ISNA(MATCH(L169,'06-حزيران'!$L$2:$L$499,0))),"محذوف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IF(L170="","",IF($AO$1=1,IFERROR(MATCH(L170,'04-نيسان'!$L$2:$L$501,0),0),0))</f>
        <v/>
      </c>
      <c r="W170" t="str">
        <f t="shared" si="51"/>
        <v/>
      </c>
      <c r="X170" s="38" t="str">
        <f>IF(L170="","",IF(V170&gt;0,INDEX('04-نيسان'!$P$2:$P$501,V170),IF($AO$1=1,0,"")))</f>
        <v/>
      </c>
      <c r="Y170" s="38" t="str">
        <f t="shared" si="52"/>
        <v/>
      </c>
      <c r="Z170" s="39" t="str">
        <f>IF(L170="","",IF(V170&gt;0,INDEX('04-نيسان'!$Q$2:$Q$501,V170),IF($AO$1=1,0,"")))</f>
        <v/>
      </c>
      <c r="AA170" s="39" t="str">
        <f t="shared" si="53"/>
        <v/>
      </c>
      <c r="AB170" s="40" t="str">
        <f>IF(OR(L170="",V170=0),"",IF(AND(N(I170)&gt;0,N(INDEX('04-نيسان'!$I$2:$I$501,V170))&gt;0,INDEX('04-نيسان'!$F$2:$F$501,V170)=F170),N(I170)/N(INDEX('04-نيسان'!$I$2:$I$501,V170))-1,""))</f>
        <v/>
      </c>
      <c r="AC170" t="str">
        <f>IF(L170="","",IF(AND($AO$2=1,ISNA(MATCH(L170,'06-حزيران'!$L$2:$L$499,0))),"محذوف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IF(L171="","",IF($AO$1=1,IFERROR(MATCH(L171,'04-نيسان'!$L$2:$L$501,0),0),0))</f>
        <v/>
      </c>
      <c r="W171" t="str">
        <f t="shared" si="51"/>
        <v/>
      </c>
      <c r="X171" s="38" t="str">
        <f>IF(L171="","",IF(V171&gt;0,INDEX('04-نيسان'!$P$2:$P$501,V171),IF($AO$1=1,0,"")))</f>
        <v/>
      </c>
      <c r="Y171" s="38" t="str">
        <f t="shared" si="52"/>
        <v/>
      </c>
      <c r="Z171" s="39" t="str">
        <f>IF(L171="","",IF(V171&gt;0,INDEX('04-نيسان'!$Q$2:$Q$501,V171),IF($AO$1=1,0,"")))</f>
        <v/>
      </c>
      <c r="AA171" s="39" t="str">
        <f t="shared" si="53"/>
        <v/>
      </c>
      <c r="AB171" s="40" t="str">
        <f>IF(OR(L171="",V171=0),"",IF(AND(N(I171)&gt;0,N(INDEX('04-نيسان'!$I$2:$I$501,V171))&gt;0,INDEX('04-نيسان'!$F$2:$F$501,V171)=F171),N(I171)/N(INDEX('04-نيسان'!$I$2:$I$501,V171))-1,""))</f>
        <v/>
      </c>
      <c r="AC171" t="str">
        <f>IF(L171="","",IF(AND($AO$2=1,ISNA(MATCH(L171,'06-حزيران'!$L$2:$L$499,0))),"محذوف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IF(L172="","",IF($AO$1=1,IFERROR(MATCH(L172,'04-نيسان'!$L$2:$L$501,0),0),0))</f>
        <v/>
      </c>
      <c r="W172" t="str">
        <f t="shared" si="51"/>
        <v/>
      </c>
      <c r="X172" s="38" t="str">
        <f>IF(L172="","",IF(V172&gt;0,INDEX('04-نيسان'!$P$2:$P$501,V172),IF($AO$1=1,0,"")))</f>
        <v/>
      </c>
      <c r="Y172" s="38" t="str">
        <f t="shared" si="52"/>
        <v/>
      </c>
      <c r="Z172" s="39" t="str">
        <f>IF(L172="","",IF(V172&gt;0,INDEX('04-نيسان'!$Q$2:$Q$501,V172),IF($AO$1=1,0,"")))</f>
        <v/>
      </c>
      <c r="AA172" s="39" t="str">
        <f t="shared" si="53"/>
        <v/>
      </c>
      <c r="AB172" s="40" t="str">
        <f>IF(OR(L172="",V172=0),"",IF(AND(N(I172)&gt;0,N(INDEX('04-نيسان'!$I$2:$I$501,V172))&gt;0,INDEX('04-نيسان'!$F$2:$F$501,V172)=F172),N(I172)/N(INDEX('04-نيسان'!$I$2:$I$501,V172))-1,""))</f>
        <v/>
      </c>
      <c r="AC172" t="str">
        <f>IF(L172="","",IF(AND($AO$2=1,ISNA(MATCH(L172,'06-حزيران'!$L$2:$L$499,0))),"محذوف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IF(L173="","",IF($AO$1=1,IFERROR(MATCH(L173,'04-نيسان'!$L$2:$L$501,0),0),0))</f>
        <v/>
      </c>
      <c r="W173" t="str">
        <f t="shared" si="51"/>
        <v/>
      </c>
      <c r="X173" s="38" t="str">
        <f>IF(L173="","",IF(V173&gt;0,INDEX('04-نيسان'!$P$2:$P$501,V173),IF($AO$1=1,0,"")))</f>
        <v/>
      </c>
      <c r="Y173" s="38" t="str">
        <f t="shared" si="52"/>
        <v/>
      </c>
      <c r="Z173" s="39" t="str">
        <f>IF(L173="","",IF(V173&gt;0,INDEX('04-نيسان'!$Q$2:$Q$501,V173),IF($AO$1=1,0,"")))</f>
        <v/>
      </c>
      <c r="AA173" s="39" t="str">
        <f t="shared" si="53"/>
        <v/>
      </c>
      <c r="AB173" s="40" t="str">
        <f>IF(OR(L173="",V173=0),"",IF(AND(N(I173)&gt;0,N(INDEX('04-نيسان'!$I$2:$I$501,V173))&gt;0,INDEX('04-نيسان'!$F$2:$F$501,V173)=F173),N(I173)/N(INDEX('04-نيسان'!$I$2:$I$501,V173))-1,""))</f>
        <v/>
      </c>
      <c r="AC173" t="str">
        <f>IF(L173="","",IF(AND($AO$2=1,ISNA(MATCH(L173,'06-حزيران'!$L$2:$L$499,0))),"محذوف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IF(L174="","",IF($AO$1=1,IFERROR(MATCH(L174,'04-نيسان'!$L$2:$L$501,0),0),0))</f>
        <v/>
      </c>
      <c r="W174" t="str">
        <f t="shared" si="51"/>
        <v/>
      </c>
      <c r="X174" s="38" t="str">
        <f>IF(L174="","",IF(V174&gt;0,INDEX('04-نيسان'!$P$2:$P$501,V174),IF($AO$1=1,0,"")))</f>
        <v/>
      </c>
      <c r="Y174" s="38" t="str">
        <f t="shared" si="52"/>
        <v/>
      </c>
      <c r="Z174" s="39" t="str">
        <f>IF(L174="","",IF(V174&gt;0,INDEX('04-نيسان'!$Q$2:$Q$501,V174),IF($AO$1=1,0,"")))</f>
        <v/>
      </c>
      <c r="AA174" s="39" t="str">
        <f t="shared" si="53"/>
        <v/>
      </c>
      <c r="AB174" s="40" t="str">
        <f>IF(OR(L174="",V174=0),"",IF(AND(N(I174)&gt;0,N(INDEX('04-نيسان'!$I$2:$I$501,V174))&gt;0,INDEX('04-نيسان'!$F$2:$F$501,V174)=F174),N(I174)/N(INDEX('04-نيسان'!$I$2:$I$501,V174))-1,""))</f>
        <v/>
      </c>
      <c r="AC174" t="str">
        <f>IF(L174="","",IF(AND($AO$2=1,ISNA(MATCH(L174,'06-حزيران'!$L$2:$L$499,0))),"محذوف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IF(L175="","",IF($AO$1=1,IFERROR(MATCH(L175,'04-نيسان'!$L$2:$L$501,0),0),0))</f>
        <v/>
      </c>
      <c r="W175" t="str">
        <f t="shared" si="51"/>
        <v/>
      </c>
      <c r="X175" s="38" t="str">
        <f>IF(L175="","",IF(V175&gt;0,INDEX('04-نيسان'!$P$2:$P$501,V175),IF($AO$1=1,0,"")))</f>
        <v/>
      </c>
      <c r="Y175" s="38" t="str">
        <f t="shared" si="52"/>
        <v/>
      </c>
      <c r="Z175" s="39" t="str">
        <f>IF(L175="","",IF(V175&gt;0,INDEX('04-نيسان'!$Q$2:$Q$501,V175),IF($AO$1=1,0,"")))</f>
        <v/>
      </c>
      <c r="AA175" s="39" t="str">
        <f t="shared" si="53"/>
        <v/>
      </c>
      <c r="AB175" s="40" t="str">
        <f>IF(OR(L175="",V175=0),"",IF(AND(N(I175)&gt;0,N(INDEX('04-نيسان'!$I$2:$I$501,V175))&gt;0,INDEX('04-نيسان'!$F$2:$F$501,V175)=F175),N(I175)/N(INDEX('04-نيسان'!$I$2:$I$501,V175))-1,""))</f>
        <v/>
      </c>
      <c r="AC175" t="str">
        <f>IF(L175="","",IF(AND($AO$2=1,ISNA(MATCH(L175,'06-حزيران'!$L$2:$L$499,0))),"محذوف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IF(L176="","",IF($AO$1=1,IFERROR(MATCH(L176,'04-نيسان'!$L$2:$L$501,0),0),0))</f>
        <v/>
      </c>
      <c r="W176" t="str">
        <f t="shared" si="51"/>
        <v/>
      </c>
      <c r="X176" s="38" t="str">
        <f>IF(L176="","",IF(V176&gt;0,INDEX('04-نيسان'!$P$2:$P$501,V176),IF($AO$1=1,0,"")))</f>
        <v/>
      </c>
      <c r="Y176" s="38" t="str">
        <f t="shared" si="52"/>
        <v/>
      </c>
      <c r="Z176" s="39" t="str">
        <f>IF(L176="","",IF(V176&gt;0,INDEX('04-نيسان'!$Q$2:$Q$501,V176),IF($AO$1=1,0,"")))</f>
        <v/>
      </c>
      <c r="AA176" s="39" t="str">
        <f t="shared" si="53"/>
        <v/>
      </c>
      <c r="AB176" s="40" t="str">
        <f>IF(OR(L176="",V176=0),"",IF(AND(N(I176)&gt;0,N(INDEX('04-نيسان'!$I$2:$I$501,V176))&gt;0,INDEX('04-نيسان'!$F$2:$F$501,V176)=F176),N(I176)/N(INDEX('04-نيسان'!$I$2:$I$501,V176))-1,""))</f>
        <v/>
      </c>
      <c r="AC176" t="str">
        <f>IF(L176="","",IF(AND($AO$2=1,ISNA(MATCH(L176,'06-حزيران'!$L$2:$L$499,0))),"محذوف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IF(L177="","",IF($AO$1=1,IFERROR(MATCH(L177,'04-نيسان'!$L$2:$L$501,0),0),0))</f>
        <v/>
      </c>
      <c r="W177" t="str">
        <f t="shared" si="51"/>
        <v/>
      </c>
      <c r="X177" s="38" t="str">
        <f>IF(L177="","",IF(V177&gt;0,INDEX('04-نيسان'!$P$2:$P$501,V177),IF($AO$1=1,0,"")))</f>
        <v/>
      </c>
      <c r="Y177" s="38" t="str">
        <f t="shared" si="52"/>
        <v/>
      </c>
      <c r="Z177" s="39" t="str">
        <f>IF(L177="","",IF(V177&gt;0,INDEX('04-نيسان'!$Q$2:$Q$501,V177),IF($AO$1=1,0,"")))</f>
        <v/>
      </c>
      <c r="AA177" s="39" t="str">
        <f t="shared" si="53"/>
        <v/>
      </c>
      <c r="AB177" s="40" t="str">
        <f>IF(OR(L177="",V177=0),"",IF(AND(N(I177)&gt;0,N(INDEX('04-نيسان'!$I$2:$I$501,V177))&gt;0,INDEX('04-نيسان'!$F$2:$F$501,V177)=F177),N(I177)/N(INDEX('04-نيسان'!$I$2:$I$501,V177))-1,""))</f>
        <v/>
      </c>
      <c r="AC177" t="str">
        <f>IF(L177="","",IF(AND($AO$2=1,ISNA(MATCH(L177,'06-حزيران'!$L$2:$L$499,0))),"محذوف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IF(L178="","",IF($AO$1=1,IFERROR(MATCH(L178,'04-نيسان'!$L$2:$L$501,0),0),0))</f>
        <v/>
      </c>
      <c r="W178" t="str">
        <f t="shared" si="51"/>
        <v/>
      </c>
      <c r="X178" s="38" t="str">
        <f>IF(L178="","",IF(V178&gt;0,INDEX('04-نيسان'!$P$2:$P$501,V178),IF($AO$1=1,0,"")))</f>
        <v/>
      </c>
      <c r="Y178" s="38" t="str">
        <f t="shared" si="52"/>
        <v/>
      </c>
      <c r="Z178" s="39" t="str">
        <f>IF(L178="","",IF(V178&gt;0,INDEX('04-نيسان'!$Q$2:$Q$501,V178),IF($AO$1=1,0,"")))</f>
        <v/>
      </c>
      <c r="AA178" s="39" t="str">
        <f t="shared" si="53"/>
        <v/>
      </c>
      <c r="AB178" s="40" t="str">
        <f>IF(OR(L178="",V178=0),"",IF(AND(N(I178)&gt;0,N(INDEX('04-نيسان'!$I$2:$I$501,V178))&gt;0,INDEX('04-نيسان'!$F$2:$F$501,V178)=F178),N(I178)/N(INDEX('04-نيسان'!$I$2:$I$501,V178))-1,""))</f>
        <v/>
      </c>
      <c r="AC178" t="str">
        <f>IF(L178="","",IF(AND($AO$2=1,ISNA(MATCH(L178,'06-حزيران'!$L$2:$L$499,0))),"محذوف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IF(L179="","",IF($AO$1=1,IFERROR(MATCH(L179,'04-نيسان'!$L$2:$L$501,0),0),0))</f>
        <v/>
      </c>
      <c r="W179" t="str">
        <f t="shared" si="51"/>
        <v/>
      </c>
      <c r="X179" s="38" t="str">
        <f>IF(L179="","",IF(V179&gt;0,INDEX('04-نيسان'!$P$2:$P$501,V179),IF($AO$1=1,0,"")))</f>
        <v/>
      </c>
      <c r="Y179" s="38" t="str">
        <f t="shared" si="52"/>
        <v/>
      </c>
      <c r="Z179" s="39" t="str">
        <f>IF(L179="","",IF(V179&gt;0,INDEX('04-نيسان'!$Q$2:$Q$501,V179),IF($AO$1=1,0,"")))</f>
        <v/>
      </c>
      <c r="AA179" s="39" t="str">
        <f t="shared" si="53"/>
        <v/>
      </c>
      <c r="AB179" s="40" t="str">
        <f>IF(OR(L179="",V179=0),"",IF(AND(N(I179)&gt;0,N(INDEX('04-نيسان'!$I$2:$I$501,V179))&gt;0,INDEX('04-نيسان'!$F$2:$F$501,V179)=F179),N(I179)/N(INDEX('04-نيسان'!$I$2:$I$501,V179))-1,""))</f>
        <v/>
      </c>
      <c r="AC179" t="str">
        <f>IF(L179="","",IF(AND($AO$2=1,ISNA(MATCH(L179,'06-حزيران'!$L$2:$L$499,0))),"محذوف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IF(L180="","",IF($AO$1=1,IFERROR(MATCH(L180,'04-نيسان'!$L$2:$L$501,0),0),0))</f>
        <v/>
      </c>
      <c r="W180" t="str">
        <f t="shared" si="51"/>
        <v/>
      </c>
      <c r="X180" s="38" t="str">
        <f>IF(L180="","",IF(V180&gt;0,INDEX('04-نيسان'!$P$2:$P$501,V180),IF($AO$1=1,0,"")))</f>
        <v/>
      </c>
      <c r="Y180" s="38" t="str">
        <f t="shared" si="52"/>
        <v/>
      </c>
      <c r="Z180" s="39" t="str">
        <f>IF(L180="","",IF(V180&gt;0,INDEX('04-نيسان'!$Q$2:$Q$501,V180),IF($AO$1=1,0,"")))</f>
        <v/>
      </c>
      <c r="AA180" s="39" t="str">
        <f t="shared" si="53"/>
        <v/>
      </c>
      <c r="AB180" s="40" t="str">
        <f>IF(OR(L180="",V180=0),"",IF(AND(N(I180)&gt;0,N(INDEX('04-نيسان'!$I$2:$I$501,V180))&gt;0,INDEX('04-نيسان'!$F$2:$F$501,V180)=F180),N(I180)/N(INDEX('04-نيسان'!$I$2:$I$501,V180))-1,""))</f>
        <v/>
      </c>
      <c r="AC180" t="str">
        <f>IF(L180="","",IF(AND($AO$2=1,ISNA(MATCH(L180,'06-حزيران'!$L$2:$L$499,0))),"محذوف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IF(L181="","",IF($AO$1=1,IFERROR(MATCH(L181,'04-نيسان'!$L$2:$L$501,0),0),0))</f>
        <v/>
      </c>
      <c r="W181" t="str">
        <f t="shared" si="51"/>
        <v/>
      </c>
      <c r="X181" s="38" t="str">
        <f>IF(L181="","",IF(V181&gt;0,INDEX('04-نيسان'!$P$2:$P$501,V181),IF($AO$1=1,0,"")))</f>
        <v/>
      </c>
      <c r="Y181" s="38" t="str">
        <f t="shared" si="52"/>
        <v/>
      </c>
      <c r="Z181" s="39" t="str">
        <f>IF(L181="","",IF(V181&gt;0,INDEX('04-نيسان'!$Q$2:$Q$501,V181),IF($AO$1=1,0,"")))</f>
        <v/>
      </c>
      <c r="AA181" s="39" t="str">
        <f t="shared" si="53"/>
        <v/>
      </c>
      <c r="AB181" s="40" t="str">
        <f>IF(OR(L181="",V181=0),"",IF(AND(N(I181)&gt;0,N(INDEX('04-نيسان'!$I$2:$I$501,V181))&gt;0,INDEX('04-نيسان'!$F$2:$F$501,V181)=F181),N(I181)/N(INDEX('04-نيسان'!$I$2:$I$501,V181))-1,""))</f>
        <v/>
      </c>
      <c r="AC181" t="str">
        <f>IF(L181="","",IF(AND($AO$2=1,ISNA(MATCH(L181,'06-حزيران'!$L$2:$L$499,0))),"محذوف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IF(L182="","",IF($AO$1=1,IFERROR(MATCH(L182,'04-نيسان'!$L$2:$L$501,0),0),0))</f>
        <v/>
      </c>
      <c r="W182" t="str">
        <f t="shared" si="51"/>
        <v/>
      </c>
      <c r="X182" s="38" t="str">
        <f>IF(L182="","",IF(V182&gt;0,INDEX('04-نيسان'!$P$2:$P$501,V182),IF($AO$1=1,0,"")))</f>
        <v/>
      </c>
      <c r="Y182" s="38" t="str">
        <f t="shared" si="52"/>
        <v/>
      </c>
      <c r="Z182" s="39" t="str">
        <f>IF(L182="","",IF(V182&gt;0,INDEX('04-نيسان'!$Q$2:$Q$501,V182),IF($AO$1=1,0,"")))</f>
        <v/>
      </c>
      <c r="AA182" s="39" t="str">
        <f t="shared" si="53"/>
        <v/>
      </c>
      <c r="AB182" s="40" t="str">
        <f>IF(OR(L182="",V182=0),"",IF(AND(N(I182)&gt;0,N(INDEX('04-نيسان'!$I$2:$I$501,V182))&gt;0,INDEX('04-نيسان'!$F$2:$F$501,V182)=F182),N(I182)/N(INDEX('04-نيسان'!$I$2:$I$501,V182))-1,""))</f>
        <v/>
      </c>
      <c r="AC182" t="str">
        <f>IF(L182="","",IF(AND($AO$2=1,ISNA(MATCH(L182,'06-حزيران'!$L$2:$L$499,0))),"محذوف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IF(L183="","",IF($AO$1=1,IFERROR(MATCH(L183,'04-نيسان'!$L$2:$L$501,0),0),0))</f>
        <v/>
      </c>
      <c r="W183" t="str">
        <f t="shared" si="51"/>
        <v/>
      </c>
      <c r="X183" s="38" t="str">
        <f>IF(L183="","",IF(V183&gt;0,INDEX('04-نيسان'!$P$2:$P$501,V183),IF($AO$1=1,0,"")))</f>
        <v/>
      </c>
      <c r="Y183" s="38" t="str">
        <f t="shared" si="52"/>
        <v/>
      </c>
      <c r="Z183" s="39" t="str">
        <f>IF(L183="","",IF(V183&gt;0,INDEX('04-نيسان'!$Q$2:$Q$501,V183),IF($AO$1=1,0,"")))</f>
        <v/>
      </c>
      <c r="AA183" s="39" t="str">
        <f t="shared" si="53"/>
        <v/>
      </c>
      <c r="AB183" s="40" t="str">
        <f>IF(OR(L183="",V183=0),"",IF(AND(N(I183)&gt;0,N(INDEX('04-نيسان'!$I$2:$I$501,V183))&gt;0,INDEX('04-نيسان'!$F$2:$F$501,V183)=F183),N(I183)/N(INDEX('04-نيسان'!$I$2:$I$501,V183))-1,""))</f>
        <v/>
      </c>
      <c r="AC183" t="str">
        <f>IF(L183="","",IF(AND($AO$2=1,ISNA(MATCH(L183,'06-حزيران'!$L$2:$L$499,0))),"محذوف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IF(L184="","",IF($AO$1=1,IFERROR(MATCH(L184,'04-نيسان'!$L$2:$L$501,0),0),0))</f>
        <v/>
      </c>
      <c r="W184" t="str">
        <f t="shared" si="51"/>
        <v/>
      </c>
      <c r="X184" s="38" t="str">
        <f>IF(L184="","",IF(V184&gt;0,INDEX('04-نيسان'!$P$2:$P$501,V184),IF($AO$1=1,0,"")))</f>
        <v/>
      </c>
      <c r="Y184" s="38" t="str">
        <f t="shared" si="52"/>
        <v/>
      </c>
      <c r="Z184" s="39" t="str">
        <f>IF(L184="","",IF(V184&gt;0,INDEX('04-نيسان'!$Q$2:$Q$501,V184),IF($AO$1=1,0,"")))</f>
        <v/>
      </c>
      <c r="AA184" s="39" t="str">
        <f t="shared" si="53"/>
        <v/>
      </c>
      <c r="AB184" s="40" t="str">
        <f>IF(OR(L184="",V184=0),"",IF(AND(N(I184)&gt;0,N(INDEX('04-نيسان'!$I$2:$I$501,V184))&gt;0,INDEX('04-نيسان'!$F$2:$F$501,V184)=F184),N(I184)/N(INDEX('04-نيسان'!$I$2:$I$501,V184))-1,""))</f>
        <v/>
      </c>
      <c r="AC184" t="str">
        <f>IF(L184="","",IF(AND($AO$2=1,ISNA(MATCH(L184,'06-حزيران'!$L$2:$L$499,0))),"محذوف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IF(L185="","",IF($AO$1=1,IFERROR(MATCH(L185,'04-نيسان'!$L$2:$L$501,0),0),0))</f>
        <v/>
      </c>
      <c r="W185" t="str">
        <f t="shared" si="51"/>
        <v/>
      </c>
      <c r="X185" s="38" t="str">
        <f>IF(L185="","",IF(V185&gt;0,INDEX('04-نيسان'!$P$2:$P$501,V185),IF($AO$1=1,0,"")))</f>
        <v/>
      </c>
      <c r="Y185" s="38" t="str">
        <f t="shared" si="52"/>
        <v/>
      </c>
      <c r="Z185" s="39" t="str">
        <f>IF(L185="","",IF(V185&gt;0,INDEX('04-نيسان'!$Q$2:$Q$501,V185),IF($AO$1=1,0,"")))</f>
        <v/>
      </c>
      <c r="AA185" s="39" t="str">
        <f t="shared" si="53"/>
        <v/>
      </c>
      <c r="AB185" s="40" t="str">
        <f>IF(OR(L185="",V185=0),"",IF(AND(N(I185)&gt;0,N(INDEX('04-نيسان'!$I$2:$I$501,V185))&gt;0,INDEX('04-نيسان'!$F$2:$F$501,V185)=F185),N(I185)/N(INDEX('04-نيسان'!$I$2:$I$501,V185))-1,""))</f>
        <v/>
      </c>
      <c r="AC185" t="str">
        <f>IF(L185="","",IF(AND($AO$2=1,ISNA(MATCH(L185,'06-حزيران'!$L$2:$L$499,0))),"محذوف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IF(L186="","",IF($AO$1=1,IFERROR(MATCH(L186,'04-نيسان'!$L$2:$L$501,0),0),0))</f>
        <v/>
      </c>
      <c r="W186" t="str">
        <f t="shared" si="51"/>
        <v/>
      </c>
      <c r="X186" s="38" t="str">
        <f>IF(L186="","",IF(V186&gt;0,INDEX('04-نيسان'!$P$2:$P$501,V186),IF($AO$1=1,0,"")))</f>
        <v/>
      </c>
      <c r="Y186" s="38" t="str">
        <f t="shared" si="52"/>
        <v/>
      </c>
      <c r="Z186" s="39" t="str">
        <f>IF(L186="","",IF(V186&gt;0,INDEX('04-نيسان'!$Q$2:$Q$501,V186),IF($AO$1=1,0,"")))</f>
        <v/>
      </c>
      <c r="AA186" s="39" t="str">
        <f t="shared" si="53"/>
        <v/>
      </c>
      <c r="AB186" s="40" t="str">
        <f>IF(OR(L186="",V186=0),"",IF(AND(N(I186)&gt;0,N(INDEX('04-نيسان'!$I$2:$I$501,V186))&gt;0,INDEX('04-نيسان'!$F$2:$F$501,V186)=F186),N(I186)/N(INDEX('04-نيسان'!$I$2:$I$501,V186))-1,""))</f>
        <v/>
      </c>
      <c r="AC186" t="str">
        <f>IF(L186="","",IF(AND($AO$2=1,ISNA(MATCH(L186,'06-حزيران'!$L$2:$L$499,0))),"محذوف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IF(L187="","",IF($AO$1=1,IFERROR(MATCH(L187,'04-نيسان'!$L$2:$L$501,0),0),0))</f>
        <v/>
      </c>
      <c r="W187" t="str">
        <f t="shared" si="51"/>
        <v/>
      </c>
      <c r="X187" s="38" t="str">
        <f>IF(L187="","",IF(V187&gt;0,INDEX('04-نيسان'!$P$2:$P$501,V187),IF($AO$1=1,0,"")))</f>
        <v/>
      </c>
      <c r="Y187" s="38" t="str">
        <f t="shared" si="52"/>
        <v/>
      </c>
      <c r="Z187" s="39" t="str">
        <f>IF(L187="","",IF(V187&gt;0,INDEX('04-نيسان'!$Q$2:$Q$501,V187),IF($AO$1=1,0,"")))</f>
        <v/>
      </c>
      <c r="AA187" s="39" t="str">
        <f t="shared" si="53"/>
        <v/>
      </c>
      <c r="AB187" s="40" t="str">
        <f>IF(OR(L187="",V187=0),"",IF(AND(N(I187)&gt;0,N(INDEX('04-نيسان'!$I$2:$I$501,V187))&gt;0,INDEX('04-نيسان'!$F$2:$F$501,V187)=F187),N(I187)/N(INDEX('04-نيسان'!$I$2:$I$501,V187))-1,""))</f>
        <v/>
      </c>
      <c r="AC187" t="str">
        <f>IF(L187="","",IF(AND($AO$2=1,ISNA(MATCH(L187,'06-حزيران'!$L$2:$L$499,0))),"محذوف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IF(L188="","",IF($AO$1=1,IFERROR(MATCH(L188,'04-نيسان'!$L$2:$L$501,0),0),0))</f>
        <v/>
      </c>
      <c r="W188" t="str">
        <f t="shared" si="51"/>
        <v/>
      </c>
      <c r="X188" s="38" t="str">
        <f>IF(L188="","",IF(V188&gt;0,INDEX('04-نيسان'!$P$2:$P$501,V188),IF($AO$1=1,0,"")))</f>
        <v/>
      </c>
      <c r="Y188" s="38" t="str">
        <f t="shared" si="52"/>
        <v/>
      </c>
      <c r="Z188" s="39" t="str">
        <f>IF(L188="","",IF(V188&gt;0,INDEX('04-نيسان'!$Q$2:$Q$501,V188),IF($AO$1=1,0,"")))</f>
        <v/>
      </c>
      <c r="AA188" s="39" t="str">
        <f t="shared" si="53"/>
        <v/>
      </c>
      <c r="AB188" s="40" t="str">
        <f>IF(OR(L188="",V188=0),"",IF(AND(N(I188)&gt;0,N(INDEX('04-نيسان'!$I$2:$I$501,V188))&gt;0,INDEX('04-نيسان'!$F$2:$F$501,V188)=F188),N(I188)/N(INDEX('04-نيسان'!$I$2:$I$501,V188))-1,""))</f>
        <v/>
      </c>
      <c r="AC188" t="str">
        <f>IF(L188="","",IF(AND($AO$2=1,ISNA(MATCH(L188,'06-حزيران'!$L$2:$L$499,0))),"محذوف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IF(L189="","",IF($AO$1=1,IFERROR(MATCH(L189,'04-نيسان'!$L$2:$L$501,0),0),0))</f>
        <v/>
      </c>
      <c r="W189" t="str">
        <f t="shared" si="51"/>
        <v/>
      </c>
      <c r="X189" s="38" t="str">
        <f>IF(L189="","",IF(V189&gt;0,INDEX('04-نيسان'!$P$2:$P$501,V189),IF($AO$1=1,0,"")))</f>
        <v/>
      </c>
      <c r="Y189" s="38" t="str">
        <f t="shared" si="52"/>
        <v/>
      </c>
      <c r="Z189" s="39" t="str">
        <f>IF(L189="","",IF(V189&gt;0,INDEX('04-نيسان'!$Q$2:$Q$501,V189),IF($AO$1=1,0,"")))</f>
        <v/>
      </c>
      <c r="AA189" s="39" t="str">
        <f t="shared" si="53"/>
        <v/>
      </c>
      <c r="AB189" s="40" t="str">
        <f>IF(OR(L189="",V189=0),"",IF(AND(N(I189)&gt;0,N(INDEX('04-نيسان'!$I$2:$I$501,V189))&gt;0,INDEX('04-نيسان'!$F$2:$F$501,V189)=F189),N(I189)/N(INDEX('04-نيسان'!$I$2:$I$501,V189))-1,""))</f>
        <v/>
      </c>
      <c r="AC189" t="str">
        <f>IF(L189="","",IF(AND($AO$2=1,ISNA(MATCH(L189,'06-حزيران'!$L$2:$L$499,0))),"محذوف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IF(L190="","",IF($AO$1=1,IFERROR(MATCH(L190,'04-نيسان'!$L$2:$L$501,0),0),0))</f>
        <v/>
      </c>
      <c r="W190" t="str">
        <f t="shared" si="51"/>
        <v/>
      </c>
      <c r="X190" s="38" t="str">
        <f>IF(L190="","",IF(V190&gt;0,INDEX('04-نيسان'!$P$2:$P$501,V190),IF($AO$1=1,0,"")))</f>
        <v/>
      </c>
      <c r="Y190" s="38" t="str">
        <f t="shared" si="52"/>
        <v/>
      </c>
      <c r="Z190" s="39" t="str">
        <f>IF(L190="","",IF(V190&gt;0,INDEX('04-نيسان'!$Q$2:$Q$501,V190),IF($AO$1=1,0,"")))</f>
        <v/>
      </c>
      <c r="AA190" s="39" t="str">
        <f t="shared" si="53"/>
        <v/>
      </c>
      <c r="AB190" s="40" t="str">
        <f>IF(OR(L190="",V190=0),"",IF(AND(N(I190)&gt;0,N(INDEX('04-نيسان'!$I$2:$I$501,V190))&gt;0,INDEX('04-نيسان'!$F$2:$F$501,V190)=F190),N(I190)/N(INDEX('04-نيسان'!$I$2:$I$501,V190))-1,""))</f>
        <v/>
      </c>
      <c r="AC190" t="str">
        <f>IF(L190="","",IF(AND($AO$2=1,ISNA(MATCH(L190,'06-حزيران'!$L$2:$L$499,0))),"محذوف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IF(L191="","",IF($AO$1=1,IFERROR(MATCH(L191,'04-نيسان'!$L$2:$L$501,0),0),0))</f>
        <v/>
      </c>
      <c r="W191" t="str">
        <f t="shared" si="51"/>
        <v/>
      </c>
      <c r="X191" s="38" t="str">
        <f>IF(L191="","",IF(V191&gt;0,INDEX('04-نيسان'!$P$2:$P$501,V191),IF($AO$1=1,0,"")))</f>
        <v/>
      </c>
      <c r="Y191" s="38" t="str">
        <f t="shared" si="52"/>
        <v/>
      </c>
      <c r="Z191" s="39" t="str">
        <f>IF(L191="","",IF(V191&gt;0,INDEX('04-نيسان'!$Q$2:$Q$501,V191),IF($AO$1=1,0,"")))</f>
        <v/>
      </c>
      <c r="AA191" s="39" t="str">
        <f t="shared" si="53"/>
        <v/>
      </c>
      <c r="AB191" s="40" t="str">
        <f>IF(OR(L191="",V191=0),"",IF(AND(N(I191)&gt;0,N(INDEX('04-نيسان'!$I$2:$I$501,V191))&gt;0,INDEX('04-نيسان'!$F$2:$F$501,V191)=F191),N(I191)/N(INDEX('04-نيسان'!$I$2:$I$501,V191))-1,""))</f>
        <v/>
      </c>
      <c r="AC191" t="str">
        <f>IF(L191="","",IF(AND($AO$2=1,ISNA(MATCH(L191,'06-حزيران'!$L$2:$L$499,0))),"محذوف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IF(L192="","",IF($AO$1=1,IFERROR(MATCH(L192,'04-نيسان'!$L$2:$L$501,0),0),0))</f>
        <v/>
      </c>
      <c r="W192" t="str">
        <f t="shared" si="51"/>
        <v/>
      </c>
      <c r="X192" s="38" t="str">
        <f>IF(L192="","",IF(V192&gt;0,INDEX('04-نيسان'!$P$2:$P$501,V192),IF($AO$1=1,0,"")))</f>
        <v/>
      </c>
      <c r="Y192" s="38" t="str">
        <f t="shared" si="52"/>
        <v/>
      </c>
      <c r="Z192" s="39" t="str">
        <f>IF(L192="","",IF(V192&gt;0,INDEX('04-نيسان'!$Q$2:$Q$501,V192),IF($AO$1=1,0,"")))</f>
        <v/>
      </c>
      <c r="AA192" s="39" t="str">
        <f t="shared" si="53"/>
        <v/>
      </c>
      <c r="AB192" s="40" t="str">
        <f>IF(OR(L192="",V192=0),"",IF(AND(N(I192)&gt;0,N(INDEX('04-نيسان'!$I$2:$I$501,V192))&gt;0,INDEX('04-نيسان'!$F$2:$F$501,V192)=F192),N(I192)/N(INDEX('04-نيسان'!$I$2:$I$501,V192))-1,""))</f>
        <v/>
      </c>
      <c r="AC192" t="str">
        <f>IF(L192="","",IF(AND($AO$2=1,ISNA(MATCH(L192,'06-حزيران'!$L$2:$L$499,0))),"محذوف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IF(L193="","",IF($AO$1=1,IFERROR(MATCH(L193,'04-نيسان'!$L$2:$L$501,0),0),0))</f>
        <v/>
      </c>
      <c r="W193" t="str">
        <f t="shared" si="51"/>
        <v/>
      </c>
      <c r="X193" s="38" t="str">
        <f>IF(L193="","",IF(V193&gt;0,INDEX('04-نيسان'!$P$2:$P$501,V193),IF($AO$1=1,0,"")))</f>
        <v/>
      </c>
      <c r="Y193" s="38" t="str">
        <f t="shared" si="52"/>
        <v/>
      </c>
      <c r="Z193" s="39" t="str">
        <f>IF(L193="","",IF(V193&gt;0,INDEX('04-نيسان'!$Q$2:$Q$501,V193),IF($AO$1=1,0,"")))</f>
        <v/>
      </c>
      <c r="AA193" s="39" t="str">
        <f t="shared" si="53"/>
        <v/>
      </c>
      <c r="AB193" s="40" t="str">
        <f>IF(OR(L193="",V193=0),"",IF(AND(N(I193)&gt;0,N(INDEX('04-نيسان'!$I$2:$I$501,V193))&gt;0,INDEX('04-نيسان'!$F$2:$F$501,V193)=F193),N(I193)/N(INDEX('04-نيسان'!$I$2:$I$501,V193))-1,""))</f>
        <v/>
      </c>
      <c r="AC193" t="str">
        <f>IF(L193="","",IF(AND($AO$2=1,ISNA(MATCH(L193,'06-حزيران'!$L$2:$L$499,0))),"محذوف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IF(L194="","",IF($AO$1=1,IFERROR(MATCH(L194,'04-نيسان'!$L$2:$L$501,0),0),0))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IF(L194="","",IF(V194&gt;0,INDEX('04-نيسان'!$P$2:$P$501,V194),IF($AO$1=1,0,"")))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IF(L194="","",IF(V194&gt;0,INDEX('04-نيسان'!$Q$2:$Q$501,V194),IF($AO$1=1,0,"")))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IF(OR(L194="",V194=0),"",IF(AND(N(I194)&gt;0,N(INDEX('04-نيسان'!$I$2:$I$501,V194))&gt;0,INDEX('04-نيسان'!$F$2:$F$501,V194)=F194),N(I194)/N(INDEX('04-نيسان'!$I$2:$I$501,V194))-1,""))</f>
        <v/>
      </c>
      <c r="AC194" t="str">
        <f>IF(L194="","",IF(AND($AO$2=1,ISNA(MATCH(L194,'06-حزيران'!$L$2:$L$499,0))),"محذوف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IF(L195="","",IF($AO$1=1,IFERROR(MATCH(L195,'04-نيسان'!$L$2:$L$501,0),0),0))</f>
        <v/>
      </c>
      <c r="W195" t="str">
        <f t="shared" si="71"/>
        <v/>
      </c>
      <c r="X195" s="38" t="str">
        <f>IF(L195="","",IF(V195&gt;0,INDEX('04-نيسان'!$P$2:$P$501,V195),IF($AO$1=1,0,"")))</f>
        <v/>
      </c>
      <c r="Y195" s="38" t="str">
        <f t="shared" si="72"/>
        <v/>
      </c>
      <c r="Z195" s="39" t="str">
        <f>IF(L195="","",IF(V195&gt;0,INDEX('04-نيسان'!$Q$2:$Q$501,V195),IF($AO$1=1,0,"")))</f>
        <v/>
      </c>
      <c r="AA195" s="39" t="str">
        <f t="shared" si="73"/>
        <v/>
      </c>
      <c r="AB195" s="40" t="str">
        <f>IF(OR(L195="",V195=0),"",IF(AND(N(I195)&gt;0,N(INDEX('04-نيسان'!$I$2:$I$501,V195))&gt;0,INDEX('04-نيسان'!$F$2:$F$501,V195)=F195),N(I195)/N(INDEX('04-نيسان'!$I$2:$I$501,V195))-1,""))</f>
        <v/>
      </c>
      <c r="AC195" t="str">
        <f>IF(L195="","",IF(AND($AO$2=1,ISNA(MATCH(L195,'06-حزيران'!$L$2:$L$499,0))),"محذوف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IF(L196="","",IF($AO$1=1,IFERROR(MATCH(L196,'04-نيسان'!$L$2:$L$501,0),0),0))</f>
        <v/>
      </c>
      <c r="W196" t="str">
        <f t="shared" si="71"/>
        <v/>
      </c>
      <c r="X196" s="38" t="str">
        <f>IF(L196="","",IF(V196&gt;0,INDEX('04-نيسان'!$P$2:$P$501,V196),IF($AO$1=1,0,"")))</f>
        <v/>
      </c>
      <c r="Y196" s="38" t="str">
        <f t="shared" si="72"/>
        <v/>
      </c>
      <c r="Z196" s="39" t="str">
        <f>IF(L196="","",IF(V196&gt;0,INDEX('04-نيسان'!$Q$2:$Q$501,V196),IF($AO$1=1,0,"")))</f>
        <v/>
      </c>
      <c r="AA196" s="39" t="str">
        <f t="shared" si="73"/>
        <v/>
      </c>
      <c r="AB196" s="40" t="str">
        <f>IF(OR(L196="",V196=0),"",IF(AND(N(I196)&gt;0,N(INDEX('04-نيسان'!$I$2:$I$501,V196))&gt;0,INDEX('04-نيسان'!$F$2:$F$501,V196)=F196),N(I196)/N(INDEX('04-نيسان'!$I$2:$I$501,V196))-1,""))</f>
        <v/>
      </c>
      <c r="AC196" t="str">
        <f>IF(L196="","",IF(AND($AO$2=1,ISNA(MATCH(L196,'06-حزيران'!$L$2:$L$499,0))),"محذوف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IF(L197="","",IF($AO$1=1,IFERROR(MATCH(L197,'04-نيسان'!$L$2:$L$501,0),0),0))</f>
        <v/>
      </c>
      <c r="W197" t="str">
        <f t="shared" si="71"/>
        <v/>
      </c>
      <c r="X197" s="38" t="str">
        <f>IF(L197="","",IF(V197&gt;0,INDEX('04-نيسان'!$P$2:$P$501,V197),IF($AO$1=1,0,"")))</f>
        <v/>
      </c>
      <c r="Y197" s="38" t="str">
        <f t="shared" si="72"/>
        <v/>
      </c>
      <c r="Z197" s="39" t="str">
        <f>IF(L197="","",IF(V197&gt;0,INDEX('04-نيسان'!$Q$2:$Q$501,V197),IF($AO$1=1,0,"")))</f>
        <v/>
      </c>
      <c r="AA197" s="39" t="str">
        <f t="shared" si="73"/>
        <v/>
      </c>
      <c r="AB197" s="40" t="str">
        <f>IF(OR(L197="",V197=0),"",IF(AND(N(I197)&gt;0,N(INDEX('04-نيسان'!$I$2:$I$501,V197))&gt;0,INDEX('04-نيسان'!$F$2:$F$501,V197)=F197),N(I197)/N(INDEX('04-نيسان'!$I$2:$I$501,V197))-1,""))</f>
        <v/>
      </c>
      <c r="AC197" t="str">
        <f>IF(L197="","",IF(AND($AO$2=1,ISNA(MATCH(L197,'06-حزيران'!$L$2:$L$499,0))),"محذوف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IF(L198="","",IF($AO$1=1,IFERROR(MATCH(L198,'04-نيسان'!$L$2:$L$501,0),0),0))</f>
        <v/>
      </c>
      <c r="W198" t="str">
        <f t="shared" si="71"/>
        <v/>
      </c>
      <c r="X198" s="38" t="str">
        <f>IF(L198="","",IF(V198&gt;0,INDEX('04-نيسان'!$P$2:$P$501,V198),IF($AO$1=1,0,"")))</f>
        <v/>
      </c>
      <c r="Y198" s="38" t="str">
        <f t="shared" si="72"/>
        <v/>
      </c>
      <c r="Z198" s="39" t="str">
        <f>IF(L198="","",IF(V198&gt;0,INDEX('04-نيسان'!$Q$2:$Q$501,V198),IF($AO$1=1,0,"")))</f>
        <v/>
      </c>
      <c r="AA198" s="39" t="str">
        <f t="shared" si="73"/>
        <v/>
      </c>
      <c r="AB198" s="40" t="str">
        <f>IF(OR(L198="",V198=0),"",IF(AND(N(I198)&gt;0,N(INDEX('04-نيسان'!$I$2:$I$501,V198))&gt;0,INDEX('04-نيسان'!$F$2:$F$501,V198)=F198),N(I198)/N(INDEX('04-نيسان'!$I$2:$I$501,V198))-1,""))</f>
        <v/>
      </c>
      <c r="AC198" t="str">
        <f>IF(L198="","",IF(AND($AO$2=1,ISNA(MATCH(L198,'06-حزيران'!$L$2:$L$499,0))),"محذوف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IF(L199="","",IF($AO$1=1,IFERROR(MATCH(L199,'04-نيسان'!$L$2:$L$501,0),0),0))</f>
        <v/>
      </c>
      <c r="W199" t="str">
        <f t="shared" si="71"/>
        <v/>
      </c>
      <c r="X199" s="38" t="str">
        <f>IF(L199="","",IF(V199&gt;0,INDEX('04-نيسان'!$P$2:$P$501,V199),IF($AO$1=1,0,"")))</f>
        <v/>
      </c>
      <c r="Y199" s="38" t="str">
        <f t="shared" si="72"/>
        <v/>
      </c>
      <c r="Z199" s="39" t="str">
        <f>IF(L199="","",IF(V199&gt;0,INDEX('04-نيسان'!$Q$2:$Q$501,V199),IF($AO$1=1,0,"")))</f>
        <v/>
      </c>
      <c r="AA199" s="39" t="str">
        <f t="shared" si="73"/>
        <v/>
      </c>
      <c r="AB199" s="40" t="str">
        <f>IF(OR(L199="",V199=0),"",IF(AND(N(I199)&gt;0,N(INDEX('04-نيسان'!$I$2:$I$501,V199))&gt;0,INDEX('04-نيسان'!$F$2:$F$501,V199)=F199),N(I199)/N(INDEX('04-نيسان'!$I$2:$I$501,V199))-1,""))</f>
        <v/>
      </c>
      <c r="AC199" t="str">
        <f>IF(L199="","",IF(AND($AO$2=1,ISNA(MATCH(L199,'06-حزيران'!$L$2:$L$499,0))),"محذوف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IF(L200="","",IF($AO$1=1,IFERROR(MATCH(L200,'04-نيسان'!$L$2:$L$501,0),0),0))</f>
        <v/>
      </c>
      <c r="W200" t="str">
        <f t="shared" si="71"/>
        <v/>
      </c>
      <c r="X200" s="38" t="str">
        <f>IF(L200="","",IF(V200&gt;0,INDEX('04-نيسان'!$P$2:$P$501,V200),IF($AO$1=1,0,"")))</f>
        <v/>
      </c>
      <c r="Y200" s="38" t="str">
        <f t="shared" si="72"/>
        <v/>
      </c>
      <c r="Z200" s="39" t="str">
        <f>IF(L200="","",IF(V200&gt;0,INDEX('04-نيسان'!$Q$2:$Q$501,V200),IF($AO$1=1,0,"")))</f>
        <v/>
      </c>
      <c r="AA200" s="39" t="str">
        <f t="shared" si="73"/>
        <v/>
      </c>
      <c r="AB200" s="40" t="str">
        <f>IF(OR(L200="",V200=0),"",IF(AND(N(I200)&gt;0,N(INDEX('04-نيسان'!$I$2:$I$501,V200))&gt;0,INDEX('04-نيسان'!$F$2:$F$501,V200)=F200),N(I200)/N(INDEX('04-نيسان'!$I$2:$I$501,V200))-1,""))</f>
        <v/>
      </c>
      <c r="AC200" t="str">
        <f>IF(L200="","",IF(AND($AO$2=1,ISNA(MATCH(L200,'06-حزيران'!$L$2:$L$499,0))),"محذوف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IF(L201="","",IF($AO$1=1,IFERROR(MATCH(L201,'04-نيسان'!$L$2:$L$501,0),0),0))</f>
        <v/>
      </c>
      <c r="W201" t="str">
        <f t="shared" si="71"/>
        <v/>
      </c>
      <c r="X201" s="38" t="str">
        <f>IF(L201="","",IF(V201&gt;0,INDEX('04-نيسان'!$P$2:$P$501,V201),IF($AO$1=1,0,"")))</f>
        <v/>
      </c>
      <c r="Y201" s="38" t="str">
        <f t="shared" si="72"/>
        <v/>
      </c>
      <c r="Z201" s="39" t="str">
        <f>IF(L201="","",IF(V201&gt;0,INDEX('04-نيسان'!$Q$2:$Q$501,V201),IF($AO$1=1,0,"")))</f>
        <v/>
      </c>
      <c r="AA201" s="39" t="str">
        <f t="shared" si="73"/>
        <v/>
      </c>
      <c r="AB201" s="40" t="str">
        <f>IF(OR(L201="",V201=0),"",IF(AND(N(I201)&gt;0,N(INDEX('04-نيسان'!$I$2:$I$501,V201))&gt;0,INDEX('04-نيسان'!$F$2:$F$501,V201)=F201),N(I201)/N(INDEX('04-نيسان'!$I$2:$I$501,V201))-1,""))</f>
        <v/>
      </c>
      <c r="AC201" t="str">
        <f>IF(L201="","",IF(AND($AO$2=1,ISNA(MATCH(L201,'06-حزيران'!$L$2:$L$499,0))),"محذوف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IF(L202="","",IF($AO$1=1,IFERROR(MATCH(L202,'04-نيسان'!$L$2:$L$501,0),0),0))</f>
        <v/>
      </c>
      <c r="W202" t="str">
        <f t="shared" si="71"/>
        <v/>
      </c>
      <c r="X202" s="38" t="str">
        <f>IF(L202="","",IF(V202&gt;0,INDEX('04-نيسان'!$P$2:$P$501,V202),IF($AO$1=1,0,"")))</f>
        <v/>
      </c>
      <c r="Y202" s="38" t="str">
        <f t="shared" si="72"/>
        <v/>
      </c>
      <c r="Z202" s="39" t="str">
        <f>IF(L202="","",IF(V202&gt;0,INDEX('04-نيسان'!$Q$2:$Q$501,V202),IF($AO$1=1,0,"")))</f>
        <v/>
      </c>
      <c r="AA202" s="39" t="str">
        <f t="shared" si="73"/>
        <v/>
      </c>
      <c r="AB202" s="40" t="str">
        <f>IF(OR(L202="",V202=0),"",IF(AND(N(I202)&gt;0,N(INDEX('04-نيسان'!$I$2:$I$501,V202))&gt;0,INDEX('04-نيسان'!$F$2:$F$501,V202)=F202),N(I202)/N(INDEX('04-نيسان'!$I$2:$I$501,V202))-1,""))</f>
        <v/>
      </c>
      <c r="AC202" t="str">
        <f>IF(L202="","",IF(AND($AO$2=1,ISNA(MATCH(L202,'06-حزيران'!$L$2:$L$499,0))),"محذوف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IF(L203="","",IF($AO$1=1,IFERROR(MATCH(L203,'04-نيسان'!$L$2:$L$501,0),0),0))</f>
        <v/>
      </c>
      <c r="W203" t="str">
        <f t="shared" si="71"/>
        <v/>
      </c>
      <c r="X203" s="38" t="str">
        <f>IF(L203="","",IF(V203&gt;0,INDEX('04-نيسان'!$P$2:$P$501,V203),IF($AO$1=1,0,"")))</f>
        <v/>
      </c>
      <c r="Y203" s="38" t="str">
        <f t="shared" si="72"/>
        <v/>
      </c>
      <c r="Z203" s="39" t="str">
        <f>IF(L203="","",IF(V203&gt;0,INDEX('04-نيسان'!$Q$2:$Q$501,V203),IF($AO$1=1,0,"")))</f>
        <v/>
      </c>
      <c r="AA203" s="39" t="str">
        <f t="shared" si="73"/>
        <v/>
      </c>
      <c r="AB203" s="40" t="str">
        <f>IF(OR(L203="",V203=0),"",IF(AND(N(I203)&gt;0,N(INDEX('04-نيسان'!$I$2:$I$501,V203))&gt;0,INDEX('04-نيسان'!$F$2:$F$501,V203)=F203),N(I203)/N(INDEX('04-نيسان'!$I$2:$I$501,V203))-1,""))</f>
        <v/>
      </c>
      <c r="AC203" t="str">
        <f>IF(L203="","",IF(AND($AO$2=1,ISNA(MATCH(L203,'06-حزيران'!$L$2:$L$499,0))),"محذوف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IF(L204="","",IF($AO$1=1,IFERROR(MATCH(L204,'04-نيسان'!$L$2:$L$501,0),0),0))</f>
        <v/>
      </c>
      <c r="W204" t="str">
        <f t="shared" si="71"/>
        <v/>
      </c>
      <c r="X204" s="38" t="str">
        <f>IF(L204="","",IF(V204&gt;0,INDEX('04-نيسان'!$P$2:$P$501,V204),IF($AO$1=1,0,"")))</f>
        <v/>
      </c>
      <c r="Y204" s="38" t="str">
        <f t="shared" si="72"/>
        <v/>
      </c>
      <c r="Z204" s="39" t="str">
        <f>IF(L204="","",IF(V204&gt;0,INDEX('04-نيسان'!$Q$2:$Q$501,V204),IF($AO$1=1,0,"")))</f>
        <v/>
      </c>
      <c r="AA204" s="39" t="str">
        <f t="shared" si="73"/>
        <v/>
      </c>
      <c r="AB204" s="40" t="str">
        <f>IF(OR(L204="",V204=0),"",IF(AND(N(I204)&gt;0,N(INDEX('04-نيسان'!$I$2:$I$501,V204))&gt;0,INDEX('04-نيسان'!$F$2:$F$501,V204)=F204),N(I204)/N(INDEX('04-نيسان'!$I$2:$I$501,V204))-1,""))</f>
        <v/>
      </c>
      <c r="AC204" t="str">
        <f>IF(L204="","",IF(AND($AO$2=1,ISNA(MATCH(L204,'06-حزيران'!$L$2:$L$499,0))),"محذوف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IF(L205="","",IF($AO$1=1,IFERROR(MATCH(L205,'04-نيسان'!$L$2:$L$501,0),0),0))</f>
        <v/>
      </c>
      <c r="W205" t="str">
        <f t="shared" si="71"/>
        <v/>
      </c>
      <c r="X205" s="38" t="str">
        <f>IF(L205="","",IF(V205&gt;0,INDEX('04-نيسان'!$P$2:$P$501,V205),IF($AO$1=1,0,"")))</f>
        <v/>
      </c>
      <c r="Y205" s="38" t="str">
        <f t="shared" si="72"/>
        <v/>
      </c>
      <c r="Z205" s="39" t="str">
        <f>IF(L205="","",IF(V205&gt;0,INDEX('04-نيسان'!$Q$2:$Q$501,V205),IF($AO$1=1,0,"")))</f>
        <v/>
      </c>
      <c r="AA205" s="39" t="str">
        <f t="shared" si="73"/>
        <v/>
      </c>
      <c r="AB205" s="40" t="str">
        <f>IF(OR(L205="",V205=0),"",IF(AND(N(I205)&gt;0,N(INDEX('04-نيسان'!$I$2:$I$501,V205))&gt;0,INDEX('04-نيسان'!$F$2:$F$501,V205)=F205),N(I205)/N(INDEX('04-نيسان'!$I$2:$I$501,V205))-1,""))</f>
        <v/>
      </c>
      <c r="AC205" t="str">
        <f>IF(L205="","",IF(AND($AO$2=1,ISNA(MATCH(L205,'06-حزيران'!$L$2:$L$499,0))),"محذوف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IF(L206="","",IF($AO$1=1,IFERROR(MATCH(L206,'04-نيسان'!$L$2:$L$501,0),0),0))</f>
        <v/>
      </c>
      <c r="W206" t="str">
        <f t="shared" si="71"/>
        <v/>
      </c>
      <c r="X206" s="38" t="str">
        <f>IF(L206="","",IF(V206&gt;0,INDEX('04-نيسان'!$P$2:$P$501,V206),IF($AO$1=1,0,"")))</f>
        <v/>
      </c>
      <c r="Y206" s="38" t="str">
        <f t="shared" si="72"/>
        <v/>
      </c>
      <c r="Z206" s="39" t="str">
        <f>IF(L206="","",IF(V206&gt;0,INDEX('04-نيسان'!$Q$2:$Q$501,V206),IF($AO$1=1,0,"")))</f>
        <v/>
      </c>
      <c r="AA206" s="39" t="str">
        <f t="shared" si="73"/>
        <v/>
      </c>
      <c r="AB206" s="40" t="str">
        <f>IF(OR(L206="",V206=0),"",IF(AND(N(I206)&gt;0,N(INDEX('04-نيسان'!$I$2:$I$501,V206))&gt;0,INDEX('04-نيسان'!$F$2:$F$501,V206)=F206),N(I206)/N(INDEX('04-نيسان'!$I$2:$I$501,V206))-1,""))</f>
        <v/>
      </c>
      <c r="AC206" t="str">
        <f>IF(L206="","",IF(AND($AO$2=1,ISNA(MATCH(L206,'06-حزيران'!$L$2:$L$499,0))),"محذوف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IF(L207="","",IF($AO$1=1,IFERROR(MATCH(L207,'04-نيسان'!$L$2:$L$501,0),0),0))</f>
        <v/>
      </c>
      <c r="W207" t="str">
        <f t="shared" si="71"/>
        <v/>
      </c>
      <c r="X207" s="38" t="str">
        <f>IF(L207="","",IF(V207&gt;0,INDEX('04-نيسان'!$P$2:$P$501,V207),IF($AO$1=1,0,"")))</f>
        <v/>
      </c>
      <c r="Y207" s="38" t="str">
        <f t="shared" si="72"/>
        <v/>
      </c>
      <c r="Z207" s="39" t="str">
        <f>IF(L207="","",IF(V207&gt;0,INDEX('04-نيسان'!$Q$2:$Q$501,V207),IF($AO$1=1,0,"")))</f>
        <v/>
      </c>
      <c r="AA207" s="39" t="str">
        <f t="shared" si="73"/>
        <v/>
      </c>
      <c r="AB207" s="40" t="str">
        <f>IF(OR(L207="",V207=0),"",IF(AND(N(I207)&gt;0,N(INDEX('04-نيسان'!$I$2:$I$501,V207))&gt;0,INDEX('04-نيسان'!$F$2:$F$501,V207)=F207),N(I207)/N(INDEX('04-نيسان'!$I$2:$I$501,V207))-1,""))</f>
        <v/>
      </c>
      <c r="AC207" t="str">
        <f>IF(L207="","",IF(AND($AO$2=1,ISNA(MATCH(L207,'06-حزيران'!$L$2:$L$499,0))),"محذوف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IF(L208="","",IF($AO$1=1,IFERROR(MATCH(L208,'04-نيسان'!$L$2:$L$501,0),0),0))</f>
        <v/>
      </c>
      <c r="W208" t="str">
        <f t="shared" si="71"/>
        <v/>
      </c>
      <c r="X208" s="38" t="str">
        <f>IF(L208="","",IF(V208&gt;0,INDEX('04-نيسان'!$P$2:$P$501,V208),IF($AO$1=1,0,"")))</f>
        <v/>
      </c>
      <c r="Y208" s="38" t="str">
        <f t="shared" si="72"/>
        <v/>
      </c>
      <c r="Z208" s="39" t="str">
        <f>IF(L208="","",IF(V208&gt;0,INDEX('04-نيسان'!$Q$2:$Q$501,V208),IF($AO$1=1,0,"")))</f>
        <v/>
      </c>
      <c r="AA208" s="39" t="str">
        <f t="shared" si="73"/>
        <v/>
      </c>
      <c r="AB208" s="40" t="str">
        <f>IF(OR(L208="",V208=0),"",IF(AND(N(I208)&gt;0,N(INDEX('04-نيسان'!$I$2:$I$501,V208))&gt;0,INDEX('04-نيسان'!$F$2:$F$501,V208)=F208),N(I208)/N(INDEX('04-نيسان'!$I$2:$I$501,V208))-1,""))</f>
        <v/>
      </c>
      <c r="AC208" t="str">
        <f>IF(L208="","",IF(AND($AO$2=1,ISNA(MATCH(L208,'06-حزيران'!$L$2:$L$499,0))),"محذوف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IF(L209="","",IF($AO$1=1,IFERROR(MATCH(L209,'04-نيسان'!$L$2:$L$501,0),0),0))</f>
        <v/>
      </c>
      <c r="W209" t="str">
        <f t="shared" si="71"/>
        <v/>
      </c>
      <c r="X209" s="38" t="str">
        <f>IF(L209="","",IF(V209&gt;0,INDEX('04-نيسان'!$P$2:$P$501,V209),IF($AO$1=1,0,"")))</f>
        <v/>
      </c>
      <c r="Y209" s="38" t="str">
        <f t="shared" si="72"/>
        <v/>
      </c>
      <c r="Z209" s="39" t="str">
        <f>IF(L209="","",IF(V209&gt;0,INDEX('04-نيسان'!$Q$2:$Q$501,V209),IF($AO$1=1,0,"")))</f>
        <v/>
      </c>
      <c r="AA209" s="39" t="str">
        <f t="shared" si="73"/>
        <v/>
      </c>
      <c r="AB209" s="40" t="str">
        <f>IF(OR(L209="",V209=0),"",IF(AND(N(I209)&gt;0,N(INDEX('04-نيسان'!$I$2:$I$501,V209))&gt;0,INDEX('04-نيسان'!$F$2:$F$501,V209)=F209),N(I209)/N(INDEX('04-نيسان'!$I$2:$I$501,V209))-1,""))</f>
        <v/>
      </c>
      <c r="AC209" t="str">
        <f>IF(L209="","",IF(AND($AO$2=1,ISNA(MATCH(L209,'06-حزيران'!$L$2:$L$499,0))),"محذوف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IF(L210="","",IF($AO$1=1,IFERROR(MATCH(L210,'04-نيسان'!$L$2:$L$501,0),0),0))</f>
        <v/>
      </c>
      <c r="W210" t="str">
        <f t="shared" si="71"/>
        <v/>
      </c>
      <c r="X210" s="38" t="str">
        <f>IF(L210="","",IF(V210&gt;0,INDEX('04-نيسان'!$P$2:$P$501,V210),IF($AO$1=1,0,"")))</f>
        <v/>
      </c>
      <c r="Y210" s="38" t="str">
        <f t="shared" si="72"/>
        <v/>
      </c>
      <c r="Z210" s="39" t="str">
        <f>IF(L210="","",IF(V210&gt;0,INDEX('04-نيسان'!$Q$2:$Q$501,V210),IF($AO$1=1,0,"")))</f>
        <v/>
      </c>
      <c r="AA210" s="39" t="str">
        <f t="shared" si="73"/>
        <v/>
      </c>
      <c r="AB210" s="40" t="str">
        <f>IF(OR(L210="",V210=0),"",IF(AND(N(I210)&gt;0,N(INDEX('04-نيسان'!$I$2:$I$501,V210))&gt;0,INDEX('04-نيسان'!$F$2:$F$501,V210)=F210),N(I210)/N(INDEX('04-نيسان'!$I$2:$I$501,V210))-1,""))</f>
        <v/>
      </c>
      <c r="AC210" t="str">
        <f>IF(L210="","",IF(AND($AO$2=1,ISNA(MATCH(L210,'06-حزيران'!$L$2:$L$499,0))),"محذوف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IF(L211="","",IF($AO$1=1,IFERROR(MATCH(L211,'04-نيسان'!$L$2:$L$501,0),0),0))</f>
        <v/>
      </c>
      <c r="W211" t="str">
        <f t="shared" si="71"/>
        <v/>
      </c>
      <c r="X211" s="38" t="str">
        <f>IF(L211="","",IF(V211&gt;0,INDEX('04-نيسان'!$P$2:$P$501,V211),IF($AO$1=1,0,"")))</f>
        <v/>
      </c>
      <c r="Y211" s="38" t="str">
        <f t="shared" si="72"/>
        <v/>
      </c>
      <c r="Z211" s="39" t="str">
        <f>IF(L211="","",IF(V211&gt;0,INDEX('04-نيسان'!$Q$2:$Q$501,V211),IF($AO$1=1,0,"")))</f>
        <v/>
      </c>
      <c r="AA211" s="39" t="str">
        <f t="shared" si="73"/>
        <v/>
      </c>
      <c r="AB211" s="40" t="str">
        <f>IF(OR(L211="",V211=0),"",IF(AND(N(I211)&gt;0,N(INDEX('04-نيسان'!$I$2:$I$501,V211))&gt;0,INDEX('04-نيسان'!$F$2:$F$501,V211)=F211),N(I211)/N(INDEX('04-نيسان'!$I$2:$I$501,V211))-1,""))</f>
        <v/>
      </c>
      <c r="AC211" t="str">
        <f>IF(L211="","",IF(AND($AO$2=1,ISNA(MATCH(L211,'06-حزيران'!$L$2:$L$499,0))),"محذوف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IF(L212="","",IF($AO$1=1,IFERROR(MATCH(L212,'04-نيسان'!$L$2:$L$501,0),0),0))</f>
        <v/>
      </c>
      <c r="W212" t="str">
        <f t="shared" si="71"/>
        <v/>
      </c>
      <c r="X212" s="38" t="str">
        <f>IF(L212="","",IF(V212&gt;0,INDEX('04-نيسان'!$P$2:$P$501,V212),IF($AO$1=1,0,"")))</f>
        <v/>
      </c>
      <c r="Y212" s="38" t="str">
        <f t="shared" si="72"/>
        <v/>
      </c>
      <c r="Z212" s="39" t="str">
        <f>IF(L212="","",IF(V212&gt;0,INDEX('04-نيسان'!$Q$2:$Q$501,V212),IF($AO$1=1,0,"")))</f>
        <v/>
      </c>
      <c r="AA212" s="39" t="str">
        <f t="shared" si="73"/>
        <v/>
      </c>
      <c r="AB212" s="40" t="str">
        <f>IF(OR(L212="",V212=0),"",IF(AND(N(I212)&gt;0,N(INDEX('04-نيسان'!$I$2:$I$501,V212))&gt;0,INDEX('04-نيسان'!$F$2:$F$501,V212)=F212),N(I212)/N(INDEX('04-نيسان'!$I$2:$I$501,V212))-1,""))</f>
        <v/>
      </c>
      <c r="AC212" t="str">
        <f>IF(L212="","",IF(AND($AO$2=1,ISNA(MATCH(L212,'06-حزيران'!$L$2:$L$499,0))),"محذوف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IF(L213="","",IF($AO$1=1,IFERROR(MATCH(L213,'04-نيسان'!$L$2:$L$501,0),0),0))</f>
        <v/>
      </c>
      <c r="W213" t="str">
        <f t="shared" si="71"/>
        <v/>
      </c>
      <c r="X213" s="38" t="str">
        <f>IF(L213="","",IF(V213&gt;0,INDEX('04-نيسان'!$P$2:$P$501,V213),IF($AO$1=1,0,"")))</f>
        <v/>
      </c>
      <c r="Y213" s="38" t="str">
        <f t="shared" si="72"/>
        <v/>
      </c>
      <c r="Z213" s="39" t="str">
        <f>IF(L213="","",IF(V213&gt;0,INDEX('04-نيسان'!$Q$2:$Q$501,V213),IF($AO$1=1,0,"")))</f>
        <v/>
      </c>
      <c r="AA213" s="39" t="str">
        <f t="shared" si="73"/>
        <v/>
      </c>
      <c r="AB213" s="40" t="str">
        <f>IF(OR(L213="",V213=0),"",IF(AND(N(I213)&gt;0,N(INDEX('04-نيسان'!$I$2:$I$501,V213))&gt;0,INDEX('04-نيسان'!$F$2:$F$501,V213)=F213),N(I213)/N(INDEX('04-نيسان'!$I$2:$I$501,V213))-1,""))</f>
        <v/>
      </c>
      <c r="AC213" t="str">
        <f>IF(L213="","",IF(AND($AO$2=1,ISNA(MATCH(L213,'06-حزيران'!$L$2:$L$499,0))),"محذوف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IF(L214="","",IF($AO$1=1,IFERROR(MATCH(L214,'04-نيسان'!$L$2:$L$501,0),0),0))</f>
        <v/>
      </c>
      <c r="W214" t="str">
        <f t="shared" si="71"/>
        <v/>
      </c>
      <c r="X214" s="38" t="str">
        <f>IF(L214="","",IF(V214&gt;0,INDEX('04-نيسان'!$P$2:$P$501,V214),IF($AO$1=1,0,"")))</f>
        <v/>
      </c>
      <c r="Y214" s="38" t="str">
        <f t="shared" si="72"/>
        <v/>
      </c>
      <c r="Z214" s="39" t="str">
        <f>IF(L214="","",IF(V214&gt;0,INDEX('04-نيسان'!$Q$2:$Q$501,V214),IF($AO$1=1,0,"")))</f>
        <v/>
      </c>
      <c r="AA214" s="39" t="str">
        <f t="shared" si="73"/>
        <v/>
      </c>
      <c r="AB214" s="40" t="str">
        <f>IF(OR(L214="",V214=0),"",IF(AND(N(I214)&gt;0,N(INDEX('04-نيسان'!$I$2:$I$501,V214))&gt;0,INDEX('04-نيسان'!$F$2:$F$501,V214)=F214),N(I214)/N(INDEX('04-نيسان'!$I$2:$I$501,V214))-1,""))</f>
        <v/>
      </c>
      <c r="AC214" t="str">
        <f>IF(L214="","",IF(AND($AO$2=1,ISNA(MATCH(L214,'06-حزيران'!$L$2:$L$499,0))),"محذوف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IF(L215="","",IF($AO$1=1,IFERROR(MATCH(L215,'04-نيسان'!$L$2:$L$501,0),0),0))</f>
        <v/>
      </c>
      <c r="W215" t="str">
        <f t="shared" si="71"/>
        <v/>
      </c>
      <c r="X215" s="38" t="str">
        <f>IF(L215="","",IF(V215&gt;0,INDEX('04-نيسان'!$P$2:$P$501,V215),IF($AO$1=1,0,"")))</f>
        <v/>
      </c>
      <c r="Y215" s="38" t="str">
        <f t="shared" si="72"/>
        <v/>
      </c>
      <c r="Z215" s="39" t="str">
        <f>IF(L215="","",IF(V215&gt;0,INDEX('04-نيسان'!$Q$2:$Q$501,V215),IF($AO$1=1,0,"")))</f>
        <v/>
      </c>
      <c r="AA215" s="39" t="str">
        <f t="shared" si="73"/>
        <v/>
      </c>
      <c r="AB215" s="40" t="str">
        <f>IF(OR(L215="",V215=0),"",IF(AND(N(I215)&gt;0,N(INDEX('04-نيسان'!$I$2:$I$501,V215))&gt;0,INDEX('04-نيسان'!$F$2:$F$501,V215)=F215),N(I215)/N(INDEX('04-نيسان'!$I$2:$I$501,V215))-1,""))</f>
        <v/>
      </c>
      <c r="AC215" t="str">
        <f>IF(L215="","",IF(AND($AO$2=1,ISNA(MATCH(L215,'06-حزيران'!$L$2:$L$499,0))),"محذوف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IF(L216="","",IF($AO$1=1,IFERROR(MATCH(L216,'04-نيسان'!$L$2:$L$501,0),0),0))</f>
        <v/>
      </c>
      <c r="W216" t="str">
        <f t="shared" si="71"/>
        <v/>
      </c>
      <c r="X216" s="38" t="str">
        <f>IF(L216="","",IF(V216&gt;0,INDEX('04-نيسان'!$P$2:$P$501,V216),IF($AO$1=1,0,"")))</f>
        <v/>
      </c>
      <c r="Y216" s="38" t="str">
        <f t="shared" si="72"/>
        <v/>
      </c>
      <c r="Z216" s="39" t="str">
        <f>IF(L216="","",IF(V216&gt;0,INDEX('04-نيسان'!$Q$2:$Q$501,V216),IF($AO$1=1,0,"")))</f>
        <v/>
      </c>
      <c r="AA216" s="39" t="str">
        <f t="shared" si="73"/>
        <v/>
      </c>
      <c r="AB216" s="40" t="str">
        <f>IF(OR(L216="",V216=0),"",IF(AND(N(I216)&gt;0,N(INDEX('04-نيسان'!$I$2:$I$501,V216))&gt;0,INDEX('04-نيسان'!$F$2:$F$501,V216)=F216),N(I216)/N(INDEX('04-نيسان'!$I$2:$I$501,V216))-1,""))</f>
        <v/>
      </c>
      <c r="AC216" t="str">
        <f>IF(L216="","",IF(AND($AO$2=1,ISNA(MATCH(L216,'06-حزيران'!$L$2:$L$499,0))),"محذوف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IF(L217="","",IF($AO$1=1,IFERROR(MATCH(L217,'04-نيسان'!$L$2:$L$501,0),0),0))</f>
        <v/>
      </c>
      <c r="W217" t="str">
        <f t="shared" si="71"/>
        <v/>
      </c>
      <c r="X217" s="38" t="str">
        <f>IF(L217="","",IF(V217&gt;0,INDEX('04-نيسان'!$P$2:$P$501,V217),IF($AO$1=1,0,"")))</f>
        <v/>
      </c>
      <c r="Y217" s="38" t="str">
        <f t="shared" si="72"/>
        <v/>
      </c>
      <c r="Z217" s="39" t="str">
        <f>IF(L217="","",IF(V217&gt;0,INDEX('04-نيسان'!$Q$2:$Q$501,V217),IF($AO$1=1,0,"")))</f>
        <v/>
      </c>
      <c r="AA217" s="39" t="str">
        <f t="shared" si="73"/>
        <v/>
      </c>
      <c r="AB217" s="40" t="str">
        <f>IF(OR(L217="",V217=0),"",IF(AND(N(I217)&gt;0,N(INDEX('04-نيسان'!$I$2:$I$501,V217))&gt;0,INDEX('04-نيسان'!$F$2:$F$501,V217)=F217),N(I217)/N(INDEX('04-نيسان'!$I$2:$I$501,V217))-1,""))</f>
        <v/>
      </c>
      <c r="AC217" t="str">
        <f>IF(L217="","",IF(AND($AO$2=1,ISNA(MATCH(L217,'06-حزيران'!$L$2:$L$499,0))),"محذوف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IF(L218="","",IF($AO$1=1,IFERROR(MATCH(L218,'04-نيسان'!$L$2:$L$501,0),0),0))</f>
        <v/>
      </c>
      <c r="W218" t="str">
        <f t="shared" si="71"/>
        <v/>
      </c>
      <c r="X218" s="38" t="str">
        <f>IF(L218="","",IF(V218&gt;0,INDEX('04-نيسان'!$P$2:$P$501,V218),IF($AO$1=1,0,"")))</f>
        <v/>
      </c>
      <c r="Y218" s="38" t="str">
        <f t="shared" si="72"/>
        <v/>
      </c>
      <c r="Z218" s="39" t="str">
        <f>IF(L218="","",IF(V218&gt;0,INDEX('04-نيسان'!$Q$2:$Q$501,V218),IF($AO$1=1,0,"")))</f>
        <v/>
      </c>
      <c r="AA218" s="39" t="str">
        <f t="shared" si="73"/>
        <v/>
      </c>
      <c r="AB218" s="40" t="str">
        <f>IF(OR(L218="",V218=0),"",IF(AND(N(I218)&gt;0,N(INDEX('04-نيسان'!$I$2:$I$501,V218))&gt;0,INDEX('04-نيسان'!$F$2:$F$501,V218)=F218),N(I218)/N(INDEX('04-نيسان'!$I$2:$I$501,V218))-1,""))</f>
        <v/>
      </c>
      <c r="AC218" t="str">
        <f>IF(L218="","",IF(AND($AO$2=1,ISNA(MATCH(L218,'06-حزيران'!$L$2:$L$499,0))),"محذوف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IF(L219="","",IF($AO$1=1,IFERROR(MATCH(L219,'04-نيسان'!$L$2:$L$501,0),0),0))</f>
        <v/>
      </c>
      <c r="W219" t="str">
        <f t="shared" si="71"/>
        <v/>
      </c>
      <c r="X219" s="38" t="str">
        <f>IF(L219="","",IF(V219&gt;0,INDEX('04-نيسان'!$P$2:$P$501,V219),IF($AO$1=1,0,"")))</f>
        <v/>
      </c>
      <c r="Y219" s="38" t="str">
        <f t="shared" si="72"/>
        <v/>
      </c>
      <c r="Z219" s="39" t="str">
        <f>IF(L219="","",IF(V219&gt;0,INDEX('04-نيسان'!$Q$2:$Q$501,V219),IF($AO$1=1,0,"")))</f>
        <v/>
      </c>
      <c r="AA219" s="39" t="str">
        <f t="shared" si="73"/>
        <v/>
      </c>
      <c r="AB219" s="40" t="str">
        <f>IF(OR(L219="",V219=0),"",IF(AND(N(I219)&gt;0,N(INDEX('04-نيسان'!$I$2:$I$501,V219))&gt;0,INDEX('04-نيسان'!$F$2:$F$501,V219)=F219),N(I219)/N(INDEX('04-نيسان'!$I$2:$I$501,V219))-1,""))</f>
        <v/>
      </c>
      <c r="AC219" t="str">
        <f>IF(L219="","",IF(AND($AO$2=1,ISNA(MATCH(L219,'06-حزيران'!$L$2:$L$499,0))),"محذوف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IF(L220="","",IF($AO$1=1,IFERROR(MATCH(L220,'04-نيسان'!$L$2:$L$501,0),0),0))</f>
        <v/>
      </c>
      <c r="W220" t="str">
        <f t="shared" si="71"/>
        <v/>
      </c>
      <c r="X220" s="38" t="str">
        <f>IF(L220="","",IF(V220&gt;0,INDEX('04-نيسان'!$P$2:$P$501,V220),IF($AO$1=1,0,"")))</f>
        <v/>
      </c>
      <c r="Y220" s="38" t="str">
        <f t="shared" si="72"/>
        <v/>
      </c>
      <c r="Z220" s="39" t="str">
        <f>IF(L220="","",IF(V220&gt;0,INDEX('04-نيسان'!$Q$2:$Q$501,V220),IF($AO$1=1,0,"")))</f>
        <v/>
      </c>
      <c r="AA220" s="39" t="str">
        <f t="shared" si="73"/>
        <v/>
      </c>
      <c r="AB220" s="40" t="str">
        <f>IF(OR(L220="",V220=0),"",IF(AND(N(I220)&gt;0,N(INDEX('04-نيسان'!$I$2:$I$501,V220))&gt;0,INDEX('04-نيسان'!$F$2:$F$501,V220)=F220),N(I220)/N(INDEX('04-نيسان'!$I$2:$I$501,V220))-1,""))</f>
        <v/>
      </c>
      <c r="AC220" t="str">
        <f>IF(L220="","",IF(AND($AO$2=1,ISNA(MATCH(L220,'06-حزيران'!$L$2:$L$499,0))),"محذوف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IF(L221="","",IF($AO$1=1,IFERROR(MATCH(L221,'04-نيسان'!$L$2:$L$501,0),0),0))</f>
        <v/>
      </c>
      <c r="W221" t="str">
        <f t="shared" si="71"/>
        <v/>
      </c>
      <c r="X221" s="38" t="str">
        <f>IF(L221="","",IF(V221&gt;0,INDEX('04-نيسان'!$P$2:$P$501,V221),IF($AO$1=1,0,"")))</f>
        <v/>
      </c>
      <c r="Y221" s="38" t="str">
        <f t="shared" si="72"/>
        <v/>
      </c>
      <c r="Z221" s="39" t="str">
        <f>IF(L221="","",IF(V221&gt;0,INDEX('04-نيسان'!$Q$2:$Q$501,V221),IF($AO$1=1,0,"")))</f>
        <v/>
      </c>
      <c r="AA221" s="39" t="str">
        <f t="shared" si="73"/>
        <v/>
      </c>
      <c r="AB221" s="40" t="str">
        <f>IF(OR(L221="",V221=0),"",IF(AND(N(I221)&gt;0,N(INDEX('04-نيسان'!$I$2:$I$501,V221))&gt;0,INDEX('04-نيسان'!$F$2:$F$501,V221)=F221),N(I221)/N(INDEX('04-نيسان'!$I$2:$I$501,V221))-1,""))</f>
        <v/>
      </c>
      <c r="AC221" t="str">
        <f>IF(L221="","",IF(AND($AO$2=1,ISNA(MATCH(L221,'06-حزيران'!$L$2:$L$499,0))),"محذوف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IF(L222="","",IF($AO$1=1,IFERROR(MATCH(L222,'04-نيسان'!$L$2:$L$501,0),0),0))</f>
        <v/>
      </c>
      <c r="W222" t="str">
        <f t="shared" si="71"/>
        <v/>
      </c>
      <c r="X222" s="38" t="str">
        <f>IF(L222="","",IF(V222&gt;0,INDEX('04-نيسان'!$P$2:$P$501,V222),IF($AO$1=1,0,"")))</f>
        <v/>
      </c>
      <c r="Y222" s="38" t="str">
        <f t="shared" si="72"/>
        <v/>
      </c>
      <c r="Z222" s="39" t="str">
        <f>IF(L222="","",IF(V222&gt;0,INDEX('04-نيسان'!$Q$2:$Q$501,V222),IF($AO$1=1,0,"")))</f>
        <v/>
      </c>
      <c r="AA222" s="39" t="str">
        <f t="shared" si="73"/>
        <v/>
      </c>
      <c r="AB222" s="40" t="str">
        <f>IF(OR(L222="",V222=0),"",IF(AND(N(I222)&gt;0,N(INDEX('04-نيسان'!$I$2:$I$501,V222))&gt;0,INDEX('04-نيسان'!$F$2:$F$501,V222)=F222),N(I222)/N(INDEX('04-نيسان'!$I$2:$I$501,V222))-1,""))</f>
        <v/>
      </c>
      <c r="AC222" t="str">
        <f>IF(L222="","",IF(AND($AO$2=1,ISNA(MATCH(L222,'06-حزيران'!$L$2:$L$499,0))),"محذوف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IF(L223="","",IF($AO$1=1,IFERROR(MATCH(L223,'04-نيسان'!$L$2:$L$501,0),0),0))</f>
        <v/>
      </c>
      <c r="W223" t="str">
        <f t="shared" si="71"/>
        <v/>
      </c>
      <c r="X223" s="38" t="str">
        <f>IF(L223="","",IF(V223&gt;0,INDEX('04-نيسان'!$P$2:$P$501,V223),IF($AO$1=1,0,"")))</f>
        <v/>
      </c>
      <c r="Y223" s="38" t="str">
        <f t="shared" si="72"/>
        <v/>
      </c>
      <c r="Z223" s="39" t="str">
        <f>IF(L223="","",IF(V223&gt;0,INDEX('04-نيسان'!$Q$2:$Q$501,V223),IF($AO$1=1,0,"")))</f>
        <v/>
      </c>
      <c r="AA223" s="39" t="str">
        <f t="shared" si="73"/>
        <v/>
      </c>
      <c r="AB223" s="40" t="str">
        <f>IF(OR(L223="",V223=0),"",IF(AND(N(I223)&gt;0,N(INDEX('04-نيسان'!$I$2:$I$501,V223))&gt;0,INDEX('04-نيسان'!$F$2:$F$501,V223)=F223),N(I223)/N(INDEX('04-نيسان'!$I$2:$I$501,V223))-1,""))</f>
        <v/>
      </c>
      <c r="AC223" t="str">
        <f>IF(L223="","",IF(AND($AO$2=1,ISNA(MATCH(L223,'06-حزيران'!$L$2:$L$499,0))),"محذوف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IF(L224="","",IF($AO$1=1,IFERROR(MATCH(L224,'04-نيسان'!$L$2:$L$501,0),0),0))</f>
        <v/>
      </c>
      <c r="W224" t="str">
        <f t="shared" si="71"/>
        <v/>
      </c>
      <c r="X224" s="38" t="str">
        <f>IF(L224="","",IF(V224&gt;0,INDEX('04-نيسان'!$P$2:$P$501,V224),IF($AO$1=1,0,"")))</f>
        <v/>
      </c>
      <c r="Y224" s="38" t="str">
        <f t="shared" si="72"/>
        <v/>
      </c>
      <c r="Z224" s="39" t="str">
        <f>IF(L224="","",IF(V224&gt;0,INDEX('04-نيسان'!$Q$2:$Q$501,V224),IF($AO$1=1,0,"")))</f>
        <v/>
      </c>
      <c r="AA224" s="39" t="str">
        <f t="shared" si="73"/>
        <v/>
      </c>
      <c r="AB224" s="40" t="str">
        <f>IF(OR(L224="",V224=0),"",IF(AND(N(I224)&gt;0,N(INDEX('04-نيسان'!$I$2:$I$501,V224))&gt;0,INDEX('04-نيسان'!$F$2:$F$501,V224)=F224),N(I224)/N(INDEX('04-نيسان'!$I$2:$I$501,V224))-1,""))</f>
        <v/>
      </c>
      <c r="AC224" t="str">
        <f>IF(L224="","",IF(AND($AO$2=1,ISNA(MATCH(L224,'06-حزيران'!$L$2:$L$499,0))),"محذوف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IF(L225="","",IF($AO$1=1,IFERROR(MATCH(L225,'04-نيسان'!$L$2:$L$501,0),0),0))</f>
        <v/>
      </c>
      <c r="W225" t="str">
        <f t="shared" si="71"/>
        <v/>
      </c>
      <c r="X225" s="38" t="str">
        <f>IF(L225="","",IF(V225&gt;0,INDEX('04-نيسان'!$P$2:$P$501,V225),IF($AO$1=1,0,"")))</f>
        <v/>
      </c>
      <c r="Y225" s="38" t="str">
        <f t="shared" si="72"/>
        <v/>
      </c>
      <c r="Z225" s="39" t="str">
        <f>IF(L225="","",IF(V225&gt;0,INDEX('04-نيسان'!$Q$2:$Q$501,V225),IF($AO$1=1,0,"")))</f>
        <v/>
      </c>
      <c r="AA225" s="39" t="str">
        <f t="shared" si="73"/>
        <v/>
      </c>
      <c r="AB225" s="40" t="str">
        <f>IF(OR(L225="",V225=0),"",IF(AND(N(I225)&gt;0,N(INDEX('04-نيسان'!$I$2:$I$501,V225))&gt;0,INDEX('04-نيسان'!$F$2:$F$501,V225)=F225),N(I225)/N(INDEX('04-نيسان'!$I$2:$I$501,V225))-1,""))</f>
        <v/>
      </c>
      <c r="AC225" t="str">
        <f>IF(L225="","",IF(AND($AO$2=1,ISNA(MATCH(L225,'06-حزيران'!$L$2:$L$499,0))),"محذوف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IF(L226="","",IF($AO$1=1,IFERROR(MATCH(L226,'04-نيسان'!$L$2:$L$501,0),0),0))</f>
        <v/>
      </c>
      <c r="W226" t="str">
        <f t="shared" si="71"/>
        <v/>
      </c>
      <c r="X226" s="38" t="str">
        <f>IF(L226="","",IF(V226&gt;0,INDEX('04-نيسان'!$P$2:$P$501,V226),IF($AO$1=1,0,"")))</f>
        <v/>
      </c>
      <c r="Y226" s="38" t="str">
        <f t="shared" si="72"/>
        <v/>
      </c>
      <c r="Z226" s="39" t="str">
        <f>IF(L226="","",IF(V226&gt;0,INDEX('04-نيسان'!$Q$2:$Q$501,V226),IF($AO$1=1,0,"")))</f>
        <v/>
      </c>
      <c r="AA226" s="39" t="str">
        <f t="shared" si="73"/>
        <v/>
      </c>
      <c r="AB226" s="40" t="str">
        <f>IF(OR(L226="",V226=0),"",IF(AND(N(I226)&gt;0,N(INDEX('04-نيسان'!$I$2:$I$501,V226))&gt;0,INDEX('04-نيسان'!$F$2:$F$501,V226)=F226),N(I226)/N(INDEX('04-نيسان'!$I$2:$I$501,V226))-1,""))</f>
        <v/>
      </c>
      <c r="AC226" t="str">
        <f>IF(L226="","",IF(AND($AO$2=1,ISNA(MATCH(L226,'06-حزيران'!$L$2:$L$499,0))),"محذوف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IF(L227="","",IF($AO$1=1,IFERROR(MATCH(L227,'04-نيسان'!$L$2:$L$501,0),0),0))</f>
        <v/>
      </c>
      <c r="W227" t="str">
        <f t="shared" si="71"/>
        <v/>
      </c>
      <c r="X227" s="38" t="str">
        <f>IF(L227="","",IF(V227&gt;0,INDEX('04-نيسان'!$P$2:$P$501,V227),IF($AO$1=1,0,"")))</f>
        <v/>
      </c>
      <c r="Y227" s="38" t="str">
        <f t="shared" si="72"/>
        <v/>
      </c>
      <c r="Z227" s="39" t="str">
        <f>IF(L227="","",IF(V227&gt;0,INDEX('04-نيسان'!$Q$2:$Q$501,V227),IF($AO$1=1,0,"")))</f>
        <v/>
      </c>
      <c r="AA227" s="39" t="str">
        <f t="shared" si="73"/>
        <v/>
      </c>
      <c r="AB227" s="40" t="str">
        <f>IF(OR(L227="",V227=0),"",IF(AND(N(I227)&gt;0,N(INDEX('04-نيسان'!$I$2:$I$501,V227))&gt;0,INDEX('04-نيسان'!$F$2:$F$501,V227)=F227),N(I227)/N(INDEX('04-نيسان'!$I$2:$I$501,V227))-1,""))</f>
        <v/>
      </c>
      <c r="AC227" t="str">
        <f>IF(L227="","",IF(AND($AO$2=1,ISNA(MATCH(L227,'06-حزيران'!$L$2:$L$499,0))),"محذوف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IF(L228="","",IF($AO$1=1,IFERROR(MATCH(L228,'04-نيسان'!$L$2:$L$501,0),0),0))</f>
        <v/>
      </c>
      <c r="W228" t="str">
        <f t="shared" si="71"/>
        <v/>
      </c>
      <c r="X228" s="38" t="str">
        <f>IF(L228="","",IF(V228&gt;0,INDEX('04-نيسان'!$P$2:$P$501,V228),IF($AO$1=1,0,"")))</f>
        <v/>
      </c>
      <c r="Y228" s="38" t="str">
        <f t="shared" si="72"/>
        <v/>
      </c>
      <c r="Z228" s="39" t="str">
        <f>IF(L228="","",IF(V228&gt;0,INDEX('04-نيسان'!$Q$2:$Q$501,V228),IF($AO$1=1,0,"")))</f>
        <v/>
      </c>
      <c r="AA228" s="39" t="str">
        <f t="shared" si="73"/>
        <v/>
      </c>
      <c r="AB228" s="40" t="str">
        <f>IF(OR(L228="",V228=0),"",IF(AND(N(I228)&gt;0,N(INDEX('04-نيسان'!$I$2:$I$501,V228))&gt;0,INDEX('04-نيسان'!$F$2:$F$501,V228)=F228),N(I228)/N(INDEX('04-نيسان'!$I$2:$I$501,V228))-1,""))</f>
        <v/>
      </c>
      <c r="AC228" t="str">
        <f>IF(L228="","",IF(AND($AO$2=1,ISNA(MATCH(L228,'06-حزيران'!$L$2:$L$499,0))),"محذوف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IF(L229="","",IF($AO$1=1,IFERROR(MATCH(L229,'04-نيسان'!$L$2:$L$501,0),0),0))</f>
        <v/>
      </c>
      <c r="W229" t="str">
        <f t="shared" si="71"/>
        <v/>
      </c>
      <c r="X229" s="38" t="str">
        <f>IF(L229="","",IF(V229&gt;0,INDEX('04-نيسان'!$P$2:$P$501,V229),IF($AO$1=1,0,"")))</f>
        <v/>
      </c>
      <c r="Y229" s="38" t="str">
        <f t="shared" si="72"/>
        <v/>
      </c>
      <c r="Z229" s="39" t="str">
        <f>IF(L229="","",IF(V229&gt;0,INDEX('04-نيسان'!$Q$2:$Q$501,V229),IF($AO$1=1,0,"")))</f>
        <v/>
      </c>
      <c r="AA229" s="39" t="str">
        <f t="shared" si="73"/>
        <v/>
      </c>
      <c r="AB229" s="40" t="str">
        <f>IF(OR(L229="",V229=0),"",IF(AND(N(I229)&gt;0,N(INDEX('04-نيسان'!$I$2:$I$501,V229))&gt;0,INDEX('04-نيسان'!$F$2:$F$501,V229)=F229),N(I229)/N(INDEX('04-نيسان'!$I$2:$I$501,V229))-1,""))</f>
        <v/>
      </c>
      <c r="AC229" t="str">
        <f>IF(L229="","",IF(AND($AO$2=1,ISNA(MATCH(L229,'06-حزيران'!$L$2:$L$499,0))),"محذوف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IF(L230="","",IF($AO$1=1,IFERROR(MATCH(L230,'04-نيسان'!$L$2:$L$501,0),0),0))</f>
        <v/>
      </c>
      <c r="W230" t="str">
        <f t="shared" si="71"/>
        <v/>
      </c>
      <c r="X230" s="38" t="str">
        <f>IF(L230="","",IF(V230&gt;0,INDEX('04-نيسان'!$P$2:$P$501,V230),IF($AO$1=1,0,"")))</f>
        <v/>
      </c>
      <c r="Y230" s="38" t="str">
        <f t="shared" si="72"/>
        <v/>
      </c>
      <c r="Z230" s="39" t="str">
        <f>IF(L230="","",IF(V230&gt;0,INDEX('04-نيسان'!$Q$2:$Q$501,V230),IF($AO$1=1,0,"")))</f>
        <v/>
      </c>
      <c r="AA230" s="39" t="str">
        <f t="shared" si="73"/>
        <v/>
      </c>
      <c r="AB230" s="40" t="str">
        <f>IF(OR(L230="",V230=0),"",IF(AND(N(I230)&gt;0,N(INDEX('04-نيسان'!$I$2:$I$501,V230))&gt;0,INDEX('04-نيسان'!$F$2:$F$501,V230)=F230),N(I230)/N(INDEX('04-نيسان'!$I$2:$I$501,V230))-1,""))</f>
        <v/>
      </c>
      <c r="AC230" t="str">
        <f>IF(L230="","",IF(AND($AO$2=1,ISNA(MATCH(L230,'06-حزيران'!$L$2:$L$499,0))),"محذوف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IF(L231="","",IF($AO$1=1,IFERROR(MATCH(L231,'04-نيسان'!$L$2:$L$501,0),0),0))</f>
        <v/>
      </c>
      <c r="W231" t="str">
        <f t="shared" si="71"/>
        <v/>
      </c>
      <c r="X231" s="38" t="str">
        <f>IF(L231="","",IF(V231&gt;0,INDEX('04-نيسان'!$P$2:$P$501,V231),IF($AO$1=1,0,"")))</f>
        <v/>
      </c>
      <c r="Y231" s="38" t="str">
        <f t="shared" si="72"/>
        <v/>
      </c>
      <c r="Z231" s="39" t="str">
        <f>IF(L231="","",IF(V231&gt;0,INDEX('04-نيسان'!$Q$2:$Q$501,V231),IF($AO$1=1,0,"")))</f>
        <v/>
      </c>
      <c r="AA231" s="39" t="str">
        <f t="shared" si="73"/>
        <v/>
      </c>
      <c r="AB231" s="40" t="str">
        <f>IF(OR(L231="",V231=0),"",IF(AND(N(I231)&gt;0,N(INDEX('04-نيسان'!$I$2:$I$501,V231))&gt;0,INDEX('04-نيسان'!$F$2:$F$501,V231)=F231),N(I231)/N(INDEX('04-نيسان'!$I$2:$I$501,V231))-1,""))</f>
        <v/>
      </c>
      <c r="AC231" t="str">
        <f>IF(L231="","",IF(AND($AO$2=1,ISNA(MATCH(L231,'06-حزيران'!$L$2:$L$499,0))),"محذوف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IF(L232="","",IF($AO$1=1,IFERROR(MATCH(L232,'04-نيسان'!$L$2:$L$501,0),0),0))</f>
        <v/>
      </c>
      <c r="W232" t="str">
        <f t="shared" si="71"/>
        <v/>
      </c>
      <c r="X232" s="38" t="str">
        <f>IF(L232="","",IF(V232&gt;0,INDEX('04-نيسان'!$P$2:$P$501,V232),IF($AO$1=1,0,"")))</f>
        <v/>
      </c>
      <c r="Y232" s="38" t="str">
        <f t="shared" si="72"/>
        <v/>
      </c>
      <c r="Z232" s="39" t="str">
        <f>IF(L232="","",IF(V232&gt;0,INDEX('04-نيسان'!$Q$2:$Q$501,V232),IF($AO$1=1,0,"")))</f>
        <v/>
      </c>
      <c r="AA232" s="39" t="str">
        <f t="shared" si="73"/>
        <v/>
      </c>
      <c r="AB232" s="40" t="str">
        <f>IF(OR(L232="",V232=0),"",IF(AND(N(I232)&gt;0,N(INDEX('04-نيسان'!$I$2:$I$501,V232))&gt;0,INDEX('04-نيسان'!$F$2:$F$501,V232)=F232),N(I232)/N(INDEX('04-نيسان'!$I$2:$I$501,V232))-1,""))</f>
        <v/>
      </c>
      <c r="AC232" t="str">
        <f>IF(L232="","",IF(AND($AO$2=1,ISNA(MATCH(L232,'06-حزيران'!$L$2:$L$499,0))),"محذوف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IF(L233="","",IF($AO$1=1,IFERROR(MATCH(L233,'04-نيسان'!$L$2:$L$501,0),0),0))</f>
        <v/>
      </c>
      <c r="W233" t="str">
        <f t="shared" si="71"/>
        <v/>
      </c>
      <c r="X233" s="38" t="str">
        <f>IF(L233="","",IF(V233&gt;0,INDEX('04-نيسان'!$P$2:$P$501,V233),IF($AO$1=1,0,"")))</f>
        <v/>
      </c>
      <c r="Y233" s="38" t="str">
        <f t="shared" si="72"/>
        <v/>
      </c>
      <c r="Z233" s="39" t="str">
        <f>IF(L233="","",IF(V233&gt;0,INDEX('04-نيسان'!$Q$2:$Q$501,V233),IF($AO$1=1,0,"")))</f>
        <v/>
      </c>
      <c r="AA233" s="39" t="str">
        <f t="shared" si="73"/>
        <v/>
      </c>
      <c r="AB233" s="40" t="str">
        <f>IF(OR(L233="",V233=0),"",IF(AND(N(I233)&gt;0,N(INDEX('04-نيسان'!$I$2:$I$501,V233))&gt;0,INDEX('04-نيسان'!$F$2:$F$501,V233)=F233),N(I233)/N(INDEX('04-نيسان'!$I$2:$I$501,V233))-1,""))</f>
        <v/>
      </c>
      <c r="AC233" t="str">
        <f>IF(L233="","",IF(AND($AO$2=1,ISNA(MATCH(L233,'06-حزيران'!$L$2:$L$499,0))),"محذوف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IF(L234="","",IF($AO$1=1,IFERROR(MATCH(L234,'04-نيسان'!$L$2:$L$501,0),0),0))</f>
        <v/>
      </c>
      <c r="W234" t="str">
        <f t="shared" si="71"/>
        <v/>
      </c>
      <c r="X234" s="38" t="str">
        <f>IF(L234="","",IF(V234&gt;0,INDEX('04-نيسان'!$P$2:$P$501,V234),IF($AO$1=1,0,"")))</f>
        <v/>
      </c>
      <c r="Y234" s="38" t="str">
        <f t="shared" si="72"/>
        <v/>
      </c>
      <c r="Z234" s="39" t="str">
        <f>IF(L234="","",IF(V234&gt;0,INDEX('04-نيسان'!$Q$2:$Q$501,V234),IF($AO$1=1,0,"")))</f>
        <v/>
      </c>
      <c r="AA234" s="39" t="str">
        <f t="shared" si="73"/>
        <v/>
      </c>
      <c r="AB234" s="40" t="str">
        <f>IF(OR(L234="",V234=0),"",IF(AND(N(I234)&gt;0,N(INDEX('04-نيسان'!$I$2:$I$501,V234))&gt;0,INDEX('04-نيسان'!$F$2:$F$501,V234)=F234),N(I234)/N(INDEX('04-نيسان'!$I$2:$I$501,V234))-1,""))</f>
        <v/>
      </c>
      <c r="AC234" t="str">
        <f>IF(L234="","",IF(AND($AO$2=1,ISNA(MATCH(L234,'06-حزيران'!$L$2:$L$499,0))),"محذوف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IF(L235="","",IF($AO$1=1,IFERROR(MATCH(L235,'04-نيسان'!$L$2:$L$501,0),0),0))</f>
        <v/>
      </c>
      <c r="W235" t="str">
        <f t="shared" si="71"/>
        <v/>
      </c>
      <c r="X235" s="38" t="str">
        <f>IF(L235="","",IF(V235&gt;0,INDEX('04-نيسان'!$P$2:$P$501,V235),IF($AO$1=1,0,"")))</f>
        <v/>
      </c>
      <c r="Y235" s="38" t="str">
        <f t="shared" si="72"/>
        <v/>
      </c>
      <c r="Z235" s="39" t="str">
        <f>IF(L235="","",IF(V235&gt;0,INDEX('04-نيسان'!$Q$2:$Q$501,V235),IF($AO$1=1,0,"")))</f>
        <v/>
      </c>
      <c r="AA235" s="39" t="str">
        <f t="shared" si="73"/>
        <v/>
      </c>
      <c r="AB235" s="40" t="str">
        <f>IF(OR(L235="",V235=0),"",IF(AND(N(I235)&gt;0,N(INDEX('04-نيسان'!$I$2:$I$501,V235))&gt;0,INDEX('04-نيسان'!$F$2:$F$501,V235)=F235),N(I235)/N(INDEX('04-نيسان'!$I$2:$I$501,V235))-1,""))</f>
        <v/>
      </c>
      <c r="AC235" t="str">
        <f>IF(L235="","",IF(AND($AO$2=1,ISNA(MATCH(L235,'06-حزيران'!$L$2:$L$499,0))),"محذوف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IF(L236="","",IF($AO$1=1,IFERROR(MATCH(L236,'04-نيسان'!$L$2:$L$501,0),0),0))</f>
        <v/>
      </c>
      <c r="W236" t="str">
        <f t="shared" si="71"/>
        <v/>
      </c>
      <c r="X236" s="38" t="str">
        <f>IF(L236="","",IF(V236&gt;0,INDEX('04-نيسان'!$P$2:$P$501,V236),IF($AO$1=1,0,"")))</f>
        <v/>
      </c>
      <c r="Y236" s="38" t="str">
        <f t="shared" si="72"/>
        <v/>
      </c>
      <c r="Z236" s="39" t="str">
        <f>IF(L236="","",IF(V236&gt;0,INDEX('04-نيسان'!$Q$2:$Q$501,V236),IF($AO$1=1,0,"")))</f>
        <v/>
      </c>
      <c r="AA236" s="39" t="str">
        <f t="shared" si="73"/>
        <v/>
      </c>
      <c r="AB236" s="40" t="str">
        <f>IF(OR(L236="",V236=0),"",IF(AND(N(I236)&gt;0,N(INDEX('04-نيسان'!$I$2:$I$501,V236))&gt;0,INDEX('04-نيسان'!$F$2:$F$501,V236)=F236),N(I236)/N(INDEX('04-نيسان'!$I$2:$I$501,V236))-1,""))</f>
        <v/>
      </c>
      <c r="AC236" t="str">
        <f>IF(L236="","",IF(AND($AO$2=1,ISNA(MATCH(L236,'06-حزيران'!$L$2:$L$499,0))),"محذوف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IF(L237="","",IF($AO$1=1,IFERROR(MATCH(L237,'04-نيسان'!$L$2:$L$501,0),0),0))</f>
        <v/>
      </c>
      <c r="W237" t="str">
        <f t="shared" si="71"/>
        <v/>
      </c>
      <c r="X237" s="38" t="str">
        <f>IF(L237="","",IF(V237&gt;0,INDEX('04-نيسان'!$P$2:$P$501,V237),IF($AO$1=1,0,"")))</f>
        <v/>
      </c>
      <c r="Y237" s="38" t="str">
        <f t="shared" si="72"/>
        <v/>
      </c>
      <c r="Z237" s="39" t="str">
        <f>IF(L237="","",IF(V237&gt;0,INDEX('04-نيسان'!$Q$2:$Q$501,V237),IF($AO$1=1,0,"")))</f>
        <v/>
      </c>
      <c r="AA237" s="39" t="str">
        <f t="shared" si="73"/>
        <v/>
      </c>
      <c r="AB237" s="40" t="str">
        <f>IF(OR(L237="",V237=0),"",IF(AND(N(I237)&gt;0,N(INDEX('04-نيسان'!$I$2:$I$501,V237))&gt;0,INDEX('04-نيسان'!$F$2:$F$501,V237)=F237),N(I237)/N(INDEX('04-نيسان'!$I$2:$I$501,V237))-1,""))</f>
        <v/>
      </c>
      <c r="AC237" t="str">
        <f>IF(L237="","",IF(AND($AO$2=1,ISNA(MATCH(L237,'06-حزيران'!$L$2:$L$499,0))),"محذوف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IF(L238="","",IF($AO$1=1,IFERROR(MATCH(L238,'04-نيسان'!$L$2:$L$501,0),0),0))</f>
        <v/>
      </c>
      <c r="W238" t="str">
        <f t="shared" si="71"/>
        <v/>
      </c>
      <c r="X238" s="38" t="str">
        <f>IF(L238="","",IF(V238&gt;0,INDEX('04-نيسان'!$P$2:$P$501,V238),IF($AO$1=1,0,"")))</f>
        <v/>
      </c>
      <c r="Y238" s="38" t="str">
        <f t="shared" si="72"/>
        <v/>
      </c>
      <c r="Z238" s="39" t="str">
        <f>IF(L238="","",IF(V238&gt;0,INDEX('04-نيسان'!$Q$2:$Q$501,V238),IF($AO$1=1,0,"")))</f>
        <v/>
      </c>
      <c r="AA238" s="39" t="str">
        <f t="shared" si="73"/>
        <v/>
      </c>
      <c r="AB238" s="40" t="str">
        <f>IF(OR(L238="",V238=0),"",IF(AND(N(I238)&gt;0,N(INDEX('04-نيسان'!$I$2:$I$501,V238))&gt;0,INDEX('04-نيسان'!$F$2:$F$501,V238)=F238),N(I238)/N(INDEX('04-نيسان'!$I$2:$I$501,V238))-1,""))</f>
        <v/>
      </c>
      <c r="AC238" t="str">
        <f>IF(L238="","",IF(AND($AO$2=1,ISNA(MATCH(L238,'06-حزيران'!$L$2:$L$499,0))),"محذوف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IF(L239="","",IF($AO$1=1,IFERROR(MATCH(L239,'04-نيسان'!$L$2:$L$501,0),0),0))</f>
        <v/>
      </c>
      <c r="W239" t="str">
        <f t="shared" si="71"/>
        <v/>
      </c>
      <c r="X239" s="38" t="str">
        <f>IF(L239="","",IF(V239&gt;0,INDEX('04-نيسان'!$P$2:$P$501,V239),IF($AO$1=1,0,"")))</f>
        <v/>
      </c>
      <c r="Y239" s="38" t="str">
        <f t="shared" si="72"/>
        <v/>
      </c>
      <c r="Z239" s="39" t="str">
        <f>IF(L239="","",IF(V239&gt;0,INDEX('04-نيسان'!$Q$2:$Q$501,V239),IF($AO$1=1,0,"")))</f>
        <v/>
      </c>
      <c r="AA239" s="39" t="str">
        <f t="shared" si="73"/>
        <v/>
      </c>
      <c r="AB239" s="40" t="str">
        <f>IF(OR(L239="",V239=0),"",IF(AND(N(I239)&gt;0,N(INDEX('04-نيسان'!$I$2:$I$501,V239))&gt;0,INDEX('04-نيسان'!$F$2:$F$501,V239)=F239),N(I239)/N(INDEX('04-نيسان'!$I$2:$I$501,V239))-1,""))</f>
        <v/>
      </c>
      <c r="AC239" t="str">
        <f>IF(L239="","",IF(AND($AO$2=1,ISNA(MATCH(L239,'06-حزيران'!$L$2:$L$499,0))),"محذوف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IF(L240="","",IF($AO$1=1,IFERROR(MATCH(L240,'04-نيسان'!$L$2:$L$501,0),0),0))</f>
        <v/>
      </c>
      <c r="W240" t="str">
        <f t="shared" si="71"/>
        <v/>
      </c>
      <c r="X240" s="38" t="str">
        <f>IF(L240="","",IF(V240&gt;0,INDEX('04-نيسان'!$P$2:$P$501,V240),IF($AO$1=1,0,"")))</f>
        <v/>
      </c>
      <c r="Y240" s="38" t="str">
        <f t="shared" si="72"/>
        <v/>
      </c>
      <c r="Z240" s="39" t="str">
        <f>IF(L240="","",IF(V240&gt;0,INDEX('04-نيسان'!$Q$2:$Q$501,V240),IF($AO$1=1,0,"")))</f>
        <v/>
      </c>
      <c r="AA240" s="39" t="str">
        <f t="shared" si="73"/>
        <v/>
      </c>
      <c r="AB240" s="40" t="str">
        <f>IF(OR(L240="",V240=0),"",IF(AND(N(I240)&gt;0,N(INDEX('04-نيسان'!$I$2:$I$501,V240))&gt;0,INDEX('04-نيسان'!$F$2:$F$501,V240)=F240),N(I240)/N(INDEX('04-نيسان'!$I$2:$I$501,V240))-1,""))</f>
        <v/>
      </c>
      <c r="AC240" t="str">
        <f>IF(L240="","",IF(AND($AO$2=1,ISNA(MATCH(L240,'06-حزيران'!$L$2:$L$499,0))),"محذوف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IF(L241="","",IF($AO$1=1,IFERROR(MATCH(L241,'04-نيسان'!$L$2:$L$501,0),0),0))</f>
        <v/>
      </c>
      <c r="W241" t="str">
        <f t="shared" si="71"/>
        <v/>
      </c>
      <c r="X241" s="38" t="str">
        <f>IF(L241="","",IF(V241&gt;0,INDEX('04-نيسان'!$P$2:$P$501,V241),IF($AO$1=1,0,"")))</f>
        <v/>
      </c>
      <c r="Y241" s="38" t="str">
        <f t="shared" si="72"/>
        <v/>
      </c>
      <c r="Z241" s="39" t="str">
        <f>IF(L241="","",IF(V241&gt;0,INDEX('04-نيسان'!$Q$2:$Q$501,V241),IF($AO$1=1,0,"")))</f>
        <v/>
      </c>
      <c r="AA241" s="39" t="str">
        <f t="shared" si="73"/>
        <v/>
      </c>
      <c r="AB241" s="40" t="str">
        <f>IF(OR(L241="",V241=0),"",IF(AND(N(I241)&gt;0,N(INDEX('04-نيسان'!$I$2:$I$501,V241))&gt;0,INDEX('04-نيسان'!$F$2:$F$501,V241)=F241),N(I241)/N(INDEX('04-نيسان'!$I$2:$I$501,V241))-1,""))</f>
        <v/>
      </c>
      <c r="AC241" t="str">
        <f>IF(L241="","",IF(AND($AO$2=1,ISNA(MATCH(L241,'06-حزيران'!$L$2:$L$499,0))),"محذوف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IF(L242="","",IF($AO$1=1,IFERROR(MATCH(L242,'04-نيسان'!$L$2:$L$501,0),0),0))</f>
        <v/>
      </c>
      <c r="W242" t="str">
        <f t="shared" si="71"/>
        <v/>
      </c>
      <c r="X242" s="38" t="str">
        <f>IF(L242="","",IF(V242&gt;0,INDEX('04-نيسان'!$P$2:$P$501,V242),IF($AO$1=1,0,"")))</f>
        <v/>
      </c>
      <c r="Y242" s="38" t="str">
        <f t="shared" si="72"/>
        <v/>
      </c>
      <c r="Z242" s="39" t="str">
        <f>IF(L242="","",IF(V242&gt;0,INDEX('04-نيسان'!$Q$2:$Q$501,V242),IF($AO$1=1,0,"")))</f>
        <v/>
      </c>
      <c r="AA242" s="39" t="str">
        <f t="shared" si="73"/>
        <v/>
      </c>
      <c r="AB242" s="40" t="str">
        <f>IF(OR(L242="",V242=0),"",IF(AND(N(I242)&gt;0,N(INDEX('04-نيسان'!$I$2:$I$501,V242))&gt;0,INDEX('04-نيسان'!$F$2:$F$501,V242)=F242),N(I242)/N(INDEX('04-نيسان'!$I$2:$I$501,V242))-1,""))</f>
        <v/>
      </c>
      <c r="AC242" t="str">
        <f>IF(L242="","",IF(AND($AO$2=1,ISNA(MATCH(L242,'06-حزيران'!$L$2:$L$499,0))),"محذوف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IF(L243="","",IF($AO$1=1,IFERROR(MATCH(L243,'04-نيسان'!$L$2:$L$501,0),0),0))</f>
        <v/>
      </c>
      <c r="W243" t="str">
        <f t="shared" si="71"/>
        <v/>
      </c>
      <c r="X243" s="38" t="str">
        <f>IF(L243="","",IF(V243&gt;0,INDEX('04-نيسان'!$P$2:$P$501,V243),IF($AO$1=1,0,"")))</f>
        <v/>
      </c>
      <c r="Y243" s="38" t="str">
        <f t="shared" si="72"/>
        <v/>
      </c>
      <c r="Z243" s="39" t="str">
        <f>IF(L243="","",IF(V243&gt;0,INDEX('04-نيسان'!$Q$2:$Q$501,V243),IF($AO$1=1,0,"")))</f>
        <v/>
      </c>
      <c r="AA243" s="39" t="str">
        <f t="shared" si="73"/>
        <v/>
      </c>
      <c r="AB243" s="40" t="str">
        <f>IF(OR(L243="",V243=0),"",IF(AND(N(I243)&gt;0,N(INDEX('04-نيسان'!$I$2:$I$501,V243))&gt;0,INDEX('04-نيسان'!$F$2:$F$501,V243)=F243),N(I243)/N(INDEX('04-نيسان'!$I$2:$I$501,V243))-1,""))</f>
        <v/>
      </c>
      <c r="AC243" t="str">
        <f>IF(L243="","",IF(AND($AO$2=1,ISNA(MATCH(L243,'06-حزيران'!$L$2:$L$499,0))),"محذوف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IF(L244="","",IF($AO$1=1,IFERROR(MATCH(L244,'04-نيسان'!$L$2:$L$501,0),0),0))</f>
        <v/>
      </c>
      <c r="W244" t="str">
        <f t="shared" si="71"/>
        <v/>
      </c>
      <c r="X244" s="38" t="str">
        <f>IF(L244="","",IF(V244&gt;0,INDEX('04-نيسان'!$P$2:$P$501,V244),IF($AO$1=1,0,"")))</f>
        <v/>
      </c>
      <c r="Y244" s="38" t="str">
        <f t="shared" si="72"/>
        <v/>
      </c>
      <c r="Z244" s="39" t="str">
        <f>IF(L244="","",IF(V244&gt;0,INDEX('04-نيسان'!$Q$2:$Q$501,V244),IF($AO$1=1,0,"")))</f>
        <v/>
      </c>
      <c r="AA244" s="39" t="str">
        <f t="shared" si="73"/>
        <v/>
      </c>
      <c r="AB244" s="40" t="str">
        <f>IF(OR(L244="",V244=0),"",IF(AND(N(I244)&gt;0,N(INDEX('04-نيسان'!$I$2:$I$501,V244))&gt;0,INDEX('04-نيسان'!$F$2:$F$501,V244)=F244),N(I244)/N(INDEX('04-نيسان'!$I$2:$I$501,V244))-1,""))</f>
        <v/>
      </c>
      <c r="AC244" t="str">
        <f>IF(L244="","",IF(AND($AO$2=1,ISNA(MATCH(L244,'06-حزيران'!$L$2:$L$499,0))),"محذوف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IF(L245="","",IF($AO$1=1,IFERROR(MATCH(L245,'04-نيسان'!$L$2:$L$501,0),0),0))</f>
        <v/>
      </c>
      <c r="W245" t="str">
        <f t="shared" si="71"/>
        <v/>
      </c>
      <c r="X245" s="38" t="str">
        <f>IF(L245="","",IF(V245&gt;0,INDEX('04-نيسان'!$P$2:$P$501,V245),IF($AO$1=1,0,"")))</f>
        <v/>
      </c>
      <c r="Y245" s="38" t="str">
        <f t="shared" si="72"/>
        <v/>
      </c>
      <c r="Z245" s="39" t="str">
        <f>IF(L245="","",IF(V245&gt;0,INDEX('04-نيسان'!$Q$2:$Q$501,V245),IF($AO$1=1,0,"")))</f>
        <v/>
      </c>
      <c r="AA245" s="39" t="str">
        <f t="shared" si="73"/>
        <v/>
      </c>
      <c r="AB245" s="40" t="str">
        <f>IF(OR(L245="",V245=0),"",IF(AND(N(I245)&gt;0,N(INDEX('04-نيسان'!$I$2:$I$501,V245))&gt;0,INDEX('04-نيسان'!$F$2:$F$501,V245)=F245),N(I245)/N(INDEX('04-نيسان'!$I$2:$I$501,V245))-1,""))</f>
        <v/>
      </c>
      <c r="AC245" t="str">
        <f>IF(L245="","",IF(AND($AO$2=1,ISNA(MATCH(L245,'06-حزيران'!$L$2:$L$499,0))),"محذوف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IF(L246="","",IF($AO$1=1,IFERROR(MATCH(L246,'04-نيسان'!$L$2:$L$501,0),0),0))</f>
        <v/>
      </c>
      <c r="W246" t="str">
        <f t="shared" si="71"/>
        <v/>
      </c>
      <c r="X246" s="38" t="str">
        <f>IF(L246="","",IF(V246&gt;0,INDEX('04-نيسان'!$P$2:$P$501,V246),IF($AO$1=1,0,"")))</f>
        <v/>
      </c>
      <c r="Y246" s="38" t="str">
        <f t="shared" si="72"/>
        <v/>
      </c>
      <c r="Z246" s="39" t="str">
        <f>IF(L246="","",IF(V246&gt;0,INDEX('04-نيسان'!$Q$2:$Q$501,V246),IF($AO$1=1,0,"")))</f>
        <v/>
      </c>
      <c r="AA246" s="39" t="str">
        <f t="shared" si="73"/>
        <v/>
      </c>
      <c r="AB246" s="40" t="str">
        <f>IF(OR(L246="",V246=0),"",IF(AND(N(I246)&gt;0,N(INDEX('04-نيسان'!$I$2:$I$501,V246))&gt;0,INDEX('04-نيسان'!$F$2:$F$501,V246)=F246),N(I246)/N(INDEX('04-نيسان'!$I$2:$I$501,V246))-1,""))</f>
        <v/>
      </c>
      <c r="AC246" t="str">
        <f>IF(L246="","",IF(AND($AO$2=1,ISNA(MATCH(L246,'06-حزيران'!$L$2:$L$499,0))),"محذوف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IF(L247="","",IF($AO$1=1,IFERROR(MATCH(L247,'04-نيسان'!$L$2:$L$501,0),0),0))</f>
        <v/>
      </c>
      <c r="W247" t="str">
        <f t="shared" si="71"/>
        <v/>
      </c>
      <c r="X247" s="38" t="str">
        <f>IF(L247="","",IF(V247&gt;0,INDEX('04-نيسان'!$P$2:$P$501,V247),IF($AO$1=1,0,"")))</f>
        <v/>
      </c>
      <c r="Y247" s="38" t="str">
        <f t="shared" si="72"/>
        <v/>
      </c>
      <c r="Z247" s="39" t="str">
        <f>IF(L247="","",IF(V247&gt;0,INDEX('04-نيسان'!$Q$2:$Q$501,V247),IF($AO$1=1,0,"")))</f>
        <v/>
      </c>
      <c r="AA247" s="39" t="str">
        <f t="shared" si="73"/>
        <v/>
      </c>
      <c r="AB247" s="40" t="str">
        <f>IF(OR(L247="",V247=0),"",IF(AND(N(I247)&gt;0,N(INDEX('04-نيسان'!$I$2:$I$501,V247))&gt;0,INDEX('04-نيسان'!$F$2:$F$501,V247)=F247),N(I247)/N(INDEX('04-نيسان'!$I$2:$I$501,V247))-1,""))</f>
        <v/>
      </c>
      <c r="AC247" t="str">
        <f>IF(L247="","",IF(AND($AO$2=1,ISNA(MATCH(L247,'06-حزيران'!$L$2:$L$499,0))),"محذوف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IF(L248="","",IF($AO$1=1,IFERROR(MATCH(L248,'04-نيسان'!$L$2:$L$501,0),0),0))</f>
        <v/>
      </c>
      <c r="W248" t="str">
        <f t="shared" si="71"/>
        <v/>
      </c>
      <c r="X248" s="38" t="str">
        <f>IF(L248="","",IF(V248&gt;0,INDEX('04-نيسان'!$P$2:$P$501,V248),IF($AO$1=1,0,"")))</f>
        <v/>
      </c>
      <c r="Y248" s="38" t="str">
        <f t="shared" si="72"/>
        <v/>
      </c>
      <c r="Z248" s="39" t="str">
        <f>IF(L248="","",IF(V248&gt;0,INDEX('04-نيسان'!$Q$2:$Q$501,V248),IF($AO$1=1,0,"")))</f>
        <v/>
      </c>
      <c r="AA248" s="39" t="str">
        <f t="shared" si="73"/>
        <v/>
      </c>
      <c r="AB248" s="40" t="str">
        <f>IF(OR(L248="",V248=0),"",IF(AND(N(I248)&gt;0,N(INDEX('04-نيسان'!$I$2:$I$501,V248))&gt;0,INDEX('04-نيسان'!$F$2:$F$501,V248)=F248),N(I248)/N(INDEX('04-نيسان'!$I$2:$I$501,V248))-1,""))</f>
        <v/>
      </c>
      <c r="AC248" t="str">
        <f>IF(L248="","",IF(AND($AO$2=1,ISNA(MATCH(L248,'06-حزيران'!$L$2:$L$499,0))),"محذوف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IF(L249="","",IF($AO$1=1,IFERROR(MATCH(L249,'04-نيسان'!$L$2:$L$501,0),0),0))</f>
        <v/>
      </c>
      <c r="W249" t="str">
        <f t="shared" si="71"/>
        <v/>
      </c>
      <c r="X249" s="38" t="str">
        <f>IF(L249="","",IF(V249&gt;0,INDEX('04-نيسان'!$P$2:$P$501,V249),IF($AO$1=1,0,"")))</f>
        <v/>
      </c>
      <c r="Y249" s="38" t="str">
        <f t="shared" si="72"/>
        <v/>
      </c>
      <c r="Z249" s="39" t="str">
        <f>IF(L249="","",IF(V249&gt;0,INDEX('04-نيسان'!$Q$2:$Q$501,V249),IF($AO$1=1,0,"")))</f>
        <v/>
      </c>
      <c r="AA249" s="39" t="str">
        <f t="shared" si="73"/>
        <v/>
      </c>
      <c r="AB249" s="40" t="str">
        <f>IF(OR(L249="",V249=0),"",IF(AND(N(I249)&gt;0,N(INDEX('04-نيسان'!$I$2:$I$501,V249))&gt;0,INDEX('04-نيسان'!$F$2:$F$501,V249)=F249),N(I249)/N(INDEX('04-نيسان'!$I$2:$I$501,V249))-1,""))</f>
        <v/>
      </c>
      <c r="AC249" t="str">
        <f>IF(L249="","",IF(AND($AO$2=1,ISNA(MATCH(L249,'06-حزيران'!$L$2:$L$499,0))),"محذوف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IF(L250="","",IF($AO$1=1,IFERROR(MATCH(L250,'04-نيسان'!$L$2:$L$501,0),0),0))</f>
        <v/>
      </c>
      <c r="W250" t="str">
        <f t="shared" si="71"/>
        <v/>
      </c>
      <c r="X250" s="38" t="str">
        <f>IF(L250="","",IF(V250&gt;0,INDEX('04-نيسان'!$P$2:$P$501,V250),IF($AO$1=1,0,"")))</f>
        <v/>
      </c>
      <c r="Y250" s="38" t="str">
        <f t="shared" si="72"/>
        <v/>
      </c>
      <c r="Z250" s="39" t="str">
        <f>IF(L250="","",IF(V250&gt;0,INDEX('04-نيسان'!$Q$2:$Q$501,V250),IF($AO$1=1,0,"")))</f>
        <v/>
      </c>
      <c r="AA250" s="39" t="str">
        <f t="shared" si="73"/>
        <v/>
      </c>
      <c r="AB250" s="40" t="str">
        <f>IF(OR(L250="",V250=0),"",IF(AND(N(I250)&gt;0,N(INDEX('04-نيسان'!$I$2:$I$501,V250))&gt;0,INDEX('04-نيسان'!$F$2:$F$501,V250)=F250),N(I250)/N(INDEX('04-نيسان'!$I$2:$I$501,V250))-1,""))</f>
        <v/>
      </c>
      <c r="AC250" t="str">
        <f>IF(L250="","",IF(AND($AO$2=1,ISNA(MATCH(L250,'06-حزيران'!$L$2:$L$499,0))),"محذوف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IF(L251="","",IF($AO$1=1,IFERROR(MATCH(L251,'04-نيسان'!$L$2:$L$501,0),0),0))</f>
        <v/>
      </c>
      <c r="W251" t="str">
        <f t="shared" si="71"/>
        <v/>
      </c>
      <c r="X251" s="38" t="str">
        <f>IF(L251="","",IF(V251&gt;0,INDEX('04-نيسان'!$P$2:$P$501,V251),IF($AO$1=1,0,"")))</f>
        <v/>
      </c>
      <c r="Y251" s="38" t="str">
        <f t="shared" si="72"/>
        <v/>
      </c>
      <c r="Z251" s="39" t="str">
        <f>IF(L251="","",IF(V251&gt;0,INDEX('04-نيسان'!$Q$2:$Q$501,V251),IF($AO$1=1,0,"")))</f>
        <v/>
      </c>
      <c r="AA251" s="39" t="str">
        <f t="shared" si="73"/>
        <v/>
      </c>
      <c r="AB251" s="40" t="str">
        <f>IF(OR(L251="",V251=0),"",IF(AND(N(I251)&gt;0,N(INDEX('04-نيسان'!$I$2:$I$501,V251))&gt;0,INDEX('04-نيسان'!$F$2:$F$501,V251)=F251),N(I251)/N(INDEX('04-نيسان'!$I$2:$I$501,V251))-1,""))</f>
        <v/>
      </c>
      <c r="AC251" t="str">
        <f>IF(L251="","",IF(AND($AO$2=1,ISNA(MATCH(L251,'06-حزيران'!$L$2:$L$499,0))),"محذوف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IF(L252="","",IF($AO$1=1,IFERROR(MATCH(L252,'04-نيسان'!$L$2:$L$501,0),0),0))</f>
        <v/>
      </c>
      <c r="W252" t="str">
        <f t="shared" si="71"/>
        <v/>
      </c>
      <c r="X252" s="38" t="str">
        <f>IF(L252="","",IF(V252&gt;0,INDEX('04-نيسان'!$P$2:$P$501,V252),IF($AO$1=1,0,"")))</f>
        <v/>
      </c>
      <c r="Y252" s="38" t="str">
        <f t="shared" si="72"/>
        <v/>
      </c>
      <c r="Z252" s="39" t="str">
        <f>IF(L252="","",IF(V252&gt;0,INDEX('04-نيسان'!$Q$2:$Q$501,V252),IF($AO$1=1,0,"")))</f>
        <v/>
      </c>
      <c r="AA252" s="39" t="str">
        <f t="shared" si="73"/>
        <v/>
      </c>
      <c r="AB252" s="40" t="str">
        <f>IF(OR(L252="",V252=0),"",IF(AND(N(I252)&gt;0,N(INDEX('04-نيسان'!$I$2:$I$501,V252))&gt;0,INDEX('04-نيسان'!$F$2:$F$501,V252)=F252),N(I252)/N(INDEX('04-نيسان'!$I$2:$I$501,V252))-1,""))</f>
        <v/>
      </c>
      <c r="AC252" t="str">
        <f>IF(L252="","",IF(AND($AO$2=1,ISNA(MATCH(L252,'06-حزيران'!$L$2:$L$499,0))),"محذوف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IF(L253="","",IF($AO$1=1,IFERROR(MATCH(L253,'04-نيسان'!$L$2:$L$501,0),0),0))</f>
        <v/>
      </c>
      <c r="W253" t="str">
        <f t="shared" si="71"/>
        <v/>
      </c>
      <c r="X253" s="38" t="str">
        <f>IF(L253="","",IF(V253&gt;0,INDEX('04-نيسان'!$P$2:$P$501,V253),IF($AO$1=1,0,"")))</f>
        <v/>
      </c>
      <c r="Y253" s="38" t="str">
        <f t="shared" si="72"/>
        <v/>
      </c>
      <c r="Z253" s="39" t="str">
        <f>IF(L253="","",IF(V253&gt;0,INDEX('04-نيسان'!$Q$2:$Q$501,V253),IF($AO$1=1,0,"")))</f>
        <v/>
      </c>
      <c r="AA253" s="39" t="str">
        <f t="shared" si="73"/>
        <v/>
      </c>
      <c r="AB253" s="40" t="str">
        <f>IF(OR(L253="",V253=0),"",IF(AND(N(I253)&gt;0,N(INDEX('04-نيسان'!$I$2:$I$501,V253))&gt;0,INDEX('04-نيسان'!$F$2:$F$501,V253)=F253),N(I253)/N(INDEX('04-نيسان'!$I$2:$I$501,V253))-1,""))</f>
        <v/>
      </c>
      <c r="AC253" t="str">
        <f>IF(L253="","",IF(AND($AO$2=1,ISNA(MATCH(L253,'06-حزيران'!$L$2:$L$499,0))),"محذوف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IF(L254="","",IF($AO$1=1,IFERROR(MATCH(L254,'04-نيسان'!$L$2:$L$501,0),0),0))</f>
        <v/>
      </c>
      <c r="W254" t="str">
        <f t="shared" si="71"/>
        <v/>
      </c>
      <c r="X254" s="38" t="str">
        <f>IF(L254="","",IF(V254&gt;0,INDEX('04-نيسان'!$P$2:$P$501,V254),IF($AO$1=1,0,"")))</f>
        <v/>
      </c>
      <c r="Y254" s="38" t="str">
        <f t="shared" si="72"/>
        <v/>
      </c>
      <c r="Z254" s="39" t="str">
        <f>IF(L254="","",IF(V254&gt;0,INDEX('04-نيسان'!$Q$2:$Q$501,V254),IF($AO$1=1,0,"")))</f>
        <v/>
      </c>
      <c r="AA254" s="39" t="str">
        <f t="shared" si="73"/>
        <v/>
      </c>
      <c r="AB254" s="40" t="str">
        <f>IF(OR(L254="",V254=0),"",IF(AND(N(I254)&gt;0,N(INDEX('04-نيسان'!$I$2:$I$501,V254))&gt;0,INDEX('04-نيسان'!$F$2:$F$501,V254)=F254),N(I254)/N(INDEX('04-نيسان'!$I$2:$I$501,V254))-1,""))</f>
        <v/>
      </c>
      <c r="AC254" t="str">
        <f>IF(L254="","",IF(AND($AO$2=1,ISNA(MATCH(L254,'06-حزيران'!$L$2:$L$499,0))),"محذوف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IF(L255="","",IF($AO$1=1,IFERROR(MATCH(L255,'04-نيسان'!$L$2:$L$501,0),0),0))</f>
        <v/>
      </c>
      <c r="W255" t="str">
        <f t="shared" si="71"/>
        <v/>
      </c>
      <c r="X255" s="38" t="str">
        <f>IF(L255="","",IF(V255&gt;0,INDEX('04-نيسان'!$P$2:$P$501,V255),IF($AO$1=1,0,"")))</f>
        <v/>
      </c>
      <c r="Y255" s="38" t="str">
        <f t="shared" si="72"/>
        <v/>
      </c>
      <c r="Z255" s="39" t="str">
        <f>IF(L255="","",IF(V255&gt;0,INDEX('04-نيسان'!$Q$2:$Q$501,V255),IF($AO$1=1,0,"")))</f>
        <v/>
      </c>
      <c r="AA255" s="39" t="str">
        <f t="shared" si="73"/>
        <v/>
      </c>
      <c r="AB255" s="40" t="str">
        <f>IF(OR(L255="",V255=0),"",IF(AND(N(I255)&gt;0,N(INDEX('04-نيسان'!$I$2:$I$501,V255))&gt;0,INDEX('04-نيسان'!$F$2:$F$501,V255)=F255),N(I255)/N(INDEX('04-نيسان'!$I$2:$I$501,V255))-1,""))</f>
        <v/>
      </c>
      <c r="AC255" t="str">
        <f>IF(L255="","",IF(AND($AO$2=1,ISNA(MATCH(L255,'06-حزيران'!$L$2:$L$499,0))),"محذوف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IF(L256="","",IF($AO$1=1,IFERROR(MATCH(L256,'04-نيسان'!$L$2:$L$501,0),0),0))</f>
        <v/>
      </c>
      <c r="W256" t="str">
        <f t="shared" si="71"/>
        <v/>
      </c>
      <c r="X256" s="38" t="str">
        <f>IF(L256="","",IF(V256&gt;0,INDEX('04-نيسان'!$P$2:$P$501,V256),IF($AO$1=1,0,"")))</f>
        <v/>
      </c>
      <c r="Y256" s="38" t="str">
        <f t="shared" si="72"/>
        <v/>
      </c>
      <c r="Z256" s="39" t="str">
        <f>IF(L256="","",IF(V256&gt;0,INDEX('04-نيسان'!$Q$2:$Q$501,V256),IF($AO$1=1,0,"")))</f>
        <v/>
      </c>
      <c r="AA256" s="39" t="str">
        <f t="shared" si="73"/>
        <v/>
      </c>
      <c r="AB256" s="40" t="str">
        <f>IF(OR(L256="",V256=0),"",IF(AND(N(I256)&gt;0,N(INDEX('04-نيسان'!$I$2:$I$501,V256))&gt;0,INDEX('04-نيسان'!$F$2:$F$501,V256)=F256),N(I256)/N(INDEX('04-نيسان'!$I$2:$I$501,V256))-1,""))</f>
        <v/>
      </c>
      <c r="AC256" t="str">
        <f>IF(L256="","",IF(AND($AO$2=1,ISNA(MATCH(L256,'06-حزيران'!$L$2:$L$499,0))),"محذوف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IF(L257="","",IF($AO$1=1,IFERROR(MATCH(L257,'04-نيسان'!$L$2:$L$501,0),0),0))</f>
        <v/>
      </c>
      <c r="W257" t="str">
        <f t="shared" si="71"/>
        <v/>
      </c>
      <c r="X257" s="38" t="str">
        <f>IF(L257="","",IF(V257&gt;0,INDEX('04-نيسان'!$P$2:$P$501,V257),IF($AO$1=1,0,"")))</f>
        <v/>
      </c>
      <c r="Y257" s="38" t="str">
        <f t="shared" si="72"/>
        <v/>
      </c>
      <c r="Z257" s="39" t="str">
        <f>IF(L257="","",IF(V257&gt;0,INDEX('04-نيسان'!$Q$2:$Q$501,V257),IF($AO$1=1,0,"")))</f>
        <v/>
      </c>
      <c r="AA257" s="39" t="str">
        <f t="shared" si="73"/>
        <v/>
      </c>
      <c r="AB257" s="40" t="str">
        <f>IF(OR(L257="",V257=0),"",IF(AND(N(I257)&gt;0,N(INDEX('04-نيسان'!$I$2:$I$501,V257))&gt;0,INDEX('04-نيسان'!$F$2:$F$501,V257)=F257),N(I257)/N(INDEX('04-نيسان'!$I$2:$I$501,V257))-1,""))</f>
        <v/>
      </c>
      <c r="AC257" t="str">
        <f>IF(L257="","",IF(AND($AO$2=1,ISNA(MATCH(L257,'06-حزيران'!$L$2:$L$499,0))),"محذوف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IF(L258="","",IF($AO$1=1,IFERROR(MATCH(L258,'04-نيسان'!$L$2:$L$501,0),0),0))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IF(L258="","",IF(V258&gt;0,INDEX('04-نيسان'!$P$2:$P$501,V258),IF($AO$1=1,0,"")))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IF(L258="","",IF(V258&gt;0,INDEX('04-نيسان'!$Q$2:$Q$501,V258),IF($AO$1=1,0,"")))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IF(OR(L258="",V258=0),"",IF(AND(N(I258)&gt;0,N(INDEX('04-نيسان'!$I$2:$I$501,V258))&gt;0,INDEX('04-نيسان'!$F$2:$F$501,V258)=F258),N(I258)/N(INDEX('04-نيسان'!$I$2:$I$501,V258))-1,""))</f>
        <v/>
      </c>
      <c r="AC258" t="str">
        <f>IF(L258="","",IF(AND($AO$2=1,ISNA(MATCH(L258,'06-حزيران'!$L$2:$L$499,0))),"محذوف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IF(L259="","",IF($AO$1=1,IFERROR(MATCH(L259,'04-نيسان'!$L$2:$L$501,0),0),0))</f>
        <v/>
      </c>
      <c r="W259" t="str">
        <f t="shared" si="91"/>
        <v/>
      </c>
      <c r="X259" s="38" t="str">
        <f>IF(L259="","",IF(V259&gt;0,INDEX('04-نيسان'!$P$2:$P$501,V259),IF($AO$1=1,0,"")))</f>
        <v/>
      </c>
      <c r="Y259" s="38" t="str">
        <f t="shared" si="92"/>
        <v/>
      </c>
      <c r="Z259" s="39" t="str">
        <f>IF(L259="","",IF(V259&gt;0,INDEX('04-نيسان'!$Q$2:$Q$501,V259),IF($AO$1=1,0,"")))</f>
        <v/>
      </c>
      <c r="AA259" s="39" t="str">
        <f t="shared" si="93"/>
        <v/>
      </c>
      <c r="AB259" s="40" t="str">
        <f>IF(OR(L259="",V259=0),"",IF(AND(N(I259)&gt;0,N(INDEX('04-نيسان'!$I$2:$I$501,V259))&gt;0,INDEX('04-نيسان'!$F$2:$F$501,V259)=F259),N(I259)/N(INDEX('04-نيسان'!$I$2:$I$501,V259))-1,""))</f>
        <v/>
      </c>
      <c r="AC259" t="str">
        <f>IF(L259="","",IF(AND($AO$2=1,ISNA(MATCH(L259,'06-حزيران'!$L$2:$L$499,0))),"محذوف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IF(L260="","",IF($AO$1=1,IFERROR(MATCH(L260,'04-نيسان'!$L$2:$L$501,0),0),0))</f>
        <v/>
      </c>
      <c r="W260" t="str">
        <f t="shared" si="91"/>
        <v/>
      </c>
      <c r="X260" s="38" t="str">
        <f>IF(L260="","",IF(V260&gt;0,INDEX('04-نيسان'!$P$2:$P$501,V260),IF($AO$1=1,0,"")))</f>
        <v/>
      </c>
      <c r="Y260" s="38" t="str">
        <f t="shared" si="92"/>
        <v/>
      </c>
      <c r="Z260" s="39" t="str">
        <f>IF(L260="","",IF(V260&gt;0,INDEX('04-نيسان'!$Q$2:$Q$501,V260),IF($AO$1=1,0,"")))</f>
        <v/>
      </c>
      <c r="AA260" s="39" t="str">
        <f t="shared" si="93"/>
        <v/>
      </c>
      <c r="AB260" s="40" t="str">
        <f>IF(OR(L260="",V260=0),"",IF(AND(N(I260)&gt;0,N(INDEX('04-نيسان'!$I$2:$I$501,V260))&gt;0,INDEX('04-نيسان'!$F$2:$F$501,V260)=F260),N(I260)/N(INDEX('04-نيسان'!$I$2:$I$501,V260))-1,""))</f>
        <v/>
      </c>
      <c r="AC260" t="str">
        <f>IF(L260="","",IF(AND($AO$2=1,ISNA(MATCH(L260,'06-حزيران'!$L$2:$L$499,0))),"محذوف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IF(L261="","",IF($AO$1=1,IFERROR(MATCH(L261,'04-نيسان'!$L$2:$L$501,0),0),0))</f>
        <v/>
      </c>
      <c r="W261" t="str">
        <f t="shared" si="91"/>
        <v/>
      </c>
      <c r="X261" s="38" t="str">
        <f>IF(L261="","",IF(V261&gt;0,INDEX('04-نيسان'!$P$2:$P$501,V261),IF($AO$1=1,0,"")))</f>
        <v/>
      </c>
      <c r="Y261" s="38" t="str">
        <f t="shared" si="92"/>
        <v/>
      </c>
      <c r="Z261" s="39" t="str">
        <f>IF(L261="","",IF(V261&gt;0,INDEX('04-نيسان'!$Q$2:$Q$501,V261),IF($AO$1=1,0,"")))</f>
        <v/>
      </c>
      <c r="AA261" s="39" t="str">
        <f t="shared" si="93"/>
        <v/>
      </c>
      <c r="AB261" s="40" t="str">
        <f>IF(OR(L261="",V261=0),"",IF(AND(N(I261)&gt;0,N(INDEX('04-نيسان'!$I$2:$I$501,V261))&gt;0,INDEX('04-نيسان'!$F$2:$F$501,V261)=F261),N(I261)/N(INDEX('04-نيسان'!$I$2:$I$501,V261))-1,""))</f>
        <v/>
      </c>
      <c r="AC261" t="str">
        <f>IF(L261="","",IF(AND($AO$2=1,ISNA(MATCH(L261,'06-حزيران'!$L$2:$L$499,0))),"محذوف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IF(L262="","",IF($AO$1=1,IFERROR(MATCH(L262,'04-نيسان'!$L$2:$L$501,0),0),0))</f>
        <v/>
      </c>
      <c r="W262" t="str">
        <f t="shared" si="91"/>
        <v/>
      </c>
      <c r="X262" s="38" t="str">
        <f>IF(L262="","",IF(V262&gt;0,INDEX('04-نيسان'!$P$2:$P$501,V262),IF($AO$1=1,0,"")))</f>
        <v/>
      </c>
      <c r="Y262" s="38" t="str">
        <f t="shared" si="92"/>
        <v/>
      </c>
      <c r="Z262" s="39" t="str">
        <f>IF(L262="","",IF(V262&gt;0,INDEX('04-نيسان'!$Q$2:$Q$501,V262),IF($AO$1=1,0,"")))</f>
        <v/>
      </c>
      <c r="AA262" s="39" t="str">
        <f t="shared" si="93"/>
        <v/>
      </c>
      <c r="AB262" s="40" t="str">
        <f>IF(OR(L262="",V262=0),"",IF(AND(N(I262)&gt;0,N(INDEX('04-نيسان'!$I$2:$I$501,V262))&gt;0,INDEX('04-نيسان'!$F$2:$F$501,V262)=F262),N(I262)/N(INDEX('04-نيسان'!$I$2:$I$501,V262))-1,""))</f>
        <v/>
      </c>
      <c r="AC262" t="str">
        <f>IF(L262="","",IF(AND($AO$2=1,ISNA(MATCH(L262,'06-حزيران'!$L$2:$L$499,0))),"محذوف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IF(L263="","",IF($AO$1=1,IFERROR(MATCH(L263,'04-نيسان'!$L$2:$L$501,0),0),0))</f>
        <v/>
      </c>
      <c r="W263" t="str">
        <f t="shared" si="91"/>
        <v/>
      </c>
      <c r="X263" s="38" t="str">
        <f>IF(L263="","",IF(V263&gt;0,INDEX('04-نيسان'!$P$2:$P$501,V263),IF($AO$1=1,0,"")))</f>
        <v/>
      </c>
      <c r="Y263" s="38" t="str">
        <f t="shared" si="92"/>
        <v/>
      </c>
      <c r="Z263" s="39" t="str">
        <f>IF(L263="","",IF(V263&gt;0,INDEX('04-نيسان'!$Q$2:$Q$501,V263),IF($AO$1=1,0,"")))</f>
        <v/>
      </c>
      <c r="AA263" s="39" t="str">
        <f t="shared" si="93"/>
        <v/>
      </c>
      <c r="AB263" s="40" t="str">
        <f>IF(OR(L263="",V263=0),"",IF(AND(N(I263)&gt;0,N(INDEX('04-نيسان'!$I$2:$I$501,V263))&gt;0,INDEX('04-نيسان'!$F$2:$F$501,V263)=F263),N(I263)/N(INDEX('04-نيسان'!$I$2:$I$501,V263))-1,""))</f>
        <v/>
      </c>
      <c r="AC263" t="str">
        <f>IF(L263="","",IF(AND($AO$2=1,ISNA(MATCH(L263,'06-حزيران'!$L$2:$L$499,0))),"محذوف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IF(L264="","",IF($AO$1=1,IFERROR(MATCH(L264,'04-نيسان'!$L$2:$L$501,0),0),0))</f>
        <v/>
      </c>
      <c r="W264" t="str">
        <f t="shared" si="91"/>
        <v/>
      </c>
      <c r="X264" s="38" t="str">
        <f>IF(L264="","",IF(V264&gt;0,INDEX('04-نيسان'!$P$2:$P$501,V264),IF($AO$1=1,0,"")))</f>
        <v/>
      </c>
      <c r="Y264" s="38" t="str">
        <f t="shared" si="92"/>
        <v/>
      </c>
      <c r="Z264" s="39" t="str">
        <f>IF(L264="","",IF(V264&gt;0,INDEX('04-نيسان'!$Q$2:$Q$501,V264),IF($AO$1=1,0,"")))</f>
        <v/>
      </c>
      <c r="AA264" s="39" t="str">
        <f t="shared" si="93"/>
        <v/>
      </c>
      <c r="AB264" s="40" t="str">
        <f>IF(OR(L264="",V264=0),"",IF(AND(N(I264)&gt;0,N(INDEX('04-نيسان'!$I$2:$I$501,V264))&gt;0,INDEX('04-نيسان'!$F$2:$F$501,V264)=F264),N(I264)/N(INDEX('04-نيسان'!$I$2:$I$501,V264))-1,""))</f>
        <v/>
      </c>
      <c r="AC264" t="str">
        <f>IF(L264="","",IF(AND($AO$2=1,ISNA(MATCH(L264,'06-حزيران'!$L$2:$L$499,0))),"محذوف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IF(L265="","",IF($AO$1=1,IFERROR(MATCH(L265,'04-نيسان'!$L$2:$L$501,0),0),0))</f>
        <v/>
      </c>
      <c r="W265" t="str">
        <f t="shared" si="91"/>
        <v/>
      </c>
      <c r="X265" s="38" t="str">
        <f>IF(L265="","",IF(V265&gt;0,INDEX('04-نيسان'!$P$2:$P$501,V265),IF($AO$1=1,0,"")))</f>
        <v/>
      </c>
      <c r="Y265" s="38" t="str">
        <f t="shared" si="92"/>
        <v/>
      </c>
      <c r="Z265" s="39" t="str">
        <f>IF(L265="","",IF(V265&gt;0,INDEX('04-نيسان'!$Q$2:$Q$501,V265),IF($AO$1=1,0,"")))</f>
        <v/>
      </c>
      <c r="AA265" s="39" t="str">
        <f t="shared" si="93"/>
        <v/>
      </c>
      <c r="AB265" s="40" t="str">
        <f>IF(OR(L265="",V265=0),"",IF(AND(N(I265)&gt;0,N(INDEX('04-نيسان'!$I$2:$I$501,V265))&gt;0,INDEX('04-نيسان'!$F$2:$F$501,V265)=F265),N(I265)/N(INDEX('04-نيسان'!$I$2:$I$501,V265))-1,""))</f>
        <v/>
      </c>
      <c r="AC265" t="str">
        <f>IF(L265="","",IF(AND($AO$2=1,ISNA(MATCH(L265,'06-حزيران'!$L$2:$L$499,0))),"محذوف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IF(L266="","",IF($AO$1=1,IFERROR(MATCH(L266,'04-نيسان'!$L$2:$L$501,0),0),0))</f>
        <v/>
      </c>
      <c r="W266" t="str">
        <f t="shared" si="91"/>
        <v/>
      </c>
      <c r="X266" s="38" t="str">
        <f>IF(L266="","",IF(V266&gt;0,INDEX('04-نيسان'!$P$2:$P$501,V266),IF($AO$1=1,0,"")))</f>
        <v/>
      </c>
      <c r="Y266" s="38" t="str">
        <f t="shared" si="92"/>
        <v/>
      </c>
      <c r="Z266" s="39" t="str">
        <f>IF(L266="","",IF(V266&gt;0,INDEX('04-نيسان'!$Q$2:$Q$501,V266),IF($AO$1=1,0,"")))</f>
        <v/>
      </c>
      <c r="AA266" s="39" t="str">
        <f t="shared" si="93"/>
        <v/>
      </c>
      <c r="AB266" s="40" t="str">
        <f>IF(OR(L266="",V266=0),"",IF(AND(N(I266)&gt;0,N(INDEX('04-نيسان'!$I$2:$I$501,V266))&gt;0,INDEX('04-نيسان'!$F$2:$F$501,V266)=F266),N(I266)/N(INDEX('04-نيسان'!$I$2:$I$501,V266))-1,""))</f>
        <v/>
      </c>
      <c r="AC266" t="str">
        <f>IF(L266="","",IF(AND($AO$2=1,ISNA(MATCH(L266,'06-حزيران'!$L$2:$L$499,0))),"محذوف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IF(L267="","",IF($AO$1=1,IFERROR(MATCH(L267,'04-نيسان'!$L$2:$L$501,0),0),0))</f>
        <v/>
      </c>
      <c r="W267" t="str">
        <f t="shared" si="91"/>
        <v/>
      </c>
      <c r="X267" s="38" t="str">
        <f>IF(L267="","",IF(V267&gt;0,INDEX('04-نيسان'!$P$2:$P$501,V267),IF($AO$1=1,0,"")))</f>
        <v/>
      </c>
      <c r="Y267" s="38" t="str">
        <f t="shared" si="92"/>
        <v/>
      </c>
      <c r="Z267" s="39" t="str">
        <f>IF(L267="","",IF(V267&gt;0,INDEX('04-نيسان'!$Q$2:$Q$501,V267),IF($AO$1=1,0,"")))</f>
        <v/>
      </c>
      <c r="AA267" s="39" t="str">
        <f t="shared" si="93"/>
        <v/>
      </c>
      <c r="AB267" s="40" t="str">
        <f>IF(OR(L267="",V267=0),"",IF(AND(N(I267)&gt;0,N(INDEX('04-نيسان'!$I$2:$I$501,V267))&gt;0,INDEX('04-نيسان'!$F$2:$F$501,V267)=F267),N(I267)/N(INDEX('04-نيسان'!$I$2:$I$501,V267))-1,""))</f>
        <v/>
      </c>
      <c r="AC267" t="str">
        <f>IF(L267="","",IF(AND($AO$2=1,ISNA(MATCH(L267,'06-حزيران'!$L$2:$L$499,0))),"محذوف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IF(L268="","",IF($AO$1=1,IFERROR(MATCH(L268,'04-نيسان'!$L$2:$L$501,0),0),0))</f>
        <v/>
      </c>
      <c r="W268" t="str">
        <f t="shared" si="91"/>
        <v/>
      </c>
      <c r="X268" s="38" t="str">
        <f>IF(L268="","",IF(V268&gt;0,INDEX('04-نيسان'!$P$2:$P$501,V268),IF($AO$1=1,0,"")))</f>
        <v/>
      </c>
      <c r="Y268" s="38" t="str">
        <f t="shared" si="92"/>
        <v/>
      </c>
      <c r="Z268" s="39" t="str">
        <f>IF(L268="","",IF(V268&gt;0,INDEX('04-نيسان'!$Q$2:$Q$501,V268),IF($AO$1=1,0,"")))</f>
        <v/>
      </c>
      <c r="AA268" s="39" t="str">
        <f t="shared" si="93"/>
        <v/>
      </c>
      <c r="AB268" s="40" t="str">
        <f>IF(OR(L268="",V268=0),"",IF(AND(N(I268)&gt;0,N(INDEX('04-نيسان'!$I$2:$I$501,V268))&gt;0,INDEX('04-نيسان'!$F$2:$F$501,V268)=F268),N(I268)/N(INDEX('04-نيسان'!$I$2:$I$501,V268))-1,""))</f>
        <v/>
      </c>
      <c r="AC268" t="str">
        <f>IF(L268="","",IF(AND($AO$2=1,ISNA(MATCH(L268,'06-حزيران'!$L$2:$L$499,0))),"محذوف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IF(L269="","",IF($AO$1=1,IFERROR(MATCH(L269,'04-نيسان'!$L$2:$L$501,0),0),0))</f>
        <v/>
      </c>
      <c r="W269" t="str">
        <f t="shared" si="91"/>
        <v/>
      </c>
      <c r="X269" s="38" t="str">
        <f>IF(L269="","",IF(V269&gt;0,INDEX('04-نيسان'!$P$2:$P$501,V269),IF($AO$1=1,0,"")))</f>
        <v/>
      </c>
      <c r="Y269" s="38" t="str">
        <f t="shared" si="92"/>
        <v/>
      </c>
      <c r="Z269" s="39" t="str">
        <f>IF(L269="","",IF(V269&gt;0,INDEX('04-نيسان'!$Q$2:$Q$501,V269),IF($AO$1=1,0,"")))</f>
        <v/>
      </c>
      <c r="AA269" s="39" t="str">
        <f t="shared" si="93"/>
        <v/>
      </c>
      <c r="AB269" s="40" t="str">
        <f>IF(OR(L269="",V269=0),"",IF(AND(N(I269)&gt;0,N(INDEX('04-نيسان'!$I$2:$I$501,V269))&gt;0,INDEX('04-نيسان'!$F$2:$F$501,V269)=F269),N(I269)/N(INDEX('04-نيسان'!$I$2:$I$501,V269))-1,""))</f>
        <v/>
      </c>
      <c r="AC269" t="str">
        <f>IF(L269="","",IF(AND($AO$2=1,ISNA(MATCH(L269,'06-حزيران'!$L$2:$L$499,0))),"محذوف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IF(L270="","",IF($AO$1=1,IFERROR(MATCH(L270,'04-نيسان'!$L$2:$L$501,0),0),0))</f>
        <v/>
      </c>
      <c r="W270" t="str">
        <f t="shared" si="91"/>
        <v/>
      </c>
      <c r="X270" s="38" t="str">
        <f>IF(L270="","",IF(V270&gt;0,INDEX('04-نيسان'!$P$2:$P$501,V270),IF($AO$1=1,0,"")))</f>
        <v/>
      </c>
      <c r="Y270" s="38" t="str">
        <f t="shared" si="92"/>
        <v/>
      </c>
      <c r="Z270" s="39" t="str">
        <f>IF(L270="","",IF(V270&gt;0,INDEX('04-نيسان'!$Q$2:$Q$501,V270),IF($AO$1=1,0,"")))</f>
        <v/>
      </c>
      <c r="AA270" s="39" t="str">
        <f t="shared" si="93"/>
        <v/>
      </c>
      <c r="AB270" s="40" t="str">
        <f>IF(OR(L270="",V270=0),"",IF(AND(N(I270)&gt;0,N(INDEX('04-نيسان'!$I$2:$I$501,V270))&gt;0,INDEX('04-نيسان'!$F$2:$F$501,V270)=F270),N(I270)/N(INDEX('04-نيسان'!$I$2:$I$501,V270))-1,""))</f>
        <v/>
      </c>
      <c r="AC270" t="str">
        <f>IF(L270="","",IF(AND($AO$2=1,ISNA(MATCH(L270,'06-حزيران'!$L$2:$L$499,0))),"محذوف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IF(L271="","",IF($AO$1=1,IFERROR(MATCH(L271,'04-نيسان'!$L$2:$L$501,0),0),0))</f>
        <v/>
      </c>
      <c r="W271" t="str">
        <f t="shared" si="91"/>
        <v/>
      </c>
      <c r="X271" s="38" t="str">
        <f>IF(L271="","",IF(V271&gt;0,INDEX('04-نيسان'!$P$2:$P$501,V271),IF($AO$1=1,0,"")))</f>
        <v/>
      </c>
      <c r="Y271" s="38" t="str">
        <f t="shared" si="92"/>
        <v/>
      </c>
      <c r="Z271" s="39" t="str">
        <f>IF(L271="","",IF(V271&gt;0,INDEX('04-نيسان'!$Q$2:$Q$501,V271),IF($AO$1=1,0,"")))</f>
        <v/>
      </c>
      <c r="AA271" s="39" t="str">
        <f t="shared" si="93"/>
        <v/>
      </c>
      <c r="AB271" s="40" t="str">
        <f>IF(OR(L271="",V271=0),"",IF(AND(N(I271)&gt;0,N(INDEX('04-نيسان'!$I$2:$I$501,V271))&gt;0,INDEX('04-نيسان'!$F$2:$F$501,V271)=F271),N(I271)/N(INDEX('04-نيسان'!$I$2:$I$501,V271))-1,""))</f>
        <v/>
      </c>
      <c r="AC271" t="str">
        <f>IF(L271="","",IF(AND($AO$2=1,ISNA(MATCH(L271,'06-حزيران'!$L$2:$L$499,0))),"محذوف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IF(L272="","",IF($AO$1=1,IFERROR(MATCH(L272,'04-نيسان'!$L$2:$L$501,0),0),0))</f>
        <v/>
      </c>
      <c r="W272" t="str">
        <f t="shared" si="91"/>
        <v/>
      </c>
      <c r="X272" s="38" t="str">
        <f>IF(L272="","",IF(V272&gt;0,INDEX('04-نيسان'!$P$2:$P$501,V272),IF($AO$1=1,0,"")))</f>
        <v/>
      </c>
      <c r="Y272" s="38" t="str">
        <f t="shared" si="92"/>
        <v/>
      </c>
      <c r="Z272" s="39" t="str">
        <f>IF(L272="","",IF(V272&gt;0,INDEX('04-نيسان'!$Q$2:$Q$501,V272),IF($AO$1=1,0,"")))</f>
        <v/>
      </c>
      <c r="AA272" s="39" t="str">
        <f t="shared" si="93"/>
        <v/>
      </c>
      <c r="AB272" s="40" t="str">
        <f>IF(OR(L272="",V272=0),"",IF(AND(N(I272)&gt;0,N(INDEX('04-نيسان'!$I$2:$I$501,V272))&gt;0,INDEX('04-نيسان'!$F$2:$F$501,V272)=F272),N(I272)/N(INDEX('04-نيسان'!$I$2:$I$501,V272))-1,""))</f>
        <v/>
      </c>
      <c r="AC272" t="str">
        <f>IF(L272="","",IF(AND($AO$2=1,ISNA(MATCH(L272,'06-حزيران'!$L$2:$L$499,0))),"محذوف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IF(L273="","",IF($AO$1=1,IFERROR(MATCH(L273,'04-نيسان'!$L$2:$L$501,0),0),0))</f>
        <v/>
      </c>
      <c r="W273" t="str">
        <f t="shared" si="91"/>
        <v/>
      </c>
      <c r="X273" s="38" t="str">
        <f>IF(L273="","",IF(V273&gt;0,INDEX('04-نيسان'!$P$2:$P$501,V273),IF($AO$1=1,0,"")))</f>
        <v/>
      </c>
      <c r="Y273" s="38" t="str">
        <f t="shared" si="92"/>
        <v/>
      </c>
      <c r="Z273" s="39" t="str">
        <f>IF(L273="","",IF(V273&gt;0,INDEX('04-نيسان'!$Q$2:$Q$501,V273),IF($AO$1=1,0,"")))</f>
        <v/>
      </c>
      <c r="AA273" s="39" t="str">
        <f t="shared" si="93"/>
        <v/>
      </c>
      <c r="AB273" s="40" t="str">
        <f>IF(OR(L273="",V273=0),"",IF(AND(N(I273)&gt;0,N(INDEX('04-نيسان'!$I$2:$I$501,V273))&gt;0,INDEX('04-نيسان'!$F$2:$F$501,V273)=F273),N(I273)/N(INDEX('04-نيسان'!$I$2:$I$501,V273))-1,""))</f>
        <v/>
      </c>
      <c r="AC273" t="str">
        <f>IF(L273="","",IF(AND($AO$2=1,ISNA(MATCH(L273,'06-حزيران'!$L$2:$L$499,0))),"محذوف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IF(L274="","",IF($AO$1=1,IFERROR(MATCH(L274,'04-نيسان'!$L$2:$L$501,0),0),0))</f>
        <v/>
      </c>
      <c r="W274" t="str">
        <f t="shared" si="91"/>
        <v/>
      </c>
      <c r="X274" s="38" t="str">
        <f>IF(L274="","",IF(V274&gt;0,INDEX('04-نيسان'!$P$2:$P$501,V274),IF($AO$1=1,0,"")))</f>
        <v/>
      </c>
      <c r="Y274" s="38" t="str">
        <f t="shared" si="92"/>
        <v/>
      </c>
      <c r="Z274" s="39" t="str">
        <f>IF(L274="","",IF(V274&gt;0,INDEX('04-نيسان'!$Q$2:$Q$501,V274),IF($AO$1=1,0,"")))</f>
        <v/>
      </c>
      <c r="AA274" s="39" t="str">
        <f t="shared" si="93"/>
        <v/>
      </c>
      <c r="AB274" s="40" t="str">
        <f>IF(OR(L274="",V274=0),"",IF(AND(N(I274)&gt;0,N(INDEX('04-نيسان'!$I$2:$I$501,V274))&gt;0,INDEX('04-نيسان'!$F$2:$F$501,V274)=F274),N(I274)/N(INDEX('04-نيسان'!$I$2:$I$501,V274))-1,""))</f>
        <v/>
      </c>
      <c r="AC274" t="str">
        <f>IF(L274="","",IF(AND($AO$2=1,ISNA(MATCH(L274,'06-حزيران'!$L$2:$L$499,0))),"محذوف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IF(L275="","",IF($AO$1=1,IFERROR(MATCH(L275,'04-نيسان'!$L$2:$L$501,0),0),0))</f>
        <v/>
      </c>
      <c r="W275" t="str">
        <f t="shared" si="91"/>
        <v/>
      </c>
      <c r="X275" s="38" t="str">
        <f>IF(L275="","",IF(V275&gt;0,INDEX('04-نيسان'!$P$2:$P$501,V275),IF($AO$1=1,0,"")))</f>
        <v/>
      </c>
      <c r="Y275" s="38" t="str">
        <f t="shared" si="92"/>
        <v/>
      </c>
      <c r="Z275" s="39" t="str">
        <f>IF(L275="","",IF(V275&gt;0,INDEX('04-نيسان'!$Q$2:$Q$501,V275),IF($AO$1=1,0,"")))</f>
        <v/>
      </c>
      <c r="AA275" s="39" t="str">
        <f t="shared" si="93"/>
        <v/>
      </c>
      <c r="AB275" s="40" t="str">
        <f>IF(OR(L275="",V275=0),"",IF(AND(N(I275)&gt;0,N(INDEX('04-نيسان'!$I$2:$I$501,V275))&gt;0,INDEX('04-نيسان'!$F$2:$F$501,V275)=F275),N(I275)/N(INDEX('04-نيسان'!$I$2:$I$501,V275))-1,""))</f>
        <v/>
      </c>
      <c r="AC275" t="str">
        <f>IF(L275="","",IF(AND($AO$2=1,ISNA(MATCH(L275,'06-حزيران'!$L$2:$L$499,0))),"محذوف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IF(L276="","",IF($AO$1=1,IFERROR(MATCH(L276,'04-نيسان'!$L$2:$L$501,0),0),0))</f>
        <v/>
      </c>
      <c r="W276" t="str">
        <f t="shared" si="91"/>
        <v/>
      </c>
      <c r="X276" s="38" t="str">
        <f>IF(L276="","",IF(V276&gt;0,INDEX('04-نيسان'!$P$2:$P$501,V276),IF($AO$1=1,0,"")))</f>
        <v/>
      </c>
      <c r="Y276" s="38" t="str">
        <f t="shared" si="92"/>
        <v/>
      </c>
      <c r="Z276" s="39" t="str">
        <f>IF(L276="","",IF(V276&gt;0,INDEX('04-نيسان'!$Q$2:$Q$501,V276),IF($AO$1=1,0,"")))</f>
        <v/>
      </c>
      <c r="AA276" s="39" t="str">
        <f t="shared" si="93"/>
        <v/>
      </c>
      <c r="AB276" s="40" t="str">
        <f>IF(OR(L276="",V276=0),"",IF(AND(N(I276)&gt;0,N(INDEX('04-نيسان'!$I$2:$I$501,V276))&gt;0,INDEX('04-نيسان'!$F$2:$F$501,V276)=F276),N(I276)/N(INDEX('04-نيسان'!$I$2:$I$501,V276))-1,""))</f>
        <v/>
      </c>
      <c r="AC276" t="str">
        <f>IF(L276="","",IF(AND($AO$2=1,ISNA(MATCH(L276,'06-حزيران'!$L$2:$L$499,0))),"محذوف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IF(L277="","",IF($AO$1=1,IFERROR(MATCH(L277,'04-نيسان'!$L$2:$L$501,0),0),0))</f>
        <v/>
      </c>
      <c r="W277" t="str">
        <f t="shared" si="91"/>
        <v/>
      </c>
      <c r="X277" s="38" t="str">
        <f>IF(L277="","",IF(V277&gt;0,INDEX('04-نيسان'!$P$2:$P$501,V277),IF($AO$1=1,0,"")))</f>
        <v/>
      </c>
      <c r="Y277" s="38" t="str">
        <f t="shared" si="92"/>
        <v/>
      </c>
      <c r="Z277" s="39" t="str">
        <f>IF(L277="","",IF(V277&gt;0,INDEX('04-نيسان'!$Q$2:$Q$501,V277),IF($AO$1=1,0,"")))</f>
        <v/>
      </c>
      <c r="AA277" s="39" t="str">
        <f t="shared" si="93"/>
        <v/>
      </c>
      <c r="AB277" s="40" t="str">
        <f>IF(OR(L277="",V277=0),"",IF(AND(N(I277)&gt;0,N(INDEX('04-نيسان'!$I$2:$I$501,V277))&gt;0,INDEX('04-نيسان'!$F$2:$F$501,V277)=F277),N(I277)/N(INDEX('04-نيسان'!$I$2:$I$501,V277))-1,""))</f>
        <v/>
      </c>
      <c r="AC277" t="str">
        <f>IF(L277="","",IF(AND($AO$2=1,ISNA(MATCH(L277,'06-حزيران'!$L$2:$L$499,0))),"محذوف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IF(L278="","",IF($AO$1=1,IFERROR(MATCH(L278,'04-نيسان'!$L$2:$L$501,0),0),0))</f>
        <v/>
      </c>
      <c r="W278" t="str">
        <f t="shared" si="91"/>
        <v/>
      </c>
      <c r="X278" s="38" t="str">
        <f>IF(L278="","",IF(V278&gt;0,INDEX('04-نيسان'!$P$2:$P$501,V278),IF($AO$1=1,0,"")))</f>
        <v/>
      </c>
      <c r="Y278" s="38" t="str">
        <f t="shared" si="92"/>
        <v/>
      </c>
      <c r="Z278" s="39" t="str">
        <f>IF(L278="","",IF(V278&gt;0,INDEX('04-نيسان'!$Q$2:$Q$501,V278),IF($AO$1=1,0,"")))</f>
        <v/>
      </c>
      <c r="AA278" s="39" t="str">
        <f t="shared" si="93"/>
        <v/>
      </c>
      <c r="AB278" s="40" t="str">
        <f>IF(OR(L278="",V278=0),"",IF(AND(N(I278)&gt;0,N(INDEX('04-نيسان'!$I$2:$I$501,V278))&gt;0,INDEX('04-نيسان'!$F$2:$F$501,V278)=F278),N(I278)/N(INDEX('04-نيسان'!$I$2:$I$501,V278))-1,""))</f>
        <v/>
      </c>
      <c r="AC278" t="str">
        <f>IF(L278="","",IF(AND($AO$2=1,ISNA(MATCH(L278,'06-حزيران'!$L$2:$L$499,0))),"محذوف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IF(L279="","",IF($AO$1=1,IFERROR(MATCH(L279,'04-نيسان'!$L$2:$L$501,0),0),0))</f>
        <v/>
      </c>
      <c r="W279" t="str">
        <f t="shared" si="91"/>
        <v/>
      </c>
      <c r="X279" s="38" t="str">
        <f>IF(L279="","",IF(V279&gt;0,INDEX('04-نيسان'!$P$2:$P$501,V279),IF($AO$1=1,0,"")))</f>
        <v/>
      </c>
      <c r="Y279" s="38" t="str">
        <f t="shared" si="92"/>
        <v/>
      </c>
      <c r="Z279" s="39" t="str">
        <f>IF(L279="","",IF(V279&gt;0,INDEX('04-نيسان'!$Q$2:$Q$501,V279),IF($AO$1=1,0,"")))</f>
        <v/>
      </c>
      <c r="AA279" s="39" t="str">
        <f t="shared" si="93"/>
        <v/>
      </c>
      <c r="AB279" s="40" t="str">
        <f>IF(OR(L279="",V279=0),"",IF(AND(N(I279)&gt;0,N(INDEX('04-نيسان'!$I$2:$I$501,V279))&gt;0,INDEX('04-نيسان'!$F$2:$F$501,V279)=F279),N(I279)/N(INDEX('04-نيسان'!$I$2:$I$501,V279))-1,""))</f>
        <v/>
      </c>
      <c r="AC279" t="str">
        <f>IF(L279="","",IF(AND($AO$2=1,ISNA(MATCH(L279,'06-حزيران'!$L$2:$L$499,0))),"محذوف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IF(L280="","",IF($AO$1=1,IFERROR(MATCH(L280,'04-نيسان'!$L$2:$L$501,0),0),0))</f>
        <v/>
      </c>
      <c r="W280" t="str">
        <f t="shared" si="91"/>
        <v/>
      </c>
      <c r="X280" s="38" t="str">
        <f>IF(L280="","",IF(V280&gt;0,INDEX('04-نيسان'!$P$2:$P$501,V280),IF($AO$1=1,0,"")))</f>
        <v/>
      </c>
      <c r="Y280" s="38" t="str">
        <f t="shared" si="92"/>
        <v/>
      </c>
      <c r="Z280" s="39" t="str">
        <f>IF(L280="","",IF(V280&gt;0,INDEX('04-نيسان'!$Q$2:$Q$501,V280),IF($AO$1=1,0,"")))</f>
        <v/>
      </c>
      <c r="AA280" s="39" t="str">
        <f t="shared" si="93"/>
        <v/>
      </c>
      <c r="AB280" s="40" t="str">
        <f>IF(OR(L280="",V280=0),"",IF(AND(N(I280)&gt;0,N(INDEX('04-نيسان'!$I$2:$I$501,V280))&gt;0,INDEX('04-نيسان'!$F$2:$F$501,V280)=F280),N(I280)/N(INDEX('04-نيسان'!$I$2:$I$501,V280))-1,""))</f>
        <v/>
      </c>
      <c r="AC280" t="str">
        <f>IF(L280="","",IF(AND($AO$2=1,ISNA(MATCH(L280,'06-حزيران'!$L$2:$L$499,0))),"محذوف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IF(L281="","",IF($AO$1=1,IFERROR(MATCH(L281,'04-نيسان'!$L$2:$L$501,0),0),0))</f>
        <v/>
      </c>
      <c r="W281" t="str">
        <f t="shared" si="91"/>
        <v/>
      </c>
      <c r="X281" s="38" t="str">
        <f>IF(L281="","",IF(V281&gt;0,INDEX('04-نيسان'!$P$2:$P$501,V281),IF($AO$1=1,0,"")))</f>
        <v/>
      </c>
      <c r="Y281" s="38" t="str">
        <f t="shared" si="92"/>
        <v/>
      </c>
      <c r="Z281" s="39" t="str">
        <f>IF(L281="","",IF(V281&gt;0,INDEX('04-نيسان'!$Q$2:$Q$501,V281),IF($AO$1=1,0,"")))</f>
        <v/>
      </c>
      <c r="AA281" s="39" t="str">
        <f t="shared" si="93"/>
        <v/>
      </c>
      <c r="AB281" s="40" t="str">
        <f>IF(OR(L281="",V281=0),"",IF(AND(N(I281)&gt;0,N(INDEX('04-نيسان'!$I$2:$I$501,V281))&gt;0,INDEX('04-نيسان'!$F$2:$F$501,V281)=F281),N(I281)/N(INDEX('04-نيسان'!$I$2:$I$501,V281))-1,""))</f>
        <v/>
      </c>
      <c r="AC281" t="str">
        <f>IF(L281="","",IF(AND($AO$2=1,ISNA(MATCH(L281,'06-حزيران'!$L$2:$L$499,0))),"محذوف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IF(L282="","",IF($AO$1=1,IFERROR(MATCH(L282,'04-نيسان'!$L$2:$L$501,0),0),0))</f>
        <v/>
      </c>
      <c r="W282" t="str">
        <f t="shared" si="91"/>
        <v/>
      </c>
      <c r="X282" s="38" t="str">
        <f>IF(L282="","",IF(V282&gt;0,INDEX('04-نيسان'!$P$2:$P$501,V282),IF($AO$1=1,0,"")))</f>
        <v/>
      </c>
      <c r="Y282" s="38" t="str">
        <f t="shared" si="92"/>
        <v/>
      </c>
      <c r="Z282" s="39" t="str">
        <f>IF(L282="","",IF(V282&gt;0,INDEX('04-نيسان'!$Q$2:$Q$501,V282),IF($AO$1=1,0,"")))</f>
        <v/>
      </c>
      <c r="AA282" s="39" t="str">
        <f t="shared" si="93"/>
        <v/>
      </c>
      <c r="AB282" s="40" t="str">
        <f>IF(OR(L282="",V282=0),"",IF(AND(N(I282)&gt;0,N(INDEX('04-نيسان'!$I$2:$I$501,V282))&gt;0,INDEX('04-نيسان'!$F$2:$F$501,V282)=F282),N(I282)/N(INDEX('04-نيسان'!$I$2:$I$501,V282))-1,""))</f>
        <v/>
      </c>
      <c r="AC282" t="str">
        <f>IF(L282="","",IF(AND($AO$2=1,ISNA(MATCH(L282,'06-حزيران'!$L$2:$L$499,0))),"محذوف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IF(L283="","",IF($AO$1=1,IFERROR(MATCH(L283,'04-نيسان'!$L$2:$L$501,0),0),0))</f>
        <v/>
      </c>
      <c r="W283" t="str">
        <f t="shared" si="91"/>
        <v/>
      </c>
      <c r="X283" s="38" t="str">
        <f>IF(L283="","",IF(V283&gt;0,INDEX('04-نيسان'!$P$2:$P$501,V283),IF($AO$1=1,0,"")))</f>
        <v/>
      </c>
      <c r="Y283" s="38" t="str">
        <f t="shared" si="92"/>
        <v/>
      </c>
      <c r="Z283" s="39" t="str">
        <f>IF(L283="","",IF(V283&gt;0,INDEX('04-نيسان'!$Q$2:$Q$501,V283),IF($AO$1=1,0,"")))</f>
        <v/>
      </c>
      <c r="AA283" s="39" t="str">
        <f t="shared" si="93"/>
        <v/>
      </c>
      <c r="AB283" s="40" t="str">
        <f>IF(OR(L283="",V283=0),"",IF(AND(N(I283)&gt;0,N(INDEX('04-نيسان'!$I$2:$I$501,V283))&gt;0,INDEX('04-نيسان'!$F$2:$F$501,V283)=F283),N(I283)/N(INDEX('04-نيسان'!$I$2:$I$501,V283))-1,""))</f>
        <v/>
      </c>
      <c r="AC283" t="str">
        <f>IF(L283="","",IF(AND($AO$2=1,ISNA(MATCH(L283,'06-حزيران'!$L$2:$L$499,0))),"محذوف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IF(L284="","",IF($AO$1=1,IFERROR(MATCH(L284,'04-نيسان'!$L$2:$L$501,0),0),0))</f>
        <v/>
      </c>
      <c r="W284" t="str">
        <f t="shared" si="91"/>
        <v/>
      </c>
      <c r="X284" s="38" t="str">
        <f>IF(L284="","",IF(V284&gt;0,INDEX('04-نيسان'!$P$2:$P$501,V284),IF($AO$1=1,0,"")))</f>
        <v/>
      </c>
      <c r="Y284" s="38" t="str">
        <f t="shared" si="92"/>
        <v/>
      </c>
      <c r="Z284" s="39" t="str">
        <f>IF(L284="","",IF(V284&gt;0,INDEX('04-نيسان'!$Q$2:$Q$501,V284),IF($AO$1=1,0,"")))</f>
        <v/>
      </c>
      <c r="AA284" s="39" t="str">
        <f t="shared" si="93"/>
        <v/>
      </c>
      <c r="AB284" s="40" t="str">
        <f>IF(OR(L284="",V284=0),"",IF(AND(N(I284)&gt;0,N(INDEX('04-نيسان'!$I$2:$I$501,V284))&gt;0,INDEX('04-نيسان'!$F$2:$F$501,V284)=F284),N(I284)/N(INDEX('04-نيسان'!$I$2:$I$501,V284))-1,""))</f>
        <v/>
      </c>
      <c r="AC284" t="str">
        <f>IF(L284="","",IF(AND($AO$2=1,ISNA(MATCH(L284,'06-حزيران'!$L$2:$L$499,0))),"محذوف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IF(L285="","",IF($AO$1=1,IFERROR(MATCH(L285,'04-نيسان'!$L$2:$L$501,0),0),0))</f>
        <v/>
      </c>
      <c r="W285" t="str">
        <f t="shared" si="91"/>
        <v/>
      </c>
      <c r="X285" s="38" t="str">
        <f>IF(L285="","",IF(V285&gt;0,INDEX('04-نيسان'!$P$2:$P$501,V285),IF($AO$1=1,0,"")))</f>
        <v/>
      </c>
      <c r="Y285" s="38" t="str">
        <f t="shared" si="92"/>
        <v/>
      </c>
      <c r="Z285" s="39" t="str">
        <f>IF(L285="","",IF(V285&gt;0,INDEX('04-نيسان'!$Q$2:$Q$501,V285),IF($AO$1=1,0,"")))</f>
        <v/>
      </c>
      <c r="AA285" s="39" t="str">
        <f t="shared" si="93"/>
        <v/>
      </c>
      <c r="AB285" s="40" t="str">
        <f>IF(OR(L285="",V285=0),"",IF(AND(N(I285)&gt;0,N(INDEX('04-نيسان'!$I$2:$I$501,V285))&gt;0,INDEX('04-نيسان'!$F$2:$F$501,V285)=F285),N(I285)/N(INDEX('04-نيسان'!$I$2:$I$501,V285))-1,""))</f>
        <v/>
      </c>
      <c r="AC285" t="str">
        <f>IF(L285="","",IF(AND($AO$2=1,ISNA(MATCH(L285,'06-حزيران'!$L$2:$L$499,0))),"محذوف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IF(L286="","",IF($AO$1=1,IFERROR(MATCH(L286,'04-نيسان'!$L$2:$L$501,0),0),0))</f>
        <v/>
      </c>
      <c r="W286" t="str">
        <f t="shared" si="91"/>
        <v/>
      </c>
      <c r="X286" s="38" t="str">
        <f>IF(L286="","",IF(V286&gt;0,INDEX('04-نيسان'!$P$2:$P$501,V286),IF($AO$1=1,0,"")))</f>
        <v/>
      </c>
      <c r="Y286" s="38" t="str">
        <f t="shared" si="92"/>
        <v/>
      </c>
      <c r="Z286" s="39" t="str">
        <f>IF(L286="","",IF(V286&gt;0,INDEX('04-نيسان'!$Q$2:$Q$501,V286),IF($AO$1=1,0,"")))</f>
        <v/>
      </c>
      <c r="AA286" s="39" t="str">
        <f t="shared" si="93"/>
        <v/>
      </c>
      <c r="AB286" s="40" t="str">
        <f>IF(OR(L286="",V286=0),"",IF(AND(N(I286)&gt;0,N(INDEX('04-نيسان'!$I$2:$I$501,V286))&gt;0,INDEX('04-نيسان'!$F$2:$F$501,V286)=F286),N(I286)/N(INDEX('04-نيسان'!$I$2:$I$501,V286))-1,""))</f>
        <v/>
      </c>
      <c r="AC286" t="str">
        <f>IF(L286="","",IF(AND($AO$2=1,ISNA(MATCH(L286,'06-حزيران'!$L$2:$L$499,0))),"محذوف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IF(L287="","",IF($AO$1=1,IFERROR(MATCH(L287,'04-نيسان'!$L$2:$L$501,0),0),0))</f>
        <v/>
      </c>
      <c r="W287" t="str">
        <f t="shared" si="91"/>
        <v/>
      </c>
      <c r="X287" s="38" t="str">
        <f>IF(L287="","",IF(V287&gt;0,INDEX('04-نيسان'!$P$2:$P$501,V287),IF($AO$1=1,0,"")))</f>
        <v/>
      </c>
      <c r="Y287" s="38" t="str">
        <f t="shared" si="92"/>
        <v/>
      </c>
      <c r="Z287" s="39" t="str">
        <f>IF(L287="","",IF(V287&gt;0,INDEX('04-نيسان'!$Q$2:$Q$501,V287),IF($AO$1=1,0,"")))</f>
        <v/>
      </c>
      <c r="AA287" s="39" t="str">
        <f t="shared" si="93"/>
        <v/>
      </c>
      <c r="AB287" s="40" t="str">
        <f>IF(OR(L287="",V287=0),"",IF(AND(N(I287)&gt;0,N(INDEX('04-نيسان'!$I$2:$I$501,V287))&gt;0,INDEX('04-نيسان'!$F$2:$F$501,V287)=F287),N(I287)/N(INDEX('04-نيسان'!$I$2:$I$501,V287))-1,""))</f>
        <v/>
      </c>
      <c r="AC287" t="str">
        <f>IF(L287="","",IF(AND($AO$2=1,ISNA(MATCH(L287,'06-حزيران'!$L$2:$L$499,0))),"محذوف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IF(L288="","",IF($AO$1=1,IFERROR(MATCH(L288,'04-نيسان'!$L$2:$L$501,0),0),0))</f>
        <v/>
      </c>
      <c r="W288" t="str">
        <f t="shared" si="91"/>
        <v/>
      </c>
      <c r="X288" s="38" t="str">
        <f>IF(L288="","",IF(V288&gt;0,INDEX('04-نيسان'!$P$2:$P$501,V288),IF($AO$1=1,0,"")))</f>
        <v/>
      </c>
      <c r="Y288" s="38" t="str">
        <f t="shared" si="92"/>
        <v/>
      </c>
      <c r="Z288" s="39" t="str">
        <f>IF(L288="","",IF(V288&gt;0,INDEX('04-نيسان'!$Q$2:$Q$501,V288),IF($AO$1=1,0,"")))</f>
        <v/>
      </c>
      <c r="AA288" s="39" t="str">
        <f t="shared" si="93"/>
        <v/>
      </c>
      <c r="AB288" s="40" t="str">
        <f>IF(OR(L288="",V288=0),"",IF(AND(N(I288)&gt;0,N(INDEX('04-نيسان'!$I$2:$I$501,V288))&gt;0,INDEX('04-نيسان'!$F$2:$F$501,V288)=F288),N(I288)/N(INDEX('04-نيسان'!$I$2:$I$501,V288))-1,""))</f>
        <v/>
      </c>
      <c r="AC288" t="str">
        <f>IF(L288="","",IF(AND($AO$2=1,ISNA(MATCH(L288,'06-حزيران'!$L$2:$L$499,0))),"محذوف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IF(L289="","",IF($AO$1=1,IFERROR(MATCH(L289,'04-نيسان'!$L$2:$L$501,0),0),0))</f>
        <v/>
      </c>
      <c r="W289" t="str">
        <f t="shared" si="91"/>
        <v/>
      </c>
      <c r="X289" s="38" t="str">
        <f>IF(L289="","",IF(V289&gt;0,INDEX('04-نيسان'!$P$2:$P$501,V289),IF($AO$1=1,0,"")))</f>
        <v/>
      </c>
      <c r="Y289" s="38" t="str">
        <f t="shared" si="92"/>
        <v/>
      </c>
      <c r="Z289" s="39" t="str">
        <f>IF(L289="","",IF(V289&gt;0,INDEX('04-نيسان'!$Q$2:$Q$501,V289),IF($AO$1=1,0,"")))</f>
        <v/>
      </c>
      <c r="AA289" s="39" t="str">
        <f t="shared" si="93"/>
        <v/>
      </c>
      <c r="AB289" s="40" t="str">
        <f>IF(OR(L289="",V289=0),"",IF(AND(N(I289)&gt;0,N(INDEX('04-نيسان'!$I$2:$I$501,V289))&gt;0,INDEX('04-نيسان'!$F$2:$F$501,V289)=F289),N(I289)/N(INDEX('04-نيسان'!$I$2:$I$501,V289))-1,""))</f>
        <v/>
      </c>
      <c r="AC289" t="str">
        <f>IF(L289="","",IF(AND($AO$2=1,ISNA(MATCH(L289,'06-حزيران'!$L$2:$L$499,0))),"محذوف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IF(L290="","",IF($AO$1=1,IFERROR(MATCH(L290,'04-نيسان'!$L$2:$L$501,0),0),0))</f>
        <v/>
      </c>
      <c r="W290" t="str">
        <f t="shared" si="91"/>
        <v/>
      </c>
      <c r="X290" s="38" t="str">
        <f>IF(L290="","",IF(V290&gt;0,INDEX('04-نيسان'!$P$2:$P$501,V290),IF($AO$1=1,0,"")))</f>
        <v/>
      </c>
      <c r="Y290" s="38" t="str">
        <f t="shared" si="92"/>
        <v/>
      </c>
      <c r="Z290" s="39" t="str">
        <f>IF(L290="","",IF(V290&gt;0,INDEX('04-نيسان'!$Q$2:$Q$501,V290),IF($AO$1=1,0,"")))</f>
        <v/>
      </c>
      <c r="AA290" s="39" t="str">
        <f t="shared" si="93"/>
        <v/>
      </c>
      <c r="AB290" s="40" t="str">
        <f>IF(OR(L290="",V290=0),"",IF(AND(N(I290)&gt;0,N(INDEX('04-نيسان'!$I$2:$I$501,V290))&gt;0,INDEX('04-نيسان'!$F$2:$F$501,V290)=F290),N(I290)/N(INDEX('04-نيسان'!$I$2:$I$501,V290))-1,""))</f>
        <v/>
      </c>
      <c r="AC290" t="str">
        <f>IF(L290="","",IF(AND($AO$2=1,ISNA(MATCH(L290,'06-حزيران'!$L$2:$L$499,0))),"محذوف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IF(L291="","",IF($AO$1=1,IFERROR(MATCH(L291,'04-نيسان'!$L$2:$L$501,0),0),0))</f>
        <v/>
      </c>
      <c r="W291" t="str">
        <f t="shared" si="91"/>
        <v/>
      </c>
      <c r="X291" s="38" t="str">
        <f>IF(L291="","",IF(V291&gt;0,INDEX('04-نيسان'!$P$2:$P$501,V291),IF($AO$1=1,0,"")))</f>
        <v/>
      </c>
      <c r="Y291" s="38" t="str">
        <f t="shared" si="92"/>
        <v/>
      </c>
      <c r="Z291" s="39" t="str">
        <f>IF(L291="","",IF(V291&gt;0,INDEX('04-نيسان'!$Q$2:$Q$501,V291),IF($AO$1=1,0,"")))</f>
        <v/>
      </c>
      <c r="AA291" s="39" t="str">
        <f t="shared" si="93"/>
        <v/>
      </c>
      <c r="AB291" s="40" t="str">
        <f>IF(OR(L291="",V291=0),"",IF(AND(N(I291)&gt;0,N(INDEX('04-نيسان'!$I$2:$I$501,V291))&gt;0,INDEX('04-نيسان'!$F$2:$F$501,V291)=F291),N(I291)/N(INDEX('04-نيسان'!$I$2:$I$501,V291))-1,""))</f>
        <v/>
      </c>
      <c r="AC291" t="str">
        <f>IF(L291="","",IF(AND($AO$2=1,ISNA(MATCH(L291,'06-حزيران'!$L$2:$L$499,0))),"محذوف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IF(L292="","",IF($AO$1=1,IFERROR(MATCH(L292,'04-نيسان'!$L$2:$L$501,0),0),0))</f>
        <v/>
      </c>
      <c r="W292" t="str">
        <f t="shared" si="91"/>
        <v/>
      </c>
      <c r="X292" s="38" t="str">
        <f>IF(L292="","",IF(V292&gt;0,INDEX('04-نيسان'!$P$2:$P$501,V292),IF($AO$1=1,0,"")))</f>
        <v/>
      </c>
      <c r="Y292" s="38" t="str">
        <f t="shared" si="92"/>
        <v/>
      </c>
      <c r="Z292" s="39" t="str">
        <f>IF(L292="","",IF(V292&gt;0,INDEX('04-نيسان'!$Q$2:$Q$501,V292),IF($AO$1=1,0,"")))</f>
        <v/>
      </c>
      <c r="AA292" s="39" t="str">
        <f t="shared" si="93"/>
        <v/>
      </c>
      <c r="AB292" s="40" t="str">
        <f>IF(OR(L292="",V292=0),"",IF(AND(N(I292)&gt;0,N(INDEX('04-نيسان'!$I$2:$I$501,V292))&gt;0,INDEX('04-نيسان'!$F$2:$F$501,V292)=F292),N(I292)/N(INDEX('04-نيسان'!$I$2:$I$501,V292))-1,""))</f>
        <v/>
      </c>
      <c r="AC292" t="str">
        <f>IF(L292="","",IF(AND($AO$2=1,ISNA(MATCH(L292,'06-حزيران'!$L$2:$L$499,0))),"محذوف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IF(L293="","",IF($AO$1=1,IFERROR(MATCH(L293,'04-نيسان'!$L$2:$L$501,0),0),0))</f>
        <v/>
      </c>
      <c r="W293" t="str">
        <f t="shared" si="91"/>
        <v/>
      </c>
      <c r="X293" s="38" t="str">
        <f>IF(L293="","",IF(V293&gt;0,INDEX('04-نيسان'!$P$2:$P$501,V293),IF($AO$1=1,0,"")))</f>
        <v/>
      </c>
      <c r="Y293" s="38" t="str">
        <f t="shared" si="92"/>
        <v/>
      </c>
      <c r="Z293" s="39" t="str">
        <f>IF(L293="","",IF(V293&gt;0,INDEX('04-نيسان'!$Q$2:$Q$501,V293),IF($AO$1=1,0,"")))</f>
        <v/>
      </c>
      <c r="AA293" s="39" t="str">
        <f t="shared" si="93"/>
        <v/>
      </c>
      <c r="AB293" s="40" t="str">
        <f>IF(OR(L293="",V293=0),"",IF(AND(N(I293)&gt;0,N(INDEX('04-نيسان'!$I$2:$I$501,V293))&gt;0,INDEX('04-نيسان'!$F$2:$F$501,V293)=F293),N(I293)/N(INDEX('04-نيسان'!$I$2:$I$501,V293))-1,""))</f>
        <v/>
      </c>
      <c r="AC293" t="str">
        <f>IF(L293="","",IF(AND($AO$2=1,ISNA(MATCH(L293,'06-حزيران'!$L$2:$L$499,0))),"محذوف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IF(L294="","",IF($AO$1=1,IFERROR(MATCH(L294,'04-نيسان'!$L$2:$L$501,0),0),0))</f>
        <v/>
      </c>
      <c r="W294" t="str">
        <f t="shared" si="91"/>
        <v/>
      </c>
      <c r="X294" s="38" t="str">
        <f>IF(L294="","",IF(V294&gt;0,INDEX('04-نيسان'!$P$2:$P$501,V294),IF($AO$1=1,0,"")))</f>
        <v/>
      </c>
      <c r="Y294" s="38" t="str">
        <f t="shared" si="92"/>
        <v/>
      </c>
      <c r="Z294" s="39" t="str">
        <f>IF(L294="","",IF(V294&gt;0,INDEX('04-نيسان'!$Q$2:$Q$501,V294),IF($AO$1=1,0,"")))</f>
        <v/>
      </c>
      <c r="AA294" s="39" t="str">
        <f t="shared" si="93"/>
        <v/>
      </c>
      <c r="AB294" s="40" t="str">
        <f>IF(OR(L294="",V294=0),"",IF(AND(N(I294)&gt;0,N(INDEX('04-نيسان'!$I$2:$I$501,V294))&gt;0,INDEX('04-نيسان'!$F$2:$F$501,V294)=F294),N(I294)/N(INDEX('04-نيسان'!$I$2:$I$501,V294))-1,""))</f>
        <v/>
      </c>
      <c r="AC294" t="str">
        <f>IF(L294="","",IF(AND($AO$2=1,ISNA(MATCH(L294,'06-حزيران'!$L$2:$L$499,0))),"محذوف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IF(L295="","",IF($AO$1=1,IFERROR(MATCH(L295,'04-نيسان'!$L$2:$L$501,0),0),0))</f>
        <v/>
      </c>
      <c r="W295" t="str">
        <f t="shared" si="91"/>
        <v/>
      </c>
      <c r="X295" s="38" t="str">
        <f>IF(L295="","",IF(V295&gt;0,INDEX('04-نيسان'!$P$2:$P$501,V295),IF($AO$1=1,0,"")))</f>
        <v/>
      </c>
      <c r="Y295" s="38" t="str">
        <f t="shared" si="92"/>
        <v/>
      </c>
      <c r="Z295" s="39" t="str">
        <f>IF(L295="","",IF(V295&gt;0,INDEX('04-نيسان'!$Q$2:$Q$501,V295),IF($AO$1=1,0,"")))</f>
        <v/>
      </c>
      <c r="AA295" s="39" t="str">
        <f t="shared" si="93"/>
        <v/>
      </c>
      <c r="AB295" s="40" t="str">
        <f>IF(OR(L295="",V295=0),"",IF(AND(N(I295)&gt;0,N(INDEX('04-نيسان'!$I$2:$I$501,V295))&gt;0,INDEX('04-نيسان'!$F$2:$F$501,V295)=F295),N(I295)/N(INDEX('04-نيسان'!$I$2:$I$501,V295))-1,""))</f>
        <v/>
      </c>
      <c r="AC295" t="str">
        <f>IF(L295="","",IF(AND($AO$2=1,ISNA(MATCH(L295,'06-حزيران'!$L$2:$L$499,0))),"محذوف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IF(L296="","",IF($AO$1=1,IFERROR(MATCH(L296,'04-نيسان'!$L$2:$L$501,0),0),0))</f>
        <v/>
      </c>
      <c r="W296" t="str">
        <f t="shared" si="91"/>
        <v/>
      </c>
      <c r="X296" s="38" t="str">
        <f>IF(L296="","",IF(V296&gt;0,INDEX('04-نيسان'!$P$2:$P$501,V296),IF($AO$1=1,0,"")))</f>
        <v/>
      </c>
      <c r="Y296" s="38" t="str">
        <f t="shared" si="92"/>
        <v/>
      </c>
      <c r="Z296" s="39" t="str">
        <f>IF(L296="","",IF(V296&gt;0,INDEX('04-نيسان'!$Q$2:$Q$501,V296),IF($AO$1=1,0,"")))</f>
        <v/>
      </c>
      <c r="AA296" s="39" t="str">
        <f t="shared" si="93"/>
        <v/>
      </c>
      <c r="AB296" s="40" t="str">
        <f>IF(OR(L296="",V296=0),"",IF(AND(N(I296)&gt;0,N(INDEX('04-نيسان'!$I$2:$I$501,V296))&gt;0,INDEX('04-نيسان'!$F$2:$F$501,V296)=F296),N(I296)/N(INDEX('04-نيسان'!$I$2:$I$501,V296))-1,""))</f>
        <v/>
      </c>
      <c r="AC296" t="str">
        <f>IF(L296="","",IF(AND($AO$2=1,ISNA(MATCH(L296,'06-حزيران'!$L$2:$L$499,0))),"محذوف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IF(L297="","",IF($AO$1=1,IFERROR(MATCH(L297,'04-نيسان'!$L$2:$L$501,0),0),0))</f>
        <v/>
      </c>
      <c r="W297" t="str">
        <f t="shared" si="91"/>
        <v/>
      </c>
      <c r="X297" s="38" t="str">
        <f>IF(L297="","",IF(V297&gt;0,INDEX('04-نيسان'!$P$2:$P$501,V297),IF($AO$1=1,0,"")))</f>
        <v/>
      </c>
      <c r="Y297" s="38" t="str">
        <f t="shared" si="92"/>
        <v/>
      </c>
      <c r="Z297" s="39" t="str">
        <f>IF(L297="","",IF(V297&gt;0,INDEX('04-نيسان'!$Q$2:$Q$501,V297),IF($AO$1=1,0,"")))</f>
        <v/>
      </c>
      <c r="AA297" s="39" t="str">
        <f t="shared" si="93"/>
        <v/>
      </c>
      <c r="AB297" s="40" t="str">
        <f>IF(OR(L297="",V297=0),"",IF(AND(N(I297)&gt;0,N(INDEX('04-نيسان'!$I$2:$I$501,V297))&gt;0,INDEX('04-نيسان'!$F$2:$F$501,V297)=F297),N(I297)/N(INDEX('04-نيسان'!$I$2:$I$501,V297))-1,""))</f>
        <v/>
      </c>
      <c r="AC297" t="str">
        <f>IF(L297="","",IF(AND($AO$2=1,ISNA(MATCH(L297,'06-حزيران'!$L$2:$L$499,0))),"محذوف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IF(L298="","",IF($AO$1=1,IFERROR(MATCH(L298,'04-نيسان'!$L$2:$L$501,0),0),0))</f>
        <v/>
      </c>
      <c r="W298" t="str">
        <f t="shared" si="91"/>
        <v/>
      </c>
      <c r="X298" s="38" t="str">
        <f>IF(L298="","",IF(V298&gt;0,INDEX('04-نيسان'!$P$2:$P$501,V298),IF($AO$1=1,0,"")))</f>
        <v/>
      </c>
      <c r="Y298" s="38" t="str">
        <f t="shared" si="92"/>
        <v/>
      </c>
      <c r="Z298" s="39" t="str">
        <f>IF(L298="","",IF(V298&gt;0,INDEX('04-نيسان'!$Q$2:$Q$501,V298),IF($AO$1=1,0,"")))</f>
        <v/>
      </c>
      <c r="AA298" s="39" t="str">
        <f t="shared" si="93"/>
        <v/>
      </c>
      <c r="AB298" s="40" t="str">
        <f>IF(OR(L298="",V298=0),"",IF(AND(N(I298)&gt;0,N(INDEX('04-نيسان'!$I$2:$I$501,V298))&gt;0,INDEX('04-نيسان'!$F$2:$F$501,V298)=F298),N(I298)/N(INDEX('04-نيسان'!$I$2:$I$501,V298))-1,""))</f>
        <v/>
      </c>
      <c r="AC298" t="str">
        <f>IF(L298="","",IF(AND($AO$2=1,ISNA(MATCH(L298,'06-حزيران'!$L$2:$L$499,0))),"محذوف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IF(L299="","",IF($AO$1=1,IFERROR(MATCH(L299,'04-نيسان'!$L$2:$L$501,0),0),0))</f>
        <v/>
      </c>
      <c r="W299" t="str">
        <f t="shared" si="91"/>
        <v/>
      </c>
      <c r="X299" s="38" t="str">
        <f>IF(L299="","",IF(V299&gt;0,INDEX('04-نيسان'!$P$2:$P$501,V299),IF($AO$1=1,0,"")))</f>
        <v/>
      </c>
      <c r="Y299" s="38" t="str">
        <f t="shared" si="92"/>
        <v/>
      </c>
      <c r="Z299" s="39" t="str">
        <f>IF(L299="","",IF(V299&gt;0,INDEX('04-نيسان'!$Q$2:$Q$501,V299),IF($AO$1=1,0,"")))</f>
        <v/>
      </c>
      <c r="AA299" s="39" t="str">
        <f t="shared" si="93"/>
        <v/>
      </c>
      <c r="AB299" s="40" t="str">
        <f>IF(OR(L299="",V299=0),"",IF(AND(N(I299)&gt;0,N(INDEX('04-نيسان'!$I$2:$I$501,V299))&gt;0,INDEX('04-نيسان'!$F$2:$F$501,V299)=F299),N(I299)/N(INDEX('04-نيسان'!$I$2:$I$501,V299))-1,""))</f>
        <v/>
      </c>
      <c r="AC299" t="str">
        <f>IF(L299="","",IF(AND($AO$2=1,ISNA(MATCH(L299,'06-حزيران'!$L$2:$L$499,0))),"محذوف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IF(L300="","",IF($AO$1=1,IFERROR(MATCH(L300,'04-نيسان'!$L$2:$L$501,0),0),0))</f>
        <v/>
      </c>
      <c r="W300" t="str">
        <f t="shared" si="91"/>
        <v/>
      </c>
      <c r="X300" s="38" t="str">
        <f>IF(L300="","",IF(V300&gt;0,INDEX('04-نيسان'!$P$2:$P$501,V300),IF($AO$1=1,0,"")))</f>
        <v/>
      </c>
      <c r="Y300" s="38" t="str">
        <f t="shared" si="92"/>
        <v/>
      </c>
      <c r="Z300" s="39" t="str">
        <f>IF(L300="","",IF(V300&gt;0,INDEX('04-نيسان'!$Q$2:$Q$501,V300),IF($AO$1=1,0,"")))</f>
        <v/>
      </c>
      <c r="AA300" s="39" t="str">
        <f t="shared" si="93"/>
        <v/>
      </c>
      <c r="AB300" s="40" t="str">
        <f>IF(OR(L300="",V300=0),"",IF(AND(N(I300)&gt;0,N(INDEX('04-نيسان'!$I$2:$I$501,V300))&gt;0,INDEX('04-نيسان'!$F$2:$F$501,V300)=F300),N(I300)/N(INDEX('04-نيسان'!$I$2:$I$501,V300))-1,""))</f>
        <v/>
      </c>
      <c r="AC300" t="str">
        <f>IF(L300="","",IF(AND($AO$2=1,ISNA(MATCH(L300,'06-حزيران'!$L$2:$L$499,0))),"محذوف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IF(L301="","",IF($AO$1=1,IFERROR(MATCH(L301,'04-نيسان'!$L$2:$L$501,0),0),0))</f>
        <v/>
      </c>
      <c r="W301" t="str">
        <f t="shared" si="91"/>
        <v/>
      </c>
      <c r="X301" s="38" t="str">
        <f>IF(L301="","",IF(V301&gt;0,INDEX('04-نيسان'!$P$2:$P$501,V301),IF($AO$1=1,0,"")))</f>
        <v/>
      </c>
      <c r="Y301" s="38" t="str">
        <f t="shared" si="92"/>
        <v/>
      </c>
      <c r="Z301" s="39" t="str">
        <f>IF(L301="","",IF(V301&gt;0,INDEX('04-نيسان'!$Q$2:$Q$501,V301),IF($AO$1=1,0,"")))</f>
        <v/>
      </c>
      <c r="AA301" s="39" t="str">
        <f t="shared" si="93"/>
        <v/>
      </c>
      <c r="AB301" s="40" t="str">
        <f>IF(OR(L301="",V301=0),"",IF(AND(N(I301)&gt;0,N(INDEX('04-نيسان'!$I$2:$I$501,V301))&gt;0,INDEX('04-نيسان'!$F$2:$F$501,V301)=F301),N(I301)/N(INDEX('04-نيسان'!$I$2:$I$501,V301))-1,""))</f>
        <v/>
      </c>
      <c r="AC301" t="str">
        <f>IF(L301="","",IF(AND($AO$2=1,ISNA(MATCH(L301,'06-حزيران'!$L$2:$L$499,0))),"محذوف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IF(L302="","",IF($AO$1=1,IFERROR(MATCH(L302,'04-نيسان'!$L$2:$L$501,0),0),0))</f>
        <v/>
      </c>
      <c r="W302" t="str">
        <f t="shared" si="91"/>
        <v/>
      </c>
      <c r="X302" s="38" t="str">
        <f>IF(L302="","",IF(V302&gt;0,INDEX('04-نيسان'!$P$2:$P$501,V302),IF($AO$1=1,0,"")))</f>
        <v/>
      </c>
      <c r="Y302" s="38" t="str">
        <f t="shared" si="92"/>
        <v/>
      </c>
      <c r="Z302" s="39" t="str">
        <f>IF(L302="","",IF(V302&gt;0,INDEX('04-نيسان'!$Q$2:$Q$501,V302),IF($AO$1=1,0,"")))</f>
        <v/>
      </c>
      <c r="AA302" s="39" t="str">
        <f t="shared" si="93"/>
        <v/>
      </c>
      <c r="AB302" s="40" t="str">
        <f>IF(OR(L302="",V302=0),"",IF(AND(N(I302)&gt;0,N(INDEX('04-نيسان'!$I$2:$I$501,V302))&gt;0,INDEX('04-نيسان'!$F$2:$F$501,V302)=F302),N(I302)/N(INDEX('04-نيسان'!$I$2:$I$501,V302))-1,""))</f>
        <v/>
      </c>
      <c r="AC302" t="str">
        <f>IF(L302="","",IF(AND($AO$2=1,ISNA(MATCH(L302,'06-حزيران'!$L$2:$L$499,0))),"محذوف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IF(L303="","",IF($AO$1=1,IFERROR(MATCH(L303,'04-نيسان'!$L$2:$L$501,0),0),0))</f>
        <v/>
      </c>
      <c r="W303" t="str">
        <f t="shared" si="91"/>
        <v/>
      </c>
      <c r="X303" s="38" t="str">
        <f>IF(L303="","",IF(V303&gt;0,INDEX('04-نيسان'!$P$2:$P$501,V303),IF($AO$1=1,0,"")))</f>
        <v/>
      </c>
      <c r="Y303" s="38" t="str">
        <f t="shared" si="92"/>
        <v/>
      </c>
      <c r="Z303" s="39" t="str">
        <f>IF(L303="","",IF(V303&gt;0,INDEX('04-نيسان'!$Q$2:$Q$501,V303),IF($AO$1=1,0,"")))</f>
        <v/>
      </c>
      <c r="AA303" s="39" t="str">
        <f t="shared" si="93"/>
        <v/>
      </c>
      <c r="AB303" s="40" t="str">
        <f>IF(OR(L303="",V303=0),"",IF(AND(N(I303)&gt;0,N(INDEX('04-نيسان'!$I$2:$I$501,V303))&gt;0,INDEX('04-نيسان'!$F$2:$F$501,V303)=F303),N(I303)/N(INDEX('04-نيسان'!$I$2:$I$501,V303))-1,""))</f>
        <v/>
      </c>
      <c r="AC303" t="str">
        <f>IF(L303="","",IF(AND($AO$2=1,ISNA(MATCH(L303,'06-حزيران'!$L$2:$L$499,0))),"محذوف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IF(L304="","",IF($AO$1=1,IFERROR(MATCH(L304,'04-نيسان'!$L$2:$L$501,0),0),0))</f>
        <v/>
      </c>
      <c r="W304" t="str">
        <f t="shared" si="91"/>
        <v/>
      </c>
      <c r="X304" s="38" t="str">
        <f>IF(L304="","",IF(V304&gt;0,INDEX('04-نيسان'!$P$2:$P$501,V304),IF($AO$1=1,0,"")))</f>
        <v/>
      </c>
      <c r="Y304" s="38" t="str">
        <f t="shared" si="92"/>
        <v/>
      </c>
      <c r="Z304" s="39" t="str">
        <f>IF(L304="","",IF(V304&gt;0,INDEX('04-نيسان'!$Q$2:$Q$501,V304),IF($AO$1=1,0,"")))</f>
        <v/>
      </c>
      <c r="AA304" s="39" t="str">
        <f t="shared" si="93"/>
        <v/>
      </c>
      <c r="AB304" s="40" t="str">
        <f>IF(OR(L304="",V304=0),"",IF(AND(N(I304)&gt;0,N(INDEX('04-نيسان'!$I$2:$I$501,V304))&gt;0,INDEX('04-نيسان'!$F$2:$F$501,V304)=F304),N(I304)/N(INDEX('04-نيسان'!$I$2:$I$501,V304))-1,""))</f>
        <v/>
      </c>
      <c r="AC304" t="str">
        <f>IF(L304="","",IF(AND($AO$2=1,ISNA(MATCH(L304,'06-حزيران'!$L$2:$L$499,0))),"محذوف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IF(L305="","",IF($AO$1=1,IFERROR(MATCH(L305,'04-نيسان'!$L$2:$L$501,0),0),0))</f>
        <v/>
      </c>
      <c r="W305" t="str">
        <f t="shared" si="91"/>
        <v/>
      </c>
      <c r="X305" s="38" t="str">
        <f>IF(L305="","",IF(V305&gt;0,INDEX('04-نيسان'!$P$2:$P$501,V305),IF($AO$1=1,0,"")))</f>
        <v/>
      </c>
      <c r="Y305" s="38" t="str">
        <f t="shared" si="92"/>
        <v/>
      </c>
      <c r="Z305" s="39" t="str">
        <f>IF(L305="","",IF(V305&gt;0,INDEX('04-نيسان'!$Q$2:$Q$501,V305),IF($AO$1=1,0,"")))</f>
        <v/>
      </c>
      <c r="AA305" s="39" t="str">
        <f t="shared" si="93"/>
        <v/>
      </c>
      <c r="AB305" s="40" t="str">
        <f>IF(OR(L305="",V305=0),"",IF(AND(N(I305)&gt;0,N(INDEX('04-نيسان'!$I$2:$I$501,V305))&gt;0,INDEX('04-نيسان'!$F$2:$F$501,V305)=F305),N(I305)/N(INDEX('04-نيسان'!$I$2:$I$501,V305))-1,""))</f>
        <v/>
      </c>
      <c r="AC305" t="str">
        <f>IF(L305="","",IF(AND($AO$2=1,ISNA(MATCH(L305,'06-حزيران'!$L$2:$L$499,0))),"محذوف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IF(L306="","",IF($AO$1=1,IFERROR(MATCH(L306,'04-نيسان'!$L$2:$L$501,0),0),0))</f>
        <v/>
      </c>
      <c r="W306" t="str">
        <f t="shared" si="91"/>
        <v/>
      </c>
      <c r="X306" s="38" t="str">
        <f>IF(L306="","",IF(V306&gt;0,INDEX('04-نيسان'!$P$2:$P$501,V306),IF($AO$1=1,0,"")))</f>
        <v/>
      </c>
      <c r="Y306" s="38" t="str">
        <f t="shared" si="92"/>
        <v/>
      </c>
      <c r="Z306" s="39" t="str">
        <f>IF(L306="","",IF(V306&gt;0,INDEX('04-نيسان'!$Q$2:$Q$501,V306),IF($AO$1=1,0,"")))</f>
        <v/>
      </c>
      <c r="AA306" s="39" t="str">
        <f t="shared" si="93"/>
        <v/>
      </c>
      <c r="AB306" s="40" t="str">
        <f>IF(OR(L306="",V306=0),"",IF(AND(N(I306)&gt;0,N(INDEX('04-نيسان'!$I$2:$I$501,V306))&gt;0,INDEX('04-نيسان'!$F$2:$F$501,V306)=F306),N(I306)/N(INDEX('04-نيسان'!$I$2:$I$501,V306))-1,""))</f>
        <v/>
      </c>
      <c r="AC306" t="str">
        <f>IF(L306="","",IF(AND($AO$2=1,ISNA(MATCH(L306,'06-حزيران'!$L$2:$L$499,0))),"محذوف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IF(L307="","",IF($AO$1=1,IFERROR(MATCH(L307,'04-نيسان'!$L$2:$L$501,0),0),0))</f>
        <v/>
      </c>
      <c r="W307" t="str">
        <f t="shared" si="91"/>
        <v/>
      </c>
      <c r="X307" s="38" t="str">
        <f>IF(L307="","",IF(V307&gt;0,INDEX('04-نيسان'!$P$2:$P$501,V307),IF($AO$1=1,0,"")))</f>
        <v/>
      </c>
      <c r="Y307" s="38" t="str">
        <f t="shared" si="92"/>
        <v/>
      </c>
      <c r="Z307" s="39" t="str">
        <f>IF(L307="","",IF(V307&gt;0,INDEX('04-نيسان'!$Q$2:$Q$501,V307),IF($AO$1=1,0,"")))</f>
        <v/>
      </c>
      <c r="AA307" s="39" t="str">
        <f t="shared" si="93"/>
        <v/>
      </c>
      <c r="AB307" s="40" t="str">
        <f>IF(OR(L307="",V307=0),"",IF(AND(N(I307)&gt;0,N(INDEX('04-نيسان'!$I$2:$I$501,V307))&gt;0,INDEX('04-نيسان'!$F$2:$F$501,V307)=F307),N(I307)/N(INDEX('04-نيسان'!$I$2:$I$501,V307))-1,""))</f>
        <v/>
      </c>
      <c r="AC307" t="str">
        <f>IF(L307="","",IF(AND($AO$2=1,ISNA(MATCH(L307,'06-حزيران'!$L$2:$L$499,0))),"محذوف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IF(L308="","",IF($AO$1=1,IFERROR(MATCH(L308,'04-نيسان'!$L$2:$L$501,0),0),0))</f>
        <v/>
      </c>
      <c r="W308" t="str">
        <f t="shared" si="91"/>
        <v/>
      </c>
      <c r="X308" s="38" t="str">
        <f>IF(L308="","",IF(V308&gt;0,INDEX('04-نيسان'!$P$2:$P$501,V308),IF($AO$1=1,0,"")))</f>
        <v/>
      </c>
      <c r="Y308" s="38" t="str">
        <f t="shared" si="92"/>
        <v/>
      </c>
      <c r="Z308" s="39" t="str">
        <f>IF(L308="","",IF(V308&gt;0,INDEX('04-نيسان'!$Q$2:$Q$501,V308),IF($AO$1=1,0,"")))</f>
        <v/>
      </c>
      <c r="AA308" s="39" t="str">
        <f t="shared" si="93"/>
        <v/>
      </c>
      <c r="AB308" s="40" t="str">
        <f>IF(OR(L308="",V308=0),"",IF(AND(N(I308)&gt;0,N(INDEX('04-نيسان'!$I$2:$I$501,V308))&gt;0,INDEX('04-نيسان'!$F$2:$F$501,V308)=F308),N(I308)/N(INDEX('04-نيسان'!$I$2:$I$501,V308))-1,""))</f>
        <v/>
      </c>
      <c r="AC308" t="str">
        <f>IF(L308="","",IF(AND($AO$2=1,ISNA(MATCH(L308,'06-حزيران'!$L$2:$L$499,0))),"محذوف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IF(L309="","",IF($AO$1=1,IFERROR(MATCH(L309,'04-نيسان'!$L$2:$L$501,0),0),0))</f>
        <v/>
      </c>
      <c r="W309" t="str">
        <f t="shared" si="91"/>
        <v/>
      </c>
      <c r="X309" s="38" t="str">
        <f>IF(L309="","",IF(V309&gt;0,INDEX('04-نيسان'!$P$2:$P$501,V309),IF($AO$1=1,0,"")))</f>
        <v/>
      </c>
      <c r="Y309" s="38" t="str">
        <f t="shared" si="92"/>
        <v/>
      </c>
      <c r="Z309" s="39" t="str">
        <f>IF(L309="","",IF(V309&gt;0,INDEX('04-نيسان'!$Q$2:$Q$501,V309),IF($AO$1=1,0,"")))</f>
        <v/>
      </c>
      <c r="AA309" s="39" t="str">
        <f t="shared" si="93"/>
        <v/>
      </c>
      <c r="AB309" s="40" t="str">
        <f>IF(OR(L309="",V309=0),"",IF(AND(N(I309)&gt;0,N(INDEX('04-نيسان'!$I$2:$I$501,V309))&gt;0,INDEX('04-نيسان'!$F$2:$F$501,V309)=F309),N(I309)/N(INDEX('04-نيسان'!$I$2:$I$501,V309))-1,""))</f>
        <v/>
      </c>
      <c r="AC309" t="str">
        <f>IF(L309="","",IF(AND($AO$2=1,ISNA(MATCH(L309,'06-حزيران'!$L$2:$L$499,0))),"محذوف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IF(L310="","",IF($AO$1=1,IFERROR(MATCH(L310,'04-نيسان'!$L$2:$L$501,0),0),0))</f>
        <v/>
      </c>
      <c r="W310" t="str">
        <f t="shared" si="91"/>
        <v/>
      </c>
      <c r="X310" s="38" t="str">
        <f>IF(L310="","",IF(V310&gt;0,INDEX('04-نيسان'!$P$2:$P$501,V310),IF($AO$1=1,0,"")))</f>
        <v/>
      </c>
      <c r="Y310" s="38" t="str">
        <f t="shared" si="92"/>
        <v/>
      </c>
      <c r="Z310" s="39" t="str">
        <f>IF(L310="","",IF(V310&gt;0,INDEX('04-نيسان'!$Q$2:$Q$501,V310),IF($AO$1=1,0,"")))</f>
        <v/>
      </c>
      <c r="AA310" s="39" t="str">
        <f t="shared" si="93"/>
        <v/>
      </c>
      <c r="AB310" s="40" t="str">
        <f>IF(OR(L310="",V310=0),"",IF(AND(N(I310)&gt;0,N(INDEX('04-نيسان'!$I$2:$I$501,V310))&gt;0,INDEX('04-نيسان'!$F$2:$F$501,V310)=F310),N(I310)/N(INDEX('04-نيسان'!$I$2:$I$501,V310))-1,""))</f>
        <v/>
      </c>
      <c r="AC310" t="str">
        <f>IF(L310="","",IF(AND($AO$2=1,ISNA(MATCH(L310,'06-حزيران'!$L$2:$L$499,0))),"محذوف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IF(L311="","",IF($AO$1=1,IFERROR(MATCH(L311,'04-نيسان'!$L$2:$L$501,0),0),0))</f>
        <v/>
      </c>
      <c r="W311" t="str">
        <f t="shared" si="91"/>
        <v/>
      </c>
      <c r="X311" s="38" t="str">
        <f>IF(L311="","",IF(V311&gt;0,INDEX('04-نيسان'!$P$2:$P$501,V311),IF($AO$1=1,0,"")))</f>
        <v/>
      </c>
      <c r="Y311" s="38" t="str">
        <f t="shared" si="92"/>
        <v/>
      </c>
      <c r="Z311" s="39" t="str">
        <f>IF(L311="","",IF(V311&gt;0,INDEX('04-نيسان'!$Q$2:$Q$501,V311),IF($AO$1=1,0,"")))</f>
        <v/>
      </c>
      <c r="AA311" s="39" t="str">
        <f t="shared" si="93"/>
        <v/>
      </c>
      <c r="AB311" s="40" t="str">
        <f>IF(OR(L311="",V311=0),"",IF(AND(N(I311)&gt;0,N(INDEX('04-نيسان'!$I$2:$I$501,V311))&gt;0,INDEX('04-نيسان'!$F$2:$F$501,V311)=F311),N(I311)/N(INDEX('04-نيسان'!$I$2:$I$501,V311))-1,""))</f>
        <v/>
      </c>
      <c r="AC311" t="str">
        <f>IF(L311="","",IF(AND($AO$2=1,ISNA(MATCH(L311,'06-حزيران'!$L$2:$L$499,0))),"محذوف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IF(L312="","",IF($AO$1=1,IFERROR(MATCH(L312,'04-نيسان'!$L$2:$L$501,0),0),0))</f>
        <v/>
      </c>
      <c r="W312" t="str">
        <f t="shared" si="91"/>
        <v/>
      </c>
      <c r="X312" s="38" t="str">
        <f>IF(L312="","",IF(V312&gt;0,INDEX('04-نيسان'!$P$2:$P$501,V312),IF($AO$1=1,0,"")))</f>
        <v/>
      </c>
      <c r="Y312" s="38" t="str">
        <f t="shared" si="92"/>
        <v/>
      </c>
      <c r="Z312" s="39" t="str">
        <f>IF(L312="","",IF(V312&gt;0,INDEX('04-نيسان'!$Q$2:$Q$501,V312),IF($AO$1=1,0,"")))</f>
        <v/>
      </c>
      <c r="AA312" s="39" t="str">
        <f t="shared" si="93"/>
        <v/>
      </c>
      <c r="AB312" s="40" t="str">
        <f>IF(OR(L312="",V312=0),"",IF(AND(N(I312)&gt;0,N(INDEX('04-نيسان'!$I$2:$I$501,V312))&gt;0,INDEX('04-نيسان'!$F$2:$F$501,V312)=F312),N(I312)/N(INDEX('04-نيسان'!$I$2:$I$501,V312))-1,""))</f>
        <v/>
      </c>
      <c r="AC312" t="str">
        <f>IF(L312="","",IF(AND($AO$2=1,ISNA(MATCH(L312,'06-حزيران'!$L$2:$L$499,0))),"محذوف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IF(L313="","",IF($AO$1=1,IFERROR(MATCH(L313,'04-نيسان'!$L$2:$L$501,0),0),0))</f>
        <v/>
      </c>
      <c r="W313" t="str">
        <f t="shared" si="91"/>
        <v/>
      </c>
      <c r="X313" s="38" t="str">
        <f>IF(L313="","",IF(V313&gt;0,INDEX('04-نيسان'!$P$2:$P$501,V313),IF($AO$1=1,0,"")))</f>
        <v/>
      </c>
      <c r="Y313" s="38" t="str">
        <f t="shared" si="92"/>
        <v/>
      </c>
      <c r="Z313" s="39" t="str">
        <f>IF(L313="","",IF(V313&gt;0,INDEX('04-نيسان'!$Q$2:$Q$501,V313),IF($AO$1=1,0,"")))</f>
        <v/>
      </c>
      <c r="AA313" s="39" t="str">
        <f t="shared" si="93"/>
        <v/>
      </c>
      <c r="AB313" s="40" t="str">
        <f>IF(OR(L313="",V313=0),"",IF(AND(N(I313)&gt;0,N(INDEX('04-نيسان'!$I$2:$I$501,V313))&gt;0,INDEX('04-نيسان'!$F$2:$F$501,V313)=F313),N(I313)/N(INDEX('04-نيسان'!$I$2:$I$501,V313))-1,""))</f>
        <v/>
      </c>
      <c r="AC313" t="str">
        <f>IF(L313="","",IF(AND($AO$2=1,ISNA(MATCH(L313,'06-حزيران'!$L$2:$L$499,0))),"محذوف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IF(L314="","",IF($AO$1=1,IFERROR(MATCH(L314,'04-نيسان'!$L$2:$L$501,0),0),0))</f>
        <v/>
      </c>
      <c r="W314" t="str">
        <f t="shared" si="91"/>
        <v/>
      </c>
      <c r="X314" s="38" t="str">
        <f>IF(L314="","",IF(V314&gt;0,INDEX('04-نيسان'!$P$2:$P$501,V314),IF($AO$1=1,0,"")))</f>
        <v/>
      </c>
      <c r="Y314" s="38" t="str">
        <f t="shared" si="92"/>
        <v/>
      </c>
      <c r="Z314" s="39" t="str">
        <f>IF(L314="","",IF(V314&gt;0,INDEX('04-نيسان'!$Q$2:$Q$501,V314),IF($AO$1=1,0,"")))</f>
        <v/>
      </c>
      <c r="AA314" s="39" t="str">
        <f t="shared" si="93"/>
        <v/>
      </c>
      <c r="AB314" s="40" t="str">
        <f>IF(OR(L314="",V314=0),"",IF(AND(N(I314)&gt;0,N(INDEX('04-نيسان'!$I$2:$I$501,V314))&gt;0,INDEX('04-نيسان'!$F$2:$F$501,V314)=F314),N(I314)/N(INDEX('04-نيسان'!$I$2:$I$501,V314))-1,""))</f>
        <v/>
      </c>
      <c r="AC314" t="str">
        <f>IF(L314="","",IF(AND($AO$2=1,ISNA(MATCH(L314,'06-حزيران'!$L$2:$L$499,0))),"محذوف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IF(L315="","",IF($AO$1=1,IFERROR(MATCH(L315,'04-نيسان'!$L$2:$L$501,0),0),0))</f>
        <v/>
      </c>
      <c r="W315" t="str">
        <f t="shared" si="91"/>
        <v/>
      </c>
      <c r="X315" s="38" t="str">
        <f>IF(L315="","",IF(V315&gt;0,INDEX('04-نيسان'!$P$2:$P$501,V315),IF($AO$1=1,0,"")))</f>
        <v/>
      </c>
      <c r="Y315" s="38" t="str">
        <f t="shared" si="92"/>
        <v/>
      </c>
      <c r="Z315" s="39" t="str">
        <f>IF(L315="","",IF(V315&gt;0,INDEX('04-نيسان'!$Q$2:$Q$501,V315),IF($AO$1=1,0,"")))</f>
        <v/>
      </c>
      <c r="AA315" s="39" t="str">
        <f t="shared" si="93"/>
        <v/>
      </c>
      <c r="AB315" s="40" t="str">
        <f>IF(OR(L315="",V315=0),"",IF(AND(N(I315)&gt;0,N(INDEX('04-نيسان'!$I$2:$I$501,V315))&gt;0,INDEX('04-نيسان'!$F$2:$F$501,V315)=F315),N(I315)/N(INDEX('04-نيسان'!$I$2:$I$501,V315))-1,""))</f>
        <v/>
      </c>
      <c r="AC315" t="str">
        <f>IF(L315="","",IF(AND($AO$2=1,ISNA(MATCH(L315,'06-حزيران'!$L$2:$L$499,0))),"محذوف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IF(L316="","",IF($AO$1=1,IFERROR(MATCH(L316,'04-نيسان'!$L$2:$L$501,0),0),0))</f>
        <v/>
      </c>
      <c r="W316" t="str">
        <f t="shared" si="91"/>
        <v/>
      </c>
      <c r="X316" s="38" t="str">
        <f>IF(L316="","",IF(V316&gt;0,INDEX('04-نيسان'!$P$2:$P$501,V316),IF($AO$1=1,0,"")))</f>
        <v/>
      </c>
      <c r="Y316" s="38" t="str">
        <f t="shared" si="92"/>
        <v/>
      </c>
      <c r="Z316" s="39" t="str">
        <f>IF(L316="","",IF(V316&gt;0,INDEX('04-نيسان'!$Q$2:$Q$501,V316),IF($AO$1=1,0,"")))</f>
        <v/>
      </c>
      <c r="AA316" s="39" t="str">
        <f t="shared" si="93"/>
        <v/>
      </c>
      <c r="AB316" s="40" t="str">
        <f>IF(OR(L316="",V316=0),"",IF(AND(N(I316)&gt;0,N(INDEX('04-نيسان'!$I$2:$I$501,V316))&gt;0,INDEX('04-نيسان'!$F$2:$F$501,V316)=F316),N(I316)/N(INDEX('04-نيسان'!$I$2:$I$501,V316))-1,""))</f>
        <v/>
      </c>
      <c r="AC316" t="str">
        <f>IF(L316="","",IF(AND($AO$2=1,ISNA(MATCH(L316,'06-حزيران'!$L$2:$L$499,0))),"محذوف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IF(L317="","",IF($AO$1=1,IFERROR(MATCH(L317,'04-نيسان'!$L$2:$L$501,0),0),0))</f>
        <v/>
      </c>
      <c r="W317" t="str">
        <f t="shared" si="91"/>
        <v/>
      </c>
      <c r="X317" s="38" t="str">
        <f>IF(L317="","",IF(V317&gt;0,INDEX('04-نيسان'!$P$2:$P$501,V317),IF($AO$1=1,0,"")))</f>
        <v/>
      </c>
      <c r="Y317" s="38" t="str">
        <f t="shared" si="92"/>
        <v/>
      </c>
      <c r="Z317" s="39" t="str">
        <f>IF(L317="","",IF(V317&gt;0,INDEX('04-نيسان'!$Q$2:$Q$501,V317),IF($AO$1=1,0,"")))</f>
        <v/>
      </c>
      <c r="AA317" s="39" t="str">
        <f t="shared" si="93"/>
        <v/>
      </c>
      <c r="AB317" s="40" t="str">
        <f>IF(OR(L317="",V317=0),"",IF(AND(N(I317)&gt;0,N(INDEX('04-نيسان'!$I$2:$I$501,V317))&gt;0,INDEX('04-نيسان'!$F$2:$F$501,V317)=F317),N(I317)/N(INDEX('04-نيسان'!$I$2:$I$501,V317))-1,""))</f>
        <v/>
      </c>
      <c r="AC317" t="str">
        <f>IF(L317="","",IF(AND($AO$2=1,ISNA(MATCH(L317,'06-حزيران'!$L$2:$L$499,0))),"محذوف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IF(L318="","",IF($AO$1=1,IFERROR(MATCH(L318,'04-نيسان'!$L$2:$L$501,0),0),0))</f>
        <v/>
      </c>
      <c r="W318" t="str">
        <f t="shared" si="91"/>
        <v/>
      </c>
      <c r="X318" s="38" t="str">
        <f>IF(L318="","",IF(V318&gt;0,INDEX('04-نيسان'!$P$2:$P$501,V318),IF($AO$1=1,0,"")))</f>
        <v/>
      </c>
      <c r="Y318" s="38" t="str">
        <f t="shared" si="92"/>
        <v/>
      </c>
      <c r="Z318" s="39" t="str">
        <f>IF(L318="","",IF(V318&gt;0,INDEX('04-نيسان'!$Q$2:$Q$501,V318),IF($AO$1=1,0,"")))</f>
        <v/>
      </c>
      <c r="AA318" s="39" t="str">
        <f t="shared" si="93"/>
        <v/>
      </c>
      <c r="AB318" s="40" t="str">
        <f>IF(OR(L318="",V318=0),"",IF(AND(N(I318)&gt;0,N(INDEX('04-نيسان'!$I$2:$I$501,V318))&gt;0,INDEX('04-نيسان'!$F$2:$F$501,V318)=F318),N(I318)/N(INDEX('04-نيسان'!$I$2:$I$501,V318))-1,""))</f>
        <v/>
      </c>
      <c r="AC318" t="str">
        <f>IF(L318="","",IF(AND($AO$2=1,ISNA(MATCH(L318,'06-حزيران'!$L$2:$L$499,0))),"محذوف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IF(L319="","",IF($AO$1=1,IFERROR(MATCH(L319,'04-نيسان'!$L$2:$L$501,0),0),0))</f>
        <v/>
      </c>
      <c r="W319" t="str">
        <f t="shared" si="91"/>
        <v/>
      </c>
      <c r="X319" s="38" t="str">
        <f>IF(L319="","",IF(V319&gt;0,INDEX('04-نيسان'!$P$2:$P$501,V319),IF($AO$1=1,0,"")))</f>
        <v/>
      </c>
      <c r="Y319" s="38" t="str">
        <f t="shared" si="92"/>
        <v/>
      </c>
      <c r="Z319" s="39" t="str">
        <f>IF(L319="","",IF(V319&gt;0,INDEX('04-نيسان'!$Q$2:$Q$501,V319),IF($AO$1=1,0,"")))</f>
        <v/>
      </c>
      <c r="AA319" s="39" t="str">
        <f t="shared" si="93"/>
        <v/>
      </c>
      <c r="AB319" s="40" t="str">
        <f>IF(OR(L319="",V319=0),"",IF(AND(N(I319)&gt;0,N(INDEX('04-نيسان'!$I$2:$I$501,V319))&gt;0,INDEX('04-نيسان'!$F$2:$F$501,V319)=F319),N(I319)/N(INDEX('04-نيسان'!$I$2:$I$501,V319))-1,""))</f>
        <v/>
      </c>
      <c r="AC319" t="str">
        <f>IF(L319="","",IF(AND($AO$2=1,ISNA(MATCH(L319,'06-حزيران'!$L$2:$L$499,0))),"محذوف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IF(L320="","",IF($AO$1=1,IFERROR(MATCH(L320,'04-نيسان'!$L$2:$L$501,0),0),0))</f>
        <v/>
      </c>
      <c r="W320" t="str">
        <f t="shared" si="91"/>
        <v/>
      </c>
      <c r="X320" s="38" t="str">
        <f>IF(L320="","",IF(V320&gt;0,INDEX('04-نيسان'!$P$2:$P$501,V320),IF($AO$1=1,0,"")))</f>
        <v/>
      </c>
      <c r="Y320" s="38" t="str">
        <f t="shared" si="92"/>
        <v/>
      </c>
      <c r="Z320" s="39" t="str">
        <f>IF(L320="","",IF(V320&gt;0,INDEX('04-نيسان'!$Q$2:$Q$501,V320),IF($AO$1=1,0,"")))</f>
        <v/>
      </c>
      <c r="AA320" s="39" t="str">
        <f t="shared" si="93"/>
        <v/>
      </c>
      <c r="AB320" s="40" t="str">
        <f>IF(OR(L320="",V320=0),"",IF(AND(N(I320)&gt;0,N(INDEX('04-نيسان'!$I$2:$I$501,V320))&gt;0,INDEX('04-نيسان'!$F$2:$F$501,V320)=F320),N(I320)/N(INDEX('04-نيسان'!$I$2:$I$501,V320))-1,""))</f>
        <v/>
      </c>
      <c r="AC320" t="str">
        <f>IF(L320="","",IF(AND($AO$2=1,ISNA(MATCH(L320,'06-حزيران'!$L$2:$L$499,0))),"محذوف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IF(L321="","",IF($AO$1=1,IFERROR(MATCH(L321,'04-نيسان'!$L$2:$L$501,0),0),0))</f>
        <v/>
      </c>
      <c r="W321" t="str">
        <f t="shared" si="91"/>
        <v/>
      </c>
      <c r="X321" s="38" t="str">
        <f>IF(L321="","",IF(V321&gt;0,INDEX('04-نيسان'!$P$2:$P$501,V321),IF($AO$1=1,0,"")))</f>
        <v/>
      </c>
      <c r="Y321" s="38" t="str">
        <f t="shared" si="92"/>
        <v/>
      </c>
      <c r="Z321" s="39" t="str">
        <f>IF(L321="","",IF(V321&gt;0,INDEX('04-نيسان'!$Q$2:$Q$501,V321),IF($AO$1=1,0,"")))</f>
        <v/>
      </c>
      <c r="AA321" s="39" t="str">
        <f t="shared" si="93"/>
        <v/>
      </c>
      <c r="AB321" s="40" t="str">
        <f>IF(OR(L321="",V321=0),"",IF(AND(N(I321)&gt;0,N(INDEX('04-نيسان'!$I$2:$I$501,V321))&gt;0,INDEX('04-نيسان'!$F$2:$F$501,V321)=F321),N(I321)/N(INDEX('04-نيسان'!$I$2:$I$501,V321))-1,""))</f>
        <v/>
      </c>
      <c r="AC321" t="str">
        <f>IF(L321="","",IF(AND($AO$2=1,ISNA(MATCH(L321,'06-حزيران'!$L$2:$L$499,0))),"محذوف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IF(L322="","",IF($AO$1=1,IFERROR(MATCH(L322,'04-نيسان'!$L$2:$L$501,0),0),0))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IF(L322="","",IF(V322&gt;0,INDEX('04-نيسان'!$P$2:$P$501,V322),IF($AO$1=1,0,"")))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IF(L322="","",IF(V322&gt;0,INDEX('04-نيسان'!$Q$2:$Q$501,V322),IF($AO$1=1,0,"")))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IF(OR(L322="",V322=0),"",IF(AND(N(I322)&gt;0,N(INDEX('04-نيسان'!$I$2:$I$501,V322))&gt;0,INDEX('04-نيسان'!$F$2:$F$501,V322)=F322),N(I322)/N(INDEX('04-نيسان'!$I$2:$I$501,V322))-1,""))</f>
        <v/>
      </c>
      <c r="AC322" t="str">
        <f>IF(L322="","",IF(AND($AO$2=1,ISNA(MATCH(L322,'06-حزيران'!$L$2:$L$499,0))),"محذوف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IF(L323="","",IF($AO$1=1,IFERROR(MATCH(L323,'04-نيسان'!$L$2:$L$501,0),0),0))</f>
        <v/>
      </c>
      <c r="W323" t="str">
        <f t="shared" si="111"/>
        <v/>
      </c>
      <c r="X323" s="38" t="str">
        <f>IF(L323="","",IF(V323&gt;0,INDEX('04-نيسان'!$P$2:$P$501,V323),IF($AO$1=1,0,"")))</f>
        <v/>
      </c>
      <c r="Y323" s="38" t="str">
        <f t="shared" si="112"/>
        <v/>
      </c>
      <c r="Z323" s="39" t="str">
        <f>IF(L323="","",IF(V323&gt;0,INDEX('04-نيسان'!$Q$2:$Q$501,V323),IF($AO$1=1,0,"")))</f>
        <v/>
      </c>
      <c r="AA323" s="39" t="str">
        <f t="shared" si="113"/>
        <v/>
      </c>
      <c r="AB323" s="40" t="str">
        <f>IF(OR(L323="",V323=0),"",IF(AND(N(I323)&gt;0,N(INDEX('04-نيسان'!$I$2:$I$501,V323))&gt;0,INDEX('04-نيسان'!$F$2:$F$501,V323)=F323),N(I323)/N(INDEX('04-نيسان'!$I$2:$I$501,V323))-1,""))</f>
        <v/>
      </c>
      <c r="AC323" t="str">
        <f>IF(L323="","",IF(AND($AO$2=1,ISNA(MATCH(L323,'06-حزيران'!$L$2:$L$499,0))),"محذوف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IF(L324="","",IF($AO$1=1,IFERROR(MATCH(L324,'04-نيسان'!$L$2:$L$501,0),0),0))</f>
        <v/>
      </c>
      <c r="W324" t="str">
        <f t="shared" si="111"/>
        <v/>
      </c>
      <c r="X324" s="38" t="str">
        <f>IF(L324="","",IF(V324&gt;0,INDEX('04-نيسان'!$P$2:$P$501,V324),IF($AO$1=1,0,"")))</f>
        <v/>
      </c>
      <c r="Y324" s="38" t="str">
        <f t="shared" si="112"/>
        <v/>
      </c>
      <c r="Z324" s="39" t="str">
        <f>IF(L324="","",IF(V324&gt;0,INDEX('04-نيسان'!$Q$2:$Q$501,V324),IF($AO$1=1,0,"")))</f>
        <v/>
      </c>
      <c r="AA324" s="39" t="str">
        <f t="shared" si="113"/>
        <v/>
      </c>
      <c r="AB324" s="40" t="str">
        <f>IF(OR(L324="",V324=0),"",IF(AND(N(I324)&gt;0,N(INDEX('04-نيسان'!$I$2:$I$501,V324))&gt;0,INDEX('04-نيسان'!$F$2:$F$501,V324)=F324),N(I324)/N(INDEX('04-نيسان'!$I$2:$I$501,V324))-1,""))</f>
        <v/>
      </c>
      <c r="AC324" t="str">
        <f>IF(L324="","",IF(AND($AO$2=1,ISNA(MATCH(L324,'06-حزيران'!$L$2:$L$499,0))),"محذوف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IF(L325="","",IF($AO$1=1,IFERROR(MATCH(L325,'04-نيسان'!$L$2:$L$501,0),0),0))</f>
        <v/>
      </c>
      <c r="W325" t="str">
        <f t="shared" si="111"/>
        <v/>
      </c>
      <c r="X325" s="38" t="str">
        <f>IF(L325="","",IF(V325&gt;0,INDEX('04-نيسان'!$P$2:$P$501,V325),IF($AO$1=1,0,"")))</f>
        <v/>
      </c>
      <c r="Y325" s="38" t="str">
        <f t="shared" si="112"/>
        <v/>
      </c>
      <c r="Z325" s="39" t="str">
        <f>IF(L325="","",IF(V325&gt;0,INDEX('04-نيسان'!$Q$2:$Q$501,V325),IF($AO$1=1,0,"")))</f>
        <v/>
      </c>
      <c r="AA325" s="39" t="str">
        <f t="shared" si="113"/>
        <v/>
      </c>
      <c r="AB325" s="40" t="str">
        <f>IF(OR(L325="",V325=0),"",IF(AND(N(I325)&gt;0,N(INDEX('04-نيسان'!$I$2:$I$501,V325))&gt;0,INDEX('04-نيسان'!$F$2:$F$501,V325)=F325),N(I325)/N(INDEX('04-نيسان'!$I$2:$I$501,V325))-1,""))</f>
        <v/>
      </c>
      <c r="AC325" t="str">
        <f>IF(L325="","",IF(AND($AO$2=1,ISNA(MATCH(L325,'06-حزيران'!$L$2:$L$499,0))),"محذوف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IF(L326="","",IF($AO$1=1,IFERROR(MATCH(L326,'04-نيسان'!$L$2:$L$501,0),0),0))</f>
        <v/>
      </c>
      <c r="W326" t="str">
        <f t="shared" si="111"/>
        <v/>
      </c>
      <c r="X326" s="38" t="str">
        <f>IF(L326="","",IF(V326&gt;0,INDEX('04-نيسان'!$P$2:$P$501,V326),IF($AO$1=1,0,"")))</f>
        <v/>
      </c>
      <c r="Y326" s="38" t="str">
        <f t="shared" si="112"/>
        <v/>
      </c>
      <c r="Z326" s="39" t="str">
        <f>IF(L326="","",IF(V326&gt;0,INDEX('04-نيسان'!$Q$2:$Q$501,V326),IF($AO$1=1,0,"")))</f>
        <v/>
      </c>
      <c r="AA326" s="39" t="str">
        <f t="shared" si="113"/>
        <v/>
      </c>
      <c r="AB326" s="40" t="str">
        <f>IF(OR(L326="",V326=0),"",IF(AND(N(I326)&gt;0,N(INDEX('04-نيسان'!$I$2:$I$501,V326))&gt;0,INDEX('04-نيسان'!$F$2:$F$501,V326)=F326),N(I326)/N(INDEX('04-نيسان'!$I$2:$I$501,V326))-1,""))</f>
        <v/>
      </c>
      <c r="AC326" t="str">
        <f>IF(L326="","",IF(AND($AO$2=1,ISNA(MATCH(L326,'06-حزيران'!$L$2:$L$499,0))),"محذوف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IF(L327="","",IF($AO$1=1,IFERROR(MATCH(L327,'04-نيسان'!$L$2:$L$501,0),0),0))</f>
        <v/>
      </c>
      <c r="W327" t="str">
        <f t="shared" si="111"/>
        <v/>
      </c>
      <c r="X327" s="38" t="str">
        <f>IF(L327="","",IF(V327&gt;0,INDEX('04-نيسان'!$P$2:$P$501,V327),IF($AO$1=1,0,"")))</f>
        <v/>
      </c>
      <c r="Y327" s="38" t="str">
        <f t="shared" si="112"/>
        <v/>
      </c>
      <c r="Z327" s="39" t="str">
        <f>IF(L327="","",IF(V327&gt;0,INDEX('04-نيسان'!$Q$2:$Q$501,V327),IF($AO$1=1,0,"")))</f>
        <v/>
      </c>
      <c r="AA327" s="39" t="str">
        <f t="shared" si="113"/>
        <v/>
      </c>
      <c r="AB327" s="40" t="str">
        <f>IF(OR(L327="",V327=0),"",IF(AND(N(I327)&gt;0,N(INDEX('04-نيسان'!$I$2:$I$501,V327))&gt;0,INDEX('04-نيسان'!$F$2:$F$501,V327)=F327),N(I327)/N(INDEX('04-نيسان'!$I$2:$I$501,V327))-1,""))</f>
        <v/>
      </c>
      <c r="AC327" t="str">
        <f>IF(L327="","",IF(AND($AO$2=1,ISNA(MATCH(L327,'06-حزيران'!$L$2:$L$499,0))),"محذوف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IF(L328="","",IF($AO$1=1,IFERROR(MATCH(L328,'04-نيسان'!$L$2:$L$501,0),0),0))</f>
        <v/>
      </c>
      <c r="W328" t="str">
        <f t="shared" si="111"/>
        <v/>
      </c>
      <c r="X328" s="38" t="str">
        <f>IF(L328="","",IF(V328&gt;0,INDEX('04-نيسان'!$P$2:$P$501,V328),IF($AO$1=1,0,"")))</f>
        <v/>
      </c>
      <c r="Y328" s="38" t="str">
        <f t="shared" si="112"/>
        <v/>
      </c>
      <c r="Z328" s="39" t="str">
        <f>IF(L328="","",IF(V328&gt;0,INDEX('04-نيسان'!$Q$2:$Q$501,V328),IF($AO$1=1,0,"")))</f>
        <v/>
      </c>
      <c r="AA328" s="39" t="str">
        <f t="shared" si="113"/>
        <v/>
      </c>
      <c r="AB328" s="40" t="str">
        <f>IF(OR(L328="",V328=0),"",IF(AND(N(I328)&gt;0,N(INDEX('04-نيسان'!$I$2:$I$501,V328))&gt;0,INDEX('04-نيسان'!$F$2:$F$501,V328)=F328),N(I328)/N(INDEX('04-نيسان'!$I$2:$I$501,V328))-1,""))</f>
        <v/>
      </c>
      <c r="AC328" t="str">
        <f>IF(L328="","",IF(AND($AO$2=1,ISNA(MATCH(L328,'06-حزيران'!$L$2:$L$499,0))),"محذوف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IF(L329="","",IF($AO$1=1,IFERROR(MATCH(L329,'04-نيسان'!$L$2:$L$501,0),0),0))</f>
        <v/>
      </c>
      <c r="W329" t="str">
        <f t="shared" si="111"/>
        <v/>
      </c>
      <c r="X329" s="38" t="str">
        <f>IF(L329="","",IF(V329&gt;0,INDEX('04-نيسان'!$P$2:$P$501,V329),IF($AO$1=1,0,"")))</f>
        <v/>
      </c>
      <c r="Y329" s="38" t="str">
        <f t="shared" si="112"/>
        <v/>
      </c>
      <c r="Z329" s="39" t="str">
        <f>IF(L329="","",IF(V329&gt;0,INDEX('04-نيسان'!$Q$2:$Q$501,V329),IF($AO$1=1,0,"")))</f>
        <v/>
      </c>
      <c r="AA329" s="39" t="str">
        <f t="shared" si="113"/>
        <v/>
      </c>
      <c r="AB329" s="40" t="str">
        <f>IF(OR(L329="",V329=0),"",IF(AND(N(I329)&gt;0,N(INDEX('04-نيسان'!$I$2:$I$501,V329))&gt;0,INDEX('04-نيسان'!$F$2:$F$501,V329)=F329),N(I329)/N(INDEX('04-نيسان'!$I$2:$I$501,V329))-1,""))</f>
        <v/>
      </c>
      <c r="AC329" t="str">
        <f>IF(L329="","",IF(AND($AO$2=1,ISNA(MATCH(L329,'06-حزيران'!$L$2:$L$499,0))),"محذوف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IF(L330="","",IF($AO$1=1,IFERROR(MATCH(L330,'04-نيسان'!$L$2:$L$501,0),0),0))</f>
        <v/>
      </c>
      <c r="W330" t="str">
        <f t="shared" si="111"/>
        <v/>
      </c>
      <c r="X330" s="38" t="str">
        <f>IF(L330="","",IF(V330&gt;0,INDEX('04-نيسان'!$P$2:$P$501,V330),IF($AO$1=1,0,"")))</f>
        <v/>
      </c>
      <c r="Y330" s="38" t="str">
        <f t="shared" si="112"/>
        <v/>
      </c>
      <c r="Z330" s="39" t="str">
        <f>IF(L330="","",IF(V330&gt;0,INDEX('04-نيسان'!$Q$2:$Q$501,V330),IF($AO$1=1,0,"")))</f>
        <v/>
      </c>
      <c r="AA330" s="39" t="str">
        <f t="shared" si="113"/>
        <v/>
      </c>
      <c r="AB330" s="40" t="str">
        <f>IF(OR(L330="",V330=0),"",IF(AND(N(I330)&gt;0,N(INDEX('04-نيسان'!$I$2:$I$501,V330))&gt;0,INDEX('04-نيسان'!$F$2:$F$501,V330)=F330),N(I330)/N(INDEX('04-نيسان'!$I$2:$I$501,V330))-1,""))</f>
        <v/>
      </c>
      <c r="AC330" t="str">
        <f>IF(L330="","",IF(AND($AO$2=1,ISNA(MATCH(L330,'06-حزيران'!$L$2:$L$499,0))),"محذوف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IF(L331="","",IF($AO$1=1,IFERROR(MATCH(L331,'04-نيسان'!$L$2:$L$501,0),0),0))</f>
        <v/>
      </c>
      <c r="W331" t="str">
        <f t="shared" si="111"/>
        <v/>
      </c>
      <c r="X331" s="38" t="str">
        <f>IF(L331="","",IF(V331&gt;0,INDEX('04-نيسان'!$P$2:$P$501,V331),IF($AO$1=1,0,"")))</f>
        <v/>
      </c>
      <c r="Y331" s="38" t="str">
        <f t="shared" si="112"/>
        <v/>
      </c>
      <c r="Z331" s="39" t="str">
        <f>IF(L331="","",IF(V331&gt;0,INDEX('04-نيسان'!$Q$2:$Q$501,V331),IF($AO$1=1,0,"")))</f>
        <v/>
      </c>
      <c r="AA331" s="39" t="str">
        <f t="shared" si="113"/>
        <v/>
      </c>
      <c r="AB331" s="40" t="str">
        <f>IF(OR(L331="",V331=0),"",IF(AND(N(I331)&gt;0,N(INDEX('04-نيسان'!$I$2:$I$501,V331))&gt;0,INDEX('04-نيسان'!$F$2:$F$501,V331)=F331),N(I331)/N(INDEX('04-نيسان'!$I$2:$I$501,V331))-1,""))</f>
        <v/>
      </c>
      <c r="AC331" t="str">
        <f>IF(L331="","",IF(AND($AO$2=1,ISNA(MATCH(L331,'06-حزيران'!$L$2:$L$499,0))),"محذوف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IF(L332="","",IF($AO$1=1,IFERROR(MATCH(L332,'04-نيسان'!$L$2:$L$501,0),0),0))</f>
        <v/>
      </c>
      <c r="W332" t="str">
        <f t="shared" si="111"/>
        <v/>
      </c>
      <c r="X332" s="38" t="str">
        <f>IF(L332="","",IF(V332&gt;0,INDEX('04-نيسان'!$P$2:$P$501,V332),IF($AO$1=1,0,"")))</f>
        <v/>
      </c>
      <c r="Y332" s="38" t="str">
        <f t="shared" si="112"/>
        <v/>
      </c>
      <c r="Z332" s="39" t="str">
        <f>IF(L332="","",IF(V332&gt;0,INDEX('04-نيسان'!$Q$2:$Q$501,V332),IF($AO$1=1,0,"")))</f>
        <v/>
      </c>
      <c r="AA332" s="39" t="str">
        <f t="shared" si="113"/>
        <v/>
      </c>
      <c r="AB332" s="40" t="str">
        <f>IF(OR(L332="",V332=0),"",IF(AND(N(I332)&gt;0,N(INDEX('04-نيسان'!$I$2:$I$501,V332))&gt;0,INDEX('04-نيسان'!$F$2:$F$501,V332)=F332),N(I332)/N(INDEX('04-نيسان'!$I$2:$I$501,V332))-1,""))</f>
        <v/>
      </c>
      <c r="AC332" t="str">
        <f>IF(L332="","",IF(AND($AO$2=1,ISNA(MATCH(L332,'06-حزيران'!$L$2:$L$499,0))),"محذوف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IF(L333="","",IF($AO$1=1,IFERROR(MATCH(L333,'04-نيسان'!$L$2:$L$501,0),0),0))</f>
        <v/>
      </c>
      <c r="W333" t="str">
        <f t="shared" si="111"/>
        <v/>
      </c>
      <c r="X333" s="38" t="str">
        <f>IF(L333="","",IF(V333&gt;0,INDEX('04-نيسان'!$P$2:$P$501,V333),IF($AO$1=1,0,"")))</f>
        <v/>
      </c>
      <c r="Y333" s="38" t="str">
        <f t="shared" si="112"/>
        <v/>
      </c>
      <c r="Z333" s="39" t="str">
        <f>IF(L333="","",IF(V333&gt;0,INDEX('04-نيسان'!$Q$2:$Q$501,V333),IF($AO$1=1,0,"")))</f>
        <v/>
      </c>
      <c r="AA333" s="39" t="str">
        <f t="shared" si="113"/>
        <v/>
      </c>
      <c r="AB333" s="40" t="str">
        <f>IF(OR(L333="",V333=0),"",IF(AND(N(I333)&gt;0,N(INDEX('04-نيسان'!$I$2:$I$501,V333))&gt;0,INDEX('04-نيسان'!$F$2:$F$501,V333)=F333),N(I333)/N(INDEX('04-نيسان'!$I$2:$I$501,V333))-1,""))</f>
        <v/>
      </c>
      <c r="AC333" t="str">
        <f>IF(L333="","",IF(AND($AO$2=1,ISNA(MATCH(L333,'06-حزيران'!$L$2:$L$499,0))),"محذوف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IF(L334="","",IF($AO$1=1,IFERROR(MATCH(L334,'04-نيسان'!$L$2:$L$501,0),0),0))</f>
        <v/>
      </c>
      <c r="W334" t="str">
        <f t="shared" si="111"/>
        <v/>
      </c>
      <c r="X334" s="38" t="str">
        <f>IF(L334="","",IF(V334&gt;0,INDEX('04-نيسان'!$P$2:$P$501,V334),IF($AO$1=1,0,"")))</f>
        <v/>
      </c>
      <c r="Y334" s="38" t="str">
        <f t="shared" si="112"/>
        <v/>
      </c>
      <c r="Z334" s="39" t="str">
        <f>IF(L334="","",IF(V334&gt;0,INDEX('04-نيسان'!$Q$2:$Q$501,V334),IF($AO$1=1,0,"")))</f>
        <v/>
      </c>
      <c r="AA334" s="39" t="str">
        <f t="shared" si="113"/>
        <v/>
      </c>
      <c r="AB334" s="40" t="str">
        <f>IF(OR(L334="",V334=0),"",IF(AND(N(I334)&gt;0,N(INDEX('04-نيسان'!$I$2:$I$501,V334))&gt;0,INDEX('04-نيسان'!$F$2:$F$501,V334)=F334),N(I334)/N(INDEX('04-نيسان'!$I$2:$I$501,V334))-1,""))</f>
        <v/>
      </c>
      <c r="AC334" t="str">
        <f>IF(L334="","",IF(AND($AO$2=1,ISNA(MATCH(L334,'06-حزيران'!$L$2:$L$499,0))),"محذوف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IF(L335="","",IF($AO$1=1,IFERROR(MATCH(L335,'04-نيسان'!$L$2:$L$501,0),0),0))</f>
        <v/>
      </c>
      <c r="W335" t="str">
        <f t="shared" si="111"/>
        <v/>
      </c>
      <c r="X335" s="38" t="str">
        <f>IF(L335="","",IF(V335&gt;0,INDEX('04-نيسان'!$P$2:$P$501,V335),IF($AO$1=1,0,"")))</f>
        <v/>
      </c>
      <c r="Y335" s="38" t="str">
        <f t="shared" si="112"/>
        <v/>
      </c>
      <c r="Z335" s="39" t="str">
        <f>IF(L335="","",IF(V335&gt;0,INDEX('04-نيسان'!$Q$2:$Q$501,V335),IF($AO$1=1,0,"")))</f>
        <v/>
      </c>
      <c r="AA335" s="39" t="str">
        <f t="shared" si="113"/>
        <v/>
      </c>
      <c r="AB335" s="40" t="str">
        <f>IF(OR(L335="",V335=0),"",IF(AND(N(I335)&gt;0,N(INDEX('04-نيسان'!$I$2:$I$501,V335))&gt;0,INDEX('04-نيسان'!$F$2:$F$501,V335)=F335),N(I335)/N(INDEX('04-نيسان'!$I$2:$I$501,V335))-1,""))</f>
        <v/>
      </c>
      <c r="AC335" t="str">
        <f>IF(L335="","",IF(AND($AO$2=1,ISNA(MATCH(L335,'06-حزيران'!$L$2:$L$499,0))),"محذوف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IF(L336="","",IF($AO$1=1,IFERROR(MATCH(L336,'04-نيسان'!$L$2:$L$501,0),0),0))</f>
        <v/>
      </c>
      <c r="W336" t="str">
        <f t="shared" si="111"/>
        <v/>
      </c>
      <c r="X336" s="38" t="str">
        <f>IF(L336="","",IF(V336&gt;0,INDEX('04-نيسان'!$P$2:$P$501,V336),IF($AO$1=1,0,"")))</f>
        <v/>
      </c>
      <c r="Y336" s="38" t="str">
        <f t="shared" si="112"/>
        <v/>
      </c>
      <c r="Z336" s="39" t="str">
        <f>IF(L336="","",IF(V336&gt;0,INDEX('04-نيسان'!$Q$2:$Q$501,V336),IF($AO$1=1,0,"")))</f>
        <v/>
      </c>
      <c r="AA336" s="39" t="str">
        <f t="shared" si="113"/>
        <v/>
      </c>
      <c r="AB336" s="40" t="str">
        <f>IF(OR(L336="",V336=0),"",IF(AND(N(I336)&gt;0,N(INDEX('04-نيسان'!$I$2:$I$501,V336))&gt;0,INDEX('04-نيسان'!$F$2:$F$501,V336)=F336),N(I336)/N(INDEX('04-نيسان'!$I$2:$I$501,V336))-1,""))</f>
        <v/>
      </c>
      <c r="AC336" t="str">
        <f>IF(L336="","",IF(AND($AO$2=1,ISNA(MATCH(L336,'06-حزيران'!$L$2:$L$499,0))),"محذوف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IF(L337="","",IF($AO$1=1,IFERROR(MATCH(L337,'04-نيسان'!$L$2:$L$501,0),0),0))</f>
        <v/>
      </c>
      <c r="W337" t="str">
        <f t="shared" si="111"/>
        <v/>
      </c>
      <c r="X337" s="38" t="str">
        <f>IF(L337="","",IF(V337&gt;0,INDEX('04-نيسان'!$P$2:$P$501,V337),IF($AO$1=1,0,"")))</f>
        <v/>
      </c>
      <c r="Y337" s="38" t="str">
        <f t="shared" si="112"/>
        <v/>
      </c>
      <c r="Z337" s="39" t="str">
        <f>IF(L337="","",IF(V337&gt;0,INDEX('04-نيسان'!$Q$2:$Q$501,V337),IF($AO$1=1,0,"")))</f>
        <v/>
      </c>
      <c r="AA337" s="39" t="str">
        <f t="shared" si="113"/>
        <v/>
      </c>
      <c r="AB337" s="40" t="str">
        <f>IF(OR(L337="",V337=0),"",IF(AND(N(I337)&gt;0,N(INDEX('04-نيسان'!$I$2:$I$501,V337))&gt;0,INDEX('04-نيسان'!$F$2:$F$501,V337)=F337),N(I337)/N(INDEX('04-نيسان'!$I$2:$I$501,V337))-1,""))</f>
        <v/>
      </c>
      <c r="AC337" t="str">
        <f>IF(L337="","",IF(AND($AO$2=1,ISNA(MATCH(L337,'06-حزيران'!$L$2:$L$499,0))),"محذوف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IF(L338="","",IF($AO$1=1,IFERROR(MATCH(L338,'04-نيسان'!$L$2:$L$501,0),0),0))</f>
        <v/>
      </c>
      <c r="W338" t="str">
        <f t="shared" si="111"/>
        <v/>
      </c>
      <c r="X338" s="38" t="str">
        <f>IF(L338="","",IF(V338&gt;0,INDEX('04-نيسان'!$P$2:$P$501,V338),IF($AO$1=1,0,"")))</f>
        <v/>
      </c>
      <c r="Y338" s="38" t="str">
        <f t="shared" si="112"/>
        <v/>
      </c>
      <c r="Z338" s="39" t="str">
        <f>IF(L338="","",IF(V338&gt;0,INDEX('04-نيسان'!$Q$2:$Q$501,V338),IF($AO$1=1,0,"")))</f>
        <v/>
      </c>
      <c r="AA338" s="39" t="str">
        <f t="shared" si="113"/>
        <v/>
      </c>
      <c r="AB338" s="40" t="str">
        <f>IF(OR(L338="",V338=0),"",IF(AND(N(I338)&gt;0,N(INDEX('04-نيسان'!$I$2:$I$501,V338))&gt;0,INDEX('04-نيسان'!$F$2:$F$501,V338)=F338),N(I338)/N(INDEX('04-نيسان'!$I$2:$I$501,V338))-1,""))</f>
        <v/>
      </c>
      <c r="AC338" t="str">
        <f>IF(L338="","",IF(AND($AO$2=1,ISNA(MATCH(L338,'06-حزيران'!$L$2:$L$499,0))),"محذوف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IF(L339="","",IF($AO$1=1,IFERROR(MATCH(L339,'04-نيسان'!$L$2:$L$501,0),0),0))</f>
        <v/>
      </c>
      <c r="W339" t="str">
        <f t="shared" si="111"/>
        <v/>
      </c>
      <c r="X339" s="38" t="str">
        <f>IF(L339="","",IF(V339&gt;0,INDEX('04-نيسان'!$P$2:$P$501,V339),IF($AO$1=1,0,"")))</f>
        <v/>
      </c>
      <c r="Y339" s="38" t="str">
        <f t="shared" si="112"/>
        <v/>
      </c>
      <c r="Z339" s="39" t="str">
        <f>IF(L339="","",IF(V339&gt;0,INDEX('04-نيسان'!$Q$2:$Q$501,V339),IF($AO$1=1,0,"")))</f>
        <v/>
      </c>
      <c r="AA339" s="39" t="str">
        <f t="shared" si="113"/>
        <v/>
      </c>
      <c r="AB339" s="40" t="str">
        <f>IF(OR(L339="",V339=0),"",IF(AND(N(I339)&gt;0,N(INDEX('04-نيسان'!$I$2:$I$501,V339))&gt;0,INDEX('04-نيسان'!$F$2:$F$501,V339)=F339),N(I339)/N(INDEX('04-نيسان'!$I$2:$I$501,V339))-1,""))</f>
        <v/>
      </c>
      <c r="AC339" t="str">
        <f>IF(L339="","",IF(AND($AO$2=1,ISNA(MATCH(L339,'06-حزيران'!$L$2:$L$499,0))),"محذوف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IF(L340="","",IF($AO$1=1,IFERROR(MATCH(L340,'04-نيسان'!$L$2:$L$501,0),0),0))</f>
        <v/>
      </c>
      <c r="W340" t="str">
        <f t="shared" si="111"/>
        <v/>
      </c>
      <c r="X340" s="38" t="str">
        <f>IF(L340="","",IF(V340&gt;0,INDEX('04-نيسان'!$P$2:$P$501,V340),IF($AO$1=1,0,"")))</f>
        <v/>
      </c>
      <c r="Y340" s="38" t="str">
        <f t="shared" si="112"/>
        <v/>
      </c>
      <c r="Z340" s="39" t="str">
        <f>IF(L340="","",IF(V340&gt;0,INDEX('04-نيسان'!$Q$2:$Q$501,V340),IF($AO$1=1,0,"")))</f>
        <v/>
      </c>
      <c r="AA340" s="39" t="str">
        <f t="shared" si="113"/>
        <v/>
      </c>
      <c r="AB340" s="40" t="str">
        <f>IF(OR(L340="",V340=0),"",IF(AND(N(I340)&gt;0,N(INDEX('04-نيسان'!$I$2:$I$501,V340))&gt;0,INDEX('04-نيسان'!$F$2:$F$501,V340)=F340),N(I340)/N(INDEX('04-نيسان'!$I$2:$I$501,V340))-1,""))</f>
        <v/>
      </c>
      <c r="AC340" t="str">
        <f>IF(L340="","",IF(AND($AO$2=1,ISNA(MATCH(L340,'06-حزيران'!$L$2:$L$499,0))),"محذوف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IF(L341="","",IF($AO$1=1,IFERROR(MATCH(L341,'04-نيسان'!$L$2:$L$501,0),0),0))</f>
        <v/>
      </c>
      <c r="W341" t="str">
        <f t="shared" si="111"/>
        <v/>
      </c>
      <c r="X341" s="38" t="str">
        <f>IF(L341="","",IF(V341&gt;0,INDEX('04-نيسان'!$P$2:$P$501,V341),IF($AO$1=1,0,"")))</f>
        <v/>
      </c>
      <c r="Y341" s="38" t="str">
        <f t="shared" si="112"/>
        <v/>
      </c>
      <c r="Z341" s="39" t="str">
        <f>IF(L341="","",IF(V341&gt;0,INDEX('04-نيسان'!$Q$2:$Q$501,V341),IF($AO$1=1,0,"")))</f>
        <v/>
      </c>
      <c r="AA341" s="39" t="str">
        <f t="shared" si="113"/>
        <v/>
      </c>
      <c r="AB341" s="40" t="str">
        <f>IF(OR(L341="",V341=0),"",IF(AND(N(I341)&gt;0,N(INDEX('04-نيسان'!$I$2:$I$501,V341))&gt;0,INDEX('04-نيسان'!$F$2:$F$501,V341)=F341),N(I341)/N(INDEX('04-نيسان'!$I$2:$I$501,V341))-1,""))</f>
        <v/>
      </c>
      <c r="AC341" t="str">
        <f>IF(L341="","",IF(AND($AO$2=1,ISNA(MATCH(L341,'06-حزيران'!$L$2:$L$499,0))),"محذوف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IF(L342="","",IF($AO$1=1,IFERROR(MATCH(L342,'04-نيسان'!$L$2:$L$501,0),0),0))</f>
        <v/>
      </c>
      <c r="W342" t="str">
        <f t="shared" si="111"/>
        <v/>
      </c>
      <c r="X342" s="38" t="str">
        <f>IF(L342="","",IF(V342&gt;0,INDEX('04-نيسان'!$P$2:$P$501,V342),IF($AO$1=1,0,"")))</f>
        <v/>
      </c>
      <c r="Y342" s="38" t="str">
        <f t="shared" si="112"/>
        <v/>
      </c>
      <c r="Z342" s="39" t="str">
        <f>IF(L342="","",IF(V342&gt;0,INDEX('04-نيسان'!$Q$2:$Q$501,V342),IF($AO$1=1,0,"")))</f>
        <v/>
      </c>
      <c r="AA342" s="39" t="str">
        <f t="shared" si="113"/>
        <v/>
      </c>
      <c r="AB342" s="40" t="str">
        <f>IF(OR(L342="",V342=0),"",IF(AND(N(I342)&gt;0,N(INDEX('04-نيسان'!$I$2:$I$501,V342))&gt;0,INDEX('04-نيسان'!$F$2:$F$501,V342)=F342),N(I342)/N(INDEX('04-نيسان'!$I$2:$I$501,V342))-1,""))</f>
        <v/>
      </c>
      <c r="AC342" t="str">
        <f>IF(L342="","",IF(AND($AO$2=1,ISNA(MATCH(L342,'06-حزيران'!$L$2:$L$499,0))),"محذوف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IF(L343="","",IF($AO$1=1,IFERROR(MATCH(L343,'04-نيسان'!$L$2:$L$501,0),0),0))</f>
        <v/>
      </c>
      <c r="W343" t="str">
        <f t="shared" si="111"/>
        <v/>
      </c>
      <c r="X343" s="38" t="str">
        <f>IF(L343="","",IF(V343&gt;0,INDEX('04-نيسان'!$P$2:$P$501,V343),IF($AO$1=1,0,"")))</f>
        <v/>
      </c>
      <c r="Y343" s="38" t="str">
        <f t="shared" si="112"/>
        <v/>
      </c>
      <c r="Z343" s="39" t="str">
        <f>IF(L343="","",IF(V343&gt;0,INDEX('04-نيسان'!$Q$2:$Q$501,V343),IF($AO$1=1,0,"")))</f>
        <v/>
      </c>
      <c r="AA343" s="39" t="str">
        <f t="shared" si="113"/>
        <v/>
      </c>
      <c r="AB343" s="40" t="str">
        <f>IF(OR(L343="",V343=0),"",IF(AND(N(I343)&gt;0,N(INDEX('04-نيسان'!$I$2:$I$501,V343))&gt;0,INDEX('04-نيسان'!$F$2:$F$501,V343)=F343),N(I343)/N(INDEX('04-نيسان'!$I$2:$I$501,V343))-1,""))</f>
        <v/>
      </c>
      <c r="AC343" t="str">
        <f>IF(L343="","",IF(AND($AO$2=1,ISNA(MATCH(L343,'06-حزيران'!$L$2:$L$499,0))),"محذوف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IF(L344="","",IF($AO$1=1,IFERROR(MATCH(L344,'04-نيسان'!$L$2:$L$501,0),0),0))</f>
        <v/>
      </c>
      <c r="W344" t="str">
        <f t="shared" si="111"/>
        <v/>
      </c>
      <c r="X344" s="38" t="str">
        <f>IF(L344="","",IF(V344&gt;0,INDEX('04-نيسان'!$P$2:$P$501,V344),IF($AO$1=1,0,"")))</f>
        <v/>
      </c>
      <c r="Y344" s="38" t="str">
        <f t="shared" si="112"/>
        <v/>
      </c>
      <c r="Z344" s="39" t="str">
        <f>IF(L344="","",IF(V344&gt;0,INDEX('04-نيسان'!$Q$2:$Q$501,V344),IF($AO$1=1,0,"")))</f>
        <v/>
      </c>
      <c r="AA344" s="39" t="str">
        <f t="shared" si="113"/>
        <v/>
      </c>
      <c r="AB344" s="40" t="str">
        <f>IF(OR(L344="",V344=0),"",IF(AND(N(I344)&gt;0,N(INDEX('04-نيسان'!$I$2:$I$501,V344))&gt;0,INDEX('04-نيسان'!$F$2:$F$501,V344)=F344),N(I344)/N(INDEX('04-نيسان'!$I$2:$I$501,V344))-1,""))</f>
        <v/>
      </c>
      <c r="AC344" t="str">
        <f>IF(L344="","",IF(AND($AO$2=1,ISNA(MATCH(L344,'06-حزيران'!$L$2:$L$499,0))),"محذوف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IF(L345="","",IF($AO$1=1,IFERROR(MATCH(L345,'04-نيسان'!$L$2:$L$501,0),0),0))</f>
        <v/>
      </c>
      <c r="W345" t="str">
        <f t="shared" si="111"/>
        <v/>
      </c>
      <c r="X345" s="38" t="str">
        <f>IF(L345="","",IF(V345&gt;0,INDEX('04-نيسان'!$P$2:$P$501,V345),IF($AO$1=1,0,"")))</f>
        <v/>
      </c>
      <c r="Y345" s="38" t="str">
        <f t="shared" si="112"/>
        <v/>
      </c>
      <c r="Z345" s="39" t="str">
        <f>IF(L345="","",IF(V345&gt;0,INDEX('04-نيسان'!$Q$2:$Q$501,V345),IF($AO$1=1,0,"")))</f>
        <v/>
      </c>
      <c r="AA345" s="39" t="str">
        <f t="shared" si="113"/>
        <v/>
      </c>
      <c r="AB345" s="40" t="str">
        <f>IF(OR(L345="",V345=0),"",IF(AND(N(I345)&gt;0,N(INDEX('04-نيسان'!$I$2:$I$501,V345))&gt;0,INDEX('04-نيسان'!$F$2:$F$501,V345)=F345),N(I345)/N(INDEX('04-نيسان'!$I$2:$I$501,V345))-1,""))</f>
        <v/>
      </c>
      <c r="AC345" t="str">
        <f>IF(L345="","",IF(AND($AO$2=1,ISNA(MATCH(L345,'06-حزيران'!$L$2:$L$499,0))),"محذوف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IF(L346="","",IF($AO$1=1,IFERROR(MATCH(L346,'04-نيسان'!$L$2:$L$501,0),0),0))</f>
        <v/>
      </c>
      <c r="W346" t="str">
        <f t="shared" si="111"/>
        <v/>
      </c>
      <c r="X346" s="38" t="str">
        <f>IF(L346="","",IF(V346&gt;0,INDEX('04-نيسان'!$P$2:$P$501,V346),IF($AO$1=1,0,"")))</f>
        <v/>
      </c>
      <c r="Y346" s="38" t="str">
        <f t="shared" si="112"/>
        <v/>
      </c>
      <c r="Z346" s="39" t="str">
        <f>IF(L346="","",IF(V346&gt;0,INDEX('04-نيسان'!$Q$2:$Q$501,V346),IF($AO$1=1,0,"")))</f>
        <v/>
      </c>
      <c r="AA346" s="39" t="str">
        <f t="shared" si="113"/>
        <v/>
      </c>
      <c r="AB346" s="40" t="str">
        <f>IF(OR(L346="",V346=0),"",IF(AND(N(I346)&gt;0,N(INDEX('04-نيسان'!$I$2:$I$501,V346))&gt;0,INDEX('04-نيسان'!$F$2:$F$501,V346)=F346),N(I346)/N(INDEX('04-نيسان'!$I$2:$I$501,V346))-1,""))</f>
        <v/>
      </c>
      <c r="AC346" t="str">
        <f>IF(L346="","",IF(AND($AO$2=1,ISNA(MATCH(L346,'06-حزيران'!$L$2:$L$499,0))),"محذوف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IF(L347="","",IF($AO$1=1,IFERROR(MATCH(L347,'04-نيسان'!$L$2:$L$501,0),0),0))</f>
        <v/>
      </c>
      <c r="W347" t="str">
        <f t="shared" si="111"/>
        <v/>
      </c>
      <c r="X347" s="38" t="str">
        <f>IF(L347="","",IF(V347&gt;0,INDEX('04-نيسان'!$P$2:$P$501,V347),IF($AO$1=1,0,"")))</f>
        <v/>
      </c>
      <c r="Y347" s="38" t="str">
        <f t="shared" si="112"/>
        <v/>
      </c>
      <c r="Z347" s="39" t="str">
        <f>IF(L347="","",IF(V347&gt;0,INDEX('04-نيسان'!$Q$2:$Q$501,V347),IF($AO$1=1,0,"")))</f>
        <v/>
      </c>
      <c r="AA347" s="39" t="str">
        <f t="shared" si="113"/>
        <v/>
      </c>
      <c r="AB347" s="40" t="str">
        <f>IF(OR(L347="",V347=0),"",IF(AND(N(I347)&gt;0,N(INDEX('04-نيسان'!$I$2:$I$501,V347))&gt;0,INDEX('04-نيسان'!$F$2:$F$501,V347)=F347),N(I347)/N(INDEX('04-نيسان'!$I$2:$I$501,V347))-1,""))</f>
        <v/>
      </c>
      <c r="AC347" t="str">
        <f>IF(L347="","",IF(AND($AO$2=1,ISNA(MATCH(L347,'06-حزيران'!$L$2:$L$499,0))),"محذوف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IF(L348="","",IF($AO$1=1,IFERROR(MATCH(L348,'04-نيسان'!$L$2:$L$501,0),0),0))</f>
        <v/>
      </c>
      <c r="W348" t="str">
        <f t="shared" si="111"/>
        <v/>
      </c>
      <c r="X348" s="38" t="str">
        <f>IF(L348="","",IF(V348&gt;0,INDEX('04-نيسان'!$P$2:$P$501,V348),IF($AO$1=1,0,"")))</f>
        <v/>
      </c>
      <c r="Y348" s="38" t="str">
        <f t="shared" si="112"/>
        <v/>
      </c>
      <c r="Z348" s="39" t="str">
        <f>IF(L348="","",IF(V348&gt;0,INDEX('04-نيسان'!$Q$2:$Q$501,V348),IF($AO$1=1,0,"")))</f>
        <v/>
      </c>
      <c r="AA348" s="39" t="str">
        <f t="shared" si="113"/>
        <v/>
      </c>
      <c r="AB348" s="40" t="str">
        <f>IF(OR(L348="",V348=0),"",IF(AND(N(I348)&gt;0,N(INDEX('04-نيسان'!$I$2:$I$501,V348))&gt;0,INDEX('04-نيسان'!$F$2:$F$501,V348)=F348),N(I348)/N(INDEX('04-نيسان'!$I$2:$I$501,V348))-1,""))</f>
        <v/>
      </c>
      <c r="AC348" t="str">
        <f>IF(L348="","",IF(AND($AO$2=1,ISNA(MATCH(L348,'06-حزيران'!$L$2:$L$499,0))),"محذوف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IF(L349="","",IF($AO$1=1,IFERROR(MATCH(L349,'04-نيسان'!$L$2:$L$501,0),0),0))</f>
        <v/>
      </c>
      <c r="W349" t="str">
        <f t="shared" si="111"/>
        <v/>
      </c>
      <c r="X349" s="38" t="str">
        <f>IF(L349="","",IF(V349&gt;0,INDEX('04-نيسان'!$P$2:$P$501,V349),IF($AO$1=1,0,"")))</f>
        <v/>
      </c>
      <c r="Y349" s="38" t="str">
        <f t="shared" si="112"/>
        <v/>
      </c>
      <c r="Z349" s="39" t="str">
        <f>IF(L349="","",IF(V349&gt;0,INDEX('04-نيسان'!$Q$2:$Q$501,V349),IF($AO$1=1,0,"")))</f>
        <v/>
      </c>
      <c r="AA349" s="39" t="str">
        <f t="shared" si="113"/>
        <v/>
      </c>
      <c r="AB349" s="40" t="str">
        <f>IF(OR(L349="",V349=0),"",IF(AND(N(I349)&gt;0,N(INDEX('04-نيسان'!$I$2:$I$501,V349))&gt;0,INDEX('04-نيسان'!$F$2:$F$501,V349)=F349),N(I349)/N(INDEX('04-نيسان'!$I$2:$I$501,V349))-1,""))</f>
        <v/>
      </c>
      <c r="AC349" t="str">
        <f>IF(L349="","",IF(AND($AO$2=1,ISNA(MATCH(L349,'06-حزيران'!$L$2:$L$499,0))),"محذوف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IF(L350="","",IF($AO$1=1,IFERROR(MATCH(L350,'04-نيسان'!$L$2:$L$501,0),0),0))</f>
        <v/>
      </c>
      <c r="W350" t="str">
        <f t="shared" si="111"/>
        <v/>
      </c>
      <c r="X350" s="38" t="str">
        <f>IF(L350="","",IF(V350&gt;0,INDEX('04-نيسان'!$P$2:$P$501,V350),IF($AO$1=1,0,"")))</f>
        <v/>
      </c>
      <c r="Y350" s="38" t="str">
        <f t="shared" si="112"/>
        <v/>
      </c>
      <c r="Z350" s="39" t="str">
        <f>IF(L350="","",IF(V350&gt;0,INDEX('04-نيسان'!$Q$2:$Q$501,V350),IF($AO$1=1,0,"")))</f>
        <v/>
      </c>
      <c r="AA350" s="39" t="str">
        <f t="shared" si="113"/>
        <v/>
      </c>
      <c r="AB350" s="40" t="str">
        <f>IF(OR(L350="",V350=0),"",IF(AND(N(I350)&gt;0,N(INDEX('04-نيسان'!$I$2:$I$501,V350))&gt;0,INDEX('04-نيسان'!$F$2:$F$501,V350)=F350),N(I350)/N(INDEX('04-نيسان'!$I$2:$I$501,V350))-1,""))</f>
        <v/>
      </c>
      <c r="AC350" t="str">
        <f>IF(L350="","",IF(AND($AO$2=1,ISNA(MATCH(L350,'06-حزيران'!$L$2:$L$499,0))),"محذوف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IF(L351="","",IF($AO$1=1,IFERROR(MATCH(L351,'04-نيسان'!$L$2:$L$501,0),0),0))</f>
        <v/>
      </c>
      <c r="W351" t="str">
        <f t="shared" si="111"/>
        <v/>
      </c>
      <c r="X351" s="38" t="str">
        <f>IF(L351="","",IF(V351&gt;0,INDEX('04-نيسان'!$P$2:$P$501,V351),IF($AO$1=1,0,"")))</f>
        <v/>
      </c>
      <c r="Y351" s="38" t="str">
        <f t="shared" si="112"/>
        <v/>
      </c>
      <c r="Z351" s="39" t="str">
        <f>IF(L351="","",IF(V351&gt;0,INDEX('04-نيسان'!$Q$2:$Q$501,V351),IF($AO$1=1,0,"")))</f>
        <v/>
      </c>
      <c r="AA351" s="39" t="str">
        <f t="shared" si="113"/>
        <v/>
      </c>
      <c r="AB351" s="40" t="str">
        <f>IF(OR(L351="",V351=0),"",IF(AND(N(I351)&gt;0,N(INDEX('04-نيسان'!$I$2:$I$501,V351))&gt;0,INDEX('04-نيسان'!$F$2:$F$501,V351)=F351),N(I351)/N(INDEX('04-نيسان'!$I$2:$I$501,V351))-1,""))</f>
        <v/>
      </c>
      <c r="AC351" t="str">
        <f>IF(L351="","",IF(AND($AO$2=1,ISNA(MATCH(L351,'06-حزيران'!$L$2:$L$499,0))),"محذوف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IF(L352="","",IF($AO$1=1,IFERROR(MATCH(L352,'04-نيسان'!$L$2:$L$501,0),0),0))</f>
        <v/>
      </c>
      <c r="W352" t="str">
        <f t="shared" si="111"/>
        <v/>
      </c>
      <c r="X352" s="38" t="str">
        <f>IF(L352="","",IF(V352&gt;0,INDEX('04-نيسان'!$P$2:$P$501,V352),IF($AO$1=1,0,"")))</f>
        <v/>
      </c>
      <c r="Y352" s="38" t="str">
        <f t="shared" si="112"/>
        <v/>
      </c>
      <c r="Z352" s="39" t="str">
        <f>IF(L352="","",IF(V352&gt;0,INDEX('04-نيسان'!$Q$2:$Q$501,V352),IF($AO$1=1,0,"")))</f>
        <v/>
      </c>
      <c r="AA352" s="39" t="str">
        <f t="shared" si="113"/>
        <v/>
      </c>
      <c r="AB352" s="40" t="str">
        <f>IF(OR(L352="",V352=0),"",IF(AND(N(I352)&gt;0,N(INDEX('04-نيسان'!$I$2:$I$501,V352))&gt;0,INDEX('04-نيسان'!$F$2:$F$501,V352)=F352),N(I352)/N(INDEX('04-نيسان'!$I$2:$I$501,V352))-1,""))</f>
        <v/>
      </c>
      <c r="AC352" t="str">
        <f>IF(L352="","",IF(AND($AO$2=1,ISNA(MATCH(L352,'06-حزيران'!$L$2:$L$499,0))),"محذوف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IF(L353="","",IF($AO$1=1,IFERROR(MATCH(L353,'04-نيسان'!$L$2:$L$501,0),0),0))</f>
        <v/>
      </c>
      <c r="W353" t="str">
        <f t="shared" si="111"/>
        <v/>
      </c>
      <c r="X353" s="38" t="str">
        <f>IF(L353="","",IF(V353&gt;0,INDEX('04-نيسان'!$P$2:$P$501,V353),IF($AO$1=1,0,"")))</f>
        <v/>
      </c>
      <c r="Y353" s="38" t="str">
        <f t="shared" si="112"/>
        <v/>
      </c>
      <c r="Z353" s="39" t="str">
        <f>IF(L353="","",IF(V353&gt;0,INDEX('04-نيسان'!$Q$2:$Q$501,V353),IF($AO$1=1,0,"")))</f>
        <v/>
      </c>
      <c r="AA353" s="39" t="str">
        <f t="shared" si="113"/>
        <v/>
      </c>
      <c r="AB353" s="40" t="str">
        <f>IF(OR(L353="",V353=0),"",IF(AND(N(I353)&gt;0,N(INDEX('04-نيسان'!$I$2:$I$501,V353))&gt;0,INDEX('04-نيسان'!$F$2:$F$501,V353)=F353),N(I353)/N(INDEX('04-نيسان'!$I$2:$I$501,V353))-1,""))</f>
        <v/>
      </c>
      <c r="AC353" t="str">
        <f>IF(L353="","",IF(AND($AO$2=1,ISNA(MATCH(L353,'06-حزيران'!$L$2:$L$499,0))),"محذوف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IF(L354="","",IF($AO$1=1,IFERROR(MATCH(L354,'04-نيسان'!$L$2:$L$501,0),0),0))</f>
        <v/>
      </c>
      <c r="W354" t="str">
        <f t="shared" si="111"/>
        <v/>
      </c>
      <c r="X354" s="38" t="str">
        <f>IF(L354="","",IF(V354&gt;0,INDEX('04-نيسان'!$P$2:$P$501,V354),IF($AO$1=1,0,"")))</f>
        <v/>
      </c>
      <c r="Y354" s="38" t="str">
        <f t="shared" si="112"/>
        <v/>
      </c>
      <c r="Z354" s="39" t="str">
        <f>IF(L354="","",IF(V354&gt;0,INDEX('04-نيسان'!$Q$2:$Q$501,V354),IF($AO$1=1,0,"")))</f>
        <v/>
      </c>
      <c r="AA354" s="39" t="str">
        <f t="shared" si="113"/>
        <v/>
      </c>
      <c r="AB354" s="40" t="str">
        <f>IF(OR(L354="",V354=0),"",IF(AND(N(I354)&gt;0,N(INDEX('04-نيسان'!$I$2:$I$501,V354))&gt;0,INDEX('04-نيسان'!$F$2:$F$501,V354)=F354),N(I354)/N(INDEX('04-نيسان'!$I$2:$I$501,V354))-1,""))</f>
        <v/>
      </c>
      <c r="AC354" t="str">
        <f>IF(L354="","",IF(AND($AO$2=1,ISNA(MATCH(L354,'06-حزيران'!$L$2:$L$499,0))),"محذوف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IF(L355="","",IF($AO$1=1,IFERROR(MATCH(L355,'04-نيسان'!$L$2:$L$501,0),0),0))</f>
        <v/>
      </c>
      <c r="W355" t="str">
        <f t="shared" si="111"/>
        <v/>
      </c>
      <c r="X355" s="38" t="str">
        <f>IF(L355="","",IF(V355&gt;0,INDEX('04-نيسان'!$P$2:$P$501,V355),IF($AO$1=1,0,"")))</f>
        <v/>
      </c>
      <c r="Y355" s="38" t="str">
        <f t="shared" si="112"/>
        <v/>
      </c>
      <c r="Z355" s="39" t="str">
        <f>IF(L355="","",IF(V355&gt;0,INDEX('04-نيسان'!$Q$2:$Q$501,V355),IF($AO$1=1,0,"")))</f>
        <v/>
      </c>
      <c r="AA355" s="39" t="str">
        <f t="shared" si="113"/>
        <v/>
      </c>
      <c r="AB355" s="40" t="str">
        <f>IF(OR(L355="",V355=0),"",IF(AND(N(I355)&gt;0,N(INDEX('04-نيسان'!$I$2:$I$501,V355))&gt;0,INDEX('04-نيسان'!$F$2:$F$501,V355)=F355),N(I355)/N(INDEX('04-نيسان'!$I$2:$I$501,V355))-1,""))</f>
        <v/>
      </c>
      <c r="AC355" t="str">
        <f>IF(L355="","",IF(AND($AO$2=1,ISNA(MATCH(L355,'06-حزيران'!$L$2:$L$499,0))),"محذوف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IF(L356="","",IF($AO$1=1,IFERROR(MATCH(L356,'04-نيسان'!$L$2:$L$501,0),0),0))</f>
        <v/>
      </c>
      <c r="W356" t="str">
        <f t="shared" si="111"/>
        <v/>
      </c>
      <c r="X356" s="38" t="str">
        <f>IF(L356="","",IF(V356&gt;0,INDEX('04-نيسان'!$P$2:$P$501,V356),IF($AO$1=1,0,"")))</f>
        <v/>
      </c>
      <c r="Y356" s="38" t="str">
        <f t="shared" si="112"/>
        <v/>
      </c>
      <c r="Z356" s="39" t="str">
        <f>IF(L356="","",IF(V356&gt;0,INDEX('04-نيسان'!$Q$2:$Q$501,V356),IF($AO$1=1,0,"")))</f>
        <v/>
      </c>
      <c r="AA356" s="39" t="str">
        <f t="shared" si="113"/>
        <v/>
      </c>
      <c r="AB356" s="40" t="str">
        <f>IF(OR(L356="",V356=0),"",IF(AND(N(I356)&gt;0,N(INDEX('04-نيسان'!$I$2:$I$501,V356))&gt;0,INDEX('04-نيسان'!$F$2:$F$501,V356)=F356),N(I356)/N(INDEX('04-نيسان'!$I$2:$I$501,V356))-1,""))</f>
        <v/>
      </c>
      <c r="AC356" t="str">
        <f>IF(L356="","",IF(AND($AO$2=1,ISNA(MATCH(L356,'06-حزيران'!$L$2:$L$499,0))),"محذوف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IF(L357="","",IF($AO$1=1,IFERROR(MATCH(L357,'04-نيسان'!$L$2:$L$501,0),0),0))</f>
        <v/>
      </c>
      <c r="W357" t="str">
        <f t="shared" si="111"/>
        <v/>
      </c>
      <c r="X357" s="38" t="str">
        <f>IF(L357="","",IF(V357&gt;0,INDEX('04-نيسان'!$P$2:$P$501,V357),IF($AO$1=1,0,"")))</f>
        <v/>
      </c>
      <c r="Y357" s="38" t="str">
        <f t="shared" si="112"/>
        <v/>
      </c>
      <c r="Z357" s="39" t="str">
        <f>IF(L357="","",IF(V357&gt;0,INDEX('04-نيسان'!$Q$2:$Q$501,V357),IF($AO$1=1,0,"")))</f>
        <v/>
      </c>
      <c r="AA357" s="39" t="str">
        <f t="shared" si="113"/>
        <v/>
      </c>
      <c r="AB357" s="40" t="str">
        <f>IF(OR(L357="",V357=0),"",IF(AND(N(I357)&gt;0,N(INDEX('04-نيسان'!$I$2:$I$501,V357))&gt;0,INDEX('04-نيسان'!$F$2:$F$501,V357)=F357),N(I357)/N(INDEX('04-نيسان'!$I$2:$I$501,V357))-1,""))</f>
        <v/>
      </c>
      <c r="AC357" t="str">
        <f>IF(L357="","",IF(AND($AO$2=1,ISNA(MATCH(L357,'06-حزيران'!$L$2:$L$499,0))),"محذوف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IF(L358="","",IF($AO$1=1,IFERROR(MATCH(L358,'04-نيسان'!$L$2:$L$501,0),0),0))</f>
        <v/>
      </c>
      <c r="W358" t="str">
        <f t="shared" si="111"/>
        <v/>
      </c>
      <c r="X358" s="38" t="str">
        <f>IF(L358="","",IF(V358&gt;0,INDEX('04-نيسان'!$P$2:$P$501,V358),IF($AO$1=1,0,"")))</f>
        <v/>
      </c>
      <c r="Y358" s="38" t="str">
        <f t="shared" si="112"/>
        <v/>
      </c>
      <c r="Z358" s="39" t="str">
        <f>IF(L358="","",IF(V358&gt;0,INDEX('04-نيسان'!$Q$2:$Q$501,V358),IF($AO$1=1,0,"")))</f>
        <v/>
      </c>
      <c r="AA358" s="39" t="str">
        <f t="shared" si="113"/>
        <v/>
      </c>
      <c r="AB358" s="40" t="str">
        <f>IF(OR(L358="",V358=0),"",IF(AND(N(I358)&gt;0,N(INDEX('04-نيسان'!$I$2:$I$501,V358))&gt;0,INDEX('04-نيسان'!$F$2:$F$501,V358)=F358),N(I358)/N(INDEX('04-نيسان'!$I$2:$I$501,V358))-1,""))</f>
        <v/>
      </c>
      <c r="AC358" t="str">
        <f>IF(L358="","",IF(AND($AO$2=1,ISNA(MATCH(L358,'06-حزيران'!$L$2:$L$499,0))),"محذوف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IF(L359="","",IF($AO$1=1,IFERROR(MATCH(L359,'04-نيسان'!$L$2:$L$501,0),0),0))</f>
        <v/>
      </c>
      <c r="W359" t="str">
        <f t="shared" si="111"/>
        <v/>
      </c>
      <c r="X359" s="38" t="str">
        <f>IF(L359="","",IF(V359&gt;0,INDEX('04-نيسان'!$P$2:$P$501,V359),IF($AO$1=1,0,"")))</f>
        <v/>
      </c>
      <c r="Y359" s="38" t="str">
        <f t="shared" si="112"/>
        <v/>
      </c>
      <c r="Z359" s="39" t="str">
        <f>IF(L359="","",IF(V359&gt;0,INDEX('04-نيسان'!$Q$2:$Q$501,V359),IF($AO$1=1,0,"")))</f>
        <v/>
      </c>
      <c r="AA359" s="39" t="str">
        <f t="shared" si="113"/>
        <v/>
      </c>
      <c r="AB359" s="40" t="str">
        <f>IF(OR(L359="",V359=0),"",IF(AND(N(I359)&gt;0,N(INDEX('04-نيسان'!$I$2:$I$501,V359))&gt;0,INDEX('04-نيسان'!$F$2:$F$501,V359)=F359),N(I359)/N(INDEX('04-نيسان'!$I$2:$I$501,V359))-1,""))</f>
        <v/>
      </c>
      <c r="AC359" t="str">
        <f>IF(L359="","",IF(AND($AO$2=1,ISNA(MATCH(L359,'06-حزيران'!$L$2:$L$499,0))),"محذوف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IF(L360="","",IF($AO$1=1,IFERROR(MATCH(L360,'04-نيسان'!$L$2:$L$501,0),0),0))</f>
        <v/>
      </c>
      <c r="W360" t="str">
        <f t="shared" si="111"/>
        <v/>
      </c>
      <c r="X360" s="38" t="str">
        <f>IF(L360="","",IF(V360&gt;0,INDEX('04-نيسان'!$P$2:$P$501,V360),IF($AO$1=1,0,"")))</f>
        <v/>
      </c>
      <c r="Y360" s="38" t="str">
        <f t="shared" si="112"/>
        <v/>
      </c>
      <c r="Z360" s="39" t="str">
        <f>IF(L360="","",IF(V360&gt;0,INDEX('04-نيسان'!$Q$2:$Q$501,V360),IF($AO$1=1,0,"")))</f>
        <v/>
      </c>
      <c r="AA360" s="39" t="str">
        <f t="shared" si="113"/>
        <v/>
      </c>
      <c r="AB360" s="40" t="str">
        <f>IF(OR(L360="",V360=0),"",IF(AND(N(I360)&gt;0,N(INDEX('04-نيسان'!$I$2:$I$501,V360))&gt;0,INDEX('04-نيسان'!$F$2:$F$501,V360)=F360),N(I360)/N(INDEX('04-نيسان'!$I$2:$I$501,V360))-1,""))</f>
        <v/>
      </c>
      <c r="AC360" t="str">
        <f>IF(L360="","",IF(AND($AO$2=1,ISNA(MATCH(L360,'06-حزيران'!$L$2:$L$499,0))),"محذوف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IF(L361="","",IF($AO$1=1,IFERROR(MATCH(L361,'04-نيسان'!$L$2:$L$501,0),0),0))</f>
        <v/>
      </c>
      <c r="W361" t="str">
        <f t="shared" si="111"/>
        <v/>
      </c>
      <c r="X361" s="38" t="str">
        <f>IF(L361="","",IF(V361&gt;0,INDEX('04-نيسان'!$P$2:$P$501,V361),IF($AO$1=1,0,"")))</f>
        <v/>
      </c>
      <c r="Y361" s="38" t="str">
        <f t="shared" si="112"/>
        <v/>
      </c>
      <c r="Z361" s="39" t="str">
        <f>IF(L361="","",IF(V361&gt;0,INDEX('04-نيسان'!$Q$2:$Q$501,V361),IF($AO$1=1,0,"")))</f>
        <v/>
      </c>
      <c r="AA361" s="39" t="str">
        <f t="shared" si="113"/>
        <v/>
      </c>
      <c r="AB361" s="40" t="str">
        <f>IF(OR(L361="",V361=0),"",IF(AND(N(I361)&gt;0,N(INDEX('04-نيسان'!$I$2:$I$501,V361))&gt;0,INDEX('04-نيسان'!$F$2:$F$501,V361)=F361),N(I361)/N(INDEX('04-نيسان'!$I$2:$I$501,V361))-1,""))</f>
        <v/>
      </c>
      <c r="AC361" t="str">
        <f>IF(L361="","",IF(AND($AO$2=1,ISNA(MATCH(L361,'06-حزيران'!$L$2:$L$499,0))),"محذوف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IF(L362="","",IF($AO$1=1,IFERROR(MATCH(L362,'04-نيسان'!$L$2:$L$501,0),0),0))</f>
        <v/>
      </c>
      <c r="W362" t="str">
        <f t="shared" si="111"/>
        <v/>
      </c>
      <c r="X362" s="38" t="str">
        <f>IF(L362="","",IF(V362&gt;0,INDEX('04-نيسان'!$P$2:$P$501,V362),IF($AO$1=1,0,"")))</f>
        <v/>
      </c>
      <c r="Y362" s="38" t="str">
        <f t="shared" si="112"/>
        <v/>
      </c>
      <c r="Z362" s="39" t="str">
        <f>IF(L362="","",IF(V362&gt;0,INDEX('04-نيسان'!$Q$2:$Q$501,V362),IF($AO$1=1,0,"")))</f>
        <v/>
      </c>
      <c r="AA362" s="39" t="str">
        <f t="shared" si="113"/>
        <v/>
      </c>
      <c r="AB362" s="40" t="str">
        <f>IF(OR(L362="",V362=0),"",IF(AND(N(I362)&gt;0,N(INDEX('04-نيسان'!$I$2:$I$501,V362))&gt;0,INDEX('04-نيسان'!$F$2:$F$501,V362)=F362),N(I362)/N(INDEX('04-نيسان'!$I$2:$I$501,V362))-1,""))</f>
        <v/>
      </c>
      <c r="AC362" t="str">
        <f>IF(L362="","",IF(AND($AO$2=1,ISNA(MATCH(L362,'06-حزيران'!$L$2:$L$499,0))),"محذوف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IF(L363="","",IF($AO$1=1,IFERROR(MATCH(L363,'04-نيسان'!$L$2:$L$501,0),0),0))</f>
        <v/>
      </c>
      <c r="W363" t="str">
        <f t="shared" si="111"/>
        <v/>
      </c>
      <c r="X363" s="38" t="str">
        <f>IF(L363="","",IF(V363&gt;0,INDEX('04-نيسان'!$P$2:$P$501,V363),IF($AO$1=1,0,"")))</f>
        <v/>
      </c>
      <c r="Y363" s="38" t="str">
        <f t="shared" si="112"/>
        <v/>
      </c>
      <c r="Z363" s="39" t="str">
        <f>IF(L363="","",IF(V363&gt;0,INDEX('04-نيسان'!$Q$2:$Q$501,V363),IF($AO$1=1,0,"")))</f>
        <v/>
      </c>
      <c r="AA363" s="39" t="str">
        <f t="shared" si="113"/>
        <v/>
      </c>
      <c r="AB363" s="40" t="str">
        <f>IF(OR(L363="",V363=0),"",IF(AND(N(I363)&gt;0,N(INDEX('04-نيسان'!$I$2:$I$501,V363))&gt;0,INDEX('04-نيسان'!$F$2:$F$501,V363)=F363),N(I363)/N(INDEX('04-نيسان'!$I$2:$I$501,V363))-1,""))</f>
        <v/>
      </c>
      <c r="AC363" t="str">
        <f>IF(L363="","",IF(AND($AO$2=1,ISNA(MATCH(L363,'06-حزيران'!$L$2:$L$499,0))),"محذوف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IF(L364="","",IF($AO$1=1,IFERROR(MATCH(L364,'04-نيسان'!$L$2:$L$501,0),0),0))</f>
        <v/>
      </c>
      <c r="W364" t="str">
        <f t="shared" si="111"/>
        <v/>
      </c>
      <c r="X364" s="38" t="str">
        <f>IF(L364="","",IF(V364&gt;0,INDEX('04-نيسان'!$P$2:$P$501,V364),IF($AO$1=1,0,"")))</f>
        <v/>
      </c>
      <c r="Y364" s="38" t="str">
        <f t="shared" si="112"/>
        <v/>
      </c>
      <c r="Z364" s="39" t="str">
        <f>IF(L364="","",IF(V364&gt;0,INDEX('04-نيسان'!$Q$2:$Q$501,V364),IF($AO$1=1,0,"")))</f>
        <v/>
      </c>
      <c r="AA364" s="39" t="str">
        <f t="shared" si="113"/>
        <v/>
      </c>
      <c r="AB364" s="40" t="str">
        <f>IF(OR(L364="",V364=0),"",IF(AND(N(I364)&gt;0,N(INDEX('04-نيسان'!$I$2:$I$501,V364))&gt;0,INDEX('04-نيسان'!$F$2:$F$501,V364)=F364),N(I364)/N(INDEX('04-نيسان'!$I$2:$I$501,V364))-1,""))</f>
        <v/>
      </c>
      <c r="AC364" t="str">
        <f>IF(L364="","",IF(AND($AO$2=1,ISNA(MATCH(L364,'06-حزيران'!$L$2:$L$499,0))),"محذوف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IF(L365="","",IF($AO$1=1,IFERROR(MATCH(L365,'04-نيسان'!$L$2:$L$501,0),0),0))</f>
        <v/>
      </c>
      <c r="W365" t="str">
        <f t="shared" si="111"/>
        <v/>
      </c>
      <c r="X365" s="38" t="str">
        <f>IF(L365="","",IF(V365&gt;0,INDEX('04-نيسان'!$P$2:$P$501,V365),IF($AO$1=1,0,"")))</f>
        <v/>
      </c>
      <c r="Y365" s="38" t="str">
        <f t="shared" si="112"/>
        <v/>
      </c>
      <c r="Z365" s="39" t="str">
        <f>IF(L365="","",IF(V365&gt;0,INDEX('04-نيسان'!$Q$2:$Q$501,V365),IF($AO$1=1,0,"")))</f>
        <v/>
      </c>
      <c r="AA365" s="39" t="str">
        <f t="shared" si="113"/>
        <v/>
      </c>
      <c r="AB365" s="40" t="str">
        <f>IF(OR(L365="",V365=0),"",IF(AND(N(I365)&gt;0,N(INDEX('04-نيسان'!$I$2:$I$501,V365))&gt;0,INDEX('04-نيسان'!$F$2:$F$501,V365)=F365),N(I365)/N(INDEX('04-نيسان'!$I$2:$I$501,V365))-1,""))</f>
        <v/>
      </c>
      <c r="AC365" t="str">
        <f>IF(L365="","",IF(AND($AO$2=1,ISNA(MATCH(L365,'06-حزيران'!$L$2:$L$499,0))),"محذوف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IF(L366="","",IF($AO$1=1,IFERROR(MATCH(L366,'04-نيسان'!$L$2:$L$501,0),0),0))</f>
        <v/>
      </c>
      <c r="W366" t="str">
        <f t="shared" si="111"/>
        <v/>
      </c>
      <c r="X366" s="38" t="str">
        <f>IF(L366="","",IF(V366&gt;0,INDEX('04-نيسان'!$P$2:$P$501,V366),IF($AO$1=1,0,"")))</f>
        <v/>
      </c>
      <c r="Y366" s="38" t="str">
        <f t="shared" si="112"/>
        <v/>
      </c>
      <c r="Z366" s="39" t="str">
        <f>IF(L366="","",IF(V366&gt;0,INDEX('04-نيسان'!$Q$2:$Q$501,V366),IF($AO$1=1,0,"")))</f>
        <v/>
      </c>
      <c r="AA366" s="39" t="str">
        <f t="shared" si="113"/>
        <v/>
      </c>
      <c r="AB366" s="40" t="str">
        <f>IF(OR(L366="",V366=0),"",IF(AND(N(I366)&gt;0,N(INDEX('04-نيسان'!$I$2:$I$501,V366))&gt;0,INDEX('04-نيسان'!$F$2:$F$501,V366)=F366),N(I366)/N(INDEX('04-نيسان'!$I$2:$I$501,V366))-1,""))</f>
        <v/>
      </c>
      <c r="AC366" t="str">
        <f>IF(L366="","",IF(AND($AO$2=1,ISNA(MATCH(L366,'06-حزيران'!$L$2:$L$499,0))),"محذوف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IF(L367="","",IF($AO$1=1,IFERROR(MATCH(L367,'04-نيسان'!$L$2:$L$501,0),0),0))</f>
        <v/>
      </c>
      <c r="W367" t="str">
        <f t="shared" si="111"/>
        <v/>
      </c>
      <c r="X367" s="38" t="str">
        <f>IF(L367="","",IF(V367&gt;0,INDEX('04-نيسان'!$P$2:$P$501,V367),IF($AO$1=1,0,"")))</f>
        <v/>
      </c>
      <c r="Y367" s="38" t="str">
        <f t="shared" si="112"/>
        <v/>
      </c>
      <c r="Z367" s="39" t="str">
        <f>IF(L367="","",IF(V367&gt;0,INDEX('04-نيسان'!$Q$2:$Q$501,V367),IF($AO$1=1,0,"")))</f>
        <v/>
      </c>
      <c r="AA367" s="39" t="str">
        <f t="shared" si="113"/>
        <v/>
      </c>
      <c r="AB367" s="40" t="str">
        <f>IF(OR(L367="",V367=0),"",IF(AND(N(I367)&gt;0,N(INDEX('04-نيسان'!$I$2:$I$501,V367))&gt;0,INDEX('04-نيسان'!$F$2:$F$501,V367)=F367),N(I367)/N(INDEX('04-نيسان'!$I$2:$I$501,V367))-1,""))</f>
        <v/>
      </c>
      <c r="AC367" t="str">
        <f>IF(L367="","",IF(AND($AO$2=1,ISNA(MATCH(L367,'06-حزيران'!$L$2:$L$499,0))),"محذوف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IF(L368="","",IF($AO$1=1,IFERROR(MATCH(L368,'04-نيسان'!$L$2:$L$501,0),0),0))</f>
        <v/>
      </c>
      <c r="W368" t="str">
        <f t="shared" si="111"/>
        <v/>
      </c>
      <c r="X368" s="38" t="str">
        <f>IF(L368="","",IF(V368&gt;0,INDEX('04-نيسان'!$P$2:$P$501,V368),IF($AO$1=1,0,"")))</f>
        <v/>
      </c>
      <c r="Y368" s="38" t="str">
        <f t="shared" si="112"/>
        <v/>
      </c>
      <c r="Z368" s="39" t="str">
        <f>IF(L368="","",IF(V368&gt;0,INDEX('04-نيسان'!$Q$2:$Q$501,V368),IF($AO$1=1,0,"")))</f>
        <v/>
      </c>
      <c r="AA368" s="39" t="str">
        <f t="shared" si="113"/>
        <v/>
      </c>
      <c r="AB368" s="40" t="str">
        <f>IF(OR(L368="",V368=0),"",IF(AND(N(I368)&gt;0,N(INDEX('04-نيسان'!$I$2:$I$501,V368))&gt;0,INDEX('04-نيسان'!$F$2:$F$501,V368)=F368),N(I368)/N(INDEX('04-نيسان'!$I$2:$I$501,V368))-1,""))</f>
        <v/>
      </c>
      <c r="AC368" t="str">
        <f>IF(L368="","",IF(AND($AO$2=1,ISNA(MATCH(L368,'06-حزيران'!$L$2:$L$499,0))),"محذوف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IF(L369="","",IF($AO$1=1,IFERROR(MATCH(L369,'04-نيسان'!$L$2:$L$501,0),0),0))</f>
        <v/>
      </c>
      <c r="W369" t="str">
        <f t="shared" si="111"/>
        <v/>
      </c>
      <c r="X369" s="38" t="str">
        <f>IF(L369="","",IF(V369&gt;0,INDEX('04-نيسان'!$P$2:$P$501,V369),IF($AO$1=1,0,"")))</f>
        <v/>
      </c>
      <c r="Y369" s="38" t="str">
        <f t="shared" si="112"/>
        <v/>
      </c>
      <c r="Z369" s="39" t="str">
        <f>IF(L369="","",IF(V369&gt;0,INDEX('04-نيسان'!$Q$2:$Q$501,V369),IF($AO$1=1,0,"")))</f>
        <v/>
      </c>
      <c r="AA369" s="39" t="str">
        <f t="shared" si="113"/>
        <v/>
      </c>
      <c r="AB369" s="40" t="str">
        <f>IF(OR(L369="",V369=0),"",IF(AND(N(I369)&gt;0,N(INDEX('04-نيسان'!$I$2:$I$501,V369))&gt;0,INDEX('04-نيسان'!$F$2:$F$501,V369)=F369),N(I369)/N(INDEX('04-نيسان'!$I$2:$I$501,V369))-1,""))</f>
        <v/>
      </c>
      <c r="AC369" t="str">
        <f>IF(L369="","",IF(AND($AO$2=1,ISNA(MATCH(L369,'06-حزيران'!$L$2:$L$499,0))),"محذوف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IF(L370="","",IF($AO$1=1,IFERROR(MATCH(L370,'04-نيسان'!$L$2:$L$501,0),0),0))</f>
        <v/>
      </c>
      <c r="W370" t="str">
        <f t="shared" si="111"/>
        <v/>
      </c>
      <c r="X370" s="38" t="str">
        <f>IF(L370="","",IF(V370&gt;0,INDEX('04-نيسان'!$P$2:$P$501,V370),IF($AO$1=1,0,"")))</f>
        <v/>
      </c>
      <c r="Y370" s="38" t="str">
        <f t="shared" si="112"/>
        <v/>
      </c>
      <c r="Z370" s="39" t="str">
        <f>IF(L370="","",IF(V370&gt;0,INDEX('04-نيسان'!$Q$2:$Q$501,V370),IF($AO$1=1,0,"")))</f>
        <v/>
      </c>
      <c r="AA370" s="39" t="str">
        <f t="shared" si="113"/>
        <v/>
      </c>
      <c r="AB370" s="40" t="str">
        <f>IF(OR(L370="",V370=0),"",IF(AND(N(I370)&gt;0,N(INDEX('04-نيسان'!$I$2:$I$501,V370))&gt;0,INDEX('04-نيسان'!$F$2:$F$501,V370)=F370),N(I370)/N(INDEX('04-نيسان'!$I$2:$I$501,V370))-1,""))</f>
        <v/>
      </c>
      <c r="AC370" t="str">
        <f>IF(L370="","",IF(AND($AO$2=1,ISNA(MATCH(L370,'06-حزيران'!$L$2:$L$499,0))),"محذوف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IF(L371="","",IF($AO$1=1,IFERROR(MATCH(L371,'04-نيسان'!$L$2:$L$501,0),0),0))</f>
        <v/>
      </c>
      <c r="W371" t="str">
        <f t="shared" si="111"/>
        <v/>
      </c>
      <c r="X371" s="38" t="str">
        <f>IF(L371="","",IF(V371&gt;0,INDEX('04-نيسان'!$P$2:$P$501,V371),IF($AO$1=1,0,"")))</f>
        <v/>
      </c>
      <c r="Y371" s="38" t="str">
        <f t="shared" si="112"/>
        <v/>
      </c>
      <c r="Z371" s="39" t="str">
        <f>IF(L371="","",IF(V371&gt;0,INDEX('04-نيسان'!$Q$2:$Q$501,V371),IF($AO$1=1,0,"")))</f>
        <v/>
      </c>
      <c r="AA371" s="39" t="str">
        <f t="shared" si="113"/>
        <v/>
      </c>
      <c r="AB371" s="40" t="str">
        <f>IF(OR(L371="",V371=0),"",IF(AND(N(I371)&gt;0,N(INDEX('04-نيسان'!$I$2:$I$501,V371))&gt;0,INDEX('04-نيسان'!$F$2:$F$501,V371)=F371),N(I371)/N(INDEX('04-نيسان'!$I$2:$I$501,V371))-1,""))</f>
        <v/>
      </c>
      <c r="AC371" t="str">
        <f>IF(L371="","",IF(AND($AO$2=1,ISNA(MATCH(L371,'06-حزيران'!$L$2:$L$499,0))),"محذوف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IF(L372="","",IF($AO$1=1,IFERROR(MATCH(L372,'04-نيسان'!$L$2:$L$501,0),0),0))</f>
        <v/>
      </c>
      <c r="W372" t="str">
        <f t="shared" si="111"/>
        <v/>
      </c>
      <c r="X372" s="38" t="str">
        <f>IF(L372="","",IF(V372&gt;0,INDEX('04-نيسان'!$P$2:$P$501,V372),IF($AO$1=1,0,"")))</f>
        <v/>
      </c>
      <c r="Y372" s="38" t="str">
        <f t="shared" si="112"/>
        <v/>
      </c>
      <c r="Z372" s="39" t="str">
        <f>IF(L372="","",IF(V372&gt;0,INDEX('04-نيسان'!$Q$2:$Q$501,V372),IF($AO$1=1,0,"")))</f>
        <v/>
      </c>
      <c r="AA372" s="39" t="str">
        <f t="shared" si="113"/>
        <v/>
      </c>
      <c r="AB372" s="40" t="str">
        <f>IF(OR(L372="",V372=0),"",IF(AND(N(I372)&gt;0,N(INDEX('04-نيسان'!$I$2:$I$501,V372))&gt;0,INDEX('04-نيسان'!$F$2:$F$501,V372)=F372),N(I372)/N(INDEX('04-نيسان'!$I$2:$I$501,V372))-1,""))</f>
        <v/>
      </c>
      <c r="AC372" t="str">
        <f>IF(L372="","",IF(AND($AO$2=1,ISNA(MATCH(L372,'06-حزيران'!$L$2:$L$499,0))),"محذوف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IF(L373="","",IF($AO$1=1,IFERROR(MATCH(L373,'04-نيسان'!$L$2:$L$501,0),0),0))</f>
        <v/>
      </c>
      <c r="W373" t="str">
        <f t="shared" si="111"/>
        <v/>
      </c>
      <c r="X373" s="38" t="str">
        <f>IF(L373="","",IF(V373&gt;0,INDEX('04-نيسان'!$P$2:$P$501,V373),IF($AO$1=1,0,"")))</f>
        <v/>
      </c>
      <c r="Y373" s="38" t="str">
        <f t="shared" si="112"/>
        <v/>
      </c>
      <c r="Z373" s="39" t="str">
        <f>IF(L373="","",IF(V373&gt;0,INDEX('04-نيسان'!$Q$2:$Q$501,V373),IF($AO$1=1,0,"")))</f>
        <v/>
      </c>
      <c r="AA373" s="39" t="str">
        <f t="shared" si="113"/>
        <v/>
      </c>
      <c r="AB373" s="40" t="str">
        <f>IF(OR(L373="",V373=0),"",IF(AND(N(I373)&gt;0,N(INDEX('04-نيسان'!$I$2:$I$501,V373))&gt;0,INDEX('04-نيسان'!$F$2:$F$501,V373)=F373),N(I373)/N(INDEX('04-نيسان'!$I$2:$I$501,V373))-1,""))</f>
        <v/>
      </c>
      <c r="AC373" t="str">
        <f>IF(L373="","",IF(AND($AO$2=1,ISNA(MATCH(L373,'06-حزيران'!$L$2:$L$499,0))),"محذوف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IF(L374="","",IF($AO$1=1,IFERROR(MATCH(L374,'04-نيسان'!$L$2:$L$501,0),0),0))</f>
        <v/>
      </c>
      <c r="W374" t="str">
        <f t="shared" si="111"/>
        <v/>
      </c>
      <c r="X374" s="38" t="str">
        <f>IF(L374="","",IF(V374&gt;0,INDEX('04-نيسان'!$P$2:$P$501,V374),IF($AO$1=1,0,"")))</f>
        <v/>
      </c>
      <c r="Y374" s="38" t="str">
        <f t="shared" si="112"/>
        <v/>
      </c>
      <c r="Z374" s="39" t="str">
        <f>IF(L374="","",IF(V374&gt;0,INDEX('04-نيسان'!$Q$2:$Q$501,V374),IF($AO$1=1,0,"")))</f>
        <v/>
      </c>
      <c r="AA374" s="39" t="str">
        <f t="shared" si="113"/>
        <v/>
      </c>
      <c r="AB374" s="40" t="str">
        <f>IF(OR(L374="",V374=0),"",IF(AND(N(I374)&gt;0,N(INDEX('04-نيسان'!$I$2:$I$501,V374))&gt;0,INDEX('04-نيسان'!$F$2:$F$501,V374)=F374),N(I374)/N(INDEX('04-نيسان'!$I$2:$I$501,V374))-1,""))</f>
        <v/>
      </c>
      <c r="AC374" t="str">
        <f>IF(L374="","",IF(AND($AO$2=1,ISNA(MATCH(L374,'06-حزيران'!$L$2:$L$499,0))),"محذوف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IF(L375="","",IF($AO$1=1,IFERROR(MATCH(L375,'04-نيسان'!$L$2:$L$501,0),0),0))</f>
        <v/>
      </c>
      <c r="W375" t="str">
        <f t="shared" si="111"/>
        <v/>
      </c>
      <c r="X375" s="38" t="str">
        <f>IF(L375="","",IF(V375&gt;0,INDEX('04-نيسان'!$P$2:$P$501,V375),IF($AO$1=1,0,"")))</f>
        <v/>
      </c>
      <c r="Y375" s="38" t="str">
        <f t="shared" si="112"/>
        <v/>
      </c>
      <c r="Z375" s="39" t="str">
        <f>IF(L375="","",IF(V375&gt;0,INDEX('04-نيسان'!$Q$2:$Q$501,V375),IF($AO$1=1,0,"")))</f>
        <v/>
      </c>
      <c r="AA375" s="39" t="str">
        <f t="shared" si="113"/>
        <v/>
      </c>
      <c r="AB375" s="40" t="str">
        <f>IF(OR(L375="",V375=0),"",IF(AND(N(I375)&gt;0,N(INDEX('04-نيسان'!$I$2:$I$501,V375))&gt;0,INDEX('04-نيسان'!$F$2:$F$501,V375)=F375),N(I375)/N(INDEX('04-نيسان'!$I$2:$I$501,V375))-1,""))</f>
        <v/>
      </c>
      <c r="AC375" t="str">
        <f>IF(L375="","",IF(AND($AO$2=1,ISNA(MATCH(L375,'06-حزيران'!$L$2:$L$499,0))),"محذوف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IF(L376="","",IF($AO$1=1,IFERROR(MATCH(L376,'04-نيسان'!$L$2:$L$501,0),0),0))</f>
        <v/>
      </c>
      <c r="W376" t="str">
        <f t="shared" si="111"/>
        <v/>
      </c>
      <c r="X376" s="38" t="str">
        <f>IF(L376="","",IF(V376&gt;0,INDEX('04-نيسان'!$P$2:$P$501,V376),IF($AO$1=1,0,"")))</f>
        <v/>
      </c>
      <c r="Y376" s="38" t="str">
        <f t="shared" si="112"/>
        <v/>
      </c>
      <c r="Z376" s="39" t="str">
        <f>IF(L376="","",IF(V376&gt;0,INDEX('04-نيسان'!$Q$2:$Q$501,V376),IF($AO$1=1,0,"")))</f>
        <v/>
      </c>
      <c r="AA376" s="39" t="str">
        <f t="shared" si="113"/>
        <v/>
      </c>
      <c r="AB376" s="40" t="str">
        <f>IF(OR(L376="",V376=0),"",IF(AND(N(I376)&gt;0,N(INDEX('04-نيسان'!$I$2:$I$501,V376))&gt;0,INDEX('04-نيسان'!$F$2:$F$501,V376)=F376),N(I376)/N(INDEX('04-نيسان'!$I$2:$I$501,V376))-1,""))</f>
        <v/>
      </c>
      <c r="AC376" t="str">
        <f>IF(L376="","",IF(AND($AO$2=1,ISNA(MATCH(L376,'06-حزيران'!$L$2:$L$499,0))),"محذوف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IF(L377="","",IF($AO$1=1,IFERROR(MATCH(L377,'04-نيسان'!$L$2:$L$501,0),0),0))</f>
        <v/>
      </c>
      <c r="W377" t="str">
        <f t="shared" si="111"/>
        <v/>
      </c>
      <c r="X377" s="38" t="str">
        <f>IF(L377="","",IF(V377&gt;0,INDEX('04-نيسان'!$P$2:$P$501,V377),IF($AO$1=1,0,"")))</f>
        <v/>
      </c>
      <c r="Y377" s="38" t="str">
        <f t="shared" si="112"/>
        <v/>
      </c>
      <c r="Z377" s="39" t="str">
        <f>IF(L377="","",IF(V377&gt;0,INDEX('04-نيسان'!$Q$2:$Q$501,V377),IF($AO$1=1,0,"")))</f>
        <v/>
      </c>
      <c r="AA377" s="39" t="str">
        <f t="shared" si="113"/>
        <v/>
      </c>
      <c r="AB377" s="40" t="str">
        <f>IF(OR(L377="",V377=0),"",IF(AND(N(I377)&gt;0,N(INDEX('04-نيسان'!$I$2:$I$501,V377))&gt;0,INDEX('04-نيسان'!$F$2:$F$501,V377)=F377),N(I377)/N(INDEX('04-نيسان'!$I$2:$I$501,V377))-1,""))</f>
        <v/>
      </c>
      <c r="AC377" t="str">
        <f>IF(L377="","",IF(AND($AO$2=1,ISNA(MATCH(L377,'06-حزيران'!$L$2:$L$499,0))),"محذوف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IF(L378="","",IF($AO$1=1,IFERROR(MATCH(L378,'04-نيسان'!$L$2:$L$501,0),0),0))</f>
        <v/>
      </c>
      <c r="W378" t="str">
        <f t="shared" si="111"/>
        <v/>
      </c>
      <c r="X378" s="38" t="str">
        <f>IF(L378="","",IF(V378&gt;0,INDEX('04-نيسان'!$P$2:$P$501,V378),IF($AO$1=1,0,"")))</f>
        <v/>
      </c>
      <c r="Y378" s="38" t="str">
        <f t="shared" si="112"/>
        <v/>
      </c>
      <c r="Z378" s="39" t="str">
        <f>IF(L378="","",IF(V378&gt;0,INDEX('04-نيسان'!$Q$2:$Q$501,V378),IF($AO$1=1,0,"")))</f>
        <v/>
      </c>
      <c r="AA378" s="39" t="str">
        <f t="shared" si="113"/>
        <v/>
      </c>
      <c r="AB378" s="40" t="str">
        <f>IF(OR(L378="",V378=0),"",IF(AND(N(I378)&gt;0,N(INDEX('04-نيسان'!$I$2:$I$501,V378))&gt;0,INDEX('04-نيسان'!$F$2:$F$501,V378)=F378),N(I378)/N(INDEX('04-نيسان'!$I$2:$I$501,V378))-1,""))</f>
        <v/>
      </c>
      <c r="AC378" t="str">
        <f>IF(L378="","",IF(AND($AO$2=1,ISNA(MATCH(L378,'06-حزيران'!$L$2:$L$499,0))),"محذوف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IF(L379="","",IF($AO$1=1,IFERROR(MATCH(L379,'04-نيسان'!$L$2:$L$501,0),0),0))</f>
        <v/>
      </c>
      <c r="W379" t="str">
        <f t="shared" si="111"/>
        <v/>
      </c>
      <c r="X379" s="38" t="str">
        <f>IF(L379="","",IF(V379&gt;0,INDEX('04-نيسان'!$P$2:$P$501,V379),IF($AO$1=1,0,"")))</f>
        <v/>
      </c>
      <c r="Y379" s="38" t="str">
        <f t="shared" si="112"/>
        <v/>
      </c>
      <c r="Z379" s="39" t="str">
        <f>IF(L379="","",IF(V379&gt;0,INDEX('04-نيسان'!$Q$2:$Q$501,V379),IF($AO$1=1,0,"")))</f>
        <v/>
      </c>
      <c r="AA379" s="39" t="str">
        <f t="shared" si="113"/>
        <v/>
      </c>
      <c r="AB379" s="40" t="str">
        <f>IF(OR(L379="",V379=0),"",IF(AND(N(I379)&gt;0,N(INDEX('04-نيسان'!$I$2:$I$501,V379))&gt;0,INDEX('04-نيسان'!$F$2:$F$501,V379)=F379),N(I379)/N(INDEX('04-نيسان'!$I$2:$I$501,V379))-1,""))</f>
        <v/>
      </c>
      <c r="AC379" t="str">
        <f>IF(L379="","",IF(AND($AO$2=1,ISNA(MATCH(L379,'06-حزيران'!$L$2:$L$499,0))),"محذوف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IF(L380="","",IF($AO$1=1,IFERROR(MATCH(L380,'04-نيسان'!$L$2:$L$501,0),0),0))</f>
        <v/>
      </c>
      <c r="W380" t="str">
        <f t="shared" si="111"/>
        <v/>
      </c>
      <c r="X380" s="38" t="str">
        <f>IF(L380="","",IF(V380&gt;0,INDEX('04-نيسان'!$P$2:$P$501,V380),IF($AO$1=1,0,"")))</f>
        <v/>
      </c>
      <c r="Y380" s="38" t="str">
        <f t="shared" si="112"/>
        <v/>
      </c>
      <c r="Z380" s="39" t="str">
        <f>IF(L380="","",IF(V380&gt;0,INDEX('04-نيسان'!$Q$2:$Q$501,V380),IF($AO$1=1,0,"")))</f>
        <v/>
      </c>
      <c r="AA380" s="39" t="str">
        <f t="shared" si="113"/>
        <v/>
      </c>
      <c r="AB380" s="40" t="str">
        <f>IF(OR(L380="",V380=0),"",IF(AND(N(I380)&gt;0,N(INDEX('04-نيسان'!$I$2:$I$501,V380))&gt;0,INDEX('04-نيسان'!$F$2:$F$501,V380)=F380),N(I380)/N(INDEX('04-نيسان'!$I$2:$I$501,V380))-1,""))</f>
        <v/>
      </c>
      <c r="AC380" t="str">
        <f>IF(L380="","",IF(AND($AO$2=1,ISNA(MATCH(L380,'06-حزيران'!$L$2:$L$499,0))),"محذوف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IF(L381="","",IF($AO$1=1,IFERROR(MATCH(L381,'04-نيسان'!$L$2:$L$501,0),0),0))</f>
        <v/>
      </c>
      <c r="W381" t="str">
        <f t="shared" si="111"/>
        <v/>
      </c>
      <c r="X381" s="38" t="str">
        <f>IF(L381="","",IF(V381&gt;0,INDEX('04-نيسان'!$P$2:$P$501,V381),IF($AO$1=1,0,"")))</f>
        <v/>
      </c>
      <c r="Y381" s="38" t="str">
        <f t="shared" si="112"/>
        <v/>
      </c>
      <c r="Z381" s="39" t="str">
        <f>IF(L381="","",IF(V381&gt;0,INDEX('04-نيسان'!$Q$2:$Q$501,V381),IF($AO$1=1,0,"")))</f>
        <v/>
      </c>
      <c r="AA381" s="39" t="str">
        <f t="shared" si="113"/>
        <v/>
      </c>
      <c r="AB381" s="40" t="str">
        <f>IF(OR(L381="",V381=0),"",IF(AND(N(I381)&gt;0,N(INDEX('04-نيسان'!$I$2:$I$501,V381))&gt;0,INDEX('04-نيسان'!$F$2:$F$501,V381)=F381),N(I381)/N(INDEX('04-نيسان'!$I$2:$I$501,V381))-1,""))</f>
        <v/>
      </c>
      <c r="AC381" t="str">
        <f>IF(L381="","",IF(AND($AO$2=1,ISNA(MATCH(L381,'06-حزيران'!$L$2:$L$499,0))),"محذوف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IF(L382="","",IF($AO$1=1,IFERROR(MATCH(L382,'04-نيسان'!$L$2:$L$501,0),0),0))</f>
        <v/>
      </c>
      <c r="W382" t="str">
        <f t="shared" si="111"/>
        <v/>
      </c>
      <c r="X382" s="38" t="str">
        <f>IF(L382="","",IF(V382&gt;0,INDEX('04-نيسان'!$P$2:$P$501,V382),IF($AO$1=1,0,"")))</f>
        <v/>
      </c>
      <c r="Y382" s="38" t="str">
        <f t="shared" si="112"/>
        <v/>
      </c>
      <c r="Z382" s="39" t="str">
        <f>IF(L382="","",IF(V382&gt;0,INDEX('04-نيسان'!$Q$2:$Q$501,V382),IF($AO$1=1,0,"")))</f>
        <v/>
      </c>
      <c r="AA382" s="39" t="str">
        <f t="shared" si="113"/>
        <v/>
      </c>
      <c r="AB382" s="40" t="str">
        <f>IF(OR(L382="",V382=0),"",IF(AND(N(I382)&gt;0,N(INDEX('04-نيسان'!$I$2:$I$501,V382))&gt;0,INDEX('04-نيسان'!$F$2:$F$501,V382)=F382),N(I382)/N(INDEX('04-نيسان'!$I$2:$I$501,V382))-1,""))</f>
        <v/>
      </c>
      <c r="AC382" t="str">
        <f>IF(L382="","",IF(AND($AO$2=1,ISNA(MATCH(L382,'06-حزيران'!$L$2:$L$499,0))),"محذوف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IF(L383="","",IF($AO$1=1,IFERROR(MATCH(L383,'04-نيسان'!$L$2:$L$501,0),0),0))</f>
        <v/>
      </c>
      <c r="W383" t="str">
        <f t="shared" si="111"/>
        <v/>
      </c>
      <c r="X383" s="38" t="str">
        <f>IF(L383="","",IF(V383&gt;0,INDEX('04-نيسان'!$P$2:$P$501,V383),IF($AO$1=1,0,"")))</f>
        <v/>
      </c>
      <c r="Y383" s="38" t="str">
        <f t="shared" si="112"/>
        <v/>
      </c>
      <c r="Z383" s="39" t="str">
        <f>IF(L383="","",IF(V383&gt;0,INDEX('04-نيسان'!$Q$2:$Q$501,V383),IF($AO$1=1,0,"")))</f>
        <v/>
      </c>
      <c r="AA383" s="39" t="str">
        <f t="shared" si="113"/>
        <v/>
      </c>
      <c r="AB383" s="40" t="str">
        <f>IF(OR(L383="",V383=0),"",IF(AND(N(I383)&gt;0,N(INDEX('04-نيسان'!$I$2:$I$501,V383))&gt;0,INDEX('04-نيسان'!$F$2:$F$501,V383)=F383),N(I383)/N(INDEX('04-نيسان'!$I$2:$I$501,V383))-1,""))</f>
        <v/>
      </c>
      <c r="AC383" t="str">
        <f>IF(L383="","",IF(AND($AO$2=1,ISNA(MATCH(L383,'06-حزيران'!$L$2:$L$499,0))),"محذوف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IF(L384="","",IF($AO$1=1,IFERROR(MATCH(L384,'04-نيسان'!$L$2:$L$501,0),0),0))</f>
        <v/>
      </c>
      <c r="W384" t="str">
        <f t="shared" si="111"/>
        <v/>
      </c>
      <c r="X384" s="38" t="str">
        <f>IF(L384="","",IF(V384&gt;0,INDEX('04-نيسان'!$P$2:$P$501,V384),IF($AO$1=1,0,"")))</f>
        <v/>
      </c>
      <c r="Y384" s="38" t="str">
        <f t="shared" si="112"/>
        <v/>
      </c>
      <c r="Z384" s="39" t="str">
        <f>IF(L384="","",IF(V384&gt;0,INDEX('04-نيسان'!$Q$2:$Q$501,V384),IF($AO$1=1,0,"")))</f>
        <v/>
      </c>
      <c r="AA384" s="39" t="str">
        <f t="shared" si="113"/>
        <v/>
      </c>
      <c r="AB384" s="40" t="str">
        <f>IF(OR(L384="",V384=0),"",IF(AND(N(I384)&gt;0,N(INDEX('04-نيسان'!$I$2:$I$501,V384))&gt;0,INDEX('04-نيسان'!$F$2:$F$501,V384)=F384),N(I384)/N(INDEX('04-نيسان'!$I$2:$I$501,V384))-1,""))</f>
        <v/>
      </c>
      <c r="AC384" t="str">
        <f>IF(L384="","",IF(AND($AO$2=1,ISNA(MATCH(L384,'06-حزيران'!$L$2:$L$499,0))),"محذوف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IF(L385="","",IF($AO$1=1,IFERROR(MATCH(L385,'04-نيسان'!$L$2:$L$501,0),0),0))</f>
        <v/>
      </c>
      <c r="W385" t="str">
        <f t="shared" si="111"/>
        <v/>
      </c>
      <c r="X385" s="38" t="str">
        <f>IF(L385="","",IF(V385&gt;0,INDEX('04-نيسان'!$P$2:$P$501,V385),IF($AO$1=1,0,"")))</f>
        <v/>
      </c>
      <c r="Y385" s="38" t="str">
        <f t="shared" si="112"/>
        <v/>
      </c>
      <c r="Z385" s="39" t="str">
        <f>IF(L385="","",IF(V385&gt;0,INDEX('04-نيسان'!$Q$2:$Q$501,V385),IF($AO$1=1,0,"")))</f>
        <v/>
      </c>
      <c r="AA385" s="39" t="str">
        <f t="shared" si="113"/>
        <v/>
      </c>
      <c r="AB385" s="40" t="str">
        <f>IF(OR(L385="",V385=0),"",IF(AND(N(I385)&gt;0,N(INDEX('04-نيسان'!$I$2:$I$501,V385))&gt;0,INDEX('04-نيسان'!$F$2:$F$501,V385)=F385),N(I385)/N(INDEX('04-نيسان'!$I$2:$I$501,V385))-1,""))</f>
        <v/>
      </c>
      <c r="AC385" t="str">
        <f>IF(L385="","",IF(AND($AO$2=1,ISNA(MATCH(L385,'06-حزيران'!$L$2:$L$499,0))),"محذوف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IF(L386="","",IF($AO$1=1,IFERROR(MATCH(L386,'04-نيسان'!$L$2:$L$501,0),0),0))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IF(L386="","",IF(V386&gt;0,INDEX('04-نيسان'!$P$2:$P$501,V386),IF($AO$1=1,0,"")))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IF(L386="","",IF(V386&gt;0,INDEX('04-نيسان'!$Q$2:$Q$501,V386),IF($AO$1=1,0,"")))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IF(OR(L386="",V386=0),"",IF(AND(N(I386)&gt;0,N(INDEX('04-نيسان'!$I$2:$I$501,V386))&gt;0,INDEX('04-نيسان'!$F$2:$F$501,V386)=F386),N(I386)/N(INDEX('04-نيسان'!$I$2:$I$501,V386))-1,""))</f>
        <v/>
      </c>
      <c r="AC386" t="str">
        <f>IF(L386="","",IF(AND($AO$2=1,ISNA(MATCH(L386,'06-حزيران'!$L$2:$L$499,0))),"محذوف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IF(L387="","",IF($AO$1=1,IFERROR(MATCH(L387,'04-نيسان'!$L$2:$L$501,0),0),0))</f>
        <v/>
      </c>
      <c r="W387" t="str">
        <f t="shared" si="131"/>
        <v/>
      </c>
      <c r="X387" s="38" t="str">
        <f>IF(L387="","",IF(V387&gt;0,INDEX('04-نيسان'!$P$2:$P$501,V387),IF($AO$1=1,0,"")))</f>
        <v/>
      </c>
      <c r="Y387" s="38" t="str">
        <f t="shared" si="132"/>
        <v/>
      </c>
      <c r="Z387" s="39" t="str">
        <f>IF(L387="","",IF(V387&gt;0,INDEX('04-نيسان'!$Q$2:$Q$501,V387),IF($AO$1=1,0,"")))</f>
        <v/>
      </c>
      <c r="AA387" s="39" t="str">
        <f t="shared" si="133"/>
        <v/>
      </c>
      <c r="AB387" s="40" t="str">
        <f>IF(OR(L387="",V387=0),"",IF(AND(N(I387)&gt;0,N(INDEX('04-نيسان'!$I$2:$I$501,V387))&gt;0,INDEX('04-نيسان'!$F$2:$F$501,V387)=F387),N(I387)/N(INDEX('04-نيسان'!$I$2:$I$501,V387))-1,""))</f>
        <v/>
      </c>
      <c r="AC387" t="str">
        <f>IF(L387="","",IF(AND($AO$2=1,ISNA(MATCH(L387,'06-حزيران'!$L$2:$L$499,0))),"محذوف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IF(L388="","",IF($AO$1=1,IFERROR(MATCH(L388,'04-نيسان'!$L$2:$L$501,0),0),0))</f>
        <v/>
      </c>
      <c r="W388" t="str">
        <f t="shared" si="131"/>
        <v/>
      </c>
      <c r="X388" s="38" t="str">
        <f>IF(L388="","",IF(V388&gt;0,INDEX('04-نيسان'!$P$2:$P$501,V388),IF($AO$1=1,0,"")))</f>
        <v/>
      </c>
      <c r="Y388" s="38" t="str">
        <f t="shared" si="132"/>
        <v/>
      </c>
      <c r="Z388" s="39" t="str">
        <f>IF(L388="","",IF(V388&gt;0,INDEX('04-نيسان'!$Q$2:$Q$501,V388),IF($AO$1=1,0,"")))</f>
        <v/>
      </c>
      <c r="AA388" s="39" t="str">
        <f t="shared" si="133"/>
        <v/>
      </c>
      <c r="AB388" s="40" t="str">
        <f>IF(OR(L388="",V388=0),"",IF(AND(N(I388)&gt;0,N(INDEX('04-نيسان'!$I$2:$I$501,V388))&gt;0,INDEX('04-نيسان'!$F$2:$F$501,V388)=F388),N(I388)/N(INDEX('04-نيسان'!$I$2:$I$501,V388))-1,""))</f>
        <v/>
      </c>
      <c r="AC388" t="str">
        <f>IF(L388="","",IF(AND($AO$2=1,ISNA(MATCH(L388,'06-حزيران'!$L$2:$L$499,0))),"محذوف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IF(L389="","",IF($AO$1=1,IFERROR(MATCH(L389,'04-نيسان'!$L$2:$L$501,0),0),0))</f>
        <v/>
      </c>
      <c r="W389" t="str">
        <f t="shared" si="131"/>
        <v/>
      </c>
      <c r="X389" s="38" t="str">
        <f>IF(L389="","",IF(V389&gt;0,INDEX('04-نيسان'!$P$2:$P$501,V389),IF($AO$1=1,0,"")))</f>
        <v/>
      </c>
      <c r="Y389" s="38" t="str">
        <f t="shared" si="132"/>
        <v/>
      </c>
      <c r="Z389" s="39" t="str">
        <f>IF(L389="","",IF(V389&gt;0,INDEX('04-نيسان'!$Q$2:$Q$501,V389),IF($AO$1=1,0,"")))</f>
        <v/>
      </c>
      <c r="AA389" s="39" t="str">
        <f t="shared" si="133"/>
        <v/>
      </c>
      <c r="AB389" s="40" t="str">
        <f>IF(OR(L389="",V389=0),"",IF(AND(N(I389)&gt;0,N(INDEX('04-نيسان'!$I$2:$I$501,V389))&gt;0,INDEX('04-نيسان'!$F$2:$F$501,V389)=F389),N(I389)/N(INDEX('04-نيسان'!$I$2:$I$501,V389))-1,""))</f>
        <v/>
      </c>
      <c r="AC389" t="str">
        <f>IF(L389="","",IF(AND($AO$2=1,ISNA(MATCH(L389,'06-حزيران'!$L$2:$L$499,0))),"محذوف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IF(L390="","",IF($AO$1=1,IFERROR(MATCH(L390,'04-نيسان'!$L$2:$L$501,0),0),0))</f>
        <v/>
      </c>
      <c r="W390" t="str">
        <f t="shared" si="131"/>
        <v/>
      </c>
      <c r="X390" s="38" t="str">
        <f>IF(L390="","",IF(V390&gt;0,INDEX('04-نيسان'!$P$2:$P$501,V390),IF($AO$1=1,0,"")))</f>
        <v/>
      </c>
      <c r="Y390" s="38" t="str">
        <f t="shared" si="132"/>
        <v/>
      </c>
      <c r="Z390" s="39" t="str">
        <f>IF(L390="","",IF(V390&gt;0,INDEX('04-نيسان'!$Q$2:$Q$501,V390),IF($AO$1=1,0,"")))</f>
        <v/>
      </c>
      <c r="AA390" s="39" t="str">
        <f t="shared" si="133"/>
        <v/>
      </c>
      <c r="AB390" s="40" t="str">
        <f>IF(OR(L390="",V390=0),"",IF(AND(N(I390)&gt;0,N(INDEX('04-نيسان'!$I$2:$I$501,V390))&gt;0,INDEX('04-نيسان'!$F$2:$F$501,V390)=F390),N(I390)/N(INDEX('04-نيسان'!$I$2:$I$501,V390))-1,""))</f>
        <v/>
      </c>
      <c r="AC390" t="str">
        <f>IF(L390="","",IF(AND($AO$2=1,ISNA(MATCH(L390,'06-حزيران'!$L$2:$L$499,0))),"محذوف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IF(L391="","",IF($AO$1=1,IFERROR(MATCH(L391,'04-نيسان'!$L$2:$L$501,0),0),0))</f>
        <v/>
      </c>
      <c r="W391" t="str">
        <f t="shared" si="131"/>
        <v/>
      </c>
      <c r="X391" s="38" t="str">
        <f>IF(L391="","",IF(V391&gt;0,INDEX('04-نيسان'!$P$2:$P$501,V391),IF($AO$1=1,0,"")))</f>
        <v/>
      </c>
      <c r="Y391" s="38" t="str">
        <f t="shared" si="132"/>
        <v/>
      </c>
      <c r="Z391" s="39" t="str">
        <f>IF(L391="","",IF(V391&gt;0,INDEX('04-نيسان'!$Q$2:$Q$501,V391),IF($AO$1=1,0,"")))</f>
        <v/>
      </c>
      <c r="AA391" s="39" t="str">
        <f t="shared" si="133"/>
        <v/>
      </c>
      <c r="AB391" s="40" t="str">
        <f>IF(OR(L391="",V391=0),"",IF(AND(N(I391)&gt;0,N(INDEX('04-نيسان'!$I$2:$I$501,V391))&gt;0,INDEX('04-نيسان'!$F$2:$F$501,V391)=F391),N(I391)/N(INDEX('04-نيسان'!$I$2:$I$501,V391))-1,""))</f>
        <v/>
      </c>
      <c r="AC391" t="str">
        <f>IF(L391="","",IF(AND($AO$2=1,ISNA(MATCH(L391,'06-حزيران'!$L$2:$L$499,0))),"محذوف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IF(L392="","",IF($AO$1=1,IFERROR(MATCH(L392,'04-نيسان'!$L$2:$L$501,0),0),0))</f>
        <v/>
      </c>
      <c r="W392" t="str">
        <f t="shared" si="131"/>
        <v/>
      </c>
      <c r="X392" s="38" t="str">
        <f>IF(L392="","",IF(V392&gt;0,INDEX('04-نيسان'!$P$2:$P$501,V392),IF($AO$1=1,0,"")))</f>
        <v/>
      </c>
      <c r="Y392" s="38" t="str">
        <f t="shared" si="132"/>
        <v/>
      </c>
      <c r="Z392" s="39" t="str">
        <f>IF(L392="","",IF(V392&gt;0,INDEX('04-نيسان'!$Q$2:$Q$501,V392),IF($AO$1=1,0,"")))</f>
        <v/>
      </c>
      <c r="AA392" s="39" t="str">
        <f t="shared" si="133"/>
        <v/>
      </c>
      <c r="AB392" s="40" t="str">
        <f>IF(OR(L392="",V392=0),"",IF(AND(N(I392)&gt;0,N(INDEX('04-نيسان'!$I$2:$I$501,V392))&gt;0,INDEX('04-نيسان'!$F$2:$F$501,V392)=F392),N(I392)/N(INDEX('04-نيسان'!$I$2:$I$501,V392))-1,""))</f>
        <v/>
      </c>
      <c r="AC392" t="str">
        <f>IF(L392="","",IF(AND($AO$2=1,ISNA(MATCH(L392,'06-حزيران'!$L$2:$L$499,0))),"محذوف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IF(L393="","",IF($AO$1=1,IFERROR(MATCH(L393,'04-نيسان'!$L$2:$L$501,0),0),0))</f>
        <v/>
      </c>
      <c r="W393" t="str">
        <f t="shared" si="131"/>
        <v/>
      </c>
      <c r="X393" s="38" t="str">
        <f>IF(L393="","",IF(V393&gt;0,INDEX('04-نيسان'!$P$2:$P$501,V393),IF($AO$1=1,0,"")))</f>
        <v/>
      </c>
      <c r="Y393" s="38" t="str">
        <f t="shared" si="132"/>
        <v/>
      </c>
      <c r="Z393" s="39" t="str">
        <f>IF(L393="","",IF(V393&gt;0,INDEX('04-نيسان'!$Q$2:$Q$501,V393),IF($AO$1=1,0,"")))</f>
        <v/>
      </c>
      <c r="AA393" s="39" t="str">
        <f t="shared" si="133"/>
        <v/>
      </c>
      <c r="AB393" s="40" t="str">
        <f>IF(OR(L393="",V393=0),"",IF(AND(N(I393)&gt;0,N(INDEX('04-نيسان'!$I$2:$I$501,V393))&gt;0,INDEX('04-نيسان'!$F$2:$F$501,V393)=F393),N(I393)/N(INDEX('04-نيسان'!$I$2:$I$501,V393))-1,""))</f>
        <v/>
      </c>
      <c r="AC393" t="str">
        <f>IF(L393="","",IF(AND($AO$2=1,ISNA(MATCH(L393,'06-حزيران'!$L$2:$L$499,0))),"محذوف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IF(L394="","",IF($AO$1=1,IFERROR(MATCH(L394,'04-نيسان'!$L$2:$L$501,0),0),0))</f>
        <v/>
      </c>
      <c r="W394" t="str">
        <f t="shared" si="131"/>
        <v/>
      </c>
      <c r="X394" s="38" t="str">
        <f>IF(L394="","",IF(V394&gt;0,INDEX('04-نيسان'!$P$2:$P$501,V394),IF($AO$1=1,0,"")))</f>
        <v/>
      </c>
      <c r="Y394" s="38" t="str">
        <f t="shared" si="132"/>
        <v/>
      </c>
      <c r="Z394" s="39" t="str">
        <f>IF(L394="","",IF(V394&gt;0,INDEX('04-نيسان'!$Q$2:$Q$501,V394),IF($AO$1=1,0,"")))</f>
        <v/>
      </c>
      <c r="AA394" s="39" t="str">
        <f t="shared" si="133"/>
        <v/>
      </c>
      <c r="AB394" s="40" t="str">
        <f>IF(OR(L394="",V394=0),"",IF(AND(N(I394)&gt;0,N(INDEX('04-نيسان'!$I$2:$I$501,V394))&gt;0,INDEX('04-نيسان'!$F$2:$F$501,V394)=F394),N(I394)/N(INDEX('04-نيسان'!$I$2:$I$501,V394))-1,""))</f>
        <v/>
      </c>
      <c r="AC394" t="str">
        <f>IF(L394="","",IF(AND($AO$2=1,ISNA(MATCH(L394,'06-حزيران'!$L$2:$L$499,0))),"محذوف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IF(L395="","",IF($AO$1=1,IFERROR(MATCH(L395,'04-نيسان'!$L$2:$L$501,0),0),0))</f>
        <v/>
      </c>
      <c r="W395" t="str">
        <f t="shared" si="131"/>
        <v/>
      </c>
      <c r="X395" s="38" t="str">
        <f>IF(L395="","",IF(V395&gt;0,INDEX('04-نيسان'!$P$2:$P$501,V395),IF($AO$1=1,0,"")))</f>
        <v/>
      </c>
      <c r="Y395" s="38" t="str">
        <f t="shared" si="132"/>
        <v/>
      </c>
      <c r="Z395" s="39" t="str">
        <f>IF(L395="","",IF(V395&gt;0,INDEX('04-نيسان'!$Q$2:$Q$501,V395),IF($AO$1=1,0,"")))</f>
        <v/>
      </c>
      <c r="AA395" s="39" t="str">
        <f t="shared" si="133"/>
        <v/>
      </c>
      <c r="AB395" s="40" t="str">
        <f>IF(OR(L395="",V395=0),"",IF(AND(N(I395)&gt;0,N(INDEX('04-نيسان'!$I$2:$I$501,V395))&gt;0,INDEX('04-نيسان'!$F$2:$F$501,V395)=F395),N(I395)/N(INDEX('04-نيسان'!$I$2:$I$501,V395))-1,""))</f>
        <v/>
      </c>
      <c r="AC395" t="str">
        <f>IF(L395="","",IF(AND($AO$2=1,ISNA(MATCH(L395,'06-حزيران'!$L$2:$L$499,0))),"محذوف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IF(L396="","",IF($AO$1=1,IFERROR(MATCH(L396,'04-نيسان'!$L$2:$L$501,0),0),0))</f>
        <v/>
      </c>
      <c r="W396" t="str">
        <f t="shared" si="131"/>
        <v/>
      </c>
      <c r="X396" s="38" t="str">
        <f>IF(L396="","",IF(V396&gt;0,INDEX('04-نيسان'!$P$2:$P$501,V396),IF($AO$1=1,0,"")))</f>
        <v/>
      </c>
      <c r="Y396" s="38" t="str">
        <f t="shared" si="132"/>
        <v/>
      </c>
      <c r="Z396" s="39" t="str">
        <f>IF(L396="","",IF(V396&gt;0,INDEX('04-نيسان'!$Q$2:$Q$501,V396),IF($AO$1=1,0,"")))</f>
        <v/>
      </c>
      <c r="AA396" s="39" t="str">
        <f t="shared" si="133"/>
        <v/>
      </c>
      <c r="AB396" s="40" t="str">
        <f>IF(OR(L396="",V396=0),"",IF(AND(N(I396)&gt;0,N(INDEX('04-نيسان'!$I$2:$I$501,V396))&gt;0,INDEX('04-نيسان'!$F$2:$F$501,V396)=F396),N(I396)/N(INDEX('04-نيسان'!$I$2:$I$501,V396))-1,""))</f>
        <v/>
      </c>
      <c r="AC396" t="str">
        <f>IF(L396="","",IF(AND($AO$2=1,ISNA(MATCH(L396,'06-حزيران'!$L$2:$L$499,0))),"محذوف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IF(L397="","",IF($AO$1=1,IFERROR(MATCH(L397,'04-نيسان'!$L$2:$L$501,0),0),0))</f>
        <v/>
      </c>
      <c r="W397" t="str">
        <f t="shared" si="131"/>
        <v/>
      </c>
      <c r="X397" s="38" t="str">
        <f>IF(L397="","",IF(V397&gt;0,INDEX('04-نيسان'!$P$2:$P$501,V397),IF($AO$1=1,0,"")))</f>
        <v/>
      </c>
      <c r="Y397" s="38" t="str">
        <f t="shared" si="132"/>
        <v/>
      </c>
      <c r="Z397" s="39" t="str">
        <f>IF(L397="","",IF(V397&gt;0,INDEX('04-نيسان'!$Q$2:$Q$501,V397),IF($AO$1=1,0,"")))</f>
        <v/>
      </c>
      <c r="AA397" s="39" t="str">
        <f t="shared" si="133"/>
        <v/>
      </c>
      <c r="AB397" s="40" t="str">
        <f>IF(OR(L397="",V397=0),"",IF(AND(N(I397)&gt;0,N(INDEX('04-نيسان'!$I$2:$I$501,V397))&gt;0,INDEX('04-نيسان'!$F$2:$F$501,V397)=F397),N(I397)/N(INDEX('04-نيسان'!$I$2:$I$501,V397))-1,""))</f>
        <v/>
      </c>
      <c r="AC397" t="str">
        <f>IF(L397="","",IF(AND($AO$2=1,ISNA(MATCH(L397,'06-حزيران'!$L$2:$L$499,0))),"محذوف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IF(L398="","",IF($AO$1=1,IFERROR(MATCH(L398,'04-نيسان'!$L$2:$L$501,0),0),0))</f>
        <v/>
      </c>
      <c r="W398" t="str">
        <f t="shared" si="131"/>
        <v/>
      </c>
      <c r="X398" s="38" t="str">
        <f>IF(L398="","",IF(V398&gt;0,INDEX('04-نيسان'!$P$2:$P$501,V398),IF($AO$1=1,0,"")))</f>
        <v/>
      </c>
      <c r="Y398" s="38" t="str">
        <f t="shared" si="132"/>
        <v/>
      </c>
      <c r="Z398" s="39" t="str">
        <f>IF(L398="","",IF(V398&gt;0,INDEX('04-نيسان'!$Q$2:$Q$501,V398),IF($AO$1=1,0,"")))</f>
        <v/>
      </c>
      <c r="AA398" s="39" t="str">
        <f t="shared" si="133"/>
        <v/>
      </c>
      <c r="AB398" s="40" t="str">
        <f>IF(OR(L398="",V398=0),"",IF(AND(N(I398)&gt;0,N(INDEX('04-نيسان'!$I$2:$I$501,V398))&gt;0,INDEX('04-نيسان'!$F$2:$F$501,V398)=F398),N(I398)/N(INDEX('04-نيسان'!$I$2:$I$501,V398))-1,""))</f>
        <v/>
      </c>
      <c r="AC398" t="str">
        <f>IF(L398="","",IF(AND($AO$2=1,ISNA(MATCH(L398,'06-حزيران'!$L$2:$L$499,0))),"محذوف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IF(L399="","",IF($AO$1=1,IFERROR(MATCH(L399,'04-نيسان'!$L$2:$L$501,0),0),0))</f>
        <v/>
      </c>
      <c r="W399" t="str">
        <f t="shared" si="131"/>
        <v/>
      </c>
      <c r="X399" s="38" t="str">
        <f>IF(L399="","",IF(V399&gt;0,INDEX('04-نيسان'!$P$2:$P$501,V399),IF($AO$1=1,0,"")))</f>
        <v/>
      </c>
      <c r="Y399" s="38" t="str">
        <f t="shared" si="132"/>
        <v/>
      </c>
      <c r="Z399" s="39" t="str">
        <f>IF(L399="","",IF(V399&gt;0,INDEX('04-نيسان'!$Q$2:$Q$501,V399),IF($AO$1=1,0,"")))</f>
        <v/>
      </c>
      <c r="AA399" s="39" t="str">
        <f t="shared" si="133"/>
        <v/>
      </c>
      <c r="AB399" s="40" t="str">
        <f>IF(OR(L399="",V399=0),"",IF(AND(N(I399)&gt;0,N(INDEX('04-نيسان'!$I$2:$I$501,V399))&gt;0,INDEX('04-نيسان'!$F$2:$F$501,V399)=F399),N(I399)/N(INDEX('04-نيسان'!$I$2:$I$501,V399))-1,""))</f>
        <v/>
      </c>
      <c r="AC399" t="str">
        <f>IF(L399="","",IF(AND($AO$2=1,ISNA(MATCH(L399,'06-حزيران'!$L$2:$L$499,0))),"محذوف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IF(L400="","",IF($AO$1=1,IFERROR(MATCH(L400,'04-نيسان'!$L$2:$L$501,0),0),0))</f>
        <v/>
      </c>
      <c r="W400" t="str">
        <f t="shared" si="131"/>
        <v/>
      </c>
      <c r="X400" s="38" t="str">
        <f>IF(L400="","",IF(V400&gt;0,INDEX('04-نيسان'!$P$2:$P$501,V400),IF($AO$1=1,0,"")))</f>
        <v/>
      </c>
      <c r="Y400" s="38" t="str">
        <f t="shared" si="132"/>
        <v/>
      </c>
      <c r="Z400" s="39" t="str">
        <f>IF(L400="","",IF(V400&gt;0,INDEX('04-نيسان'!$Q$2:$Q$501,V400),IF($AO$1=1,0,"")))</f>
        <v/>
      </c>
      <c r="AA400" s="39" t="str">
        <f t="shared" si="133"/>
        <v/>
      </c>
      <c r="AB400" s="40" t="str">
        <f>IF(OR(L400="",V400=0),"",IF(AND(N(I400)&gt;0,N(INDEX('04-نيسان'!$I$2:$I$501,V400))&gt;0,INDEX('04-نيسان'!$F$2:$F$501,V400)=F400),N(I400)/N(INDEX('04-نيسان'!$I$2:$I$501,V400))-1,""))</f>
        <v/>
      </c>
      <c r="AC400" t="str">
        <f>IF(L400="","",IF(AND($AO$2=1,ISNA(MATCH(L400,'06-حزيران'!$L$2:$L$499,0))),"محذوف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IF(L401="","",IF($AO$1=1,IFERROR(MATCH(L401,'04-نيسان'!$L$2:$L$501,0),0),0))</f>
        <v/>
      </c>
      <c r="W401" t="str">
        <f t="shared" si="131"/>
        <v/>
      </c>
      <c r="X401" s="38" t="str">
        <f>IF(L401="","",IF(V401&gt;0,INDEX('04-نيسان'!$P$2:$P$501,V401),IF($AO$1=1,0,"")))</f>
        <v/>
      </c>
      <c r="Y401" s="38" t="str">
        <f t="shared" si="132"/>
        <v/>
      </c>
      <c r="Z401" s="39" t="str">
        <f>IF(L401="","",IF(V401&gt;0,INDEX('04-نيسان'!$Q$2:$Q$501,V401),IF($AO$1=1,0,"")))</f>
        <v/>
      </c>
      <c r="AA401" s="39" t="str">
        <f t="shared" si="133"/>
        <v/>
      </c>
      <c r="AB401" s="40" t="str">
        <f>IF(OR(L401="",V401=0),"",IF(AND(N(I401)&gt;0,N(INDEX('04-نيسان'!$I$2:$I$501,V401))&gt;0,INDEX('04-نيسان'!$F$2:$F$501,V401)=F401),N(I401)/N(INDEX('04-نيسان'!$I$2:$I$501,V401))-1,""))</f>
        <v/>
      </c>
      <c r="AC401" t="str">
        <f>IF(L401="","",IF(AND($AO$2=1,ISNA(MATCH(L401,'06-حزيران'!$L$2:$L$499,0))),"محذوف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IF(L402="","",IF($AO$1=1,IFERROR(MATCH(L402,'04-نيسان'!$L$2:$L$501,0),0),0))</f>
        <v/>
      </c>
      <c r="W402" t="str">
        <f t="shared" si="131"/>
        <v/>
      </c>
      <c r="X402" s="38" t="str">
        <f>IF(L402="","",IF(V402&gt;0,INDEX('04-نيسان'!$P$2:$P$501,V402),IF($AO$1=1,0,"")))</f>
        <v/>
      </c>
      <c r="Y402" s="38" t="str">
        <f t="shared" si="132"/>
        <v/>
      </c>
      <c r="Z402" s="39" t="str">
        <f>IF(L402="","",IF(V402&gt;0,INDEX('04-نيسان'!$Q$2:$Q$501,V402),IF($AO$1=1,0,"")))</f>
        <v/>
      </c>
      <c r="AA402" s="39" t="str">
        <f t="shared" si="133"/>
        <v/>
      </c>
      <c r="AB402" s="40" t="str">
        <f>IF(OR(L402="",V402=0),"",IF(AND(N(I402)&gt;0,N(INDEX('04-نيسان'!$I$2:$I$501,V402))&gt;0,INDEX('04-نيسان'!$F$2:$F$501,V402)=F402),N(I402)/N(INDEX('04-نيسان'!$I$2:$I$501,V402))-1,""))</f>
        <v/>
      </c>
      <c r="AC402" t="str">
        <f>IF(L402="","",IF(AND($AO$2=1,ISNA(MATCH(L402,'06-حزيران'!$L$2:$L$499,0))),"محذوف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IF(L403="","",IF($AO$1=1,IFERROR(MATCH(L403,'04-نيسان'!$L$2:$L$501,0),0),0))</f>
        <v/>
      </c>
      <c r="W403" t="str">
        <f t="shared" si="131"/>
        <v/>
      </c>
      <c r="X403" s="38" t="str">
        <f>IF(L403="","",IF(V403&gt;0,INDEX('04-نيسان'!$P$2:$P$501,V403),IF($AO$1=1,0,"")))</f>
        <v/>
      </c>
      <c r="Y403" s="38" t="str">
        <f t="shared" si="132"/>
        <v/>
      </c>
      <c r="Z403" s="39" t="str">
        <f>IF(L403="","",IF(V403&gt;0,INDEX('04-نيسان'!$Q$2:$Q$501,V403),IF($AO$1=1,0,"")))</f>
        <v/>
      </c>
      <c r="AA403" s="39" t="str">
        <f t="shared" si="133"/>
        <v/>
      </c>
      <c r="AB403" s="40" t="str">
        <f>IF(OR(L403="",V403=0),"",IF(AND(N(I403)&gt;0,N(INDEX('04-نيسان'!$I$2:$I$501,V403))&gt;0,INDEX('04-نيسان'!$F$2:$F$501,V403)=F403),N(I403)/N(INDEX('04-نيسان'!$I$2:$I$501,V403))-1,""))</f>
        <v/>
      </c>
      <c r="AC403" t="str">
        <f>IF(L403="","",IF(AND($AO$2=1,ISNA(MATCH(L403,'06-حزيران'!$L$2:$L$499,0))),"محذوف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IF(L404="","",IF($AO$1=1,IFERROR(MATCH(L404,'04-نيسان'!$L$2:$L$501,0),0),0))</f>
        <v/>
      </c>
      <c r="W404" t="str">
        <f t="shared" si="131"/>
        <v/>
      </c>
      <c r="X404" s="38" t="str">
        <f>IF(L404="","",IF(V404&gt;0,INDEX('04-نيسان'!$P$2:$P$501,V404),IF($AO$1=1,0,"")))</f>
        <v/>
      </c>
      <c r="Y404" s="38" t="str">
        <f t="shared" si="132"/>
        <v/>
      </c>
      <c r="Z404" s="39" t="str">
        <f>IF(L404="","",IF(V404&gt;0,INDEX('04-نيسان'!$Q$2:$Q$501,V404),IF($AO$1=1,0,"")))</f>
        <v/>
      </c>
      <c r="AA404" s="39" t="str">
        <f t="shared" si="133"/>
        <v/>
      </c>
      <c r="AB404" s="40" t="str">
        <f>IF(OR(L404="",V404=0),"",IF(AND(N(I404)&gt;0,N(INDEX('04-نيسان'!$I$2:$I$501,V404))&gt;0,INDEX('04-نيسان'!$F$2:$F$501,V404)=F404),N(I404)/N(INDEX('04-نيسان'!$I$2:$I$501,V404))-1,""))</f>
        <v/>
      </c>
      <c r="AC404" t="str">
        <f>IF(L404="","",IF(AND($AO$2=1,ISNA(MATCH(L404,'06-حزيران'!$L$2:$L$499,0))),"محذوف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IF(L405="","",IF($AO$1=1,IFERROR(MATCH(L405,'04-نيسان'!$L$2:$L$501,0),0),0))</f>
        <v/>
      </c>
      <c r="W405" t="str">
        <f t="shared" si="131"/>
        <v/>
      </c>
      <c r="X405" s="38" t="str">
        <f>IF(L405="","",IF(V405&gt;0,INDEX('04-نيسان'!$P$2:$P$501,V405),IF($AO$1=1,0,"")))</f>
        <v/>
      </c>
      <c r="Y405" s="38" t="str">
        <f t="shared" si="132"/>
        <v/>
      </c>
      <c r="Z405" s="39" t="str">
        <f>IF(L405="","",IF(V405&gt;0,INDEX('04-نيسان'!$Q$2:$Q$501,V405),IF($AO$1=1,0,"")))</f>
        <v/>
      </c>
      <c r="AA405" s="39" t="str">
        <f t="shared" si="133"/>
        <v/>
      </c>
      <c r="AB405" s="40" t="str">
        <f>IF(OR(L405="",V405=0),"",IF(AND(N(I405)&gt;0,N(INDEX('04-نيسان'!$I$2:$I$501,V405))&gt;0,INDEX('04-نيسان'!$F$2:$F$501,V405)=F405),N(I405)/N(INDEX('04-نيسان'!$I$2:$I$501,V405))-1,""))</f>
        <v/>
      </c>
      <c r="AC405" t="str">
        <f>IF(L405="","",IF(AND($AO$2=1,ISNA(MATCH(L405,'06-حزيران'!$L$2:$L$499,0))),"محذوف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IF(L406="","",IF($AO$1=1,IFERROR(MATCH(L406,'04-نيسان'!$L$2:$L$501,0),0),0))</f>
        <v/>
      </c>
      <c r="W406" t="str">
        <f t="shared" si="131"/>
        <v/>
      </c>
      <c r="X406" s="38" t="str">
        <f>IF(L406="","",IF(V406&gt;0,INDEX('04-نيسان'!$P$2:$P$501,V406),IF($AO$1=1,0,"")))</f>
        <v/>
      </c>
      <c r="Y406" s="38" t="str">
        <f t="shared" si="132"/>
        <v/>
      </c>
      <c r="Z406" s="39" t="str">
        <f>IF(L406="","",IF(V406&gt;0,INDEX('04-نيسان'!$Q$2:$Q$501,V406),IF($AO$1=1,0,"")))</f>
        <v/>
      </c>
      <c r="AA406" s="39" t="str">
        <f t="shared" si="133"/>
        <v/>
      </c>
      <c r="AB406" s="40" t="str">
        <f>IF(OR(L406="",V406=0),"",IF(AND(N(I406)&gt;0,N(INDEX('04-نيسان'!$I$2:$I$501,V406))&gt;0,INDEX('04-نيسان'!$F$2:$F$501,V406)=F406),N(I406)/N(INDEX('04-نيسان'!$I$2:$I$501,V406))-1,""))</f>
        <v/>
      </c>
      <c r="AC406" t="str">
        <f>IF(L406="","",IF(AND($AO$2=1,ISNA(MATCH(L406,'06-حزيران'!$L$2:$L$499,0))),"محذوف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IF(L407="","",IF($AO$1=1,IFERROR(MATCH(L407,'04-نيسان'!$L$2:$L$501,0),0),0))</f>
        <v/>
      </c>
      <c r="W407" t="str">
        <f t="shared" si="131"/>
        <v/>
      </c>
      <c r="X407" s="38" t="str">
        <f>IF(L407="","",IF(V407&gt;0,INDEX('04-نيسان'!$P$2:$P$501,V407),IF($AO$1=1,0,"")))</f>
        <v/>
      </c>
      <c r="Y407" s="38" t="str">
        <f t="shared" si="132"/>
        <v/>
      </c>
      <c r="Z407" s="39" t="str">
        <f>IF(L407="","",IF(V407&gt;0,INDEX('04-نيسان'!$Q$2:$Q$501,V407),IF($AO$1=1,0,"")))</f>
        <v/>
      </c>
      <c r="AA407" s="39" t="str">
        <f t="shared" si="133"/>
        <v/>
      </c>
      <c r="AB407" s="40" t="str">
        <f>IF(OR(L407="",V407=0),"",IF(AND(N(I407)&gt;0,N(INDEX('04-نيسان'!$I$2:$I$501,V407))&gt;0,INDEX('04-نيسان'!$F$2:$F$501,V407)=F407),N(I407)/N(INDEX('04-نيسان'!$I$2:$I$501,V407))-1,""))</f>
        <v/>
      </c>
      <c r="AC407" t="str">
        <f>IF(L407="","",IF(AND($AO$2=1,ISNA(MATCH(L407,'06-حزيران'!$L$2:$L$499,0))),"محذوف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IF(L408="","",IF($AO$1=1,IFERROR(MATCH(L408,'04-نيسان'!$L$2:$L$501,0),0),0))</f>
        <v/>
      </c>
      <c r="W408" t="str">
        <f t="shared" si="131"/>
        <v/>
      </c>
      <c r="X408" s="38" t="str">
        <f>IF(L408="","",IF(V408&gt;0,INDEX('04-نيسان'!$P$2:$P$501,V408),IF($AO$1=1,0,"")))</f>
        <v/>
      </c>
      <c r="Y408" s="38" t="str">
        <f t="shared" si="132"/>
        <v/>
      </c>
      <c r="Z408" s="39" t="str">
        <f>IF(L408="","",IF(V408&gt;0,INDEX('04-نيسان'!$Q$2:$Q$501,V408),IF($AO$1=1,0,"")))</f>
        <v/>
      </c>
      <c r="AA408" s="39" t="str">
        <f t="shared" si="133"/>
        <v/>
      </c>
      <c r="AB408" s="40" t="str">
        <f>IF(OR(L408="",V408=0),"",IF(AND(N(I408)&gt;0,N(INDEX('04-نيسان'!$I$2:$I$501,V408))&gt;0,INDEX('04-نيسان'!$F$2:$F$501,V408)=F408),N(I408)/N(INDEX('04-نيسان'!$I$2:$I$501,V408))-1,""))</f>
        <v/>
      </c>
      <c r="AC408" t="str">
        <f>IF(L408="","",IF(AND($AO$2=1,ISNA(MATCH(L408,'06-حزيران'!$L$2:$L$499,0))),"محذوف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IF(L409="","",IF($AO$1=1,IFERROR(MATCH(L409,'04-نيسان'!$L$2:$L$501,0),0),0))</f>
        <v/>
      </c>
      <c r="W409" t="str">
        <f t="shared" si="131"/>
        <v/>
      </c>
      <c r="X409" s="38" t="str">
        <f>IF(L409="","",IF(V409&gt;0,INDEX('04-نيسان'!$P$2:$P$501,V409),IF($AO$1=1,0,"")))</f>
        <v/>
      </c>
      <c r="Y409" s="38" t="str">
        <f t="shared" si="132"/>
        <v/>
      </c>
      <c r="Z409" s="39" t="str">
        <f>IF(L409="","",IF(V409&gt;0,INDEX('04-نيسان'!$Q$2:$Q$501,V409),IF($AO$1=1,0,"")))</f>
        <v/>
      </c>
      <c r="AA409" s="39" t="str">
        <f t="shared" si="133"/>
        <v/>
      </c>
      <c r="AB409" s="40" t="str">
        <f>IF(OR(L409="",V409=0),"",IF(AND(N(I409)&gt;0,N(INDEX('04-نيسان'!$I$2:$I$501,V409))&gt;0,INDEX('04-نيسان'!$F$2:$F$501,V409)=F409),N(I409)/N(INDEX('04-نيسان'!$I$2:$I$501,V409))-1,""))</f>
        <v/>
      </c>
      <c r="AC409" t="str">
        <f>IF(L409="","",IF(AND($AO$2=1,ISNA(MATCH(L409,'06-حزيران'!$L$2:$L$499,0))),"محذوف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IF(L410="","",IF($AO$1=1,IFERROR(MATCH(L410,'04-نيسان'!$L$2:$L$501,0),0),0))</f>
        <v/>
      </c>
      <c r="W410" t="str">
        <f t="shared" si="131"/>
        <v/>
      </c>
      <c r="X410" s="38" t="str">
        <f>IF(L410="","",IF(V410&gt;0,INDEX('04-نيسان'!$P$2:$P$501,V410),IF($AO$1=1,0,"")))</f>
        <v/>
      </c>
      <c r="Y410" s="38" t="str">
        <f t="shared" si="132"/>
        <v/>
      </c>
      <c r="Z410" s="39" t="str">
        <f>IF(L410="","",IF(V410&gt;0,INDEX('04-نيسان'!$Q$2:$Q$501,V410),IF($AO$1=1,0,"")))</f>
        <v/>
      </c>
      <c r="AA410" s="39" t="str">
        <f t="shared" si="133"/>
        <v/>
      </c>
      <c r="AB410" s="40" t="str">
        <f>IF(OR(L410="",V410=0),"",IF(AND(N(I410)&gt;0,N(INDEX('04-نيسان'!$I$2:$I$501,V410))&gt;0,INDEX('04-نيسان'!$F$2:$F$501,V410)=F410),N(I410)/N(INDEX('04-نيسان'!$I$2:$I$501,V410))-1,""))</f>
        <v/>
      </c>
      <c r="AC410" t="str">
        <f>IF(L410="","",IF(AND($AO$2=1,ISNA(MATCH(L410,'06-حزيران'!$L$2:$L$499,0))),"محذوف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IF(L411="","",IF($AO$1=1,IFERROR(MATCH(L411,'04-نيسان'!$L$2:$L$501,0),0),0))</f>
        <v/>
      </c>
      <c r="W411" t="str">
        <f t="shared" si="131"/>
        <v/>
      </c>
      <c r="X411" s="38" t="str">
        <f>IF(L411="","",IF(V411&gt;0,INDEX('04-نيسان'!$P$2:$P$501,V411),IF($AO$1=1,0,"")))</f>
        <v/>
      </c>
      <c r="Y411" s="38" t="str">
        <f t="shared" si="132"/>
        <v/>
      </c>
      <c r="Z411" s="39" t="str">
        <f>IF(L411="","",IF(V411&gt;0,INDEX('04-نيسان'!$Q$2:$Q$501,V411),IF($AO$1=1,0,"")))</f>
        <v/>
      </c>
      <c r="AA411" s="39" t="str">
        <f t="shared" si="133"/>
        <v/>
      </c>
      <c r="AB411" s="40" t="str">
        <f>IF(OR(L411="",V411=0),"",IF(AND(N(I411)&gt;0,N(INDEX('04-نيسان'!$I$2:$I$501,V411))&gt;0,INDEX('04-نيسان'!$F$2:$F$501,V411)=F411),N(I411)/N(INDEX('04-نيسان'!$I$2:$I$501,V411))-1,""))</f>
        <v/>
      </c>
      <c r="AC411" t="str">
        <f>IF(L411="","",IF(AND($AO$2=1,ISNA(MATCH(L411,'06-حزيران'!$L$2:$L$499,0))),"محذوف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IF(L412="","",IF($AO$1=1,IFERROR(MATCH(L412,'04-نيسان'!$L$2:$L$501,0),0),0))</f>
        <v/>
      </c>
      <c r="W412" t="str">
        <f t="shared" si="131"/>
        <v/>
      </c>
      <c r="X412" s="38" t="str">
        <f>IF(L412="","",IF(V412&gt;0,INDEX('04-نيسان'!$P$2:$P$501,V412),IF($AO$1=1,0,"")))</f>
        <v/>
      </c>
      <c r="Y412" s="38" t="str">
        <f t="shared" si="132"/>
        <v/>
      </c>
      <c r="Z412" s="39" t="str">
        <f>IF(L412="","",IF(V412&gt;0,INDEX('04-نيسان'!$Q$2:$Q$501,V412),IF($AO$1=1,0,"")))</f>
        <v/>
      </c>
      <c r="AA412" s="39" t="str">
        <f t="shared" si="133"/>
        <v/>
      </c>
      <c r="AB412" s="40" t="str">
        <f>IF(OR(L412="",V412=0),"",IF(AND(N(I412)&gt;0,N(INDEX('04-نيسان'!$I$2:$I$501,V412))&gt;0,INDEX('04-نيسان'!$F$2:$F$501,V412)=F412),N(I412)/N(INDEX('04-نيسان'!$I$2:$I$501,V412))-1,""))</f>
        <v/>
      </c>
      <c r="AC412" t="str">
        <f>IF(L412="","",IF(AND($AO$2=1,ISNA(MATCH(L412,'06-حزيران'!$L$2:$L$499,0))),"محذوف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IF(L413="","",IF($AO$1=1,IFERROR(MATCH(L413,'04-نيسان'!$L$2:$L$501,0),0),0))</f>
        <v/>
      </c>
      <c r="W413" t="str">
        <f t="shared" si="131"/>
        <v/>
      </c>
      <c r="X413" s="38" t="str">
        <f>IF(L413="","",IF(V413&gt;0,INDEX('04-نيسان'!$P$2:$P$501,V413),IF($AO$1=1,0,"")))</f>
        <v/>
      </c>
      <c r="Y413" s="38" t="str">
        <f t="shared" si="132"/>
        <v/>
      </c>
      <c r="Z413" s="39" t="str">
        <f>IF(L413="","",IF(V413&gt;0,INDEX('04-نيسان'!$Q$2:$Q$501,V413),IF($AO$1=1,0,"")))</f>
        <v/>
      </c>
      <c r="AA413" s="39" t="str">
        <f t="shared" si="133"/>
        <v/>
      </c>
      <c r="AB413" s="40" t="str">
        <f>IF(OR(L413="",V413=0),"",IF(AND(N(I413)&gt;0,N(INDEX('04-نيسان'!$I$2:$I$501,V413))&gt;0,INDEX('04-نيسان'!$F$2:$F$501,V413)=F413),N(I413)/N(INDEX('04-نيسان'!$I$2:$I$501,V413))-1,""))</f>
        <v/>
      </c>
      <c r="AC413" t="str">
        <f>IF(L413="","",IF(AND($AO$2=1,ISNA(MATCH(L413,'06-حزيران'!$L$2:$L$499,0))),"محذوف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IF(L414="","",IF($AO$1=1,IFERROR(MATCH(L414,'04-نيسان'!$L$2:$L$501,0),0),0))</f>
        <v/>
      </c>
      <c r="W414" t="str">
        <f t="shared" si="131"/>
        <v/>
      </c>
      <c r="X414" s="38" t="str">
        <f>IF(L414="","",IF(V414&gt;0,INDEX('04-نيسان'!$P$2:$P$501,V414),IF($AO$1=1,0,"")))</f>
        <v/>
      </c>
      <c r="Y414" s="38" t="str">
        <f t="shared" si="132"/>
        <v/>
      </c>
      <c r="Z414" s="39" t="str">
        <f>IF(L414="","",IF(V414&gt;0,INDEX('04-نيسان'!$Q$2:$Q$501,V414),IF($AO$1=1,0,"")))</f>
        <v/>
      </c>
      <c r="AA414" s="39" t="str">
        <f t="shared" si="133"/>
        <v/>
      </c>
      <c r="AB414" s="40" t="str">
        <f>IF(OR(L414="",V414=0),"",IF(AND(N(I414)&gt;0,N(INDEX('04-نيسان'!$I$2:$I$501,V414))&gt;0,INDEX('04-نيسان'!$F$2:$F$501,V414)=F414),N(I414)/N(INDEX('04-نيسان'!$I$2:$I$501,V414))-1,""))</f>
        <v/>
      </c>
      <c r="AC414" t="str">
        <f>IF(L414="","",IF(AND($AO$2=1,ISNA(MATCH(L414,'06-حزيران'!$L$2:$L$499,0))),"محذوف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IF(L415="","",IF($AO$1=1,IFERROR(MATCH(L415,'04-نيسان'!$L$2:$L$501,0),0),0))</f>
        <v/>
      </c>
      <c r="W415" t="str">
        <f t="shared" si="131"/>
        <v/>
      </c>
      <c r="X415" s="38" t="str">
        <f>IF(L415="","",IF(V415&gt;0,INDEX('04-نيسان'!$P$2:$P$501,V415),IF($AO$1=1,0,"")))</f>
        <v/>
      </c>
      <c r="Y415" s="38" t="str">
        <f t="shared" si="132"/>
        <v/>
      </c>
      <c r="Z415" s="39" t="str">
        <f>IF(L415="","",IF(V415&gt;0,INDEX('04-نيسان'!$Q$2:$Q$501,V415),IF($AO$1=1,0,"")))</f>
        <v/>
      </c>
      <c r="AA415" s="39" t="str">
        <f t="shared" si="133"/>
        <v/>
      </c>
      <c r="AB415" s="40" t="str">
        <f>IF(OR(L415="",V415=0),"",IF(AND(N(I415)&gt;0,N(INDEX('04-نيسان'!$I$2:$I$501,V415))&gt;0,INDEX('04-نيسان'!$F$2:$F$501,V415)=F415),N(I415)/N(INDEX('04-نيسان'!$I$2:$I$501,V415))-1,""))</f>
        <v/>
      </c>
      <c r="AC415" t="str">
        <f>IF(L415="","",IF(AND($AO$2=1,ISNA(MATCH(L415,'06-حزيران'!$L$2:$L$499,0))),"محذوف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IF(L416="","",IF($AO$1=1,IFERROR(MATCH(L416,'04-نيسان'!$L$2:$L$501,0),0),0))</f>
        <v/>
      </c>
      <c r="W416" t="str">
        <f t="shared" si="131"/>
        <v/>
      </c>
      <c r="X416" s="38" t="str">
        <f>IF(L416="","",IF(V416&gt;0,INDEX('04-نيسان'!$P$2:$P$501,V416),IF($AO$1=1,0,"")))</f>
        <v/>
      </c>
      <c r="Y416" s="38" t="str">
        <f t="shared" si="132"/>
        <v/>
      </c>
      <c r="Z416" s="39" t="str">
        <f>IF(L416="","",IF(V416&gt;0,INDEX('04-نيسان'!$Q$2:$Q$501,V416),IF($AO$1=1,0,"")))</f>
        <v/>
      </c>
      <c r="AA416" s="39" t="str">
        <f t="shared" si="133"/>
        <v/>
      </c>
      <c r="AB416" s="40" t="str">
        <f>IF(OR(L416="",V416=0),"",IF(AND(N(I416)&gt;0,N(INDEX('04-نيسان'!$I$2:$I$501,V416))&gt;0,INDEX('04-نيسان'!$F$2:$F$501,V416)=F416),N(I416)/N(INDEX('04-نيسان'!$I$2:$I$501,V416))-1,""))</f>
        <v/>
      </c>
      <c r="AC416" t="str">
        <f>IF(L416="","",IF(AND($AO$2=1,ISNA(MATCH(L416,'06-حزيران'!$L$2:$L$499,0))),"محذوف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IF(L417="","",IF($AO$1=1,IFERROR(MATCH(L417,'04-نيسان'!$L$2:$L$501,0),0),0))</f>
        <v/>
      </c>
      <c r="W417" t="str">
        <f t="shared" si="131"/>
        <v/>
      </c>
      <c r="X417" s="38" t="str">
        <f>IF(L417="","",IF(V417&gt;0,INDEX('04-نيسان'!$P$2:$P$501,V417),IF($AO$1=1,0,"")))</f>
        <v/>
      </c>
      <c r="Y417" s="38" t="str">
        <f t="shared" si="132"/>
        <v/>
      </c>
      <c r="Z417" s="39" t="str">
        <f>IF(L417="","",IF(V417&gt;0,INDEX('04-نيسان'!$Q$2:$Q$501,V417),IF($AO$1=1,0,"")))</f>
        <v/>
      </c>
      <c r="AA417" s="39" t="str">
        <f t="shared" si="133"/>
        <v/>
      </c>
      <c r="AB417" s="40" t="str">
        <f>IF(OR(L417="",V417=0),"",IF(AND(N(I417)&gt;0,N(INDEX('04-نيسان'!$I$2:$I$501,V417))&gt;0,INDEX('04-نيسان'!$F$2:$F$501,V417)=F417),N(I417)/N(INDEX('04-نيسان'!$I$2:$I$501,V417))-1,""))</f>
        <v/>
      </c>
      <c r="AC417" t="str">
        <f>IF(L417="","",IF(AND($AO$2=1,ISNA(MATCH(L417,'06-حزيران'!$L$2:$L$499,0))),"محذوف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IF(L418="","",IF($AO$1=1,IFERROR(MATCH(L418,'04-نيسان'!$L$2:$L$501,0),0),0))</f>
        <v/>
      </c>
      <c r="W418" t="str">
        <f t="shared" si="131"/>
        <v/>
      </c>
      <c r="X418" s="38" t="str">
        <f>IF(L418="","",IF(V418&gt;0,INDEX('04-نيسان'!$P$2:$P$501,V418),IF($AO$1=1,0,"")))</f>
        <v/>
      </c>
      <c r="Y418" s="38" t="str">
        <f t="shared" si="132"/>
        <v/>
      </c>
      <c r="Z418" s="39" t="str">
        <f>IF(L418="","",IF(V418&gt;0,INDEX('04-نيسان'!$Q$2:$Q$501,V418),IF($AO$1=1,0,"")))</f>
        <v/>
      </c>
      <c r="AA418" s="39" t="str">
        <f t="shared" si="133"/>
        <v/>
      </c>
      <c r="AB418" s="40" t="str">
        <f>IF(OR(L418="",V418=0),"",IF(AND(N(I418)&gt;0,N(INDEX('04-نيسان'!$I$2:$I$501,V418))&gt;0,INDEX('04-نيسان'!$F$2:$F$501,V418)=F418),N(I418)/N(INDEX('04-نيسان'!$I$2:$I$501,V418))-1,""))</f>
        <v/>
      </c>
      <c r="AC418" t="str">
        <f>IF(L418="","",IF(AND($AO$2=1,ISNA(MATCH(L418,'06-حزيران'!$L$2:$L$499,0))),"محذوف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IF(L419="","",IF($AO$1=1,IFERROR(MATCH(L419,'04-نيسان'!$L$2:$L$501,0),0),0))</f>
        <v/>
      </c>
      <c r="W419" t="str">
        <f t="shared" si="131"/>
        <v/>
      </c>
      <c r="X419" s="38" t="str">
        <f>IF(L419="","",IF(V419&gt;0,INDEX('04-نيسان'!$P$2:$P$501,V419),IF($AO$1=1,0,"")))</f>
        <v/>
      </c>
      <c r="Y419" s="38" t="str">
        <f t="shared" si="132"/>
        <v/>
      </c>
      <c r="Z419" s="39" t="str">
        <f>IF(L419="","",IF(V419&gt;0,INDEX('04-نيسان'!$Q$2:$Q$501,V419),IF($AO$1=1,0,"")))</f>
        <v/>
      </c>
      <c r="AA419" s="39" t="str">
        <f t="shared" si="133"/>
        <v/>
      </c>
      <c r="AB419" s="40" t="str">
        <f>IF(OR(L419="",V419=0),"",IF(AND(N(I419)&gt;0,N(INDEX('04-نيسان'!$I$2:$I$501,V419))&gt;0,INDEX('04-نيسان'!$F$2:$F$501,V419)=F419),N(I419)/N(INDEX('04-نيسان'!$I$2:$I$501,V419))-1,""))</f>
        <v/>
      </c>
      <c r="AC419" t="str">
        <f>IF(L419="","",IF(AND($AO$2=1,ISNA(MATCH(L419,'06-حزيران'!$L$2:$L$499,0))),"محذوف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IF(L420="","",IF($AO$1=1,IFERROR(MATCH(L420,'04-نيسان'!$L$2:$L$501,0),0),0))</f>
        <v/>
      </c>
      <c r="W420" t="str">
        <f t="shared" si="131"/>
        <v/>
      </c>
      <c r="X420" s="38" t="str">
        <f>IF(L420="","",IF(V420&gt;0,INDEX('04-نيسان'!$P$2:$P$501,V420),IF($AO$1=1,0,"")))</f>
        <v/>
      </c>
      <c r="Y420" s="38" t="str">
        <f t="shared" si="132"/>
        <v/>
      </c>
      <c r="Z420" s="39" t="str">
        <f>IF(L420="","",IF(V420&gt;0,INDEX('04-نيسان'!$Q$2:$Q$501,V420),IF($AO$1=1,0,"")))</f>
        <v/>
      </c>
      <c r="AA420" s="39" t="str">
        <f t="shared" si="133"/>
        <v/>
      </c>
      <c r="AB420" s="40" t="str">
        <f>IF(OR(L420="",V420=0),"",IF(AND(N(I420)&gt;0,N(INDEX('04-نيسان'!$I$2:$I$501,V420))&gt;0,INDEX('04-نيسان'!$F$2:$F$501,V420)=F420),N(I420)/N(INDEX('04-نيسان'!$I$2:$I$501,V420))-1,""))</f>
        <v/>
      </c>
      <c r="AC420" t="str">
        <f>IF(L420="","",IF(AND($AO$2=1,ISNA(MATCH(L420,'06-حزيران'!$L$2:$L$499,0))),"محذوف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IF(L421="","",IF($AO$1=1,IFERROR(MATCH(L421,'04-نيسان'!$L$2:$L$501,0),0),0))</f>
        <v/>
      </c>
      <c r="W421" t="str">
        <f t="shared" si="131"/>
        <v/>
      </c>
      <c r="X421" s="38" t="str">
        <f>IF(L421="","",IF(V421&gt;0,INDEX('04-نيسان'!$P$2:$P$501,V421),IF($AO$1=1,0,"")))</f>
        <v/>
      </c>
      <c r="Y421" s="38" t="str">
        <f t="shared" si="132"/>
        <v/>
      </c>
      <c r="Z421" s="39" t="str">
        <f>IF(L421="","",IF(V421&gt;0,INDEX('04-نيسان'!$Q$2:$Q$501,V421),IF($AO$1=1,0,"")))</f>
        <v/>
      </c>
      <c r="AA421" s="39" t="str">
        <f t="shared" si="133"/>
        <v/>
      </c>
      <c r="AB421" s="40" t="str">
        <f>IF(OR(L421="",V421=0),"",IF(AND(N(I421)&gt;0,N(INDEX('04-نيسان'!$I$2:$I$501,V421))&gt;0,INDEX('04-نيسان'!$F$2:$F$501,V421)=F421),N(I421)/N(INDEX('04-نيسان'!$I$2:$I$501,V421))-1,""))</f>
        <v/>
      </c>
      <c r="AC421" t="str">
        <f>IF(L421="","",IF(AND($AO$2=1,ISNA(MATCH(L421,'06-حزيران'!$L$2:$L$499,0))),"محذوف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IF(L422="","",IF($AO$1=1,IFERROR(MATCH(L422,'04-نيسان'!$L$2:$L$501,0),0),0))</f>
        <v/>
      </c>
      <c r="W422" t="str">
        <f t="shared" si="131"/>
        <v/>
      </c>
      <c r="X422" s="38" t="str">
        <f>IF(L422="","",IF(V422&gt;0,INDEX('04-نيسان'!$P$2:$P$501,V422),IF($AO$1=1,0,"")))</f>
        <v/>
      </c>
      <c r="Y422" s="38" t="str">
        <f t="shared" si="132"/>
        <v/>
      </c>
      <c r="Z422" s="39" t="str">
        <f>IF(L422="","",IF(V422&gt;0,INDEX('04-نيسان'!$Q$2:$Q$501,V422),IF($AO$1=1,0,"")))</f>
        <v/>
      </c>
      <c r="AA422" s="39" t="str">
        <f t="shared" si="133"/>
        <v/>
      </c>
      <c r="AB422" s="40" t="str">
        <f>IF(OR(L422="",V422=0),"",IF(AND(N(I422)&gt;0,N(INDEX('04-نيسان'!$I$2:$I$501,V422))&gt;0,INDEX('04-نيسان'!$F$2:$F$501,V422)=F422),N(I422)/N(INDEX('04-نيسان'!$I$2:$I$501,V422))-1,""))</f>
        <v/>
      </c>
      <c r="AC422" t="str">
        <f>IF(L422="","",IF(AND($AO$2=1,ISNA(MATCH(L422,'06-حزيران'!$L$2:$L$499,0))),"محذوف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IF(L423="","",IF($AO$1=1,IFERROR(MATCH(L423,'04-نيسان'!$L$2:$L$501,0),0),0))</f>
        <v/>
      </c>
      <c r="W423" t="str">
        <f t="shared" si="131"/>
        <v/>
      </c>
      <c r="X423" s="38" t="str">
        <f>IF(L423="","",IF(V423&gt;0,INDEX('04-نيسان'!$P$2:$P$501,V423),IF($AO$1=1,0,"")))</f>
        <v/>
      </c>
      <c r="Y423" s="38" t="str">
        <f t="shared" si="132"/>
        <v/>
      </c>
      <c r="Z423" s="39" t="str">
        <f>IF(L423="","",IF(V423&gt;0,INDEX('04-نيسان'!$Q$2:$Q$501,V423),IF($AO$1=1,0,"")))</f>
        <v/>
      </c>
      <c r="AA423" s="39" t="str">
        <f t="shared" si="133"/>
        <v/>
      </c>
      <c r="AB423" s="40" t="str">
        <f>IF(OR(L423="",V423=0),"",IF(AND(N(I423)&gt;0,N(INDEX('04-نيسان'!$I$2:$I$501,V423))&gt;0,INDEX('04-نيسان'!$F$2:$F$501,V423)=F423),N(I423)/N(INDEX('04-نيسان'!$I$2:$I$501,V423))-1,""))</f>
        <v/>
      </c>
      <c r="AC423" t="str">
        <f>IF(L423="","",IF(AND($AO$2=1,ISNA(MATCH(L423,'06-حزيران'!$L$2:$L$499,0))),"محذوف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IF(L424="","",IF($AO$1=1,IFERROR(MATCH(L424,'04-نيسان'!$L$2:$L$501,0),0),0))</f>
        <v/>
      </c>
      <c r="W424" t="str">
        <f t="shared" si="131"/>
        <v/>
      </c>
      <c r="X424" s="38" t="str">
        <f>IF(L424="","",IF(V424&gt;0,INDEX('04-نيسان'!$P$2:$P$501,V424),IF($AO$1=1,0,"")))</f>
        <v/>
      </c>
      <c r="Y424" s="38" t="str">
        <f t="shared" si="132"/>
        <v/>
      </c>
      <c r="Z424" s="39" t="str">
        <f>IF(L424="","",IF(V424&gt;0,INDEX('04-نيسان'!$Q$2:$Q$501,V424),IF($AO$1=1,0,"")))</f>
        <v/>
      </c>
      <c r="AA424" s="39" t="str">
        <f t="shared" si="133"/>
        <v/>
      </c>
      <c r="AB424" s="40" t="str">
        <f>IF(OR(L424="",V424=0),"",IF(AND(N(I424)&gt;0,N(INDEX('04-نيسان'!$I$2:$I$501,V424))&gt;0,INDEX('04-نيسان'!$F$2:$F$501,V424)=F424),N(I424)/N(INDEX('04-نيسان'!$I$2:$I$501,V424))-1,""))</f>
        <v/>
      </c>
      <c r="AC424" t="str">
        <f>IF(L424="","",IF(AND($AO$2=1,ISNA(MATCH(L424,'06-حزيران'!$L$2:$L$499,0))),"محذوف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IF(L425="","",IF($AO$1=1,IFERROR(MATCH(L425,'04-نيسان'!$L$2:$L$501,0),0),0))</f>
        <v/>
      </c>
      <c r="W425" t="str">
        <f t="shared" si="131"/>
        <v/>
      </c>
      <c r="X425" s="38" t="str">
        <f>IF(L425="","",IF(V425&gt;0,INDEX('04-نيسان'!$P$2:$P$501,V425),IF($AO$1=1,0,"")))</f>
        <v/>
      </c>
      <c r="Y425" s="38" t="str">
        <f t="shared" si="132"/>
        <v/>
      </c>
      <c r="Z425" s="39" t="str">
        <f>IF(L425="","",IF(V425&gt;0,INDEX('04-نيسان'!$Q$2:$Q$501,V425),IF($AO$1=1,0,"")))</f>
        <v/>
      </c>
      <c r="AA425" s="39" t="str">
        <f t="shared" si="133"/>
        <v/>
      </c>
      <c r="AB425" s="40" t="str">
        <f>IF(OR(L425="",V425=0),"",IF(AND(N(I425)&gt;0,N(INDEX('04-نيسان'!$I$2:$I$501,V425))&gt;0,INDEX('04-نيسان'!$F$2:$F$501,V425)=F425),N(I425)/N(INDEX('04-نيسان'!$I$2:$I$501,V425))-1,""))</f>
        <v/>
      </c>
      <c r="AC425" t="str">
        <f>IF(L425="","",IF(AND($AO$2=1,ISNA(MATCH(L425,'06-حزيران'!$L$2:$L$499,0))),"محذوف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IF(L426="","",IF($AO$1=1,IFERROR(MATCH(L426,'04-نيسان'!$L$2:$L$501,0),0),0))</f>
        <v/>
      </c>
      <c r="W426" t="str">
        <f t="shared" si="131"/>
        <v/>
      </c>
      <c r="X426" s="38" t="str">
        <f>IF(L426="","",IF(V426&gt;0,INDEX('04-نيسان'!$P$2:$P$501,V426),IF($AO$1=1,0,"")))</f>
        <v/>
      </c>
      <c r="Y426" s="38" t="str">
        <f t="shared" si="132"/>
        <v/>
      </c>
      <c r="Z426" s="39" t="str">
        <f>IF(L426="","",IF(V426&gt;0,INDEX('04-نيسان'!$Q$2:$Q$501,V426),IF($AO$1=1,0,"")))</f>
        <v/>
      </c>
      <c r="AA426" s="39" t="str">
        <f t="shared" si="133"/>
        <v/>
      </c>
      <c r="AB426" s="40" t="str">
        <f>IF(OR(L426="",V426=0),"",IF(AND(N(I426)&gt;0,N(INDEX('04-نيسان'!$I$2:$I$501,V426))&gt;0,INDEX('04-نيسان'!$F$2:$F$501,V426)=F426),N(I426)/N(INDEX('04-نيسان'!$I$2:$I$501,V426))-1,""))</f>
        <v/>
      </c>
      <c r="AC426" t="str">
        <f>IF(L426="","",IF(AND($AO$2=1,ISNA(MATCH(L426,'06-حزيران'!$L$2:$L$499,0))),"محذوف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IF(L427="","",IF($AO$1=1,IFERROR(MATCH(L427,'04-نيسان'!$L$2:$L$501,0),0),0))</f>
        <v/>
      </c>
      <c r="W427" t="str">
        <f t="shared" si="131"/>
        <v/>
      </c>
      <c r="X427" s="38" t="str">
        <f>IF(L427="","",IF(V427&gt;0,INDEX('04-نيسان'!$P$2:$P$501,V427),IF($AO$1=1,0,"")))</f>
        <v/>
      </c>
      <c r="Y427" s="38" t="str">
        <f t="shared" si="132"/>
        <v/>
      </c>
      <c r="Z427" s="39" t="str">
        <f>IF(L427="","",IF(V427&gt;0,INDEX('04-نيسان'!$Q$2:$Q$501,V427),IF($AO$1=1,0,"")))</f>
        <v/>
      </c>
      <c r="AA427" s="39" t="str">
        <f t="shared" si="133"/>
        <v/>
      </c>
      <c r="AB427" s="40" t="str">
        <f>IF(OR(L427="",V427=0),"",IF(AND(N(I427)&gt;0,N(INDEX('04-نيسان'!$I$2:$I$501,V427))&gt;0,INDEX('04-نيسان'!$F$2:$F$501,V427)=F427),N(I427)/N(INDEX('04-نيسان'!$I$2:$I$501,V427))-1,""))</f>
        <v/>
      </c>
      <c r="AC427" t="str">
        <f>IF(L427="","",IF(AND($AO$2=1,ISNA(MATCH(L427,'06-حزيران'!$L$2:$L$499,0))),"محذوف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IF(L428="","",IF($AO$1=1,IFERROR(MATCH(L428,'04-نيسان'!$L$2:$L$501,0),0),0))</f>
        <v/>
      </c>
      <c r="W428" t="str">
        <f t="shared" si="131"/>
        <v/>
      </c>
      <c r="X428" s="38" t="str">
        <f>IF(L428="","",IF(V428&gt;0,INDEX('04-نيسان'!$P$2:$P$501,V428),IF($AO$1=1,0,"")))</f>
        <v/>
      </c>
      <c r="Y428" s="38" t="str">
        <f t="shared" si="132"/>
        <v/>
      </c>
      <c r="Z428" s="39" t="str">
        <f>IF(L428="","",IF(V428&gt;0,INDEX('04-نيسان'!$Q$2:$Q$501,V428),IF($AO$1=1,0,"")))</f>
        <v/>
      </c>
      <c r="AA428" s="39" t="str">
        <f t="shared" si="133"/>
        <v/>
      </c>
      <c r="AB428" s="40" t="str">
        <f>IF(OR(L428="",V428=0),"",IF(AND(N(I428)&gt;0,N(INDEX('04-نيسان'!$I$2:$I$501,V428))&gt;0,INDEX('04-نيسان'!$F$2:$F$501,V428)=F428),N(I428)/N(INDEX('04-نيسان'!$I$2:$I$501,V428))-1,""))</f>
        <v/>
      </c>
      <c r="AC428" t="str">
        <f>IF(L428="","",IF(AND($AO$2=1,ISNA(MATCH(L428,'06-حزيران'!$L$2:$L$499,0))),"محذوف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IF(L429="","",IF($AO$1=1,IFERROR(MATCH(L429,'04-نيسان'!$L$2:$L$501,0),0),0))</f>
        <v/>
      </c>
      <c r="W429" t="str">
        <f t="shared" si="131"/>
        <v/>
      </c>
      <c r="X429" s="38" t="str">
        <f>IF(L429="","",IF(V429&gt;0,INDEX('04-نيسان'!$P$2:$P$501,V429),IF($AO$1=1,0,"")))</f>
        <v/>
      </c>
      <c r="Y429" s="38" t="str">
        <f t="shared" si="132"/>
        <v/>
      </c>
      <c r="Z429" s="39" t="str">
        <f>IF(L429="","",IF(V429&gt;0,INDEX('04-نيسان'!$Q$2:$Q$501,V429),IF($AO$1=1,0,"")))</f>
        <v/>
      </c>
      <c r="AA429" s="39" t="str">
        <f t="shared" si="133"/>
        <v/>
      </c>
      <c r="AB429" s="40" t="str">
        <f>IF(OR(L429="",V429=0),"",IF(AND(N(I429)&gt;0,N(INDEX('04-نيسان'!$I$2:$I$501,V429))&gt;0,INDEX('04-نيسان'!$F$2:$F$501,V429)=F429),N(I429)/N(INDEX('04-نيسان'!$I$2:$I$501,V429))-1,""))</f>
        <v/>
      </c>
      <c r="AC429" t="str">
        <f>IF(L429="","",IF(AND($AO$2=1,ISNA(MATCH(L429,'06-حزيران'!$L$2:$L$499,0))),"محذوف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IF(L430="","",IF($AO$1=1,IFERROR(MATCH(L430,'04-نيسان'!$L$2:$L$501,0),0),0))</f>
        <v/>
      </c>
      <c r="W430" t="str">
        <f t="shared" si="131"/>
        <v/>
      </c>
      <c r="X430" s="38" t="str">
        <f>IF(L430="","",IF(V430&gt;0,INDEX('04-نيسان'!$P$2:$P$501,V430),IF($AO$1=1,0,"")))</f>
        <v/>
      </c>
      <c r="Y430" s="38" t="str">
        <f t="shared" si="132"/>
        <v/>
      </c>
      <c r="Z430" s="39" t="str">
        <f>IF(L430="","",IF(V430&gt;0,INDEX('04-نيسان'!$Q$2:$Q$501,V430),IF($AO$1=1,0,"")))</f>
        <v/>
      </c>
      <c r="AA430" s="39" t="str">
        <f t="shared" si="133"/>
        <v/>
      </c>
      <c r="AB430" s="40" t="str">
        <f>IF(OR(L430="",V430=0),"",IF(AND(N(I430)&gt;0,N(INDEX('04-نيسان'!$I$2:$I$501,V430))&gt;0,INDEX('04-نيسان'!$F$2:$F$501,V430)=F430),N(I430)/N(INDEX('04-نيسان'!$I$2:$I$501,V430))-1,""))</f>
        <v/>
      </c>
      <c r="AC430" t="str">
        <f>IF(L430="","",IF(AND($AO$2=1,ISNA(MATCH(L430,'06-حزيران'!$L$2:$L$499,0))),"محذوف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IF(L431="","",IF($AO$1=1,IFERROR(MATCH(L431,'04-نيسان'!$L$2:$L$501,0),0),0))</f>
        <v/>
      </c>
      <c r="W431" t="str">
        <f t="shared" si="131"/>
        <v/>
      </c>
      <c r="X431" s="38" t="str">
        <f>IF(L431="","",IF(V431&gt;0,INDEX('04-نيسان'!$P$2:$P$501,V431),IF($AO$1=1,0,"")))</f>
        <v/>
      </c>
      <c r="Y431" s="38" t="str">
        <f t="shared" si="132"/>
        <v/>
      </c>
      <c r="Z431" s="39" t="str">
        <f>IF(L431="","",IF(V431&gt;0,INDEX('04-نيسان'!$Q$2:$Q$501,V431),IF($AO$1=1,0,"")))</f>
        <v/>
      </c>
      <c r="AA431" s="39" t="str">
        <f t="shared" si="133"/>
        <v/>
      </c>
      <c r="AB431" s="40" t="str">
        <f>IF(OR(L431="",V431=0),"",IF(AND(N(I431)&gt;0,N(INDEX('04-نيسان'!$I$2:$I$501,V431))&gt;0,INDEX('04-نيسان'!$F$2:$F$501,V431)=F431),N(I431)/N(INDEX('04-نيسان'!$I$2:$I$501,V431))-1,""))</f>
        <v/>
      </c>
      <c r="AC431" t="str">
        <f>IF(L431="","",IF(AND($AO$2=1,ISNA(MATCH(L431,'06-حزيران'!$L$2:$L$499,0))),"محذوف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IF(L432="","",IF($AO$1=1,IFERROR(MATCH(L432,'04-نيسان'!$L$2:$L$501,0),0),0))</f>
        <v/>
      </c>
      <c r="W432" t="str">
        <f t="shared" si="131"/>
        <v/>
      </c>
      <c r="X432" s="38" t="str">
        <f>IF(L432="","",IF(V432&gt;0,INDEX('04-نيسان'!$P$2:$P$501,V432),IF($AO$1=1,0,"")))</f>
        <v/>
      </c>
      <c r="Y432" s="38" t="str">
        <f t="shared" si="132"/>
        <v/>
      </c>
      <c r="Z432" s="39" t="str">
        <f>IF(L432="","",IF(V432&gt;0,INDEX('04-نيسان'!$Q$2:$Q$501,V432),IF($AO$1=1,0,"")))</f>
        <v/>
      </c>
      <c r="AA432" s="39" t="str">
        <f t="shared" si="133"/>
        <v/>
      </c>
      <c r="AB432" s="40" t="str">
        <f>IF(OR(L432="",V432=0),"",IF(AND(N(I432)&gt;0,N(INDEX('04-نيسان'!$I$2:$I$501,V432))&gt;0,INDEX('04-نيسان'!$F$2:$F$501,V432)=F432),N(I432)/N(INDEX('04-نيسان'!$I$2:$I$501,V432))-1,""))</f>
        <v/>
      </c>
      <c r="AC432" t="str">
        <f>IF(L432="","",IF(AND($AO$2=1,ISNA(MATCH(L432,'06-حزيران'!$L$2:$L$499,0))),"محذوف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IF(L433="","",IF($AO$1=1,IFERROR(MATCH(L433,'04-نيسان'!$L$2:$L$501,0),0),0))</f>
        <v/>
      </c>
      <c r="W433" t="str">
        <f t="shared" si="131"/>
        <v/>
      </c>
      <c r="X433" s="38" t="str">
        <f>IF(L433="","",IF(V433&gt;0,INDEX('04-نيسان'!$P$2:$P$501,V433),IF($AO$1=1,0,"")))</f>
        <v/>
      </c>
      <c r="Y433" s="38" t="str">
        <f t="shared" si="132"/>
        <v/>
      </c>
      <c r="Z433" s="39" t="str">
        <f>IF(L433="","",IF(V433&gt;0,INDEX('04-نيسان'!$Q$2:$Q$501,V433),IF($AO$1=1,0,"")))</f>
        <v/>
      </c>
      <c r="AA433" s="39" t="str">
        <f t="shared" si="133"/>
        <v/>
      </c>
      <c r="AB433" s="40" t="str">
        <f>IF(OR(L433="",V433=0),"",IF(AND(N(I433)&gt;0,N(INDEX('04-نيسان'!$I$2:$I$501,V433))&gt;0,INDEX('04-نيسان'!$F$2:$F$501,V433)=F433),N(I433)/N(INDEX('04-نيسان'!$I$2:$I$501,V433))-1,""))</f>
        <v/>
      </c>
      <c r="AC433" t="str">
        <f>IF(L433="","",IF(AND($AO$2=1,ISNA(MATCH(L433,'06-حزيران'!$L$2:$L$499,0))),"محذوف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IF(L434="","",IF($AO$1=1,IFERROR(MATCH(L434,'04-نيسان'!$L$2:$L$501,0),0),0))</f>
        <v/>
      </c>
      <c r="W434" t="str">
        <f t="shared" si="131"/>
        <v/>
      </c>
      <c r="X434" s="38" t="str">
        <f>IF(L434="","",IF(V434&gt;0,INDEX('04-نيسان'!$P$2:$P$501,V434),IF($AO$1=1,0,"")))</f>
        <v/>
      </c>
      <c r="Y434" s="38" t="str">
        <f t="shared" si="132"/>
        <v/>
      </c>
      <c r="Z434" s="39" t="str">
        <f>IF(L434="","",IF(V434&gt;0,INDEX('04-نيسان'!$Q$2:$Q$501,V434),IF($AO$1=1,0,"")))</f>
        <v/>
      </c>
      <c r="AA434" s="39" t="str">
        <f t="shared" si="133"/>
        <v/>
      </c>
      <c r="AB434" s="40" t="str">
        <f>IF(OR(L434="",V434=0),"",IF(AND(N(I434)&gt;0,N(INDEX('04-نيسان'!$I$2:$I$501,V434))&gt;0,INDEX('04-نيسان'!$F$2:$F$501,V434)=F434),N(I434)/N(INDEX('04-نيسان'!$I$2:$I$501,V434))-1,""))</f>
        <v/>
      </c>
      <c r="AC434" t="str">
        <f>IF(L434="","",IF(AND($AO$2=1,ISNA(MATCH(L434,'06-حزيران'!$L$2:$L$499,0))),"محذوف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IF(L435="","",IF($AO$1=1,IFERROR(MATCH(L435,'04-نيسان'!$L$2:$L$501,0),0),0))</f>
        <v/>
      </c>
      <c r="W435" t="str">
        <f t="shared" si="131"/>
        <v/>
      </c>
      <c r="X435" s="38" t="str">
        <f>IF(L435="","",IF(V435&gt;0,INDEX('04-نيسان'!$P$2:$P$501,V435),IF($AO$1=1,0,"")))</f>
        <v/>
      </c>
      <c r="Y435" s="38" t="str">
        <f t="shared" si="132"/>
        <v/>
      </c>
      <c r="Z435" s="39" t="str">
        <f>IF(L435="","",IF(V435&gt;0,INDEX('04-نيسان'!$Q$2:$Q$501,V435),IF($AO$1=1,0,"")))</f>
        <v/>
      </c>
      <c r="AA435" s="39" t="str">
        <f t="shared" si="133"/>
        <v/>
      </c>
      <c r="AB435" s="40" t="str">
        <f>IF(OR(L435="",V435=0),"",IF(AND(N(I435)&gt;0,N(INDEX('04-نيسان'!$I$2:$I$501,V435))&gt;0,INDEX('04-نيسان'!$F$2:$F$501,V435)=F435),N(I435)/N(INDEX('04-نيسان'!$I$2:$I$501,V435))-1,""))</f>
        <v/>
      </c>
      <c r="AC435" t="str">
        <f>IF(L435="","",IF(AND($AO$2=1,ISNA(MATCH(L435,'06-حزيران'!$L$2:$L$499,0))),"محذوف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IF(L436="","",IF($AO$1=1,IFERROR(MATCH(L436,'04-نيسان'!$L$2:$L$501,0),0),0))</f>
        <v/>
      </c>
      <c r="W436" t="str">
        <f t="shared" si="131"/>
        <v/>
      </c>
      <c r="X436" s="38" t="str">
        <f>IF(L436="","",IF(V436&gt;0,INDEX('04-نيسان'!$P$2:$P$501,V436),IF($AO$1=1,0,"")))</f>
        <v/>
      </c>
      <c r="Y436" s="38" t="str">
        <f t="shared" si="132"/>
        <v/>
      </c>
      <c r="Z436" s="39" t="str">
        <f>IF(L436="","",IF(V436&gt;0,INDEX('04-نيسان'!$Q$2:$Q$501,V436),IF($AO$1=1,0,"")))</f>
        <v/>
      </c>
      <c r="AA436" s="39" t="str">
        <f t="shared" si="133"/>
        <v/>
      </c>
      <c r="AB436" s="40" t="str">
        <f>IF(OR(L436="",V436=0),"",IF(AND(N(I436)&gt;0,N(INDEX('04-نيسان'!$I$2:$I$501,V436))&gt;0,INDEX('04-نيسان'!$F$2:$F$501,V436)=F436),N(I436)/N(INDEX('04-نيسان'!$I$2:$I$501,V436))-1,""))</f>
        <v/>
      </c>
      <c r="AC436" t="str">
        <f>IF(L436="","",IF(AND($AO$2=1,ISNA(MATCH(L436,'06-حزيران'!$L$2:$L$499,0))),"محذوف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IF(L437="","",IF($AO$1=1,IFERROR(MATCH(L437,'04-نيسان'!$L$2:$L$501,0),0),0))</f>
        <v/>
      </c>
      <c r="W437" t="str">
        <f t="shared" si="131"/>
        <v/>
      </c>
      <c r="X437" s="38" t="str">
        <f>IF(L437="","",IF(V437&gt;0,INDEX('04-نيسان'!$P$2:$P$501,V437),IF($AO$1=1,0,"")))</f>
        <v/>
      </c>
      <c r="Y437" s="38" t="str">
        <f t="shared" si="132"/>
        <v/>
      </c>
      <c r="Z437" s="39" t="str">
        <f>IF(L437="","",IF(V437&gt;0,INDEX('04-نيسان'!$Q$2:$Q$501,V437),IF($AO$1=1,0,"")))</f>
        <v/>
      </c>
      <c r="AA437" s="39" t="str">
        <f t="shared" si="133"/>
        <v/>
      </c>
      <c r="AB437" s="40" t="str">
        <f>IF(OR(L437="",V437=0),"",IF(AND(N(I437)&gt;0,N(INDEX('04-نيسان'!$I$2:$I$501,V437))&gt;0,INDEX('04-نيسان'!$F$2:$F$501,V437)=F437),N(I437)/N(INDEX('04-نيسان'!$I$2:$I$501,V437))-1,""))</f>
        <v/>
      </c>
      <c r="AC437" t="str">
        <f>IF(L437="","",IF(AND($AO$2=1,ISNA(MATCH(L437,'06-حزيران'!$L$2:$L$499,0))),"محذوف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IF(L438="","",IF($AO$1=1,IFERROR(MATCH(L438,'04-نيسان'!$L$2:$L$501,0),0),0))</f>
        <v/>
      </c>
      <c r="W438" t="str">
        <f t="shared" si="131"/>
        <v/>
      </c>
      <c r="X438" s="38" t="str">
        <f>IF(L438="","",IF(V438&gt;0,INDEX('04-نيسان'!$P$2:$P$501,V438),IF($AO$1=1,0,"")))</f>
        <v/>
      </c>
      <c r="Y438" s="38" t="str">
        <f t="shared" si="132"/>
        <v/>
      </c>
      <c r="Z438" s="39" t="str">
        <f>IF(L438="","",IF(V438&gt;0,INDEX('04-نيسان'!$Q$2:$Q$501,V438),IF($AO$1=1,0,"")))</f>
        <v/>
      </c>
      <c r="AA438" s="39" t="str">
        <f t="shared" si="133"/>
        <v/>
      </c>
      <c r="AB438" s="40" t="str">
        <f>IF(OR(L438="",V438=0),"",IF(AND(N(I438)&gt;0,N(INDEX('04-نيسان'!$I$2:$I$501,V438))&gt;0,INDEX('04-نيسان'!$F$2:$F$501,V438)=F438),N(I438)/N(INDEX('04-نيسان'!$I$2:$I$501,V438))-1,""))</f>
        <v/>
      </c>
      <c r="AC438" t="str">
        <f>IF(L438="","",IF(AND($AO$2=1,ISNA(MATCH(L438,'06-حزيران'!$L$2:$L$499,0))),"محذوف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IF(L439="","",IF($AO$1=1,IFERROR(MATCH(L439,'04-نيسان'!$L$2:$L$501,0),0),0))</f>
        <v/>
      </c>
      <c r="W439" t="str">
        <f t="shared" si="131"/>
        <v/>
      </c>
      <c r="X439" s="38" t="str">
        <f>IF(L439="","",IF(V439&gt;0,INDEX('04-نيسان'!$P$2:$P$501,V439),IF($AO$1=1,0,"")))</f>
        <v/>
      </c>
      <c r="Y439" s="38" t="str">
        <f t="shared" si="132"/>
        <v/>
      </c>
      <c r="Z439" s="39" t="str">
        <f>IF(L439="","",IF(V439&gt;0,INDEX('04-نيسان'!$Q$2:$Q$501,V439),IF($AO$1=1,0,"")))</f>
        <v/>
      </c>
      <c r="AA439" s="39" t="str">
        <f t="shared" si="133"/>
        <v/>
      </c>
      <c r="AB439" s="40" t="str">
        <f>IF(OR(L439="",V439=0),"",IF(AND(N(I439)&gt;0,N(INDEX('04-نيسان'!$I$2:$I$501,V439))&gt;0,INDEX('04-نيسان'!$F$2:$F$501,V439)=F439),N(I439)/N(INDEX('04-نيسان'!$I$2:$I$501,V439))-1,""))</f>
        <v/>
      </c>
      <c r="AC439" t="str">
        <f>IF(L439="","",IF(AND($AO$2=1,ISNA(MATCH(L439,'06-حزيران'!$L$2:$L$499,0))),"محذوف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IF(L440="","",IF($AO$1=1,IFERROR(MATCH(L440,'04-نيسان'!$L$2:$L$501,0),0),0))</f>
        <v/>
      </c>
      <c r="W440" t="str">
        <f t="shared" si="131"/>
        <v/>
      </c>
      <c r="X440" s="38" t="str">
        <f>IF(L440="","",IF(V440&gt;0,INDEX('04-نيسان'!$P$2:$P$501,V440),IF($AO$1=1,0,"")))</f>
        <v/>
      </c>
      <c r="Y440" s="38" t="str">
        <f t="shared" si="132"/>
        <v/>
      </c>
      <c r="Z440" s="39" t="str">
        <f>IF(L440="","",IF(V440&gt;0,INDEX('04-نيسان'!$Q$2:$Q$501,V440),IF($AO$1=1,0,"")))</f>
        <v/>
      </c>
      <c r="AA440" s="39" t="str">
        <f t="shared" si="133"/>
        <v/>
      </c>
      <c r="AB440" s="40" t="str">
        <f>IF(OR(L440="",V440=0),"",IF(AND(N(I440)&gt;0,N(INDEX('04-نيسان'!$I$2:$I$501,V440))&gt;0,INDEX('04-نيسان'!$F$2:$F$501,V440)=F440),N(I440)/N(INDEX('04-نيسان'!$I$2:$I$501,V440))-1,""))</f>
        <v/>
      </c>
      <c r="AC440" t="str">
        <f>IF(L440="","",IF(AND($AO$2=1,ISNA(MATCH(L440,'06-حزيران'!$L$2:$L$499,0))),"محذوف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IF(L441="","",IF($AO$1=1,IFERROR(MATCH(L441,'04-نيسان'!$L$2:$L$501,0),0),0))</f>
        <v/>
      </c>
      <c r="W441" t="str">
        <f t="shared" si="131"/>
        <v/>
      </c>
      <c r="X441" s="38" t="str">
        <f>IF(L441="","",IF(V441&gt;0,INDEX('04-نيسان'!$P$2:$P$501,V441),IF($AO$1=1,0,"")))</f>
        <v/>
      </c>
      <c r="Y441" s="38" t="str">
        <f t="shared" si="132"/>
        <v/>
      </c>
      <c r="Z441" s="39" t="str">
        <f>IF(L441="","",IF(V441&gt;0,INDEX('04-نيسان'!$Q$2:$Q$501,V441),IF($AO$1=1,0,"")))</f>
        <v/>
      </c>
      <c r="AA441" s="39" t="str">
        <f t="shared" si="133"/>
        <v/>
      </c>
      <c r="AB441" s="40" t="str">
        <f>IF(OR(L441="",V441=0),"",IF(AND(N(I441)&gt;0,N(INDEX('04-نيسان'!$I$2:$I$501,V441))&gt;0,INDEX('04-نيسان'!$F$2:$F$501,V441)=F441),N(I441)/N(INDEX('04-نيسان'!$I$2:$I$501,V441))-1,""))</f>
        <v/>
      </c>
      <c r="AC441" t="str">
        <f>IF(L441="","",IF(AND($AO$2=1,ISNA(MATCH(L441,'06-حزيران'!$L$2:$L$499,0))),"محذوف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IF(L442="","",IF($AO$1=1,IFERROR(MATCH(L442,'04-نيسان'!$L$2:$L$501,0),0),0))</f>
        <v/>
      </c>
      <c r="W442" t="str">
        <f t="shared" si="131"/>
        <v/>
      </c>
      <c r="X442" s="38" t="str">
        <f>IF(L442="","",IF(V442&gt;0,INDEX('04-نيسان'!$P$2:$P$501,V442),IF($AO$1=1,0,"")))</f>
        <v/>
      </c>
      <c r="Y442" s="38" t="str">
        <f t="shared" si="132"/>
        <v/>
      </c>
      <c r="Z442" s="39" t="str">
        <f>IF(L442="","",IF(V442&gt;0,INDEX('04-نيسان'!$Q$2:$Q$501,V442),IF($AO$1=1,0,"")))</f>
        <v/>
      </c>
      <c r="AA442" s="39" t="str">
        <f t="shared" si="133"/>
        <v/>
      </c>
      <c r="AB442" s="40" t="str">
        <f>IF(OR(L442="",V442=0),"",IF(AND(N(I442)&gt;0,N(INDEX('04-نيسان'!$I$2:$I$501,V442))&gt;0,INDEX('04-نيسان'!$F$2:$F$501,V442)=F442),N(I442)/N(INDEX('04-نيسان'!$I$2:$I$501,V442))-1,""))</f>
        <v/>
      </c>
      <c r="AC442" t="str">
        <f>IF(L442="","",IF(AND($AO$2=1,ISNA(MATCH(L442,'06-حزيران'!$L$2:$L$499,0))),"محذوف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IF(L443="","",IF($AO$1=1,IFERROR(MATCH(L443,'04-نيسان'!$L$2:$L$501,0),0),0))</f>
        <v/>
      </c>
      <c r="W443" t="str">
        <f t="shared" si="131"/>
        <v/>
      </c>
      <c r="X443" s="38" t="str">
        <f>IF(L443="","",IF(V443&gt;0,INDEX('04-نيسان'!$P$2:$P$501,V443),IF($AO$1=1,0,"")))</f>
        <v/>
      </c>
      <c r="Y443" s="38" t="str">
        <f t="shared" si="132"/>
        <v/>
      </c>
      <c r="Z443" s="39" t="str">
        <f>IF(L443="","",IF(V443&gt;0,INDEX('04-نيسان'!$Q$2:$Q$501,V443),IF($AO$1=1,0,"")))</f>
        <v/>
      </c>
      <c r="AA443" s="39" t="str">
        <f t="shared" si="133"/>
        <v/>
      </c>
      <c r="AB443" s="40" t="str">
        <f>IF(OR(L443="",V443=0),"",IF(AND(N(I443)&gt;0,N(INDEX('04-نيسان'!$I$2:$I$501,V443))&gt;0,INDEX('04-نيسان'!$F$2:$F$501,V443)=F443),N(I443)/N(INDEX('04-نيسان'!$I$2:$I$501,V443))-1,""))</f>
        <v/>
      </c>
      <c r="AC443" t="str">
        <f>IF(L443="","",IF(AND($AO$2=1,ISNA(MATCH(L443,'06-حزيران'!$L$2:$L$499,0))),"محذوف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IF(L444="","",IF($AO$1=1,IFERROR(MATCH(L444,'04-نيسان'!$L$2:$L$501,0),0),0))</f>
        <v/>
      </c>
      <c r="W444" t="str">
        <f t="shared" si="131"/>
        <v/>
      </c>
      <c r="X444" s="38" t="str">
        <f>IF(L444="","",IF(V444&gt;0,INDEX('04-نيسان'!$P$2:$P$501,V444),IF($AO$1=1,0,"")))</f>
        <v/>
      </c>
      <c r="Y444" s="38" t="str">
        <f t="shared" si="132"/>
        <v/>
      </c>
      <c r="Z444" s="39" t="str">
        <f>IF(L444="","",IF(V444&gt;0,INDEX('04-نيسان'!$Q$2:$Q$501,V444),IF($AO$1=1,0,"")))</f>
        <v/>
      </c>
      <c r="AA444" s="39" t="str">
        <f t="shared" si="133"/>
        <v/>
      </c>
      <c r="AB444" s="40" t="str">
        <f>IF(OR(L444="",V444=0),"",IF(AND(N(I444)&gt;0,N(INDEX('04-نيسان'!$I$2:$I$501,V444))&gt;0,INDEX('04-نيسان'!$F$2:$F$501,V444)=F444),N(I444)/N(INDEX('04-نيسان'!$I$2:$I$501,V444))-1,""))</f>
        <v/>
      </c>
      <c r="AC444" t="str">
        <f>IF(L444="","",IF(AND($AO$2=1,ISNA(MATCH(L444,'06-حزيران'!$L$2:$L$499,0))),"محذوف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IF(L445="","",IF($AO$1=1,IFERROR(MATCH(L445,'04-نيسان'!$L$2:$L$501,0),0),0))</f>
        <v/>
      </c>
      <c r="W445" t="str">
        <f t="shared" si="131"/>
        <v/>
      </c>
      <c r="X445" s="38" t="str">
        <f>IF(L445="","",IF(V445&gt;0,INDEX('04-نيسان'!$P$2:$P$501,V445),IF($AO$1=1,0,"")))</f>
        <v/>
      </c>
      <c r="Y445" s="38" t="str">
        <f t="shared" si="132"/>
        <v/>
      </c>
      <c r="Z445" s="39" t="str">
        <f>IF(L445="","",IF(V445&gt;0,INDEX('04-نيسان'!$Q$2:$Q$501,V445),IF($AO$1=1,0,"")))</f>
        <v/>
      </c>
      <c r="AA445" s="39" t="str">
        <f t="shared" si="133"/>
        <v/>
      </c>
      <c r="AB445" s="40" t="str">
        <f>IF(OR(L445="",V445=0),"",IF(AND(N(I445)&gt;0,N(INDEX('04-نيسان'!$I$2:$I$501,V445))&gt;0,INDEX('04-نيسان'!$F$2:$F$501,V445)=F445),N(I445)/N(INDEX('04-نيسان'!$I$2:$I$501,V445))-1,""))</f>
        <v/>
      </c>
      <c r="AC445" t="str">
        <f>IF(L445="","",IF(AND($AO$2=1,ISNA(MATCH(L445,'06-حزيران'!$L$2:$L$499,0))),"محذوف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IF(L446="","",IF($AO$1=1,IFERROR(MATCH(L446,'04-نيسان'!$L$2:$L$501,0),0),0))</f>
        <v/>
      </c>
      <c r="W446" t="str">
        <f t="shared" si="131"/>
        <v/>
      </c>
      <c r="X446" s="38" t="str">
        <f>IF(L446="","",IF(V446&gt;0,INDEX('04-نيسان'!$P$2:$P$501,V446),IF($AO$1=1,0,"")))</f>
        <v/>
      </c>
      <c r="Y446" s="38" t="str">
        <f t="shared" si="132"/>
        <v/>
      </c>
      <c r="Z446" s="39" t="str">
        <f>IF(L446="","",IF(V446&gt;0,INDEX('04-نيسان'!$Q$2:$Q$501,V446),IF($AO$1=1,0,"")))</f>
        <v/>
      </c>
      <c r="AA446" s="39" t="str">
        <f t="shared" si="133"/>
        <v/>
      </c>
      <c r="AB446" s="40" t="str">
        <f>IF(OR(L446="",V446=0),"",IF(AND(N(I446)&gt;0,N(INDEX('04-نيسان'!$I$2:$I$501,V446))&gt;0,INDEX('04-نيسان'!$F$2:$F$501,V446)=F446),N(I446)/N(INDEX('04-نيسان'!$I$2:$I$501,V446))-1,""))</f>
        <v/>
      </c>
      <c r="AC446" t="str">
        <f>IF(L446="","",IF(AND($AO$2=1,ISNA(MATCH(L446,'06-حزيران'!$L$2:$L$499,0))),"محذوف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IF(L447="","",IF($AO$1=1,IFERROR(MATCH(L447,'04-نيسان'!$L$2:$L$501,0),0),0))</f>
        <v/>
      </c>
      <c r="W447" t="str">
        <f t="shared" si="131"/>
        <v/>
      </c>
      <c r="X447" s="38" t="str">
        <f>IF(L447="","",IF(V447&gt;0,INDEX('04-نيسان'!$P$2:$P$501,V447),IF($AO$1=1,0,"")))</f>
        <v/>
      </c>
      <c r="Y447" s="38" t="str">
        <f t="shared" si="132"/>
        <v/>
      </c>
      <c r="Z447" s="39" t="str">
        <f>IF(L447="","",IF(V447&gt;0,INDEX('04-نيسان'!$Q$2:$Q$501,V447),IF($AO$1=1,0,"")))</f>
        <v/>
      </c>
      <c r="AA447" s="39" t="str">
        <f t="shared" si="133"/>
        <v/>
      </c>
      <c r="AB447" s="40" t="str">
        <f>IF(OR(L447="",V447=0),"",IF(AND(N(I447)&gt;0,N(INDEX('04-نيسان'!$I$2:$I$501,V447))&gt;0,INDEX('04-نيسان'!$F$2:$F$501,V447)=F447),N(I447)/N(INDEX('04-نيسان'!$I$2:$I$501,V447))-1,""))</f>
        <v/>
      </c>
      <c r="AC447" t="str">
        <f>IF(L447="","",IF(AND($AO$2=1,ISNA(MATCH(L447,'06-حزيران'!$L$2:$L$499,0))),"محذوف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IF(L448="","",IF($AO$1=1,IFERROR(MATCH(L448,'04-نيسان'!$L$2:$L$501,0),0),0))</f>
        <v/>
      </c>
      <c r="W448" t="str">
        <f t="shared" si="131"/>
        <v/>
      </c>
      <c r="X448" s="38" t="str">
        <f>IF(L448="","",IF(V448&gt;0,INDEX('04-نيسان'!$P$2:$P$501,V448),IF($AO$1=1,0,"")))</f>
        <v/>
      </c>
      <c r="Y448" s="38" t="str">
        <f t="shared" si="132"/>
        <v/>
      </c>
      <c r="Z448" s="39" t="str">
        <f>IF(L448="","",IF(V448&gt;0,INDEX('04-نيسان'!$Q$2:$Q$501,V448),IF($AO$1=1,0,"")))</f>
        <v/>
      </c>
      <c r="AA448" s="39" t="str">
        <f t="shared" si="133"/>
        <v/>
      </c>
      <c r="AB448" s="40" t="str">
        <f>IF(OR(L448="",V448=0),"",IF(AND(N(I448)&gt;0,N(INDEX('04-نيسان'!$I$2:$I$501,V448))&gt;0,INDEX('04-نيسان'!$F$2:$F$501,V448)=F448),N(I448)/N(INDEX('04-نيسان'!$I$2:$I$501,V448))-1,""))</f>
        <v/>
      </c>
      <c r="AC448" t="str">
        <f>IF(L448="","",IF(AND($AO$2=1,ISNA(MATCH(L448,'06-حزيران'!$L$2:$L$499,0))),"محذوف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IF(L449="","",IF($AO$1=1,IFERROR(MATCH(L449,'04-نيسان'!$L$2:$L$501,0),0),0))</f>
        <v/>
      </c>
      <c r="W449" t="str">
        <f t="shared" si="131"/>
        <v/>
      </c>
      <c r="X449" s="38" t="str">
        <f>IF(L449="","",IF(V449&gt;0,INDEX('04-نيسان'!$P$2:$P$501,V449),IF($AO$1=1,0,"")))</f>
        <v/>
      </c>
      <c r="Y449" s="38" t="str">
        <f t="shared" si="132"/>
        <v/>
      </c>
      <c r="Z449" s="39" t="str">
        <f>IF(L449="","",IF(V449&gt;0,INDEX('04-نيسان'!$Q$2:$Q$501,V449),IF($AO$1=1,0,"")))</f>
        <v/>
      </c>
      <c r="AA449" s="39" t="str">
        <f t="shared" si="133"/>
        <v/>
      </c>
      <c r="AB449" s="40" t="str">
        <f>IF(OR(L449="",V449=0),"",IF(AND(N(I449)&gt;0,N(INDEX('04-نيسان'!$I$2:$I$501,V449))&gt;0,INDEX('04-نيسان'!$F$2:$F$501,V449)=F449),N(I449)/N(INDEX('04-نيسان'!$I$2:$I$501,V449))-1,""))</f>
        <v/>
      </c>
      <c r="AC449" t="str">
        <f>IF(L449="","",IF(AND($AO$2=1,ISNA(MATCH(L449,'06-حزيران'!$L$2:$L$499,0))),"محذوف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IF(L450="","",IF($AO$1=1,IFERROR(MATCH(L450,'04-نيسان'!$L$2:$L$501,0),0),0))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IF(L450="","",IF(V450&gt;0,INDEX('04-نيسان'!$P$2:$P$501,V450),IF($AO$1=1,0,"")))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IF(L450="","",IF(V450&gt;0,INDEX('04-نيسان'!$Q$2:$Q$501,V450),IF($AO$1=1,0,"")))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IF(OR(L450="",V450=0),"",IF(AND(N(I450)&gt;0,N(INDEX('04-نيسان'!$I$2:$I$501,V450))&gt;0,INDEX('04-نيسان'!$F$2:$F$501,V450)=F450),N(I450)/N(INDEX('04-نيسان'!$I$2:$I$501,V450))-1,""))</f>
        <v/>
      </c>
      <c r="AC450" t="str">
        <f>IF(L450="","",IF(AND($AO$2=1,ISNA(MATCH(L450,'06-حزيران'!$L$2:$L$499,0))),"محذوف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IF(L451="","",IF($AO$1=1,IFERROR(MATCH(L451,'04-نيسان'!$L$2:$L$501,0),0),0))</f>
        <v/>
      </c>
      <c r="W451" t="str">
        <f t="shared" si="151"/>
        <v/>
      </c>
      <c r="X451" s="38" t="str">
        <f>IF(L451="","",IF(V451&gt;0,INDEX('04-نيسان'!$P$2:$P$501,V451),IF($AO$1=1,0,"")))</f>
        <v/>
      </c>
      <c r="Y451" s="38" t="str">
        <f t="shared" si="152"/>
        <v/>
      </c>
      <c r="Z451" s="39" t="str">
        <f>IF(L451="","",IF(V451&gt;0,INDEX('04-نيسان'!$Q$2:$Q$501,V451),IF($AO$1=1,0,"")))</f>
        <v/>
      </c>
      <c r="AA451" s="39" t="str">
        <f t="shared" si="153"/>
        <v/>
      </c>
      <c r="AB451" s="40" t="str">
        <f>IF(OR(L451="",V451=0),"",IF(AND(N(I451)&gt;0,N(INDEX('04-نيسان'!$I$2:$I$501,V451))&gt;0,INDEX('04-نيسان'!$F$2:$F$501,V451)=F451),N(I451)/N(INDEX('04-نيسان'!$I$2:$I$501,V451))-1,""))</f>
        <v/>
      </c>
      <c r="AC451" t="str">
        <f>IF(L451="","",IF(AND($AO$2=1,ISNA(MATCH(L451,'06-حزيران'!$L$2:$L$499,0))),"محذوف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IF(L452="","",IF($AO$1=1,IFERROR(MATCH(L452,'04-نيسان'!$L$2:$L$501,0),0),0))</f>
        <v/>
      </c>
      <c r="W452" t="str">
        <f t="shared" si="151"/>
        <v/>
      </c>
      <c r="X452" s="38" t="str">
        <f>IF(L452="","",IF(V452&gt;0,INDEX('04-نيسان'!$P$2:$P$501,V452),IF($AO$1=1,0,"")))</f>
        <v/>
      </c>
      <c r="Y452" s="38" t="str">
        <f t="shared" si="152"/>
        <v/>
      </c>
      <c r="Z452" s="39" t="str">
        <f>IF(L452="","",IF(V452&gt;0,INDEX('04-نيسان'!$Q$2:$Q$501,V452),IF($AO$1=1,0,"")))</f>
        <v/>
      </c>
      <c r="AA452" s="39" t="str">
        <f t="shared" si="153"/>
        <v/>
      </c>
      <c r="AB452" s="40" t="str">
        <f>IF(OR(L452="",V452=0),"",IF(AND(N(I452)&gt;0,N(INDEX('04-نيسان'!$I$2:$I$501,V452))&gt;0,INDEX('04-نيسان'!$F$2:$F$501,V452)=F452),N(I452)/N(INDEX('04-نيسان'!$I$2:$I$501,V452))-1,""))</f>
        <v/>
      </c>
      <c r="AC452" t="str">
        <f>IF(L452="","",IF(AND($AO$2=1,ISNA(MATCH(L452,'06-حزيران'!$L$2:$L$499,0))),"محذوف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IF(L453="","",IF($AO$1=1,IFERROR(MATCH(L453,'04-نيسان'!$L$2:$L$501,0),0),0))</f>
        <v/>
      </c>
      <c r="W453" t="str">
        <f t="shared" si="151"/>
        <v/>
      </c>
      <c r="X453" s="38" t="str">
        <f>IF(L453="","",IF(V453&gt;0,INDEX('04-نيسان'!$P$2:$P$501,V453),IF($AO$1=1,0,"")))</f>
        <v/>
      </c>
      <c r="Y453" s="38" t="str">
        <f t="shared" si="152"/>
        <v/>
      </c>
      <c r="Z453" s="39" t="str">
        <f>IF(L453="","",IF(V453&gt;0,INDEX('04-نيسان'!$Q$2:$Q$501,V453),IF($AO$1=1,0,"")))</f>
        <v/>
      </c>
      <c r="AA453" s="39" t="str">
        <f t="shared" si="153"/>
        <v/>
      </c>
      <c r="AB453" s="40" t="str">
        <f>IF(OR(L453="",V453=0),"",IF(AND(N(I453)&gt;0,N(INDEX('04-نيسان'!$I$2:$I$501,V453))&gt;0,INDEX('04-نيسان'!$F$2:$F$501,V453)=F453),N(I453)/N(INDEX('04-نيسان'!$I$2:$I$501,V453))-1,""))</f>
        <v/>
      </c>
      <c r="AC453" t="str">
        <f>IF(L453="","",IF(AND($AO$2=1,ISNA(MATCH(L453,'06-حزيران'!$L$2:$L$499,0))),"محذوف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IF(L454="","",IF($AO$1=1,IFERROR(MATCH(L454,'04-نيسان'!$L$2:$L$501,0),0),0))</f>
        <v/>
      </c>
      <c r="W454" t="str">
        <f t="shared" si="151"/>
        <v/>
      </c>
      <c r="X454" s="38" t="str">
        <f>IF(L454="","",IF(V454&gt;0,INDEX('04-نيسان'!$P$2:$P$501,V454),IF($AO$1=1,0,"")))</f>
        <v/>
      </c>
      <c r="Y454" s="38" t="str">
        <f t="shared" si="152"/>
        <v/>
      </c>
      <c r="Z454" s="39" t="str">
        <f>IF(L454="","",IF(V454&gt;0,INDEX('04-نيسان'!$Q$2:$Q$501,V454),IF($AO$1=1,0,"")))</f>
        <v/>
      </c>
      <c r="AA454" s="39" t="str">
        <f t="shared" si="153"/>
        <v/>
      </c>
      <c r="AB454" s="40" t="str">
        <f>IF(OR(L454="",V454=0),"",IF(AND(N(I454)&gt;0,N(INDEX('04-نيسان'!$I$2:$I$501,V454))&gt;0,INDEX('04-نيسان'!$F$2:$F$501,V454)=F454),N(I454)/N(INDEX('04-نيسان'!$I$2:$I$501,V454))-1,""))</f>
        <v/>
      </c>
      <c r="AC454" t="str">
        <f>IF(L454="","",IF(AND($AO$2=1,ISNA(MATCH(L454,'06-حزيران'!$L$2:$L$499,0))),"محذوف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IF(L455="","",IF($AO$1=1,IFERROR(MATCH(L455,'04-نيسان'!$L$2:$L$501,0),0),0))</f>
        <v/>
      </c>
      <c r="W455" t="str">
        <f t="shared" si="151"/>
        <v/>
      </c>
      <c r="X455" s="38" t="str">
        <f>IF(L455="","",IF(V455&gt;0,INDEX('04-نيسان'!$P$2:$P$501,V455),IF($AO$1=1,0,"")))</f>
        <v/>
      </c>
      <c r="Y455" s="38" t="str">
        <f t="shared" si="152"/>
        <v/>
      </c>
      <c r="Z455" s="39" t="str">
        <f>IF(L455="","",IF(V455&gt;0,INDEX('04-نيسان'!$Q$2:$Q$501,V455),IF($AO$1=1,0,"")))</f>
        <v/>
      </c>
      <c r="AA455" s="39" t="str">
        <f t="shared" si="153"/>
        <v/>
      </c>
      <c r="AB455" s="40" t="str">
        <f>IF(OR(L455="",V455=0),"",IF(AND(N(I455)&gt;0,N(INDEX('04-نيسان'!$I$2:$I$501,V455))&gt;0,INDEX('04-نيسان'!$F$2:$F$501,V455)=F455),N(I455)/N(INDEX('04-نيسان'!$I$2:$I$501,V455))-1,""))</f>
        <v/>
      </c>
      <c r="AC455" t="str">
        <f>IF(L455="","",IF(AND($AO$2=1,ISNA(MATCH(L455,'06-حزيران'!$L$2:$L$499,0))),"محذوف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IF(L456="","",IF($AO$1=1,IFERROR(MATCH(L456,'04-نيسان'!$L$2:$L$501,0),0),0))</f>
        <v/>
      </c>
      <c r="W456" t="str">
        <f t="shared" si="151"/>
        <v/>
      </c>
      <c r="X456" s="38" t="str">
        <f>IF(L456="","",IF(V456&gt;0,INDEX('04-نيسان'!$P$2:$P$501,V456),IF($AO$1=1,0,"")))</f>
        <v/>
      </c>
      <c r="Y456" s="38" t="str">
        <f t="shared" si="152"/>
        <v/>
      </c>
      <c r="Z456" s="39" t="str">
        <f>IF(L456="","",IF(V456&gt;0,INDEX('04-نيسان'!$Q$2:$Q$501,V456),IF($AO$1=1,0,"")))</f>
        <v/>
      </c>
      <c r="AA456" s="39" t="str">
        <f t="shared" si="153"/>
        <v/>
      </c>
      <c r="AB456" s="40" t="str">
        <f>IF(OR(L456="",V456=0),"",IF(AND(N(I456)&gt;0,N(INDEX('04-نيسان'!$I$2:$I$501,V456))&gt;0,INDEX('04-نيسان'!$F$2:$F$501,V456)=F456),N(I456)/N(INDEX('04-نيسان'!$I$2:$I$501,V456))-1,""))</f>
        <v/>
      </c>
      <c r="AC456" t="str">
        <f>IF(L456="","",IF(AND($AO$2=1,ISNA(MATCH(L456,'06-حزيران'!$L$2:$L$499,0))),"محذوف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IF(L457="","",IF($AO$1=1,IFERROR(MATCH(L457,'04-نيسان'!$L$2:$L$501,0),0),0))</f>
        <v/>
      </c>
      <c r="W457" t="str">
        <f t="shared" si="151"/>
        <v/>
      </c>
      <c r="X457" s="38" t="str">
        <f>IF(L457="","",IF(V457&gt;0,INDEX('04-نيسان'!$P$2:$P$501,V457),IF($AO$1=1,0,"")))</f>
        <v/>
      </c>
      <c r="Y457" s="38" t="str">
        <f t="shared" si="152"/>
        <v/>
      </c>
      <c r="Z457" s="39" t="str">
        <f>IF(L457="","",IF(V457&gt;0,INDEX('04-نيسان'!$Q$2:$Q$501,V457),IF($AO$1=1,0,"")))</f>
        <v/>
      </c>
      <c r="AA457" s="39" t="str">
        <f t="shared" si="153"/>
        <v/>
      </c>
      <c r="AB457" s="40" t="str">
        <f>IF(OR(L457="",V457=0),"",IF(AND(N(I457)&gt;0,N(INDEX('04-نيسان'!$I$2:$I$501,V457))&gt;0,INDEX('04-نيسان'!$F$2:$F$501,V457)=F457),N(I457)/N(INDEX('04-نيسان'!$I$2:$I$501,V457))-1,""))</f>
        <v/>
      </c>
      <c r="AC457" t="str">
        <f>IF(L457="","",IF(AND($AO$2=1,ISNA(MATCH(L457,'06-حزيران'!$L$2:$L$499,0))),"محذوف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IF(L458="","",IF($AO$1=1,IFERROR(MATCH(L458,'04-نيسان'!$L$2:$L$501,0),0),0))</f>
        <v/>
      </c>
      <c r="W458" t="str">
        <f t="shared" si="151"/>
        <v/>
      </c>
      <c r="X458" s="38" t="str">
        <f>IF(L458="","",IF(V458&gt;0,INDEX('04-نيسان'!$P$2:$P$501,V458),IF($AO$1=1,0,"")))</f>
        <v/>
      </c>
      <c r="Y458" s="38" t="str">
        <f t="shared" si="152"/>
        <v/>
      </c>
      <c r="Z458" s="39" t="str">
        <f>IF(L458="","",IF(V458&gt;0,INDEX('04-نيسان'!$Q$2:$Q$501,V458),IF($AO$1=1,0,"")))</f>
        <v/>
      </c>
      <c r="AA458" s="39" t="str">
        <f t="shared" si="153"/>
        <v/>
      </c>
      <c r="AB458" s="40" t="str">
        <f>IF(OR(L458="",V458=0),"",IF(AND(N(I458)&gt;0,N(INDEX('04-نيسان'!$I$2:$I$501,V458))&gt;0,INDEX('04-نيسان'!$F$2:$F$501,V458)=F458),N(I458)/N(INDEX('04-نيسان'!$I$2:$I$501,V458))-1,""))</f>
        <v/>
      </c>
      <c r="AC458" t="str">
        <f>IF(L458="","",IF(AND($AO$2=1,ISNA(MATCH(L458,'06-حزيران'!$L$2:$L$499,0))),"محذوف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IF(L459="","",IF($AO$1=1,IFERROR(MATCH(L459,'04-نيسان'!$L$2:$L$501,0),0),0))</f>
        <v/>
      </c>
      <c r="W459" t="str">
        <f t="shared" si="151"/>
        <v/>
      </c>
      <c r="X459" s="38" t="str">
        <f>IF(L459="","",IF(V459&gt;0,INDEX('04-نيسان'!$P$2:$P$501,V459),IF($AO$1=1,0,"")))</f>
        <v/>
      </c>
      <c r="Y459" s="38" t="str">
        <f t="shared" si="152"/>
        <v/>
      </c>
      <c r="Z459" s="39" t="str">
        <f>IF(L459="","",IF(V459&gt;0,INDEX('04-نيسان'!$Q$2:$Q$501,V459),IF($AO$1=1,0,"")))</f>
        <v/>
      </c>
      <c r="AA459" s="39" t="str">
        <f t="shared" si="153"/>
        <v/>
      </c>
      <c r="AB459" s="40" t="str">
        <f>IF(OR(L459="",V459=0),"",IF(AND(N(I459)&gt;0,N(INDEX('04-نيسان'!$I$2:$I$501,V459))&gt;0,INDEX('04-نيسان'!$F$2:$F$501,V459)=F459),N(I459)/N(INDEX('04-نيسان'!$I$2:$I$501,V459))-1,""))</f>
        <v/>
      </c>
      <c r="AC459" t="str">
        <f>IF(L459="","",IF(AND($AO$2=1,ISNA(MATCH(L459,'06-حزيران'!$L$2:$L$499,0))),"محذوف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IF(L460="","",IF($AO$1=1,IFERROR(MATCH(L460,'04-نيسان'!$L$2:$L$501,0),0),0))</f>
        <v/>
      </c>
      <c r="W460" t="str">
        <f t="shared" si="151"/>
        <v/>
      </c>
      <c r="X460" s="38" t="str">
        <f>IF(L460="","",IF(V460&gt;0,INDEX('04-نيسان'!$P$2:$P$501,V460),IF($AO$1=1,0,"")))</f>
        <v/>
      </c>
      <c r="Y460" s="38" t="str">
        <f t="shared" si="152"/>
        <v/>
      </c>
      <c r="Z460" s="39" t="str">
        <f>IF(L460="","",IF(V460&gt;0,INDEX('04-نيسان'!$Q$2:$Q$501,V460),IF($AO$1=1,0,"")))</f>
        <v/>
      </c>
      <c r="AA460" s="39" t="str">
        <f t="shared" si="153"/>
        <v/>
      </c>
      <c r="AB460" s="40" t="str">
        <f>IF(OR(L460="",V460=0),"",IF(AND(N(I460)&gt;0,N(INDEX('04-نيسان'!$I$2:$I$501,V460))&gt;0,INDEX('04-نيسان'!$F$2:$F$501,V460)=F460),N(I460)/N(INDEX('04-نيسان'!$I$2:$I$501,V460))-1,""))</f>
        <v/>
      </c>
      <c r="AC460" t="str">
        <f>IF(L460="","",IF(AND($AO$2=1,ISNA(MATCH(L460,'06-حزيران'!$L$2:$L$499,0))),"محذوف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IF(L461="","",IF($AO$1=1,IFERROR(MATCH(L461,'04-نيسان'!$L$2:$L$501,0),0),0))</f>
        <v/>
      </c>
      <c r="W461" t="str">
        <f t="shared" si="151"/>
        <v/>
      </c>
      <c r="X461" s="38" t="str">
        <f>IF(L461="","",IF(V461&gt;0,INDEX('04-نيسان'!$P$2:$P$501,V461),IF($AO$1=1,0,"")))</f>
        <v/>
      </c>
      <c r="Y461" s="38" t="str">
        <f t="shared" si="152"/>
        <v/>
      </c>
      <c r="Z461" s="39" t="str">
        <f>IF(L461="","",IF(V461&gt;0,INDEX('04-نيسان'!$Q$2:$Q$501,V461),IF($AO$1=1,0,"")))</f>
        <v/>
      </c>
      <c r="AA461" s="39" t="str">
        <f t="shared" si="153"/>
        <v/>
      </c>
      <c r="AB461" s="40" t="str">
        <f>IF(OR(L461="",V461=0),"",IF(AND(N(I461)&gt;0,N(INDEX('04-نيسان'!$I$2:$I$501,V461))&gt;0,INDEX('04-نيسان'!$F$2:$F$501,V461)=F461),N(I461)/N(INDEX('04-نيسان'!$I$2:$I$501,V461))-1,""))</f>
        <v/>
      </c>
      <c r="AC461" t="str">
        <f>IF(L461="","",IF(AND($AO$2=1,ISNA(MATCH(L461,'06-حزيران'!$L$2:$L$499,0))),"محذوف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IF(L462="","",IF($AO$1=1,IFERROR(MATCH(L462,'04-نيسان'!$L$2:$L$501,0),0),0))</f>
        <v/>
      </c>
      <c r="W462" t="str">
        <f t="shared" si="151"/>
        <v/>
      </c>
      <c r="X462" s="38" t="str">
        <f>IF(L462="","",IF(V462&gt;0,INDEX('04-نيسان'!$P$2:$P$501,V462),IF($AO$1=1,0,"")))</f>
        <v/>
      </c>
      <c r="Y462" s="38" t="str">
        <f t="shared" si="152"/>
        <v/>
      </c>
      <c r="Z462" s="39" t="str">
        <f>IF(L462="","",IF(V462&gt;0,INDEX('04-نيسان'!$Q$2:$Q$501,V462),IF($AO$1=1,0,"")))</f>
        <v/>
      </c>
      <c r="AA462" s="39" t="str">
        <f t="shared" si="153"/>
        <v/>
      </c>
      <c r="AB462" s="40" t="str">
        <f>IF(OR(L462="",V462=0),"",IF(AND(N(I462)&gt;0,N(INDEX('04-نيسان'!$I$2:$I$501,V462))&gt;0,INDEX('04-نيسان'!$F$2:$F$501,V462)=F462),N(I462)/N(INDEX('04-نيسان'!$I$2:$I$501,V462))-1,""))</f>
        <v/>
      </c>
      <c r="AC462" t="str">
        <f>IF(L462="","",IF(AND($AO$2=1,ISNA(MATCH(L462,'06-حزيران'!$L$2:$L$499,0))),"محذوف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IF(L463="","",IF($AO$1=1,IFERROR(MATCH(L463,'04-نيسان'!$L$2:$L$501,0),0),0))</f>
        <v/>
      </c>
      <c r="W463" t="str">
        <f t="shared" si="151"/>
        <v/>
      </c>
      <c r="X463" s="38" t="str">
        <f>IF(L463="","",IF(V463&gt;0,INDEX('04-نيسان'!$P$2:$P$501,V463),IF($AO$1=1,0,"")))</f>
        <v/>
      </c>
      <c r="Y463" s="38" t="str">
        <f t="shared" si="152"/>
        <v/>
      </c>
      <c r="Z463" s="39" t="str">
        <f>IF(L463="","",IF(V463&gt;0,INDEX('04-نيسان'!$Q$2:$Q$501,V463),IF($AO$1=1,0,"")))</f>
        <v/>
      </c>
      <c r="AA463" s="39" t="str">
        <f t="shared" si="153"/>
        <v/>
      </c>
      <c r="AB463" s="40" t="str">
        <f>IF(OR(L463="",V463=0),"",IF(AND(N(I463)&gt;0,N(INDEX('04-نيسان'!$I$2:$I$501,V463))&gt;0,INDEX('04-نيسان'!$F$2:$F$501,V463)=F463),N(I463)/N(INDEX('04-نيسان'!$I$2:$I$501,V463))-1,""))</f>
        <v/>
      </c>
      <c r="AC463" t="str">
        <f>IF(L463="","",IF(AND($AO$2=1,ISNA(MATCH(L463,'06-حزيران'!$L$2:$L$499,0))),"محذوف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IF(L464="","",IF($AO$1=1,IFERROR(MATCH(L464,'04-نيسان'!$L$2:$L$501,0),0),0))</f>
        <v/>
      </c>
      <c r="W464" t="str">
        <f t="shared" si="151"/>
        <v/>
      </c>
      <c r="X464" s="38" t="str">
        <f>IF(L464="","",IF(V464&gt;0,INDEX('04-نيسان'!$P$2:$P$501,V464),IF($AO$1=1,0,"")))</f>
        <v/>
      </c>
      <c r="Y464" s="38" t="str">
        <f t="shared" si="152"/>
        <v/>
      </c>
      <c r="Z464" s="39" t="str">
        <f>IF(L464="","",IF(V464&gt;0,INDEX('04-نيسان'!$Q$2:$Q$501,V464),IF($AO$1=1,0,"")))</f>
        <v/>
      </c>
      <c r="AA464" s="39" t="str">
        <f t="shared" si="153"/>
        <v/>
      </c>
      <c r="AB464" s="40" t="str">
        <f>IF(OR(L464="",V464=0),"",IF(AND(N(I464)&gt;0,N(INDEX('04-نيسان'!$I$2:$I$501,V464))&gt;0,INDEX('04-نيسان'!$F$2:$F$501,V464)=F464),N(I464)/N(INDEX('04-نيسان'!$I$2:$I$501,V464))-1,""))</f>
        <v/>
      </c>
      <c r="AC464" t="str">
        <f>IF(L464="","",IF(AND($AO$2=1,ISNA(MATCH(L464,'06-حزيران'!$L$2:$L$499,0))),"محذوف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IF(L465="","",IF($AO$1=1,IFERROR(MATCH(L465,'04-نيسان'!$L$2:$L$501,0),0),0))</f>
        <v/>
      </c>
      <c r="W465" t="str">
        <f t="shared" si="151"/>
        <v/>
      </c>
      <c r="X465" s="38" t="str">
        <f>IF(L465="","",IF(V465&gt;0,INDEX('04-نيسان'!$P$2:$P$501,V465),IF($AO$1=1,0,"")))</f>
        <v/>
      </c>
      <c r="Y465" s="38" t="str">
        <f t="shared" si="152"/>
        <v/>
      </c>
      <c r="Z465" s="39" t="str">
        <f>IF(L465="","",IF(V465&gt;0,INDEX('04-نيسان'!$Q$2:$Q$501,V465),IF($AO$1=1,0,"")))</f>
        <v/>
      </c>
      <c r="AA465" s="39" t="str">
        <f t="shared" si="153"/>
        <v/>
      </c>
      <c r="AB465" s="40" t="str">
        <f>IF(OR(L465="",V465=0),"",IF(AND(N(I465)&gt;0,N(INDEX('04-نيسان'!$I$2:$I$501,V465))&gt;0,INDEX('04-نيسان'!$F$2:$F$501,V465)=F465),N(I465)/N(INDEX('04-نيسان'!$I$2:$I$501,V465))-1,""))</f>
        <v/>
      </c>
      <c r="AC465" t="str">
        <f>IF(L465="","",IF(AND($AO$2=1,ISNA(MATCH(L465,'06-حزيران'!$L$2:$L$499,0))),"محذوف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IF(L466="","",IF($AO$1=1,IFERROR(MATCH(L466,'04-نيسان'!$L$2:$L$501,0),0),0))</f>
        <v/>
      </c>
      <c r="W466" t="str">
        <f t="shared" si="151"/>
        <v/>
      </c>
      <c r="X466" s="38" t="str">
        <f>IF(L466="","",IF(V466&gt;0,INDEX('04-نيسان'!$P$2:$P$501,V466),IF($AO$1=1,0,"")))</f>
        <v/>
      </c>
      <c r="Y466" s="38" t="str">
        <f t="shared" si="152"/>
        <v/>
      </c>
      <c r="Z466" s="39" t="str">
        <f>IF(L466="","",IF(V466&gt;0,INDEX('04-نيسان'!$Q$2:$Q$501,V466),IF($AO$1=1,0,"")))</f>
        <v/>
      </c>
      <c r="AA466" s="39" t="str">
        <f t="shared" si="153"/>
        <v/>
      </c>
      <c r="AB466" s="40" t="str">
        <f>IF(OR(L466="",V466=0),"",IF(AND(N(I466)&gt;0,N(INDEX('04-نيسان'!$I$2:$I$501,V466))&gt;0,INDEX('04-نيسان'!$F$2:$F$501,V466)=F466),N(I466)/N(INDEX('04-نيسان'!$I$2:$I$501,V466))-1,""))</f>
        <v/>
      </c>
      <c r="AC466" t="str">
        <f>IF(L466="","",IF(AND($AO$2=1,ISNA(MATCH(L466,'06-حزيران'!$L$2:$L$499,0))),"محذوف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IF(L467="","",IF($AO$1=1,IFERROR(MATCH(L467,'04-نيسان'!$L$2:$L$501,0),0),0))</f>
        <v/>
      </c>
      <c r="W467" t="str">
        <f t="shared" si="151"/>
        <v/>
      </c>
      <c r="X467" s="38" t="str">
        <f>IF(L467="","",IF(V467&gt;0,INDEX('04-نيسان'!$P$2:$P$501,V467),IF($AO$1=1,0,"")))</f>
        <v/>
      </c>
      <c r="Y467" s="38" t="str">
        <f t="shared" si="152"/>
        <v/>
      </c>
      <c r="Z467" s="39" t="str">
        <f>IF(L467="","",IF(V467&gt;0,INDEX('04-نيسان'!$Q$2:$Q$501,V467),IF($AO$1=1,0,"")))</f>
        <v/>
      </c>
      <c r="AA467" s="39" t="str">
        <f t="shared" si="153"/>
        <v/>
      </c>
      <c r="AB467" s="40" t="str">
        <f>IF(OR(L467="",V467=0),"",IF(AND(N(I467)&gt;0,N(INDEX('04-نيسان'!$I$2:$I$501,V467))&gt;0,INDEX('04-نيسان'!$F$2:$F$501,V467)=F467),N(I467)/N(INDEX('04-نيسان'!$I$2:$I$501,V467))-1,""))</f>
        <v/>
      </c>
      <c r="AC467" t="str">
        <f>IF(L467="","",IF(AND($AO$2=1,ISNA(MATCH(L467,'06-حزيران'!$L$2:$L$499,0))),"محذوف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IF(L468="","",IF($AO$1=1,IFERROR(MATCH(L468,'04-نيسان'!$L$2:$L$501,0),0),0))</f>
        <v/>
      </c>
      <c r="W468" t="str">
        <f t="shared" si="151"/>
        <v/>
      </c>
      <c r="X468" s="38" t="str">
        <f>IF(L468="","",IF(V468&gt;0,INDEX('04-نيسان'!$P$2:$P$501,V468),IF($AO$1=1,0,"")))</f>
        <v/>
      </c>
      <c r="Y468" s="38" t="str">
        <f t="shared" si="152"/>
        <v/>
      </c>
      <c r="Z468" s="39" t="str">
        <f>IF(L468="","",IF(V468&gt;0,INDEX('04-نيسان'!$Q$2:$Q$501,V468),IF($AO$1=1,0,"")))</f>
        <v/>
      </c>
      <c r="AA468" s="39" t="str">
        <f t="shared" si="153"/>
        <v/>
      </c>
      <c r="AB468" s="40" t="str">
        <f>IF(OR(L468="",V468=0),"",IF(AND(N(I468)&gt;0,N(INDEX('04-نيسان'!$I$2:$I$501,V468))&gt;0,INDEX('04-نيسان'!$F$2:$F$501,V468)=F468),N(I468)/N(INDEX('04-نيسان'!$I$2:$I$501,V468))-1,""))</f>
        <v/>
      </c>
      <c r="AC468" t="str">
        <f>IF(L468="","",IF(AND($AO$2=1,ISNA(MATCH(L468,'06-حزيران'!$L$2:$L$499,0))),"محذوف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IF(L469="","",IF($AO$1=1,IFERROR(MATCH(L469,'04-نيسان'!$L$2:$L$501,0),0),0))</f>
        <v/>
      </c>
      <c r="W469" t="str">
        <f t="shared" si="151"/>
        <v/>
      </c>
      <c r="X469" s="38" t="str">
        <f>IF(L469="","",IF(V469&gt;0,INDEX('04-نيسان'!$P$2:$P$501,V469),IF($AO$1=1,0,"")))</f>
        <v/>
      </c>
      <c r="Y469" s="38" t="str">
        <f t="shared" si="152"/>
        <v/>
      </c>
      <c r="Z469" s="39" t="str">
        <f>IF(L469="","",IF(V469&gt;0,INDEX('04-نيسان'!$Q$2:$Q$501,V469),IF($AO$1=1,0,"")))</f>
        <v/>
      </c>
      <c r="AA469" s="39" t="str">
        <f t="shared" si="153"/>
        <v/>
      </c>
      <c r="AB469" s="40" t="str">
        <f>IF(OR(L469="",V469=0),"",IF(AND(N(I469)&gt;0,N(INDEX('04-نيسان'!$I$2:$I$501,V469))&gt;0,INDEX('04-نيسان'!$F$2:$F$501,V469)=F469),N(I469)/N(INDEX('04-نيسان'!$I$2:$I$501,V469))-1,""))</f>
        <v/>
      </c>
      <c r="AC469" t="str">
        <f>IF(L469="","",IF(AND($AO$2=1,ISNA(MATCH(L469,'06-حزيران'!$L$2:$L$499,0))),"محذوف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IF(L470="","",IF($AO$1=1,IFERROR(MATCH(L470,'04-نيسان'!$L$2:$L$501,0),0),0))</f>
        <v/>
      </c>
      <c r="W470" t="str">
        <f t="shared" si="151"/>
        <v/>
      </c>
      <c r="X470" s="38" t="str">
        <f>IF(L470="","",IF(V470&gt;0,INDEX('04-نيسان'!$P$2:$P$501,V470),IF($AO$1=1,0,"")))</f>
        <v/>
      </c>
      <c r="Y470" s="38" t="str">
        <f t="shared" si="152"/>
        <v/>
      </c>
      <c r="Z470" s="39" t="str">
        <f>IF(L470="","",IF(V470&gt;0,INDEX('04-نيسان'!$Q$2:$Q$501,V470),IF($AO$1=1,0,"")))</f>
        <v/>
      </c>
      <c r="AA470" s="39" t="str">
        <f t="shared" si="153"/>
        <v/>
      </c>
      <c r="AB470" s="40" t="str">
        <f>IF(OR(L470="",V470=0),"",IF(AND(N(I470)&gt;0,N(INDEX('04-نيسان'!$I$2:$I$501,V470))&gt;0,INDEX('04-نيسان'!$F$2:$F$501,V470)=F470),N(I470)/N(INDEX('04-نيسان'!$I$2:$I$501,V470))-1,""))</f>
        <v/>
      </c>
      <c r="AC470" t="str">
        <f>IF(L470="","",IF(AND($AO$2=1,ISNA(MATCH(L470,'06-حزيران'!$L$2:$L$499,0))),"محذوف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IF(L471="","",IF($AO$1=1,IFERROR(MATCH(L471,'04-نيسان'!$L$2:$L$501,0),0),0))</f>
        <v/>
      </c>
      <c r="W471" t="str">
        <f t="shared" si="151"/>
        <v/>
      </c>
      <c r="X471" s="38" t="str">
        <f>IF(L471="","",IF(V471&gt;0,INDEX('04-نيسان'!$P$2:$P$501,V471),IF($AO$1=1,0,"")))</f>
        <v/>
      </c>
      <c r="Y471" s="38" t="str">
        <f t="shared" si="152"/>
        <v/>
      </c>
      <c r="Z471" s="39" t="str">
        <f>IF(L471="","",IF(V471&gt;0,INDEX('04-نيسان'!$Q$2:$Q$501,V471),IF($AO$1=1,0,"")))</f>
        <v/>
      </c>
      <c r="AA471" s="39" t="str">
        <f t="shared" si="153"/>
        <v/>
      </c>
      <c r="AB471" s="40" t="str">
        <f>IF(OR(L471="",V471=0),"",IF(AND(N(I471)&gt;0,N(INDEX('04-نيسان'!$I$2:$I$501,V471))&gt;0,INDEX('04-نيسان'!$F$2:$F$501,V471)=F471),N(I471)/N(INDEX('04-نيسان'!$I$2:$I$501,V471))-1,""))</f>
        <v/>
      </c>
      <c r="AC471" t="str">
        <f>IF(L471="","",IF(AND($AO$2=1,ISNA(MATCH(L471,'06-حزيران'!$L$2:$L$499,0))),"محذوف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IF(L472="","",IF($AO$1=1,IFERROR(MATCH(L472,'04-نيسان'!$L$2:$L$501,0),0),0))</f>
        <v/>
      </c>
      <c r="W472" t="str">
        <f t="shared" si="151"/>
        <v/>
      </c>
      <c r="X472" s="38" t="str">
        <f>IF(L472="","",IF(V472&gt;0,INDEX('04-نيسان'!$P$2:$P$501,V472),IF($AO$1=1,0,"")))</f>
        <v/>
      </c>
      <c r="Y472" s="38" t="str">
        <f t="shared" si="152"/>
        <v/>
      </c>
      <c r="Z472" s="39" t="str">
        <f>IF(L472="","",IF(V472&gt;0,INDEX('04-نيسان'!$Q$2:$Q$501,V472),IF($AO$1=1,0,"")))</f>
        <v/>
      </c>
      <c r="AA472" s="39" t="str">
        <f t="shared" si="153"/>
        <v/>
      </c>
      <c r="AB472" s="40" t="str">
        <f>IF(OR(L472="",V472=0),"",IF(AND(N(I472)&gt;0,N(INDEX('04-نيسان'!$I$2:$I$501,V472))&gt;0,INDEX('04-نيسان'!$F$2:$F$501,V472)=F472),N(I472)/N(INDEX('04-نيسان'!$I$2:$I$501,V472))-1,""))</f>
        <v/>
      </c>
      <c r="AC472" t="str">
        <f>IF(L472="","",IF(AND($AO$2=1,ISNA(MATCH(L472,'06-حزيران'!$L$2:$L$499,0))),"محذوف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IF(L473="","",IF($AO$1=1,IFERROR(MATCH(L473,'04-نيسان'!$L$2:$L$501,0),0),0))</f>
        <v/>
      </c>
      <c r="W473" t="str">
        <f t="shared" si="151"/>
        <v/>
      </c>
      <c r="X473" s="38" t="str">
        <f>IF(L473="","",IF(V473&gt;0,INDEX('04-نيسان'!$P$2:$P$501,V473),IF($AO$1=1,0,"")))</f>
        <v/>
      </c>
      <c r="Y473" s="38" t="str">
        <f t="shared" si="152"/>
        <v/>
      </c>
      <c r="Z473" s="39" t="str">
        <f>IF(L473="","",IF(V473&gt;0,INDEX('04-نيسان'!$Q$2:$Q$501,V473),IF($AO$1=1,0,"")))</f>
        <v/>
      </c>
      <c r="AA473" s="39" t="str">
        <f t="shared" si="153"/>
        <v/>
      </c>
      <c r="AB473" s="40" t="str">
        <f>IF(OR(L473="",V473=0),"",IF(AND(N(I473)&gt;0,N(INDEX('04-نيسان'!$I$2:$I$501,V473))&gt;0,INDEX('04-نيسان'!$F$2:$F$501,V473)=F473),N(I473)/N(INDEX('04-نيسان'!$I$2:$I$501,V473))-1,""))</f>
        <v/>
      </c>
      <c r="AC473" t="str">
        <f>IF(L473="","",IF(AND($AO$2=1,ISNA(MATCH(L473,'06-حزيران'!$L$2:$L$499,0))),"محذوف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IF(L474="","",IF($AO$1=1,IFERROR(MATCH(L474,'04-نيسان'!$L$2:$L$501,0),0),0))</f>
        <v/>
      </c>
      <c r="W474" t="str">
        <f t="shared" si="151"/>
        <v/>
      </c>
      <c r="X474" s="38" t="str">
        <f>IF(L474="","",IF(V474&gt;0,INDEX('04-نيسان'!$P$2:$P$501,V474),IF($AO$1=1,0,"")))</f>
        <v/>
      </c>
      <c r="Y474" s="38" t="str">
        <f t="shared" si="152"/>
        <v/>
      </c>
      <c r="Z474" s="39" t="str">
        <f>IF(L474="","",IF(V474&gt;0,INDEX('04-نيسان'!$Q$2:$Q$501,V474),IF($AO$1=1,0,"")))</f>
        <v/>
      </c>
      <c r="AA474" s="39" t="str">
        <f t="shared" si="153"/>
        <v/>
      </c>
      <c r="AB474" s="40" t="str">
        <f>IF(OR(L474="",V474=0),"",IF(AND(N(I474)&gt;0,N(INDEX('04-نيسان'!$I$2:$I$501,V474))&gt;0,INDEX('04-نيسان'!$F$2:$F$501,V474)=F474),N(I474)/N(INDEX('04-نيسان'!$I$2:$I$501,V474))-1,""))</f>
        <v/>
      </c>
      <c r="AC474" t="str">
        <f>IF(L474="","",IF(AND($AO$2=1,ISNA(MATCH(L474,'06-حزيران'!$L$2:$L$499,0))),"محذوف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IF(L475="","",IF($AO$1=1,IFERROR(MATCH(L475,'04-نيسان'!$L$2:$L$501,0),0),0))</f>
        <v/>
      </c>
      <c r="W475" t="str">
        <f t="shared" si="151"/>
        <v/>
      </c>
      <c r="X475" s="38" t="str">
        <f>IF(L475="","",IF(V475&gt;0,INDEX('04-نيسان'!$P$2:$P$501,V475),IF($AO$1=1,0,"")))</f>
        <v/>
      </c>
      <c r="Y475" s="38" t="str">
        <f t="shared" si="152"/>
        <v/>
      </c>
      <c r="Z475" s="39" t="str">
        <f>IF(L475="","",IF(V475&gt;0,INDEX('04-نيسان'!$Q$2:$Q$501,V475),IF($AO$1=1,0,"")))</f>
        <v/>
      </c>
      <c r="AA475" s="39" t="str">
        <f t="shared" si="153"/>
        <v/>
      </c>
      <c r="AB475" s="40" t="str">
        <f>IF(OR(L475="",V475=0),"",IF(AND(N(I475)&gt;0,N(INDEX('04-نيسان'!$I$2:$I$501,V475))&gt;0,INDEX('04-نيسان'!$F$2:$F$501,V475)=F475),N(I475)/N(INDEX('04-نيسان'!$I$2:$I$501,V475))-1,""))</f>
        <v/>
      </c>
      <c r="AC475" t="str">
        <f>IF(L475="","",IF(AND($AO$2=1,ISNA(MATCH(L475,'06-حزيران'!$L$2:$L$499,0))),"محذوف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IF(L476="","",IF($AO$1=1,IFERROR(MATCH(L476,'04-نيسان'!$L$2:$L$501,0),0),0))</f>
        <v/>
      </c>
      <c r="W476" t="str">
        <f t="shared" si="151"/>
        <v/>
      </c>
      <c r="X476" s="38" t="str">
        <f>IF(L476="","",IF(V476&gt;0,INDEX('04-نيسان'!$P$2:$P$501,V476),IF($AO$1=1,0,"")))</f>
        <v/>
      </c>
      <c r="Y476" s="38" t="str">
        <f t="shared" si="152"/>
        <v/>
      </c>
      <c r="Z476" s="39" t="str">
        <f>IF(L476="","",IF(V476&gt;0,INDEX('04-نيسان'!$Q$2:$Q$501,V476),IF($AO$1=1,0,"")))</f>
        <v/>
      </c>
      <c r="AA476" s="39" t="str">
        <f t="shared" si="153"/>
        <v/>
      </c>
      <c r="AB476" s="40" t="str">
        <f>IF(OR(L476="",V476=0),"",IF(AND(N(I476)&gt;0,N(INDEX('04-نيسان'!$I$2:$I$501,V476))&gt;0,INDEX('04-نيسان'!$F$2:$F$501,V476)=F476),N(I476)/N(INDEX('04-نيسان'!$I$2:$I$501,V476))-1,""))</f>
        <v/>
      </c>
      <c r="AC476" t="str">
        <f>IF(L476="","",IF(AND($AO$2=1,ISNA(MATCH(L476,'06-حزيران'!$L$2:$L$499,0))),"محذوف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IF(L477="","",IF($AO$1=1,IFERROR(MATCH(L477,'04-نيسان'!$L$2:$L$501,0),0),0))</f>
        <v/>
      </c>
      <c r="W477" t="str">
        <f t="shared" si="151"/>
        <v/>
      </c>
      <c r="X477" s="38" t="str">
        <f>IF(L477="","",IF(V477&gt;0,INDEX('04-نيسان'!$P$2:$P$501,V477),IF($AO$1=1,0,"")))</f>
        <v/>
      </c>
      <c r="Y477" s="38" t="str">
        <f t="shared" si="152"/>
        <v/>
      </c>
      <c r="Z477" s="39" t="str">
        <f>IF(L477="","",IF(V477&gt;0,INDEX('04-نيسان'!$Q$2:$Q$501,V477),IF($AO$1=1,0,"")))</f>
        <v/>
      </c>
      <c r="AA477" s="39" t="str">
        <f t="shared" si="153"/>
        <v/>
      </c>
      <c r="AB477" s="40" t="str">
        <f>IF(OR(L477="",V477=0),"",IF(AND(N(I477)&gt;0,N(INDEX('04-نيسان'!$I$2:$I$501,V477))&gt;0,INDEX('04-نيسان'!$F$2:$F$501,V477)=F477),N(I477)/N(INDEX('04-نيسان'!$I$2:$I$501,V477))-1,""))</f>
        <v/>
      </c>
      <c r="AC477" t="str">
        <f>IF(L477="","",IF(AND($AO$2=1,ISNA(MATCH(L477,'06-حزيران'!$L$2:$L$499,0))),"محذوف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IF(L478="","",IF($AO$1=1,IFERROR(MATCH(L478,'04-نيسان'!$L$2:$L$501,0),0),0))</f>
        <v/>
      </c>
      <c r="W478" t="str">
        <f t="shared" si="151"/>
        <v/>
      </c>
      <c r="X478" s="38" t="str">
        <f>IF(L478="","",IF(V478&gt;0,INDEX('04-نيسان'!$P$2:$P$501,V478),IF($AO$1=1,0,"")))</f>
        <v/>
      </c>
      <c r="Y478" s="38" t="str">
        <f t="shared" si="152"/>
        <v/>
      </c>
      <c r="Z478" s="39" t="str">
        <f>IF(L478="","",IF(V478&gt;0,INDEX('04-نيسان'!$Q$2:$Q$501,V478),IF($AO$1=1,0,"")))</f>
        <v/>
      </c>
      <c r="AA478" s="39" t="str">
        <f t="shared" si="153"/>
        <v/>
      </c>
      <c r="AB478" s="40" t="str">
        <f>IF(OR(L478="",V478=0),"",IF(AND(N(I478)&gt;0,N(INDEX('04-نيسان'!$I$2:$I$501,V478))&gt;0,INDEX('04-نيسان'!$F$2:$F$501,V478)=F478),N(I478)/N(INDEX('04-نيسان'!$I$2:$I$501,V478))-1,""))</f>
        <v/>
      </c>
      <c r="AC478" t="str">
        <f>IF(L478="","",IF(AND($AO$2=1,ISNA(MATCH(L478,'06-حزيران'!$L$2:$L$499,0))),"محذوف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IF(L479="","",IF($AO$1=1,IFERROR(MATCH(L479,'04-نيسان'!$L$2:$L$501,0),0),0))</f>
        <v/>
      </c>
      <c r="W479" t="str">
        <f t="shared" si="151"/>
        <v/>
      </c>
      <c r="X479" s="38" t="str">
        <f>IF(L479="","",IF(V479&gt;0,INDEX('04-نيسان'!$P$2:$P$501,V479),IF($AO$1=1,0,"")))</f>
        <v/>
      </c>
      <c r="Y479" s="38" t="str">
        <f t="shared" si="152"/>
        <v/>
      </c>
      <c r="Z479" s="39" t="str">
        <f>IF(L479="","",IF(V479&gt;0,INDEX('04-نيسان'!$Q$2:$Q$501,V479),IF($AO$1=1,0,"")))</f>
        <v/>
      </c>
      <c r="AA479" s="39" t="str">
        <f t="shared" si="153"/>
        <v/>
      </c>
      <c r="AB479" s="40" t="str">
        <f>IF(OR(L479="",V479=0),"",IF(AND(N(I479)&gt;0,N(INDEX('04-نيسان'!$I$2:$I$501,V479))&gt;0,INDEX('04-نيسان'!$F$2:$F$501,V479)=F479),N(I479)/N(INDEX('04-نيسان'!$I$2:$I$501,V479))-1,""))</f>
        <v/>
      </c>
      <c r="AC479" t="str">
        <f>IF(L479="","",IF(AND($AO$2=1,ISNA(MATCH(L479,'06-حزيران'!$L$2:$L$499,0))),"محذوف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IF(L480="","",IF($AO$1=1,IFERROR(MATCH(L480,'04-نيسان'!$L$2:$L$501,0),0),0))</f>
        <v/>
      </c>
      <c r="W480" t="str">
        <f t="shared" si="151"/>
        <v/>
      </c>
      <c r="X480" s="38" t="str">
        <f>IF(L480="","",IF(V480&gt;0,INDEX('04-نيسان'!$P$2:$P$501,V480),IF($AO$1=1,0,"")))</f>
        <v/>
      </c>
      <c r="Y480" s="38" t="str">
        <f t="shared" si="152"/>
        <v/>
      </c>
      <c r="Z480" s="39" t="str">
        <f>IF(L480="","",IF(V480&gt;0,INDEX('04-نيسان'!$Q$2:$Q$501,V480),IF($AO$1=1,0,"")))</f>
        <v/>
      </c>
      <c r="AA480" s="39" t="str">
        <f t="shared" si="153"/>
        <v/>
      </c>
      <c r="AB480" s="40" t="str">
        <f>IF(OR(L480="",V480=0),"",IF(AND(N(I480)&gt;0,N(INDEX('04-نيسان'!$I$2:$I$501,V480))&gt;0,INDEX('04-نيسان'!$F$2:$F$501,V480)=F480),N(I480)/N(INDEX('04-نيسان'!$I$2:$I$501,V480))-1,""))</f>
        <v/>
      </c>
      <c r="AC480" t="str">
        <f>IF(L480="","",IF(AND($AO$2=1,ISNA(MATCH(L480,'06-حزيران'!$L$2:$L$499,0))),"محذوف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IF(L481="","",IF($AO$1=1,IFERROR(MATCH(L481,'04-نيسان'!$L$2:$L$501,0),0),0))</f>
        <v/>
      </c>
      <c r="W481" t="str">
        <f t="shared" si="151"/>
        <v/>
      </c>
      <c r="X481" s="38" t="str">
        <f>IF(L481="","",IF(V481&gt;0,INDEX('04-نيسان'!$P$2:$P$501,V481),IF($AO$1=1,0,"")))</f>
        <v/>
      </c>
      <c r="Y481" s="38" t="str">
        <f t="shared" si="152"/>
        <v/>
      </c>
      <c r="Z481" s="39" t="str">
        <f>IF(L481="","",IF(V481&gt;0,INDEX('04-نيسان'!$Q$2:$Q$501,V481),IF($AO$1=1,0,"")))</f>
        <v/>
      </c>
      <c r="AA481" s="39" t="str">
        <f t="shared" si="153"/>
        <v/>
      </c>
      <c r="AB481" s="40" t="str">
        <f>IF(OR(L481="",V481=0),"",IF(AND(N(I481)&gt;0,N(INDEX('04-نيسان'!$I$2:$I$501,V481))&gt;0,INDEX('04-نيسان'!$F$2:$F$501,V481)=F481),N(I481)/N(INDEX('04-نيسان'!$I$2:$I$501,V481))-1,""))</f>
        <v/>
      </c>
      <c r="AC481" t="str">
        <f>IF(L481="","",IF(AND($AO$2=1,ISNA(MATCH(L481,'06-حزيران'!$L$2:$L$499,0))),"محذوف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IF(L482="","",IF($AO$1=1,IFERROR(MATCH(L482,'04-نيسان'!$L$2:$L$501,0),0),0))</f>
        <v/>
      </c>
      <c r="W482" t="str">
        <f t="shared" si="151"/>
        <v/>
      </c>
      <c r="X482" s="38" t="str">
        <f>IF(L482="","",IF(V482&gt;0,INDEX('04-نيسان'!$P$2:$P$501,V482),IF($AO$1=1,0,"")))</f>
        <v/>
      </c>
      <c r="Y482" s="38" t="str">
        <f t="shared" si="152"/>
        <v/>
      </c>
      <c r="Z482" s="39" t="str">
        <f>IF(L482="","",IF(V482&gt;0,INDEX('04-نيسان'!$Q$2:$Q$501,V482),IF($AO$1=1,0,"")))</f>
        <v/>
      </c>
      <c r="AA482" s="39" t="str">
        <f t="shared" si="153"/>
        <v/>
      </c>
      <c r="AB482" s="40" t="str">
        <f>IF(OR(L482="",V482=0),"",IF(AND(N(I482)&gt;0,N(INDEX('04-نيسان'!$I$2:$I$501,V482))&gt;0,INDEX('04-نيسان'!$F$2:$F$501,V482)=F482),N(I482)/N(INDEX('04-نيسان'!$I$2:$I$501,V482))-1,""))</f>
        <v/>
      </c>
      <c r="AC482" t="str">
        <f>IF(L482="","",IF(AND($AO$2=1,ISNA(MATCH(L482,'06-حزيران'!$L$2:$L$499,0))),"محذوف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IF(L483="","",IF($AO$1=1,IFERROR(MATCH(L483,'04-نيسان'!$L$2:$L$501,0),0),0))</f>
        <v/>
      </c>
      <c r="W483" t="str">
        <f t="shared" si="151"/>
        <v/>
      </c>
      <c r="X483" s="38" t="str">
        <f>IF(L483="","",IF(V483&gt;0,INDEX('04-نيسان'!$P$2:$P$501,V483),IF($AO$1=1,0,"")))</f>
        <v/>
      </c>
      <c r="Y483" s="38" t="str">
        <f t="shared" si="152"/>
        <v/>
      </c>
      <c r="Z483" s="39" t="str">
        <f>IF(L483="","",IF(V483&gt;0,INDEX('04-نيسان'!$Q$2:$Q$501,V483),IF($AO$1=1,0,"")))</f>
        <v/>
      </c>
      <c r="AA483" s="39" t="str">
        <f t="shared" si="153"/>
        <v/>
      </c>
      <c r="AB483" s="40" t="str">
        <f>IF(OR(L483="",V483=0),"",IF(AND(N(I483)&gt;0,N(INDEX('04-نيسان'!$I$2:$I$501,V483))&gt;0,INDEX('04-نيسان'!$F$2:$F$501,V483)=F483),N(I483)/N(INDEX('04-نيسان'!$I$2:$I$501,V483))-1,""))</f>
        <v/>
      </c>
      <c r="AC483" t="str">
        <f>IF(L483="","",IF(AND($AO$2=1,ISNA(MATCH(L483,'06-حزيران'!$L$2:$L$499,0))),"محذوف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IF(L484="","",IF($AO$1=1,IFERROR(MATCH(L484,'04-نيسان'!$L$2:$L$501,0),0),0))</f>
        <v/>
      </c>
      <c r="W484" t="str">
        <f t="shared" si="151"/>
        <v/>
      </c>
      <c r="X484" s="38" t="str">
        <f>IF(L484="","",IF(V484&gt;0,INDEX('04-نيسان'!$P$2:$P$501,V484),IF($AO$1=1,0,"")))</f>
        <v/>
      </c>
      <c r="Y484" s="38" t="str">
        <f t="shared" si="152"/>
        <v/>
      </c>
      <c r="Z484" s="39" t="str">
        <f>IF(L484="","",IF(V484&gt;0,INDEX('04-نيسان'!$Q$2:$Q$501,V484),IF($AO$1=1,0,"")))</f>
        <v/>
      </c>
      <c r="AA484" s="39" t="str">
        <f t="shared" si="153"/>
        <v/>
      </c>
      <c r="AB484" s="40" t="str">
        <f>IF(OR(L484="",V484=0),"",IF(AND(N(I484)&gt;0,N(INDEX('04-نيسان'!$I$2:$I$501,V484))&gt;0,INDEX('04-نيسان'!$F$2:$F$501,V484)=F484),N(I484)/N(INDEX('04-نيسان'!$I$2:$I$501,V484))-1,""))</f>
        <v/>
      </c>
      <c r="AC484" t="str">
        <f>IF(L484="","",IF(AND($AO$2=1,ISNA(MATCH(L484,'06-حزيران'!$L$2:$L$499,0))),"محذوف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IF(L485="","",IF($AO$1=1,IFERROR(MATCH(L485,'04-نيسان'!$L$2:$L$501,0),0),0))</f>
        <v/>
      </c>
      <c r="W485" t="str">
        <f t="shared" si="151"/>
        <v/>
      </c>
      <c r="X485" s="38" t="str">
        <f>IF(L485="","",IF(V485&gt;0,INDEX('04-نيسان'!$P$2:$P$501,V485),IF($AO$1=1,0,"")))</f>
        <v/>
      </c>
      <c r="Y485" s="38" t="str">
        <f t="shared" si="152"/>
        <v/>
      </c>
      <c r="Z485" s="39" t="str">
        <f>IF(L485="","",IF(V485&gt;0,INDEX('04-نيسان'!$Q$2:$Q$501,V485),IF($AO$1=1,0,"")))</f>
        <v/>
      </c>
      <c r="AA485" s="39" t="str">
        <f t="shared" si="153"/>
        <v/>
      </c>
      <c r="AB485" s="40" t="str">
        <f>IF(OR(L485="",V485=0),"",IF(AND(N(I485)&gt;0,N(INDEX('04-نيسان'!$I$2:$I$501,V485))&gt;0,INDEX('04-نيسان'!$F$2:$F$501,V485)=F485),N(I485)/N(INDEX('04-نيسان'!$I$2:$I$501,V485))-1,""))</f>
        <v/>
      </c>
      <c r="AC485" t="str">
        <f>IF(L485="","",IF(AND($AO$2=1,ISNA(MATCH(L485,'06-حزيران'!$L$2:$L$499,0))),"محذوف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IF(L486="","",IF($AO$1=1,IFERROR(MATCH(L486,'04-نيسان'!$L$2:$L$501,0),0),0))</f>
        <v/>
      </c>
      <c r="W486" t="str">
        <f t="shared" si="151"/>
        <v/>
      </c>
      <c r="X486" s="38" t="str">
        <f>IF(L486="","",IF(V486&gt;0,INDEX('04-نيسان'!$P$2:$P$501,V486),IF($AO$1=1,0,"")))</f>
        <v/>
      </c>
      <c r="Y486" s="38" t="str">
        <f t="shared" si="152"/>
        <v/>
      </c>
      <c r="Z486" s="39" t="str">
        <f>IF(L486="","",IF(V486&gt;0,INDEX('04-نيسان'!$Q$2:$Q$501,V486),IF($AO$1=1,0,"")))</f>
        <v/>
      </c>
      <c r="AA486" s="39" t="str">
        <f t="shared" si="153"/>
        <v/>
      </c>
      <c r="AB486" s="40" t="str">
        <f>IF(OR(L486="",V486=0),"",IF(AND(N(I486)&gt;0,N(INDEX('04-نيسان'!$I$2:$I$501,V486))&gt;0,INDEX('04-نيسان'!$F$2:$F$501,V486)=F486),N(I486)/N(INDEX('04-نيسان'!$I$2:$I$501,V486))-1,""))</f>
        <v/>
      </c>
      <c r="AC486" t="str">
        <f>IF(L486="","",IF(AND($AO$2=1,ISNA(MATCH(L486,'06-حزيران'!$L$2:$L$499,0))),"محذوف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IF(L487="","",IF($AO$1=1,IFERROR(MATCH(L487,'04-نيسان'!$L$2:$L$501,0),0),0))</f>
        <v/>
      </c>
      <c r="W487" t="str">
        <f t="shared" si="151"/>
        <v/>
      </c>
      <c r="X487" s="38" t="str">
        <f>IF(L487="","",IF(V487&gt;0,INDEX('04-نيسان'!$P$2:$P$501,V487),IF($AO$1=1,0,"")))</f>
        <v/>
      </c>
      <c r="Y487" s="38" t="str">
        <f t="shared" si="152"/>
        <v/>
      </c>
      <c r="Z487" s="39" t="str">
        <f>IF(L487="","",IF(V487&gt;0,INDEX('04-نيسان'!$Q$2:$Q$501,V487),IF($AO$1=1,0,"")))</f>
        <v/>
      </c>
      <c r="AA487" s="39" t="str">
        <f t="shared" si="153"/>
        <v/>
      </c>
      <c r="AB487" s="40" t="str">
        <f>IF(OR(L487="",V487=0),"",IF(AND(N(I487)&gt;0,N(INDEX('04-نيسان'!$I$2:$I$501,V487))&gt;0,INDEX('04-نيسان'!$F$2:$F$501,V487)=F487),N(I487)/N(INDEX('04-نيسان'!$I$2:$I$501,V487))-1,""))</f>
        <v/>
      </c>
      <c r="AC487" t="str">
        <f>IF(L487="","",IF(AND($AO$2=1,ISNA(MATCH(L487,'06-حزيران'!$L$2:$L$499,0))),"محذوف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IF(L488="","",IF($AO$1=1,IFERROR(MATCH(L488,'04-نيسان'!$L$2:$L$501,0),0),0))</f>
        <v/>
      </c>
      <c r="W488" t="str">
        <f t="shared" si="151"/>
        <v/>
      </c>
      <c r="X488" s="38" t="str">
        <f>IF(L488="","",IF(V488&gt;0,INDEX('04-نيسان'!$P$2:$P$501,V488),IF($AO$1=1,0,"")))</f>
        <v/>
      </c>
      <c r="Y488" s="38" t="str">
        <f t="shared" si="152"/>
        <v/>
      </c>
      <c r="Z488" s="39" t="str">
        <f>IF(L488="","",IF(V488&gt;0,INDEX('04-نيسان'!$Q$2:$Q$501,V488),IF($AO$1=1,0,"")))</f>
        <v/>
      </c>
      <c r="AA488" s="39" t="str">
        <f t="shared" si="153"/>
        <v/>
      </c>
      <c r="AB488" s="40" t="str">
        <f>IF(OR(L488="",V488=0),"",IF(AND(N(I488)&gt;0,N(INDEX('04-نيسان'!$I$2:$I$501,V488))&gt;0,INDEX('04-نيسان'!$F$2:$F$501,V488)=F488),N(I488)/N(INDEX('04-نيسان'!$I$2:$I$501,V488))-1,""))</f>
        <v/>
      </c>
      <c r="AC488" t="str">
        <f>IF(L488="","",IF(AND($AO$2=1,ISNA(MATCH(L488,'06-حزيران'!$L$2:$L$499,0))),"محذوف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IF(L489="","",IF($AO$1=1,IFERROR(MATCH(L489,'04-نيسان'!$L$2:$L$501,0),0),0))</f>
        <v/>
      </c>
      <c r="W489" t="str">
        <f t="shared" si="151"/>
        <v/>
      </c>
      <c r="X489" s="38" t="str">
        <f>IF(L489="","",IF(V489&gt;0,INDEX('04-نيسان'!$P$2:$P$501,V489),IF($AO$1=1,0,"")))</f>
        <v/>
      </c>
      <c r="Y489" s="38" t="str">
        <f t="shared" si="152"/>
        <v/>
      </c>
      <c r="Z489" s="39" t="str">
        <f>IF(L489="","",IF(V489&gt;0,INDEX('04-نيسان'!$Q$2:$Q$501,V489),IF($AO$1=1,0,"")))</f>
        <v/>
      </c>
      <c r="AA489" s="39" t="str">
        <f t="shared" si="153"/>
        <v/>
      </c>
      <c r="AB489" s="40" t="str">
        <f>IF(OR(L489="",V489=0),"",IF(AND(N(I489)&gt;0,N(INDEX('04-نيسان'!$I$2:$I$501,V489))&gt;0,INDEX('04-نيسان'!$F$2:$F$501,V489)=F489),N(I489)/N(INDEX('04-نيسان'!$I$2:$I$501,V489))-1,""))</f>
        <v/>
      </c>
      <c r="AC489" t="str">
        <f>IF(L489="","",IF(AND($AO$2=1,ISNA(MATCH(L489,'06-حزيران'!$L$2:$L$499,0))),"محذوف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IF(L490="","",IF($AO$1=1,IFERROR(MATCH(L490,'04-نيسان'!$L$2:$L$501,0),0),0))</f>
        <v/>
      </c>
      <c r="W490" t="str">
        <f t="shared" si="151"/>
        <v/>
      </c>
      <c r="X490" s="38" t="str">
        <f>IF(L490="","",IF(V490&gt;0,INDEX('04-نيسان'!$P$2:$P$501,V490),IF($AO$1=1,0,"")))</f>
        <v/>
      </c>
      <c r="Y490" s="38" t="str">
        <f t="shared" si="152"/>
        <v/>
      </c>
      <c r="Z490" s="39" t="str">
        <f>IF(L490="","",IF(V490&gt;0,INDEX('04-نيسان'!$Q$2:$Q$501,V490),IF($AO$1=1,0,"")))</f>
        <v/>
      </c>
      <c r="AA490" s="39" t="str">
        <f t="shared" si="153"/>
        <v/>
      </c>
      <c r="AB490" s="40" t="str">
        <f>IF(OR(L490="",V490=0),"",IF(AND(N(I490)&gt;0,N(INDEX('04-نيسان'!$I$2:$I$501,V490))&gt;0,INDEX('04-نيسان'!$F$2:$F$501,V490)=F490),N(I490)/N(INDEX('04-نيسان'!$I$2:$I$501,V490))-1,""))</f>
        <v/>
      </c>
      <c r="AC490" t="str">
        <f>IF(L490="","",IF(AND($AO$2=1,ISNA(MATCH(L490,'06-حزيران'!$L$2:$L$499,0))),"محذوف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IF(L491="","",IF($AO$1=1,IFERROR(MATCH(L491,'04-نيسان'!$L$2:$L$501,0),0),0))</f>
        <v/>
      </c>
      <c r="W491" t="str">
        <f t="shared" si="151"/>
        <v/>
      </c>
      <c r="X491" s="38" t="str">
        <f>IF(L491="","",IF(V491&gt;0,INDEX('04-نيسان'!$P$2:$P$501,V491),IF($AO$1=1,0,"")))</f>
        <v/>
      </c>
      <c r="Y491" s="38" t="str">
        <f t="shared" si="152"/>
        <v/>
      </c>
      <c r="Z491" s="39" t="str">
        <f>IF(L491="","",IF(V491&gt;0,INDEX('04-نيسان'!$Q$2:$Q$501,V491),IF($AO$1=1,0,"")))</f>
        <v/>
      </c>
      <c r="AA491" s="39" t="str">
        <f t="shared" si="153"/>
        <v/>
      </c>
      <c r="AB491" s="40" t="str">
        <f>IF(OR(L491="",V491=0),"",IF(AND(N(I491)&gt;0,N(INDEX('04-نيسان'!$I$2:$I$501,V491))&gt;0,INDEX('04-نيسان'!$F$2:$F$501,V491)=F491),N(I491)/N(INDEX('04-نيسان'!$I$2:$I$501,V491))-1,""))</f>
        <v/>
      </c>
      <c r="AC491" t="str">
        <f>IF(L491="","",IF(AND($AO$2=1,ISNA(MATCH(L491,'06-حزيران'!$L$2:$L$499,0))),"محذوف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IF(L492="","",IF($AO$1=1,IFERROR(MATCH(L492,'04-نيسان'!$L$2:$L$501,0),0),0))</f>
        <v/>
      </c>
      <c r="W492" t="str">
        <f t="shared" si="151"/>
        <v/>
      </c>
      <c r="X492" s="38" t="str">
        <f>IF(L492="","",IF(V492&gt;0,INDEX('04-نيسان'!$P$2:$P$501,V492),IF($AO$1=1,0,"")))</f>
        <v/>
      </c>
      <c r="Y492" s="38" t="str">
        <f t="shared" si="152"/>
        <v/>
      </c>
      <c r="Z492" s="39" t="str">
        <f>IF(L492="","",IF(V492&gt;0,INDEX('04-نيسان'!$Q$2:$Q$501,V492),IF($AO$1=1,0,"")))</f>
        <v/>
      </c>
      <c r="AA492" s="39" t="str">
        <f t="shared" si="153"/>
        <v/>
      </c>
      <c r="AB492" s="40" t="str">
        <f>IF(OR(L492="",V492=0),"",IF(AND(N(I492)&gt;0,N(INDEX('04-نيسان'!$I$2:$I$501,V492))&gt;0,INDEX('04-نيسان'!$F$2:$F$501,V492)=F492),N(I492)/N(INDEX('04-نيسان'!$I$2:$I$501,V492))-1,""))</f>
        <v/>
      </c>
      <c r="AC492" t="str">
        <f>IF(L492="","",IF(AND($AO$2=1,ISNA(MATCH(L492,'06-حزيران'!$L$2:$L$499,0))),"محذوف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IF(L493="","",IF($AO$1=1,IFERROR(MATCH(L493,'04-نيسان'!$L$2:$L$501,0),0),0))</f>
        <v/>
      </c>
      <c r="W493" t="str">
        <f t="shared" si="151"/>
        <v/>
      </c>
      <c r="X493" s="38" t="str">
        <f>IF(L493="","",IF(V493&gt;0,INDEX('04-نيسان'!$P$2:$P$501,V493),IF($AO$1=1,0,"")))</f>
        <v/>
      </c>
      <c r="Y493" s="38" t="str">
        <f t="shared" si="152"/>
        <v/>
      </c>
      <c r="Z493" s="39" t="str">
        <f>IF(L493="","",IF(V493&gt;0,INDEX('04-نيسان'!$Q$2:$Q$501,V493),IF($AO$1=1,0,"")))</f>
        <v/>
      </c>
      <c r="AA493" s="39" t="str">
        <f t="shared" si="153"/>
        <v/>
      </c>
      <c r="AB493" s="40" t="str">
        <f>IF(OR(L493="",V493=0),"",IF(AND(N(I493)&gt;0,N(INDEX('04-نيسان'!$I$2:$I$501,V493))&gt;0,INDEX('04-نيسان'!$F$2:$F$501,V493)=F493),N(I493)/N(INDEX('04-نيسان'!$I$2:$I$501,V493))-1,""))</f>
        <v/>
      </c>
      <c r="AC493" t="str">
        <f>IF(L493="","",IF(AND($AO$2=1,ISNA(MATCH(L493,'06-حزيران'!$L$2:$L$499,0))),"محذوف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IF(L494="","",IF($AO$1=1,IFERROR(MATCH(L494,'04-نيسان'!$L$2:$L$501,0),0),0))</f>
        <v/>
      </c>
      <c r="W494" t="str">
        <f t="shared" si="151"/>
        <v/>
      </c>
      <c r="X494" s="38" t="str">
        <f>IF(L494="","",IF(V494&gt;0,INDEX('04-نيسان'!$P$2:$P$501,V494),IF($AO$1=1,0,"")))</f>
        <v/>
      </c>
      <c r="Y494" s="38" t="str">
        <f t="shared" si="152"/>
        <v/>
      </c>
      <c r="Z494" s="39" t="str">
        <f>IF(L494="","",IF(V494&gt;0,INDEX('04-نيسان'!$Q$2:$Q$501,V494),IF($AO$1=1,0,"")))</f>
        <v/>
      </c>
      <c r="AA494" s="39" t="str">
        <f t="shared" si="153"/>
        <v/>
      </c>
      <c r="AB494" s="40" t="str">
        <f>IF(OR(L494="",V494=0),"",IF(AND(N(I494)&gt;0,N(INDEX('04-نيسان'!$I$2:$I$501,V494))&gt;0,INDEX('04-نيسان'!$F$2:$F$501,V494)=F494),N(I494)/N(INDEX('04-نيسان'!$I$2:$I$501,V494))-1,""))</f>
        <v/>
      </c>
      <c r="AC494" t="str">
        <f>IF(L494="","",IF(AND($AO$2=1,ISNA(MATCH(L494,'06-حزيران'!$L$2:$L$499,0))),"محذوف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IF(L495="","",IF($AO$1=1,IFERROR(MATCH(L495,'04-نيسان'!$L$2:$L$501,0),0),0))</f>
        <v/>
      </c>
      <c r="W495" t="str">
        <f t="shared" si="151"/>
        <v/>
      </c>
      <c r="X495" s="38" t="str">
        <f>IF(L495="","",IF(V495&gt;0,INDEX('04-نيسان'!$P$2:$P$501,V495),IF($AO$1=1,0,"")))</f>
        <v/>
      </c>
      <c r="Y495" s="38" t="str">
        <f t="shared" si="152"/>
        <v/>
      </c>
      <c r="Z495" s="39" t="str">
        <f>IF(L495="","",IF(V495&gt;0,INDEX('04-نيسان'!$Q$2:$Q$501,V495),IF($AO$1=1,0,"")))</f>
        <v/>
      </c>
      <c r="AA495" s="39" t="str">
        <f t="shared" si="153"/>
        <v/>
      </c>
      <c r="AB495" s="40" t="str">
        <f>IF(OR(L495="",V495=0),"",IF(AND(N(I495)&gt;0,N(INDEX('04-نيسان'!$I$2:$I$501,V495))&gt;0,INDEX('04-نيسان'!$F$2:$F$501,V495)=F495),N(I495)/N(INDEX('04-نيسان'!$I$2:$I$501,V495))-1,""))</f>
        <v/>
      </c>
      <c r="AC495" t="str">
        <f>IF(L495="","",IF(AND($AO$2=1,ISNA(MATCH(L495,'06-حزيران'!$L$2:$L$499,0))),"محذوف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IF(L496="","",IF($AO$1=1,IFERROR(MATCH(L496,'04-نيسان'!$L$2:$L$501,0),0),0))</f>
        <v/>
      </c>
      <c r="W496" t="str">
        <f t="shared" si="151"/>
        <v/>
      </c>
      <c r="X496" s="38" t="str">
        <f>IF(L496="","",IF(V496&gt;0,INDEX('04-نيسان'!$P$2:$P$501,V496),IF($AO$1=1,0,"")))</f>
        <v/>
      </c>
      <c r="Y496" s="38" t="str">
        <f t="shared" si="152"/>
        <v/>
      </c>
      <c r="Z496" s="39" t="str">
        <f>IF(L496="","",IF(V496&gt;0,INDEX('04-نيسان'!$Q$2:$Q$501,V496),IF($AO$1=1,0,"")))</f>
        <v/>
      </c>
      <c r="AA496" s="39" t="str">
        <f t="shared" si="153"/>
        <v/>
      </c>
      <c r="AB496" s="40" t="str">
        <f>IF(OR(L496="",V496=0),"",IF(AND(N(I496)&gt;0,N(INDEX('04-نيسان'!$I$2:$I$501,V496))&gt;0,INDEX('04-نيسان'!$F$2:$F$501,V496)=F496),N(I496)/N(INDEX('04-نيسان'!$I$2:$I$501,V496))-1,""))</f>
        <v/>
      </c>
      <c r="AC496" t="str">
        <f>IF(L496="","",IF(AND($AO$2=1,ISNA(MATCH(L496,'06-حزيران'!$L$2:$L$499,0))),"محذوف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IF(L497="","",IF($AO$1=1,IFERROR(MATCH(L497,'04-نيسان'!$L$2:$L$501,0),0),0))</f>
        <v/>
      </c>
      <c r="W497" t="str">
        <f t="shared" si="151"/>
        <v/>
      </c>
      <c r="X497" s="38" t="str">
        <f>IF(L497="","",IF(V497&gt;0,INDEX('04-نيسان'!$P$2:$P$501,V497),IF($AO$1=1,0,"")))</f>
        <v/>
      </c>
      <c r="Y497" s="38" t="str">
        <f t="shared" si="152"/>
        <v/>
      </c>
      <c r="Z497" s="39" t="str">
        <f>IF(L497="","",IF(V497&gt;0,INDEX('04-نيسان'!$Q$2:$Q$501,V497),IF($AO$1=1,0,"")))</f>
        <v/>
      </c>
      <c r="AA497" s="39" t="str">
        <f t="shared" si="153"/>
        <v/>
      </c>
      <c r="AB497" s="40" t="str">
        <f>IF(OR(L497="",V497=0),"",IF(AND(N(I497)&gt;0,N(INDEX('04-نيسان'!$I$2:$I$501,V497))&gt;0,INDEX('04-نيسان'!$F$2:$F$501,V497)=F497),N(I497)/N(INDEX('04-نيسان'!$I$2:$I$501,V497))-1,""))</f>
        <v/>
      </c>
      <c r="AC497" t="str">
        <f>IF(L497="","",IF(AND($AO$2=1,ISNA(MATCH(L497,'06-حزيران'!$L$2:$L$499,0))),"محذوف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IF(L498="","",IF($AO$1=1,IFERROR(MATCH(L498,'04-نيسان'!$L$2:$L$501,0),0),0))</f>
        <v/>
      </c>
      <c r="W498" t="str">
        <f t="shared" si="151"/>
        <v/>
      </c>
      <c r="X498" s="38" t="str">
        <f>IF(L498="","",IF(V498&gt;0,INDEX('04-نيسان'!$P$2:$P$501,V498),IF($AO$1=1,0,"")))</f>
        <v/>
      </c>
      <c r="Y498" s="38" t="str">
        <f t="shared" si="152"/>
        <v/>
      </c>
      <c r="Z498" s="39" t="str">
        <f>IF(L498="","",IF(V498&gt;0,INDEX('04-نيسان'!$Q$2:$Q$501,V498),IF($AO$1=1,0,"")))</f>
        <v/>
      </c>
      <c r="AA498" s="39" t="str">
        <f t="shared" si="153"/>
        <v/>
      </c>
      <c r="AB498" s="40" t="str">
        <f>IF(OR(L498="",V498=0),"",IF(AND(N(I498)&gt;0,N(INDEX('04-نيسان'!$I$2:$I$501,V498))&gt;0,INDEX('04-نيسان'!$F$2:$F$501,V498)=F498),N(I498)/N(INDEX('04-نيسان'!$I$2:$I$501,V498))-1,""))</f>
        <v/>
      </c>
      <c r="AC498" t="str">
        <f>IF(L498="","",IF(AND($AO$2=1,ISNA(MATCH(L498,'06-حزيران'!$L$2:$L$499,0))),"محذوف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IF(L499="","",IF($AO$1=1,IFERROR(MATCH(L499,'04-نيسان'!$L$2:$L$501,0),0),0))</f>
        <v/>
      </c>
      <c r="W499" t="str">
        <f t="shared" si="151"/>
        <v/>
      </c>
      <c r="X499" s="38" t="str">
        <f>IF(L499="","",IF(V499&gt;0,INDEX('04-نيسان'!$P$2:$P$501,V499),IF($AO$1=1,0,"")))</f>
        <v/>
      </c>
      <c r="Y499" s="38" t="str">
        <f t="shared" si="152"/>
        <v/>
      </c>
      <c r="Z499" s="39" t="str">
        <f>IF(L499="","",IF(V499&gt;0,INDEX('04-نيسان'!$Q$2:$Q$501,V499),IF($AO$1=1,0,"")))</f>
        <v/>
      </c>
      <c r="AA499" s="39" t="str">
        <f t="shared" si="153"/>
        <v/>
      </c>
      <c r="AB499" s="40" t="str">
        <f>IF(OR(L499="",V499=0),"",IF(AND(N(I499)&gt;0,N(INDEX('04-نيسان'!$I$2:$I$501,V499))&gt;0,INDEX('04-نيسان'!$F$2:$F$501,V499)=F499),N(I499)/N(INDEX('04-نيسان'!$I$2:$I$501,V499))-1,""))</f>
        <v/>
      </c>
      <c r="AC499" t="str">
        <f>IF(L499="","",IF(AND($AO$2=1,ISNA(MATCH(L499,'06-حزيران'!$L$2:$L$499,0))),"محذوف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IF(L500="","",IF($AO$1=1,IFERROR(MATCH(L500,'04-نيسان'!$L$2:$L$501,0),0),0))</f>
        <v/>
      </c>
      <c r="W500" t="str">
        <f t="shared" si="151"/>
        <v/>
      </c>
      <c r="X500" s="38" t="str">
        <f>IF(L500="","",IF(V500&gt;0,INDEX('04-نيسان'!$P$2:$P$501,V500),IF($AO$1=1,0,"")))</f>
        <v/>
      </c>
      <c r="Y500" s="38" t="str">
        <f t="shared" si="152"/>
        <v/>
      </c>
      <c r="Z500" s="39" t="str">
        <f>IF(L500="","",IF(V500&gt;0,INDEX('04-نيسان'!$Q$2:$Q$501,V500),IF($AO$1=1,0,"")))</f>
        <v/>
      </c>
      <c r="AA500" s="39" t="str">
        <f t="shared" si="153"/>
        <v/>
      </c>
      <c r="AB500" s="40" t="str">
        <f>IF(OR(L500="",V500=0),"",IF(AND(N(I500)&gt;0,N(INDEX('04-نيسان'!$I$2:$I$501,V500))&gt;0,INDEX('04-نيسان'!$F$2:$F$501,V500)=F500),N(I500)/N(INDEX('04-نيسان'!$I$2:$I$501,V500))-1,""))</f>
        <v/>
      </c>
      <c r="AC500" t="str">
        <f>IF(L500="","",IF(AND($AO$2=1,ISNA(MATCH(L500,'06-حزيران'!$L$2:$L$499,0))),"محذوف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IF(L501="","",IF($AO$1=1,IFERROR(MATCH(L501,'04-نيسان'!$L$2:$L$501,0),0),0))</f>
        <v/>
      </c>
      <c r="W501" t="str">
        <f t="shared" si="151"/>
        <v/>
      </c>
      <c r="X501" s="38" t="str">
        <f>IF(L501="","",IF(V501&gt;0,INDEX('04-نيسان'!$P$2:$P$501,V501),IF($AO$1=1,0,"")))</f>
        <v/>
      </c>
      <c r="Y501" s="38" t="str">
        <f t="shared" si="152"/>
        <v/>
      </c>
      <c r="Z501" s="39" t="str">
        <f>IF(L501="","",IF(V501&gt;0,INDEX('04-نيسان'!$Q$2:$Q$501,V501),IF($AO$1=1,0,"")))</f>
        <v/>
      </c>
      <c r="AA501" s="39" t="str">
        <f t="shared" si="153"/>
        <v/>
      </c>
      <c r="AB501" s="40" t="str">
        <f>IF(OR(L501="",V501=0),"",IF(AND(N(I501)&gt;0,N(INDEX('04-نيسان'!$I$2:$I$501,V501))&gt;0,INDEX('04-نيسان'!$F$2:$F$501,V501)=F501),N(I501)/N(INDEX('04-نيسان'!$I$2:$I$501,V501))-1,""))</f>
        <v/>
      </c>
      <c r="AC501" t="str">
        <f>IF(L501="","",IF(AND($AO$2=1,ISNA(MATCH(L501,'06-حزيران'!$L$2:$L$499,0))),"محذوف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A000000}"/>
  <conditionalFormatting sqref="K1">
    <cfRule type="expression" dxfId="39" priority="2">
      <formula>LEFT(K1,1)="⚠"</formula>
    </cfRule>
    <cfRule type="expression" dxfId="38" priority="3">
      <formula>LEFT(K1,1)="✓"</formula>
    </cfRule>
  </conditionalFormatting>
  <conditionalFormatting sqref="K2:U501">
    <cfRule type="expression" dxfId="37" priority="4">
      <formula>$U2&lt;&gt;""</formula>
    </cfRule>
  </conditionalFormatting>
  <conditionalFormatting sqref="W2:W501">
    <cfRule type="expression" dxfId="36" priority="5">
      <formula>$W2="جديد"</formula>
    </cfRule>
  </conditionalFormatting>
  <conditionalFormatting sqref="AC2:AC501">
    <cfRule type="expression" dxfId="3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D8C"/>
  </sheetPr>
  <dimension ref="A1:AO499"/>
  <sheetViews>
    <sheetView rightToLeft="1" zoomScaleNormal="100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B214" sqref="B214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IF(COUNTA($A$2:$A$4998)=0,"الصق الجدول في A1",IF(COUNTA($A$2:$A$4998)&gt;500,"⚠ تجاوز 500 صنف",IF(COUNTIF($U$2:$U$499,"?*")=0,"✓ لا ملاحظات","⚠ "&amp;COUNTIF($U$2:$U$499,"?*")&amp;"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IF(COUNTA('05-أيار'!$A$2:$A$501)&gt;0,1,0)</f>
        <v>0</v>
      </c>
    </row>
    <row r="2" spans="1:41" ht="15">
      <c r="A2" t="s">
        <v>267</v>
      </c>
      <c r="B2">
        <v>0</v>
      </c>
      <c r="C2">
        <v>0</v>
      </c>
      <c r="D2">
        <v>0</v>
      </c>
      <c r="E2">
        <v>0</v>
      </c>
      <c r="F2" t="s">
        <v>268</v>
      </c>
      <c r="G2" t="s">
        <v>178</v>
      </c>
      <c r="H2" t="s">
        <v>177</v>
      </c>
      <c r="I2">
        <v>175</v>
      </c>
      <c r="K2" t="str">
        <f t="shared" ref="K2:K65" si="0">IF(L2="","",IF(U2&lt;&gt;"","⚠",""))</f>
        <v/>
      </c>
      <c r="L2" t="str">
        <f t="shared" ref="L2:L65" si="1">IF(A2="","",TRIM(A2))</f>
        <v>ملمع زجاج خام</v>
      </c>
      <c r="M2" s="36">
        <f t="shared" ref="M2:M65" si="2">IF(L2="","",IF(ISNUMBER(SEARCH("دولار",F2)),1,IF(ISNUMBER(SEARCH("ليرة",F2)),IF($AO$3&gt;0,1/$AO$3,0),0)))</f>
        <v>1</v>
      </c>
      <c r="N2" s="37">
        <f t="shared" ref="N2:N65" si="3">IF(L2="","",N(I2)*M2)</f>
        <v>175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IF(L2="","",IF($AO$1=1,IFERROR(MATCH(L2,'05-أيار'!$L$2:$L$501,0),0),0))</f>
        <v>0</v>
      </c>
      <c r="W2" t="str">
        <f t="shared" ref="W2:W65" si="11">IF(L2="","",IF(AND($AO$1=1,V2=0),"جديد",""))</f>
        <v/>
      </c>
      <c r="X2" s="38" t="str">
        <f>IF(L2="","",IF(V2&gt;0,INDEX('05-أيار'!$P$2:$P$501,V2),IF($AO$1=1,0,"")))</f>
        <v/>
      </c>
      <c r="Y2" s="38" t="str">
        <f t="shared" ref="Y2:Y65" si="12">IF(OR(L2="",X2=""),"",P2-X2)</f>
        <v/>
      </c>
      <c r="Z2" s="39" t="str">
        <f>IF(L2="","",IF(V2&gt;0,INDEX('05-أيار'!$Q$2:$Q$501,V2),IF($AO$1=1,0,"")))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IF(OR(L2="",V2=0),"",IF(AND(N(I2)&gt;0,N(INDEX('05-أيار'!$I$2:$I$501,V2))&gt;0,INDEX('05-أيار'!$F$2:$F$501,V2)=F2),N(I2)/N(INDEX('05-أيار'!$I$2:$I$501,V2))-1,""))</f>
        <v/>
      </c>
      <c r="AC2" t="str">
        <f>IF(L2="","",IF(AND($AO$2=1,ISNA(MATCH(L2,'07-تموز'!$L$2:$L$500,0))),"محذوف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IF(COUNTA('07-تموز'!$A$2:$A$500)&gt;0,1,0)</f>
        <v>1</v>
      </c>
    </row>
    <row r="3" spans="1:41" ht="15">
      <c r="A3" t="s">
        <v>269</v>
      </c>
      <c r="B3">
        <v>0</v>
      </c>
      <c r="C3">
        <v>0</v>
      </c>
      <c r="D3">
        <v>0</v>
      </c>
      <c r="E3">
        <v>0</v>
      </c>
      <c r="F3" t="s">
        <v>268</v>
      </c>
      <c r="G3" t="s">
        <v>178</v>
      </c>
      <c r="H3" t="s">
        <v>177</v>
      </c>
      <c r="I3">
        <v>63</v>
      </c>
      <c r="K3" t="str">
        <f t="shared" si="0"/>
        <v/>
      </c>
      <c r="L3" t="str">
        <f t="shared" si="1"/>
        <v>ملمع دواليب خام</v>
      </c>
      <c r="M3" s="36">
        <f t="shared" si="2"/>
        <v>1</v>
      </c>
      <c r="N3" s="37">
        <f t="shared" si="3"/>
        <v>63</v>
      </c>
      <c r="O3" s="37">
        <f t="shared" si="4"/>
        <v>0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IF(L3="","",IF($AO$1=1,IFERROR(MATCH(L3,'05-أيار'!$L$2:$L$501,0),0),0))</f>
        <v>0</v>
      </c>
      <c r="W3" t="str">
        <f t="shared" si="11"/>
        <v/>
      </c>
      <c r="X3" s="38" t="str">
        <f>IF(L3="","",IF(V3&gt;0,INDEX('05-أيار'!$P$2:$P$501,V3),IF($AO$1=1,0,"")))</f>
        <v/>
      </c>
      <c r="Y3" s="38" t="str">
        <f t="shared" si="12"/>
        <v/>
      </c>
      <c r="Z3" s="39" t="str">
        <f>IF(L3="","",IF(V3&gt;0,INDEX('05-أيار'!$Q$2:$Q$501,V3),IF($AO$1=1,0,"")))</f>
        <v/>
      </c>
      <c r="AA3" s="39" t="str">
        <f t="shared" si="13"/>
        <v/>
      </c>
      <c r="AB3" s="40" t="str">
        <f>IF(OR(L3="",V3=0),"",IF(AND(N(I3)&gt;0,N(INDEX('05-أيار'!$I$2:$I$501,V3))&gt;0,INDEX('05-أيار'!$F$2:$F$501,V3)=F3),N(I3)/N(INDEX('05-أيار'!$I$2:$I$501,V3))-1,""))</f>
        <v/>
      </c>
      <c r="AC3" t="str">
        <f>IF(L3="","",IF(AND($AO$2=1,ISNA(MATCH(L3,'07-تموز'!$L$2:$L$500,0))),"محذوف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التحكم'!$C$21</f>
        <v>13200</v>
      </c>
    </row>
    <row r="4" spans="1:41" ht="15">
      <c r="A4" t="s">
        <v>270</v>
      </c>
      <c r="B4">
        <v>138.04</v>
      </c>
      <c r="C4">
        <v>0</v>
      </c>
      <c r="D4">
        <v>0</v>
      </c>
      <c r="E4">
        <v>0</v>
      </c>
      <c r="F4" t="s">
        <v>268</v>
      </c>
      <c r="G4" t="s">
        <v>178</v>
      </c>
      <c r="H4" t="s">
        <v>176</v>
      </c>
      <c r="I4">
        <v>2.1</v>
      </c>
      <c r="K4" t="str">
        <f t="shared" si="0"/>
        <v/>
      </c>
      <c r="L4" t="str">
        <f t="shared" si="1"/>
        <v>ملح</v>
      </c>
      <c r="M4" s="36">
        <f t="shared" si="2"/>
        <v>1</v>
      </c>
      <c r="N4" s="37">
        <f t="shared" si="3"/>
        <v>2.1</v>
      </c>
      <c r="O4" s="37">
        <f t="shared" si="4"/>
        <v>0</v>
      </c>
      <c r="P4" s="38">
        <f t="shared" si="5"/>
        <v>138.04</v>
      </c>
      <c r="Q4" s="39">
        <f t="shared" si="6"/>
        <v>289.88400000000001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IF(L4="","",IF($AO$1=1,IFERROR(MATCH(L4,'05-أيار'!$L$2:$L$501,0),0),0))</f>
        <v>0</v>
      </c>
      <c r="W4" t="str">
        <f t="shared" si="11"/>
        <v/>
      </c>
      <c r="X4" s="38" t="str">
        <f>IF(L4="","",IF(V4&gt;0,INDEX('05-أيار'!$P$2:$P$501,V4),IF($AO$1=1,0,"")))</f>
        <v/>
      </c>
      <c r="Y4" s="38" t="str">
        <f t="shared" si="12"/>
        <v/>
      </c>
      <c r="Z4" s="39" t="str">
        <f>IF(L4="","",IF(V4&gt;0,INDEX('05-أيار'!$Q$2:$Q$501,V4),IF($AO$1=1,0,"")))</f>
        <v/>
      </c>
      <c r="AA4" s="39" t="str">
        <f t="shared" si="13"/>
        <v/>
      </c>
      <c r="AB4" s="40" t="str">
        <f>IF(OR(L4="",V4=0),"",IF(AND(N(I4)&gt;0,N(INDEX('05-أيار'!$I$2:$I$501,V4))&gt;0,INDEX('05-أيار'!$F$2:$F$501,V4)=F4),N(I4)/N(INDEX('05-أيار'!$I$2:$I$501,V4))-1,""))</f>
        <v/>
      </c>
      <c r="AC4" t="str">
        <f>IF(L4="","",IF(AND($AO$2=1,ISNA(MATCH(L4,'07-تموز'!$L$2:$L$500,0))),"محذوف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289.88400000400003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271</v>
      </c>
      <c r="B5">
        <v>2</v>
      </c>
      <c r="C5">
        <v>0</v>
      </c>
      <c r="D5">
        <v>0</v>
      </c>
      <c r="E5">
        <v>0</v>
      </c>
      <c r="F5" t="s">
        <v>268</v>
      </c>
      <c r="G5" t="s">
        <v>178</v>
      </c>
      <c r="H5" t="s">
        <v>176</v>
      </c>
      <c r="I5">
        <v>3</v>
      </c>
      <c r="K5" t="str">
        <f t="shared" si="0"/>
        <v/>
      </c>
      <c r="L5" t="str">
        <f t="shared" si="1"/>
        <v>مقصب</v>
      </c>
      <c r="M5" s="36">
        <f t="shared" si="2"/>
        <v>1</v>
      </c>
      <c r="N5" s="37">
        <f t="shared" si="3"/>
        <v>3</v>
      </c>
      <c r="O5" s="37">
        <f t="shared" si="4"/>
        <v>0</v>
      </c>
      <c r="P5" s="38">
        <f t="shared" si="5"/>
        <v>2</v>
      </c>
      <c r="Q5" s="39">
        <f t="shared" si="6"/>
        <v>6</v>
      </c>
      <c r="R5" s="39">
        <f t="shared" si="7"/>
        <v>0</v>
      </c>
      <c r="S5">
        <f t="shared" si="8"/>
        <v>0</v>
      </c>
      <c r="T5" s="39">
        <f t="shared" si="9"/>
        <v>0</v>
      </c>
      <c r="U5" t="str">
        <f t="shared" si="10"/>
        <v/>
      </c>
      <c r="V5">
        <f>IF(L5="","",IF($AO$1=1,IFERROR(MATCH(L5,'05-أيار'!$L$2:$L$501,0),0),0))</f>
        <v>0</v>
      </c>
      <c r="W5" t="str">
        <f t="shared" si="11"/>
        <v/>
      </c>
      <c r="X5" s="38" t="str">
        <f>IF(L5="","",IF(V5&gt;0,INDEX('05-أيار'!$P$2:$P$501,V5),IF($AO$1=1,0,"")))</f>
        <v/>
      </c>
      <c r="Y5" s="38" t="str">
        <f t="shared" si="12"/>
        <v/>
      </c>
      <c r="Z5" s="39" t="str">
        <f>IF(L5="","",IF(V5&gt;0,INDEX('05-أيار'!$Q$2:$Q$501,V5),IF($AO$1=1,0,"")))</f>
        <v/>
      </c>
      <c r="AA5" s="39" t="str">
        <f t="shared" si="13"/>
        <v/>
      </c>
      <c r="AB5" s="40" t="str">
        <f>IF(OR(L5="",V5=0),"",IF(AND(N(I5)&gt;0,N(INDEX('05-أيار'!$I$2:$I$501,V5))&gt;0,INDEX('05-أيار'!$F$2:$F$501,V5)=F5),N(I5)/N(INDEX('05-أيار'!$I$2:$I$501,V5))-1,""))</f>
        <v/>
      </c>
      <c r="AC5" t="str">
        <f>IF(L5="","",IF(AND($AO$2=1,ISNA(MATCH(L5,'07-تموز'!$L$2:$L$500,0))),"محذوف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>
        <f t="shared" si="15"/>
        <v>0</v>
      </c>
      <c r="AI5" s="39">
        <f t="shared" si="16"/>
        <v>0</v>
      </c>
      <c r="AJ5" s="39">
        <f t="shared" si="17"/>
        <v>0</v>
      </c>
      <c r="AK5">
        <f t="shared" si="18"/>
        <v>6.0000000050000004</v>
      </c>
      <c r="AL5">
        <f t="shared" si="19"/>
        <v>5.0000000000000001E-9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272</v>
      </c>
      <c r="B6">
        <v>0</v>
      </c>
      <c r="C6">
        <v>0</v>
      </c>
      <c r="D6">
        <v>0</v>
      </c>
      <c r="E6">
        <v>0</v>
      </c>
      <c r="F6" t="s">
        <v>268</v>
      </c>
      <c r="G6" t="s">
        <v>178</v>
      </c>
      <c r="H6" t="s">
        <v>177</v>
      </c>
      <c r="I6">
        <v>44</v>
      </c>
      <c r="K6" t="str">
        <f t="shared" si="0"/>
        <v/>
      </c>
      <c r="L6" t="str">
        <f t="shared" si="1"/>
        <v>معطر فانيليا خام</v>
      </c>
      <c r="M6" s="36">
        <f t="shared" si="2"/>
        <v>1</v>
      </c>
      <c r="N6" s="37">
        <f t="shared" si="3"/>
        <v>44</v>
      </c>
      <c r="O6" s="37">
        <f t="shared" si="4"/>
        <v>0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IF(L6="","",IF($AO$1=1,IFERROR(MATCH(L6,'05-أيار'!$L$2:$L$501,0),0),0))</f>
        <v>0</v>
      </c>
      <c r="W6" t="str">
        <f t="shared" si="11"/>
        <v/>
      </c>
      <c r="X6" s="38" t="str">
        <f>IF(L6="","",IF(V6&gt;0,INDEX('05-أيار'!$P$2:$P$501,V6),IF($AO$1=1,0,"")))</f>
        <v/>
      </c>
      <c r="Y6" s="38" t="str">
        <f t="shared" si="12"/>
        <v/>
      </c>
      <c r="Z6" s="39" t="str">
        <f>IF(L6="","",IF(V6&gt;0,INDEX('05-أيار'!$Q$2:$Q$501,V6),IF($AO$1=1,0,"")))</f>
        <v/>
      </c>
      <c r="AA6" s="39" t="str">
        <f t="shared" si="13"/>
        <v/>
      </c>
      <c r="AB6" s="40" t="str">
        <f>IF(OR(L6="",V6=0),"",IF(AND(N(I6)&gt;0,N(INDEX('05-أيار'!$I$2:$I$501,V6))&gt;0,INDEX('05-أيار'!$F$2:$F$501,V6)=F6),N(I6)/N(INDEX('05-أيار'!$I$2:$I$501,V6))-1,""))</f>
        <v/>
      </c>
      <c r="AC6" t="str">
        <f>IF(L6="","",IF(AND($AO$2=1,ISNA(MATCH(L6,'07-تموز'!$L$2:$L$500,0))),"محذوف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273</v>
      </c>
      <c r="B7">
        <v>0</v>
      </c>
      <c r="C7">
        <v>0</v>
      </c>
      <c r="D7">
        <v>0</v>
      </c>
      <c r="E7">
        <v>0</v>
      </c>
      <c r="F7" t="s">
        <v>268</v>
      </c>
      <c r="G7" t="s">
        <v>178</v>
      </c>
      <c r="H7" t="s">
        <v>177</v>
      </c>
      <c r="I7">
        <v>215</v>
      </c>
      <c r="K7" t="str">
        <f t="shared" si="0"/>
        <v/>
      </c>
      <c r="L7" t="str">
        <f t="shared" si="1"/>
        <v>معطر ارضيات نسيم المحيط خام</v>
      </c>
      <c r="M7" s="36">
        <f t="shared" si="2"/>
        <v>1</v>
      </c>
      <c r="N7" s="37">
        <f t="shared" si="3"/>
        <v>215</v>
      </c>
      <c r="O7" s="37">
        <f t="shared" si="4"/>
        <v>0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IF(L7="","",IF($AO$1=1,IFERROR(MATCH(L7,'05-أيار'!$L$2:$L$501,0),0),0))</f>
        <v>0</v>
      </c>
      <c r="W7" t="str">
        <f t="shared" si="11"/>
        <v/>
      </c>
      <c r="X7" s="38" t="str">
        <f>IF(L7="","",IF(V7&gt;0,INDEX('05-أيار'!$P$2:$P$501,V7),IF($AO$1=1,0,"")))</f>
        <v/>
      </c>
      <c r="Y7" s="38" t="str">
        <f t="shared" si="12"/>
        <v/>
      </c>
      <c r="Z7" s="39" t="str">
        <f>IF(L7="","",IF(V7&gt;0,INDEX('05-أيار'!$Q$2:$Q$501,V7),IF($AO$1=1,0,"")))</f>
        <v/>
      </c>
      <c r="AA7" s="39" t="str">
        <f t="shared" si="13"/>
        <v/>
      </c>
      <c r="AB7" s="40" t="str">
        <f>IF(OR(L7="",V7=0),"",IF(AND(N(I7)&gt;0,N(INDEX('05-أيار'!$I$2:$I$501,V7))&gt;0,INDEX('05-أيار'!$F$2:$F$501,V7)=F7),N(I7)/N(INDEX('05-أيار'!$I$2:$I$501,V7))-1,""))</f>
        <v/>
      </c>
      <c r="AC7" t="str">
        <f>IF(L7="","",IF(AND($AO$2=1,ISNA(MATCH(L7,'07-تموز'!$L$2:$L$500,0))),"محذوف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274</v>
      </c>
      <c r="B8">
        <v>0</v>
      </c>
      <c r="C8">
        <v>0</v>
      </c>
      <c r="D8">
        <v>0</v>
      </c>
      <c r="E8">
        <v>0</v>
      </c>
      <c r="F8" t="s">
        <v>268</v>
      </c>
      <c r="G8" t="s">
        <v>178</v>
      </c>
      <c r="H8" t="s">
        <v>177</v>
      </c>
      <c r="I8">
        <v>205</v>
      </c>
      <c r="K8" t="str">
        <f t="shared" si="0"/>
        <v/>
      </c>
      <c r="L8" t="str">
        <f t="shared" si="1"/>
        <v>معطر ارضيات ليلك خام</v>
      </c>
      <c r="M8" s="36">
        <f t="shared" si="2"/>
        <v>1</v>
      </c>
      <c r="N8" s="37">
        <f t="shared" si="3"/>
        <v>205</v>
      </c>
      <c r="O8" s="37">
        <f t="shared" si="4"/>
        <v>0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IF(L8="","",IF($AO$1=1,IFERROR(MATCH(L8,'05-أيار'!$L$2:$L$501,0),0),0))</f>
        <v>0</v>
      </c>
      <c r="W8" t="str">
        <f t="shared" si="11"/>
        <v/>
      </c>
      <c r="X8" s="38" t="str">
        <f>IF(L8="","",IF(V8&gt;0,INDEX('05-أيار'!$P$2:$P$501,V8),IF($AO$1=1,0,"")))</f>
        <v/>
      </c>
      <c r="Y8" s="38" t="str">
        <f t="shared" si="12"/>
        <v/>
      </c>
      <c r="Z8" s="39" t="str">
        <f>IF(L8="","",IF(V8&gt;0,INDEX('05-أيار'!$Q$2:$Q$501,V8),IF($AO$1=1,0,"")))</f>
        <v/>
      </c>
      <c r="AA8" s="39" t="str">
        <f t="shared" si="13"/>
        <v/>
      </c>
      <c r="AB8" s="40" t="str">
        <f>IF(OR(L8="",V8=0),"",IF(AND(N(I8)&gt;0,N(INDEX('05-أيار'!$I$2:$I$501,V8))&gt;0,INDEX('05-أيار'!$F$2:$F$501,V8)=F8),N(I8)/N(INDEX('05-أيار'!$I$2:$I$501,V8))-1,""))</f>
        <v/>
      </c>
      <c r="AC8" t="str">
        <f>IF(L8="","",IF(AND($AO$2=1,ISNA(MATCH(L8,'07-تموز'!$L$2:$L$500,0))),"محذوف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275</v>
      </c>
      <c r="B9">
        <v>0</v>
      </c>
      <c r="C9">
        <v>0</v>
      </c>
      <c r="D9">
        <v>0</v>
      </c>
      <c r="E9">
        <v>0</v>
      </c>
      <c r="F9" t="s">
        <v>268</v>
      </c>
      <c r="G9" t="s">
        <v>178</v>
      </c>
      <c r="H9" t="s">
        <v>177</v>
      </c>
      <c r="I9">
        <v>205</v>
      </c>
      <c r="K9" t="str">
        <f t="shared" si="0"/>
        <v/>
      </c>
      <c r="L9" t="str">
        <f t="shared" si="1"/>
        <v>معطر ارضيات زهرة التوليب خام</v>
      </c>
      <c r="M9" s="36">
        <f t="shared" si="2"/>
        <v>1</v>
      </c>
      <c r="N9" s="37">
        <f t="shared" si="3"/>
        <v>205</v>
      </c>
      <c r="O9" s="37">
        <f t="shared" si="4"/>
        <v>0</v>
      </c>
      <c r="P9" s="38">
        <f t="shared" si="5"/>
        <v>0</v>
      </c>
      <c r="Q9" s="39">
        <f t="shared" si="6"/>
        <v>0</v>
      </c>
      <c r="R9" s="39">
        <f t="shared" si="7"/>
        <v>0</v>
      </c>
      <c r="S9">
        <f t="shared" si="8"/>
        <v>0</v>
      </c>
      <c r="T9" s="39">
        <f t="shared" si="9"/>
        <v>0</v>
      </c>
      <c r="U9" t="str">
        <f t="shared" si="10"/>
        <v/>
      </c>
      <c r="V9">
        <f>IF(L9="","",IF($AO$1=1,IFERROR(MATCH(L9,'05-أيار'!$L$2:$L$501,0),0),0))</f>
        <v>0</v>
      </c>
      <c r="W9" t="str">
        <f t="shared" si="11"/>
        <v/>
      </c>
      <c r="X9" s="38" t="str">
        <f>IF(L9="","",IF(V9&gt;0,INDEX('05-أيار'!$P$2:$P$501,V9),IF($AO$1=1,0,"")))</f>
        <v/>
      </c>
      <c r="Y9" s="38" t="str">
        <f t="shared" si="12"/>
        <v/>
      </c>
      <c r="Z9" s="39" t="str">
        <f>IF(L9="","",IF(V9&gt;0,INDEX('05-أيار'!$Q$2:$Q$501,V9),IF($AO$1=1,0,"")))</f>
        <v/>
      </c>
      <c r="AA9" s="39" t="str">
        <f t="shared" si="13"/>
        <v/>
      </c>
      <c r="AB9" s="40" t="str">
        <f>IF(OR(L9="",V9=0),"",IF(AND(N(I9)&gt;0,N(INDEX('05-أيار'!$I$2:$I$501,V9))&gt;0,INDEX('05-أيار'!$F$2:$F$501,V9)=F9),N(I9)/N(INDEX('05-أيار'!$I$2:$I$501,V9))-1,""))</f>
        <v/>
      </c>
      <c r="AC9" t="str">
        <f>IF(L9="","",IF(AND($AO$2=1,ISNA(MATCH(L9,'07-تموز'!$L$2:$L$500,0))),"محذوف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>
        <f t="shared" si="15"/>
        <v>0</v>
      </c>
      <c r="AI9" s="39">
        <f t="shared" si="16"/>
        <v>0</v>
      </c>
      <c r="AJ9" s="39">
        <f t="shared" si="17"/>
        <v>0</v>
      </c>
      <c r="AK9">
        <f t="shared" si="18"/>
        <v>8.9999999999999995E-9</v>
      </c>
      <c r="AL9">
        <f t="shared" si="19"/>
        <v>8.9999999999999995E-9</v>
      </c>
    </row>
    <row r="10" spans="1:41" ht="15">
      <c r="A10" t="s">
        <v>276</v>
      </c>
      <c r="B10">
        <v>0</v>
      </c>
      <c r="C10">
        <v>0</v>
      </c>
      <c r="D10">
        <v>0</v>
      </c>
      <c r="E10">
        <v>0</v>
      </c>
      <c r="F10" t="s">
        <v>268</v>
      </c>
      <c r="G10" t="s">
        <v>178</v>
      </c>
      <c r="H10" t="s">
        <v>177</v>
      </c>
      <c r="I10">
        <v>180</v>
      </c>
      <c r="K10" t="str">
        <f t="shared" si="0"/>
        <v/>
      </c>
      <c r="L10" t="str">
        <f t="shared" si="1"/>
        <v>معطر ارضيات رائحة الورود خام</v>
      </c>
      <c r="M10" s="36">
        <f t="shared" si="2"/>
        <v>1</v>
      </c>
      <c r="N10" s="37">
        <f t="shared" si="3"/>
        <v>180</v>
      </c>
      <c r="O10" s="37">
        <f t="shared" si="4"/>
        <v>0</v>
      </c>
      <c r="P10" s="38">
        <f t="shared" si="5"/>
        <v>0</v>
      </c>
      <c r="Q10" s="39">
        <f t="shared" si="6"/>
        <v>0</v>
      </c>
      <c r="R10" s="39">
        <f t="shared" si="7"/>
        <v>0</v>
      </c>
      <c r="S10">
        <f t="shared" si="8"/>
        <v>0</v>
      </c>
      <c r="T10" s="39">
        <f t="shared" si="9"/>
        <v>0</v>
      </c>
      <c r="U10" t="str">
        <f t="shared" si="10"/>
        <v/>
      </c>
      <c r="V10">
        <f>IF(L10="","",IF($AO$1=1,IFERROR(MATCH(L10,'05-أيار'!$L$2:$L$501,0),0),0))</f>
        <v>0</v>
      </c>
      <c r="W10" t="str">
        <f t="shared" si="11"/>
        <v/>
      </c>
      <c r="X10" s="38" t="str">
        <f>IF(L10="","",IF(V10&gt;0,INDEX('05-أيار'!$P$2:$P$501,V10),IF($AO$1=1,0,"")))</f>
        <v/>
      </c>
      <c r="Y10" s="38" t="str">
        <f t="shared" si="12"/>
        <v/>
      </c>
      <c r="Z10" s="39" t="str">
        <f>IF(L10="","",IF(V10&gt;0,INDEX('05-أيار'!$Q$2:$Q$501,V10),IF($AO$1=1,0,"")))</f>
        <v/>
      </c>
      <c r="AA10" s="39" t="str">
        <f t="shared" si="13"/>
        <v/>
      </c>
      <c r="AB10" s="40" t="str">
        <f>IF(OR(L10="",V10=0),"",IF(AND(N(I10)&gt;0,N(INDEX('05-أيار'!$I$2:$I$501,V10))&gt;0,INDEX('05-أيار'!$F$2:$F$501,V10)=F10),N(I10)/N(INDEX('05-أيار'!$I$2:$I$501,V10))-1,""))</f>
        <v/>
      </c>
      <c r="AC10" t="str">
        <f>IF(L10="","",IF(AND($AO$2=1,ISNA(MATCH(L10,'07-تموز'!$L$2:$L$500,0))),"محذوف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>
        <f t="shared" si="15"/>
        <v>0</v>
      </c>
      <c r="AI10" s="39">
        <f t="shared" si="16"/>
        <v>0</v>
      </c>
      <c r="AJ10" s="39">
        <f t="shared" si="17"/>
        <v>0</v>
      </c>
      <c r="AK10">
        <f t="shared" si="18"/>
        <v>1E-8</v>
      </c>
      <c r="AL10">
        <f t="shared" si="19"/>
        <v>1E-8</v>
      </c>
    </row>
    <row r="11" spans="1:41" ht="15">
      <c r="A11" t="s">
        <v>277</v>
      </c>
      <c r="B11">
        <v>0</v>
      </c>
      <c r="C11">
        <v>0</v>
      </c>
      <c r="D11">
        <v>0</v>
      </c>
      <c r="E11">
        <v>0</v>
      </c>
      <c r="F11" t="s">
        <v>268</v>
      </c>
      <c r="G11" t="s">
        <v>178</v>
      </c>
      <c r="H11" t="s">
        <v>177</v>
      </c>
      <c r="I11">
        <v>150</v>
      </c>
      <c r="K11" t="str">
        <f t="shared" si="0"/>
        <v/>
      </c>
      <c r="L11" t="str">
        <f t="shared" si="1"/>
        <v>معطر ارضيات ببوري خام</v>
      </c>
      <c r="M11" s="36">
        <f t="shared" si="2"/>
        <v>1</v>
      </c>
      <c r="N11" s="37">
        <f t="shared" si="3"/>
        <v>150</v>
      </c>
      <c r="O11" s="37">
        <f t="shared" si="4"/>
        <v>0</v>
      </c>
      <c r="P11" s="38">
        <f t="shared" si="5"/>
        <v>0</v>
      </c>
      <c r="Q11" s="39">
        <f t="shared" si="6"/>
        <v>0</v>
      </c>
      <c r="R11" s="39">
        <f t="shared" si="7"/>
        <v>0</v>
      </c>
      <c r="S11">
        <f t="shared" si="8"/>
        <v>0</v>
      </c>
      <c r="T11" s="39">
        <f t="shared" si="9"/>
        <v>0</v>
      </c>
      <c r="U11" t="str">
        <f t="shared" si="10"/>
        <v/>
      </c>
      <c r="V11">
        <f>IF(L11="","",IF($AO$1=1,IFERROR(MATCH(L11,'05-أيار'!$L$2:$L$501,0),0),0))</f>
        <v>0</v>
      </c>
      <c r="W11" t="str">
        <f t="shared" si="11"/>
        <v/>
      </c>
      <c r="X11" s="38" t="str">
        <f>IF(L11="","",IF(V11&gt;0,INDEX('05-أيار'!$P$2:$P$501,V11),IF($AO$1=1,0,"")))</f>
        <v/>
      </c>
      <c r="Y11" s="38" t="str">
        <f t="shared" si="12"/>
        <v/>
      </c>
      <c r="Z11" s="39" t="str">
        <f>IF(L11="","",IF(V11&gt;0,INDEX('05-أيار'!$Q$2:$Q$501,V11),IF($AO$1=1,0,"")))</f>
        <v/>
      </c>
      <c r="AA11" s="39" t="str">
        <f t="shared" si="13"/>
        <v/>
      </c>
      <c r="AB11" s="40" t="str">
        <f>IF(OR(L11="",V11=0),"",IF(AND(N(I11)&gt;0,N(INDEX('05-أيار'!$I$2:$I$501,V11))&gt;0,INDEX('05-أيار'!$F$2:$F$501,V11)=F11),N(I11)/N(INDEX('05-أيار'!$I$2:$I$501,V11))-1,""))</f>
        <v/>
      </c>
      <c r="AC11" t="str">
        <f>IF(L11="","",IF(AND($AO$2=1,ISNA(MATCH(L11,'07-تموز'!$L$2:$L$500,0))),"محذوف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>
        <f t="shared" si="15"/>
        <v>0</v>
      </c>
      <c r="AI11" s="39">
        <f t="shared" si="16"/>
        <v>0</v>
      </c>
      <c r="AJ11" s="39">
        <f t="shared" si="17"/>
        <v>0</v>
      </c>
      <c r="AK11">
        <f t="shared" si="18"/>
        <v>1.0999999999999999E-8</v>
      </c>
      <c r="AL11">
        <f t="shared" si="19"/>
        <v>1.0999999999999999E-8</v>
      </c>
    </row>
    <row r="12" spans="1:41" ht="15">
      <c r="A12" t="s">
        <v>278</v>
      </c>
      <c r="B12">
        <v>0</v>
      </c>
      <c r="C12">
        <v>0</v>
      </c>
      <c r="D12">
        <v>0</v>
      </c>
      <c r="E12">
        <v>0</v>
      </c>
      <c r="F12" t="s">
        <v>268</v>
      </c>
      <c r="G12" t="s">
        <v>178</v>
      </c>
      <c r="H12" t="s">
        <v>177</v>
      </c>
      <c r="I12">
        <v>160</v>
      </c>
      <c r="K12" t="str">
        <f t="shared" si="0"/>
        <v/>
      </c>
      <c r="L12" t="str">
        <f t="shared" si="1"/>
        <v>معطر ارضيات الليمون المنعش خام</v>
      </c>
      <c r="M12" s="36">
        <f t="shared" si="2"/>
        <v>1</v>
      </c>
      <c r="N12" s="37">
        <f t="shared" si="3"/>
        <v>160</v>
      </c>
      <c r="O12" s="37">
        <f t="shared" si="4"/>
        <v>0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IF(L12="","",IF($AO$1=1,IFERROR(MATCH(L12,'05-أيار'!$L$2:$L$501,0),0),0))</f>
        <v>0</v>
      </c>
      <c r="W12" t="str">
        <f t="shared" si="11"/>
        <v/>
      </c>
      <c r="X12" s="38" t="str">
        <f>IF(L12="","",IF(V12&gt;0,INDEX('05-أيار'!$P$2:$P$501,V12),IF($AO$1=1,0,"")))</f>
        <v/>
      </c>
      <c r="Y12" s="38" t="str">
        <f t="shared" si="12"/>
        <v/>
      </c>
      <c r="Z12" s="39" t="str">
        <f>IF(L12="","",IF(V12&gt;0,INDEX('05-أيار'!$Q$2:$Q$501,V12),IF($AO$1=1,0,"")))</f>
        <v/>
      </c>
      <c r="AA12" s="39" t="str">
        <f t="shared" si="13"/>
        <v/>
      </c>
      <c r="AB12" s="40" t="str">
        <f>IF(OR(L12="",V12=0),"",IF(AND(N(I12)&gt;0,N(INDEX('05-أيار'!$I$2:$I$501,V12))&gt;0,INDEX('05-أيار'!$F$2:$F$501,V12)=F12),N(I12)/N(INDEX('05-أيار'!$I$2:$I$501,V12))-1,""))</f>
        <v/>
      </c>
      <c r="AC12" t="str">
        <f>IF(L12="","",IF(AND($AO$2=1,ISNA(MATCH(L12,'07-تموز'!$L$2:$L$500,0))),"محذوف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279</v>
      </c>
      <c r="B13">
        <v>0</v>
      </c>
      <c r="C13">
        <v>0</v>
      </c>
      <c r="D13">
        <v>0</v>
      </c>
      <c r="E13">
        <v>0</v>
      </c>
      <c r="F13" t="s">
        <v>268</v>
      </c>
      <c r="G13" t="s">
        <v>178</v>
      </c>
      <c r="H13" t="s">
        <v>177</v>
      </c>
      <c r="I13">
        <v>215</v>
      </c>
      <c r="K13" t="str">
        <f t="shared" si="0"/>
        <v/>
      </c>
      <c r="L13" t="str">
        <f t="shared" si="1"/>
        <v>معطر ارضيات العود خام</v>
      </c>
      <c r="M13" s="36">
        <f t="shared" si="2"/>
        <v>1</v>
      </c>
      <c r="N13" s="37">
        <f t="shared" si="3"/>
        <v>215</v>
      </c>
      <c r="O13" s="37">
        <f t="shared" si="4"/>
        <v>0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IF(L13="","",IF($AO$1=1,IFERROR(MATCH(L13,'05-أيار'!$L$2:$L$501,0),0),0))</f>
        <v>0</v>
      </c>
      <c r="W13" t="str">
        <f t="shared" si="11"/>
        <v/>
      </c>
      <c r="X13" s="38" t="str">
        <f>IF(L13="","",IF(V13&gt;0,INDEX('05-أيار'!$P$2:$P$501,V13),IF($AO$1=1,0,"")))</f>
        <v/>
      </c>
      <c r="Y13" s="38" t="str">
        <f t="shared" si="12"/>
        <v/>
      </c>
      <c r="Z13" s="39" t="str">
        <f>IF(L13="","",IF(V13&gt;0,INDEX('05-أيار'!$Q$2:$Q$501,V13),IF($AO$1=1,0,"")))</f>
        <v/>
      </c>
      <c r="AA13" s="39" t="str">
        <f t="shared" si="13"/>
        <v/>
      </c>
      <c r="AB13" s="40" t="str">
        <f>IF(OR(L13="",V13=0),"",IF(AND(N(I13)&gt;0,N(INDEX('05-أيار'!$I$2:$I$501,V13))&gt;0,INDEX('05-أيار'!$F$2:$F$501,V13)=F13),N(I13)/N(INDEX('05-أيار'!$I$2:$I$501,V13))-1,""))</f>
        <v/>
      </c>
      <c r="AC13" t="str">
        <f>IF(L13="","",IF(AND($AO$2=1,ISNA(MATCH(L13,'07-تموز'!$L$2:$L$500,0))),"محذوف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280</v>
      </c>
      <c r="B14">
        <v>0</v>
      </c>
      <c r="C14">
        <v>0</v>
      </c>
      <c r="D14">
        <v>0</v>
      </c>
      <c r="E14">
        <v>0</v>
      </c>
      <c r="F14" t="s">
        <v>268</v>
      </c>
      <c r="G14" t="s">
        <v>178</v>
      </c>
      <c r="H14" t="s">
        <v>177</v>
      </c>
      <c r="I14">
        <v>215</v>
      </c>
      <c r="K14" t="str">
        <f t="shared" si="0"/>
        <v/>
      </c>
      <c r="L14" t="str">
        <f t="shared" si="1"/>
        <v>معطر ارضيات ازهار النرجس خام</v>
      </c>
      <c r="M14" s="36">
        <f t="shared" si="2"/>
        <v>1</v>
      </c>
      <c r="N14" s="37">
        <f t="shared" si="3"/>
        <v>215</v>
      </c>
      <c r="O14" s="37">
        <f t="shared" si="4"/>
        <v>0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IF(L14="","",IF($AO$1=1,IFERROR(MATCH(L14,'05-أيار'!$L$2:$L$501,0),0),0))</f>
        <v>0</v>
      </c>
      <c r="W14" t="str">
        <f t="shared" si="11"/>
        <v/>
      </c>
      <c r="X14" s="38" t="str">
        <f>IF(L14="","",IF(V14&gt;0,INDEX('05-أيار'!$P$2:$P$501,V14),IF($AO$1=1,0,"")))</f>
        <v/>
      </c>
      <c r="Y14" s="38" t="str">
        <f t="shared" si="12"/>
        <v/>
      </c>
      <c r="Z14" s="39" t="str">
        <f>IF(L14="","",IF(V14&gt;0,INDEX('05-أيار'!$Q$2:$Q$501,V14),IF($AO$1=1,0,"")))</f>
        <v/>
      </c>
      <c r="AA14" s="39" t="str">
        <f t="shared" si="13"/>
        <v/>
      </c>
      <c r="AB14" s="40" t="str">
        <f>IF(OR(L14="",V14=0),"",IF(AND(N(I14)&gt;0,N(INDEX('05-أيار'!$I$2:$I$501,V14))&gt;0,INDEX('05-أيار'!$F$2:$F$501,V14)=F14),N(I14)/N(INDEX('05-أيار'!$I$2:$I$501,V14))-1,""))</f>
        <v/>
      </c>
      <c r="AC14" t="str">
        <f>IF(L14="","",IF(AND($AO$2=1,ISNA(MATCH(L14,'07-تموز'!$L$2:$L$500,0))),"محذوف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281</v>
      </c>
      <c r="B15">
        <v>69.5</v>
      </c>
      <c r="C15">
        <v>0</v>
      </c>
      <c r="D15">
        <v>0</v>
      </c>
      <c r="E15">
        <v>0</v>
      </c>
      <c r="F15" t="s">
        <v>268</v>
      </c>
      <c r="G15" t="s">
        <v>178</v>
      </c>
      <c r="H15" t="s">
        <v>176</v>
      </c>
      <c r="I15">
        <v>4.4000000000000004</v>
      </c>
      <c r="K15" t="str">
        <f t="shared" si="0"/>
        <v/>
      </c>
      <c r="L15" t="str">
        <f t="shared" si="1"/>
        <v>مجمد</v>
      </c>
      <c r="M15" s="36">
        <f t="shared" si="2"/>
        <v>1</v>
      </c>
      <c r="N15" s="37">
        <f t="shared" si="3"/>
        <v>4.4000000000000004</v>
      </c>
      <c r="O15" s="37">
        <f t="shared" si="4"/>
        <v>0</v>
      </c>
      <c r="P15" s="38">
        <f t="shared" si="5"/>
        <v>69.5</v>
      </c>
      <c r="Q15" s="39">
        <f t="shared" si="6"/>
        <v>305.8</v>
      </c>
      <c r="R15" s="39">
        <f t="shared" si="7"/>
        <v>0</v>
      </c>
      <c r="S15">
        <f t="shared" si="8"/>
        <v>0</v>
      </c>
      <c r="T15" s="39">
        <f t="shared" si="9"/>
        <v>0</v>
      </c>
      <c r="U15" t="str">
        <f t="shared" si="10"/>
        <v/>
      </c>
      <c r="V15">
        <f>IF(L15="","",IF($AO$1=1,IFERROR(MATCH(L15,'05-أيار'!$L$2:$L$501,0),0),0))</f>
        <v>0</v>
      </c>
      <c r="W15" t="str">
        <f t="shared" si="11"/>
        <v/>
      </c>
      <c r="X15" s="38" t="str">
        <f>IF(L15="","",IF(V15&gt;0,INDEX('05-أيار'!$P$2:$P$501,V15),IF($AO$1=1,0,"")))</f>
        <v/>
      </c>
      <c r="Y15" s="38" t="str">
        <f t="shared" si="12"/>
        <v/>
      </c>
      <c r="Z15" s="39" t="str">
        <f>IF(L15="","",IF(V15&gt;0,INDEX('05-أيار'!$Q$2:$Q$501,V15),IF($AO$1=1,0,"")))</f>
        <v/>
      </c>
      <c r="AA15" s="39" t="str">
        <f t="shared" si="13"/>
        <v/>
      </c>
      <c r="AB15" s="40" t="str">
        <f>IF(OR(L15="",V15=0),"",IF(AND(N(I15)&gt;0,N(INDEX('05-أيار'!$I$2:$I$501,V15))&gt;0,INDEX('05-أيار'!$F$2:$F$501,V15)=F15),N(I15)/N(INDEX('05-أيار'!$I$2:$I$501,V15))-1,""))</f>
        <v/>
      </c>
      <c r="AC15" t="str">
        <f>IF(L15="","",IF(AND($AO$2=1,ISNA(MATCH(L15,'07-تموز'!$L$2:$L$500,0))),"محذوف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>
        <f t="shared" si="15"/>
        <v>0</v>
      </c>
      <c r="AI15" s="39">
        <f t="shared" si="16"/>
        <v>0</v>
      </c>
      <c r="AJ15" s="39">
        <f t="shared" si="17"/>
        <v>0</v>
      </c>
      <c r="AK15">
        <f t="shared" si="18"/>
        <v>305.80000001500002</v>
      </c>
      <c r="AL15">
        <f t="shared" si="19"/>
        <v>1.4999999999999999E-8</v>
      </c>
    </row>
    <row r="16" spans="1:41" ht="15">
      <c r="A16" t="s">
        <v>282</v>
      </c>
      <c r="B16">
        <v>0</v>
      </c>
      <c r="C16">
        <v>0</v>
      </c>
      <c r="D16">
        <v>0</v>
      </c>
      <c r="E16">
        <v>0</v>
      </c>
      <c r="F16" t="s">
        <v>268</v>
      </c>
      <c r="G16" t="s">
        <v>178</v>
      </c>
      <c r="H16" t="s">
        <v>176</v>
      </c>
      <c r="I16">
        <v>7</v>
      </c>
      <c r="K16" t="str">
        <f t="shared" si="0"/>
        <v/>
      </c>
      <c r="L16" t="str">
        <f t="shared" si="1"/>
        <v>مانع رغوة مائي</v>
      </c>
      <c r="M16" s="36">
        <f t="shared" si="2"/>
        <v>1</v>
      </c>
      <c r="N16" s="37">
        <f t="shared" si="3"/>
        <v>7</v>
      </c>
      <c r="O16" s="37">
        <f t="shared" si="4"/>
        <v>0</v>
      </c>
      <c r="P16" s="38">
        <f t="shared" si="5"/>
        <v>0</v>
      </c>
      <c r="Q16" s="39">
        <f t="shared" si="6"/>
        <v>0</v>
      </c>
      <c r="R16" s="39">
        <f t="shared" si="7"/>
        <v>0</v>
      </c>
      <c r="S16">
        <f t="shared" si="8"/>
        <v>0</v>
      </c>
      <c r="T16" s="39">
        <f t="shared" si="9"/>
        <v>0</v>
      </c>
      <c r="U16" t="str">
        <f t="shared" si="10"/>
        <v/>
      </c>
      <c r="V16">
        <f>IF(L16="","",IF($AO$1=1,IFERROR(MATCH(L16,'05-أيار'!$L$2:$L$501,0),0),0))</f>
        <v>0</v>
      </c>
      <c r="W16" t="str">
        <f t="shared" si="11"/>
        <v/>
      </c>
      <c r="X16" s="38" t="str">
        <f>IF(L16="","",IF(V16&gt;0,INDEX('05-أيار'!$P$2:$P$501,V16),IF($AO$1=1,0,"")))</f>
        <v/>
      </c>
      <c r="Y16" s="38" t="str">
        <f t="shared" si="12"/>
        <v/>
      </c>
      <c r="Z16" s="39" t="str">
        <f>IF(L16="","",IF(V16&gt;0,INDEX('05-أيار'!$Q$2:$Q$501,V16),IF($AO$1=1,0,"")))</f>
        <v/>
      </c>
      <c r="AA16" s="39" t="str">
        <f t="shared" si="13"/>
        <v/>
      </c>
      <c r="AB16" s="40" t="str">
        <f>IF(OR(L16="",V16=0),"",IF(AND(N(I16)&gt;0,N(INDEX('05-أيار'!$I$2:$I$501,V16))&gt;0,INDEX('05-أيار'!$F$2:$F$501,V16)=F16),N(I16)/N(INDEX('05-أيار'!$I$2:$I$501,V16))-1,""))</f>
        <v/>
      </c>
      <c r="AC16" t="str">
        <f>IF(L16="","",IF(AND($AO$2=1,ISNA(MATCH(L16,'07-تموز'!$L$2:$L$500,0))),"محذوف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>
        <f t="shared" si="15"/>
        <v>0</v>
      </c>
      <c r="AI16" s="39">
        <f t="shared" si="16"/>
        <v>0</v>
      </c>
      <c r="AJ16" s="39">
        <f t="shared" si="17"/>
        <v>0</v>
      </c>
      <c r="AK16">
        <f t="shared" si="18"/>
        <v>1.6000000000000001E-8</v>
      </c>
      <c r="AL16">
        <f t="shared" si="19"/>
        <v>1.6000000000000001E-8</v>
      </c>
    </row>
    <row r="17" spans="1:38" ht="15">
      <c r="A17" t="s">
        <v>283</v>
      </c>
      <c r="B17">
        <v>0</v>
      </c>
      <c r="C17">
        <v>0</v>
      </c>
      <c r="D17">
        <v>0</v>
      </c>
      <c r="E17">
        <v>0</v>
      </c>
      <c r="F17" t="s">
        <v>268</v>
      </c>
      <c r="G17" t="s">
        <v>178</v>
      </c>
      <c r="H17" t="s">
        <v>176</v>
      </c>
      <c r="I17">
        <v>6</v>
      </c>
      <c r="K17" t="str">
        <f t="shared" si="0"/>
        <v/>
      </c>
      <c r="L17" t="str">
        <f t="shared" si="1"/>
        <v>مانع رغوة سيليكون</v>
      </c>
      <c r="M17" s="36">
        <f t="shared" si="2"/>
        <v>1</v>
      </c>
      <c r="N17" s="37">
        <f t="shared" si="3"/>
        <v>6</v>
      </c>
      <c r="O17" s="37">
        <f t="shared" si="4"/>
        <v>0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IF(L17="","",IF($AO$1=1,IFERROR(MATCH(L17,'05-أيار'!$L$2:$L$501,0),0),0))</f>
        <v>0</v>
      </c>
      <c r="W17" t="str">
        <f t="shared" si="11"/>
        <v/>
      </c>
      <c r="X17" s="38" t="str">
        <f>IF(L17="","",IF(V17&gt;0,INDEX('05-أيار'!$P$2:$P$501,V17),IF($AO$1=1,0,"")))</f>
        <v/>
      </c>
      <c r="Y17" s="38" t="str">
        <f t="shared" si="12"/>
        <v/>
      </c>
      <c r="Z17" s="39" t="str">
        <f>IF(L17="","",IF(V17&gt;0,INDEX('05-أيار'!$Q$2:$Q$501,V17),IF($AO$1=1,0,"")))</f>
        <v/>
      </c>
      <c r="AA17" s="39" t="str">
        <f t="shared" si="13"/>
        <v/>
      </c>
      <c r="AB17" s="40" t="str">
        <f>IF(OR(L17="",V17=0),"",IF(AND(N(I17)&gt;0,N(INDEX('05-أيار'!$I$2:$I$501,V17))&gt;0,INDEX('05-أيار'!$F$2:$F$501,V17)=F17),N(I17)/N(INDEX('05-أيار'!$I$2:$I$501,V17))-1,""))</f>
        <v/>
      </c>
      <c r="AC17" t="str">
        <f>IF(L17="","",IF(AND($AO$2=1,ISNA(MATCH(L17,'07-تموز'!$L$2:$L$500,0))),"محذوف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284</v>
      </c>
      <c r="B18">
        <v>30402</v>
      </c>
      <c r="C18">
        <v>0</v>
      </c>
      <c r="D18">
        <v>0</v>
      </c>
      <c r="E18">
        <v>0</v>
      </c>
      <c r="F18" t="s">
        <v>268</v>
      </c>
      <c r="G18" t="s">
        <v>178</v>
      </c>
      <c r="H18" t="s">
        <v>176</v>
      </c>
      <c r="I18">
        <v>4.0000000000000001E-3</v>
      </c>
      <c r="K18" t="str">
        <f t="shared" si="0"/>
        <v/>
      </c>
      <c r="L18" t="str">
        <f t="shared" si="1"/>
        <v>ماء مقطرة</v>
      </c>
      <c r="M18" s="36">
        <f t="shared" si="2"/>
        <v>1</v>
      </c>
      <c r="N18" s="37">
        <f t="shared" si="3"/>
        <v>4.0000000000000001E-3</v>
      </c>
      <c r="O18" s="37">
        <f t="shared" si="4"/>
        <v>0</v>
      </c>
      <c r="P18" s="38">
        <f t="shared" si="5"/>
        <v>30402</v>
      </c>
      <c r="Q18" s="39">
        <f t="shared" si="6"/>
        <v>121.608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IF(L18="","",IF($AO$1=1,IFERROR(MATCH(L18,'05-أيار'!$L$2:$L$501,0),0),0))</f>
        <v>0</v>
      </c>
      <c r="W18" t="str">
        <f t="shared" si="11"/>
        <v/>
      </c>
      <c r="X18" s="38" t="str">
        <f>IF(L18="","",IF(V18&gt;0,INDEX('05-أيار'!$P$2:$P$501,V18),IF($AO$1=1,0,"")))</f>
        <v/>
      </c>
      <c r="Y18" s="38" t="str">
        <f t="shared" si="12"/>
        <v/>
      </c>
      <c r="Z18" s="39" t="str">
        <f>IF(L18="","",IF(V18&gt;0,INDEX('05-أيار'!$Q$2:$Q$501,V18),IF($AO$1=1,0,"")))</f>
        <v/>
      </c>
      <c r="AA18" s="39" t="str">
        <f t="shared" si="13"/>
        <v/>
      </c>
      <c r="AB18" s="40" t="str">
        <f>IF(OR(L18="",V18=0),"",IF(AND(N(I18)&gt;0,N(INDEX('05-أيار'!$I$2:$I$501,V18))&gt;0,INDEX('05-أيار'!$F$2:$F$501,V18)=F18),N(I18)/N(INDEX('05-أيار'!$I$2:$I$501,V18))-1,""))</f>
        <v/>
      </c>
      <c r="AC18" t="str">
        <f>IF(L18="","",IF(AND($AO$2=1,ISNA(MATCH(L18,'07-تموز'!$L$2:$L$500,0))),"محذوف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121.608000018</v>
      </c>
      <c r="AL18">
        <f t="shared" si="19"/>
        <v>1.7999999999999999E-8</v>
      </c>
    </row>
    <row r="19" spans="1:38" ht="15">
      <c r="A19" t="s">
        <v>285</v>
      </c>
      <c r="B19">
        <v>625</v>
      </c>
      <c r="C19">
        <v>0</v>
      </c>
      <c r="D19">
        <v>0</v>
      </c>
      <c r="E19">
        <v>0</v>
      </c>
      <c r="F19" t="s">
        <v>268</v>
      </c>
      <c r="G19" t="s">
        <v>178</v>
      </c>
      <c r="H19" t="s">
        <v>177</v>
      </c>
      <c r="I19">
        <v>2.4E-2</v>
      </c>
      <c r="K19" t="str">
        <f t="shared" si="0"/>
        <v/>
      </c>
      <c r="L19" t="str">
        <f t="shared" si="1"/>
        <v>ماء مالح خام</v>
      </c>
      <c r="M19" s="36">
        <f t="shared" si="2"/>
        <v>1</v>
      </c>
      <c r="N19" s="37">
        <f t="shared" si="3"/>
        <v>2.4E-2</v>
      </c>
      <c r="O19" s="37">
        <f t="shared" si="4"/>
        <v>0</v>
      </c>
      <c r="P19" s="38">
        <f t="shared" si="5"/>
        <v>625</v>
      </c>
      <c r="Q19" s="39">
        <f t="shared" si="6"/>
        <v>15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IF(L19="","",IF($AO$1=1,IFERROR(MATCH(L19,'05-أيار'!$L$2:$L$501,0),0),0))</f>
        <v>0</v>
      </c>
      <c r="W19" t="str">
        <f t="shared" si="11"/>
        <v/>
      </c>
      <c r="X19" s="38" t="str">
        <f>IF(L19="","",IF(V19&gt;0,INDEX('05-أيار'!$P$2:$P$501,V19),IF($AO$1=1,0,"")))</f>
        <v/>
      </c>
      <c r="Y19" s="38" t="str">
        <f t="shared" si="12"/>
        <v/>
      </c>
      <c r="Z19" s="39" t="str">
        <f>IF(L19="","",IF(V19&gt;0,INDEX('05-أيار'!$Q$2:$Q$501,V19),IF($AO$1=1,0,"")))</f>
        <v/>
      </c>
      <c r="AA19" s="39" t="str">
        <f t="shared" si="13"/>
        <v/>
      </c>
      <c r="AB19" s="40" t="str">
        <f>IF(OR(L19="",V19=0),"",IF(AND(N(I19)&gt;0,N(INDEX('05-أيار'!$I$2:$I$501,V19))&gt;0,INDEX('05-أيار'!$F$2:$F$501,V19)=F19),N(I19)/N(INDEX('05-أيار'!$I$2:$I$501,V19))-1,""))</f>
        <v/>
      </c>
      <c r="AC19" t="str">
        <f>IF(L19="","",IF(AND($AO$2=1,ISNA(MATCH(L19,'07-تموز'!$L$2:$L$500,0))),"محذوف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15.000000019</v>
      </c>
      <c r="AL19">
        <f t="shared" si="19"/>
        <v>1.9000000000000001E-8</v>
      </c>
    </row>
    <row r="20" spans="1:38" ht="15">
      <c r="A20" t="s">
        <v>286</v>
      </c>
      <c r="B20">
        <v>3</v>
      </c>
      <c r="C20">
        <v>0</v>
      </c>
      <c r="D20">
        <v>0</v>
      </c>
      <c r="E20">
        <v>0</v>
      </c>
      <c r="F20" t="s">
        <v>268</v>
      </c>
      <c r="G20" t="s">
        <v>178</v>
      </c>
      <c r="H20" t="s">
        <v>176</v>
      </c>
      <c r="I20">
        <v>3</v>
      </c>
      <c r="K20" t="str">
        <f t="shared" si="0"/>
        <v/>
      </c>
      <c r="L20" t="str">
        <f t="shared" si="1"/>
        <v>ماء بلسم</v>
      </c>
      <c r="M20" s="36">
        <f t="shared" si="2"/>
        <v>1</v>
      </c>
      <c r="N20" s="37">
        <f t="shared" si="3"/>
        <v>3</v>
      </c>
      <c r="O20" s="37">
        <f t="shared" si="4"/>
        <v>0</v>
      </c>
      <c r="P20" s="38">
        <f t="shared" si="5"/>
        <v>3</v>
      </c>
      <c r="Q20" s="39">
        <f t="shared" si="6"/>
        <v>9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IF(L20="","",IF($AO$1=1,IFERROR(MATCH(L20,'05-أيار'!$L$2:$L$501,0),0),0))</f>
        <v>0</v>
      </c>
      <c r="W20" t="str">
        <f t="shared" si="11"/>
        <v/>
      </c>
      <c r="X20" s="38" t="str">
        <f>IF(L20="","",IF(V20&gt;0,INDEX('05-أيار'!$P$2:$P$501,V20),IF($AO$1=1,0,"")))</f>
        <v/>
      </c>
      <c r="Y20" s="38" t="str">
        <f t="shared" si="12"/>
        <v/>
      </c>
      <c r="Z20" s="39" t="str">
        <f>IF(L20="","",IF(V20&gt;0,INDEX('05-أيار'!$Q$2:$Q$501,V20),IF($AO$1=1,0,"")))</f>
        <v/>
      </c>
      <c r="AA20" s="39" t="str">
        <f t="shared" si="13"/>
        <v/>
      </c>
      <c r="AB20" s="40" t="str">
        <f>IF(OR(L20="",V20=0),"",IF(AND(N(I20)&gt;0,N(INDEX('05-أيار'!$I$2:$I$501,V20))&gt;0,INDEX('05-أيار'!$F$2:$F$501,V20)=F20),N(I20)/N(INDEX('05-أيار'!$I$2:$I$501,V20))-1,""))</f>
        <v/>
      </c>
      <c r="AC20" t="str">
        <f>IF(L20="","",IF(AND($AO$2=1,ISNA(MATCH(L20,'07-تموز'!$L$2:$L$500,0))),"محذوف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9.0000000199999999</v>
      </c>
      <c r="AL20">
        <f t="shared" si="19"/>
        <v>2E-8</v>
      </c>
    </row>
    <row r="21" spans="1:38" ht="15">
      <c r="A21" t="s">
        <v>287</v>
      </c>
      <c r="B21">
        <v>0</v>
      </c>
      <c r="C21">
        <v>0</v>
      </c>
      <c r="D21">
        <v>0</v>
      </c>
      <c r="E21">
        <v>0</v>
      </c>
      <c r="F21" t="s">
        <v>268</v>
      </c>
      <c r="G21" t="s">
        <v>178</v>
      </c>
      <c r="H21" t="s">
        <v>176</v>
      </c>
      <c r="I21">
        <v>3.5</v>
      </c>
      <c r="K21" t="str">
        <f t="shared" si="0"/>
        <v/>
      </c>
      <c r="L21" t="str">
        <f t="shared" si="1"/>
        <v>لانيت 16 ماليزي</v>
      </c>
      <c r="M21" s="36">
        <f t="shared" si="2"/>
        <v>1</v>
      </c>
      <c r="N21" s="37">
        <f t="shared" si="3"/>
        <v>3.5</v>
      </c>
      <c r="O21" s="37">
        <f t="shared" si="4"/>
        <v>0</v>
      </c>
      <c r="P21" s="38">
        <f t="shared" si="5"/>
        <v>0</v>
      </c>
      <c r="Q21" s="39">
        <f t="shared" si="6"/>
        <v>0</v>
      </c>
      <c r="R21" s="39">
        <f t="shared" si="7"/>
        <v>0</v>
      </c>
      <c r="S21">
        <f t="shared" si="8"/>
        <v>0</v>
      </c>
      <c r="T21" s="39">
        <f t="shared" si="9"/>
        <v>0</v>
      </c>
      <c r="U21" t="str">
        <f t="shared" si="10"/>
        <v/>
      </c>
      <c r="V21">
        <f>IF(L21="","",IF($AO$1=1,IFERROR(MATCH(L21,'05-أيار'!$L$2:$L$501,0),0),0))</f>
        <v>0</v>
      </c>
      <c r="W21" t="str">
        <f t="shared" si="11"/>
        <v/>
      </c>
      <c r="X21" s="38" t="str">
        <f>IF(L21="","",IF(V21&gt;0,INDEX('05-أيار'!$P$2:$P$501,V21),IF($AO$1=1,0,"")))</f>
        <v/>
      </c>
      <c r="Y21" s="38" t="str">
        <f t="shared" si="12"/>
        <v/>
      </c>
      <c r="Z21" s="39" t="str">
        <f>IF(L21="","",IF(V21&gt;0,INDEX('05-أيار'!$Q$2:$Q$501,V21),IF($AO$1=1,0,"")))</f>
        <v/>
      </c>
      <c r="AA21" s="39" t="str">
        <f t="shared" si="13"/>
        <v/>
      </c>
      <c r="AB21" s="40" t="str">
        <f>IF(OR(L21="",V21=0),"",IF(AND(N(I21)&gt;0,N(INDEX('05-أيار'!$I$2:$I$501,V21))&gt;0,INDEX('05-أيار'!$F$2:$F$501,V21)=F21),N(I21)/N(INDEX('05-أيار'!$I$2:$I$501,V21))-1,""))</f>
        <v/>
      </c>
      <c r="AC21" t="str">
        <f>IF(L21="","",IF(AND($AO$2=1,ISNA(MATCH(L21,'07-تموز'!$L$2:$L$500,0))),"محذوف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>
        <f t="shared" si="15"/>
        <v>0</v>
      </c>
      <c r="AI21" s="39">
        <f t="shared" si="16"/>
        <v>0</v>
      </c>
      <c r="AJ21" s="39">
        <f t="shared" si="17"/>
        <v>0</v>
      </c>
      <c r="AK21">
        <f t="shared" si="18"/>
        <v>2.0999999999999999E-8</v>
      </c>
      <c r="AL21">
        <f t="shared" si="19"/>
        <v>2.0999999999999999E-8</v>
      </c>
    </row>
    <row r="22" spans="1:38" ht="15">
      <c r="A22" t="s">
        <v>288</v>
      </c>
      <c r="B22">
        <v>28.03</v>
      </c>
      <c r="C22">
        <v>0</v>
      </c>
      <c r="D22">
        <v>0</v>
      </c>
      <c r="E22">
        <v>0</v>
      </c>
      <c r="F22" t="s">
        <v>268</v>
      </c>
      <c r="G22" t="s">
        <v>178</v>
      </c>
      <c r="H22" t="s">
        <v>176</v>
      </c>
      <c r="I22">
        <v>18.75</v>
      </c>
      <c r="K22" t="str">
        <f t="shared" si="0"/>
        <v/>
      </c>
      <c r="L22" t="str">
        <f t="shared" si="1"/>
        <v>كوستيك-قطرونة</v>
      </c>
      <c r="M22" s="36">
        <f t="shared" si="2"/>
        <v>1</v>
      </c>
      <c r="N22" s="37">
        <f t="shared" si="3"/>
        <v>18.75</v>
      </c>
      <c r="O22" s="37">
        <f t="shared" si="4"/>
        <v>0</v>
      </c>
      <c r="P22" s="38">
        <f t="shared" si="5"/>
        <v>28.03</v>
      </c>
      <c r="Q22" s="39">
        <f t="shared" si="6"/>
        <v>525.5625</v>
      </c>
      <c r="R22" s="39">
        <f t="shared" si="7"/>
        <v>0</v>
      </c>
      <c r="S22">
        <f t="shared" si="8"/>
        <v>0</v>
      </c>
      <c r="T22" s="39">
        <f t="shared" si="9"/>
        <v>0</v>
      </c>
      <c r="U22" t="str">
        <f t="shared" si="10"/>
        <v/>
      </c>
      <c r="V22">
        <f>IF(L22="","",IF($AO$1=1,IFERROR(MATCH(L22,'05-أيار'!$L$2:$L$501,0),0),0))</f>
        <v>0</v>
      </c>
      <c r="W22" t="str">
        <f t="shared" si="11"/>
        <v/>
      </c>
      <c r="X22" s="38" t="str">
        <f>IF(L22="","",IF(V22&gt;0,INDEX('05-أيار'!$P$2:$P$501,V22),IF($AO$1=1,0,"")))</f>
        <v/>
      </c>
      <c r="Y22" s="38" t="str">
        <f t="shared" si="12"/>
        <v/>
      </c>
      <c r="Z22" s="39" t="str">
        <f>IF(L22="","",IF(V22&gt;0,INDEX('05-أيار'!$Q$2:$Q$501,V22),IF($AO$1=1,0,"")))</f>
        <v/>
      </c>
      <c r="AA22" s="39" t="str">
        <f t="shared" si="13"/>
        <v/>
      </c>
      <c r="AB22" s="40" t="str">
        <f>IF(OR(L22="",V22=0),"",IF(AND(N(I22)&gt;0,N(INDEX('05-أيار'!$I$2:$I$501,V22))&gt;0,INDEX('05-أيار'!$F$2:$F$501,V22)=F22),N(I22)/N(INDEX('05-أيار'!$I$2:$I$501,V22))-1,""))</f>
        <v/>
      </c>
      <c r="AC22" t="str">
        <f>IF(L22="","",IF(AND($AO$2=1,ISNA(MATCH(L22,'07-تموز'!$L$2:$L$500,0))),"محذوف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>
        <f t="shared" si="15"/>
        <v>0</v>
      </c>
      <c r="AI22" s="39">
        <f t="shared" si="16"/>
        <v>0</v>
      </c>
      <c r="AJ22" s="39">
        <f t="shared" si="17"/>
        <v>0</v>
      </c>
      <c r="AK22">
        <f t="shared" si="18"/>
        <v>525.56250002199999</v>
      </c>
      <c r="AL22">
        <f t="shared" si="19"/>
        <v>2.1999999999999998E-8</v>
      </c>
    </row>
    <row r="23" spans="1:38" ht="15">
      <c r="A23" t="s">
        <v>289</v>
      </c>
      <c r="B23">
        <v>0</v>
      </c>
      <c r="C23">
        <v>0</v>
      </c>
      <c r="D23">
        <v>0</v>
      </c>
      <c r="E23">
        <v>0</v>
      </c>
      <c r="F23" t="s">
        <v>268</v>
      </c>
      <c r="G23" t="s">
        <v>178</v>
      </c>
      <c r="H23" t="s">
        <v>176</v>
      </c>
      <c r="I23">
        <v>2.25</v>
      </c>
      <c r="K23" t="str">
        <f t="shared" si="0"/>
        <v/>
      </c>
      <c r="L23" t="str">
        <f t="shared" si="1"/>
        <v>كمبرلان</v>
      </c>
      <c r="M23" s="36">
        <f t="shared" si="2"/>
        <v>1</v>
      </c>
      <c r="N23" s="37">
        <f t="shared" si="3"/>
        <v>2.25</v>
      </c>
      <c r="O23" s="37">
        <f t="shared" si="4"/>
        <v>0</v>
      </c>
      <c r="P23" s="38">
        <f t="shared" si="5"/>
        <v>0</v>
      </c>
      <c r="Q23" s="39">
        <f t="shared" si="6"/>
        <v>0</v>
      </c>
      <c r="R23" s="39">
        <f t="shared" si="7"/>
        <v>0</v>
      </c>
      <c r="S23">
        <f t="shared" si="8"/>
        <v>0</v>
      </c>
      <c r="T23" s="39">
        <f t="shared" si="9"/>
        <v>0</v>
      </c>
      <c r="U23" t="str">
        <f t="shared" si="10"/>
        <v/>
      </c>
      <c r="V23">
        <f>IF(L23="","",IF($AO$1=1,IFERROR(MATCH(L23,'05-أيار'!$L$2:$L$501,0),0),0))</f>
        <v>0</v>
      </c>
      <c r="W23" t="str">
        <f t="shared" si="11"/>
        <v/>
      </c>
      <c r="X23" s="38" t="str">
        <f>IF(L23="","",IF(V23&gt;0,INDEX('05-أيار'!$P$2:$P$501,V23),IF($AO$1=1,0,"")))</f>
        <v/>
      </c>
      <c r="Y23" s="38" t="str">
        <f t="shared" si="12"/>
        <v/>
      </c>
      <c r="Z23" s="39" t="str">
        <f>IF(L23="","",IF(V23&gt;0,INDEX('05-أيار'!$Q$2:$Q$501,V23),IF($AO$1=1,0,"")))</f>
        <v/>
      </c>
      <c r="AA23" s="39" t="str">
        <f t="shared" si="13"/>
        <v/>
      </c>
      <c r="AB23" s="40" t="str">
        <f>IF(OR(L23="",V23=0),"",IF(AND(N(I23)&gt;0,N(INDEX('05-أيار'!$I$2:$I$501,V23))&gt;0,INDEX('05-أيار'!$F$2:$F$501,V23)=F23),N(I23)/N(INDEX('05-أيار'!$I$2:$I$501,V23))-1,""))</f>
        <v/>
      </c>
      <c r="AC23" t="str">
        <f>IF(L23="","",IF(AND($AO$2=1,ISNA(MATCH(L23,'07-تموز'!$L$2:$L$500,0))),"محذوف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>
        <f t="shared" si="15"/>
        <v>0</v>
      </c>
      <c r="AI23" s="39">
        <f t="shared" si="16"/>
        <v>0</v>
      </c>
      <c r="AJ23" s="39">
        <f t="shared" si="17"/>
        <v>0</v>
      </c>
      <c r="AK23">
        <f t="shared" si="18"/>
        <v>2.3000000000000001E-8</v>
      </c>
      <c r="AL23">
        <f t="shared" si="19"/>
        <v>2.3000000000000001E-8</v>
      </c>
    </row>
    <row r="24" spans="1:38" ht="15">
      <c r="A24" t="s">
        <v>290</v>
      </c>
      <c r="B24">
        <v>0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176</v>
      </c>
      <c r="I24">
        <v>17.8</v>
      </c>
      <c r="K24" t="str">
        <f t="shared" si="0"/>
        <v/>
      </c>
      <c r="L24" t="str">
        <f t="shared" si="1"/>
        <v>كليمازول</v>
      </c>
      <c r="M24" s="36">
        <f t="shared" si="2"/>
        <v>1</v>
      </c>
      <c r="N24" s="37">
        <f t="shared" si="3"/>
        <v>17.8</v>
      </c>
      <c r="O24" s="37">
        <f t="shared" si="4"/>
        <v>0</v>
      </c>
      <c r="P24" s="38">
        <f t="shared" si="5"/>
        <v>0</v>
      </c>
      <c r="Q24" s="39">
        <f t="shared" si="6"/>
        <v>0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IF(L24="","",IF($AO$1=1,IFERROR(MATCH(L24,'05-أيار'!$L$2:$L$501,0),0),0))</f>
        <v>0</v>
      </c>
      <c r="W24" t="str">
        <f t="shared" si="11"/>
        <v/>
      </c>
      <c r="X24" s="38" t="str">
        <f>IF(L24="","",IF(V24&gt;0,INDEX('05-أيار'!$P$2:$P$501,V24),IF($AO$1=1,0,"")))</f>
        <v/>
      </c>
      <c r="Y24" s="38" t="str">
        <f t="shared" si="12"/>
        <v/>
      </c>
      <c r="Z24" s="39" t="str">
        <f>IF(L24="","",IF(V24&gt;0,INDEX('05-أيار'!$Q$2:$Q$501,V24),IF($AO$1=1,0,"")))</f>
        <v/>
      </c>
      <c r="AA24" s="39" t="str">
        <f t="shared" si="13"/>
        <v/>
      </c>
      <c r="AB24" s="40" t="str">
        <f>IF(OR(L24="",V24=0),"",IF(AND(N(I24)&gt;0,N(INDEX('05-أيار'!$I$2:$I$501,V24))&gt;0,INDEX('05-أيار'!$F$2:$F$501,V24)=F24),N(I24)/N(INDEX('05-أيار'!$I$2:$I$501,V24))-1,""))</f>
        <v/>
      </c>
      <c r="AC24" t="str">
        <f>IF(L24="","",IF(AND($AO$2=1,ISNA(MATCH(L24,'07-تموز'!$L$2:$L$500,0))),"محذوف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2.4E-8</v>
      </c>
      <c r="AL24">
        <f t="shared" si="19"/>
        <v>2.4E-8</v>
      </c>
    </row>
    <row r="25" spans="1:38" ht="15">
      <c r="A25" t="s">
        <v>291</v>
      </c>
      <c r="B25">
        <v>272</v>
      </c>
      <c r="C25">
        <v>0.35</v>
      </c>
      <c r="D25">
        <v>0.35</v>
      </c>
      <c r="E25">
        <v>0.35</v>
      </c>
      <c r="F25" t="s">
        <v>268</v>
      </c>
      <c r="G25" t="s">
        <v>178</v>
      </c>
      <c r="H25" t="s">
        <v>176</v>
      </c>
      <c r="I25">
        <v>0.21</v>
      </c>
      <c r="K25" t="str">
        <f t="shared" si="0"/>
        <v/>
      </c>
      <c r="L25" t="str">
        <f t="shared" si="1"/>
        <v>كلور خام</v>
      </c>
      <c r="M25" s="36">
        <f t="shared" si="2"/>
        <v>1</v>
      </c>
      <c r="N25" s="37">
        <f t="shared" si="3"/>
        <v>0.21</v>
      </c>
      <c r="O25" s="37">
        <f t="shared" si="4"/>
        <v>0.35</v>
      </c>
      <c r="P25" s="38">
        <f t="shared" si="5"/>
        <v>272</v>
      </c>
      <c r="Q25" s="39">
        <f t="shared" si="6"/>
        <v>57.12</v>
      </c>
      <c r="R25" s="39">
        <f t="shared" si="7"/>
        <v>95.199999999999989</v>
      </c>
      <c r="S25">
        <f t="shared" si="8"/>
        <v>1</v>
      </c>
      <c r="T25" s="39">
        <f t="shared" si="9"/>
        <v>38.079999999999991</v>
      </c>
      <c r="U25" t="str">
        <f t="shared" si="10"/>
        <v/>
      </c>
      <c r="V25">
        <f>IF(L25="","",IF($AO$1=1,IFERROR(MATCH(L25,'05-أيار'!$L$2:$L$501,0),0),0))</f>
        <v>0</v>
      </c>
      <c r="W25" t="str">
        <f t="shared" si="11"/>
        <v/>
      </c>
      <c r="X25" s="38" t="str">
        <f>IF(L25="","",IF(V25&gt;0,INDEX('05-أيار'!$P$2:$P$501,V25),IF($AO$1=1,0,"")))</f>
        <v/>
      </c>
      <c r="Y25" s="38" t="str">
        <f t="shared" si="12"/>
        <v/>
      </c>
      <c r="Z25" s="39" t="str">
        <f>IF(L25="","",IF(V25&gt;0,INDEX('05-أيار'!$Q$2:$Q$501,V25),IF($AO$1=1,0,"")))</f>
        <v/>
      </c>
      <c r="AA25" s="39" t="str">
        <f t="shared" si="13"/>
        <v/>
      </c>
      <c r="AB25" s="40" t="str">
        <f>IF(OR(L25="",V25=0),"",IF(AND(N(I25)&gt;0,N(INDEX('05-أيار'!$I$2:$I$501,V25))&gt;0,INDEX('05-أيار'!$F$2:$F$501,V25)=F25),N(I25)/N(INDEX('05-أيار'!$I$2:$I$501,V25))-1,""))</f>
        <v/>
      </c>
      <c r="AC25" t="str">
        <f>IF(L25="","",IF(AND($AO$2=1,ISNA(MATCH(L25,'07-تموز'!$L$2:$L$500,0))),"محذوف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>
        <f t="shared" si="15"/>
        <v>38.08</v>
      </c>
      <c r="AI25" s="39">
        <f t="shared" si="16"/>
        <v>38.08</v>
      </c>
      <c r="AJ25" s="39">
        <f t="shared" si="17"/>
        <v>38.08</v>
      </c>
      <c r="AK25">
        <f t="shared" si="18"/>
        <v>57.120000024999996</v>
      </c>
      <c r="AL25">
        <f t="shared" si="19"/>
        <v>38.08000002499999</v>
      </c>
    </row>
    <row r="26" spans="1:38" ht="15">
      <c r="A26" t="s">
        <v>292</v>
      </c>
      <c r="B26">
        <v>25</v>
      </c>
      <c r="C26">
        <v>0</v>
      </c>
      <c r="D26">
        <v>0</v>
      </c>
      <c r="E26">
        <v>0</v>
      </c>
      <c r="F26" t="s">
        <v>268</v>
      </c>
      <c r="G26" t="s">
        <v>178</v>
      </c>
      <c r="H26" t="s">
        <v>176</v>
      </c>
      <c r="I26">
        <v>1.8</v>
      </c>
      <c r="K26" t="str">
        <f t="shared" si="0"/>
        <v/>
      </c>
      <c r="L26" t="str">
        <f t="shared" si="1"/>
        <v>كحول (ايثانول)</v>
      </c>
      <c r="M26" s="36">
        <f t="shared" si="2"/>
        <v>1</v>
      </c>
      <c r="N26" s="37">
        <f t="shared" si="3"/>
        <v>1.8</v>
      </c>
      <c r="O26" s="37">
        <f t="shared" si="4"/>
        <v>0</v>
      </c>
      <c r="P26" s="38">
        <f t="shared" si="5"/>
        <v>25</v>
      </c>
      <c r="Q26" s="39">
        <f t="shared" si="6"/>
        <v>45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IF(L26="","",IF($AO$1=1,IFERROR(MATCH(L26,'05-أيار'!$L$2:$L$501,0),0),0))</f>
        <v>0</v>
      </c>
      <c r="W26" t="str">
        <f t="shared" si="11"/>
        <v/>
      </c>
      <c r="X26" s="38" t="str">
        <f>IF(L26="","",IF(V26&gt;0,INDEX('05-أيار'!$P$2:$P$501,V26),IF($AO$1=1,0,"")))</f>
        <v/>
      </c>
      <c r="Y26" s="38" t="str">
        <f t="shared" si="12"/>
        <v/>
      </c>
      <c r="Z26" s="39" t="str">
        <f>IF(L26="","",IF(V26&gt;0,INDEX('05-أيار'!$Q$2:$Q$501,V26),IF($AO$1=1,0,"")))</f>
        <v/>
      </c>
      <c r="AA26" s="39" t="str">
        <f t="shared" si="13"/>
        <v/>
      </c>
      <c r="AB26" s="40" t="str">
        <f>IF(OR(L26="",V26=0),"",IF(AND(N(I26)&gt;0,N(INDEX('05-أيار'!$I$2:$I$501,V26))&gt;0,INDEX('05-أيار'!$F$2:$F$501,V26)=F26),N(I26)/N(INDEX('05-أيار'!$I$2:$I$501,V26))-1,""))</f>
        <v/>
      </c>
      <c r="AC26" t="str">
        <f>IF(L26="","",IF(AND($AO$2=1,ISNA(MATCH(L26,'07-تموز'!$L$2:$L$500,0))),"محذوف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45.000000026000002</v>
      </c>
      <c r="AL26">
        <f t="shared" si="19"/>
        <v>2.6000000000000001E-8</v>
      </c>
    </row>
    <row r="27" spans="1:38" ht="15">
      <c r="A27" t="s">
        <v>293</v>
      </c>
      <c r="B27">
        <v>0</v>
      </c>
      <c r="C27">
        <v>0</v>
      </c>
      <c r="D27">
        <v>0</v>
      </c>
      <c r="E27">
        <v>0</v>
      </c>
      <c r="F27" t="s">
        <v>268</v>
      </c>
      <c r="G27" t="s">
        <v>178</v>
      </c>
      <c r="H27" t="s">
        <v>177</v>
      </c>
      <c r="I27">
        <v>25.4</v>
      </c>
      <c r="K27" t="str">
        <f t="shared" si="0"/>
        <v/>
      </c>
      <c r="L27" t="str">
        <f t="shared" si="1"/>
        <v>قاشط سيارات خام</v>
      </c>
      <c r="M27" s="36">
        <f t="shared" si="2"/>
        <v>1</v>
      </c>
      <c r="N27" s="37">
        <f t="shared" si="3"/>
        <v>25.4</v>
      </c>
      <c r="O27" s="37">
        <f t="shared" si="4"/>
        <v>0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IF(L27="","",IF($AO$1=1,IFERROR(MATCH(L27,'05-أيار'!$L$2:$L$501,0),0),0))</f>
        <v>0</v>
      </c>
      <c r="W27" t="str">
        <f t="shared" si="11"/>
        <v/>
      </c>
      <c r="X27" s="38" t="str">
        <f>IF(L27="","",IF(V27&gt;0,INDEX('05-أيار'!$P$2:$P$501,V27),IF($AO$1=1,0,"")))</f>
        <v/>
      </c>
      <c r="Y27" s="38" t="str">
        <f t="shared" si="12"/>
        <v/>
      </c>
      <c r="Z27" s="39" t="str">
        <f>IF(L27="","",IF(V27&gt;0,INDEX('05-أيار'!$Q$2:$Q$501,V27),IF($AO$1=1,0,"")))</f>
        <v/>
      </c>
      <c r="AA27" s="39" t="str">
        <f t="shared" si="13"/>
        <v/>
      </c>
      <c r="AB27" s="40" t="str">
        <f>IF(OR(L27="",V27=0),"",IF(AND(N(I27)&gt;0,N(INDEX('05-أيار'!$I$2:$I$501,V27))&gt;0,INDEX('05-أيار'!$F$2:$F$501,V27)=F27),N(I27)/N(INDEX('05-أيار'!$I$2:$I$501,V27))-1,""))</f>
        <v/>
      </c>
      <c r="AC27" t="str">
        <f>IF(L27="","",IF(AND($AO$2=1,ISNA(MATCH(L27,'07-تموز'!$L$2:$L$500,0))),"محذوف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294</v>
      </c>
      <c r="B28">
        <v>0</v>
      </c>
      <c r="C28">
        <v>0</v>
      </c>
      <c r="D28">
        <v>0</v>
      </c>
      <c r="E28">
        <v>0</v>
      </c>
      <c r="F28" t="s">
        <v>268</v>
      </c>
      <c r="G28" t="s">
        <v>178</v>
      </c>
      <c r="H28" t="s">
        <v>177</v>
      </c>
      <c r="I28">
        <v>414</v>
      </c>
      <c r="K28" t="str">
        <f t="shared" si="0"/>
        <v/>
      </c>
      <c r="L28" t="str">
        <f t="shared" si="1"/>
        <v>قاشط خام</v>
      </c>
      <c r="M28" s="36">
        <f t="shared" si="2"/>
        <v>1</v>
      </c>
      <c r="N28" s="37">
        <f t="shared" si="3"/>
        <v>414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IF(L28="","",IF($AO$1=1,IFERROR(MATCH(L28,'05-أيار'!$L$2:$L$501,0),0),0))</f>
        <v>0</v>
      </c>
      <c r="W28" t="str">
        <f t="shared" si="11"/>
        <v/>
      </c>
      <c r="X28" s="38" t="str">
        <f>IF(L28="","",IF(V28&gt;0,INDEX('05-أيار'!$P$2:$P$501,V28),IF($AO$1=1,0,"")))</f>
        <v/>
      </c>
      <c r="Y28" s="38" t="str">
        <f t="shared" si="12"/>
        <v/>
      </c>
      <c r="Z28" s="39" t="str">
        <f>IF(L28="","",IF(V28&gt;0,INDEX('05-أيار'!$Q$2:$Q$501,V28),IF($AO$1=1,0,"")))</f>
        <v/>
      </c>
      <c r="AA28" s="39" t="str">
        <f t="shared" si="13"/>
        <v/>
      </c>
      <c r="AB28" s="40" t="str">
        <f>IF(OR(L28="",V28=0),"",IF(AND(N(I28)&gt;0,N(INDEX('05-أيار'!$I$2:$I$501,V28))&gt;0,INDEX('05-أيار'!$F$2:$F$501,V28)=F28),N(I28)/N(INDEX('05-أيار'!$I$2:$I$501,V28))-1,""))</f>
        <v/>
      </c>
      <c r="AC28" t="str">
        <f>IF(L28="","",IF(AND($AO$2=1,ISNA(MATCH(L28,'07-تموز'!$L$2:$L$500,0))),"محذوف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295</v>
      </c>
      <c r="B29">
        <v>1.73</v>
      </c>
      <c r="C29">
        <v>0</v>
      </c>
      <c r="D29">
        <v>0</v>
      </c>
      <c r="E29">
        <v>0</v>
      </c>
      <c r="F29" t="s">
        <v>268</v>
      </c>
      <c r="G29" t="s">
        <v>178</v>
      </c>
      <c r="H29" t="s">
        <v>176</v>
      </c>
      <c r="I29">
        <v>28.8</v>
      </c>
      <c r="K29" t="str">
        <f t="shared" si="0"/>
        <v/>
      </c>
      <c r="L29" t="str">
        <f t="shared" si="1"/>
        <v>فورمول ( سم )</v>
      </c>
      <c r="M29" s="36">
        <f t="shared" si="2"/>
        <v>1</v>
      </c>
      <c r="N29" s="37">
        <f t="shared" si="3"/>
        <v>28.8</v>
      </c>
      <c r="O29" s="37">
        <f t="shared" si="4"/>
        <v>0</v>
      </c>
      <c r="P29" s="38">
        <f t="shared" si="5"/>
        <v>1.73</v>
      </c>
      <c r="Q29" s="39">
        <f t="shared" si="6"/>
        <v>49.823999999999998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IF(L29="","",IF($AO$1=1,IFERROR(MATCH(L29,'05-أيار'!$L$2:$L$501,0),0),0))</f>
        <v>0</v>
      </c>
      <c r="W29" t="str">
        <f t="shared" si="11"/>
        <v/>
      </c>
      <c r="X29" s="38" t="str">
        <f>IF(L29="","",IF(V29&gt;0,INDEX('05-أيار'!$P$2:$P$501,V29),IF($AO$1=1,0,"")))</f>
        <v/>
      </c>
      <c r="Y29" s="38" t="str">
        <f t="shared" si="12"/>
        <v/>
      </c>
      <c r="Z29" s="39" t="str">
        <f>IF(L29="","",IF(V29&gt;0,INDEX('05-أيار'!$Q$2:$Q$501,V29),IF($AO$1=1,0,"")))</f>
        <v/>
      </c>
      <c r="AA29" s="39" t="str">
        <f t="shared" si="13"/>
        <v/>
      </c>
      <c r="AB29" s="40" t="str">
        <f>IF(OR(L29="",V29=0),"",IF(AND(N(I29)&gt;0,N(INDEX('05-أيار'!$I$2:$I$501,V29))&gt;0,INDEX('05-أيار'!$F$2:$F$501,V29)=F29),N(I29)/N(INDEX('05-أيار'!$I$2:$I$501,V29))-1,""))</f>
        <v/>
      </c>
      <c r="AC29" t="str">
        <f>IF(L29="","",IF(AND($AO$2=1,ISNA(MATCH(L29,'07-تموز'!$L$2:$L$500,0))),"محذوف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49.824000028999997</v>
      </c>
      <c r="AL29">
        <f t="shared" si="19"/>
        <v>2.9000000000000002E-8</v>
      </c>
    </row>
    <row r="30" spans="1:38" ht="15">
      <c r="A30" t="s">
        <v>296</v>
      </c>
      <c r="B30">
        <v>251.4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176</v>
      </c>
      <c r="I30">
        <v>3</v>
      </c>
      <c r="K30" t="str">
        <f t="shared" si="0"/>
        <v/>
      </c>
      <c r="L30" t="str">
        <f t="shared" si="1"/>
        <v>فاتي كحول</v>
      </c>
      <c r="M30" s="36">
        <f t="shared" si="2"/>
        <v>1</v>
      </c>
      <c r="N30" s="37">
        <f t="shared" si="3"/>
        <v>3</v>
      </c>
      <c r="O30" s="37">
        <f t="shared" si="4"/>
        <v>0</v>
      </c>
      <c r="P30" s="38">
        <f t="shared" si="5"/>
        <v>251.4</v>
      </c>
      <c r="Q30" s="39">
        <f t="shared" si="6"/>
        <v>754.2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IF(L30="","",IF($AO$1=1,IFERROR(MATCH(L30,'05-أيار'!$L$2:$L$501,0),0),0))</f>
        <v>0</v>
      </c>
      <c r="W30" t="str">
        <f t="shared" si="11"/>
        <v/>
      </c>
      <c r="X30" s="38" t="str">
        <f>IF(L30="","",IF(V30&gt;0,INDEX('05-أيار'!$P$2:$P$501,V30),IF($AO$1=1,0,"")))</f>
        <v/>
      </c>
      <c r="Y30" s="38" t="str">
        <f t="shared" si="12"/>
        <v/>
      </c>
      <c r="Z30" s="39" t="str">
        <f>IF(L30="","",IF(V30&gt;0,INDEX('05-أيار'!$Q$2:$Q$501,V30),IF($AO$1=1,0,"")))</f>
        <v/>
      </c>
      <c r="AA30" s="39" t="str">
        <f t="shared" si="13"/>
        <v/>
      </c>
      <c r="AB30" s="40" t="str">
        <f>IF(OR(L30="",V30=0),"",IF(AND(N(I30)&gt;0,N(INDEX('05-أيار'!$I$2:$I$501,V30))&gt;0,INDEX('05-أيار'!$F$2:$F$501,V30)=F30),N(I30)/N(INDEX('05-أيار'!$I$2:$I$501,V30))-1,""))</f>
        <v/>
      </c>
      <c r="AC30" t="str">
        <f>IF(L30="","",IF(AND($AO$2=1,ISNA(MATCH(L30,'07-تموز'!$L$2:$L$500,0))),"محذوف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754.20000003000007</v>
      </c>
      <c r="AL30">
        <f t="shared" si="19"/>
        <v>2.9999999999999997E-8</v>
      </c>
    </row>
    <row r="31" spans="1:38" ht="15">
      <c r="A31" t="s">
        <v>297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176</v>
      </c>
      <c r="I31">
        <v>2.2000000000000002</v>
      </c>
      <c r="K31" t="str">
        <f t="shared" si="0"/>
        <v/>
      </c>
      <c r="L31" t="str">
        <f t="shared" si="1"/>
        <v>غليسيرين</v>
      </c>
      <c r="M31" s="36">
        <f t="shared" si="2"/>
        <v>1</v>
      </c>
      <c r="N31" s="37">
        <f t="shared" si="3"/>
        <v>2.2000000000000002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IF(L31="","",IF($AO$1=1,IFERROR(MATCH(L31,'05-أيار'!$L$2:$L$501,0),0),0))</f>
        <v>0</v>
      </c>
      <c r="W31" t="str">
        <f t="shared" si="11"/>
        <v/>
      </c>
      <c r="X31" s="38" t="str">
        <f>IF(L31="","",IF(V31&gt;0,INDEX('05-أيار'!$P$2:$P$501,V31),IF($AO$1=1,0,"")))</f>
        <v/>
      </c>
      <c r="Y31" s="38" t="str">
        <f t="shared" si="12"/>
        <v/>
      </c>
      <c r="Z31" s="39" t="str">
        <f>IF(L31="","",IF(V31&gt;0,INDEX('05-أيار'!$Q$2:$Q$501,V31),IF($AO$1=1,0,"")))</f>
        <v/>
      </c>
      <c r="AA31" s="39" t="str">
        <f t="shared" si="13"/>
        <v/>
      </c>
      <c r="AB31" s="40" t="str">
        <f>IF(OR(L31="",V31=0),"",IF(AND(N(I31)&gt;0,N(INDEX('05-أيار'!$I$2:$I$501,V31))&gt;0,INDEX('05-أيار'!$F$2:$F$501,V31)=F31),N(I31)/N(INDEX('05-أيار'!$I$2:$I$501,V31))-1,""))</f>
        <v/>
      </c>
      <c r="AC31" t="str">
        <f>IF(L31="","",IF(AND($AO$2=1,ISNA(MATCH(L31,'07-تموز'!$L$2:$L$500,0))),"محذوف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298</v>
      </c>
      <c r="B32">
        <v>3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176</v>
      </c>
      <c r="I32">
        <v>4.5</v>
      </c>
      <c r="K32" t="str">
        <f t="shared" si="0"/>
        <v/>
      </c>
      <c r="L32" t="str">
        <f t="shared" si="1"/>
        <v>غطا عبوة 3لتر</v>
      </c>
      <c r="M32" s="36">
        <f t="shared" si="2"/>
        <v>1</v>
      </c>
      <c r="N32" s="37">
        <f t="shared" si="3"/>
        <v>4.5</v>
      </c>
      <c r="O32" s="37">
        <f t="shared" si="4"/>
        <v>0</v>
      </c>
      <c r="P32" s="38">
        <f t="shared" si="5"/>
        <v>3</v>
      </c>
      <c r="Q32" s="39">
        <f t="shared" si="6"/>
        <v>13.5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IF(L32="","",IF($AO$1=1,IFERROR(MATCH(L32,'05-أيار'!$L$2:$L$501,0),0),0))</f>
        <v>0</v>
      </c>
      <c r="W32" t="str">
        <f t="shared" si="11"/>
        <v/>
      </c>
      <c r="X32" s="38" t="str">
        <f>IF(L32="","",IF(V32&gt;0,INDEX('05-أيار'!$P$2:$P$501,V32),IF($AO$1=1,0,"")))</f>
        <v/>
      </c>
      <c r="Y32" s="38" t="str">
        <f t="shared" si="12"/>
        <v/>
      </c>
      <c r="Z32" s="39" t="str">
        <f>IF(L32="","",IF(V32&gt;0,INDEX('05-أيار'!$Q$2:$Q$501,V32),IF($AO$1=1,0,"")))</f>
        <v/>
      </c>
      <c r="AA32" s="39" t="str">
        <f t="shared" si="13"/>
        <v/>
      </c>
      <c r="AB32" s="40" t="str">
        <f>IF(OR(L32="",V32=0),"",IF(AND(N(I32)&gt;0,N(INDEX('05-أيار'!$I$2:$I$501,V32))&gt;0,INDEX('05-أيار'!$F$2:$F$501,V32)=F32),N(I32)/N(INDEX('05-أيار'!$I$2:$I$501,V32))-1,""))</f>
        <v/>
      </c>
      <c r="AC32" t="str">
        <f>IF(L32="","",IF(AND($AO$2=1,ISNA(MATCH(L32,'07-تموز'!$L$2:$L$500,0))),"محذوف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13.500000032000001</v>
      </c>
      <c r="AL32">
        <f t="shared" si="19"/>
        <v>3.2000000000000002E-8</v>
      </c>
    </row>
    <row r="33" spans="1:38" ht="15">
      <c r="A33" t="s">
        <v>299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165</v>
      </c>
      <c r="K33" t="str">
        <f t="shared" si="0"/>
        <v/>
      </c>
      <c r="L33" t="str">
        <f t="shared" si="1"/>
        <v>عملاق خام</v>
      </c>
      <c r="M33" s="36">
        <f t="shared" si="2"/>
        <v>1</v>
      </c>
      <c r="N33" s="37">
        <f t="shared" si="3"/>
        <v>165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IF(L33="","",IF($AO$1=1,IFERROR(MATCH(L33,'05-أيار'!$L$2:$L$501,0),0),0))</f>
        <v>0</v>
      </c>
      <c r="W33" t="str">
        <f t="shared" si="11"/>
        <v/>
      </c>
      <c r="X33" s="38" t="str">
        <f>IF(L33="","",IF(V33&gt;0,INDEX('05-أيار'!$P$2:$P$501,V33),IF($AO$1=1,0,"")))</f>
        <v/>
      </c>
      <c r="Y33" s="38" t="str">
        <f t="shared" si="12"/>
        <v/>
      </c>
      <c r="Z33" s="39" t="str">
        <f>IF(L33="","",IF(V33&gt;0,INDEX('05-أيار'!$Q$2:$Q$501,V33),IF($AO$1=1,0,"")))</f>
        <v/>
      </c>
      <c r="AA33" s="39" t="str">
        <f t="shared" si="13"/>
        <v/>
      </c>
      <c r="AB33" s="40" t="str">
        <f>IF(OR(L33="",V33=0),"",IF(AND(N(I33)&gt;0,N(INDEX('05-أيار'!$I$2:$I$501,V33))&gt;0,INDEX('05-أيار'!$F$2:$F$501,V33)=F33),N(I33)/N(INDEX('05-أيار'!$I$2:$I$501,V33))-1,""))</f>
        <v/>
      </c>
      <c r="AC33" t="str">
        <f>IF(L33="","",IF(AND($AO$2=1,ISNA(MATCH(L33,'07-تموز'!$L$2:$L$500,0))),"محذوف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300</v>
      </c>
      <c r="B34">
        <v>0.59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176</v>
      </c>
      <c r="I34">
        <v>312.5</v>
      </c>
      <c r="K34" t="str">
        <f t="shared" si="0"/>
        <v/>
      </c>
      <c r="L34" t="str">
        <f t="shared" si="1"/>
        <v>عطر-نسيم-المحيط ocean-breeze - 327993</v>
      </c>
      <c r="M34" s="36">
        <f t="shared" si="2"/>
        <v>1</v>
      </c>
      <c r="N34" s="37">
        <f t="shared" si="3"/>
        <v>312.5</v>
      </c>
      <c r="O34" s="37">
        <f t="shared" si="4"/>
        <v>0</v>
      </c>
      <c r="P34" s="38">
        <f t="shared" si="5"/>
        <v>0.59</v>
      </c>
      <c r="Q34" s="39">
        <f t="shared" si="6"/>
        <v>184.375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IF(L34="","",IF($AO$1=1,IFERROR(MATCH(L34,'05-أيار'!$L$2:$L$501,0),0),0))</f>
        <v>0</v>
      </c>
      <c r="W34" t="str">
        <f t="shared" si="11"/>
        <v/>
      </c>
      <c r="X34" s="38" t="str">
        <f>IF(L34="","",IF(V34&gt;0,INDEX('05-أيار'!$P$2:$P$501,V34),IF($AO$1=1,0,"")))</f>
        <v/>
      </c>
      <c r="Y34" s="38" t="str">
        <f t="shared" si="12"/>
        <v/>
      </c>
      <c r="Z34" s="39" t="str">
        <f>IF(L34="","",IF(V34&gt;0,INDEX('05-أيار'!$Q$2:$Q$501,V34),IF($AO$1=1,0,"")))</f>
        <v/>
      </c>
      <c r="AA34" s="39" t="str">
        <f t="shared" si="13"/>
        <v/>
      </c>
      <c r="AB34" s="40" t="str">
        <f>IF(OR(L34="",V34=0),"",IF(AND(N(I34)&gt;0,N(INDEX('05-أيار'!$I$2:$I$501,V34))&gt;0,INDEX('05-أيار'!$F$2:$F$501,V34)=F34),N(I34)/N(INDEX('05-أيار'!$I$2:$I$501,V34))-1,""))</f>
        <v/>
      </c>
      <c r="AC34" t="str">
        <f>IF(L34="","",IF(AND($AO$2=1,ISNA(MATCH(L34,'07-تموز'!$L$2:$L$500,0))),"محذوف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184.37500003400001</v>
      </c>
      <c r="AL34">
        <f t="shared" si="19"/>
        <v>3.4E-8</v>
      </c>
    </row>
    <row r="35" spans="1:38" ht="15">
      <c r="A35" t="s">
        <v>301</v>
      </c>
      <c r="B35">
        <v>0.52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176</v>
      </c>
      <c r="I35">
        <v>175</v>
      </c>
      <c r="K35" t="str">
        <f t="shared" si="0"/>
        <v/>
      </c>
      <c r="L35" t="str">
        <f t="shared" si="1"/>
        <v>عطر-ليمون shiny-star - 485764</v>
      </c>
      <c r="M35" s="36">
        <f t="shared" si="2"/>
        <v>1</v>
      </c>
      <c r="N35" s="37">
        <f t="shared" si="3"/>
        <v>175</v>
      </c>
      <c r="O35" s="37">
        <f t="shared" si="4"/>
        <v>0</v>
      </c>
      <c r="P35" s="38">
        <f t="shared" si="5"/>
        <v>0.52</v>
      </c>
      <c r="Q35" s="39">
        <f t="shared" si="6"/>
        <v>91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IF(L35="","",IF($AO$1=1,IFERROR(MATCH(L35,'05-أيار'!$L$2:$L$501,0),0),0))</f>
        <v>0</v>
      </c>
      <c r="W35" t="str">
        <f t="shared" si="11"/>
        <v/>
      </c>
      <c r="X35" s="38" t="str">
        <f>IF(L35="","",IF(V35&gt;0,INDEX('05-أيار'!$P$2:$P$501,V35),IF($AO$1=1,0,"")))</f>
        <v/>
      </c>
      <c r="Y35" s="38" t="str">
        <f t="shared" si="12"/>
        <v/>
      </c>
      <c r="Z35" s="39" t="str">
        <f>IF(L35="","",IF(V35&gt;0,INDEX('05-أيار'!$Q$2:$Q$501,V35),IF($AO$1=1,0,"")))</f>
        <v/>
      </c>
      <c r="AA35" s="39" t="str">
        <f t="shared" si="13"/>
        <v/>
      </c>
      <c r="AB35" s="40" t="str">
        <f>IF(OR(L35="",V35=0),"",IF(AND(N(I35)&gt;0,N(INDEX('05-أيار'!$I$2:$I$501,V35))&gt;0,INDEX('05-أيار'!$F$2:$F$501,V35)=F35),N(I35)/N(INDEX('05-أيار'!$I$2:$I$501,V35))-1,""))</f>
        <v/>
      </c>
      <c r="AC35" t="str">
        <f>IF(L35="","",IF(AND($AO$2=1,ISNA(MATCH(L35,'07-تموز'!$L$2:$L$500,0))),"محذوف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91.000000034999999</v>
      </c>
      <c r="AL35">
        <f t="shared" si="19"/>
        <v>3.5000000000000002E-8</v>
      </c>
    </row>
    <row r="36" spans="1:38" ht="15">
      <c r="A36" t="s">
        <v>302</v>
      </c>
      <c r="B36">
        <v>0.36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176</v>
      </c>
      <c r="I36">
        <v>175</v>
      </c>
      <c r="K36" t="str">
        <f t="shared" si="0"/>
        <v/>
      </c>
      <c r="L36" t="str">
        <f t="shared" si="1"/>
        <v>عطر-ليمون citrus lemon new - 321639</v>
      </c>
      <c r="M36" s="36">
        <f t="shared" si="2"/>
        <v>1</v>
      </c>
      <c r="N36" s="37">
        <f t="shared" si="3"/>
        <v>175</v>
      </c>
      <c r="O36" s="37">
        <f t="shared" si="4"/>
        <v>0</v>
      </c>
      <c r="P36" s="38">
        <f t="shared" si="5"/>
        <v>0.36</v>
      </c>
      <c r="Q36" s="39">
        <f t="shared" si="6"/>
        <v>63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IF(L36="","",IF($AO$1=1,IFERROR(MATCH(L36,'05-أيار'!$L$2:$L$501,0),0),0))</f>
        <v>0</v>
      </c>
      <c r="W36" t="str">
        <f t="shared" si="11"/>
        <v/>
      </c>
      <c r="X36" s="38" t="str">
        <f>IF(L36="","",IF(V36&gt;0,INDEX('05-أيار'!$P$2:$P$501,V36),IF($AO$1=1,0,"")))</f>
        <v/>
      </c>
      <c r="Y36" s="38" t="str">
        <f t="shared" si="12"/>
        <v/>
      </c>
      <c r="Z36" s="39" t="str">
        <f>IF(L36="","",IF(V36&gt;0,INDEX('05-أيار'!$Q$2:$Q$501,V36),IF($AO$1=1,0,"")))</f>
        <v/>
      </c>
      <c r="AA36" s="39" t="str">
        <f t="shared" si="13"/>
        <v/>
      </c>
      <c r="AB36" s="40" t="str">
        <f>IF(OR(L36="",V36=0),"",IF(AND(N(I36)&gt;0,N(INDEX('05-أيار'!$I$2:$I$501,V36))&gt;0,INDEX('05-أيار'!$F$2:$F$501,V36)=F36),N(I36)/N(INDEX('05-أيار'!$I$2:$I$501,V36))-1,""))</f>
        <v/>
      </c>
      <c r="AC36" t="str">
        <f>IF(L36="","",IF(AND($AO$2=1,ISNA(MATCH(L36,'07-تموز'!$L$2:$L$500,0))),"محذوف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63.000000036000003</v>
      </c>
      <c r="AL36">
        <f t="shared" si="19"/>
        <v>3.5999999999999998E-8</v>
      </c>
    </row>
    <row r="37" spans="1:38" ht="15">
      <c r="A37" t="s">
        <v>303</v>
      </c>
      <c r="B37">
        <v>0.74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176</v>
      </c>
      <c r="I37">
        <v>312.5</v>
      </c>
      <c r="K37" t="str">
        <f t="shared" si="0"/>
        <v/>
      </c>
      <c r="L37" t="str">
        <f t="shared" si="1"/>
        <v>عطر-ليلك ariel-sensation - 318728</v>
      </c>
      <c r="M37" s="36">
        <f t="shared" si="2"/>
        <v>1</v>
      </c>
      <c r="N37" s="37">
        <f t="shared" si="3"/>
        <v>312.5</v>
      </c>
      <c r="O37" s="37">
        <f t="shared" si="4"/>
        <v>0</v>
      </c>
      <c r="P37" s="38">
        <f t="shared" si="5"/>
        <v>0.74</v>
      </c>
      <c r="Q37" s="39">
        <f t="shared" si="6"/>
        <v>231.25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IF(L37="","",IF($AO$1=1,IFERROR(MATCH(L37,'05-أيار'!$L$2:$L$501,0),0),0))</f>
        <v>0</v>
      </c>
      <c r="W37" t="str">
        <f t="shared" si="11"/>
        <v/>
      </c>
      <c r="X37" s="38" t="str">
        <f>IF(L37="","",IF(V37&gt;0,INDEX('05-أيار'!$P$2:$P$501,V37),IF($AO$1=1,0,"")))</f>
        <v/>
      </c>
      <c r="Y37" s="38" t="str">
        <f t="shared" si="12"/>
        <v/>
      </c>
      <c r="Z37" s="39" t="str">
        <f>IF(L37="","",IF(V37&gt;0,INDEX('05-أيار'!$Q$2:$Q$501,V37),IF($AO$1=1,0,"")))</f>
        <v/>
      </c>
      <c r="AA37" s="39" t="str">
        <f t="shared" si="13"/>
        <v/>
      </c>
      <c r="AB37" s="40" t="str">
        <f>IF(OR(L37="",V37=0),"",IF(AND(N(I37)&gt;0,N(INDEX('05-أيار'!$I$2:$I$501,V37))&gt;0,INDEX('05-أيار'!$F$2:$F$501,V37)=F37),N(I37)/N(INDEX('05-أيار'!$I$2:$I$501,V37))-1,""))</f>
        <v/>
      </c>
      <c r="AC37" t="str">
        <f>IF(L37="","",IF(AND($AO$2=1,ISNA(MATCH(L37,'07-تموز'!$L$2:$L$500,0))),"محذوف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231.25000003700001</v>
      </c>
      <c r="AL37">
        <f t="shared" si="19"/>
        <v>3.7E-8</v>
      </c>
    </row>
    <row r="38" spans="1:38" ht="15">
      <c r="A38" t="s">
        <v>304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176</v>
      </c>
      <c r="I38">
        <v>312.5</v>
      </c>
      <c r="K38" t="str">
        <f t="shared" si="0"/>
        <v/>
      </c>
      <c r="L38" t="str">
        <f t="shared" si="1"/>
        <v>عطر-فريز</v>
      </c>
      <c r="M38" s="36">
        <f t="shared" si="2"/>
        <v>1</v>
      </c>
      <c r="N38" s="37">
        <f t="shared" si="3"/>
        <v>312.5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IF(L38="","",IF($AO$1=1,IFERROR(MATCH(L38,'05-أيار'!$L$2:$L$501,0),0),0))</f>
        <v>0</v>
      </c>
      <c r="W38" t="str">
        <f t="shared" si="11"/>
        <v/>
      </c>
      <c r="X38" s="38" t="str">
        <f>IF(L38="","",IF(V38&gt;0,INDEX('05-أيار'!$P$2:$P$501,V38),IF($AO$1=1,0,"")))</f>
        <v/>
      </c>
      <c r="Y38" s="38" t="str">
        <f t="shared" si="12"/>
        <v/>
      </c>
      <c r="Z38" s="39" t="str">
        <f>IF(L38="","",IF(V38&gt;0,INDEX('05-أيار'!$Q$2:$Q$501,V38),IF($AO$1=1,0,"")))</f>
        <v/>
      </c>
      <c r="AA38" s="39" t="str">
        <f t="shared" si="13"/>
        <v/>
      </c>
      <c r="AB38" s="40" t="str">
        <f>IF(OR(L38="",V38=0),"",IF(AND(N(I38)&gt;0,N(INDEX('05-أيار'!$I$2:$I$501,V38))&gt;0,INDEX('05-أيار'!$F$2:$F$501,V38)=F38),N(I38)/N(INDEX('05-أيار'!$I$2:$I$501,V38))-1,""))</f>
        <v/>
      </c>
      <c r="AC38" t="str">
        <f>IF(L38="","",IF(AND($AO$2=1,ISNA(MATCH(L38,'07-تموز'!$L$2:$L$500,0))),"محذوف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305</v>
      </c>
      <c r="B39">
        <v>2.59</v>
      </c>
      <c r="C39">
        <v>0</v>
      </c>
      <c r="D39">
        <v>0</v>
      </c>
      <c r="E39">
        <v>0</v>
      </c>
      <c r="F39" t="s">
        <v>268</v>
      </c>
      <c r="G39" t="s">
        <v>178</v>
      </c>
      <c r="H39" t="s">
        <v>176</v>
      </c>
      <c r="I39">
        <v>900</v>
      </c>
      <c r="K39" t="str">
        <f t="shared" si="0"/>
        <v/>
      </c>
      <c r="L39" t="str">
        <f t="shared" si="1"/>
        <v>عطر-سلطان</v>
      </c>
      <c r="M39" s="36">
        <f t="shared" si="2"/>
        <v>1</v>
      </c>
      <c r="N39" s="37">
        <f t="shared" si="3"/>
        <v>900</v>
      </c>
      <c r="O39" s="37">
        <f t="shared" si="4"/>
        <v>0</v>
      </c>
      <c r="P39" s="38">
        <f t="shared" si="5"/>
        <v>2.59</v>
      </c>
      <c r="Q39" s="39">
        <f t="shared" si="6"/>
        <v>2331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IF(L39="","",IF($AO$1=1,IFERROR(MATCH(L39,'05-أيار'!$L$2:$L$501,0),0),0))</f>
        <v>0</v>
      </c>
      <c r="W39" t="str">
        <f t="shared" si="11"/>
        <v/>
      </c>
      <c r="X39" s="38" t="str">
        <f>IF(L39="","",IF(V39&gt;0,INDEX('05-أيار'!$P$2:$P$501,V39),IF($AO$1=1,0,"")))</f>
        <v/>
      </c>
      <c r="Y39" s="38" t="str">
        <f t="shared" si="12"/>
        <v/>
      </c>
      <c r="Z39" s="39" t="str">
        <f>IF(L39="","",IF(V39&gt;0,INDEX('05-أيار'!$Q$2:$Q$501,V39),IF($AO$1=1,0,"")))</f>
        <v/>
      </c>
      <c r="AA39" s="39" t="str">
        <f t="shared" si="13"/>
        <v/>
      </c>
      <c r="AB39" s="40" t="str">
        <f>IF(OR(L39="",V39=0),"",IF(AND(N(I39)&gt;0,N(INDEX('05-أيار'!$I$2:$I$501,V39))&gt;0,INDEX('05-أيار'!$F$2:$F$501,V39)=F39),N(I39)/N(INDEX('05-أيار'!$I$2:$I$501,V39))-1,""))</f>
        <v/>
      </c>
      <c r="AC39" t="str">
        <f>IF(L39="","",IF(AND($AO$2=1,ISNA(MATCH(L39,'07-تموز'!$L$2:$L$500,0))),"محذوف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2331.000000039</v>
      </c>
      <c r="AL39">
        <f t="shared" si="19"/>
        <v>3.8999999999999998E-8</v>
      </c>
    </row>
    <row r="40" spans="1:38" ht="15">
      <c r="A40" t="s">
        <v>306</v>
      </c>
      <c r="B40">
        <v>0.53</v>
      </c>
      <c r="C40">
        <v>0</v>
      </c>
      <c r="D40">
        <v>0</v>
      </c>
      <c r="E40">
        <v>0</v>
      </c>
      <c r="F40" t="s">
        <v>268</v>
      </c>
      <c r="G40" t="s">
        <v>178</v>
      </c>
      <c r="H40" t="s">
        <v>176</v>
      </c>
      <c r="I40">
        <v>225</v>
      </c>
      <c r="K40" t="str">
        <f t="shared" si="0"/>
        <v/>
      </c>
      <c r="L40" t="str">
        <f t="shared" si="1"/>
        <v>عطر-زهور lovely-petals - 485718</v>
      </c>
      <c r="M40" s="36">
        <f t="shared" si="2"/>
        <v>1</v>
      </c>
      <c r="N40" s="37">
        <f t="shared" si="3"/>
        <v>225</v>
      </c>
      <c r="O40" s="37">
        <f t="shared" si="4"/>
        <v>0</v>
      </c>
      <c r="P40" s="38">
        <f t="shared" si="5"/>
        <v>0.53</v>
      </c>
      <c r="Q40" s="39">
        <f t="shared" si="6"/>
        <v>119.25</v>
      </c>
      <c r="R40" s="39">
        <f t="shared" si="7"/>
        <v>0</v>
      </c>
      <c r="S40">
        <f t="shared" si="8"/>
        <v>0</v>
      </c>
      <c r="T40" s="39">
        <f t="shared" si="9"/>
        <v>0</v>
      </c>
      <c r="U40" t="str">
        <f t="shared" si="10"/>
        <v/>
      </c>
      <c r="V40">
        <f>IF(L40="","",IF($AO$1=1,IFERROR(MATCH(L40,'05-أيار'!$L$2:$L$501,0),0),0))</f>
        <v>0</v>
      </c>
      <c r="W40" t="str">
        <f t="shared" si="11"/>
        <v/>
      </c>
      <c r="X40" s="38" t="str">
        <f>IF(L40="","",IF(V40&gt;0,INDEX('05-أيار'!$P$2:$P$501,V40),IF($AO$1=1,0,"")))</f>
        <v/>
      </c>
      <c r="Y40" s="38" t="str">
        <f t="shared" si="12"/>
        <v/>
      </c>
      <c r="Z40" s="39" t="str">
        <f>IF(L40="","",IF(V40&gt;0,INDEX('05-أيار'!$Q$2:$Q$501,V40),IF($AO$1=1,0,"")))</f>
        <v/>
      </c>
      <c r="AA40" s="39" t="str">
        <f t="shared" si="13"/>
        <v/>
      </c>
      <c r="AB40" s="40" t="str">
        <f>IF(OR(L40="",V40=0),"",IF(AND(N(I40)&gt;0,N(INDEX('05-أيار'!$I$2:$I$501,V40))&gt;0,INDEX('05-أيار'!$F$2:$F$501,V40)=F40),N(I40)/N(INDEX('05-أيار'!$I$2:$I$501,V40))-1,""))</f>
        <v/>
      </c>
      <c r="AC40" t="str">
        <f>IF(L40="","",IF(AND($AO$2=1,ISNA(MATCH(L40,'07-تموز'!$L$2:$L$500,0))),"محذوف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>
        <f t="shared" si="15"/>
        <v>0</v>
      </c>
      <c r="AI40" s="39">
        <f t="shared" si="16"/>
        <v>0</v>
      </c>
      <c r="AJ40" s="39">
        <f t="shared" si="17"/>
        <v>0</v>
      </c>
      <c r="AK40">
        <f t="shared" si="18"/>
        <v>119.25000004</v>
      </c>
      <c r="AL40">
        <f t="shared" si="19"/>
        <v>4.0000000000000001E-8</v>
      </c>
    </row>
    <row r="41" spans="1:38" ht="15">
      <c r="A41" t="s">
        <v>307</v>
      </c>
      <c r="B41">
        <v>0.66</v>
      </c>
      <c r="C41">
        <v>0</v>
      </c>
      <c r="D41">
        <v>0</v>
      </c>
      <c r="E41">
        <v>0</v>
      </c>
      <c r="F41" t="s">
        <v>268</v>
      </c>
      <c r="G41" t="s">
        <v>178</v>
      </c>
      <c r="H41" t="s">
        <v>176</v>
      </c>
      <c r="I41">
        <v>312.5</v>
      </c>
      <c r="K41" t="str">
        <f t="shared" si="0"/>
        <v/>
      </c>
      <c r="L41" t="str">
        <f t="shared" si="1"/>
        <v>عطر-رمان apple grandada - 322730</v>
      </c>
      <c r="M41" s="36">
        <f t="shared" si="2"/>
        <v>1</v>
      </c>
      <c r="N41" s="37">
        <f t="shared" si="3"/>
        <v>312.5</v>
      </c>
      <c r="O41" s="37">
        <f t="shared" si="4"/>
        <v>0</v>
      </c>
      <c r="P41" s="38">
        <f t="shared" si="5"/>
        <v>0.66</v>
      </c>
      <c r="Q41" s="39">
        <f t="shared" si="6"/>
        <v>206.25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IF(L41="","",IF($AO$1=1,IFERROR(MATCH(L41,'05-أيار'!$L$2:$L$501,0),0),0))</f>
        <v>0</v>
      </c>
      <c r="W41" t="str">
        <f t="shared" si="11"/>
        <v/>
      </c>
      <c r="X41" s="38" t="str">
        <f>IF(L41="","",IF(V41&gt;0,INDEX('05-أيار'!$P$2:$P$501,V41),IF($AO$1=1,0,"")))</f>
        <v/>
      </c>
      <c r="Y41" s="38" t="str">
        <f t="shared" si="12"/>
        <v/>
      </c>
      <c r="Z41" s="39" t="str">
        <f>IF(L41="","",IF(V41&gt;0,INDEX('05-أيار'!$Q$2:$Q$501,V41),IF($AO$1=1,0,"")))</f>
        <v/>
      </c>
      <c r="AA41" s="39" t="str">
        <f t="shared" si="13"/>
        <v/>
      </c>
      <c r="AB41" s="40" t="str">
        <f>IF(OR(L41="",V41=0),"",IF(AND(N(I41)&gt;0,N(INDEX('05-أيار'!$I$2:$I$501,V41))&gt;0,INDEX('05-أيار'!$F$2:$F$501,V41)=F41),N(I41)/N(INDEX('05-أيار'!$I$2:$I$501,V41))-1,""))</f>
        <v/>
      </c>
      <c r="AC41" t="str">
        <f>IF(L41="","",IF(AND($AO$2=1,ISNA(MATCH(L41,'07-تموز'!$L$2:$L$500,0))),"محذوف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206.25000004099999</v>
      </c>
      <c r="AL41">
        <f t="shared" si="19"/>
        <v>4.1000000000000003E-8</v>
      </c>
    </row>
    <row r="42" spans="1:38" ht="15">
      <c r="A42" t="s">
        <v>308</v>
      </c>
      <c r="B42">
        <v>0.6</v>
      </c>
      <c r="C42">
        <v>0</v>
      </c>
      <c r="D42">
        <v>0</v>
      </c>
      <c r="E42">
        <v>0</v>
      </c>
      <c r="F42" t="s">
        <v>268</v>
      </c>
      <c r="G42" t="s">
        <v>178</v>
      </c>
      <c r="H42" t="s">
        <v>176</v>
      </c>
      <c r="I42">
        <v>287.5</v>
      </c>
      <c r="K42" t="str">
        <f t="shared" si="0"/>
        <v/>
      </c>
      <c r="L42" t="str">
        <f t="shared" si="1"/>
        <v>عطر-توليب fresh-scent-amour - 485833</v>
      </c>
      <c r="M42" s="36">
        <f t="shared" si="2"/>
        <v>1</v>
      </c>
      <c r="N42" s="37">
        <f t="shared" si="3"/>
        <v>287.5</v>
      </c>
      <c r="O42" s="37">
        <f t="shared" si="4"/>
        <v>0</v>
      </c>
      <c r="P42" s="38">
        <f t="shared" si="5"/>
        <v>0.6</v>
      </c>
      <c r="Q42" s="39">
        <f t="shared" si="6"/>
        <v>172.5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IF(L42="","",IF($AO$1=1,IFERROR(MATCH(L42,'05-أيار'!$L$2:$L$501,0),0),0))</f>
        <v>0</v>
      </c>
      <c r="W42" t="str">
        <f t="shared" si="11"/>
        <v/>
      </c>
      <c r="X42" s="38" t="str">
        <f>IF(L42="","",IF(V42&gt;0,INDEX('05-أيار'!$P$2:$P$501,V42),IF($AO$1=1,0,"")))</f>
        <v/>
      </c>
      <c r="Y42" s="38" t="str">
        <f t="shared" si="12"/>
        <v/>
      </c>
      <c r="Z42" s="39" t="str">
        <f>IF(L42="","",IF(V42&gt;0,INDEX('05-أيار'!$Q$2:$Q$501,V42),IF($AO$1=1,0,"")))</f>
        <v/>
      </c>
      <c r="AA42" s="39" t="str">
        <f t="shared" si="13"/>
        <v/>
      </c>
      <c r="AB42" s="40" t="str">
        <f>IF(OR(L42="",V42=0),"",IF(AND(N(I42)&gt;0,N(INDEX('05-أيار'!$I$2:$I$501,V42))&gt;0,INDEX('05-أيار'!$F$2:$F$501,V42)=F42),N(I42)/N(INDEX('05-أيار'!$I$2:$I$501,V42))-1,""))</f>
        <v/>
      </c>
      <c r="AC42" t="str">
        <f>IF(L42="","",IF(AND($AO$2=1,ISNA(MATCH(L42,'07-تموز'!$L$2:$L$500,0))),"محذوف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172.50000004200001</v>
      </c>
      <c r="AL42">
        <f t="shared" si="19"/>
        <v>4.1999999999999999E-8</v>
      </c>
    </row>
    <row r="43" spans="1:38" ht="15">
      <c r="A43" t="s">
        <v>309</v>
      </c>
      <c r="B43">
        <v>0.47</v>
      </c>
      <c r="C43">
        <v>0</v>
      </c>
      <c r="D43">
        <v>0</v>
      </c>
      <c r="E43">
        <v>0</v>
      </c>
      <c r="F43" t="s">
        <v>268</v>
      </c>
      <c r="G43" t="s">
        <v>178</v>
      </c>
      <c r="H43" t="s">
        <v>176</v>
      </c>
      <c r="I43">
        <v>300</v>
      </c>
      <c r="K43" t="str">
        <f t="shared" si="0"/>
        <v/>
      </c>
      <c r="L43" t="str">
        <f t="shared" si="1"/>
        <v>عطر-تفاح apple - 317691</v>
      </c>
      <c r="M43" s="36">
        <f t="shared" si="2"/>
        <v>1</v>
      </c>
      <c r="N43" s="37">
        <f t="shared" si="3"/>
        <v>300</v>
      </c>
      <c r="O43" s="37">
        <f t="shared" si="4"/>
        <v>0</v>
      </c>
      <c r="P43" s="38">
        <f t="shared" si="5"/>
        <v>0.47</v>
      </c>
      <c r="Q43" s="39">
        <f t="shared" si="6"/>
        <v>141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IF(L43="","",IF($AO$1=1,IFERROR(MATCH(L43,'05-أيار'!$L$2:$L$501,0),0),0))</f>
        <v>0</v>
      </c>
      <c r="W43" t="str">
        <f t="shared" si="11"/>
        <v/>
      </c>
      <c r="X43" s="38" t="str">
        <f>IF(L43="","",IF(V43&gt;0,INDEX('05-أيار'!$P$2:$P$501,V43),IF($AO$1=1,0,"")))</f>
        <v/>
      </c>
      <c r="Y43" s="38" t="str">
        <f t="shared" si="12"/>
        <v/>
      </c>
      <c r="Z43" s="39" t="str">
        <f>IF(L43="","",IF(V43&gt;0,INDEX('05-أيار'!$Q$2:$Q$501,V43),IF($AO$1=1,0,"")))</f>
        <v/>
      </c>
      <c r="AA43" s="39" t="str">
        <f t="shared" si="13"/>
        <v/>
      </c>
      <c r="AB43" s="40" t="str">
        <f>IF(OR(L43="",V43=0),"",IF(AND(N(I43)&gt;0,N(INDEX('05-أيار'!$I$2:$I$501,V43))&gt;0,INDEX('05-أيار'!$F$2:$F$501,V43)=F43),N(I43)/N(INDEX('05-أيار'!$I$2:$I$501,V43))-1,""))</f>
        <v/>
      </c>
      <c r="AC43" t="str">
        <f>IF(L43="","",IF(AND($AO$2=1,ISNA(MATCH(L43,'07-تموز'!$L$2:$L$500,0))),"محذوف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141.000000043</v>
      </c>
      <c r="AL43">
        <f t="shared" si="19"/>
        <v>4.3000000000000001E-8</v>
      </c>
    </row>
    <row r="44" spans="1:38" ht="15">
      <c r="A44" t="s">
        <v>310</v>
      </c>
      <c r="B44">
        <v>0</v>
      </c>
      <c r="C44">
        <v>0</v>
      </c>
      <c r="D44">
        <v>0</v>
      </c>
      <c r="E44">
        <v>0</v>
      </c>
      <c r="F44" t="s">
        <v>268</v>
      </c>
      <c r="G44" t="s">
        <v>178</v>
      </c>
      <c r="H44" t="s">
        <v>176</v>
      </c>
      <c r="I44">
        <v>14.5</v>
      </c>
      <c r="K44" t="str">
        <f t="shared" si="0"/>
        <v/>
      </c>
      <c r="L44" t="str">
        <f t="shared" si="1"/>
        <v>عطر-برنس</v>
      </c>
      <c r="M44" s="36">
        <f t="shared" si="2"/>
        <v>1</v>
      </c>
      <c r="N44" s="37">
        <f t="shared" si="3"/>
        <v>14.5</v>
      </c>
      <c r="O44" s="37">
        <f t="shared" si="4"/>
        <v>0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IF(L44="","",IF($AO$1=1,IFERROR(MATCH(L44,'05-أيار'!$L$2:$L$501,0),0),0))</f>
        <v>0</v>
      </c>
      <c r="W44" t="str">
        <f t="shared" si="11"/>
        <v/>
      </c>
      <c r="X44" s="38" t="str">
        <f>IF(L44="","",IF(V44&gt;0,INDEX('05-أيار'!$P$2:$P$501,V44),IF($AO$1=1,0,"")))</f>
        <v/>
      </c>
      <c r="Y44" s="38" t="str">
        <f t="shared" si="12"/>
        <v/>
      </c>
      <c r="Z44" s="39" t="str">
        <f>IF(L44="","",IF(V44&gt;0,INDEX('05-أيار'!$Q$2:$Q$501,V44),IF($AO$1=1,0,"")))</f>
        <v/>
      </c>
      <c r="AA44" s="39" t="str">
        <f t="shared" si="13"/>
        <v/>
      </c>
      <c r="AB44" s="40" t="str">
        <f>IF(OR(L44="",V44=0),"",IF(AND(N(I44)&gt;0,N(INDEX('05-أيار'!$I$2:$I$501,V44))&gt;0,INDEX('05-أيار'!$F$2:$F$501,V44)=F44),N(I44)/N(INDEX('05-أيار'!$I$2:$I$501,V44))-1,""))</f>
        <v/>
      </c>
      <c r="AC44" t="str">
        <f>IF(L44="","",IF(AND($AO$2=1,ISNA(MATCH(L44,'07-تموز'!$L$2:$L$500,0))),"محذوف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311</v>
      </c>
      <c r="B45">
        <v>20</v>
      </c>
      <c r="C45">
        <v>0</v>
      </c>
      <c r="D45">
        <v>0</v>
      </c>
      <c r="E45">
        <v>0</v>
      </c>
      <c r="F45" t="s">
        <v>268</v>
      </c>
      <c r="G45" t="s">
        <v>178</v>
      </c>
      <c r="H45" t="s">
        <v>176</v>
      </c>
      <c r="I45">
        <v>150</v>
      </c>
      <c r="K45" t="str">
        <f t="shared" si="0"/>
        <v/>
      </c>
      <c r="L45" t="str">
        <f t="shared" si="1"/>
        <v>عطر-ببوري ultimate-mixture - 485797</v>
      </c>
      <c r="M45" s="36">
        <f t="shared" si="2"/>
        <v>1</v>
      </c>
      <c r="N45" s="37">
        <f t="shared" si="3"/>
        <v>150</v>
      </c>
      <c r="O45" s="37">
        <f t="shared" si="4"/>
        <v>0</v>
      </c>
      <c r="P45" s="38">
        <f t="shared" si="5"/>
        <v>20</v>
      </c>
      <c r="Q45" s="39">
        <f t="shared" si="6"/>
        <v>3000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IF(L45="","",IF($AO$1=1,IFERROR(MATCH(L45,'05-أيار'!$L$2:$L$501,0),0),0))</f>
        <v>0</v>
      </c>
      <c r="W45" t="str">
        <f t="shared" si="11"/>
        <v/>
      </c>
      <c r="X45" s="38" t="str">
        <f>IF(L45="","",IF(V45&gt;0,INDEX('05-أيار'!$P$2:$P$501,V45),IF($AO$1=1,0,"")))</f>
        <v/>
      </c>
      <c r="Y45" s="38" t="str">
        <f t="shared" si="12"/>
        <v/>
      </c>
      <c r="Z45" s="39" t="str">
        <f>IF(L45="","",IF(V45&gt;0,INDEX('05-أيار'!$Q$2:$Q$501,V45),IF($AO$1=1,0,"")))</f>
        <v/>
      </c>
      <c r="AA45" s="39" t="str">
        <f t="shared" si="13"/>
        <v/>
      </c>
      <c r="AB45" s="40" t="str">
        <f>IF(OR(L45="",V45=0),"",IF(AND(N(I45)&gt;0,N(INDEX('05-أيار'!$I$2:$I$501,V45))&gt;0,INDEX('05-أيار'!$F$2:$F$501,V45)=F45),N(I45)/N(INDEX('05-أيار'!$I$2:$I$501,V45))-1,""))</f>
        <v/>
      </c>
      <c r="AC45" t="str">
        <f>IF(L45="","",IF(AND($AO$2=1,ISNA(MATCH(L45,'07-تموز'!$L$2:$L$500,0))),"محذوف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3000.000000045</v>
      </c>
      <c r="AL45">
        <f t="shared" si="19"/>
        <v>4.4999999999999999E-8</v>
      </c>
    </row>
    <row r="46" spans="1:38" ht="15">
      <c r="A46" t="s">
        <v>312</v>
      </c>
      <c r="B46">
        <v>21.4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312.5</v>
      </c>
      <c r="K46" t="str">
        <f t="shared" si="0"/>
        <v/>
      </c>
      <c r="L46" t="str">
        <f t="shared" si="1"/>
        <v>عطر-ازهار-الربيع spring - 318643</v>
      </c>
      <c r="M46" s="36">
        <f t="shared" si="2"/>
        <v>1</v>
      </c>
      <c r="N46" s="37">
        <f t="shared" si="3"/>
        <v>312.5</v>
      </c>
      <c r="O46" s="37">
        <f t="shared" si="4"/>
        <v>0</v>
      </c>
      <c r="P46" s="38">
        <f t="shared" si="5"/>
        <v>21.4</v>
      </c>
      <c r="Q46" s="39">
        <f t="shared" si="6"/>
        <v>6687.5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IF(L46="","",IF($AO$1=1,IFERROR(MATCH(L46,'05-أيار'!$L$2:$L$501,0),0),0))</f>
        <v>0</v>
      </c>
      <c r="W46" t="str">
        <f t="shared" si="11"/>
        <v/>
      </c>
      <c r="X46" s="38" t="str">
        <f>IF(L46="","",IF(V46&gt;0,INDEX('05-أيار'!$P$2:$P$501,V46),IF($AO$1=1,0,"")))</f>
        <v/>
      </c>
      <c r="Y46" s="38" t="str">
        <f t="shared" si="12"/>
        <v/>
      </c>
      <c r="Z46" s="39" t="str">
        <f>IF(L46="","",IF(V46&gt;0,INDEX('05-أيار'!$Q$2:$Q$501,V46),IF($AO$1=1,0,"")))</f>
        <v/>
      </c>
      <c r="AA46" s="39" t="str">
        <f t="shared" si="13"/>
        <v/>
      </c>
      <c r="AB46" s="40" t="str">
        <f>IF(OR(L46="",V46=0),"",IF(AND(N(I46)&gt;0,N(INDEX('05-أيار'!$I$2:$I$501,V46))&gt;0,INDEX('05-أيار'!$F$2:$F$501,V46)=F46),N(I46)/N(INDEX('05-أيار'!$I$2:$I$501,V46))-1,""))</f>
        <v/>
      </c>
      <c r="AC46" t="str">
        <f>IF(L46="","",IF(AND($AO$2=1,ISNA(MATCH(L46,'07-تموز'!$L$2:$L$500,0))),"محذوف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6687.5000000460004</v>
      </c>
      <c r="AL46">
        <f t="shared" si="19"/>
        <v>4.6000000000000002E-8</v>
      </c>
    </row>
    <row r="47" spans="1:38" ht="15">
      <c r="A47" t="s">
        <v>313</v>
      </c>
      <c r="B47">
        <v>0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15</v>
      </c>
      <c r="K47" t="str">
        <f t="shared" si="0"/>
        <v/>
      </c>
      <c r="L47" t="str">
        <f t="shared" si="1"/>
        <v>عطر هامول</v>
      </c>
      <c r="M47" s="36">
        <f t="shared" si="2"/>
        <v>1</v>
      </c>
      <c r="N47" s="37">
        <f t="shared" si="3"/>
        <v>15</v>
      </c>
      <c r="O47" s="37">
        <f t="shared" si="4"/>
        <v>0</v>
      </c>
      <c r="P47" s="38">
        <f t="shared" si="5"/>
        <v>0</v>
      </c>
      <c r="Q47" s="39">
        <f t="shared" si="6"/>
        <v>0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IF(L47="","",IF($AO$1=1,IFERROR(MATCH(L47,'05-أيار'!$L$2:$L$501,0),0),0))</f>
        <v>0</v>
      </c>
      <c r="W47" t="str">
        <f t="shared" si="11"/>
        <v/>
      </c>
      <c r="X47" s="38" t="str">
        <f>IF(L47="","",IF(V47&gt;0,INDEX('05-أيار'!$P$2:$P$501,V47),IF($AO$1=1,0,"")))</f>
        <v/>
      </c>
      <c r="Y47" s="38" t="str">
        <f t="shared" si="12"/>
        <v/>
      </c>
      <c r="Z47" s="39" t="str">
        <f>IF(L47="","",IF(V47&gt;0,INDEX('05-أيار'!$Q$2:$Q$501,V47),IF($AO$1=1,0,"")))</f>
        <v/>
      </c>
      <c r="AA47" s="39" t="str">
        <f t="shared" si="13"/>
        <v/>
      </c>
      <c r="AB47" s="40" t="str">
        <f>IF(OR(L47="",V47=0),"",IF(AND(N(I47)&gt;0,N(INDEX('05-أيار'!$I$2:$I$501,V47))&gt;0,INDEX('05-أيار'!$F$2:$F$501,V47)=F47),N(I47)/N(INDEX('05-أيار'!$I$2:$I$501,V47))-1,""))</f>
        <v/>
      </c>
      <c r="AC47" t="str">
        <f>IF(L47="","",IF(AND($AO$2=1,ISNA(MATCH(L47,'07-تموز'!$L$2:$L$500,0))),"محذوف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4.6999999999999997E-8</v>
      </c>
      <c r="AL47">
        <f t="shared" si="19"/>
        <v>4.6999999999999997E-8</v>
      </c>
    </row>
    <row r="48" spans="1:38" ht="15">
      <c r="A48" t="s">
        <v>314</v>
      </c>
      <c r="B48">
        <v>2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176</v>
      </c>
      <c r="I48">
        <v>16</v>
      </c>
      <c r="K48" t="str">
        <f t="shared" si="0"/>
        <v/>
      </c>
      <c r="L48" t="str">
        <f t="shared" si="1"/>
        <v>عطر مسك احمر</v>
      </c>
      <c r="M48" s="36">
        <f t="shared" si="2"/>
        <v>1</v>
      </c>
      <c r="N48" s="37">
        <f t="shared" si="3"/>
        <v>16</v>
      </c>
      <c r="O48" s="37">
        <f t="shared" si="4"/>
        <v>0</v>
      </c>
      <c r="P48" s="38">
        <f t="shared" si="5"/>
        <v>2</v>
      </c>
      <c r="Q48" s="39">
        <f t="shared" si="6"/>
        <v>32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IF(L48="","",IF($AO$1=1,IFERROR(MATCH(L48,'05-أيار'!$L$2:$L$501,0),0),0))</f>
        <v>0</v>
      </c>
      <c r="W48" t="str">
        <f t="shared" si="11"/>
        <v/>
      </c>
      <c r="X48" s="38" t="str">
        <f>IF(L48="","",IF(V48&gt;0,INDEX('05-أيار'!$P$2:$P$501,V48),IF($AO$1=1,0,"")))</f>
        <v/>
      </c>
      <c r="Y48" s="38" t="str">
        <f t="shared" si="12"/>
        <v/>
      </c>
      <c r="Z48" s="39" t="str">
        <f>IF(L48="","",IF(V48&gt;0,INDEX('05-أيار'!$Q$2:$Q$501,V48),IF($AO$1=1,0,"")))</f>
        <v/>
      </c>
      <c r="AA48" s="39" t="str">
        <f t="shared" si="13"/>
        <v/>
      </c>
      <c r="AB48" s="40" t="str">
        <f>IF(OR(L48="",V48=0),"",IF(AND(N(I48)&gt;0,N(INDEX('05-أيار'!$I$2:$I$501,V48))&gt;0,INDEX('05-أيار'!$F$2:$F$501,V48)=F48),N(I48)/N(INDEX('05-أيار'!$I$2:$I$501,V48))-1,""))</f>
        <v/>
      </c>
      <c r="AC48" t="str">
        <f>IF(L48="","",IF(AND($AO$2=1,ISNA(MATCH(L48,'07-تموز'!$L$2:$L$500,0))),"محذوف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32.000000047999997</v>
      </c>
      <c r="AL48">
        <f t="shared" si="19"/>
        <v>4.8E-8</v>
      </c>
    </row>
    <row r="49" spans="1:38" ht="15">
      <c r="A49" t="s">
        <v>315</v>
      </c>
      <c r="B49">
        <v>3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15.5</v>
      </c>
      <c r="K49" t="str">
        <f t="shared" si="0"/>
        <v/>
      </c>
      <c r="L49" t="str">
        <f t="shared" si="1"/>
        <v>عطر مسك</v>
      </c>
      <c r="M49" s="36">
        <f t="shared" si="2"/>
        <v>1</v>
      </c>
      <c r="N49" s="37">
        <f t="shared" si="3"/>
        <v>15.5</v>
      </c>
      <c r="O49" s="37">
        <f t="shared" si="4"/>
        <v>0</v>
      </c>
      <c r="P49" s="38">
        <f t="shared" si="5"/>
        <v>3</v>
      </c>
      <c r="Q49" s="39">
        <f t="shared" si="6"/>
        <v>46.5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IF(L49="","",IF($AO$1=1,IFERROR(MATCH(L49,'05-أيار'!$L$2:$L$501,0),0),0))</f>
        <v>0</v>
      </c>
      <c r="W49" t="str">
        <f t="shared" si="11"/>
        <v/>
      </c>
      <c r="X49" s="38" t="str">
        <f>IF(L49="","",IF(V49&gt;0,INDEX('05-أيار'!$P$2:$P$501,V49),IF($AO$1=1,0,"")))</f>
        <v/>
      </c>
      <c r="Y49" s="38" t="str">
        <f t="shared" si="12"/>
        <v/>
      </c>
      <c r="Z49" s="39" t="str">
        <f>IF(L49="","",IF(V49&gt;0,INDEX('05-أيار'!$Q$2:$Q$501,V49),IF($AO$1=1,0,"")))</f>
        <v/>
      </c>
      <c r="AA49" s="39" t="str">
        <f t="shared" si="13"/>
        <v/>
      </c>
      <c r="AB49" s="40" t="str">
        <f>IF(OR(L49="",V49=0),"",IF(AND(N(I49)&gt;0,N(INDEX('05-أيار'!$I$2:$I$501,V49))&gt;0,INDEX('05-أيار'!$F$2:$F$501,V49)=F49),N(I49)/N(INDEX('05-أيار'!$I$2:$I$501,V49))-1,""))</f>
        <v/>
      </c>
      <c r="AC49" t="str">
        <f>IF(L49="","",IF(AND($AO$2=1,ISNA(MATCH(L49,'07-تموز'!$L$2:$L$500,0))),"محذوف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46.500000049000001</v>
      </c>
      <c r="AL49">
        <f t="shared" si="19"/>
        <v>4.9000000000000002E-8</v>
      </c>
    </row>
    <row r="50" spans="1:38" ht="15">
      <c r="A50" t="s">
        <v>316</v>
      </c>
      <c r="B50">
        <v>0.46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225</v>
      </c>
      <c r="K50" t="str">
        <f t="shared" si="0"/>
        <v/>
      </c>
      <c r="L50" t="str">
        <f t="shared" si="1"/>
        <v>عطر ليمون ماكسي</v>
      </c>
      <c r="M50" s="36">
        <f t="shared" si="2"/>
        <v>1</v>
      </c>
      <c r="N50" s="37">
        <f t="shared" si="3"/>
        <v>225</v>
      </c>
      <c r="O50" s="37">
        <f t="shared" si="4"/>
        <v>0</v>
      </c>
      <c r="P50" s="38">
        <f t="shared" si="5"/>
        <v>0.46</v>
      </c>
      <c r="Q50" s="39">
        <f t="shared" si="6"/>
        <v>103.5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IF(L50="","",IF($AO$1=1,IFERROR(MATCH(L50,'05-أيار'!$L$2:$L$501,0),0),0))</f>
        <v>0</v>
      </c>
      <c r="W50" t="str">
        <f t="shared" si="11"/>
        <v/>
      </c>
      <c r="X50" s="38" t="str">
        <f>IF(L50="","",IF(V50&gt;0,INDEX('05-أيار'!$P$2:$P$501,V50),IF($AO$1=1,0,"")))</f>
        <v/>
      </c>
      <c r="Y50" s="38" t="str">
        <f t="shared" si="12"/>
        <v/>
      </c>
      <c r="Z50" s="39" t="str">
        <f>IF(L50="","",IF(V50&gt;0,INDEX('05-أيار'!$Q$2:$Q$501,V50),IF($AO$1=1,0,"")))</f>
        <v/>
      </c>
      <c r="AA50" s="39" t="str">
        <f t="shared" si="13"/>
        <v/>
      </c>
      <c r="AB50" s="40" t="str">
        <f>IF(OR(L50="",V50=0),"",IF(AND(N(I50)&gt;0,N(INDEX('05-أيار'!$I$2:$I$501,V50))&gt;0,INDEX('05-أيار'!$F$2:$F$501,V50)=F50),N(I50)/N(INDEX('05-أيار'!$I$2:$I$501,V50))-1,""))</f>
        <v/>
      </c>
      <c r="AC50" t="str">
        <f>IF(L50="","",IF(AND($AO$2=1,ISNA(MATCH(L50,'07-تموز'!$L$2:$L$500,0))),"محذوف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103.50000005</v>
      </c>
      <c r="AL50">
        <f t="shared" si="19"/>
        <v>4.9999999999999998E-8</v>
      </c>
    </row>
    <row r="51" spans="1:38" ht="15">
      <c r="A51" t="s">
        <v>317</v>
      </c>
      <c r="B51">
        <v>1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176</v>
      </c>
      <c r="I51">
        <v>16</v>
      </c>
      <c r="K51" t="str">
        <f t="shared" si="0"/>
        <v/>
      </c>
      <c r="L51" t="str">
        <f t="shared" si="1"/>
        <v>عطر عسل</v>
      </c>
      <c r="M51" s="36">
        <f t="shared" si="2"/>
        <v>1</v>
      </c>
      <c r="N51" s="37">
        <f t="shared" si="3"/>
        <v>16</v>
      </c>
      <c r="O51" s="37">
        <f t="shared" si="4"/>
        <v>0</v>
      </c>
      <c r="P51" s="38">
        <f t="shared" si="5"/>
        <v>1</v>
      </c>
      <c r="Q51" s="39">
        <f t="shared" si="6"/>
        <v>16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IF(L51="","",IF($AO$1=1,IFERROR(MATCH(L51,'05-أيار'!$L$2:$L$501,0),0),0))</f>
        <v>0</v>
      </c>
      <c r="W51" t="str">
        <f t="shared" si="11"/>
        <v/>
      </c>
      <c r="X51" s="38" t="str">
        <f>IF(L51="","",IF(V51&gt;0,INDEX('05-أيار'!$P$2:$P$501,V51),IF($AO$1=1,0,"")))</f>
        <v/>
      </c>
      <c r="Y51" s="38" t="str">
        <f t="shared" si="12"/>
        <v/>
      </c>
      <c r="Z51" s="39" t="str">
        <f>IF(L51="","",IF(V51&gt;0,INDEX('05-أيار'!$Q$2:$Q$501,V51),IF($AO$1=1,0,"")))</f>
        <v/>
      </c>
      <c r="AA51" s="39" t="str">
        <f t="shared" si="13"/>
        <v/>
      </c>
      <c r="AB51" s="40" t="str">
        <f>IF(OR(L51="",V51=0),"",IF(AND(N(I51)&gt;0,N(INDEX('05-أيار'!$I$2:$I$501,V51))&gt;0,INDEX('05-أيار'!$F$2:$F$501,V51)=F51),N(I51)/N(INDEX('05-أيار'!$I$2:$I$501,V51))-1,""))</f>
        <v/>
      </c>
      <c r="AC51" t="str">
        <f>IF(L51="","",IF(AND($AO$2=1,ISNA(MATCH(L51,'07-تموز'!$L$2:$L$500,0))),"محذوف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16.000000051000001</v>
      </c>
      <c r="AL51">
        <f t="shared" si="19"/>
        <v>5.1E-8</v>
      </c>
    </row>
    <row r="52" spans="1:38" ht="15">
      <c r="A52" t="s">
        <v>318</v>
      </c>
      <c r="B52">
        <v>0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176</v>
      </c>
      <c r="I52">
        <v>13</v>
      </c>
      <c r="K52" t="str">
        <f t="shared" si="0"/>
        <v/>
      </c>
      <c r="L52" t="str">
        <f t="shared" si="1"/>
        <v>عطر جوز الهند</v>
      </c>
      <c r="M52" s="36">
        <f t="shared" si="2"/>
        <v>1</v>
      </c>
      <c r="N52" s="37">
        <f t="shared" si="3"/>
        <v>13</v>
      </c>
      <c r="O52" s="37">
        <f t="shared" si="4"/>
        <v>0</v>
      </c>
      <c r="P52" s="38">
        <f t="shared" si="5"/>
        <v>0</v>
      </c>
      <c r="Q52" s="39">
        <f t="shared" si="6"/>
        <v>0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IF(L52="","",IF($AO$1=1,IFERROR(MATCH(L52,'05-أيار'!$L$2:$L$501,0),0),0))</f>
        <v>0</v>
      </c>
      <c r="W52" t="str">
        <f t="shared" si="11"/>
        <v/>
      </c>
      <c r="X52" s="38" t="str">
        <f>IF(L52="","",IF(V52&gt;0,INDEX('05-أيار'!$P$2:$P$501,V52),IF($AO$1=1,0,"")))</f>
        <v/>
      </c>
      <c r="Y52" s="38" t="str">
        <f t="shared" si="12"/>
        <v/>
      </c>
      <c r="Z52" s="39" t="str">
        <f>IF(L52="","",IF(V52&gt;0,INDEX('05-أيار'!$Q$2:$Q$501,V52),IF($AO$1=1,0,"")))</f>
        <v/>
      </c>
      <c r="AA52" s="39" t="str">
        <f t="shared" si="13"/>
        <v/>
      </c>
      <c r="AB52" s="40" t="str">
        <f>IF(OR(L52="",V52=0),"",IF(AND(N(I52)&gt;0,N(INDEX('05-أيار'!$I$2:$I$501,V52))&gt;0,INDEX('05-أيار'!$F$2:$F$501,V52)=F52),N(I52)/N(INDEX('05-أيار'!$I$2:$I$501,V52))-1,""))</f>
        <v/>
      </c>
      <c r="AC52" t="str">
        <f>IF(L52="","",IF(AND($AO$2=1,ISNA(MATCH(L52,'07-تموز'!$L$2:$L$500,0))),"محذوف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5.2000000000000002E-8</v>
      </c>
      <c r="AL52">
        <f t="shared" si="19"/>
        <v>5.2000000000000002E-8</v>
      </c>
    </row>
    <row r="53" spans="1:38" ht="15">
      <c r="A53" t="s">
        <v>319</v>
      </c>
      <c r="B53">
        <v>22</v>
      </c>
      <c r="C53">
        <v>0</v>
      </c>
      <c r="D53">
        <v>0</v>
      </c>
      <c r="E53">
        <v>0</v>
      </c>
      <c r="F53" t="s">
        <v>268</v>
      </c>
      <c r="G53" t="s">
        <v>178</v>
      </c>
      <c r="H53" t="s">
        <v>176</v>
      </c>
      <c r="I53">
        <v>18</v>
      </c>
      <c r="K53" t="str">
        <f t="shared" si="0"/>
        <v/>
      </c>
      <c r="L53" t="str">
        <f t="shared" si="1"/>
        <v>عطر بيشبه بيدون السلطان - 87287252-750</v>
      </c>
      <c r="M53" s="36">
        <f t="shared" si="2"/>
        <v>1</v>
      </c>
      <c r="N53" s="37">
        <f t="shared" si="3"/>
        <v>18</v>
      </c>
      <c r="O53" s="37">
        <f t="shared" si="4"/>
        <v>0</v>
      </c>
      <c r="P53" s="38">
        <f t="shared" si="5"/>
        <v>22</v>
      </c>
      <c r="Q53" s="39">
        <f t="shared" si="6"/>
        <v>396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IF(L53="","",IF($AO$1=1,IFERROR(MATCH(L53,'05-أيار'!$L$2:$L$501,0),0),0))</f>
        <v>0</v>
      </c>
      <c r="W53" t="str">
        <f t="shared" si="11"/>
        <v/>
      </c>
      <c r="X53" s="38" t="str">
        <f>IF(L53="","",IF(V53&gt;0,INDEX('05-أيار'!$P$2:$P$501,V53),IF($AO$1=1,0,"")))</f>
        <v/>
      </c>
      <c r="Y53" s="38" t="str">
        <f t="shared" si="12"/>
        <v/>
      </c>
      <c r="Z53" s="39" t="str">
        <f>IF(L53="","",IF(V53&gt;0,INDEX('05-أيار'!$Q$2:$Q$501,V53),IF($AO$1=1,0,"")))</f>
        <v/>
      </c>
      <c r="AA53" s="39" t="str">
        <f t="shared" si="13"/>
        <v/>
      </c>
      <c r="AB53" s="40" t="str">
        <f>IF(OR(L53="",V53=0),"",IF(AND(N(I53)&gt;0,N(INDEX('05-أيار'!$I$2:$I$501,V53))&gt;0,INDEX('05-أيار'!$F$2:$F$501,V53)=F53),N(I53)/N(INDEX('05-أيار'!$I$2:$I$501,V53))-1,""))</f>
        <v/>
      </c>
      <c r="AC53" t="str">
        <f>IF(L53="","",IF(AND($AO$2=1,ISNA(MATCH(L53,'07-تموز'!$L$2:$L$500,0))),"محذوف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396.00000005300001</v>
      </c>
      <c r="AL53">
        <f t="shared" si="19"/>
        <v>5.2999999999999998E-8</v>
      </c>
    </row>
    <row r="54" spans="1:38" ht="15">
      <c r="A54" t="s">
        <v>320</v>
      </c>
      <c r="B54">
        <v>0</v>
      </c>
      <c r="C54">
        <v>0</v>
      </c>
      <c r="D54">
        <v>0</v>
      </c>
      <c r="E54">
        <v>0</v>
      </c>
      <c r="F54" t="s">
        <v>268</v>
      </c>
      <c r="G54" t="s">
        <v>178</v>
      </c>
      <c r="H54" t="s">
        <v>176</v>
      </c>
      <c r="I54">
        <v>15</v>
      </c>
      <c r="K54" t="str">
        <f t="shared" si="0"/>
        <v/>
      </c>
      <c r="L54" t="str">
        <f t="shared" si="1"/>
        <v>عطر بانتين</v>
      </c>
      <c r="M54" s="36">
        <f t="shared" si="2"/>
        <v>1</v>
      </c>
      <c r="N54" s="37">
        <f t="shared" si="3"/>
        <v>15</v>
      </c>
      <c r="O54" s="37">
        <f t="shared" si="4"/>
        <v>0</v>
      </c>
      <c r="P54" s="38">
        <f t="shared" si="5"/>
        <v>0</v>
      </c>
      <c r="Q54" s="39">
        <f t="shared" si="6"/>
        <v>0</v>
      </c>
      <c r="R54" s="39">
        <f t="shared" si="7"/>
        <v>0</v>
      </c>
      <c r="S54">
        <f t="shared" si="8"/>
        <v>0</v>
      </c>
      <c r="T54" s="39">
        <f t="shared" si="9"/>
        <v>0</v>
      </c>
      <c r="U54" t="str">
        <f t="shared" si="10"/>
        <v/>
      </c>
      <c r="V54">
        <f>IF(L54="","",IF($AO$1=1,IFERROR(MATCH(L54,'05-أيار'!$L$2:$L$501,0),0),0))</f>
        <v>0</v>
      </c>
      <c r="W54" t="str">
        <f t="shared" si="11"/>
        <v/>
      </c>
      <c r="X54" s="38" t="str">
        <f>IF(L54="","",IF(V54&gt;0,INDEX('05-أيار'!$P$2:$P$501,V54),IF($AO$1=1,0,"")))</f>
        <v/>
      </c>
      <c r="Y54" s="38" t="str">
        <f t="shared" si="12"/>
        <v/>
      </c>
      <c r="Z54" s="39" t="str">
        <f>IF(L54="","",IF(V54&gt;0,INDEX('05-أيار'!$Q$2:$Q$501,V54),IF($AO$1=1,0,"")))</f>
        <v/>
      </c>
      <c r="AA54" s="39" t="str">
        <f t="shared" si="13"/>
        <v/>
      </c>
      <c r="AB54" s="40" t="str">
        <f>IF(OR(L54="",V54=0),"",IF(AND(N(I54)&gt;0,N(INDEX('05-أيار'!$I$2:$I$501,V54))&gt;0,INDEX('05-أيار'!$F$2:$F$501,V54)=F54),N(I54)/N(INDEX('05-أيار'!$I$2:$I$501,V54))-1,""))</f>
        <v/>
      </c>
      <c r="AC54" t="str">
        <f>IF(L54="","",IF(AND($AO$2=1,ISNA(MATCH(L54,'07-تموز'!$L$2:$L$500,0))),"محذوف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>
        <f t="shared" si="15"/>
        <v>0</v>
      </c>
      <c r="AI54" s="39">
        <f t="shared" si="16"/>
        <v>0</v>
      </c>
      <c r="AJ54" s="39">
        <f t="shared" si="17"/>
        <v>0</v>
      </c>
      <c r="AK54">
        <f t="shared" si="18"/>
        <v>5.4E-8</v>
      </c>
      <c r="AL54">
        <f t="shared" si="19"/>
        <v>5.4E-8</v>
      </c>
    </row>
    <row r="55" spans="1:38" ht="15">
      <c r="A55" t="s">
        <v>321</v>
      </c>
      <c r="B55">
        <v>0</v>
      </c>
      <c r="C55">
        <v>0</v>
      </c>
      <c r="D55">
        <v>0</v>
      </c>
      <c r="E55">
        <v>0</v>
      </c>
      <c r="F55" t="s">
        <v>268</v>
      </c>
      <c r="G55" t="s">
        <v>178</v>
      </c>
      <c r="H55" t="s">
        <v>176</v>
      </c>
      <c r="I55">
        <v>13.2</v>
      </c>
      <c r="K55" t="str">
        <f t="shared" si="0"/>
        <v/>
      </c>
      <c r="L55" t="str">
        <f t="shared" si="1"/>
        <v>عطر اوليفا</v>
      </c>
      <c r="M55" s="36">
        <f t="shared" si="2"/>
        <v>1</v>
      </c>
      <c r="N55" s="37">
        <f t="shared" si="3"/>
        <v>13.2</v>
      </c>
      <c r="O55" s="37">
        <f t="shared" si="4"/>
        <v>0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IF(L55="","",IF($AO$1=1,IFERROR(MATCH(L55,'05-أيار'!$L$2:$L$501,0),0),0))</f>
        <v>0</v>
      </c>
      <c r="W55" t="str">
        <f t="shared" si="11"/>
        <v/>
      </c>
      <c r="X55" s="38" t="str">
        <f>IF(L55="","",IF(V55&gt;0,INDEX('05-أيار'!$P$2:$P$501,V55),IF($AO$1=1,0,"")))</f>
        <v/>
      </c>
      <c r="Y55" s="38" t="str">
        <f t="shared" si="12"/>
        <v/>
      </c>
      <c r="Z55" s="39" t="str">
        <f>IF(L55="","",IF(V55&gt;0,INDEX('05-أيار'!$Q$2:$Q$501,V55),IF($AO$1=1,0,"")))</f>
        <v/>
      </c>
      <c r="AA55" s="39" t="str">
        <f t="shared" si="13"/>
        <v/>
      </c>
      <c r="AB55" s="40" t="str">
        <f>IF(OR(L55="",V55=0),"",IF(AND(N(I55)&gt;0,N(INDEX('05-أيار'!$I$2:$I$501,V55))&gt;0,INDEX('05-أيار'!$F$2:$F$501,V55)=F55),N(I55)/N(INDEX('05-أيار'!$I$2:$I$501,V55))-1,""))</f>
        <v/>
      </c>
      <c r="AC55" t="str">
        <f>IF(L55="","",IF(AND($AO$2=1,ISNA(MATCH(L55,'07-تموز'!$L$2:$L$500,0))),"محذوف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322</v>
      </c>
      <c r="B56">
        <v>2</v>
      </c>
      <c r="C56">
        <v>0</v>
      </c>
      <c r="D56">
        <v>0</v>
      </c>
      <c r="E56">
        <v>0</v>
      </c>
      <c r="F56" t="s">
        <v>268</v>
      </c>
      <c r="G56" t="s">
        <v>178</v>
      </c>
      <c r="H56" t="s">
        <v>176</v>
      </c>
      <c r="I56">
        <v>425</v>
      </c>
      <c r="K56" t="str">
        <f t="shared" si="0"/>
        <v/>
      </c>
      <c r="L56" t="str">
        <f t="shared" si="1"/>
        <v>عطر ramani-kodi-000110</v>
      </c>
      <c r="M56" s="36">
        <f t="shared" si="2"/>
        <v>1</v>
      </c>
      <c r="N56" s="37">
        <f t="shared" si="3"/>
        <v>425</v>
      </c>
      <c r="O56" s="37">
        <f t="shared" si="4"/>
        <v>0</v>
      </c>
      <c r="P56" s="38">
        <f t="shared" si="5"/>
        <v>2</v>
      </c>
      <c r="Q56" s="39">
        <f t="shared" si="6"/>
        <v>850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IF(L56="","",IF($AO$1=1,IFERROR(MATCH(L56,'05-أيار'!$L$2:$L$501,0),0),0))</f>
        <v>0</v>
      </c>
      <c r="W56" t="str">
        <f t="shared" si="11"/>
        <v/>
      </c>
      <c r="X56" s="38" t="str">
        <f>IF(L56="","",IF(V56&gt;0,INDEX('05-أيار'!$P$2:$P$501,V56),IF($AO$1=1,0,"")))</f>
        <v/>
      </c>
      <c r="Y56" s="38" t="str">
        <f t="shared" si="12"/>
        <v/>
      </c>
      <c r="Z56" s="39" t="str">
        <f>IF(L56="","",IF(V56&gt;0,INDEX('05-أيار'!$Q$2:$Q$501,V56),IF($AO$1=1,0,"")))</f>
        <v/>
      </c>
      <c r="AA56" s="39" t="str">
        <f t="shared" si="13"/>
        <v/>
      </c>
      <c r="AB56" s="40" t="str">
        <f>IF(OR(L56="",V56=0),"",IF(AND(N(I56)&gt;0,N(INDEX('05-أيار'!$I$2:$I$501,V56))&gt;0,INDEX('05-أيار'!$F$2:$F$501,V56)=F56),N(I56)/N(INDEX('05-أيار'!$I$2:$I$501,V56))-1,""))</f>
        <v/>
      </c>
      <c r="AC56" t="str">
        <f>IF(L56="","",IF(AND($AO$2=1,ISNA(MATCH(L56,'07-تموز'!$L$2:$L$500,0))),"محذوف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850.00000005599998</v>
      </c>
      <c r="AL56">
        <f t="shared" si="19"/>
        <v>5.5999999999999999E-8</v>
      </c>
    </row>
    <row r="57" spans="1:38" ht="15">
      <c r="A57" t="s">
        <v>323</v>
      </c>
      <c r="B57">
        <v>50</v>
      </c>
      <c r="C57">
        <v>0</v>
      </c>
      <c r="D57">
        <v>0</v>
      </c>
      <c r="E57">
        <v>0</v>
      </c>
      <c r="F57" t="s">
        <v>268</v>
      </c>
      <c r="G57" t="s">
        <v>178</v>
      </c>
      <c r="H57" t="s">
        <v>176</v>
      </c>
      <c r="I57">
        <v>22</v>
      </c>
      <c r="K57" t="str">
        <f t="shared" si="0"/>
        <v/>
      </c>
      <c r="L57" t="str">
        <f t="shared" si="1"/>
        <v>عطر magic sprel - 6168581</v>
      </c>
      <c r="M57" s="36">
        <f t="shared" si="2"/>
        <v>1</v>
      </c>
      <c r="N57" s="37">
        <f t="shared" si="3"/>
        <v>22</v>
      </c>
      <c r="O57" s="37">
        <f t="shared" si="4"/>
        <v>0</v>
      </c>
      <c r="P57" s="38">
        <f t="shared" si="5"/>
        <v>50</v>
      </c>
      <c r="Q57" s="39">
        <f t="shared" si="6"/>
        <v>1100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IF(L57="","",IF($AO$1=1,IFERROR(MATCH(L57,'05-أيار'!$L$2:$L$501,0),0),0))</f>
        <v>0</v>
      </c>
      <c r="W57" t="str">
        <f t="shared" si="11"/>
        <v/>
      </c>
      <c r="X57" s="38" t="str">
        <f>IF(L57="","",IF(V57&gt;0,INDEX('05-أيار'!$P$2:$P$501,V57),IF($AO$1=1,0,"")))</f>
        <v/>
      </c>
      <c r="Y57" s="38" t="str">
        <f t="shared" si="12"/>
        <v/>
      </c>
      <c r="Z57" s="39" t="str">
        <f>IF(L57="","",IF(V57&gt;0,INDEX('05-أيار'!$Q$2:$Q$501,V57),IF($AO$1=1,0,"")))</f>
        <v/>
      </c>
      <c r="AA57" s="39" t="str">
        <f t="shared" si="13"/>
        <v/>
      </c>
      <c r="AB57" s="40" t="str">
        <f>IF(OR(L57="",V57=0),"",IF(AND(N(I57)&gt;0,N(INDEX('05-أيار'!$I$2:$I$501,V57))&gt;0,INDEX('05-أيار'!$F$2:$F$501,V57)=F57),N(I57)/N(INDEX('05-أيار'!$I$2:$I$501,V57))-1,""))</f>
        <v/>
      </c>
      <c r="AC57" t="str">
        <f>IF(L57="","",IF(AND($AO$2=1,ISNA(MATCH(L57,'07-تموز'!$L$2:$L$500,0))),"محذوف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1100.0000000570001</v>
      </c>
      <c r="AL57">
        <f t="shared" si="19"/>
        <v>5.7000000000000001E-8</v>
      </c>
    </row>
    <row r="58" spans="1:38" ht="15">
      <c r="A58" t="s">
        <v>324</v>
      </c>
      <c r="B58">
        <v>4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425</v>
      </c>
      <c r="K58" t="str">
        <f t="shared" si="0"/>
        <v/>
      </c>
      <c r="L58" t="str">
        <f t="shared" si="1"/>
        <v>عطر kavien-clein-eforia-000020</v>
      </c>
      <c r="M58" s="36">
        <f t="shared" si="2"/>
        <v>1</v>
      </c>
      <c r="N58" s="37">
        <f t="shared" si="3"/>
        <v>425</v>
      </c>
      <c r="O58" s="37">
        <f t="shared" si="4"/>
        <v>0</v>
      </c>
      <c r="P58" s="38">
        <f t="shared" si="5"/>
        <v>4</v>
      </c>
      <c r="Q58" s="39">
        <f t="shared" si="6"/>
        <v>1700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IF(L58="","",IF($AO$1=1,IFERROR(MATCH(L58,'05-أيار'!$L$2:$L$501,0),0),0))</f>
        <v>0</v>
      </c>
      <c r="W58" t="str">
        <f t="shared" si="11"/>
        <v/>
      </c>
      <c r="X58" s="38" t="str">
        <f>IF(L58="","",IF(V58&gt;0,INDEX('05-أيار'!$P$2:$P$501,V58),IF($AO$1=1,0,"")))</f>
        <v/>
      </c>
      <c r="Y58" s="38" t="str">
        <f t="shared" si="12"/>
        <v/>
      </c>
      <c r="Z58" s="39" t="str">
        <f>IF(L58="","",IF(V58&gt;0,INDEX('05-أيار'!$Q$2:$Q$501,V58),IF($AO$1=1,0,"")))</f>
        <v/>
      </c>
      <c r="AA58" s="39" t="str">
        <f t="shared" si="13"/>
        <v/>
      </c>
      <c r="AB58" s="40" t="str">
        <f>IF(OR(L58="",V58=0),"",IF(AND(N(I58)&gt;0,N(INDEX('05-أيار'!$I$2:$I$501,V58))&gt;0,INDEX('05-أيار'!$F$2:$F$501,V58)=F58),N(I58)/N(INDEX('05-أيار'!$I$2:$I$501,V58))-1,""))</f>
        <v/>
      </c>
      <c r="AC58" t="str">
        <f>IF(L58="","",IF(AND($AO$2=1,ISNA(MATCH(L58,'07-تموز'!$L$2:$L$500,0))),"محذوف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1700.0000000580001</v>
      </c>
      <c r="AL58">
        <f t="shared" si="19"/>
        <v>5.8000000000000003E-8</v>
      </c>
    </row>
    <row r="59" spans="1:38" ht="15">
      <c r="A59" t="s">
        <v>325</v>
      </c>
      <c r="B59">
        <v>1.44</v>
      </c>
      <c r="C59">
        <v>0</v>
      </c>
      <c r="D59">
        <v>0</v>
      </c>
      <c r="E59">
        <v>0</v>
      </c>
      <c r="F59" t="s">
        <v>268</v>
      </c>
      <c r="G59" t="s">
        <v>178</v>
      </c>
      <c r="H59" t="s">
        <v>176</v>
      </c>
      <c r="I59">
        <v>400</v>
      </c>
      <c r="K59" t="str">
        <f t="shared" si="0"/>
        <v/>
      </c>
      <c r="L59" t="str">
        <f t="shared" si="1"/>
        <v>عطر energy-000400</v>
      </c>
      <c r="M59" s="36">
        <f t="shared" si="2"/>
        <v>1</v>
      </c>
      <c r="N59" s="37">
        <f t="shared" si="3"/>
        <v>400</v>
      </c>
      <c r="O59" s="37">
        <f t="shared" si="4"/>
        <v>0</v>
      </c>
      <c r="P59" s="38">
        <f t="shared" si="5"/>
        <v>1.44</v>
      </c>
      <c r="Q59" s="39">
        <f t="shared" si="6"/>
        <v>576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IF(L59="","",IF($AO$1=1,IFERROR(MATCH(L59,'05-أيار'!$L$2:$L$501,0),0),0))</f>
        <v>0</v>
      </c>
      <c r="W59" t="str">
        <f t="shared" si="11"/>
        <v/>
      </c>
      <c r="X59" s="38" t="str">
        <f>IF(L59="","",IF(V59&gt;0,INDEX('05-أيار'!$P$2:$P$501,V59),IF($AO$1=1,0,"")))</f>
        <v/>
      </c>
      <c r="Y59" s="38" t="str">
        <f t="shared" si="12"/>
        <v/>
      </c>
      <c r="Z59" s="39" t="str">
        <f>IF(L59="","",IF(V59&gt;0,INDEX('05-أيار'!$Q$2:$Q$501,V59),IF($AO$1=1,0,"")))</f>
        <v/>
      </c>
      <c r="AA59" s="39" t="str">
        <f t="shared" si="13"/>
        <v/>
      </c>
      <c r="AB59" s="40" t="str">
        <f>IF(OR(L59="",V59=0),"",IF(AND(N(I59)&gt;0,N(INDEX('05-أيار'!$I$2:$I$501,V59))&gt;0,INDEX('05-أيار'!$F$2:$F$501,V59)=F59),N(I59)/N(INDEX('05-أيار'!$I$2:$I$501,V59))-1,""))</f>
        <v/>
      </c>
      <c r="AC59" t="str">
        <f>IF(L59="","",IF(AND($AO$2=1,ISNA(MATCH(L59,'07-تموز'!$L$2:$L$500,0))),"محذوف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576.00000005899994</v>
      </c>
      <c r="AL59">
        <f t="shared" si="19"/>
        <v>5.8999999999999999E-8</v>
      </c>
    </row>
    <row r="60" spans="1:38" ht="15">
      <c r="A60" t="s">
        <v>326</v>
      </c>
      <c r="B60">
        <v>105</v>
      </c>
      <c r="C60">
        <v>0</v>
      </c>
      <c r="D60">
        <v>0</v>
      </c>
      <c r="E60">
        <v>0</v>
      </c>
      <c r="F60" t="s">
        <v>268</v>
      </c>
      <c r="G60" t="s">
        <v>178</v>
      </c>
      <c r="H60" t="s">
        <v>176</v>
      </c>
      <c r="I60">
        <v>24</v>
      </c>
      <c r="K60" t="str">
        <f t="shared" si="0"/>
        <v/>
      </c>
      <c r="L60" t="str">
        <f t="shared" si="1"/>
        <v>عطر Blue APC - 0001198620</v>
      </c>
      <c r="M60" s="36">
        <f t="shared" si="2"/>
        <v>1</v>
      </c>
      <c r="N60" s="37">
        <f t="shared" si="3"/>
        <v>24</v>
      </c>
      <c r="O60" s="37">
        <f t="shared" si="4"/>
        <v>0</v>
      </c>
      <c r="P60" s="38">
        <f t="shared" si="5"/>
        <v>105</v>
      </c>
      <c r="Q60" s="39">
        <f t="shared" si="6"/>
        <v>2520</v>
      </c>
      <c r="R60" s="39">
        <f t="shared" si="7"/>
        <v>0</v>
      </c>
      <c r="S60">
        <f t="shared" si="8"/>
        <v>0</v>
      </c>
      <c r="T60" s="39">
        <f t="shared" si="9"/>
        <v>0</v>
      </c>
      <c r="U60" t="str">
        <f t="shared" si="10"/>
        <v/>
      </c>
      <c r="V60">
        <f>IF(L60="","",IF($AO$1=1,IFERROR(MATCH(L60,'05-أيار'!$L$2:$L$501,0),0),0))</f>
        <v>0</v>
      </c>
      <c r="W60" t="str">
        <f t="shared" si="11"/>
        <v/>
      </c>
      <c r="X60" s="38" t="str">
        <f>IF(L60="","",IF(V60&gt;0,INDEX('05-أيار'!$P$2:$P$501,V60),IF($AO$1=1,0,"")))</f>
        <v/>
      </c>
      <c r="Y60" s="38" t="str">
        <f t="shared" si="12"/>
        <v/>
      </c>
      <c r="Z60" s="39" t="str">
        <f>IF(L60="","",IF(V60&gt;0,INDEX('05-أيار'!$Q$2:$Q$501,V60),IF($AO$1=1,0,"")))</f>
        <v/>
      </c>
      <c r="AA60" s="39" t="str">
        <f t="shared" si="13"/>
        <v/>
      </c>
      <c r="AB60" s="40" t="str">
        <f>IF(OR(L60="",V60=0),"",IF(AND(N(I60)&gt;0,N(INDEX('05-أيار'!$I$2:$I$501,V60))&gt;0,INDEX('05-أيار'!$F$2:$F$501,V60)=F60),N(I60)/N(INDEX('05-أيار'!$I$2:$I$501,V60))-1,""))</f>
        <v/>
      </c>
      <c r="AC60" t="str">
        <f>IF(L60="","",IF(AND($AO$2=1,ISNA(MATCH(L60,'07-تموز'!$L$2:$L$500,0))),"محذوف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>
        <f t="shared" si="15"/>
        <v>0</v>
      </c>
      <c r="AI60" s="39">
        <f t="shared" si="16"/>
        <v>0</v>
      </c>
      <c r="AJ60" s="39">
        <f t="shared" si="17"/>
        <v>0</v>
      </c>
      <c r="AK60">
        <f t="shared" si="18"/>
        <v>2520.0000000599998</v>
      </c>
      <c r="AL60">
        <f t="shared" si="19"/>
        <v>5.9999999999999995E-8</v>
      </c>
    </row>
    <row r="61" spans="1:38" ht="15">
      <c r="A61" t="s">
        <v>327</v>
      </c>
      <c r="B61">
        <v>4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450</v>
      </c>
      <c r="K61" t="str">
        <f t="shared" si="0"/>
        <v/>
      </c>
      <c r="L61" t="str">
        <f t="shared" si="1"/>
        <v>عطر billionair-000250</v>
      </c>
      <c r="M61" s="36">
        <f t="shared" si="2"/>
        <v>1</v>
      </c>
      <c r="N61" s="37">
        <f t="shared" si="3"/>
        <v>450</v>
      </c>
      <c r="O61" s="37">
        <f t="shared" si="4"/>
        <v>0</v>
      </c>
      <c r="P61" s="38">
        <f t="shared" si="5"/>
        <v>4</v>
      </c>
      <c r="Q61" s="39">
        <f t="shared" si="6"/>
        <v>1800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IF(L61="","",IF($AO$1=1,IFERROR(MATCH(L61,'05-أيار'!$L$2:$L$501,0),0),0))</f>
        <v>0</v>
      </c>
      <c r="W61" t="str">
        <f t="shared" si="11"/>
        <v/>
      </c>
      <c r="X61" s="38" t="str">
        <f>IF(L61="","",IF(V61&gt;0,INDEX('05-أيار'!$P$2:$P$501,V61),IF($AO$1=1,0,"")))</f>
        <v/>
      </c>
      <c r="Y61" s="38" t="str">
        <f t="shared" si="12"/>
        <v/>
      </c>
      <c r="Z61" s="39" t="str">
        <f>IF(L61="","",IF(V61&gt;0,INDEX('05-أيار'!$Q$2:$Q$501,V61),IF($AO$1=1,0,"")))</f>
        <v/>
      </c>
      <c r="AA61" s="39" t="str">
        <f t="shared" si="13"/>
        <v/>
      </c>
      <c r="AB61" s="40" t="str">
        <f>IF(OR(L61="",V61=0),"",IF(AND(N(I61)&gt;0,N(INDEX('05-أيار'!$I$2:$I$501,V61))&gt;0,INDEX('05-أيار'!$F$2:$F$501,V61)=F61),N(I61)/N(INDEX('05-أيار'!$I$2:$I$501,V61))-1,""))</f>
        <v/>
      </c>
      <c r="AC61" t="str">
        <f>IF(L61="","",IF(AND($AO$2=1,ISNA(MATCH(L61,'07-تموز'!$L$2:$L$500,0))),"محذوف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1800.000000061</v>
      </c>
      <c r="AL61">
        <f t="shared" si="19"/>
        <v>6.1000000000000004E-8</v>
      </c>
    </row>
    <row r="62" spans="1:38" ht="15">
      <c r="A62" t="s">
        <v>328</v>
      </c>
      <c r="B62">
        <v>2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187.5</v>
      </c>
      <c r="K62" t="str">
        <f t="shared" si="0"/>
        <v/>
      </c>
      <c r="L62" t="str">
        <f t="shared" si="1"/>
        <v>عطر be-apple-000320</v>
      </c>
      <c r="M62" s="36">
        <f t="shared" si="2"/>
        <v>1</v>
      </c>
      <c r="N62" s="37">
        <f t="shared" si="3"/>
        <v>187.5</v>
      </c>
      <c r="O62" s="37">
        <f t="shared" si="4"/>
        <v>0</v>
      </c>
      <c r="P62" s="38">
        <f t="shared" si="5"/>
        <v>2</v>
      </c>
      <c r="Q62" s="39">
        <f t="shared" si="6"/>
        <v>375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IF(L62="","",IF($AO$1=1,IFERROR(MATCH(L62,'05-أيار'!$L$2:$L$501,0),0),0))</f>
        <v>0</v>
      </c>
      <c r="W62" t="str">
        <f t="shared" si="11"/>
        <v/>
      </c>
      <c r="X62" s="38" t="str">
        <f>IF(L62="","",IF(V62&gt;0,INDEX('05-أيار'!$P$2:$P$501,V62),IF($AO$1=1,0,"")))</f>
        <v/>
      </c>
      <c r="Y62" s="38" t="str">
        <f t="shared" si="12"/>
        <v/>
      </c>
      <c r="Z62" s="39" t="str">
        <f>IF(L62="","",IF(V62&gt;0,INDEX('05-أيار'!$Q$2:$Q$501,V62),IF($AO$1=1,0,"")))</f>
        <v/>
      </c>
      <c r="AA62" s="39" t="str">
        <f t="shared" si="13"/>
        <v/>
      </c>
      <c r="AB62" s="40" t="str">
        <f>IF(OR(L62="",V62=0),"",IF(AND(N(I62)&gt;0,N(INDEX('05-أيار'!$I$2:$I$501,V62))&gt;0,INDEX('05-أيار'!$F$2:$F$501,V62)=F62),N(I62)/N(INDEX('05-أيار'!$I$2:$I$501,V62))-1,""))</f>
        <v/>
      </c>
      <c r="AC62" t="str">
        <f>IF(L62="","",IF(AND($AO$2=1,ISNA(MATCH(L62,'07-تموز'!$L$2:$L$500,0))),"محذوف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375.00000006200003</v>
      </c>
      <c r="AL62">
        <f t="shared" si="19"/>
        <v>6.1999999999999999E-8</v>
      </c>
    </row>
    <row r="63" spans="1:38" ht="15">
      <c r="A63" t="s">
        <v>329</v>
      </c>
      <c r="B63">
        <v>0</v>
      </c>
      <c r="C63">
        <v>0</v>
      </c>
      <c r="D63">
        <v>0</v>
      </c>
      <c r="E63">
        <v>0</v>
      </c>
      <c r="F63" t="s">
        <v>268</v>
      </c>
      <c r="G63" t="s">
        <v>178</v>
      </c>
      <c r="H63" t="s">
        <v>176</v>
      </c>
      <c r="I63">
        <v>0.8</v>
      </c>
      <c r="K63" t="str">
        <f t="shared" si="0"/>
        <v/>
      </c>
      <c r="L63" t="str">
        <f t="shared" si="1"/>
        <v>عبوة 1 لتر</v>
      </c>
      <c r="M63" s="36">
        <f t="shared" si="2"/>
        <v>1</v>
      </c>
      <c r="N63" s="37">
        <f t="shared" si="3"/>
        <v>0.8</v>
      </c>
      <c r="O63" s="37">
        <f t="shared" si="4"/>
        <v>0</v>
      </c>
      <c r="P63" s="38">
        <f t="shared" si="5"/>
        <v>0</v>
      </c>
      <c r="Q63" s="39">
        <f t="shared" si="6"/>
        <v>0</v>
      </c>
      <c r="R63" s="39">
        <f t="shared" si="7"/>
        <v>0</v>
      </c>
      <c r="S63">
        <f t="shared" si="8"/>
        <v>0</v>
      </c>
      <c r="T63" s="39">
        <f t="shared" si="9"/>
        <v>0</v>
      </c>
      <c r="U63" t="str">
        <f t="shared" si="10"/>
        <v/>
      </c>
      <c r="V63">
        <f>IF(L63="","",IF($AO$1=1,IFERROR(MATCH(L63,'05-أيار'!$L$2:$L$501,0),0),0))</f>
        <v>0</v>
      </c>
      <c r="W63" t="str">
        <f t="shared" si="11"/>
        <v/>
      </c>
      <c r="X63" s="38" t="str">
        <f>IF(L63="","",IF(V63&gt;0,INDEX('05-أيار'!$P$2:$P$501,V63),IF($AO$1=1,0,"")))</f>
        <v/>
      </c>
      <c r="Y63" s="38" t="str">
        <f t="shared" si="12"/>
        <v/>
      </c>
      <c r="Z63" s="39" t="str">
        <f>IF(L63="","",IF(V63&gt;0,INDEX('05-أيار'!$Q$2:$Q$501,V63),IF($AO$1=1,0,"")))</f>
        <v/>
      </c>
      <c r="AA63" s="39" t="str">
        <f t="shared" si="13"/>
        <v/>
      </c>
      <c r="AB63" s="40" t="str">
        <f>IF(OR(L63="",V63=0),"",IF(AND(N(I63)&gt;0,N(INDEX('05-أيار'!$I$2:$I$501,V63))&gt;0,INDEX('05-أيار'!$F$2:$F$501,V63)=F63),N(I63)/N(INDEX('05-أيار'!$I$2:$I$501,V63))-1,""))</f>
        <v/>
      </c>
      <c r="AC63" t="str">
        <f>IF(L63="","",IF(AND($AO$2=1,ISNA(MATCH(L63,'07-تموز'!$L$2:$L$500,0))),"محذوف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>
        <f t="shared" si="15"/>
        <v>0</v>
      </c>
      <c r="AI63" s="39">
        <f t="shared" si="16"/>
        <v>0</v>
      </c>
      <c r="AJ63" s="39">
        <f t="shared" si="17"/>
        <v>0</v>
      </c>
      <c r="AK63">
        <f t="shared" si="18"/>
        <v>6.2999999999999995E-8</v>
      </c>
      <c r="AL63">
        <f t="shared" si="19"/>
        <v>6.2999999999999995E-8</v>
      </c>
    </row>
    <row r="64" spans="1:38" ht="15">
      <c r="A64" t="s">
        <v>330</v>
      </c>
      <c r="B64">
        <v>0</v>
      </c>
      <c r="C64">
        <v>0</v>
      </c>
      <c r="D64">
        <v>0</v>
      </c>
      <c r="E64">
        <v>0</v>
      </c>
      <c r="F64" t="s">
        <v>268</v>
      </c>
      <c r="G64" t="s">
        <v>178</v>
      </c>
      <c r="H64" t="s">
        <v>177</v>
      </c>
      <c r="I64">
        <v>0</v>
      </c>
      <c r="K64" t="str">
        <f t="shared" si="0"/>
        <v/>
      </c>
      <c r="L64" t="str">
        <f t="shared" si="1"/>
        <v>طبخة رابع مخصصة</v>
      </c>
      <c r="M64" s="36">
        <f t="shared" si="2"/>
        <v>1</v>
      </c>
      <c r="N64" s="37">
        <f t="shared" si="3"/>
        <v>0</v>
      </c>
      <c r="O64" s="37">
        <f t="shared" si="4"/>
        <v>0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IF(L64="","",IF($AO$1=1,IFERROR(MATCH(L64,'05-أيار'!$L$2:$L$501,0),0),0))</f>
        <v>0</v>
      </c>
      <c r="W64" t="str">
        <f t="shared" si="11"/>
        <v/>
      </c>
      <c r="X64" s="38" t="str">
        <f>IF(L64="","",IF(V64&gt;0,INDEX('05-أيار'!$P$2:$P$501,V64),IF($AO$1=1,0,"")))</f>
        <v/>
      </c>
      <c r="Y64" s="38" t="str">
        <f t="shared" si="12"/>
        <v/>
      </c>
      <c r="Z64" s="39" t="str">
        <f>IF(L64="","",IF(V64&gt;0,INDEX('05-أيار'!$Q$2:$Q$501,V64),IF($AO$1=1,0,"")))</f>
        <v/>
      </c>
      <c r="AA64" s="39" t="str">
        <f t="shared" si="13"/>
        <v/>
      </c>
      <c r="AB64" s="40" t="str">
        <f>IF(OR(L64="",V64=0),"",IF(AND(N(I64)&gt;0,N(INDEX('05-أيار'!$I$2:$I$501,V64))&gt;0,INDEX('05-أيار'!$F$2:$F$501,V64)=F64),N(I64)/N(INDEX('05-أيار'!$I$2:$I$501,V64))-1,""))</f>
        <v/>
      </c>
      <c r="AC64" t="str">
        <f>IF(L64="","",IF(AND($AO$2=1,ISNA(MATCH(L64,'07-تموز'!$L$2:$L$500,0))),"محذوف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331</v>
      </c>
      <c r="B65">
        <v>0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177</v>
      </c>
      <c r="I65">
        <v>0</v>
      </c>
      <c r="K65" t="str">
        <f t="shared" si="0"/>
        <v/>
      </c>
      <c r="L65" t="str">
        <f t="shared" si="1"/>
        <v>طبخة رابع تنتح طبختين</v>
      </c>
      <c r="M65" s="36">
        <f t="shared" si="2"/>
        <v>1</v>
      </c>
      <c r="N65" s="37">
        <f t="shared" si="3"/>
        <v>0</v>
      </c>
      <c r="O65" s="37">
        <f t="shared" si="4"/>
        <v>0</v>
      </c>
      <c r="P65" s="38">
        <f t="shared" si="5"/>
        <v>0</v>
      </c>
      <c r="Q65" s="39">
        <f t="shared" si="6"/>
        <v>0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IF(L65="","",IF($AO$1=1,IFERROR(MATCH(L65,'05-أيار'!$L$2:$L$501,0),0),0))</f>
        <v>0</v>
      </c>
      <c r="W65" t="str">
        <f t="shared" si="11"/>
        <v/>
      </c>
      <c r="X65" s="38" t="str">
        <f>IF(L65="","",IF(V65&gt;0,INDEX('05-أيار'!$P$2:$P$501,V65),IF($AO$1=1,0,"")))</f>
        <v/>
      </c>
      <c r="Y65" s="38" t="str">
        <f t="shared" si="12"/>
        <v/>
      </c>
      <c r="Z65" s="39" t="str">
        <f>IF(L65="","",IF(V65&gt;0,INDEX('05-أيار'!$Q$2:$Q$501,V65),IF($AO$1=1,0,"")))</f>
        <v/>
      </c>
      <c r="AA65" s="39" t="str">
        <f t="shared" si="13"/>
        <v/>
      </c>
      <c r="AB65" s="40" t="str">
        <f>IF(OR(L65="",V65=0),"",IF(AND(N(I65)&gt;0,N(INDEX('05-أيار'!$I$2:$I$501,V65))&gt;0,INDEX('05-أيار'!$F$2:$F$501,V65)=F65),N(I65)/N(INDEX('05-أيار'!$I$2:$I$501,V65))-1,""))</f>
        <v/>
      </c>
      <c r="AC65" t="str">
        <f>IF(L65="","",IF(AND($AO$2=1,ISNA(MATCH(L65,'07-تموز'!$L$2:$L$500,0))),"محذوف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6.5E-8</v>
      </c>
      <c r="AL65">
        <f t="shared" si="19"/>
        <v>6.5E-8</v>
      </c>
    </row>
    <row r="66" spans="1:38" ht="15">
      <c r="A66" t="s">
        <v>332</v>
      </c>
      <c r="B66">
        <v>0</v>
      </c>
      <c r="C66">
        <v>0</v>
      </c>
      <c r="D66">
        <v>0</v>
      </c>
      <c r="E66">
        <v>0</v>
      </c>
      <c r="F66" t="s">
        <v>268</v>
      </c>
      <c r="G66" t="s">
        <v>178</v>
      </c>
      <c r="H66" t="s">
        <v>177</v>
      </c>
      <c r="I66">
        <v>642</v>
      </c>
      <c r="K66" t="str">
        <f t="shared" ref="K66:K129" si="20">IF(L66="","",IF(U66&lt;&gt;"","⚠",""))</f>
        <v/>
      </c>
      <c r="L66" t="str">
        <f t="shared" ref="L66:L129" si="21">IF(A66="","",TRIM(A66))</f>
        <v>طبخة اول تنتج طبختين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642</v>
      </c>
      <c r="O66" s="37">
        <f t="shared" ref="O66:O129" si="24">IF(L66="","",M66*CHOOSE($AO$4,N(C66),N(D66),N(E66)))</f>
        <v>0</v>
      </c>
      <c r="P66" s="38">
        <f t="shared" ref="P66:P129" si="25">IF(L66="","",MAX(N(B66),0))</f>
        <v>0</v>
      </c>
      <c r="Q66" s="39">
        <f t="shared" ref="Q66:Q129" si="26">IF(L66="","",P66*N66)</f>
        <v>0</v>
      </c>
      <c r="R66" s="39">
        <f t="shared" ref="R66:R129" si="27">IF(L66="","",P66*O66)</f>
        <v>0</v>
      </c>
      <c r="S66">
        <f t="shared" ref="S66:S129" si="28">IF(L66="","",IF(AND(P66&gt;0,N66&gt;0,O66&gt;0),1,0))</f>
        <v>0</v>
      </c>
      <c r="T66" s="39">
        <f t="shared" ref="T66:T129" si="29">IF(L66="","",S66*(R66-Q66))</f>
        <v>0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IF(L66="","",IF($AO$1=1,IFERROR(MATCH(L66,'05-أيار'!$L$2:$L$501,0),0),0))</f>
        <v>0</v>
      </c>
      <c r="W66" t="str">
        <f t="shared" ref="W66:W129" si="31">IF(L66="","",IF(AND($AO$1=1,V66=0),"جديد",""))</f>
        <v/>
      </c>
      <c r="X66" s="38" t="str">
        <f>IF(L66="","",IF(V66&gt;0,INDEX('05-أيار'!$P$2:$P$501,V66),IF($AO$1=1,0,"")))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IF(L66="","",IF(V66&gt;0,INDEX('05-أيار'!$Q$2:$Q$501,V66),IF($AO$1=1,0,"")))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IF(OR(L66="",V66=0),"",IF(AND(N(I66)&gt;0,N(INDEX('05-أيار'!$I$2:$I$501,V66))&gt;0,INDEX('05-أيار'!$F$2:$F$501,V66)=F66),N(I66)/N(INDEX('05-أيار'!$I$2:$I$501,V66))-1,""))</f>
        <v/>
      </c>
      <c r="AC66" t="str">
        <f>IF(L66="","",IF(AND($AO$2=1,ISNA(MATCH(L66,'07-تموز'!$L$2:$L$500,0))),"محذوف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>
        <f t="shared" ref="AH66:AH129" si="35">IF(L66="","",IF(AND(P66&gt;0,N66&gt;0,N(C66)&gt;0),P66*(M66*N(C66)-N66),0))</f>
        <v>0</v>
      </c>
      <c r="AI66" s="39">
        <f t="shared" ref="AI66:AI129" si="36">IF(L66="","",IF(AND(P66&gt;0,N66&gt;0,N(D66)&gt;0),P66*(M66*N(D66)-N66),0))</f>
        <v>0</v>
      </c>
      <c r="AJ66" s="39">
        <f t="shared" ref="AJ66:AJ129" si="37">IF(L66="","",IF(AND(P66&gt;0,N66&gt;0,N(E66)&gt;0),P66*(M66*N(E66)-N66),0))</f>
        <v>0</v>
      </c>
      <c r="AK66">
        <f t="shared" ref="AK66:AK129" si="38">IF(L66="","",Q66+ROW()/1000000000)</f>
        <v>6.5999999999999995E-8</v>
      </c>
      <c r="AL66">
        <f t="shared" ref="AL66:AL129" si="39">IF(L66="","",T66+ROW()/1000000000)</f>
        <v>6.5999999999999995E-8</v>
      </c>
    </row>
    <row r="67" spans="1:38" ht="15">
      <c r="A67" t="s">
        <v>333</v>
      </c>
      <c r="B67">
        <v>17</v>
      </c>
      <c r="C67">
        <v>8.5</v>
      </c>
      <c r="D67">
        <v>8.5</v>
      </c>
      <c r="E67">
        <v>8.5</v>
      </c>
      <c r="F67" t="s">
        <v>268</v>
      </c>
      <c r="G67" t="s">
        <v>178</v>
      </c>
      <c r="H67" t="s">
        <v>176</v>
      </c>
      <c r="I67">
        <v>8</v>
      </c>
      <c r="K67" t="str">
        <f t="shared" si="20"/>
        <v/>
      </c>
      <c r="L67" t="str">
        <f t="shared" si="21"/>
        <v>طبالي خشب</v>
      </c>
      <c r="M67" s="36">
        <f t="shared" si="22"/>
        <v>1</v>
      </c>
      <c r="N67" s="37">
        <f t="shared" si="23"/>
        <v>8</v>
      </c>
      <c r="O67" s="37">
        <f t="shared" si="24"/>
        <v>8.5</v>
      </c>
      <c r="P67" s="38">
        <f t="shared" si="25"/>
        <v>17</v>
      </c>
      <c r="Q67" s="39">
        <f t="shared" si="26"/>
        <v>136</v>
      </c>
      <c r="R67" s="39">
        <f t="shared" si="27"/>
        <v>144.5</v>
      </c>
      <c r="S67">
        <f t="shared" si="28"/>
        <v>1</v>
      </c>
      <c r="T67" s="39">
        <f t="shared" si="29"/>
        <v>8.5</v>
      </c>
      <c r="U67" t="str">
        <f t="shared" si="30"/>
        <v/>
      </c>
      <c r="V67">
        <f>IF(L67="","",IF($AO$1=1,IFERROR(MATCH(L67,'05-أيار'!$L$2:$L$501,0),0),0))</f>
        <v>0</v>
      </c>
      <c r="W67" t="str">
        <f t="shared" si="31"/>
        <v/>
      </c>
      <c r="X67" s="38" t="str">
        <f>IF(L67="","",IF(V67&gt;0,INDEX('05-أيار'!$P$2:$P$501,V67),IF($AO$1=1,0,"")))</f>
        <v/>
      </c>
      <c r="Y67" s="38" t="str">
        <f t="shared" si="32"/>
        <v/>
      </c>
      <c r="Z67" s="39" t="str">
        <f>IF(L67="","",IF(V67&gt;0,INDEX('05-أيار'!$Q$2:$Q$501,V67),IF($AO$1=1,0,"")))</f>
        <v/>
      </c>
      <c r="AA67" s="39" t="str">
        <f t="shared" si="33"/>
        <v/>
      </c>
      <c r="AB67" s="40" t="str">
        <f>IF(OR(L67="",V67=0),"",IF(AND(N(I67)&gt;0,N(INDEX('05-أيار'!$I$2:$I$501,V67))&gt;0,INDEX('05-أيار'!$F$2:$F$501,V67)=F67),N(I67)/N(INDEX('05-أيار'!$I$2:$I$501,V67))-1,""))</f>
        <v/>
      </c>
      <c r="AC67" t="str">
        <f>IF(L67="","",IF(AND($AO$2=1,ISNA(MATCH(L67,'07-تموز'!$L$2:$L$500,0))),"محذوف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>
        <f t="shared" si="35"/>
        <v>8.5</v>
      </c>
      <c r="AI67" s="39">
        <f t="shared" si="36"/>
        <v>8.5</v>
      </c>
      <c r="AJ67" s="39">
        <f t="shared" si="37"/>
        <v>8.5</v>
      </c>
      <c r="AK67">
        <f t="shared" si="38"/>
        <v>136.000000067</v>
      </c>
      <c r="AL67">
        <f t="shared" si="39"/>
        <v>8.5000000670000002</v>
      </c>
    </row>
    <row r="68" spans="1:38" ht="15">
      <c r="A68" t="s">
        <v>334</v>
      </c>
      <c r="B68">
        <v>0</v>
      </c>
      <c r="C68">
        <v>0</v>
      </c>
      <c r="D68">
        <v>0</v>
      </c>
      <c r="E68">
        <v>0</v>
      </c>
      <c r="F68" t="s">
        <v>268</v>
      </c>
      <c r="G68" t="s">
        <v>178</v>
      </c>
      <c r="H68" t="s">
        <v>176</v>
      </c>
      <c r="I68">
        <v>0.6</v>
      </c>
      <c r="K68" t="str">
        <f t="shared" si="20"/>
        <v/>
      </c>
      <c r="L68" t="str">
        <f t="shared" si="21"/>
        <v>صودا أش</v>
      </c>
      <c r="M68" s="36">
        <f t="shared" si="22"/>
        <v>1</v>
      </c>
      <c r="N68" s="37">
        <f t="shared" si="23"/>
        <v>0.6</v>
      </c>
      <c r="O68" s="37">
        <f t="shared" si="24"/>
        <v>0</v>
      </c>
      <c r="P68" s="38">
        <f t="shared" si="25"/>
        <v>0</v>
      </c>
      <c r="Q68" s="39">
        <f t="shared" si="26"/>
        <v>0</v>
      </c>
      <c r="R68" s="39">
        <f t="shared" si="27"/>
        <v>0</v>
      </c>
      <c r="S68">
        <f t="shared" si="28"/>
        <v>0</v>
      </c>
      <c r="T68" s="39">
        <f t="shared" si="29"/>
        <v>0</v>
      </c>
      <c r="U68" t="str">
        <f t="shared" si="30"/>
        <v/>
      </c>
      <c r="V68">
        <f>IF(L68="","",IF($AO$1=1,IFERROR(MATCH(L68,'05-أيار'!$L$2:$L$501,0),0),0))</f>
        <v>0</v>
      </c>
      <c r="W68" t="str">
        <f t="shared" si="31"/>
        <v/>
      </c>
      <c r="X68" s="38" t="str">
        <f>IF(L68="","",IF(V68&gt;0,INDEX('05-أيار'!$P$2:$P$501,V68),IF($AO$1=1,0,"")))</f>
        <v/>
      </c>
      <c r="Y68" s="38" t="str">
        <f t="shared" si="32"/>
        <v/>
      </c>
      <c r="Z68" s="39" t="str">
        <f>IF(L68="","",IF(V68&gt;0,INDEX('05-أيار'!$Q$2:$Q$501,V68),IF($AO$1=1,0,"")))</f>
        <v/>
      </c>
      <c r="AA68" s="39" t="str">
        <f t="shared" si="33"/>
        <v/>
      </c>
      <c r="AB68" s="40" t="str">
        <f>IF(OR(L68="",V68=0),"",IF(AND(N(I68)&gt;0,N(INDEX('05-أيار'!$I$2:$I$501,V68))&gt;0,INDEX('05-أيار'!$F$2:$F$501,V68)=F68),N(I68)/N(INDEX('05-أيار'!$I$2:$I$501,V68))-1,""))</f>
        <v/>
      </c>
      <c r="AC68" t="str">
        <f>IF(L68="","",IF(AND($AO$2=1,ISNA(MATCH(L68,'07-تموز'!$L$2:$L$500,0))),"محذوف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>
        <f t="shared" si="35"/>
        <v>0</v>
      </c>
      <c r="AI68" s="39">
        <f t="shared" si="36"/>
        <v>0</v>
      </c>
      <c r="AJ68" s="39">
        <f t="shared" si="37"/>
        <v>0</v>
      </c>
      <c r="AK68">
        <f t="shared" si="38"/>
        <v>6.8E-8</v>
      </c>
      <c r="AL68">
        <f t="shared" si="39"/>
        <v>6.8E-8</v>
      </c>
    </row>
    <row r="69" spans="1:38" ht="15">
      <c r="A69" t="s">
        <v>335</v>
      </c>
      <c r="B69">
        <v>1.45</v>
      </c>
      <c r="C69">
        <v>0</v>
      </c>
      <c r="D69">
        <v>0</v>
      </c>
      <c r="E69">
        <v>0</v>
      </c>
      <c r="F69" t="s">
        <v>268</v>
      </c>
      <c r="G69" t="s">
        <v>178</v>
      </c>
      <c r="H69" t="s">
        <v>176</v>
      </c>
      <c r="I69">
        <v>9.17</v>
      </c>
      <c r="K69" t="str">
        <f t="shared" si="20"/>
        <v/>
      </c>
      <c r="L69" t="str">
        <f t="shared" si="21"/>
        <v>صبغة</v>
      </c>
      <c r="M69" s="36">
        <f t="shared" si="22"/>
        <v>1</v>
      </c>
      <c r="N69" s="37">
        <f t="shared" si="23"/>
        <v>9.17</v>
      </c>
      <c r="O69" s="37">
        <f t="shared" si="24"/>
        <v>0</v>
      </c>
      <c r="P69" s="38">
        <f t="shared" si="25"/>
        <v>1.45</v>
      </c>
      <c r="Q69" s="39">
        <f t="shared" si="26"/>
        <v>13.2965</v>
      </c>
      <c r="R69" s="39">
        <f t="shared" si="27"/>
        <v>0</v>
      </c>
      <c r="S69">
        <f t="shared" si="28"/>
        <v>0</v>
      </c>
      <c r="T69" s="39">
        <f t="shared" si="29"/>
        <v>0</v>
      </c>
      <c r="U69" t="str">
        <f t="shared" si="30"/>
        <v/>
      </c>
      <c r="V69">
        <f>IF(L69="","",IF($AO$1=1,IFERROR(MATCH(L69,'05-أيار'!$L$2:$L$501,0),0),0))</f>
        <v>0</v>
      </c>
      <c r="W69" t="str">
        <f t="shared" si="31"/>
        <v/>
      </c>
      <c r="X69" s="38" t="str">
        <f>IF(L69="","",IF(V69&gt;0,INDEX('05-أيار'!$P$2:$P$501,V69),IF($AO$1=1,0,"")))</f>
        <v/>
      </c>
      <c r="Y69" s="38" t="str">
        <f t="shared" si="32"/>
        <v/>
      </c>
      <c r="Z69" s="39" t="str">
        <f>IF(L69="","",IF(V69&gt;0,INDEX('05-أيار'!$Q$2:$Q$501,V69),IF($AO$1=1,0,"")))</f>
        <v/>
      </c>
      <c r="AA69" s="39" t="str">
        <f t="shared" si="33"/>
        <v/>
      </c>
      <c r="AB69" s="40" t="str">
        <f>IF(OR(L69="",V69=0),"",IF(AND(N(I69)&gt;0,N(INDEX('05-أيار'!$I$2:$I$501,V69))&gt;0,INDEX('05-أيار'!$F$2:$F$501,V69)=F69),N(I69)/N(INDEX('05-أيار'!$I$2:$I$501,V69))-1,""))</f>
        <v/>
      </c>
      <c r="AC69" t="str">
        <f>IF(L69="","",IF(AND($AO$2=1,ISNA(MATCH(L69,'07-تموز'!$L$2:$L$500,0))),"محذوف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>
        <f t="shared" si="35"/>
        <v>0</v>
      </c>
      <c r="AI69" s="39">
        <f t="shared" si="36"/>
        <v>0</v>
      </c>
      <c r="AJ69" s="39">
        <f t="shared" si="37"/>
        <v>0</v>
      </c>
      <c r="AK69">
        <f t="shared" si="38"/>
        <v>13.296500069</v>
      </c>
      <c r="AL69">
        <f t="shared" si="39"/>
        <v>6.8999999999999996E-8</v>
      </c>
    </row>
    <row r="70" spans="1:38" ht="15">
      <c r="A70" t="s">
        <v>336</v>
      </c>
      <c r="B70">
        <v>0</v>
      </c>
      <c r="C70">
        <v>0</v>
      </c>
      <c r="D70">
        <v>0</v>
      </c>
      <c r="E70">
        <v>0</v>
      </c>
      <c r="F70" t="s">
        <v>268</v>
      </c>
      <c r="G70" t="s">
        <v>178</v>
      </c>
      <c r="H70" t="s">
        <v>177</v>
      </c>
      <c r="I70">
        <v>423</v>
      </c>
      <c r="K70" t="str">
        <f t="shared" si="20"/>
        <v/>
      </c>
      <c r="L70" t="str">
        <f t="shared" si="21"/>
        <v>صابون سادة خام</v>
      </c>
      <c r="M70" s="36">
        <f t="shared" si="22"/>
        <v>1</v>
      </c>
      <c r="N70" s="37">
        <f t="shared" si="23"/>
        <v>423</v>
      </c>
      <c r="O70" s="37">
        <f t="shared" si="24"/>
        <v>0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IF(L70="","",IF($AO$1=1,IFERROR(MATCH(L70,'05-أيار'!$L$2:$L$501,0),0),0))</f>
        <v>0</v>
      </c>
      <c r="W70" t="str">
        <f t="shared" si="31"/>
        <v/>
      </c>
      <c r="X70" s="38" t="str">
        <f>IF(L70="","",IF(V70&gt;0,INDEX('05-أيار'!$P$2:$P$501,V70),IF($AO$1=1,0,"")))</f>
        <v/>
      </c>
      <c r="Y70" s="38" t="str">
        <f t="shared" si="32"/>
        <v/>
      </c>
      <c r="Z70" s="39" t="str">
        <f>IF(L70="","",IF(V70&gt;0,INDEX('05-أيار'!$Q$2:$Q$501,V70),IF($AO$1=1,0,"")))</f>
        <v/>
      </c>
      <c r="AA70" s="39" t="str">
        <f t="shared" si="33"/>
        <v/>
      </c>
      <c r="AB70" s="40" t="str">
        <f>IF(OR(L70="",V70=0),"",IF(AND(N(I70)&gt;0,N(INDEX('05-أيار'!$I$2:$I$501,V70))&gt;0,INDEX('05-أيار'!$F$2:$F$501,V70)=F70),N(I70)/N(INDEX('05-أيار'!$I$2:$I$501,V70))-1,""))</f>
        <v/>
      </c>
      <c r="AC70" t="str">
        <f>IF(L70="","",IF(AND($AO$2=1,ISNA(MATCH(L70,'07-تموز'!$L$2:$L$500,0))),"محذوف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337</v>
      </c>
      <c r="B71">
        <v>0</v>
      </c>
      <c r="C71">
        <v>0</v>
      </c>
      <c r="D71">
        <v>0</v>
      </c>
      <c r="E71">
        <v>0</v>
      </c>
      <c r="F71" t="s">
        <v>268</v>
      </c>
      <c r="G71" t="s">
        <v>178</v>
      </c>
      <c r="H71" t="s">
        <v>177</v>
      </c>
      <c r="I71">
        <v>448</v>
      </c>
      <c r="K71" t="str">
        <f t="shared" si="20"/>
        <v/>
      </c>
      <c r="L71" t="str">
        <f t="shared" si="21"/>
        <v>صابون سائل ماء الذهب خام</v>
      </c>
      <c r="M71" s="36">
        <f t="shared" si="22"/>
        <v>1</v>
      </c>
      <c r="N71" s="37">
        <f t="shared" si="23"/>
        <v>448</v>
      </c>
      <c r="O71" s="37">
        <f t="shared" si="24"/>
        <v>0</v>
      </c>
      <c r="P71" s="38">
        <f t="shared" si="25"/>
        <v>0</v>
      </c>
      <c r="Q71" s="39">
        <f t="shared" si="26"/>
        <v>0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IF(L71="","",IF($AO$1=1,IFERROR(MATCH(L71,'05-أيار'!$L$2:$L$501,0),0),0))</f>
        <v>0</v>
      </c>
      <c r="W71" t="str">
        <f t="shared" si="31"/>
        <v/>
      </c>
      <c r="X71" s="38" t="str">
        <f>IF(L71="","",IF(V71&gt;0,INDEX('05-أيار'!$P$2:$P$501,V71),IF($AO$1=1,0,"")))</f>
        <v/>
      </c>
      <c r="Y71" s="38" t="str">
        <f t="shared" si="32"/>
        <v/>
      </c>
      <c r="Z71" s="39" t="str">
        <f>IF(L71="","",IF(V71&gt;0,INDEX('05-أيار'!$Q$2:$Q$501,V71),IF($AO$1=1,0,"")))</f>
        <v/>
      </c>
      <c r="AA71" s="39" t="str">
        <f t="shared" si="33"/>
        <v/>
      </c>
      <c r="AB71" s="40" t="str">
        <f>IF(OR(L71="",V71=0),"",IF(AND(N(I71)&gt;0,N(INDEX('05-أيار'!$I$2:$I$501,V71))&gt;0,INDEX('05-أيار'!$F$2:$F$501,V71)=F71),N(I71)/N(INDEX('05-أيار'!$I$2:$I$501,V71))-1,""))</f>
        <v/>
      </c>
      <c r="AC71" t="str">
        <f>IF(L71="","",IF(AND($AO$2=1,ISNA(MATCH(L71,'07-تموز'!$L$2:$L$500,0))),"محذوف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7.1E-8</v>
      </c>
      <c r="AL71">
        <f t="shared" si="39"/>
        <v>7.1E-8</v>
      </c>
    </row>
    <row r="72" spans="1:38" ht="15">
      <c r="A72" t="s">
        <v>338</v>
      </c>
      <c r="B72">
        <v>0</v>
      </c>
      <c r="C72">
        <v>0</v>
      </c>
      <c r="D72">
        <v>0</v>
      </c>
      <c r="E72">
        <v>0</v>
      </c>
      <c r="F72" t="s">
        <v>268</v>
      </c>
      <c r="G72" t="s">
        <v>178</v>
      </c>
      <c r="H72" t="s">
        <v>177</v>
      </c>
      <c r="I72">
        <v>448</v>
      </c>
      <c r="K72" t="str">
        <f t="shared" si="20"/>
        <v/>
      </c>
      <c r="L72" t="str">
        <f t="shared" si="21"/>
        <v>صابون سائل لافندر خام</v>
      </c>
      <c r="M72" s="36">
        <f t="shared" si="22"/>
        <v>1</v>
      </c>
      <c r="N72" s="37">
        <f t="shared" si="23"/>
        <v>448</v>
      </c>
      <c r="O72" s="37">
        <f t="shared" si="24"/>
        <v>0</v>
      </c>
      <c r="P72" s="38">
        <f t="shared" si="25"/>
        <v>0</v>
      </c>
      <c r="Q72" s="39">
        <f t="shared" si="26"/>
        <v>0</v>
      </c>
      <c r="R72" s="39">
        <f t="shared" si="27"/>
        <v>0</v>
      </c>
      <c r="S72">
        <f t="shared" si="28"/>
        <v>0</v>
      </c>
      <c r="T72" s="39">
        <f t="shared" si="29"/>
        <v>0</v>
      </c>
      <c r="U72" t="str">
        <f t="shared" si="30"/>
        <v/>
      </c>
      <c r="V72">
        <f>IF(L72="","",IF($AO$1=1,IFERROR(MATCH(L72,'05-أيار'!$L$2:$L$501,0),0),0))</f>
        <v>0</v>
      </c>
      <c r="W72" t="str">
        <f t="shared" si="31"/>
        <v/>
      </c>
      <c r="X72" s="38" t="str">
        <f>IF(L72="","",IF(V72&gt;0,INDEX('05-أيار'!$P$2:$P$501,V72),IF($AO$1=1,0,"")))</f>
        <v/>
      </c>
      <c r="Y72" s="38" t="str">
        <f t="shared" si="32"/>
        <v/>
      </c>
      <c r="Z72" s="39" t="str">
        <f>IF(L72="","",IF(V72&gt;0,INDEX('05-أيار'!$Q$2:$Q$501,V72),IF($AO$1=1,0,"")))</f>
        <v/>
      </c>
      <c r="AA72" s="39" t="str">
        <f t="shared" si="33"/>
        <v/>
      </c>
      <c r="AB72" s="40" t="str">
        <f>IF(OR(L72="",V72=0),"",IF(AND(N(I72)&gt;0,N(INDEX('05-أيار'!$I$2:$I$501,V72))&gt;0,INDEX('05-أيار'!$F$2:$F$501,V72)=F72),N(I72)/N(INDEX('05-أيار'!$I$2:$I$501,V72))-1,""))</f>
        <v/>
      </c>
      <c r="AC72" t="str">
        <f>IF(L72="","",IF(AND($AO$2=1,ISNA(MATCH(L72,'07-تموز'!$L$2:$L$500,0))),"محذوف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>
        <f t="shared" si="35"/>
        <v>0</v>
      </c>
      <c r="AI72" s="39">
        <f t="shared" si="36"/>
        <v>0</v>
      </c>
      <c r="AJ72" s="39">
        <f t="shared" si="37"/>
        <v>0</v>
      </c>
      <c r="AK72">
        <f t="shared" si="38"/>
        <v>7.1999999999999996E-8</v>
      </c>
      <c r="AL72">
        <f t="shared" si="39"/>
        <v>7.1999999999999996E-8</v>
      </c>
    </row>
    <row r="73" spans="1:38" ht="15">
      <c r="A73" t="s">
        <v>339</v>
      </c>
      <c r="B73">
        <v>0</v>
      </c>
      <c r="C73">
        <v>0</v>
      </c>
      <c r="D73">
        <v>0</v>
      </c>
      <c r="E73">
        <v>0</v>
      </c>
      <c r="F73" t="s">
        <v>268</v>
      </c>
      <c r="G73" t="s">
        <v>178</v>
      </c>
      <c r="H73" t="s">
        <v>177</v>
      </c>
      <c r="I73">
        <v>448</v>
      </c>
      <c r="K73" t="str">
        <f t="shared" si="20"/>
        <v/>
      </c>
      <c r="L73" t="str">
        <f t="shared" si="21"/>
        <v>صابون سائل عود خام</v>
      </c>
      <c r="M73" s="36">
        <f t="shared" si="22"/>
        <v>1</v>
      </c>
      <c r="N73" s="37">
        <f t="shared" si="23"/>
        <v>448</v>
      </c>
      <c r="O73" s="37">
        <f t="shared" si="24"/>
        <v>0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IF(L73="","",IF($AO$1=1,IFERROR(MATCH(L73,'05-أيار'!$L$2:$L$501,0),0),0))</f>
        <v>0</v>
      </c>
      <c r="W73" t="str">
        <f t="shared" si="31"/>
        <v/>
      </c>
      <c r="X73" s="38" t="str">
        <f>IF(L73="","",IF(V73&gt;0,INDEX('05-أيار'!$P$2:$P$501,V73),IF($AO$1=1,0,"")))</f>
        <v/>
      </c>
      <c r="Y73" s="38" t="str">
        <f t="shared" si="32"/>
        <v/>
      </c>
      <c r="Z73" s="39" t="str">
        <f>IF(L73="","",IF(V73&gt;0,INDEX('05-أيار'!$Q$2:$Q$501,V73),IF($AO$1=1,0,"")))</f>
        <v/>
      </c>
      <c r="AA73" s="39" t="str">
        <f t="shared" si="33"/>
        <v/>
      </c>
      <c r="AB73" s="40" t="str">
        <f>IF(OR(L73="",V73=0),"",IF(AND(N(I73)&gt;0,N(INDEX('05-أيار'!$I$2:$I$501,V73))&gt;0,INDEX('05-أيار'!$F$2:$F$501,V73)=F73),N(I73)/N(INDEX('05-أيار'!$I$2:$I$501,V73))-1,""))</f>
        <v/>
      </c>
      <c r="AC73" t="str">
        <f>IF(L73="","",IF(AND($AO$2=1,ISNA(MATCH(L73,'07-تموز'!$L$2:$L$500,0))),"محذوف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340</v>
      </c>
      <c r="B74">
        <v>0</v>
      </c>
      <c r="C74">
        <v>0</v>
      </c>
      <c r="D74">
        <v>0</v>
      </c>
      <c r="E74">
        <v>0</v>
      </c>
      <c r="F74" t="s">
        <v>268</v>
      </c>
      <c r="G74" t="s">
        <v>178</v>
      </c>
      <c r="H74" t="s">
        <v>177</v>
      </c>
      <c r="I74">
        <v>618</v>
      </c>
      <c r="K74" t="str">
        <f t="shared" si="20"/>
        <v/>
      </c>
      <c r="L74" t="str">
        <f t="shared" si="21"/>
        <v>شامبو خام</v>
      </c>
      <c r="M74" s="36">
        <f t="shared" si="22"/>
        <v>1</v>
      </c>
      <c r="N74" s="37">
        <f t="shared" si="23"/>
        <v>618</v>
      </c>
      <c r="O74" s="37">
        <f t="shared" si="24"/>
        <v>0</v>
      </c>
      <c r="P74" s="38">
        <f t="shared" si="25"/>
        <v>0</v>
      </c>
      <c r="Q74" s="39">
        <f t="shared" si="26"/>
        <v>0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IF(L74="","",IF($AO$1=1,IFERROR(MATCH(L74,'05-أيار'!$L$2:$L$501,0),0),0))</f>
        <v>0</v>
      </c>
      <c r="W74" t="str">
        <f t="shared" si="31"/>
        <v/>
      </c>
      <c r="X74" s="38" t="str">
        <f>IF(L74="","",IF(V74&gt;0,INDEX('05-أيار'!$P$2:$P$501,V74),IF($AO$1=1,0,"")))</f>
        <v/>
      </c>
      <c r="Y74" s="38" t="str">
        <f t="shared" si="32"/>
        <v/>
      </c>
      <c r="Z74" s="39" t="str">
        <f>IF(L74="","",IF(V74&gt;0,INDEX('05-أيار'!$Q$2:$Q$501,V74),IF($AO$1=1,0,"")))</f>
        <v/>
      </c>
      <c r="AA74" s="39" t="str">
        <f t="shared" si="33"/>
        <v/>
      </c>
      <c r="AB74" s="40" t="str">
        <f>IF(OR(L74="",V74=0),"",IF(AND(N(I74)&gt;0,N(INDEX('05-أيار'!$I$2:$I$501,V74))&gt;0,INDEX('05-أيار'!$F$2:$F$501,V74)=F74),N(I74)/N(INDEX('05-أيار'!$I$2:$I$501,V74))-1,""))</f>
        <v/>
      </c>
      <c r="AC74" t="str">
        <f>IF(L74="","",IF(AND($AO$2=1,ISNA(MATCH(L74,'07-تموز'!$L$2:$L$500,0))),"محذوف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7.4000000000000001E-8</v>
      </c>
      <c r="AL74">
        <f t="shared" si="39"/>
        <v>7.4000000000000001E-8</v>
      </c>
    </row>
    <row r="75" spans="1:38" ht="15">
      <c r="A75" t="s">
        <v>341</v>
      </c>
      <c r="B75">
        <v>0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0.55000000000000004</v>
      </c>
      <c r="K75" t="str">
        <f t="shared" si="20"/>
        <v/>
      </c>
      <c r="L75" t="str">
        <f t="shared" si="21"/>
        <v>سيليكات سائلة</v>
      </c>
      <c r="M75" s="36">
        <f t="shared" si="22"/>
        <v>1</v>
      </c>
      <c r="N75" s="37">
        <f t="shared" si="23"/>
        <v>0.55000000000000004</v>
      </c>
      <c r="O75" s="37">
        <f t="shared" si="24"/>
        <v>0</v>
      </c>
      <c r="P75" s="38">
        <f t="shared" si="25"/>
        <v>0</v>
      </c>
      <c r="Q75" s="39">
        <f t="shared" si="26"/>
        <v>0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IF(L75="","",IF($AO$1=1,IFERROR(MATCH(L75,'05-أيار'!$L$2:$L$501,0),0),0))</f>
        <v>0</v>
      </c>
      <c r="W75" t="str">
        <f t="shared" si="31"/>
        <v/>
      </c>
      <c r="X75" s="38" t="str">
        <f>IF(L75="","",IF(V75&gt;0,INDEX('05-أيار'!$P$2:$P$501,V75),IF($AO$1=1,0,"")))</f>
        <v/>
      </c>
      <c r="Y75" s="38" t="str">
        <f t="shared" si="32"/>
        <v/>
      </c>
      <c r="Z75" s="39" t="str">
        <f>IF(L75="","",IF(V75&gt;0,INDEX('05-أيار'!$Q$2:$Q$501,V75),IF($AO$1=1,0,"")))</f>
        <v/>
      </c>
      <c r="AA75" s="39" t="str">
        <f t="shared" si="33"/>
        <v/>
      </c>
      <c r="AB75" s="40" t="str">
        <f>IF(OR(L75="",V75=0),"",IF(AND(N(I75)&gt;0,N(INDEX('05-أيار'!$I$2:$I$501,V75))&gt;0,INDEX('05-أيار'!$F$2:$F$501,V75)=F75),N(I75)/N(INDEX('05-أيار'!$I$2:$I$501,V75))-1,""))</f>
        <v/>
      </c>
      <c r="AC75" t="str">
        <f>IF(L75="","",IF(AND($AO$2=1,ISNA(MATCH(L75,'07-تموز'!$L$2:$L$500,0))),"محذوف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7.4999999999999997E-8</v>
      </c>
      <c r="AL75">
        <f t="shared" si="39"/>
        <v>7.4999999999999997E-8</v>
      </c>
    </row>
    <row r="76" spans="1:38" ht="15">
      <c r="A76" t="s">
        <v>342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177</v>
      </c>
      <c r="I76">
        <v>918</v>
      </c>
      <c r="K76" t="str">
        <f t="shared" si="20"/>
        <v/>
      </c>
      <c r="L76" t="str">
        <f t="shared" si="21"/>
        <v>سائل غسيل اتوماتيك خام</v>
      </c>
      <c r="M76" s="36">
        <f t="shared" si="22"/>
        <v>1</v>
      </c>
      <c r="N76" s="37">
        <f t="shared" si="23"/>
        <v>918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IF(L76="","",IF($AO$1=1,IFERROR(MATCH(L76,'05-أيار'!$L$2:$L$501,0),0),0))</f>
        <v>0</v>
      </c>
      <c r="W76" t="str">
        <f t="shared" si="31"/>
        <v/>
      </c>
      <c r="X76" s="38" t="str">
        <f>IF(L76="","",IF(V76&gt;0,INDEX('05-أيار'!$P$2:$P$501,V76),IF($AO$1=1,0,"")))</f>
        <v/>
      </c>
      <c r="Y76" s="38" t="str">
        <f t="shared" si="32"/>
        <v/>
      </c>
      <c r="Z76" s="39" t="str">
        <f>IF(L76="","",IF(V76&gt;0,INDEX('05-أيار'!$Q$2:$Q$501,V76),IF($AO$1=1,0,"")))</f>
        <v/>
      </c>
      <c r="AA76" s="39" t="str">
        <f t="shared" si="33"/>
        <v/>
      </c>
      <c r="AB76" s="40" t="str">
        <f>IF(OR(L76="",V76=0),"",IF(AND(N(I76)&gt;0,N(INDEX('05-أيار'!$I$2:$I$501,V76))&gt;0,INDEX('05-أيار'!$F$2:$F$501,V76)=F76),N(I76)/N(INDEX('05-أيار'!$I$2:$I$501,V76))-1,""))</f>
        <v/>
      </c>
      <c r="AC76" t="str">
        <f>IF(L76="","",IF(AND($AO$2=1,ISNA(MATCH(L76,'07-تموز'!$L$2:$L$500,0))),"محذوف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343</v>
      </c>
      <c r="B77">
        <v>0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177</v>
      </c>
      <c r="I77">
        <v>191</v>
      </c>
      <c r="K77" t="str">
        <f t="shared" si="20"/>
        <v/>
      </c>
      <c r="L77" t="str">
        <f t="shared" si="21"/>
        <v>سائل جلي ليمون رابع خام</v>
      </c>
      <c r="M77" s="36">
        <f t="shared" si="22"/>
        <v>1</v>
      </c>
      <c r="N77" s="37">
        <f t="shared" si="23"/>
        <v>191</v>
      </c>
      <c r="O77" s="37">
        <f t="shared" si="24"/>
        <v>0</v>
      </c>
      <c r="P77" s="38">
        <f t="shared" si="25"/>
        <v>0</v>
      </c>
      <c r="Q77" s="39">
        <f t="shared" si="26"/>
        <v>0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IF(L77="","",IF($AO$1=1,IFERROR(MATCH(L77,'05-أيار'!$L$2:$L$501,0),0),0))</f>
        <v>0</v>
      </c>
      <c r="W77" t="str">
        <f t="shared" si="31"/>
        <v/>
      </c>
      <c r="X77" s="38" t="str">
        <f>IF(L77="","",IF(V77&gt;0,INDEX('05-أيار'!$P$2:$P$501,V77),IF($AO$1=1,0,"")))</f>
        <v/>
      </c>
      <c r="Y77" s="38" t="str">
        <f t="shared" si="32"/>
        <v/>
      </c>
      <c r="Z77" s="39" t="str">
        <f>IF(L77="","",IF(V77&gt;0,INDEX('05-أيار'!$Q$2:$Q$501,V77),IF($AO$1=1,0,"")))</f>
        <v/>
      </c>
      <c r="AA77" s="39" t="str">
        <f t="shared" si="33"/>
        <v/>
      </c>
      <c r="AB77" s="40" t="str">
        <f>IF(OR(L77="",V77=0),"",IF(AND(N(I77)&gt;0,N(INDEX('05-أيار'!$I$2:$I$501,V77))&gt;0,INDEX('05-أيار'!$F$2:$F$501,V77)=F77),N(I77)/N(INDEX('05-أيار'!$I$2:$I$501,V77))-1,""))</f>
        <v/>
      </c>
      <c r="AC77" t="str">
        <f>IF(L77="","",IF(AND($AO$2=1,ISNA(MATCH(L77,'07-تموز'!$L$2:$L$500,0))),"محذوف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7.7000000000000001E-8</v>
      </c>
      <c r="AL77">
        <f t="shared" si="39"/>
        <v>7.7000000000000001E-8</v>
      </c>
    </row>
    <row r="78" spans="1:38" ht="15">
      <c r="A78" t="s">
        <v>344</v>
      </c>
      <c r="B78">
        <v>0</v>
      </c>
      <c r="C78">
        <v>0</v>
      </c>
      <c r="D78">
        <v>0</v>
      </c>
      <c r="E78">
        <v>0</v>
      </c>
      <c r="F78" t="s">
        <v>268</v>
      </c>
      <c r="G78" t="s">
        <v>178</v>
      </c>
      <c r="H78" t="s">
        <v>177</v>
      </c>
      <c r="I78">
        <v>294</v>
      </c>
      <c r="K78" t="str">
        <f t="shared" si="20"/>
        <v/>
      </c>
      <c r="L78" t="str">
        <f t="shared" si="21"/>
        <v>سائل جلي ليمون ثاني خام</v>
      </c>
      <c r="M78" s="36">
        <f t="shared" si="22"/>
        <v>1</v>
      </c>
      <c r="N78" s="37">
        <f t="shared" si="23"/>
        <v>294</v>
      </c>
      <c r="O78" s="37">
        <f t="shared" si="24"/>
        <v>0</v>
      </c>
      <c r="P78" s="38">
        <f t="shared" si="25"/>
        <v>0</v>
      </c>
      <c r="Q78" s="39">
        <f t="shared" si="26"/>
        <v>0</v>
      </c>
      <c r="R78" s="39">
        <f t="shared" si="27"/>
        <v>0</v>
      </c>
      <c r="S78">
        <f t="shared" si="28"/>
        <v>0</v>
      </c>
      <c r="T78" s="39">
        <f t="shared" si="29"/>
        <v>0</v>
      </c>
      <c r="U78" t="str">
        <f t="shared" si="30"/>
        <v/>
      </c>
      <c r="V78">
        <f>IF(L78="","",IF($AO$1=1,IFERROR(MATCH(L78,'05-أيار'!$L$2:$L$501,0),0),0))</f>
        <v>0</v>
      </c>
      <c r="W78" t="str">
        <f t="shared" si="31"/>
        <v/>
      </c>
      <c r="X78" s="38" t="str">
        <f>IF(L78="","",IF(V78&gt;0,INDEX('05-أيار'!$P$2:$P$501,V78),IF($AO$1=1,0,"")))</f>
        <v/>
      </c>
      <c r="Y78" s="38" t="str">
        <f t="shared" si="32"/>
        <v/>
      </c>
      <c r="Z78" s="39" t="str">
        <f>IF(L78="","",IF(V78&gt;0,INDEX('05-أيار'!$Q$2:$Q$501,V78),IF($AO$1=1,0,"")))</f>
        <v/>
      </c>
      <c r="AA78" s="39" t="str">
        <f t="shared" si="33"/>
        <v/>
      </c>
      <c r="AB78" s="40" t="str">
        <f>IF(OR(L78="",V78=0),"",IF(AND(N(I78)&gt;0,N(INDEX('05-أيار'!$I$2:$I$501,V78))&gt;0,INDEX('05-أيار'!$F$2:$F$501,V78)=F78),N(I78)/N(INDEX('05-أيار'!$I$2:$I$501,V78))-1,""))</f>
        <v/>
      </c>
      <c r="AC78" t="str">
        <f>IF(L78="","",IF(AND($AO$2=1,ISNA(MATCH(L78,'07-تموز'!$L$2:$L$500,0))),"محذوف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>
        <f t="shared" si="35"/>
        <v>0</v>
      </c>
      <c r="AI78" s="39">
        <f t="shared" si="36"/>
        <v>0</v>
      </c>
      <c r="AJ78" s="39">
        <f t="shared" si="37"/>
        <v>0</v>
      </c>
      <c r="AK78">
        <f t="shared" si="38"/>
        <v>7.7999999999999997E-8</v>
      </c>
      <c r="AL78">
        <f t="shared" si="39"/>
        <v>7.7999999999999997E-8</v>
      </c>
    </row>
    <row r="79" spans="1:38" ht="15">
      <c r="A79" t="s">
        <v>345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248</v>
      </c>
      <c r="K79" t="str">
        <f t="shared" si="20"/>
        <v/>
      </c>
      <c r="L79" t="str">
        <f t="shared" si="21"/>
        <v>سائل جلي ليمون ثالث خام</v>
      </c>
      <c r="M79" s="36">
        <f t="shared" si="22"/>
        <v>1</v>
      </c>
      <c r="N79" s="37">
        <f t="shared" si="23"/>
        <v>248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IF(L79="","",IF($AO$1=1,IFERROR(MATCH(L79,'05-أيار'!$L$2:$L$501,0),0),0))</f>
        <v>0</v>
      </c>
      <c r="W79" t="str">
        <f t="shared" si="31"/>
        <v/>
      </c>
      <c r="X79" s="38" t="str">
        <f>IF(L79="","",IF(V79&gt;0,INDEX('05-أيار'!$P$2:$P$501,V79),IF($AO$1=1,0,"")))</f>
        <v/>
      </c>
      <c r="Y79" s="38" t="str">
        <f t="shared" si="32"/>
        <v/>
      </c>
      <c r="Z79" s="39" t="str">
        <f>IF(L79="","",IF(V79&gt;0,INDEX('05-أيار'!$Q$2:$Q$501,V79),IF($AO$1=1,0,"")))</f>
        <v/>
      </c>
      <c r="AA79" s="39" t="str">
        <f t="shared" si="33"/>
        <v/>
      </c>
      <c r="AB79" s="40" t="str">
        <f>IF(OR(L79="",V79=0),"",IF(AND(N(I79)&gt;0,N(INDEX('05-أيار'!$I$2:$I$501,V79))&gt;0,INDEX('05-أيار'!$F$2:$F$501,V79)=F79),N(I79)/N(INDEX('05-أيار'!$I$2:$I$501,V79))-1,""))</f>
        <v/>
      </c>
      <c r="AC79" t="str">
        <f>IF(L79="","",IF(AND($AO$2=1,ISNA(MATCH(L79,'07-تموز'!$L$2:$L$500,0))),"محذوف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346</v>
      </c>
      <c r="B80">
        <v>0</v>
      </c>
      <c r="C80">
        <v>0</v>
      </c>
      <c r="D80">
        <v>0</v>
      </c>
      <c r="E80">
        <v>0</v>
      </c>
      <c r="F80" t="s">
        <v>268</v>
      </c>
      <c r="G80" t="s">
        <v>178</v>
      </c>
      <c r="H80" t="s">
        <v>177</v>
      </c>
      <c r="I80">
        <v>669</v>
      </c>
      <c r="K80" t="str">
        <f t="shared" si="20"/>
        <v/>
      </c>
      <c r="L80" t="str">
        <f t="shared" si="21"/>
        <v>سائل جلي ليمون اول خام</v>
      </c>
      <c r="M80" s="36">
        <f t="shared" si="22"/>
        <v>1</v>
      </c>
      <c r="N80" s="37">
        <f t="shared" si="23"/>
        <v>669</v>
      </c>
      <c r="O80" s="37">
        <f t="shared" si="24"/>
        <v>0</v>
      </c>
      <c r="P80" s="38">
        <f t="shared" si="25"/>
        <v>0</v>
      </c>
      <c r="Q80" s="39">
        <f t="shared" si="26"/>
        <v>0</v>
      </c>
      <c r="R80" s="39">
        <f t="shared" si="27"/>
        <v>0</v>
      </c>
      <c r="S80">
        <f t="shared" si="28"/>
        <v>0</v>
      </c>
      <c r="T80" s="39">
        <f t="shared" si="29"/>
        <v>0</v>
      </c>
      <c r="U80" t="str">
        <f t="shared" si="30"/>
        <v/>
      </c>
      <c r="V80">
        <f>IF(L80="","",IF($AO$1=1,IFERROR(MATCH(L80,'05-أيار'!$L$2:$L$501,0),0),0))</f>
        <v>0</v>
      </c>
      <c r="W80" t="str">
        <f t="shared" si="31"/>
        <v/>
      </c>
      <c r="X80" s="38" t="str">
        <f>IF(L80="","",IF(V80&gt;0,INDEX('05-أيار'!$P$2:$P$501,V80),IF($AO$1=1,0,"")))</f>
        <v/>
      </c>
      <c r="Y80" s="38" t="str">
        <f t="shared" si="32"/>
        <v/>
      </c>
      <c r="Z80" s="39" t="str">
        <f>IF(L80="","",IF(V80&gt;0,INDEX('05-أيار'!$Q$2:$Q$501,V80),IF($AO$1=1,0,"")))</f>
        <v/>
      </c>
      <c r="AA80" s="39" t="str">
        <f t="shared" si="33"/>
        <v/>
      </c>
      <c r="AB80" s="40" t="str">
        <f>IF(OR(L80="",V80=0),"",IF(AND(N(I80)&gt;0,N(INDEX('05-أيار'!$I$2:$I$501,V80))&gt;0,INDEX('05-أيار'!$F$2:$F$501,V80)=F80),N(I80)/N(INDEX('05-أيار'!$I$2:$I$501,V80))-1,""))</f>
        <v/>
      </c>
      <c r="AC80" t="str">
        <f>IF(L80="","",IF(AND($AO$2=1,ISNA(MATCH(L80,'07-تموز'!$L$2:$L$500,0))),"محذوف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>
        <f t="shared" si="35"/>
        <v>0</v>
      </c>
      <c r="AI80" s="39">
        <f t="shared" si="36"/>
        <v>0</v>
      </c>
      <c r="AJ80" s="39">
        <f t="shared" si="37"/>
        <v>0</v>
      </c>
      <c r="AK80">
        <f t="shared" si="38"/>
        <v>8.0000000000000002E-8</v>
      </c>
      <c r="AL80">
        <f t="shared" si="39"/>
        <v>8.0000000000000002E-8</v>
      </c>
    </row>
    <row r="81" spans="1:38" ht="15">
      <c r="A81" t="s">
        <v>347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191</v>
      </c>
      <c r="K81" t="str">
        <f t="shared" si="20"/>
        <v/>
      </c>
      <c r="L81" t="str">
        <f t="shared" si="21"/>
        <v>سائل جلي ليلك رابع خام</v>
      </c>
      <c r="M81" s="36">
        <f t="shared" si="22"/>
        <v>1</v>
      </c>
      <c r="N81" s="37">
        <f t="shared" si="23"/>
        <v>191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IF(L81="","",IF($AO$1=1,IFERROR(MATCH(L81,'05-أيار'!$L$2:$L$501,0),0),0))</f>
        <v>0</v>
      </c>
      <c r="W81" t="str">
        <f t="shared" si="31"/>
        <v/>
      </c>
      <c r="X81" s="38" t="str">
        <f>IF(L81="","",IF(V81&gt;0,INDEX('05-أيار'!$P$2:$P$501,V81),IF($AO$1=1,0,"")))</f>
        <v/>
      </c>
      <c r="Y81" s="38" t="str">
        <f t="shared" si="32"/>
        <v/>
      </c>
      <c r="Z81" s="39" t="str">
        <f>IF(L81="","",IF(V81&gt;0,INDEX('05-أيار'!$Q$2:$Q$501,V81),IF($AO$1=1,0,"")))</f>
        <v/>
      </c>
      <c r="AA81" s="39" t="str">
        <f t="shared" si="33"/>
        <v/>
      </c>
      <c r="AB81" s="40" t="str">
        <f>IF(OR(L81="",V81=0),"",IF(AND(N(I81)&gt;0,N(INDEX('05-أيار'!$I$2:$I$501,V81))&gt;0,INDEX('05-أيار'!$F$2:$F$501,V81)=F81),N(I81)/N(INDEX('05-أيار'!$I$2:$I$501,V81))-1,""))</f>
        <v/>
      </c>
      <c r="AC81" t="str">
        <f>IF(L81="","",IF(AND($AO$2=1,ISNA(MATCH(L81,'07-تموز'!$L$2:$L$500,0))),"محذوف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348</v>
      </c>
      <c r="B82">
        <v>0</v>
      </c>
      <c r="C82">
        <v>0</v>
      </c>
      <c r="D82">
        <v>0</v>
      </c>
      <c r="E82">
        <v>0</v>
      </c>
      <c r="F82" t="s">
        <v>268</v>
      </c>
      <c r="G82" t="s">
        <v>178</v>
      </c>
      <c r="H82" t="s">
        <v>177</v>
      </c>
      <c r="I82">
        <v>294</v>
      </c>
      <c r="K82" t="str">
        <f t="shared" si="20"/>
        <v/>
      </c>
      <c r="L82" t="str">
        <f t="shared" si="21"/>
        <v>سائل جلي ليلك ثاني خام</v>
      </c>
      <c r="M82" s="36">
        <f t="shared" si="22"/>
        <v>1</v>
      </c>
      <c r="N82" s="37">
        <f t="shared" si="23"/>
        <v>294</v>
      </c>
      <c r="O82" s="37">
        <f t="shared" si="24"/>
        <v>0</v>
      </c>
      <c r="P82" s="38">
        <f t="shared" si="25"/>
        <v>0</v>
      </c>
      <c r="Q82" s="39">
        <f t="shared" si="26"/>
        <v>0</v>
      </c>
      <c r="R82" s="39">
        <f t="shared" si="27"/>
        <v>0</v>
      </c>
      <c r="S82">
        <f t="shared" si="28"/>
        <v>0</v>
      </c>
      <c r="T82" s="39">
        <f t="shared" si="29"/>
        <v>0</v>
      </c>
      <c r="U82" t="str">
        <f t="shared" si="30"/>
        <v/>
      </c>
      <c r="V82">
        <f>IF(L82="","",IF($AO$1=1,IFERROR(MATCH(L82,'05-أيار'!$L$2:$L$501,0),0),0))</f>
        <v>0</v>
      </c>
      <c r="W82" t="str">
        <f t="shared" si="31"/>
        <v/>
      </c>
      <c r="X82" s="38" t="str">
        <f>IF(L82="","",IF(V82&gt;0,INDEX('05-أيار'!$P$2:$P$501,V82),IF($AO$1=1,0,"")))</f>
        <v/>
      </c>
      <c r="Y82" s="38" t="str">
        <f t="shared" si="32"/>
        <v/>
      </c>
      <c r="Z82" s="39" t="str">
        <f>IF(L82="","",IF(V82&gt;0,INDEX('05-أيار'!$Q$2:$Q$501,V82),IF($AO$1=1,0,"")))</f>
        <v/>
      </c>
      <c r="AA82" s="39" t="str">
        <f t="shared" si="33"/>
        <v/>
      </c>
      <c r="AB82" s="40" t="str">
        <f>IF(OR(L82="",V82=0),"",IF(AND(N(I82)&gt;0,N(INDEX('05-أيار'!$I$2:$I$501,V82))&gt;0,INDEX('05-أيار'!$F$2:$F$501,V82)=F82),N(I82)/N(INDEX('05-أيار'!$I$2:$I$501,V82))-1,""))</f>
        <v/>
      </c>
      <c r="AC82" t="str">
        <f>IF(L82="","",IF(AND($AO$2=1,ISNA(MATCH(L82,'07-تموز'!$L$2:$L$500,0))),"محذوف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>
        <f t="shared" si="35"/>
        <v>0</v>
      </c>
      <c r="AI82" s="39">
        <f t="shared" si="36"/>
        <v>0</v>
      </c>
      <c r="AJ82" s="39">
        <f t="shared" si="37"/>
        <v>0</v>
      </c>
      <c r="AK82">
        <f t="shared" si="38"/>
        <v>8.2000000000000006E-8</v>
      </c>
      <c r="AL82">
        <f t="shared" si="39"/>
        <v>8.2000000000000006E-8</v>
      </c>
    </row>
    <row r="83" spans="1:38" ht="15">
      <c r="A83" t="s">
        <v>349</v>
      </c>
      <c r="B83">
        <v>0</v>
      </c>
      <c r="C83">
        <v>0</v>
      </c>
      <c r="D83">
        <v>0</v>
      </c>
      <c r="E83">
        <v>0</v>
      </c>
      <c r="F83" t="s">
        <v>268</v>
      </c>
      <c r="G83" t="s">
        <v>178</v>
      </c>
      <c r="H83" t="s">
        <v>177</v>
      </c>
      <c r="I83">
        <v>294</v>
      </c>
      <c r="K83" t="str">
        <f t="shared" si="20"/>
        <v/>
      </c>
      <c r="L83" t="str">
        <f t="shared" si="21"/>
        <v>سائل جلي ليلك ثالث خام</v>
      </c>
      <c r="M83" s="36">
        <f t="shared" si="22"/>
        <v>1</v>
      </c>
      <c r="N83" s="37">
        <f t="shared" si="23"/>
        <v>294</v>
      </c>
      <c r="O83" s="37">
        <f t="shared" si="24"/>
        <v>0</v>
      </c>
      <c r="P83" s="38">
        <f t="shared" si="25"/>
        <v>0</v>
      </c>
      <c r="Q83" s="39">
        <f t="shared" si="26"/>
        <v>0</v>
      </c>
      <c r="R83" s="39">
        <f t="shared" si="27"/>
        <v>0</v>
      </c>
      <c r="S83">
        <f t="shared" si="28"/>
        <v>0</v>
      </c>
      <c r="T83" s="39">
        <f t="shared" si="29"/>
        <v>0</v>
      </c>
      <c r="U83" t="str">
        <f t="shared" si="30"/>
        <v/>
      </c>
      <c r="V83">
        <f>IF(L83="","",IF($AO$1=1,IFERROR(MATCH(L83,'05-أيار'!$L$2:$L$501,0),0),0))</f>
        <v>0</v>
      </c>
      <c r="W83" t="str">
        <f t="shared" si="31"/>
        <v/>
      </c>
      <c r="X83" s="38" t="str">
        <f>IF(L83="","",IF(V83&gt;0,INDEX('05-أيار'!$P$2:$P$501,V83),IF($AO$1=1,0,"")))</f>
        <v/>
      </c>
      <c r="Y83" s="38" t="str">
        <f t="shared" si="32"/>
        <v/>
      </c>
      <c r="Z83" s="39" t="str">
        <f>IF(L83="","",IF(V83&gt;0,INDEX('05-أيار'!$Q$2:$Q$501,V83),IF($AO$1=1,0,"")))</f>
        <v/>
      </c>
      <c r="AA83" s="39" t="str">
        <f t="shared" si="33"/>
        <v/>
      </c>
      <c r="AB83" s="40" t="str">
        <f>IF(OR(L83="",V83=0),"",IF(AND(N(I83)&gt;0,N(INDEX('05-أيار'!$I$2:$I$501,V83))&gt;0,INDEX('05-أيار'!$F$2:$F$501,V83)=F83),N(I83)/N(INDEX('05-أيار'!$I$2:$I$501,V83))-1,""))</f>
        <v/>
      </c>
      <c r="AC83" t="str">
        <f>IF(L83="","",IF(AND($AO$2=1,ISNA(MATCH(L83,'07-تموز'!$L$2:$L$500,0))),"محذوف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>
        <f t="shared" si="35"/>
        <v>0</v>
      </c>
      <c r="AI83" s="39">
        <f t="shared" si="36"/>
        <v>0</v>
      </c>
      <c r="AJ83" s="39">
        <f t="shared" si="37"/>
        <v>0</v>
      </c>
      <c r="AK83">
        <f t="shared" si="38"/>
        <v>8.3000000000000002E-8</v>
      </c>
      <c r="AL83">
        <f t="shared" si="39"/>
        <v>8.3000000000000002E-8</v>
      </c>
    </row>
    <row r="84" spans="1:38" ht="15">
      <c r="A84" t="s">
        <v>350</v>
      </c>
      <c r="B84">
        <v>0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177</v>
      </c>
      <c r="I84">
        <v>669</v>
      </c>
      <c r="K84" t="str">
        <f t="shared" si="20"/>
        <v/>
      </c>
      <c r="L84" t="str">
        <f t="shared" si="21"/>
        <v>سائل جلي ليلك اول خام</v>
      </c>
      <c r="M84" s="36">
        <f t="shared" si="22"/>
        <v>1</v>
      </c>
      <c r="N84" s="37">
        <f t="shared" si="23"/>
        <v>669</v>
      </c>
      <c r="O84" s="37">
        <f t="shared" si="24"/>
        <v>0</v>
      </c>
      <c r="P84" s="38">
        <f t="shared" si="25"/>
        <v>0</v>
      </c>
      <c r="Q84" s="39">
        <f t="shared" si="26"/>
        <v>0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IF(L84="","",IF($AO$1=1,IFERROR(MATCH(L84,'05-أيار'!$L$2:$L$501,0),0),0))</f>
        <v>0</v>
      </c>
      <c r="W84" t="str">
        <f t="shared" si="31"/>
        <v/>
      </c>
      <c r="X84" s="38" t="str">
        <f>IF(L84="","",IF(V84&gt;0,INDEX('05-أيار'!$P$2:$P$501,V84),IF($AO$1=1,0,"")))</f>
        <v/>
      </c>
      <c r="Y84" s="38" t="str">
        <f t="shared" si="32"/>
        <v/>
      </c>
      <c r="Z84" s="39" t="str">
        <f>IF(L84="","",IF(V84&gt;0,INDEX('05-أيار'!$Q$2:$Q$501,V84),IF($AO$1=1,0,"")))</f>
        <v/>
      </c>
      <c r="AA84" s="39" t="str">
        <f t="shared" si="33"/>
        <v/>
      </c>
      <c r="AB84" s="40" t="str">
        <f>IF(OR(L84="",V84=0),"",IF(AND(N(I84)&gt;0,N(INDEX('05-أيار'!$I$2:$I$501,V84))&gt;0,INDEX('05-أيار'!$F$2:$F$501,V84)=F84),N(I84)/N(INDEX('05-أيار'!$I$2:$I$501,V84))-1,""))</f>
        <v/>
      </c>
      <c r="AC84" t="str">
        <f>IF(L84="","",IF(AND($AO$2=1,ISNA(MATCH(L84,'07-تموز'!$L$2:$L$500,0))),"محذوف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8.3999999999999998E-8</v>
      </c>
      <c r="AL84">
        <f t="shared" si="39"/>
        <v>8.3999999999999998E-8</v>
      </c>
    </row>
    <row r="85" spans="1:38" ht="15">
      <c r="A85" t="s">
        <v>351</v>
      </c>
      <c r="B85">
        <v>0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177</v>
      </c>
      <c r="I85">
        <v>191</v>
      </c>
      <c r="K85" t="str">
        <f t="shared" si="20"/>
        <v/>
      </c>
      <c r="L85" t="str">
        <f t="shared" si="21"/>
        <v>سائل جلي فريز رابع خام</v>
      </c>
      <c r="M85" s="36">
        <f t="shared" si="22"/>
        <v>1</v>
      </c>
      <c r="N85" s="37">
        <f t="shared" si="23"/>
        <v>191</v>
      </c>
      <c r="O85" s="37">
        <f t="shared" si="24"/>
        <v>0</v>
      </c>
      <c r="P85" s="38">
        <f t="shared" si="25"/>
        <v>0</v>
      </c>
      <c r="Q85" s="39">
        <f t="shared" si="26"/>
        <v>0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IF(L85="","",IF($AO$1=1,IFERROR(MATCH(L85,'05-أيار'!$L$2:$L$501,0),0),0))</f>
        <v>0</v>
      </c>
      <c r="W85" t="str">
        <f t="shared" si="31"/>
        <v/>
      </c>
      <c r="X85" s="38" t="str">
        <f>IF(L85="","",IF(V85&gt;0,INDEX('05-أيار'!$P$2:$P$501,V85),IF($AO$1=1,0,"")))</f>
        <v/>
      </c>
      <c r="Y85" s="38" t="str">
        <f t="shared" si="32"/>
        <v/>
      </c>
      <c r="Z85" s="39" t="str">
        <f>IF(L85="","",IF(V85&gt;0,INDEX('05-أيار'!$Q$2:$Q$501,V85),IF($AO$1=1,0,"")))</f>
        <v/>
      </c>
      <c r="AA85" s="39" t="str">
        <f t="shared" si="33"/>
        <v/>
      </c>
      <c r="AB85" s="40" t="str">
        <f>IF(OR(L85="",V85=0),"",IF(AND(N(I85)&gt;0,N(INDEX('05-أيار'!$I$2:$I$501,V85))&gt;0,INDEX('05-أيار'!$F$2:$F$501,V85)=F85),N(I85)/N(INDEX('05-أيار'!$I$2:$I$501,V85))-1,""))</f>
        <v/>
      </c>
      <c r="AC85" t="str">
        <f>IF(L85="","",IF(AND($AO$2=1,ISNA(MATCH(L85,'07-تموز'!$L$2:$L$500,0))),"محذوف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8.4999999999999994E-8</v>
      </c>
      <c r="AL85">
        <f t="shared" si="39"/>
        <v>8.4999999999999994E-8</v>
      </c>
    </row>
    <row r="86" spans="1:38" ht="15">
      <c r="A86" t="s">
        <v>352</v>
      </c>
      <c r="B86">
        <v>0</v>
      </c>
      <c r="C86">
        <v>0</v>
      </c>
      <c r="D86">
        <v>0</v>
      </c>
      <c r="E86">
        <v>0</v>
      </c>
      <c r="F86" t="s">
        <v>268</v>
      </c>
      <c r="G86" t="s">
        <v>178</v>
      </c>
      <c r="H86" t="s">
        <v>177</v>
      </c>
      <c r="I86">
        <v>294</v>
      </c>
      <c r="K86" t="str">
        <f t="shared" si="20"/>
        <v/>
      </c>
      <c r="L86" t="str">
        <f t="shared" si="21"/>
        <v>سائل جلي فريز ثاني خام</v>
      </c>
      <c r="M86" s="36">
        <f t="shared" si="22"/>
        <v>1</v>
      </c>
      <c r="N86" s="37">
        <f t="shared" si="23"/>
        <v>294</v>
      </c>
      <c r="O86" s="37">
        <f t="shared" si="24"/>
        <v>0</v>
      </c>
      <c r="P86" s="38">
        <f t="shared" si="25"/>
        <v>0</v>
      </c>
      <c r="Q86" s="39">
        <f t="shared" si="26"/>
        <v>0</v>
      </c>
      <c r="R86" s="39">
        <f t="shared" si="27"/>
        <v>0</v>
      </c>
      <c r="S86">
        <f t="shared" si="28"/>
        <v>0</v>
      </c>
      <c r="T86" s="39">
        <f t="shared" si="29"/>
        <v>0</v>
      </c>
      <c r="U86" t="str">
        <f t="shared" si="30"/>
        <v/>
      </c>
      <c r="V86">
        <f>IF(L86="","",IF($AO$1=1,IFERROR(MATCH(L86,'05-أيار'!$L$2:$L$501,0),0),0))</f>
        <v>0</v>
      </c>
      <c r="W86" t="str">
        <f t="shared" si="31"/>
        <v/>
      </c>
      <c r="X86" s="38" t="str">
        <f>IF(L86="","",IF(V86&gt;0,INDEX('05-أيار'!$P$2:$P$501,V86),IF($AO$1=1,0,"")))</f>
        <v/>
      </c>
      <c r="Y86" s="38" t="str">
        <f t="shared" si="32"/>
        <v/>
      </c>
      <c r="Z86" s="39" t="str">
        <f>IF(L86="","",IF(V86&gt;0,INDEX('05-أيار'!$Q$2:$Q$501,V86),IF($AO$1=1,0,"")))</f>
        <v/>
      </c>
      <c r="AA86" s="39" t="str">
        <f t="shared" si="33"/>
        <v/>
      </c>
      <c r="AB86" s="40" t="str">
        <f>IF(OR(L86="",V86=0),"",IF(AND(N(I86)&gt;0,N(INDEX('05-أيار'!$I$2:$I$501,V86))&gt;0,INDEX('05-أيار'!$F$2:$F$501,V86)=F86),N(I86)/N(INDEX('05-أيار'!$I$2:$I$501,V86))-1,""))</f>
        <v/>
      </c>
      <c r="AC86" t="str">
        <f>IF(L86="","",IF(AND($AO$2=1,ISNA(MATCH(L86,'07-تموز'!$L$2:$L$500,0))),"محذوف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>
        <f t="shared" si="35"/>
        <v>0</v>
      </c>
      <c r="AI86" s="39">
        <f t="shared" si="36"/>
        <v>0</v>
      </c>
      <c r="AJ86" s="39">
        <f t="shared" si="37"/>
        <v>0</v>
      </c>
      <c r="AK86">
        <f t="shared" si="38"/>
        <v>8.6000000000000002E-8</v>
      </c>
      <c r="AL86">
        <f t="shared" si="39"/>
        <v>8.6000000000000002E-8</v>
      </c>
    </row>
    <row r="87" spans="1:38" ht="15">
      <c r="A87" t="s">
        <v>353</v>
      </c>
      <c r="B87">
        <v>0</v>
      </c>
      <c r="C87">
        <v>0</v>
      </c>
      <c r="D87">
        <v>0</v>
      </c>
      <c r="E87">
        <v>0</v>
      </c>
      <c r="F87" t="s">
        <v>268</v>
      </c>
      <c r="G87" t="s">
        <v>178</v>
      </c>
      <c r="H87" t="s">
        <v>177</v>
      </c>
      <c r="I87">
        <v>248</v>
      </c>
      <c r="K87" t="str">
        <f t="shared" si="20"/>
        <v/>
      </c>
      <c r="L87" t="str">
        <f t="shared" si="21"/>
        <v>سائل جلي فريز ثالث خام</v>
      </c>
      <c r="M87" s="36">
        <f t="shared" si="22"/>
        <v>1</v>
      </c>
      <c r="N87" s="37">
        <f t="shared" si="23"/>
        <v>248</v>
      </c>
      <c r="O87" s="37">
        <f t="shared" si="24"/>
        <v>0</v>
      </c>
      <c r="P87" s="38">
        <f t="shared" si="25"/>
        <v>0</v>
      </c>
      <c r="Q87" s="39">
        <f t="shared" si="26"/>
        <v>0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IF(L87="","",IF($AO$1=1,IFERROR(MATCH(L87,'05-أيار'!$L$2:$L$501,0),0),0))</f>
        <v>0</v>
      </c>
      <c r="W87" t="str">
        <f t="shared" si="31"/>
        <v/>
      </c>
      <c r="X87" s="38" t="str">
        <f>IF(L87="","",IF(V87&gt;0,INDEX('05-أيار'!$P$2:$P$501,V87),IF($AO$1=1,0,"")))</f>
        <v/>
      </c>
      <c r="Y87" s="38" t="str">
        <f t="shared" si="32"/>
        <v/>
      </c>
      <c r="Z87" s="39" t="str">
        <f>IF(L87="","",IF(V87&gt;0,INDEX('05-أيار'!$Q$2:$Q$501,V87),IF($AO$1=1,0,"")))</f>
        <v/>
      </c>
      <c r="AA87" s="39" t="str">
        <f t="shared" si="33"/>
        <v/>
      </c>
      <c r="AB87" s="40" t="str">
        <f>IF(OR(L87="",V87=0),"",IF(AND(N(I87)&gt;0,N(INDEX('05-أيار'!$I$2:$I$501,V87))&gt;0,INDEX('05-أيار'!$F$2:$F$501,V87)=F87),N(I87)/N(INDEX('05-أيار'!$I$2:$I$501,V87))-1,""))</f>
        <v/>
      </c>
      <c r="AC87" t="str">
        <f>IF(L87="","",IF(AND($AO$2=1,ISNA(MATCH(L87,'07-تموز'!$L$2:$L$500,0))),"محذوف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8.6999999999999998E-8</v>
      </c>
      <c r="AL87">
        <f t="shared" si="39"/>
        <v>8.6999999999999998E-8</v>
      </c>
    </row>
    <row r="88" spans="1:38" ht="15">
      <c r="A88" t="s">
        <v>354</v>
      </c>
      <c r="B88">
        <v>0</v>
      </c>
      <c r="C88">
        <v>0</v>
      </c>
      <c r="D88">
        <v>0</v>
      </c>
      <c r="E88">
        <v>0</v>
      </c>
      <c r="F88" t="s">
        <v>268</v>
      </c>
      <c r="G88" t="s">
        <v>178</v>
      </c>
      <c r="H88" t="s">
        <v>177</v>
      </c>
      <c r="I88">
        <v>669</v>
      </c>
      <c r="K88" t="str">
        <f t="shared" si="20"/>
        <v/>
      </c>
      <c r="L88" t="str">
        <f t="shared" si="21"/>
        <v>سائل جلي فريز اول خام</v>
      </c>
      <c r="M88" s="36">
        <f t="shared" si="22"/>
        <v>1</v>
      </c>
      <c r="N88" s="37">
        <f t="shared" si="23"/>
        <v>669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IF(L88="","",IF($AO$1=1,IFERROR(MATCH(L88,'05-أيار'!$L$2:$L$501,0),0),0))</f>
        <v>0</v>
      </c>
      <c r="W88" t="str">
        <f t="shared" si="31"/>
        <v/>
      </c>
      <c r="X88" s="38" t="str">
        <f>IF(L88="","",IF(V88&gt;0,INDEX('05-أيار'!$P$2:$P$501,V88),IF($AO$1=1,0,"")))</f>
        <v/>
      </c>
      <c r="Y88" s="38" t="str">
        <f t="shared" si="32"/>
        <v/>
      </c>
      <c r="Z88" s="39" t="str">
        <f>IF(L88="","",IF(V88&gt;0,INDEX('05-أيار'!$Q$2:$Q$501,V88),IF($AO$1=1,0,"")))</f>
        <v/>
      </c>
      <c r="AA88" s="39" t="str">
        <f t="shared" si="33"/>
        <v/>
      </c>
      <c r="AB88" s="40" t="str">
        <f>IF(OR(L88="",V88=0),"",IF(AND(N(I88)&gt;0,N(INDEX('05-أيار'!$I$2:$I$501,V88))&gt;0,INDEX('05-أيار'!$F$2:$F$501,V88)=F88),N(I88)/N(INDEX('05-أيار'!$I$2:$I$501,V88))-1,""))</f>
        <v/>
      </c>
      <c r="AC88" t="str">
        <f>IF(L88="","",IF(AND($AO$2=1,ISNA(MATCH(L88,'07-تموز'!$L$2:$L$500,0))),"محذوف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355</v>
      </c>
      <c r="B89">
        <v>0</v>
      </c>
      <c r="C89">
        <v>0</v>
      </c>
      <c r="D89">
        <v>0</v>
      </c>
      <c r="E89">
        <v>0</v>
      </c>
      <c r="F89" t="s">
        <v>268</v>
      </c>
      <c r="G89" t="s">
        <v>178</v>
      </c>
      <c r="H89" t="s">
        <v>177</v>
      </c>
      <c r="I89">
        <v>185</v>
      </c>
      <c r="K89" t="str">
        <f t="shared" si="20"/>
        <v/>
      </c>
      <c r="L89" t="str">
        <f t="shared" si="21"/>
        <v>سائل جلي سادة رابع خام</v>
      </c>
      <c r="M89" s="36">
        <f t="shared" si="22"/>
        <v>1</v>
      </c>
      <c r="N89" s="37">
        <f t="shared" si="23"/>
        <v>185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IF(L89="","",IF($AO$1=1,IFERROR(MATCH(L89,'05-أيار'!$L$2:$L$501,0),0),0))</f>
        <v>0</v>
      </c>
      <c r="W89" t="str">
        <f t="shared" si="31"/>
        <v/>
      </c>
      <c r="X89" s="38" t="str">
        <f>IF(L89="","",IF(V89&gt;0,INDEX('05-أيار'!$P$2:$P$501,V89),IF($AO$1=1,0,"")))</f>
        <v/>
      </c>
      <c r="Y89" s="38" t="str">
        <f t="shared" si="32"/>
        <v/>
      </c>
      <c r="Z89" s="39" t="str">
        <f>IF(L89="","",IF(V89&gt;0,INDEX('05-أيار'!$Q$2:$Q$501,V89),IF($AO$1=1,0,"")))</f>
        <v/>
      </c>
      <c r="AA89" s="39" t="str">
        <f t="shared" si="33"/>
        <v/>
      </c>
      <c r="AB89" s="40" t="str">
        <f>IF(OR(L89="",V89=0),"",IF(AND(N(I89)&gt;0,N(INDEX('05-أيار'!$I$2:$I$501,V89))&gt;0,INDEX('05-أيار'!$F$2:$F$501,V89)=F89),N(I89)/N(INDEX('05-أيار'!$I$2:$I$501,V89))-1,""))</f>
        <v/>
      </c>
      <c r="AC89" t="str">
        <f>IF(L89="","",IF(AND($AO$2=1,ISNA(MATCH(L89,'07-تموز'!$L$2:$L$500,0))),"محذوف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356</v>
      </c>
      <c r="B90">
        <v>0</v>
      </c>
      <c r="C90">
        <v>0</v>
      </c>
      <c r="D90">
        <v>0</v>
      </c>
      <c r="E90">
        <v>0</v>
      </c>
      <c r="F90" t="s">
        <v>268</v>
      </c>
      <c r="G90" t="s">
        <v>178</v>
      </c>
      <c r="H90" t="s">
        <v>177</v>
      </c>
      <c r="I90">
        <v>340</v>
      </c>
      <c r="K90" t="str">
        <f t="shared" si="20"/>
        <v/>
      </c>
      <c r="L90" t="str">
        <f t="shared" si="21"/>
        <v>سائل جلي سادة ثاني خام</v>
      </c>
      <c r="M90" s="36">
        <f t="shared" si="22"/>
        <v>1</v>
      </c>
      <c r="N90" s="37">
        <f t="shared" si="23"/>
        <v>340</v>
      </c>
      <c r="O90" s="37">
        <f t="shared" si="24"/>
        <v>0</v>
      </c>
      <c r="P90" s="38">
        <f t="shared" si="25"/>
        <v>0</v>
      </c>
      <c r="Q90" s="39">
        <f t="shared" si="26"/>
        <v>0</v>
      </c>
      <c r="R90" s="39">
        <f t="shared" si="27"/>
        <v>0</v>
      </c>
      <c r="S90">
        <f t="shared" si="28"/>
        <v>0</v>
      </c>
      <c r="T90" s="39">
        <f t="shared" si="29"/>
        <v>0</v>
      </c>
      <c r="U90" t="str">
        <f t="shared" si="30"/>
        <v/>
      </c>
      <c r="V90">
        <f>IF(L90="","",IF($AO$1=1,IFERROR(MATCH(L90,'05-أيار'!$L$2:$L$501,0),0),0))</f>
        <v>0</v>
      </c>
      <c r="W90" t="str">
        <f t="shared" si="31"/>
        <v/>
      </c>
      <c r="X90" s="38" t="str">
        <f>IF(L90="","",IF(V90&gt;0,INDEX('05-أيار'!$P$2:$P$501,V90),IF($AO$1=1,0,"")))</f>
        <v/>
      </c>
      <c r="Y90" s="38" t="str">
        <f t="shared" si="32"/>
        <v/>
      </c>
      <c r="Z90" s="39" t="str">
        <f>IF(L90="","",IF(V90&gt;0,INDEX('05-أيار'!$Q$2:$Q$501,V90),IF($AO$1=1,0,"")))</f>
        <v/>
      </c>
      <c r="AA90" s="39" t="str">
        <f t="shared" si="33"/>
        <v/>
      </c>
      <c r="AB90" s="40" t="str">
        <f>IF(OR(L90="",V90=0),"",IF(AND(N(I90)&gt;0,N(INDEX('05-أيار'!$I$2:$I$501,V90))&gt;0,INDEX('05-أيار'!$F$2:$F$501,V90)=F90),N(I90)/N(INDEX('05-أيار'!$I$2:$I$501,V90))-1,""))</f>
        <v/>
      </c>
      <c r="AC90" t="str">
        <f>IF(L90="","",IF(AND($AO$2=1,ISNA(MATCH(L90,'07-تموز'!$L$2:$L$500,0))),"محذوف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>
        <f t="shared" si="35"/>
        <v>0</v>
      </c>
      <c r="AI90" s="39">
        <f t="shared" si="36"/>
        <v>0</v>
      </c>
      <c r="AJ90" s="39">
        <f t="shared" si="37"/>
        <v>0</v>
      </c>
      <c r="AK90">
        <f t="shared" si="38"/>
        <v>8.9999999999999999E-8</v>
      </c>
      <c r="AL90">
        <f t="shared" si="39"/>
        <v>8.9999999999999999E-8</v>
      </c>
    </row>
    <row r="91" spans="1:38" ht="15">
      <c r="A91" t="s">
        <v>357</v>
      </c>
      <c r="B91">
        <v>0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177</v>
      </c>
      <c r="I91">
        <v>242</v>
      </c>
      <c r="K91" t="str">
        <f t="shared" si="20"/>
        <v/>
      </c>
      <c r="L91" t="str">
        <f t="shared" si="21"/>
        <v>سائل جلي سادة ثالث خام</v>
      </c>
      <c r="M91" s="36">
        <f t="shared" si="22"/>
        <v>1</v>
      </c>
      <c r="N91" s="37">
        <f t="shared" si="23"/>
        <v>242</v>
      </c>
      <c r="O91" s="37">
        <f t="shared" si="24"/>
        <v>0</v>
      </c>
      <c r="P91" s="38">
        <f t="shared" si="25"/>
        <v>0</v>
      </c>
      <c r="Q91" s="39">
        <f t="shared" si="26"/>
        <v>0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IF(L91="","",IF($AO$1=1,IFERROR(MATCH(L91,'05-أيار'!$L$2:$L$501,0),0),0))</f>
        <v>0</v>
      </c>
      <c r="W91" t="str">
        <f t="shared" si="31"/>
        <v/>
      </c>
      <c r="X91" s="38" t="str">
        <f>IF(L91="","",IF(V91&gt;0,INDEX('05-أيار'!$P$2:$P$501,V91),IF($AO$1=1,0,"")))</f>
        <v/>
      </c>
      <c r="Y91" s="38" t="str">
        <f t="shared" si="32"/>
        <v/>
      </c>
      <c r="Z91" s="39" t="str">
        <f>IF(L91="","",IF(V91&gt;0,INDEX('05-أيار'!$Q$2:$Q$501,V91),IF($AO$1=1,0,"")))</f>
        <v/>
      </c>
      <c r="AA91" s="39" t="str">
        <f t="shared" si="33"/>
        <v/>
      </c>
      <c r="AB91" s="40" t="str">
        <f>IF(OR(L91="",V91=0),"",IF(AND(N(I91)&gt;0,N(INDEX('05-أيار'!$I$2:$I$501,V91))&gt;0,INDEX('05-أيار'!$F$2:$F$501,V91)=F91),N(I91)/N(INDEX('05-أيار'!$I$2:$I$501,V91))-1,""))</f>
        <v/>
      </c>
      <c r="AC91" t="str">
        <f>IF(L91="","",IF(AND($AO$2=1,ISNA(MATCH(L91,'07-تموز'!$L$2:$L$500,0))),"محذوف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9.0999999999999994E-8</v>
      </c>
      <c r="AL91">
        <f t="shared" si="39"/>
        <v>9.0999999999999994E-8</v>
      </c>
    </row>
    <row r="92" spans="1:38" ht="15">
      <c r="A92" t="s">
        <v>358</v>
      </c>
      <c r="B92">
        <v>0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177</v>
      </c>
      <c r="I92">
        <v>0</v>
      </c>
      <c r="K92" t="str">
        <f t="shared" si="20"/>
        <v/>
      </c>
      <c r="L92" t="str">
        <f t="shared" si="21"/>
        <v>سائل جلي سادة اول خام 500 كغ</v>
      </c>
      <c r="M92" s="36">
        <f t="shared" si="22"/>
        <v>1</v>
      </c>
      <c r="N92" s="37">
        <f t="shared" si="23"/>
        <v>0</v>
      </c>
      <c r="O92" s="37">
        <f t="shared" si="24"/>
        <v>0</v>
      </c>
      <c r="P92" s="38">
        <f t="shared" si="25"/>
        <v>0</v>
      </c>
      <c r="Q92" s="39">
        <f t="shared" si="26"/>
        <v>0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IF(L92="","",IF($AO$1=1,IFERROR(MATCH(L92,'05-أيار'!$L$2:$L$501,0),0),0))</f>
        <v>0</v>
      </c>
      <c r="W92" t="str">
        <f t="shared" si="31"/>
        <v/>
      </c>
      <c r="X92" s="38" t="str">
        <f>IF(L92="","",IF(V92&gt;0,INDEX('05-أيار'!$P$2:$P$501,V92),IF($AO$1=1,0,"")))</f>
        <v/>
      </c>
      <c r="Y92" s="38" t="str">
        <f t="shared" si="32"/>
        <v/>
      </c>
      <c r="Z92" s="39" t="str">
        <f>IF(L92="","",IF(V92&gt;0,INDEX('05-أيار'!$Q$2:$Q$501,V92),IF($AO$1=1,0,"")))</f>
        <v/>
      </c>
      <c r="AA92" s="39" t="str">
        <f t="shared" si="33"/>
        <v/>
      </c>
      <c r="AB92" s="40" t="str">
        <f>IF(OR(L92="",V92=0),"",IF(AND(N(I92)&gt;0,N(INDEX('05-أيار'!$I$2:$I$501,V92))&gt;0,INDEX('05-أيار'!$F$2:$F$501,V92)=F92),N(I92)/N(INDEX('05-أيار'!$I$2:$I$501,V92))-1,""))</f>
        <v/>
      </c>
      <c r="AC92" t="str">
        <f>IF(L92="","",IF(AND($AO$2=1,ISNA(MATCH(L92,'07-تموز'!$L$2:$L$500,0))),"محذوف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9.2000000000000003E-8</v>
      </c>
      <c r="AL92">
        <f t="shared" si="39"/>
        <v>9.2000000000000003E-8</v>
      </c>
    </row>
    <row r="93" spans="1:38" ht="15">
      <c r="A93" t="s">
        <v>359</v>
      </c>
      <c r="B93">
        <v>0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177</v>
      </c>
      <c r="I93">
        <v>657</v>
      </c>
      <c r="K93" t="str">
        <f t="shared" si="20"/>
        <v/>
      </c>
      <c r="L93" t="str">
        <f t="shared" si="21"/>
        <v>سائل جلي سادة اول خام</v>
      </c>
      <c r="M93" s="36">
        <f t="shared" si="22"/>
        <v>1</v>
      </c>
      <c r="N93" s="37">
        <f t="shared" si="23"/>
        <v>657</v>
      </c>
      <c r="O93" s="37">
        <f t="shared" si="24"/>
        <v>0</v>
      </c>
      <c r="P93" s="38">
        <f t="shared" si="25"/>
        <v>0</v>
      </c>
      <c r="Q93" s="39">
        <f t="shared" si="26"/>
        <v>0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IF(L93="","",IF($AO$1=1,IFERROR(MATCH(L93,'05-أيار'!$L$2:$L$501,0),0),0))</f>
        <v>0</v>
      </c>
      <c r="W93" t="str">
        <f t="shared" si="31"/>
        <v/>
      </c>
      <c r="X93" s="38" t="str">
        <f>IF(L93="","",IF(V93&gt;0,INDEX('05-أيار'!$P$2:$P$501,V93),IF($AO$1=1,0,"")))</f>
        <v/>
      </c>
      <c r="Y93" s="38" t="str">
        <f t="shared" si="32"/>
        <v/>
      </c>
      <c r="Z93" s="39" t="str">
        <f>IF(L93="","",IF(V93&gt;0,INDEX('05-أيار'!$Q$2:$Q$501,V93),IF($AO$1=1,0,"")))</f>
        <v/>
      </c>
      <c r="AA93" s="39" t="str">
        <f t="shared" si="33"/>
        <v/>
      </c>
      <c r="AB93" s="40" t="str">
        <f>IF(OR(L93="",V93=0),"",IF(AND(N(I93)&gt;0,N(INDEX('05-أيار'!$I$2:$I$501,V93))&gt;0,INDEX('05-أيار'!$F$2:$F$501,V93)=F93),N(I93)/N(INDEX('05-أيار'!$I$2:$I$501,V93))-1,""))</f>
        <v/>
      </c>
      <c r="AC93" t="str">
        <f>IF(L93="","",IF(AND($AO$2=1,ISNA(MATCH(L93,'07-تموز'!$L$2:$L$500,0))),"محذوف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9.2999999999999999E-8</v>
      </c>
      <c r="AL93">
        <f t="shared" si="39"/>
        <v>9.2999999999999999E-8</v>
      </c>
    </row>
    <row r="94" spans="1:38" ht="15">
      <c r="A94" t="s">
        <v>360</v>
      </c>
      <c r="B94">
        <v>0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177</v>
      </c>
      <c r="I94">
        <v>191</v>
      </c>
      <c r="K94" t="str">
        <f t="shared" si="20"/>
        <v/>
      </c>
      <c r="L94" t="str">
        <f t="shared" si="21"/>
        <v>سائل جلي تفاح رابع خام</v>
      </c>
      <c r="M94" s="36">
        <f t="shared" si="22"/>
        <v>1</v>
      </c>
      <c r="N94" s="37">
        <f t="shared" si="23"/>
        <v>191</v>
      </c>
      <c r="O94" s="37">
        <f t="shared" si="24"/>
        <v>0</v>
      </c>
      <c r="P94" s="38">
        <f t="shared" si="25"/>
        <v>0</v>
      </c>
      <c r="Q94" s="39">
        <f t="shared" si="26"/>
        <v>0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IF(L94="","",IF($AO$1=1,IFERROR(MATCH(L94,'05-أيار'!$L$2:$L$501,0),0),0))</f>
        <v>0</v>
      </c>
      <c r="W94" t="str">
        <f t="shared" si="31"/>
        <v/>
      </c>
      <c r="X94" s="38" t="str">
        <f>IF(L94="","",IF(V94&gt;0,INDEX('05-أيار'!$P$2:$P$501,V94),IF($AO$1=1,0,"")))</f>
        <v/>
      </c>
      <c r="Y94" s="38" t="str">
        <f t="shared" si="32"/>
        <v/>
      </c>
      <c r="Z94" s="39" t="str">
        <f>IF(L94="","",IF(V94&gt;0,INDEX('05-أيار'!$Q$2:$Q$501,V94),IF($AO$1=1,0,"")))</f>
        <v/>
      </c>
      <c r="AA94" s="39" t="str">
        <f t="shared" si="33"/>
        <v/>
      </c>
      <c r="AB94" s="40" t="str">
        <f>IF(OR(L94="",V94=0),"",IF(AND(N(I94)&gt;0,N(INDEX('05-أيار'!$I$2:$I$501,V94))&gt;0,INDEX('05-أيار'!$F$2:$F$501,V94)=F94),N(I94)/N(INDEX('05-أيار'!$I$2:$I$501,V94))-1,""))</f>
        <v/>
      </c>
      <c r="AC94" t="str">
        <f>IF(L94="","",IF(AND($AO$2=1,ISNA(MATCH(L94,'07-تموز'!$L$2:$L$500,0))),"محذوف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9.3999999999999995E-8</v>
      </c>
      <c r="AL94">
        <f t="shared" si="39"/>
        <v>9.3999999999999995E-8</v>
      </c>
    </row>
    <row r="95" spans="1:38" ht="15">
      <c r="A95" t="s">
        <v>361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177</v>
      </c>
      <c r="I95">
        <v>294</v>
      </c>
      <c r="K95" t="str">
        <f t="shared" si="20"/>
        <v/>
      </c>
      <c r="L95" t="str">
        <f t="shared" si="21"/>
        <v>سائل جلي تفاح ثاني خام</v>
      </c>
      <c r="M95" s="36">
        <f t="shared" si="22"/>
        <v>1</v>
      </c>
      <c r="N95" s="37">
        <f t="shared" si="23"/>
        <v>294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IF(L95="","",IF($AO$1=1,IFERROR(MATCH(L95,'05-أيار'!$L$2:$L$501,0),0),0))</f>
        <v>0</v>
      </c>
      <c r="W95" t="str">
        <f t="shared" si="31"/>
        <v/>
      </c>
      <c r="X95" s="38" t="str">
        <f>IF(L95="","",IF(V95&gt;0,INDEX('05-أيار'!$P$2:$P$501,V95),IF($AO$1=1,0,"")))</f>
        <v/>
      </c>
      <c r="Y95" s="38" t="str">
        <f t="shared" si="32"/>
        <v/>
      </c>
      <c r="Z95" s="39" t="str">
        <f>IF(L95="","",IF(V95&gt;0,INDEX('05-أيار'!$Q$2:$Q$501,V95),IF($AO$1=1,0,"")))</f>
        <v/>
      </c>
      <c r="AA95" s="39" t="str">
        <f t="shared" si="33"/>
        <v/>
      </c>
      <c r="AB95" s="40" t="str">
        <f>IF(OR(L95="",V95=0),"",IF(AND(N(I95)&gt;0,N(INDEX('05-أيار'!$I$2:$I$501,V95))&gt;0,INDEX('05-أيار'!$F$2:$F$501,V95)=F95),N(I95)/N(INDEX('05-أيار'!$I$2:$I$501,V95))-1,""))</f>
        <v/>
      </c>
      <c r="AC95" t="str">
        <f>IF(L95="","",IF(AND($AO$2=1,ISNA(MATCH(L95,'07-تموز'!$L$2:$L$500,0))),"محذوف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362</v>
      </c>
      <c r="B96">
        <v>0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177</v>
      </c>
      <c r="I96">
        <v>248</v>
      </c>
      <c r="K96" t="str">
        <f t="shared" si="20"/>
        <v/>
      </c>
      <c r="L96" t="str">
        <f t="shared" si="21"/>
        <v>سائل جلي تفاح ثالث خام</v>
      </c>
      <c r="M96" s="36">
        <f t="shared" si="22"/>
        <v>1</v>
      </c>
      <c r="N96" s="37">
        <f t="shared" si="23"/>
        <v>248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IF(L96="","",IF($AO$1=1,IFERROR(MATCH(L96,'05-أيار'!$L$2:$L$501,0),0),0))</f>
        <v>0</v>
      </c>
      <c r="W96" t="str">
        <f t="shared" si="31"/>
        <v/>
      </c>
      <c r="X96" s="38" t="str">
        <f>IF(L96="","",IF(V96&gt;0,INDEX('05-أيار'!$P$2:$P$501,V96),IF($AO$1=1,0,"")))</f>
        <v/>
      </c>
      <c r="Y96" s="38" t="str">
        <f t="shared" si="32"/>
        <v/>
      </c>
      <c r="Z96" s="39" t="str">
        <f>IF(L96="","",IF(V96&gt;0,INDEX('05-أيار'!$Q$2:$Q$501,V96),IF($AO$1=1,0,"")))</f>
        <v/>
      </c>
      <c r="AA96" s="39" t="str">
        <f t="shared" si="33"/>
        <v/>
      </c>
      <c r="AB96" s="40" t="str">
        <f>IF(OR(L96="",V96=0),"",IF(AND(N(I96)&gt;0,N(INDEX('05-أيار'!$I$2:$I$501,V96))&gt;0,INDEX('05-أيار'!$F$2:$F$501,V96)=F96),N(I96)/N(INDEX('05-أيار'!$I$2:$I$501,V96))-1,""))</f>
        <v/>
      </c>
      <c r="AC96" t="str">
        <f>IF(L96="","",IF(AND($AO$2=1,ISNA(MATCH(L96,'07-تموز'!$L$2:$L$500,0))),"محذوف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363</v>
      </c>
      <c r="B97">
        <v>0</v>
      </c>
      <c r="C97">
        <v>0</v>
      </c>
      <c r="D97">
        <v>0</v>
      </c>
      <c r="E97">
        <v>0</v>
      </c>
      <c r="F97" t="s">
        <v>268</v>
      </c>
      <c r="G97" t="s">
        <v>178</v>
      </c>
      <c r="H97" t="s">
        <v>177</v>
      </c>
      <c r="I97">
        <v>669</v>
      </c>
      <c r="K97" t="str">
        <f t="shared" si="20"/>
        <v/>
      </c>
      <c r="L97" t="str">
        <f t="shared" si="21"/>
        <v>سائل جلي تفاح اول خام</v>
      </c>
      <c r="M97" s="36">
        <f t="shared" si="22"/>
        <v>1</v>
      </c>
      <c r="N97" s="37">
        <f t="shared" si="23"/>
        <v>669</v>
      </c>
      <c r="O97" s="37">
        <f t="shared" si="24"/>
        <v>0</v>
      </c>
      <c r="P97" s="38">
        <f t="shared" si="25"/>
        <v>0</v>
      </c>
      <c r="Q97" s="39">
        <f t="shared" si="26"/>
        <v>0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IF(L97="","",IF($AO$1=1,IFERROR(MATCH(L97,'05-أيار'!$L$2:$L$501,0),0),0))</f>
        <v>0</v>
      </c>
      <c r="W97" t="str">
        <f t="shared" si="31"/>
        <v/>
      </c>
      <c r="X97" s="38" t="str">
        <f>IF(L97="","",IF(V97&gt;0,INDEX('05-أيار'!$P$2:$P$501,V97),IF($AO$1=1,0,"")))</f>
        <v/>
      </c>
      <c r="Y97" s="38" t="str">
        <f t="shared" si="32"/>
        <v/>
      </c>
      <c r="Z97" s="39" t="str">
        <f>IF(L97="","",IF(V97&gt;0,INDEX('05-أيار'!$Q$2:$Q$501,V97),IF($AO$1=1,0,"")))</f>
        <v/>
      </c>
      <c r="AA97" s="39" t="str">
        <f t="shared" si="33"/>
        <v/>
      </c>
      <c r="AB97" s="40" t="str">
        <f>IF(OR(L97="",V97=0),"",IF(AND(N(I97)&gt;0,N(INDEX('05-أيار'!$I$2:$I$501,V97))&gt;0,INDEX('05-أيار'!$F$2:$F$501,V97)=F97),N(I97)/N(INDEX('05-أيار'!$I$2:$I$501,V97))-1,""))</f>
        <v/>
      </c>
      <c r="AC97" t="str">
        <f>IF(L97="","",IF(AND($AO$2=1,ISNA(MATCH(L97,'07-تموز'!$L$2:$L$500,0))),"محذوف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9.6999999999999995E-8</v>
      </c>
      <c r="AL97">
        <f t="shared" si="39"/>
        <v>9.6999999999999995E-8</v>
      </c>
    </row>
    <row r="98" spans="1:38" ht="15">
      <c r="A98" t="s">
        <v>364</v>
      </c>
      <c r="B98">
        <v>24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5</v>
      </c>
      <c r="K98" t="str">
        <f t="shared" si="20"/>
        <v/>
      </c>
      <c r="L98" t="str">
        <f t="shared" si="21"/>
        <v>زيت الصنوبر</v>
      </c>
      <c r="M98" s="36">
        <f t="shared" si="22"/>
        <v>1</v>
      </c>
      <c r="N98" s="37">
        <f t="shared" si="23"/>
        <v>5</v>
      </c>
      <c r="O98" s="37">
        <f t="shared" si="24"/>
        <v>0</v>
      </c>
      <c r="P98" s="38">
        <f t="shared" si="25"/>
        <v>24</v>
      </c>
      <c r="Q98" s="39">
        <f t="shared" si="26"/>
        <v>120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IF(L98="","",IF($AO$1=1,IFERROR(MATCH(L98,'05-أيار'!$L$2:$L$501,0),0),0))</f>
        <v>0</v>
      </c>
      <c r="W98" t="str">
        <f t="shared" si="31"/>
        <v/>
      </c>
      <c r="X98" s="38" t="str">
        <f>IF(L98="","",IF(V98&gt;0,INDEX('05-أيار'!$P$2:$P$501,V98),IF($AO$1=1,0,"")))</f>
        <v/>
      </c>
      <c r="Y98" s="38" t="str">
        <f t="shared" si="32"/>
        <v/>
      </c>
      <c r="Z98" s="39" t="str">
        <f>IF(L98="","",IF(V98&gt;0,INDEX('05-أيار'!$Q$2:$Q$501,V98),IF($AO$1=1,0,"")))</f>
        <v/>
      </c>
      <c r="AA98" s="39" t="str">
        <f t="shared" si="33"/>
        <v/>
      </c>
      <c r="AB98" s="40" t="str">
        <f>IF(OR(L98="",V98=0),"",IF(AND(N(I98)&gt;0,N(INDEX('05-أيار'!$I$2:$I$501,V98))&gt;0,INDEX('05-أيار'!$F$2:$F$501,V98)=F98),N(I98)/N(INDEX('05-أيار'!$I$2:$I$501,V98))-1,""))</f>
        <v/>
      </c>
      <c r="AC98" t="str">
        <f>IF(L98="","",IF(AND($AO$2=1,ISNA(MATCH(L98,'07-تموز'!$L$2:$L$500,0))),"محذوف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120.000000098</v>
      </c>
      <c r="AL98">
        <f t="shared" si="39"/>
        <v>9.8000000000000004E-8</v>
      </c>
    </row>
    <row r="99" spans="1:38" ht="15">
      <c r="A99" t="s">
        <v>365</v>
      </c>
      <c r="B99">
        <v>576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3</v>
      </c>
      <c r="K99" t="str">
        <f t="shared" si="20"/>
        <v/>
      </c>
      <c r="L99" t="str">
        <f t="shared" si="21"/>
        <v>زفتة</v>
      </c>
      <c r="M99" s="36">
        <f t="shared" si="22"/>
        <v>1</v>
      </c>
      <c r="N99" s="37">
        <f t="shared" si="23"/>
        <v>3</v>
      </c>
      <c r="O99" s="37">
        <f t="shared" si="24"/>
        <v>0</v>
      </c>
      <c r="P99" s="38">
        <f t="shared" si="25"/>
        <v>576</v>
      </c>
      <c r="Q99" s="39">
        <f t="shared" si="26"/>
        <v>1728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IF(L99="","",IF($AO$1=1,IFERROR(MATCH(L99,'05-أيار'!$L$2:$L$501,0),0),0))</f>
        <v>0</v>
      </c>
      <c r="W99" t="str">
        <f t="shared" si="31"/>
        <v/>
      </c>
      <c r="X99" s="38" t="str">
        <f>IF(L99="","",IF(V99&gt;0,INDEX('05-أيار'!$P$2:$P$501,V99),IF($AO$1=1,0,"")))</f>
        <v/>
      </c>
      <c r="Y99" s="38" t="str">
        <f t="shared" si="32"/>
        <v/>
      </c>
      <c r="Z99" s="39" t="str">
        <f>IF(L99="","",IF(V99&gt;0,INDEX('05-أيار'!$Q$2:$Q$501,V99),IF($AO$1=1,0,"")))</f>
        <v/>
      </c>
      <c r="AA99" s="39" t="str">
        <f t="shared" si="33"/>
        <v/>
      </c>
      <c r="AB99" s="40" t="str">
        <f>IF(OR(L99="",V99=0),"",IF(AND(N(I99)&gt;0,N(INDEX('05-أيار'!$I$2:$I$501,V99))&gt;0,INDEX('05-أيار'!$F$2:$F$501,V99)=F99),N(I99)/N(INDEX('05-أيار'!$I$2:$I$501,V99))-1,""))</f>
        <v/>
      </c>
      <c r="AC99" t="str">
        <f>IF(L99="","",IF(AND($AO$2=1,ISNA(MATCH(L99,'07-تموز'!$L$2:$L$500,0))),"محذوف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1728.0000000990001</v>
      </c>
      <c r="AL99">
        <f t="shared" si="39"/>
        <v>9.9E-8</v>
      </c>
    </row>
    <row r="100" spans="1:38" ht="15">
      <c r="A100" t="s">
        <v>366</v>
      </c>
      <c r="B100">
        <v>0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0</v>
      </c>
      <c r="K100" t="str">
        <f t="shared" si="20"/>
        <v/>
      </c>
      <c r="L100" t="str">
        <f t="shared" si="21"/>
        <v>ديباتيول فينب</v>
      </c>
      <c r="M100" s="36">
        <f t="shared" si="22"/>
        <v>1</v>
      </c>
      <c r="N100" s="37">
        <f t="shared" si="23"/>
        <v>0</v>
      </c>
      <c r="O100" s="37">
        <f t="shared" si="24"/>
        <v>0</v>
      </c>
      <c r="P100" s="38">
        <f t="shared" si="25"/>
        <v>0</v>
      </c>
      <c r="Q100" s="39">
        <f t="shared" si="26"/>
        <v>0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IF(L100="","",IF($AO$1=1,IFERROR(MATCH(L100,'05-أيار'!$L$2:$L$501,0),0),0))</f>
        <v>0</v>
      </c>
      <c r="W100" t="str">
        <f t="shared" si="31"/>
        <v/>
      </c>
      <c r="X100" s="38" t="str">
        <f>IF(L100="","",IF(V100&gt;0,INDEX('05-أيار'!$P$2:$P$501,V100),IF($AO$1=1,0,"")))</f>
        <v/>
      </c>
      <c r="Y100" s="38" t="str">
        <f t="shared" si="32"/>
        <v/>
      </c>
      <c r="Z100" s="39" t="str">
        <f>IF(L100="","",IF(V100&gt;0,INDEX('05-أيار'!$Q$2:$Q$501,V100),IF($AO$1=1,0,"")))</f>
        <v/>
      </c>
      <c r="AA100" s="39" t="str">
        <f t="shared" si="33"/>
        <v/>
      </c>
      <c r="AB100" s="40" t="str">
        <f>IF(OR(L100="",V100=0),"",IF(AND(N(I100)&gt;0,N(INDEX('05-أيار'!$I$2:$I$501,V100))&gt;0,INDEX('05-أيار'!$F$2:$F$501,V100)=F100),N(I100)/N(INDEX('05-أيار'!$I$2:$I$501,V100))-1,""))</f>
        <v/>
      </c>
      <c r="AC100" t="str">
        <f>IF(L100="","",IF(AND($AO$2=1,ISNA(MATCH(L100,'07-تموز'!$L$2:$L$500,0))),"محذوف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9.9999999999999995E-8</v>
      </c>
      <c r="AL100">
        <f t="shared" si="39"/>
        <v>9.9999999999999995E-8</v>
      </c>
    </row>
    <row r="101" spans="1:38" ht="15">
      <c r="A101" t="s">
        <v>367</v>
      </c>
      <c r="B101">
        <v>34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0.66</v>
      </c>
      <c r="K101" t="str">
        <f t="shared" si="20"/>
        <v/>
      </c>
      <c r="L101" t="str">
        <f t="shared" si="21"/>
        <v>دواء غسيل نصف مصنع</v>
      </c>
      <c r="M101" s="36">
        <f t="shared" si="22"/>
        <v>1</v>
      </c>
      <c r="N101" s="37">
        <f t="shared" si="23"/>
        <v>0.66</v>
      </c>
      <c r="O101" s="37">
        <f t="shared" si="24"/>
        <v>0</v>
      </c>
      <c r="P101" s="38">
        <f t="shared" si="25"/>
        <v>34</v>
      </c>
      <c r="Q101" s="39">
        <f t="shared" si="26"/>
        <v>22.44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IF(L101="","",IF($AO$1=1,IFERROR(MATCH(L101,'05-أيار'!$L$2:$L$501,0),0),0))</f>
        <v>0</v>
      </c>
      <c r="W101" t="str">
        <f t="shared" si="31"/>
        <v/>
      </c>
      <c r="X101" s="38" t="str">
        <f>IF(L101="","",IF(V101&gt;0,INDEX('05-أيار'!$P$2:$P$501,V101),IF($AO$1=1,0,"")))</f>
        <v/>
      </c>
      <c r="Y101" s="38" t="str">
        <f t="shared" si="32"/>
        <v/>
      </c>
      <c r="Z101" s="39" t="str">
        <f>IF(L101="","",IF(V101&gt;0,INDEX('05-أيار'!$Q$2:$Q$501,V101),IF($AO$1=1,0,"")))</f>
        <v/>
      </c>
      <c r="AA101" s="39" t="str">
        <f t="shared" si="33"/>
        <v/>
      </c>
      <c r="AB101" s="40" t="str">
        <f>IF(OR(L101="",V101=0),"",IF(AND(N(I101)&gt;0,N(INDEX('05-أيار'!$I$2:$I$501,V101))&gt;0,INDEX('05-أيار'!$F$2:$F$501,V101)=F101),N(I101)/N(INDEX('05-أيار'!$I$2:$I$501,V101))-1,""))</f>
        <v/>
      </c>
      <c r="AC101" t="str">
        <f>IF(L101="","",IF(AND($AO$2=1,ISNA(MATCH(L101,'07-تموز'!$L$2:$L$500,0))),"محذوف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22.440000101000003</v>
      </c>
      <c r="AL101">
        <f t="shared" si="39"/>
        <v>1.01E-7</v>
      </c>
    </row>
    <row r="102" spans="1:38" ht="15">
      <c r="A102" t="s">
        <v>368</v>
      </c>
      <c r="B102">
        <v>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177</v>
      </c>
      <c r="I102">
        <v>69</v>
      </c>
      <c r="K102" t="str">
        <f t="shared" si="20"/>
        <v/>
      </c>
      <c r="L102" t="str">
        <f t="shared" si="21"/>
        <v>دوا غسيل بودرا 60 كغ خام</v>
      </c>
      <c r="M102" s="36">
        <f t="shared" si="22"/>
        <v>1</v>
      </c>
      <c r="N102" s="37">
        <f t="shared" si="23"/>
        <v>69</v>
      </c>
      <c r="O102" s="37">
        <f t="shared" si="24"/>
        <v>0</v>
      </c>
      <c r="P102" s="38">
        <f t="shared" si="25"/>
        <v>0</v>
      </c>
      <c r="Q102" s="39">
        <f t="shared" si="26"/>
        <v>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IF(L102="","",IF($AO$1=1,IFERROR(MATCH(L102,'05-أيار'!$L$2:$L$501,0),0),0))</f>
        <v>0</v>
      </c>
      <c r="W102" t="str">
        <f t="shared" si="31"/>
        <v/>
      </c>
      <c r="X102" s="38" t="str">
        <f>IF(L102="","",IF(V102&gt;0,INDEX('05-أيار'!$P$2:$P$501,V102),IF($AO$1=1,0,"")))</f>
        <v/>
      </c>
      <c r="Y102" s="38" t="str">
        <f t="shared" si="32"/>
        <v/>
      </c>
      <c r="Z102" s="39" t="str">
        <f>IF(L102="","",IF(V102&gt;0,INDEX('05-أيار'!$Q$2:$Q$501,V102),IF($AO$1=1,0,"")))</f>
        <v/>
      </c>
      <c r="AA102" s="39" t="str">
        <f t="shared" si="33"/>
        <v/>
      </c>
      <c r="AB102" s="40" t="str">
        <f>IF(OR(L102="",V102=0),"",IF(AND(N(I102)&gt;0,N(INDEX('05-أيار'!$I$2:$I$501,V102))&gt;0,INDEX('05-أيار'!$F$2:$F$501,V102)=F102),N(I102)/N(INDEX('05-أيار'!$I$2:$I$501,V102))-1,""))</f>
        <v/>
      </c>
      <c r="AC102" t="str">
        <f>IF(L102="","",IF(AND($AO$2=1,ISNA(MATCH(L102,'07-تموز'!$L$2:$L$500,0))),"محذوف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1.02E-7</v>
      </c>
      <c r="AL102">
        <f t="shared" si="39"/>
        <v>1.02E-7</v>
      </c>
    </row>
    <row r="103" spans="1:38" ht="15">
      <c r="A103" t="s">
        <v>369</v>
      </c>
      <c r="B103">
        <v>0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177</v>
      </c>
      <c r="I103">
        <v>105.4</v>
      </c>
      <c r="K103" t="str">
        <f t="shared" si="20"/>
        <v/>
      </c>
      <c r="L103" t="str">
        <f t="shared" si="21"/>
        <v>دوا غسيل بودرا 170 كغ خام</v>
      </c>
      <c r="M103" s="36">
        <f t="shared" si="22"/>
        <v>1</v>
      </c>
      <c r="N103" s="37">
        <f t="shared" si="23"/>
        <v>105.4</v>
      </c>
      <c r="O103" s="37">
        <f t="shared" si="24"/>
        <v>0</v>
      </c>
      <c r="P103" s="38">
        <f t="shared" si="25"/>
        <v>0</v>
      </c>
      <c r="Q103" s="39">
        <f t="shared" si="26"/>
        <v>0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IF(L103="","",IF($AO$1=1,IFERROR(MATCH(L103,'05-أيار'!$L$2:$L$501,0),0),0))</f>
        <v>0</v>
      </c>
      <c r="W103" t="str">
        <f t="shared" si="31"/>
        <v/>
      </c>
      <c r="X103" s="38" t="str">
        <f>IF(L103="","",IF(V103&gt;0,INDEX('05-أيار'!$P$2:$P$501,V103),IF($AO$1=1,0,"")))</f>
        <v/>
      </c>
      <c r="Y103" s="38" t="str">
        <f t="shared" si="32"/>
        <v/>
      </c>
      <c r="Z103" s="39" t="str">
        <f>IF(L103="","",IF(V103&gt;0,INDEX('05-أيار'!$Q$2:$Q$501,V103),IF($AO$1=1,0,"")))</f>
        <v/>
      </c>
      <c r="AA103" s="39" t="str">
        <f t="shared" si="33"/>
        <v/>
      </c>
      <c r="AB103" s="40" t="str">
        <f>IF(OR(L103="",V103=0),"",IF(AND(N(I103)&gt;0,N(INDEX('05-أيار'!$I$2:$I$501,V103))&gt;0,INDEX('05-أيار'!$F$2:$F$501,V103)=F103),N(I103)/N(INDEX('05-أيار'!$I$2:$I$501,V103))-1,""))</f>
        <v/>
      </c>
      <c r="AC103" t="str">
        <f>IF(L103="","",IF(AND($AO$2=1,ISNA(MATCH(L103,'07-تموز'!$L$2:$L$500,0))),"محذوف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1.03E-7</v>
      </c>
      <c r="AL103">
        <f t="shared" si="39"/>
        <v>1.03E-7</v>
      </c>
    </row>
    <row r="104" spans="1:38" ht="15">
      <c r="A104" t="s">
        <v>370</v>
      </c>
      <c r="B104">
        <v>0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177</v>
      </c>
      <c r="I104">
        <v>60.48</v>
      </c>
      <c r="K104" t="str">
        <f t="shared" si="20"/>
        <v/>
      </c>
      <c r="L104" t="str">
        <f t="shared" si="21"/>
        <v>دوا غسيل بودرا &amp;&amp; كغ خام</v>
      </c>
      <c r="M104" s="36">
        <f t="shared" si="22"/>
        <v>1</v>
      </c>
      <c r="N104" s="37">
        <f t="shared" si="23"/>
        <v>60.48</v>
      </c>
      <c r="O104" s="37">
        <f t="shared" si="24"/>
        <v>0</v>
      </c>
      <c r="P104" s="38">
        <f t="shared" si="25"/>
        <v>0</v>
      </c>
      <c r="Q104" s="39">
        <f t="shared" si="26"/>
        <v>0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IF(L104="","",IF($AO$1=1,IFERROR(MATCH(L104,'05-أيار'!$L$2:$L$501,0),0),0))</f>
        <v>0</v>
      </c>
      <c r="W104" t="str">
        <f t="shared" si="31"/>
        <v/>
      </c>
      <c r="X104" s="38" t="str">
        <f>IF(L104="","",IF(V104&gt;0,INDEX('05-أيار'!$P$2:$P$501,V104),IF($AO$1=1,0,"")))</f>
        <v/>
      </c>
      <c r="Y104" s="38" t="str">
        <f t="shared" si="32"/>
        <v/>
      </c>
      <c r="Z104" s="39" t="str">
        <f>IF(L104="","",IF(V104&gt;0,INDEX('05-أيار'!$Q$2:$Q$501,V104),IF($AO$1=1,0,"")))</f>
        <v/>
      </c>
      <c r="AA104" s="39" t="str">
        <f t="shared" si="33"/>
        <v/>
      </c>
      <c r="AB104" s="40" t="str">
        <f>IF(OR(L104="",V104=0),"",IF(AND(N(I104)&gt;0,N(INDEX('05-أيار'!$I$2:$I$501,V104))&gt;0,INDEX('05-أيار'!$F$2:$F$501,V104)=F104),N(I104)/N(INDEX('05-أيار'!$I$2:$I$501,V104))-1,""))</f>
        <v/>
      </c>
      <c r="AC104" t="str">
        <f>IF(L104="","",IF(AND($AO$2=1,ISNA(MATCH(L104,'07-تموز'!$L$2:$L$500,0))),"محذوف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1.04E-7</v>
      </c>
      <c r="AL104">
        <f t="shared" si="39"/>
        <v>1.04E-7</v>
      </c>
    </row>
    <row r="105" spans="1:38" ht="15">
      <c r="A105" t="s">
        <v>371</v>
      </c>
      <c r="B105">
        <v>1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0.875</v>
      </c>
      <c r="K105" t="str">
        <f t="shared" si="20"/>
        <v/>
      </c>
      <c r="L105" t="str">
        <f t="shared" si="21"/>
        <v>حمض الليمون</v>
      </c>
      <c r="M105" s="36">
        <f t="shared" si="22"/>
        <v>1</v>
      </c>
      <c r="N105" s="37">
        <f t="shared" si="23"/>
        <v>0.875</v>
      </c>
      <c r="O105" s="37">
        <f t="shared" si="24"/>
        <v>0</v>
      </c>
      <c r="P105" s="38">
        <f t="shared" si="25"/>
        <v>1</v>
      </c>
      <c r="Q105" s="39">
        <f t="shared" si="26"/>
        <v>0.875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IF(L105="","",IF($AO$1=1,IFERROR(MATCH(L105,'05-أيار'!$L$2:$L$501,0),0),0))</f>
        <v>0</v>
      </c>
      <c r="W105" t="str">
        <f t="shared" si="31"/>
        <v/>
      </c>
      <c r="X105" s="38" t="str">
        <f>IF(L105="","",IF(V105&gt;0,INDEX('05-أيار'!$P$2:$P$501,V105),IF($AO$1=1,0,"")))</f>
        <v/>
      </c>
      <c r="Y105" s="38" t="str">
        <f t="shared" si="32"/>
        <v/>
      </c>
      <c r="Z105" s="39" t="str">
        <f>IF(L105="","",IF(V105&gt;0,INDEX('05-أيار'!$Q$2:$Q$501,V105),IF($AO$1=1,0,"")))</f>
        <v/>
      </c>
      <c r="AA105" s="39" t="str">
        <f t="shared" si="33"/>
        <v/>
      </c>
      <c r="AB105" s="40" t="str">
        <f>IF(OR(L105="",V105=0),"",IF(AND(N(I105)&gt;0,N(INDEX('05-أيار'!$I$2:$I$501,V105))&gt;0,INDEX('05-أيار'!$F$2:$F$501,V105)=F105),N(I105)/N(INDEX('05-أيار'!$I$2:$I$501,V105))-1,""))</f>
        <v/>
      </c>
      <c r="AC105" t="str">
        <f>IF(L105="","",IF(AND($AO$2=1,ISNA(MATCH(L105,'07-تموز'!$L$2:$L$500,0))),"محذوف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0.87500010500000003</v>
      </c>
      <c r="AL105">
        <f t="shared" si="39"/>
        <v>1.05E-7</v>
      </c>
    </row>
    <row r="106" spans="1:38" ht="15">
      <c r="A106" t="s">
        <v>372</v>
      </c>
      <c r="B106">
        <v>0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0.65</v>
      </c>
      <c r="K106" t="str">
        <f t="shared" si="20"/>
        <v/>
      </c>
      <c r="L106" t="str">
        <f t="shared" si="21"/>
        <v>حمض الكبريت</v>
      </c>
      <c r="M106" s="36">
        <f t="shared" si="22"/>
        <v>1</v>
      </c>
      <c r="N106" s="37">
        <f t="shared" si="23"/>
        <v>0.65</v>
      </c>
      <c r="O106" s="37">
        <f t="shared" si="24"/>
        <v>0</v>
      </c>
      <c r="P106" s="38">
        <f t="shared" si="25"/>
        <v>0</v>
      </c>
      <c r="Q106" s="39">
        <f t="shared" si="26"/>
        <v>0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IF(L106="","",IF($AO$1=1,IFERROR(MATCH(L106,'05-أيار'!$L$2:$L$501,0),0),0))</f>
        <v>0</v>
      </c>
      <c r="W106" t="str">
        <f t="shared" si="31"/>
        <v/>
      </c>
      <c r="X106" s="38" t="str">
        <f>IF(L106="","",IF(V106&gt;0,INDEX('05-أيار'!$P$2:$P$501,V106),IF($AO$1=1,0,"")))</f>
        <v/>
      </c>
      <c r="Y106" s="38" t="str">
        <f t="shared" si="32"/>
        <v/>
      </c>
      <c r="Z106" s="39" t="str">
        <f>IF(L106="","",IF(V106&gt;0,INDEX('05-أيار'!$Q$2:$Q$501,V106),IF($AO$1=1,0,"")))</f>
        <v/>
      </c>
      <c r="AA106" s="39" t="str">
        <f t="shared" si="33"/>
        <v/>
      </c>
      <c r="AB106" s="40" t="str">
        <f>IF(OR(L106="",V106=0),"",IF(AND(N(I106)&gt;0,N(INDEX('05-أيار'!$I$2:$I$501,V106))&gt;0,INDEX('05-أيار'!$F$2:$F$501,V106)=F106),N(I106)/N(INDEX('05-أيار'!$I$2:$I$501,V106))-1,""))</f>
        <v/>
      </c>
      <c r="AC106" t="str">
        <f>IF(L106="","",IF(AND($AO$2=1,ISNA(MATCH(L106,'07-تموز'!$L$2:$L$500,0))),"محذوف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1.06E-7</v>
      </c>
      <c r="AL106">
        <f t="shared" si="39"/>
        <v>1.06E-7</v>
      </c>
    </row>
    <row r="107" spans="1:38" ht="15">
      <c r="A107" t="s">
        <v>373</v>
      </c>
      <c r="B107">
        <v>1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0.91600000000000004</v>
      </c>
      <c r="K107" t="str">
        <f t="shared" si="20"/>
        <v/>
      </c>
      <c r="L107" t="str">
        <f t="shared" si="21"/>
        <v>حمض الخل</v>
      </c>
      <c r="M107" s="36">
        <f t="shared" si="22"/>
        <v>1</v>
      </c>
      <c r="N107" s="37">
        <f t="shared" si="23"/>
        <v>0.91600000000000004</v>
      </c>
      <c r="O107" s="37">
        <f t="shared" si="24"/>
        <v>0</v>
      </c>
      <c r="P107" s="38">
        <f t="shared" si="25"/>
        <v>1</v>
      </c>
      <c r="Q107" s="39">
        <f t="shared" si="26"/>
        <v>0.91600000000000004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IF(L107="","",IF($AO$1=1,IFERROR(MATCH(L107,'05-أيار'!$L$2:$L$501,0),0),0))</f>
        <v>0</v>
      </c>
      <c r="W107" t="str">
        <f t="shared" si="31"/>
        <v/>
      </c>
      <c r="X107" s="38" t="str">
        <f>IF(L107="","",IF(V107&gt;0,INDEX('05-أيار'!$P$2:$P$501,V107),IF($AO$1=1,0,"")))</f>
        <v/>
      </c>
      <c r="Y107" s="38" t="str">
        <f t="shared" si="32"/>
        <v/>
      </c>
      <c r="Z107" s="39" t="str">
        <f>IF(L107="","",IF(V107&gt;0,INDEX('05-أيار'!$Q$2:$Q$501,V107),IF($AO$1=1,0,"")))</f>
        <v/>
      </c>
      <c r="AA107" s="39" t="str">
        <f t="shared" si="33"/>
        <v/>
      </c>
      <c r="AB107" s="40" t="str">
        <f>IF(OR(L107="",V107=0),"",IF(AND(N(I107)&gt;0,N(INDEX('05-أيار'!$I$2:$I$501,V107))&gt;0,INDEX('05-أيار'!$F$2:$F$501,V107)=F107),N(I107)/N(INDEX('05-أيار'!$I$2:$I$501,V107))-1,""))</f>
        <v/>
      </c>
      <c r="AC107" t="str">
        <f>IF(L107="","",IF(AND($AO$2=1,ISNA(MATCH(L107,'07-تموز'!$L$2:$L$500,0))),"محذوف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0.91600010700000001</v>
      </c>
      <c r="AL107">
        <f t="shared" si="39"/>
        <v>1.0700000000000001E-7</v>
      </c>
    </row>
    <row r="108" spans="1:38" ht="15">
      <c r="A108" t="s">
        <v>374</v>
      </c>
      <c r="B108">
        <v>0.83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300</v>
      </c>
      <c r="K108" t="str">
        <f t="shared" si="20"/>
        <v/>
      </c>
      <c r="L108" t="str">
        <f t="shared" si="21"/>
        <v>حليب التين</v>
      </c>
      <c r="M108" s="36">
        <f t="shared" si="22"/>
        <v>1</v>
      </c>
      <c r="N108" s="37">
        <f t="shared" si="23"/>
        <v>300</v>
      </c>
      <c r="O108" s="37">
        <f t="shared" si="24"/>
        <v>0</v>
      </c>
      <c r="P108" s="38">
        <f t="shared" si="25"/>
        <v>0.83</v>
      </c>
      <c r="Q108" s="39">
        <f t="shared" si="26"/>
        <v>249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IF(L108="","",IF($AO$1=1,IFERROR(MATCH(L108,'05-أيار'!$L$2:$L$501,0),0),0))</f>
        <v>0</v>
      </c>
      <c r="W108" t="str">
        <f t="shared" si="31"/>
        <v/>
      </c>
      <c r="X108" s="38" t="str">
        <f>IF(L108="","",IF(V108&gt;0,INDEX('05-أيار'!$P$2:$P$501,V108),IF($AO$1=1,0,"")))</f>
        <v/>
      </c>
      <c r="Y108" s="38" t="str">
        <f t="shared" si="32"/>
        <v/>
      </c>
      <c r="Z108" s="39" t="str">
        <f>IF(L108="","",IF(V108&gt;0,INDEX('05-أيار'!$Q$2:$Q$501,V108),IF($AO$1=1,0,"")))</f>
        <v/>
      </c>
      <c r="AA108" s="39" t="str">
        <f t="shared" si="33"/>
        <v/>
      </c>
      <c r="AB108" s="40" t="str">
        <f>IF(OR(L108="",V108=0),"",IF(AND(N(I108)&gt;0,N(INDEX('05-أيار'!$I$2:$I$501,V108))&gt;0,INDEX('05-أيار'!$F$2:$F$501,V108)=F108),N(I108)/N(INDEX('05-أيار'!$I$2:$I$501,V108))-1,""))</f>
        <v/>
      </c>
      <c r="AC108" t="str">
        <f>IF(L108="","",IF(AND($AO$2=1,ISNA(MATCH(L108,'07-تموز'!$L$2:$L$500,0))),"محذوف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249.00000010799999</v>
      </c>
      <c r="AL108">
        <f t="shared" si="39"/>
        <v>1.08E-7</v>
      </c>
    </row>
    <row r="109" spans="1:38" ht="15">
      <c r="A109" t="s">
        <v>375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0.5</v>
      </c>
      <c r="K109" t="str">
        <f t="shared" si="20"/>
        <v/>
      </c>
      <c r="L109" t="str">
        <f t="shared" si="21"/>
        <v>حبيبات ملونة</v>
      </c>
      <c r="M109" s="36">
        <f t="shared" si="22"/>
        <v>1</v>
      </c>
      <c r="N109" s="37">
        <f t="shared" si="23"/>
        <v>0.5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IF(L109="","",IF($AO$1=1,IFERROR(MATCH(L109,'05-أيار'!$L$2:$L$501,0),0),0))</f>
        <v>0</v>
      </c>
      <c r="W109" t="str">
        <f t="shared" si="31"/>
        <v/>
      </c>
      <c r="X109" s="38" t="str">
        <f>IF(L109="","",IF(V109&gt;0,INDEX('05-أيار'!$P$2:$P$501,V109),IF($AO$1=1,0,"")))</f>
        <v/>
      </c>
      <c r="Y109" s="38" t="str">
        <f t="shared" si="32"/>
        <v/>
      </c>
      <c r="Z109" s="39" t="str">
        <f>IF(L109="","",IF(V109&gt;0,INDEX('05-أيار'!$Q$2:$Q$501,V109),IF($AO$1=1,0,"")))</f>
        <v/>
      </c>
      <c r="AA109" s="39" t="str">
        <f t="shared" si="33"/>
        <v/>
      </c>
      <c r="AB109" s="40" t="str">
        <f>IF(OR(L109="",V109=0),"",IF(AND(N(I109)&gt;0,N(INDEX('05-أيار'!$I$2:$I$501,V109))&gt;0,INDEX('05-أيار'!$F$2:$F$501,V109)=F109),N(I109)/N(INDEX('05-أيار'!$I$2:$I$501,V109))-1,""))</f>
        <v/>
      </c>
      <c r="AC109" t="str">
        <f>IF(L109="","",IF(AND($AO$2=1,ISNA(MATCH(L109,'07-تموز'!$L$2:$L$500,0))),"محذوف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376</v>
      </c>
      <c r="B110">
        <v>548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2.5</v>
      </c>
      <c r="K110" t="str">
        <f t="shared" si="20"/>
        <v/>
      </c>
      <c r="L110" t="str">
        <f t="shared" si="21"/>
        <v>تكسبون</v>
      </c>
      <c r="M110" s="36">
        <f t="shared" si="22"/>
        <v>1</v>
      </c>
      <c r="N110" s="37">
        <f t="shared" si="23"/>
        <v>2.5</v>
      </c>
      <c r="O110" s="37">
        <f t="shared" si="24"/>
        <v>0</v>
      </c>
      <c r="P110" s="38">
        <f t="shared" si="25"/>
        <v>548</v>
      </c>
      <c r="Q110" s="39">
        <f t="shared" si="26"/>
        <v>1370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IF(L110="","",IF($AO$1=1,IFERROR(MATCH(L110,'05-أيار'!$L$2:$L$501,0),0),0))</f>
        <v>0</v>
      </c>
      <c r="W110" t="str">
        <f t="shared" si="31"/>
        <v/>
      </c>
      <c r="X110" s="38" t="str">
        <f>IF(L110="","",IF(V110&gt;0,INDEX('05-أيار'!$P$2:$P$501,V110),IF($AO$1=1,0,"")))</f>
        <v/>
      </c>
      <c r="Y110" s="38" t="str">
        <f t="shared" si="32"/>
        <v/>
      </c>
      <c r="Z110" s="39" t="str">
        <f>IF(L110="","",IF(V110&gt;0,INDEX('05-أيار'!$Q$2:$Q$501,V110),IF($AO$1=1,0,"")))</f>
        <v/>
      </c>
      <c r="AA110" s="39" t="str">
        <f t="shared" si="33"/>
        <v/>
      </c>
      <c r="AB110" s="40" t="str">
        <f>IF(OR(L110="",V110=0),"",IF(AND(N(I110)&gt;0,N(INDEX('05-أيار'!$I$2:$I$501,V110))&gt;0,INDEX('05-أيار'!$F$2:$F$501,V110)=F110),N(I110)/N(INDEX('05-أيار'!$I$2:$I$501,V110))-1,""))</f>
        <v/>
      </c>
      <c r="AC110" t="str">
        <f>IF(L110="","",IF(AND($AO$2=1,ISNA(MATCH(L110,'07-تموز'!$L$2:$L$500,0))),"محذوف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1370.00000011</v>
      </c>
      <c r="AL110">
        <f t="shared" si="39"/>
        <v>1.1000000000000001E-7</v>
      </c>
    </row>
    <row r="111" spans="1:38" ht="15">
      <c r="A111" t="s">
        <v>377</v>
      </c>
      <c r="B111">
        <v>12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0.21</v>
      </c>
      <c r="K111" t="str">
        <f t="shared" si="20"/>
        <v/>
      </c>
      <c r="L111" t="str">
        <f t="shared" si="21"/>
        <v>بيدون 4 لتر</v>
      </c>
      <c r="M111" s="36">
        <f t="shared" si="22"/>
        <v>1</v>
      </c>
      <c r="N111" s="37">
        <f t="shared" si="23"/>
        <v>0.21</v>
      </c>
      <c r="O111" s="37">
        <f t="shared" si="24"/>
        <v>0</v>
      </c>
      <c r="P111" s="38">
        <f t="shared" si="25"/>
        <v>12</v>
      </c>
      <c r="Q111" s="39">
        <f t="shared" si="26"/>
        <v>2.52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IF(L111="","",IF($AO$1=1,IFERROR(MATCH(L111,'05-أيار'!$L$2:$L$501,0),0),0))</f>
        <v>0</v>
      </c>
      <c r="W111" t="str">
        <f t="shared" si="31"/>
        <v/>
      </c>
      <c r="X111" s="38" t="str">
        <f>IF(L111="","",IF(V111&gt;0,INDEX('05-أيار'!$P$2:$P$501,V111),IF($AO$1=1,0,"")))</f>
        <v/>
      </c>
      <c r="Y111" s="38" t="str">
        <f t="shared" si="32"/>
        <v/>
      </c>
      <c r="Z111" s="39" t="str">
        <f>IF(L111="","",IF(V111&gt;0,INDEX('05-أيار'!$Q$2:$Q$501,V111),IF($AO$1=1,0,"")))</f>
        <v/>
      </c>
      <c r="AA111" s="39" t="str">
        <f t="shared" si="33"/>
        <v/>
      </c>
      <c r="AB111" s="40" t="str">
        <f>IF(OR(L111="",V111=0),"",IF(AND(N(I111)&gt;0,N(INDEX('05-أيار'!$I$2:$I$501,V111))&gt;0,INDEX('05-أيار'!$F$2:$F$501,V111)=F111),N(I111)/N(INDEX('05-أيار'!$I$2:$I$501,V111))-1,""))</f>
        <v/>
      </c>
      <c r="AC111" t="str">
        <f>IF(L111="","",IF(AND($AO$2=1,ISNA(MATCH(L111,'07-تموز'!$L$2:$L$500,0))),"محذوف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2.5200001109999999</v>
      </c>
      <c r="AL111">
        <f t="shared" si="39"/>
        <v>1.11E-7</v>
      </c>
    </row>
    <row r="112" spans="1:38" ht="15">
      <c r="A112" t="s">
        <v>378</v>
      </c>
      <c r="B112">
        <v>337.5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1.35</v>
      </c>
      <c r="K112" t="str">
        <f t="shared" si="20"/>
        <v/>
      </c>
      <c r="L112" t="str">
        <f t="shared" si="21"/>
        <v>بيتائين</v>
      </c>
      <c r="M112" s="36">
        <f t="shared" si="22"/>
        <v>1</v>
      </c>
      <c r="N112" s="37">
        <f t="shared" si="23"/>
        <v>1.35</v>
      </c>
      <c r="O112" s="37">
        <f t="shared" si="24"/>
        <v>0</v>
      </c>
      <c r="P112" s="38">
        <f t="shared" si="25"/>
        <v>337.5</v>
      </c>
      <c r="Q112" s="39">
        <f t="shared" si="26"/>
        <v>455.62500000000006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IF(L112="","",IF($AO$1=1,IFERROR(MATCH(L112,'05-أيار'!$L$2:$L$501,0),0),0))</f>
        <v>0</v>
      </c>
      <c r="W112" t="str">
        <f t="shared" si="31"/>
        <v/>
      </c>
      <c r="X112" s="38" t="str">
        <f>IF(L112="","",IF(V112&gt;0,INDEX('05-أيار'!$P$2:$P$501,V112),IF($AO$1=1,0,"")))</f>
        <v/>
      </c>
      <c r="Y112" s="38" t="str">
        <f t="shared" si="32"/>
        <v/>
      </c>
      <c r="Z112" s="39" t="str">
        <f>IF(L112="","",IF(V112&gt;0,INDEX('05-أيار'!$Q$2:$Q$501,V112),IF($AO$1=1,0,"")))</f>
        <v/>
      </c>
      <c r="AA112" s="39" t="str">
        <f t="shared" si="33"/>
        <v/>
      </c>
      <c r="AB112" s="40" t="str">
        <f>IF(OR(L112="",V112=0),"",IF(AND(N(I112)&gt;0,N(INDEX('05-أيار'!$I$2:$I$501,V112))&gt;0,INDEX('05-أيار'!$F$2:$F$501,V112)=F112),N(I112)/N(INDEX('05-أيار'!$I$2:$I$501,V112))-1,""))</f>
        <v/>
      </c>
      <c r="AC112" t="str">
        <f>IF(L112="","",IF(AND($AO$2=1,ISNA(MATCH(L112,'07-تموز'!$L$2:$L$500,0))),"محذوف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455.62500011200007</v>
      </c>
      <c r="AL112">
        <f t="shared" si="39"/>
        <v>1.12E-7</v>
      </c>
    </row>
    <row r="113" spans="1:38" ht="15">
      <c r="A113" t="s">
        <v>379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177</v>
      </c>
      <c r="I113">
        <v>450</v>
      </c>
      <c r="K113" t="str">
        <f t="shared" si="20"/>
        <v/>
      </c>
      <c r="L113" t="str">
        <f t="shared" si="21"/>
        <v>بي اتش - BH خام</v>
      </c>
      <c r="M113" s="36">
        <f t="shared" si="22"/>
        <v>1</v>
      </c>
      <c r="N113" s="37">
        <f t="shared" si="23"/>
        <v>450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IF(L113="","",IF($AO$1=1,IFERROR(MATCH(L113,'05-أيار'!$L$2:$L$501,0),0),0))</f>
        <v>0</v>
      </c>
      <c r="W113" t="str">
        <f t="shared" si="31"/>
        <v/>
      </c>
      <c r="X113" s="38" t="str">
        <f>IF(L113="","",IF(V113&gt;0,INDEX('05-أيار'!$P$2:$P$501,V113),IF($AO$1=1,0,"")))</f>
        <v/>
      </c>
      <c r="Y113" s="38" t="str">
        <f t="shared" si="32"/>
        <v/>
      </c>
      <c r="Z113" s="39" t="str">
        <f>IF(L113="","",IF(V113&gt;0,INDEX('05-أيار'!$Q$2:$Q$501,V113),IF($AO$1=1,0,"")))</f>
        <v/>
      </c>
      <c r="AA113" s="39" t="str">
        <f t="shared" si="33"/>
        <v/>
      </c>
      <c r="AB113" s="40" t="str">
        <f>IF(OR(L113="",V113=0),"",IF(AND(N(I113)&gt;0,N(INDEX('05-أيار'!$I$2:$I$501,V113))&gt;0,INDEX('05-أيار'!$F$2:$F$501,V113)=F113),N(I113)/N(INDEX('05-أيار'!$I$2:$I$501,V113))-1,""))</f>
        <v/>
      </c>
      <c r="AC113" t="str">
        <f>IF(L113="","",IF(AND($AO$2=1,ISNA(MATCH(L113,'07-تموز'!$L$2:$L$500,0))),"محذوف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380</v>
      </c>
      <c r="B114">
        <v>0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2</v>
      </c>
      <c r="K114" t="str">
        <f t="shared" si="20"/>
        <v/>
      </c>
      <c r="L114" t="str">
        <f t="shared" si="21"/>
        <v>بوتيل غليكول</v>
      </c>
      <c r="M114" s="36">
        <f t="shared" si="22"/>
        <v>1</v>
      </c>
      <c r="N114" s="37">
        <f t="shared" si="23"/>
        <v>2</v>
      </c>
      <c r="O114" s="37">
        <f t="shared" si="24"/>
        <v>0</v>
      </c>
      <c r="P114" s="38">
        <f t="shared" si="25"/>
        <v>0</v>
      </c>
      <c r="Q114" s="39">
        <f t="shared" si="26"/>
        <v>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IF(L114="","",IF($AO$1=1,IFERROR(MATCH(L114,'05-أيار'!$L$2:$L$501,0),0),0))</f>
        <v>0</v>
      </c>
      <c r="W114" t="str">
        <f t="shared" si="31"/>
        <v/>
      </c>
      <c r="X114" s="38" t="str">
        <f>IF(L114="","",IF(V114&gt;0,INDEX('05-أيار'!$P$2:$P$501,V114),IF($AO$1=1,0,"")))</f>
        <v/>
      </c>
      <c r="Y114" s="38" t="str">
        <f t="shared" si="32"/>
        <v/>
      </c>
      <c r="Z114" s="39" t="str">
        <f>IF(L114="","",IF(V114&gt;0,INDEX('05-أيار'!$Q$2:$Q$501,V114),IF($AO$1=1,0,"")))</f>
        <v/>
      </c>
      <c r="AA114" s="39" t="str">
        <f t="shared" si="33"/>
        <v/>
      </c>
      <c r="AB114" s="40" t="str">
        <f>IF(OR(L114="",V114=0),"",IF(AND(N(I114)&gt;0,N(INDEX('05-أيار'!$I$2:$I$501,V114))&gt;0,INDEX('05-أيار'!$F$2:$F$501,V114)=F114),N(I114)/N(INDEX('05-أيار'!$I$2:$I$501,V114))-1,""))</f>
        <v/>
      </c>
      <c r="AC114" t="str">
        <f>IF(L114="","",IF(AND($AO$2=1,ISNA(MATCH(L114,'07-تموز'!$L$2:$L$500,0))),"محذوف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1.14E-7</v>
      </c>
      <c r="AL114">
        <f t="shared" si="39"/>
        <v>1.14E-7</v>
      </c>
    </row>
    <row r="115" spans="1:38" ht="15">
      <c r="A115" t="s">
        <v>381</v>
      </c>
      <c r="B115">
        <v>0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177</v>
      </c>
      <c r="I115">
        <v>89.3</v>
      </c>
      <c r="K115" t="str">
        <f t="shared" si="20"/>
        <v/>
      </c>
      <c r="L115" t="str">
        <f t="shared" si="21"/>
        <v>بلسم خام</v>
      </c>
      <c r="M115" s="36">
        <f t="shared" si="22"/>
        <v>1</v>
      </c>
      <c r="N115" s="37">
        <f t="shared" si="23"/>
        <v>89.3</v>
      </c>
      <c r="O115" s="37">
        <f t="shared" si="24"/>
        <v>0</v>
      </c>
      <c r="P115" s="38">
        <f t="shared" si="25"/>
        <v>0</v>
      </c>
      <c r="Q115" s="39">
        <f t="shared" si="26"/>
        <v>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IF(L115="","",IF($AO$1=1,IFERROR(MATCH(L115,'05-أيار'!$L$2:$L$501,0),0),0))</f>
        <v>0</v>
      </c>
      <c r="W115" t="str">
        <f t="shared" si="31"/>
        <v/>
      </c>
      <c r="X115" s="38" t="str">
        <f>IF(L115="","",IF(V115&gt;0,INDEX('05-أيار'!$P$2:$P$501,V115),IF($AO$1=1,0,"")))</f>
        <v/>
      </c>
      <c r="Y115" s="38" t="str">
        <f t="shared" si="32"/>
        <v/>
      </c>
      <c r="Z115" s="39" t="str">
        <f>IF(L115="","",IF(V115&gt;0,INDEX('05-أيار'!$Q$2:$Q$501,V115),IF($AO$1=1,0,"")))</f>
        <v/>
      </c>
      <c r="AA115" s="39" t="str">
        <f t="shared" si="33"/>
        <v/>
      </c>
      <c r="AB115" s="40" t="str">
        <f>IF(OR(L115="",V115=0),"",IF(AND(N(I115)&gt;0,N(INDEX('05-أيار'!$I$2:$I$501,V115))&gt;0,INDEX('05-أيار'!$F$2:$F$501,V115)=F115),N(I115)/N(INDEX('05-أيار'!$I$2:$I$501,V115))-1,""))</f>
        <v/>
      </c>
      <c r="AC115" t="str">
        <f>IF(L115="","",IF(AND($AO$2=1,ISNA(MATCH(L115,'07-تموز'!$L$2:$L$500,0))),"محذوف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1.15E-7</v>
      </c>
      <c r="AL115">
        <f t="shared" si="39"/>
        <v>1.15E-7</v>
      </c>
    </row>
    <row r="116" spans="1:38" ht="15">
      <c r="A116" t="s">
        <v>382</v>
      </c>
      <c r="B116">
        <v>3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2</v>
      </c>
      <c r="K116" t="str">
        <f t="shared" si="20"/>
        <v/>
      </c>
      <c r="L116" t="str">
        <f t="shared" si="21"/>
        <v>بلسم جامد</v>
      </c>
      <c r="M116" s="36">
        <f t="shared" si="22"/>
        <v>1</v>
      </c>
      <c r="N116" s="37">
        <f t="shared" si="23"/>
        <v>2</v>
      </c>
      <c r="O116" s="37">
        <f t="shared" si="24"/>
        <v>0</v>
      </c>
      <c r="P116" s="38">
        <f t="shared" si="25"/>
        <v>3</v>
      </c>
      <c r="Q116" s="39">
        <f t="shared" si="26"/>
        <v>6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IF(L116="","",IF($AO$1=1,IFERROR(MATCH(L116,'05-أيار'!$L$2:$L$501,0),0),0))</f>
        <v>0</v>
      </c>
      <c r="W116" t="str">
        <f t="shared" si="31"/>
        <v/>
      </c>
      <c r="X116" s="38" t="str">
        <f>IF(L116="","",IF(V116&gt;0,INDEX('05-أيار'!$P$2:$P$501,V116),IF($AO$1=1,0,"")))</f>
        <v/>
      </c>
      <c r="Y116" s="38" t="str">
        <f t="shared" si="32"/>
        <v/>
      </c>
      <c r="Z116" s="39" t="str">
        <f>IF(L116="","",IF(V116&gt;0,INDEX('05-أيار'!$Q$2:$Q$501,V116),IF($AO$1=1,0,"")))</f>
        <v/>
      </c>
      <c r="AA116" s="39" t="str">
        <f t="shared" si="33"/>
        <v/>
      </c>
      <c r="AB116" s="40" t="str">
        <f>IF(OR(L116="",V116=0),"",IF(AND(N(I116)&gt;0,N(INDEX('05-أيار'!$I$2:$I$501,V116))&gt;0,INDEX('05-أيار'!$F$2:$F$501,V116)=F116),N(I116)/N(INDEX('05-أيار'!$I$2:$I$501,V116))-1,""))</f>
        <v/>
      </c>
      <c r="AC116" t="str">
        <f>IF(L116="","",IF(AND($AO$2=1,ISNA(MATCH(L116,'07-تموز'!$L$2:$L$500,0))),"محذوف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6.0000001159999998</v>
      </c>
      <c r="AL116">
        <f t="shared" si="39"/>
        <v>1.1600000000000001E-7</v>
      </c>
    </row>
    <row r="117" spans="1:38" ht="15">
      <c r="A117" t="s">
        <v>383</v>
      </c>
      <c r="B117">
        <v>0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1.625</v>
      </c>
      <c r="K117" t="str">
        <f t="shared" si="20"/>
        <v/>
      </c>
      <c r="L117" t="str">
        <f t="shared" si="21"/>
        <v>بروبلين - فينب</v>
      </c>
      <c r="M117" s="36">
        <f t="shared" si="22"/>
        <v>1</v>
      </c>
      <c r="N117" s="37">
        <f t="shared" si="23"/>
        <v>1.625</v>
      </c>
      <c r="O117" s="37">
        <f t="shared" si="24"/>
        <v>0</v>
      </c>
      <c r="P117" s="38">
        <f t="shared" si="25"/>
        <v>0</v>
      </c>
      <c r="Q117" s="39">
        <f t="shared" si="26"/>
        <v>0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IF(L117="","",IF($AO$1=1,IFERROR(MATCH(L117,'05-أيار'!$L$2:$L$501,0),0),0))</f>
        <v>0</v>
      </c>
      <c r="W117" t="str">
        <f t="shared" si="31"/>
        <v/>
      </c>
      <c r="X117" s="38" t="str">
        <f>IF(L117="","",IF(V117&gt;0,INDEX('05-أيار'!$P$2:$P$501,V117),IF($AO$1=1,0,"")))</f>
        <v/>
      </c>
      <c r="Y117" s="38" t="str">
        <f t="shared" si="32"/>
        <v/>
      </c>
      <c r="Z117" s="39" t="str">
        <f>IF(L117="","",IF(V117&gt;0,INDEX('05-أيار'!$Q$2:$Q$501,V117),IF($AO$1=1,0,"")))</f>
        <v/>
      </c>
      <c r="AA117" s="39" t="str">
        <f t="shared" si="33"/>
        <v/>
      </c>
      <c r="AB117" s="40" t="str">
        <f>IF(OR(L117="",V117=0),"",IF(AND(N(I117)&gt;0,N(INDEX('05-أيار'!$I$2:$I$501,V117))&gt;0,INDEX('05-أيار'!$F$2:$F$501,V117)=F117),N(I117)/N(INDEX('05-أيار'!$I$2:$I$501,V117))-1,""))</f>
        <v/>
      </c>
      <c r="AC117" t="str">
        <f>IF(L117="","",IF(AND($AO$2=1,ISNA(MATCH(L117,'07-تموز'!$L$2:$L$500,0))),"محذوف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1.17E-7</v>
      </c>
      <c r="AL117">
        <f t="shared" si="39"/>
        <v>1.17E-7</v>
      </c>
    </row>
    <row r="118" spans="1:38" ht="15">
      <c r="A118" t="s">
        <v>384</v>
      </c>
      <c r="B118">
        <v>6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3</v>
      </c>
      <c r="K118" t="str">
        <f t="shared" si="20"/>
        <v/>
      </c>
      <c r="L118" t="str">
        <f t="shared" si="21"/>
        <v>ايمولجين</v>
      </c>
      <c r="M118" s="36">
        <f t="shared" si="22"/>
        <v>1</v>
      </c>
      <c r="N118" s="37">
        <f t="shared" si="23"/>
        <v>3</v>
      </c>
      <c r="O118" s="37">
        <f t="shared" si="24"/>
        <v>0</v>
      </c>
      <c r="P118" s="38">
        <f t="shared" si="25"/>
        <v>6</v>
      </c>
      <c r="Q118" s="39">
        <f t="shared" si="26"/>
        <v>18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IF(L118="","",IF($AO$1=1,IFERROR(MATCH(L118,'05-أيار'!$L$2:$L$501,0),0),0))</f>
        <v>0</v>
      </c>
      <c r="W118" t="str">
        <f t="shared" si="31"/>
        <v/>
      </c>
      <c r="X118" s="38" t="str">
        <f>IF(L118="","",IF(V118&gt;0,INDEX('05-أيار'!$P$2:$P$501,V118),IF($AO$1=1,0,"")))</f>
        <v/>
      </c>
      <c r="Y118" s="38" t="str">
        <f t="shared" si="32"/>
        <v/>
      </c>
      <c r="Z118" s="39" t="str">
        <f>IF(L118="","",IF(V118&gt;0,INDEX('05-أيار'!$Q$2:$Q$501,V118),IF($AO$1=1,0,"")))</f>
        <v/>
      </c>
      <c r="AA118" s="39" t="str">
        <f t="shared" si="33"/>
        <v/>
      </c>
      <c r="AB118" s="40" t="str">
        <f>IF(OR(L118="",V118=0),"",IF(AND(N(I118)&gt;0,N(INDEX('05-أيار'!$I$2:$I$501,V118))&gt;0,INDEX('05-أيار'!$F$2:$F$501,V118)=F118),N(I118)/N(INDEX('05-أيار'!$I$2:$I$501,V118))-1,""))</f>
        <v/>
      </c>
      <c r="AC118" t="str">
        <f>IF(L118="","",IF(AND($AO$2=1,ISNA(MATCH(L118,'07-تموز'!$L$2:$L$500,0))),"محذوف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18.000000117999999</v>
      </c>
      <c r="AL118">
        <f t="shared" si="39"/>
        <v>1.18E-7</v>
      </c>
    </row>
    <row r="119" spans="1:38" ht="15">
      <c r="A119" t="s">
        <v>385</v>
      </c>
      <c r="B119">
        <v>16.5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3.335</v>
      </c>
      <c r="K119" t="str">
        <f t="shared" si="20"/>
        <v/>
      </c>
      <c r="L119" t="str">
        <f t="shared" si="21"/>
        <v>ايديتا</v>
      </c>
      <c r="M119" s="36">
        <f t="shared" si="22"/>
        <v>1</v>
      </c>
      <c r="N119" s="37">
        <f t="shared" si="23"/>
        <v>3.335</v>
      </c>
      <c r="O119" s="37">
        <f t="shared" si="24"/>
        <v>0</v>
      </c>
      <c r="P119" s="38">
        <f t="shared" si="25"/>
        <v>16.5</v>
      </c>
      <c r="Q119" s="39">
        <f t="shared" si="26"/>
        <v>55.027499999999996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IF(L119="","",IF($AO$1=1,IFERROR(MATCH(L119,'05-أيار'!$L$2:$L$501,0),0),0))</f>
        <v>0</v>
      </c>
      <c r="W119" t="str">
        <f t="shared" si="31"/>
        <v/>
      </c>
      <c r="X119" s="38" t="str">
        <f>IF(L119="","",IF(V119&gt;0,INDEX('05-أيار'!$P$2:$P$501,V119),IF($AO$1=1,0,"")))</f>
        <v/>
      </c>
      <c r="Y119" s="38" t="str">
        <f t="shared" si="32"/>
        <v/>
      </c>
      <c r="Z119" s="39" t="str">
        <f>IF(L119="","",IF(V119&gt;0,INDEX('05-أيار'!$Q$2:$Q$501,V119),IF($AO$1=1,0,"")))</f>
        <v/>
      </c>
      <c r="AA119" s="39" t="str">
        <f t="shared" si="33"/>
        <v/>
      </c>
      <c r="AB119" s="40" t="str">
        <f>IF(OR(L119="",V119=0),"",IF(AND(N(I119)&gt;0,N(INDEX('05-أيار'!$I$2:$I$501,V119))&gt;0,INDEX('05-أيار'!$F$2:$F$501,V119)=F119),N(I119)/N(INDEX('05-أيار'!$I$2:$I$501,V119))-1,""))</f>
        <v/>
      </c>
      <c r="AC119" t="str">
        <f>IF(L119="","",IF(AND($AO$2=1,ISNA(MATCH(L119,'07-تموز'!$L$2:$L$500,0))),"محذوف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55.027500118999995</v>
      </c>
      <c r="AL119">
        <f t="shared" si="39"/>
        <v>1.1899999999999999E-7</v>
      </c>
    </row>
    <row r="120" spans="1:38" ht="15">
      <c r="A120" t="s">
        <v>386</v>
      </c>
      <c r="B120">
        <v>60</v>
      </c>
      <c r="C120">
        <v>0.5</v>
      </c>
      <c r="D120">
        <v>0.5</v>
      </c>
      <c r="E120">
        <v>0.5</v>
      </c>
      <c r="F120" t="s">
        <v>268</v>
      </c>
      <c r="G120" t="s">
        <v>178</v>
      </c>
      <c r="H120" t="s">
        <v>176</v>
      </c>
      <c r="I120">
        <v>0.21</v>
      </c>
      <c r="K120" t="str">
        <f t="shared" si="20"/>
        <v/>
      </c>
      <c r="L120" t="str">
        <f t="shared" si="21"/>
        <v>اسيد - روح الملح - حمض كلور الماء</v>
      </c>
      <c r="M120" s="36">
        <f t="shared" si="22"/>
        <v>1</v>
      </c>
      <c r="N120" s="37">
        <f t="shared" si="23"/>
        <v>0.21</v>
      </c>
      <c r="O120" s="37">
        <f t="shared" si="24"/>
        <v>0.5</v>
      </c>
      <c r="P120" s="38">
        <f t="shared" si="25"/>
        <v>60</v>
      </c>
      <c r="Q120" s="39">
        <f t="shared" si="26"/>
        <v>12.6</v>
      </c>
      <c r="R120" s="39">
        <f t="shared" si="27"/>
        <v>30</v>
      </c>
      <c r="S120">
        <f t="shared" si="28"/>
        <v>1</v>
      </c>
      <c r="T120" s="39">
        <f t="shared" si="29"/>
        <v>17.399999999999999</v>
      </c>
      <c r="U120" t="str">
        <f t="shared" si="30"/>
        <v/>
      </c>
      <c r="V120">
        <f>IF(L120="","",IF($AO$1=1,IFERROR(MATCH(L120,'05-أيار'!$L$2:$L$501,0),0),0))</f>
        <v>0</v>
      </c>
      <c r="W120" t="str">
        <f t="shared" si="31"/>
        <v/>
      </c>
      <c r="X120" s="38" t="str">
        <f>IF(L120="","",IF(V120&gt;0,INDEX('05-أيار'!$P$2:$P$501,V120),IF($AO$1=1,0,"")))</f>
        <v/>
      </c>
      <c r="Y120" s="38" t="str">
        <f t="shared" si="32"/>
        <v/>
      </c>
      <c r="Z120" s="39" t="str">
        <f>IF(L120="","",IF(V120&gt;0,INDEX('05-أيار'!$Q$2:$Q$501,V120),IF($AO$1=1,0,"")))</f>
        <v/>
      </c>
      <c r="AA120" s="39" t="str">
        <f t="shared" si="33"/>
        <v/>
      </c>
      <c r="AB120" s="40" t="str">
        <f>IF(OR(L120="",V120=0),"",IF(AND(N(I120)&gt;0,N(INDEX('05-أيار'!$I$2:$I$501,V120))&gt;0,INDEX('05-أيار'!$F$2:$F$501,V120)=F120),N(I120)/N(INDEX('05-أيار'!$I$2:$I$501,V120))-1,""))</f>
        <v/>
      </c>
      <c r="AC120" t="str">
        <f>IF(L120="","",IF(AND($AO$2=1,ISNA(MATCH(L120,'07-تموز'!$L$2:$L$500,0))),"محذوف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>
        <f t="shared" si="35"/>
        <v>17.400000000000002</v>
      </c>
      <c r="AI120" s="39">
        <f t="shared" si="36"/>
        <v>17.400000000000002</v>
      </c>
      <c r="AJ120" s="39">
        <f t="shared" si="37"/>
        <v>17.400000000000002</v>
      </c>
      <c r="AK120">
        <f t="shared" si="38"/>
        <v>12.600000119999999</v>
      </c>
      <c r="AL120">
        <f t="shared" si="39"/>
        <v>17.400000119999998</v>
      </c>
    </row>
    <row r="121" spans="1:38" ht="15">
      <c r="A121" t="s">
        <v>387</v>
      </c>
      <c r="B121">
        <v>207.5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0.65</v>
      </c>
      <c r="K121" t="str">
        <f t="shared" si="20"/>
        <v/>
      </c>
      <c r="L121" t="str">
        <f t="shared" si="21"/>
        <v>اسيتون</v>
      </c>
      <c r="M121" s="36">
        <f t="shared" si="22"/>
        <v>1</v>
      </c>
      <c r="N121" s="37">
        <f t="shared" si="23"/>
        <v>0.65</v>
      </c>
      <c r="O121" s="37">
        <f t="shared" si="24"/>
        <v>0</v>
      </c>
      <c r="P121" s="38">
        <f t="shared" si="25"/>
        <v>207.5</v>
      </c>
      <c r="Q121" s="39">
        <f t="shared" si="26"/>
        <v>134.875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IF(L121="","",IF($AO$1=1,IFERROR(MATCH(L121,'05-أيار'!$L$2:$L$501,0),0),0))</f>
        <v>0</v>
      </c>
      <c r="W121" t="str">
        <f t="shared" si="31"/>
        <v/>
      </c>
      <c r="X121" s="38" t="str">
        <f>IF(L121="","",IF(V121&gt;0,INDEX('05-أيار'!$P$2:$P$501,V121),IF($AO$1=1,0,"")))</f>
        <v/>
      </c>
      <c r="Y121" s="38" t="str">
        <f t="shared" si="32"/>
        <v/>
      </c>
      <c r="Z121" s="39" t="str">
        <f>IF(L121="","",IF(V121&gt;0,INDEX('05-أيار'!$Q$2:$Q$501,V121),IF($AO$1=1,0,"")))</f>
        <v/>
      </c>
      <c r="AA121" s="39" t="str">
        <f t="shared" si="33"/>
        <v/>
      </c>
      <c r="AB121" s="40" t="str">
        <f>IF(OR(L121="",V121=0),"",IF(AND(N(I121)&gt;0,N(INDEX('05-أيار'!$I$2:$I$501,V121))&gt;0,INDEX('05-أيار'!$F$2:$F$501,V121)=F121),N(I121)/N(INDEX('05-أيار'!$I$2:$I$501,V121))-1,""))</f>
        <v/>
      </c>
      <c r="AC121" t="str">
        <f>IF(L121="","",IF(AND($AO$2=1,ISNA(MATCH(L121,'07-تموز'!$L$2:$L$500,0))),"محذوف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134.875000121</v>
      </c>
      <c r="AL121">
        <f t="shared" si="39"/>
        <v>1.2100000000000001E-7</v>
      </c>
    </row>
    <row r="122" spans="1:38" ht="15">
      <c r="A122" t="s">
        <v>388</v>
      </c>
      <c r="B122">
        <v>0</v>
      </c>
      <c r="C122">
        <v>6000</v>
      </c>
      <c r="D122">
        <v>6000</v>
      </c>
      <c r="E122">
        <v>6000</v>
      </c>
      <c r="F122" t="s">
        <v>389</v>
      </c>
      <c r="G122" t="s">
        <v>178</v>
      </c>
      <c r="H122" t="s">
        <v>12</v>
      </c>
      <c r="I122">
        <v>3250</v>
      </c>
      <c r="K122" t="str">
        <f t="shared" si="20"/>
        <v/>
      </c>
      <c r="L122" t="str">
        <f t="shared" si="21"/>
        <v>مياه مقطرة 4 لتر</v>
      </c>
      <c r="M122" s="36">
        <f t="shared" si="22"/>
        <v>7.5757575757575758E-5</v>
      </c>
      <c r="N122" s="37">
        <f t="shared" si="23"/>
        <v>0.24621212121212122</v>
      </c>
      <c r="O122" s="37">
        <f t="shared" si="24"/>
        <v>0.45454545454545453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IF(L122="","",IF($AO$1=1,IFERROR(MATCH(L122,'05-أيار'!$L$2:$L$501,0),0),0))</f>
        <v>0</v>
      </c>
      <c r="W122" t="str">
        <f t="shared" si="31"/>
        <v/>
      </c>
      <c r="X122" s="38" t="str">
        <f>IF(L122="","",IF(V122&gt;0,INDEX('05-أيار'!$P$2:$P$501,V122),IF($AO$1=1,0,"")))</f>
        <v/>
      </c>
      <c r="Y122" s="38" t="str">
        <f t="shared" si="32"/>
        <v/>
      </c>
      <c r="Z122" s="39" t="str">
        <f>IF(L122="","",IF(V122&gt;0,INDEX('05-أيار'!$Q$2:$Q$501,V122),IF($AO$1=1,0,"")))</f>
        <v/>
      </c>
      <c r="AA122" s="39" t="str">
        <f t="shared" si="33"/>
        <v/>
      </c>
      <c r="AB122" s="40" t="str">
        <f>IF(OR(L122="",V122=0),"",IF(AND(N(I122)&gt;0,N(INDEX('05-أيار'!$I$2:$I$501,V122))&gt;0,INDEX('05-أيار'!$F$2:$F$501,V122)=F122),N(I122)/N(INDEX('05-أيار'!$I$2:$I$501,V122))-1,""))</f>
        <v/>
      </c>
      <c r="AC122" t="str">
        <f>IF(L122="","",IF(AND($AO$2=1,ISNA(MATCH(L122,'07-تموز'!$L$2:$L$500,0))),"محذوف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390</v>
      </c>
      <c r="B123">
        <v>0</v>
      </c>
      <c r="C123">
        <v>1800</v>
      </c>
      <c r="D123">
        <v>1800</v>
      </c>
      <c r="E123">
        <v>1800</v>
      </c>
      <c r="F123" t="s">
        <v>389</v>
      </c>
      <c r="G123" t="s">
        <v>178</v>
      </c>
      <c r="H123" t="s">
        <v>12</v>
      </c>
      <c r="I123">
        <v>1700</v>
      </c>
      <c r="K123" t="str">
        <f t="shared" si="20"/>
        <v/>
      </c>
      <c r="L123" t="str">
        <f t="shared" si="21"/>
        <v>مياه مقطرة 1 لتر</v>
      </c>
      <c r="M123" s="36">
        <f t="shared" si="22"/>
        <v>7.5757575757575758E-5</v>
      </c>
      <c r="N123" s="37">
        <f t="shared" si="23"/>
        <v>0.12878787878787878</v>
      </c>
      <c r="O123" s="37">
        <f t="shared" si="24"/>
        <v>0.13636363636363635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IF(L123="","",IF($AO$1=1,IFERROR(MATCH(L123,'05-أيار'!$L$2:$L$501,0),0),0))</f>
        <v>0</v>
      </c>
      <c r="W123" t="str">
        <f t="shared" si="31"/>
        <v/>
      </c>
      <c r="X123" s="38" t="str">
        <f>IF(L123="","",IF(V123&gt;0,INDEX('05-أيار'!$P$2:$P$501,V123),IF($AO$1=1,0,"")))</f>
        <v/>
      </c>
      <c r="Y123" s="38" t="str">
        <f t="shared" si="32"/>
        <v/>
      </c>
      <c r="Z123" s="39" t="str">
        <f>IF(L123="","",IF(V123&gt;0,INDEX('05-أيار'!$Q$2:$Q$501,V123),IF($AO$1=1,0,"")))</f>
        <v/>
      </c>
      <c r="AA123" s="39" t="str">
        <f t="shared" si="33"/>
        <v/>
      </c>
      <c r="AB123" s="40" t="str">
        <f>IF(OR(L123="",V123=0),"",IF(AND(N(I123)&gt;0,N(INDEX('05-أيار'!$I$2:$I$501,V123))&gt;0,INDEX('05-أيار'!$F$2:$F$501,V123)=F123),N(I123)/N(INDEX('05-أيار'!$I$2:$I$501,V123))-1,""))</f>
        <v/>
      </c>
      <c r="AC123" t="str">
        <f>IF(L123="","",IF(AND($AO$2=1,ISNA(MATCH(L123,'07-تموز'!$L$2:$L$500,0))),"محذوف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391</v>
      </c>
      <c r="B124">
        <v>0</v>
      </c>
      <c r="C124">
        <v>14000</v>
      </c>
      <c r="D124">
        <v>14000</v>
      </c>
      <c r="E124">
        <v>14000</v>
      </c>
      <c r="F124" t="s">
        <v>389</v>
      </c>
      <c r="G124" t="s">
        <v>178</v>
      </c>
      <c r="H124" t="s">
        <v>12</v>
      </c>
      <c r="I124">
        <v>10000</v>
      </c>
      <c r="K124" t="str">
        <f t="shared" si="20"/>
        <v/>
      </c>
      <c r="L124" t="str">
        <f t="shared" si="21"/>
        <v>مهسهس زفته - معجون</v>
      </c>
      <c r="M124" s="36">
        <f t="shared" si="22"/>
        <v>7.5757575757575758E-5</v>
      </c>
      <c r="N124" s="37">
        <f t="shared" si="23"/>
        <v>0.75757575757575757</v>
      </c>
      <c r="O124" s="37">
        <f t="shared" si="24"/>
        <v>1.0606060606060606</v>
      </c>
      <c r="P124" s="38">
        <f t="shared" si="25"/>
        <v>0</v>
      </c>
      <c r="Q124" s="39">
        <f t="shared" si="26"/>
        <v>0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IF(L124="","",IF($AO$1=1,IFERROR(MATCH(L124,'05-أيار'!$L$2:$L$501,0),0),0))</f>
        <v>0</v>
      </c>
      <c r="W124" t="str">
        <f t="shared" si="31"/>
        <v/>
      </c>
      <c r="X124" s="38" t="str">
        <f>IF(L124="","",IF(V124&gt;0,INDEX('05-أيار'!$P$2:$P$501,V124),IF($AO$1=1,0,"")))</f>
        <v/>
      </c>
      <c r="Y124" s="38" t="str">
        <f t="shared" si="32"/>
        <v/>
      </c>
      <c r="Z124" s="39" t="str">
        <f>IF(L124="","",IF(V124&gt;0,INDEX('05-أيار'!$Q$2:$Q$501,V124),IF($AO$1=1,0,"")))</f>
        <v/>
      </c>
      <c r="AA124" s="39" t="str">
        <f t="shared" si="33"/>
        <v/>
      </c>
      <c r="AB124" s="40" t="str">
        <f>IF(OR(L124="",V124=0),"",IF(AND(N(I124)&gt;0,N(INDEX('05-أيار'!$I$2:$I$501,V124))&gt;0,INDEX('05-أيار'!$F$2:$F$501,V124)=F124),N(I124)/N(INDEX('05-أيار'!$I$2:$I$501,V124))-1,""))</f>
        <v/>
      </c>
      <c r="AC124" t="str">
        <f>IF(L124="","",IF(AND($AO$2=1,ISNA(MATCH(L124,'07-تموز'!$L$2:$L$500,0))),"محذوف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1.24E-7</v>
      </c>
      <c r="AL124">
        <f t="shared" si="39"/>
        <v>1.24E-7</v>
      </c>
    </row>
    <row r="125" spans="1:38" ht="15">
      <c r="A125" t="s">
        <v>392</v>
      </c>
      <c r="B125">
        <v>6.4</v>
      </c>
      <c r="C125">
        <v>220000</v>
      </c>
      <c r="D125">
        <v>220000</v>
      </c>
      <c r="E125">
        <v>220000</v>
      </c>
      <c r="F125" t="s">
        <v>389</v>
      </c>
      <c r="G125" t="s">
        <v>178</v>
      </c>
      <c r="H125" t="s">
        <v>12</v>
      </c>
      <c r="I125">
        <v>108000</v>
      </c>
      <c r="K125" t="str">
        <f t="shared" si="20"/>
        <v/>
      </c>
      <c r="L125" t="str">
        <f t="shared" si="21"/>
        <v>مماسح مكتب َ</v>
      </c>
      <c r="M125" s="36">
        <f t="shared" si="22"/>
        <v>7.5757575757575758E-5</v>
      </c>
      <c r="N125" s="37">
        <f t="shared" si="23"/>
        <v>8.1818181818181817</v>
      </c>
      <c r="O125" s="37">
        <f t="shared" si="24"/>
        <v>16.666666666666668</v>
      </c>
      <c r="P125" s="38">
        <f t="shared" si="25"/>
        <v>6.4</v>
      </c>
      <c r="Q125" s="39">
        <f t="shared" si="26"/>
        <v>52.363636363636367</v>
      </c>
      <c r="R125" s="39">
        <f t="shared" si="27"/>
        <v>106.66666666666669</v>
      </c>
      <c r="S125">
        <f t="shared" si="28"/>
        <v>1</v>
      </c>
      <c r="T125" s="39">
        <f t="shared" si="29"/>
        <v>54.303030303030319</v>
      </c>
      <c r="U125" t="str">
        <f t="shared" si="30"/>
        <v/>
      </c>
      <c r="V125">
        <f>IF(L125="","",IF($AO$1=1,IFERROR(MATCH(L125,'05-أيار'!$L$2:$L$501,0),0),0))</f>
        <v>0</v>
      </c>
      <c r="W125" t="str">
        <f t="shared" si="31"/>
        <v/>
      </c>
      <c r="X125" s="38" t="str">
        <f>IF(L125="","",IF(V125&gt;0,INDEX('05-أيار'!$P$2:$P$501,V125),IF($AO$1=1,0,"")))</f>
        <v/>
      </c>
      <c r="Y125" s="38" t="str">
        <f t="shared" si="32"/>
        <v/>
      </c>
      <c r="Z125" s="39" t="str">
        <f>IF(L125="","",IF(V125&gt;0,INDEX('05-أيار'!$Q$2:$Q$501,V125),IF($AO$1=1,0,"")))</f>
        <v/>
      </c>
      <c r="AA125" s="39" t="str">
        <f t="shared" si="33"/>
        <v/>
      </c>
      <c r="AB125" s="40" t="str">
        <f>IF(OR(L125="",V125=0),"",IF(AND(N(I125)&gt;0,N(INDEX('05-أيار'!$I$2:$I$501,V125))&gt;0,INDEX('05-أيار'!$F$2:$F$501,V125)=F125),N(I125)/N(INDEX('05-أيار'!$I$2:$I$501,V125))-1,""))</f>
        <v/>
      </c>
      <c r="AC125" t="str">
        <f>IF(L125="","",IF(AND($AO$2=1,ISNA(MATCH(L125,'07-تموز'!$L$2:$L$500,0))),"محذوف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>
        <f t="shared" si="35"/>
        <v>54.303030303030312</v>
      </c>
      <c r="AI125" s="39">
        <f t="shared" si="36"/>
        <v>54.303030303030312</v>
      </c>
      <c r="AJ125" s="39">
        <f t="shared" si="37"/>
        <v>54.303030303030312</v>
      </c>
      <c r="AK125">
        <f t="shared" si="38"/>
        <v>52.363636488636367</v>
      </c>
      <c r="AL125">
        <f t="shared" si="39"/>
        <v>54.303030428030318</v>
      </c>
    </row>
    <row r="126" spans="1:38" ht="15">
      <c r="A126" t="s">
        <v>393</v>
      </c>
      <c r="B126">
        <v>0</v>
      </c>
      <c r="C126">
        <v>420000</v>
      </c>
      <c r="D126">
        <v>420000</v>
      </c>
      <c r="E126">
        <v>420000</v>
      </c>
      <c r="F126" t="s">
        <v>389</v>
      </c>
      <c r="G126" t="s">
        <v>178</v>
      </c>
      <c r="H126" t="s">
        <v>12</v>
      </c>
      <c r="I126">
        <v>360000</v>
      </c>
      <c r="K126" t="str">
        <f t="shared" si="20"/>
        <v/>
      </c>
      <c r="L126" t="str">
        <f t="shared" si="21"/>
        <v>مماسح قماش عائلة فايبر</v>
      </c>
      <c r="M126" s="36">
        <f t="shared" si="22"/>
        <v>7.5757575757575758E-5</v>
      </c>
      <c r="N126" s="37">
        <f t="shared" si="23"/>
        <v>27.272727272727273</v>
      </c>
      <c r="O126" s="37">
        <f t="shared" si="24"/>
        <v>31.818181818181817</v>
      </c>
      <c r="P126" s="38">
        <f t="shared" si="25"/>
        <v>0</v>
      </c>
      <c r="Q126" s="39">
        <f t="shared" si="26"/>
        <v>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IF(L126="","",IF($AO$1=1,IFERROR(MATCH(L126,'05-أيار'!$L$2:$L$501,0),0),0))</f>
        <v>0</v>
      </c>
      <c r="W126" t="str">
        <f t="shared" si="31"/>
        <v/>
      </c>
      <c r="X126" s="38" t="str">
        <f>IF(L126="","",IF(V126&gt;0,INDEX('05-أيار'!$P$2:$P$501,V126),IF($AO$1=1,0,"")))</f>
        <v/>
      </c>
      <c r="Y126" s="38" t="str">
        <f t="shared" si="32"/>
        <v/>
      </c>
      <c r="Z126" s="39" t="str">
        <f>IF(L126="","",IF(V126&gt;0,INDEX('05-أيار'!$Q$2:$Q$501,V126),IF($AO$1=1,0,"")))</f>
        <v/>
      </c>
      <c r="AA126" s="39" t="str">
        <f t="shared" si="33"/>
        <v/>
      </c>
      <c r="AB126" s="40" t="str">
        <f>IF(OR(L126="",V126=0),"",IF(AND(N(I126)&gt;0,N(INDEX('05-أيار'!$I$2:$I$501,V126))&gt;0,INDEX('05-أيار'!$F$2:$F$501,V126)=F126),N(I126)/N(INDEX('05-أيار'!$I$2:$I$501,V126))-1,""))</f>
        <v/>
      </c>
      <c r="AC126" t="str">
        <f>IF(L126="","",IF(AND($AO$2=1,ISNA(MATCH(L126,'07-تموز'!$L$2:$L$500,0))),"محذوف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1.2599999999999999E-7</v>
      </c>
      <c r="AL126">
        <f t="shared" si="39"/>
        <v>1.2599999999999999E-7</v>
      </c>
    </row>
    <row r="127" spans="1:38" ht="15">
      <c r="A127" t="s">
        <v>394</v>
      </c>
      <c r="B127">
        <v>0</v>
      </c>
      <c r="C127">
        <v>0</v>
      </c>
      <c r="D127">
        <v>0</v>
      </c>
      <c r="E127">
        <v>0</v>
      </c>
      <c r="F127" t="s">
        <v>389</v>
      </c>
      <c r="G127" t="s">
        <v>178</v>
      </c>
      <c r="H127" t="s">
        <v>12</v>
      </c>
      <c r="I127">
        <v>25000</v>
      </c>
      <c r="K127" t="str">
        <f t="shared" si="20"/>
        <v/>
      </c>
      <c r="L127" t="str">
        <f t="shared" si="21"/>
        <v>مماسح جلدية</v>
      </c>
      <c r="M127" s="36">
        <f t="shared" si="22"/>
        <v>7.5757575757575758E-5</v>
      </c>
      <c r="N127" s="37">
        <f t="shared" si="23"/>
        <v>1.893939393939394</v>
      </c>
      <c r="O127" s="37">
        <f t="shared" si="24"/>
        <v>0</v>
      </c>
      <c r="P127" s="38">
        <f t="shared" si="25"/>
        <v>0</v>
      </c>
      <c r="Q127" s="39">
        <f t="shared" si="26"/>
        <v>0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IF(L127="","",IF($AO$1=1,IFERROR(MATCH(L127,'05-أيار'!$L$2:$L$501,0),0),0))</f>
        <v>0</v>
      </c>
      <c r="W127" t="str">
        <f t="shared" si="31"/>
        <v/>
      </c>
      <c r="X127" s="38" t="str">
        <f>IF(L127="","",IF(V127&gt;0,INDEX('05-أيار'!$P$2:$P$501,V127),IF($AO$1=1,0,"")))</f>
        <v/>
      </c>
      <c r="Y127" s="38" t="str">
        <f t="shared" si="32"/>
        <v/>
      </c>
      <c r="Z127" s="39" t="str">
        <f>IF(L127="","",IF(V127&gt;0,INDEX('05-أيار'!$Q$2:$Q$501,V127),IF($AO$1=1,0,"")))</f>
        <v/>
      </c>
      <c r="AA127" s="39" t="str">
        <f t="shared" si="33"/>
        <v/>
      </c>
      <c r="AB127" s="40" t="str">
        <f>IF(OR(L127="",V127=0),"",IF(AND(N(I127)&gt;0,N(INDEX('05-أيار'!$I$2:$I$501,V127))&gt;0,INDEX('05-أيار'!$F$2:$F$501,V127)=F127),N(I127)/N(INDEX('05-أيار'!$I$2:$I$501,V127))-1,""))</f>
        <v/>
      </c>
      <c r="AC127" t="str">
        <f>IF(L127="","",IF(AND($AO$2=1,ISNA(MATCH(L127,'07-تموز'!$L$2:$L$500,0))),"محذوف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1.2700000000000001E-7</v>
      </c>
      <c r="AL127">
        <f t="shared" si="39"/>
        <v>1.2700000000000001E-7</v>
      </c>
    </row>
    <row r="128" spans="1:38" ht="15">
      <c r="A128" t="s">
        <v>395</v>
      </c>
      <c r="B128">
        <v>27</v>
      </c>
      <c r="C128">
        <v>13000</v>
      </c>
      <c r="D128">
        <v>13000</v>
      </c>
      <c r="E128">
        <v>13000</v>
      </c>
      <c r="F128" t="s">
        <v>389</v>
      </c>
      <c r="G128" t="s">
        <v>178</v>
      </c>
      <c r="H128" t="s">
        <v>12</v>
      </c>
      <c r="I128">
        <v>5000</v>
      </c>
      <c r="K128" t="str">
        <f t="shared" si="20"/>
        <v/>
      </c>
      <c r="L128" t="str">
        <f t="shared" si="21"/>
        <v>مماسح بلور</v>
      </c>
      <c r="M128" s="36">
        <f t="shared" si="22"/>
        <v>7.5757575757575758E-5</v>
      </c>
      <c r="N128" s="37">
        <f t="shared" si="23"/>
        <v>0.37878787878787878</v>
      </c>
      <c r="O128" s="37">
        <f t="shared" si="24"/>
        <v>0.98484848484848486</v>
      </c>
      <c r="P128" s="38">
        <f t="shared" si="25"/>
        <v>27</v>
      </c>
      <c r="Q128" s="39">
        <f t="shared" si="26"/>
        <v>10.227272727272727</v>
      </c>
      <c r="R128" s="39">
        <f t="shared" si="27"/>
        <v>26.59090909090909</v>
      </c>
      <c r="S128">
        <f t="shared" si="28"/>
        <v>1</v>
      </c>
      <c r="T128" s="39">
        <f t="shared" si="29"/>
        <v>16.363636363636363</v>
      </c>
      <c r="U128" t="str">
        <f t="shared" si="30"/>
        <v/>
      </c>
      <c r="V128">
        <f>IF(L128="","",IF($AO$1=1,IFERROR(MATCH(L128,'05-أيار'!$L$2:$L$501,0),0),0))</f>
        <v>0</v>
      </c>
      <c r="W128" t="str">
        <f t="shared" si="31"/>
        <v/>
      </c>
      <c r="X128" s="38" t="str">
        <f>IF(L128="","",IF(V128&gt;0,INDEX('05-أيار'!$P$2:$P$501,V128),IF($AO$1=1,0,"")))</f>
        <v/>
      </c>
      <c r="Y128" s="38" t="str">
        <f t="shared" si="32"/>
        <v/>
      </c>
      <c r="Z128" s="39" t="str">
        <f>IF(L128="","",IF(V128&gt;0,INDEX('05-أيار'!$Q$2:$Q$501,V128),IF($AO$1=1,0,"")))</f>
        <v/>
      </c>
      <c r="AA128" s="39" t="str">
        <f t="shared" si="33"/>
        <v/>
      </c>
      <c r="AB128" s="40" t="str">
        <f>IF(OR(L128="",V128=0),"",IF(AND(N(I128)&gt;0,N(INDEX('05-أيار'!$I$2:$I$501,V128))&gt;0,INDEX('05-أيار'!$F$2:$F$501,V128)=F128),N(I128)/N(INDEX('05-أيار'!$I$2:$I$501,V128))-1,""))</f>
        <v/>
      </c>
      <c r="AC128" t="str">
        <f>IF(L128="","",IF(AND($AO$2=1,ISNA(MATCH(L128,'07-تموز'!$L$2:$L$500,0))),"محذوف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>
        <f t="shared" si="35"/>
        <v>16.363636363636363</v>
      </c>
      <c r="AI128" s="39">
        <f t="shared" si="36"/>
        <v>16.363636363636363</v>
      </c>
      <c r="AJ128" s="39">
        <f t="shared" si="37"/>
        <v>16.363636363636363</v>
      </c>
      <c r="AK128">
        <f t="shared" si="38"/>
        <v>10.227272855272727</v>
      </c>
      <c r="AL128">
        <f t="shared" si="39"/>
        <v>16.363636491636363</v>
      </c>
    </row>
    <row r="129" spans="1:38" ht="15">
      <c r="A129" t="s">
        <v>396</v>
      </c>
      <c r="B129">
        <v>15.25</v>
      </c>
      <c r="C129">
        <v>110000</v>
      </c>
      <c r="D129">
        <v>110000</v>
      </c>
      <c r="E129">
        <v>110000</v>
      </c>
      <c r="F129" t="s">
        <v>389</v>
      </c>
      <c r="G129" t="s">
        <v>178</v>
      </c>
      <c r="H129" t="s">
        <v>12</v>
      </c>
      <c r="I129">
        <v>72000</v>
      </c>
      <c r="K129" t="str">
        <f t="shared" si="20"/>
        <v/>
      </c>
      <c r="L129" t="str">
        <f t="shared" si="21"/>
        <v>مماسح ارضيات</v>
      </c>
      <c r="M129" s="36">
        <f t="shared" si="22"/>
        <v>7.5757575757575758E-5</v>
      </c>
      <c r="N129" s="37">
        <f t="shared" si="23"/>
        <v>5.4545454545454541</v>
      </c>
      <c r="O129" s="37">
        <f t="shared" si="24"/>
        <v>8.3333333333333339</v>
      </c>
      <c r="P129" s="38">
        <f t="shared" si="25"/>
        <v>15.25</v>
      </c>
      <c r="Q129" s="39">
        <f t="shared" si="26"/>
        <v>83.181818181818173</v>
      </c>
      <c r="R129" s="39">
        <f t="shared" si="27"/>
        <v>127.08333333333334</v>
      </c>
      <c r="S129">
        <f t="shared" si="28"/>
        <v>1</v>
      </c>
      <c r="T129" s="39">
        <f t="shared" si="29"/>
        <v>43.90151515151517</v>
      </c>
      <c r="U129" t="str">
        <f t="shared" si="30"/>
        <v/>
      </c>
      <c r="V129">
        <f>IF(L129="","",IF($AO$1=1,IFERROR(MATCH(L129,'05-أيار'!$L$2:$L$501,0),0),0))</f>
        <v>0</v>
      </c>
      <c r="W129" t="str">
        <f t="shared" si="31"/>
        <v/>
      </c>
      <c r="X129" s="38" t="str">
        <f>IF(L129="","",IF(V129&gt;0,INDEX('05-أيار'!$P$2:$P$501,V129),IF($AO$1=1,0,"")))</f>
        <v/>
      </c>
      <c r="Y129" s="38" t="str">
        <f t="shared" si="32"/>
        <v/>
      </c>
      <c r="Z129" s="39" t="str">
        <f>IF(L129="","",IF(V129&gt;0,INDEX('05-أيار'!$Q$2:$Q$501,V129),IF($AO$1=1,0,"")))</f>
        <v/>
      </c>
      <c r="AA129" s="39" t="str">
        <f t="shared" si="33"/>
        <v/>
      </c>
      <c r="AB129" s="40" t="str">
        <f>IF(OR(L129="",V129=0),"",IF(AND(N(I129)&gt;0,N(INDEX('05-أيار'!$I$2:$I$501,V129))&gt;0,INDEX('05-أيار'!$F$2:$F$501,V129)=F129),N(I129)/N(INDEX('05-أيار'!$I$2:$I$501,V129))-1,""))</f>
        <v/>
      </c>
      <c r="AC129" t="str">
        <f>IF(L129="","",IF(AND($AO$2=1,ISNA(MATCH(L129,'07-تموز'!$L$2:$L$500,0))),"محذوف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>
        <f t="shared" si="35"/>
        <v>43.90151515151517</v>
      </c>
      <c r="AI129" s="39">
        <f t="shared" si="36"/>
        <v>43.90151515151517</v>
      </c>
      <c r="AJ129" s="39">
        <f t="shared" si="37"/>
        <v>43.90151515151517</v>
      </c>
      <c r="AK129">
        <f t="shared" si="38"/>
        <v>83.181818310818173</v>
      </c>
      <c r="AL129">
        <f t="shared" si="39"/>
        <v>43.90151528051517</v>
      </c>
    </row>
    <row r="130" spans="1:38" ht="15">
      <c r="A130" t="s">
        <v>397</v>
      </c>
      <c r="B130">
        <v>0</v>
      </c>
      <c r="C130">
        <v>35000</v>
      </c>
      <c r="D130">
        <v>35000</v>
      </c>
      <c r="E130">
        <v>35000</v>
      </c>
      <c r="F130" t="s">
        <v>389</v>
      </c>
      <c r="G130" t="s">
        <v>178</v>
      </c>
      <c r="H130" t="s">
        <v>12</v>
      </c>
      <c r="I130">
        <v>28000</v>
      </c>
      <c r="K130" t="str">
        <f t="shared" ref="K130:K191" si="40">IF(L130="","",IF(U130&lt;&gt;"","⚠",""))</f>
        <v/>
      </c>
      <c r="L130" t="str">
        <f t="shared" ref="L130:L191" si="41">IF(A130="","",TRIM(A130))</f>
        <v>ملمع سيارات 3 لتر</v>
      </c>
      <c r="M130" s="36">
        <f t="shared" ref="M130:M191" si="42">IF(L130="","",IF(ISNUMBER(SEARCH("دولار",F130)),1,IF(ISNUMBER(SEARCH("ليرة",F130)),IF($AO$3&gt;0,1/$AO$3,0),0)))</f>
        <v>7.5757575757575758E-5</v>
      </c>
      <c r="N130" s="37">
        <f t="shared" ref="N130:N191" si="43">IF(L130="","",N(I130)*M130)</f>
        <v>2.1212121212121211</v>
      </c>
      <c r="O130" s="37">
        <f t="shared" ref="O130:O191" si="44">IF(L130="","",M130*CHOOSE($AO$4,N(C130),N(D130),N(E130)))</f>
        <v>2.6515151515151514</v>
      </c>
      <c r="P130" s="38">
        <f t="shared" ref="P130:P191" si="45">IF(L130="","",MAX(N(B130),0))</f>
        <v>0</v>
      </c>
      <c r="Q130" s="39">
        <f t="shared" ref="Q130:Q191" si="46">IF(L130="","",P130*N130)</f>
        <v>0</v>
      </c>
      <c r="R130" s="39">
        <f t="shared" ref="R130:R191" si="47">IF(L130="","",P130*O130)</f>
        <v>0</v>
      </c>
      <c r="S130">
        <f t="shared" ref="S130:S191" si="48">IF(L130="","",IF(AND(P130&gt;0,N130&gt;0,O130&gt;0),1,0))</f>
        <v>0</v>
      </c>
      <c r="T130" s="39">
        <f t="shared" ref="T130:T191" si="49">IF(L130="","",S130*(R130-Q130))</f>
        <v>0</v>
      </c>
      <c r="U130" t="str">
        <f t="shared" ref="U130:U191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IF(L130="","",IF($AO$1=1,IFERROR(MATCH(L130,'05-أيار'!$L$2:$L$501,0),0),0))</f>
        <v>0</v>
      </c>
      <c r="W130" t="str">
        <f t="shared" ref="W130:W191" si="51">IF(L130="","",IF(AND($AO$1=1,V130=0),"جديد",""))</f>
        <v/>
      </c>
      <c r="X130" s="38" t="str">
        <f>IF(L130="","",IF(V130&gt;0,INDEX('05-أيار'!$P$2:$P$501,V130),IF($AO$1=1,0,"")))</f>
        <v/>
      </c>
      <c r="Y130" s="38" t="str">
        <f t="shared" ref="Y130:Y191" si="52">IF(OR(L130="",X130=""),"",P130-X130)</f>
        <v/>
      </c>
      <c r="Z130" s="39" t="str">
        <f>IF(L130="","",IF(V130&gt;0,INDEX('05-أيار'!$Q$2:$Q$501,V130),IF($AO$1=1,0,"")))</f>
        <v/>
      </c>
      <c r="AA130" s="39" t="str">
        <f t="shared" ref="AA130:AA191" si="53">IF(OR(L130="",Z130=""),"",Q130-Z130)</f>
        <v/>
      </c>
      <c r="AB130" s="40" t="str">
        <f>IF(OR(L130="",V130=0),"",IF(AND(N(I130)&gt;0,N(INDEX('05-أيار'!$I$2:$I$501,V130))&gt;0,INDEX('05-أيار'!$F$2:$F$501,V130)=F130),N(I130)/N(INDEX('05-أيار'!$I$2:$I$501,V130))-1,""))</f>
        <v/>
      </c>
      <c r="AC130" t="str">
        <f>IF(L130="","",IF(AND($AO$2=1,ISNA(MATCH(L130,'07-تموز'!$L$2:$L$500,0))),"محذوف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1" si="54">IF(AA130="","",ABS(AA130)+ROW()/1000000000)</f>
        <v/>
      </c>
      <c r="AH130" s="39">
        <f t="shared" ref="AH130:AH191" si="55">IF(L130="","",IF(AND(P130&gt;0,N130&gt;0,N(C130)&gt;0),P130*(M130*N(C130)-N130),0))</f>
        <v>0</v>
      </c>
      <c r="AI130" s="39">
        <f t="shared" ref="AI130:AI191" si="56">IF(L130="","",IF(AND(P130&gt;0,N130&gt;0,N(D130)&gt;0),P130*(M130*N(D130)-N130),0))</f>
        <v>0</v>
      </c>
      <c r="AJ130" s="39">
        <f t="shared" ref="AJ130:AJ191" si="57">IF(L130="","",IF(AND(P130&gt;0,N130&gt;0,N(E130)&gt;0),P130*(M130*N(E130)-N130),0))</f>
        <v>0</v>
      </c>
      <c r="AK130">
        <f t="shared" ref="AK130:AK191" si="58">IF(L130="","",Q130+ROW()/1000000000)</f>
        <v>1.3E-7</v>
      </c>
      <c r="AL130">
        <f t="shared" ref="AL130:AL191" si="59">IF(L130="","",T130+ROW()/1000000000)</f>
        <v>1.3E-7</v>
      </c>
    </row>
    <row r="131" spans="1:38" ht="15">
      <c r="A131" t="s">
        <v>398</v>
      </c>
      <c r="B131">
        <v>10</v>
      </c>
      <c r="C131">
        <v>15000</v>
      </c>
      <c r="D131">
        <v>15000</v>
      </c>
      <c r="E131">
        <v>15000</v>
      </c>
      <c r="F131" t="s">
        <v>389</v>
      </c>
      <c r="G131" t="s">
        <v>178</v>
      </c>
      <c r="H131" t="s">
        <v>12</v>
      </c>
      <c r="I131">
        <v>8500</v>
      </c>
      <c r="K131" t="str">
        <f t="shared" si="40"/>
        <v/>
      </c>
      <c r="L131" t="str">
        <f t="shared" si="41"/>
        <v>ملمع سيارات / فرط</v>
      </c>
      <c r="M131" s="36">
        <f t="shared" si="42"/>
        <v>7.5757575757575758E-5</v>
      </c>
      <c r="N131" s="37">
        <f t="shared" si="43"/>
        <v>0.64393939393939392</v>
      </c>
      <c r="O131" s="37">
        <f t="shared" si="44"/>
        <v>1.1363636363636365</v>
      </c>
      <c r="P131" s="38">
        <f t="shared" si="45"/>
        <v>10</v>
      </c>
      <c r="Q131" s="39">
        <f t="shared" si="46"/>
        <v>6.4393939393939394</v>
      </c>
      <c r="R131" s="39">
        <f t="shared" si="47"/>
        <v>11.363636363636365</v>
      </c>
      <c r="S131">
        <f t="shared" si="48"/>
        <v>1</v>
      </c>
      <c r="T131" s="39">
        <f t="shared" si="49"/>
        <v>4.9242424242424256</v>
      </c>
      <c r="U131" t="str">
        <f t="shared" si="50"/>
        <v/>
      </c>
      <c r="V131">
        <f>IF(L131="","",IF($AO$1=1,IFERROR(MATCH(L131,'05-أيار'!$L$2:$L$501,0),0),0))</f>
        <v>0</v>
      </c>
      <c r="W131" t="str">
        <f t="shared" si="51"/>
        <v/>
      </c>
      <c r="X131" s="38" t="str">
        <f>IF(L131="","",IF(V131&gt;0,INDEX('05-أيار'!$P$2:$P$501,V131),IF($AO$1=1,0,"")))</f>
        <v/>
      </c>
      <c r="Y131" s="38" t="str">
        <f t="shared" si="52"/>
        <v/>
      </c>
      <c r="Z131" s="39" t="str">
        <f>IF(L131="","",IF(V131&gt;0,INDEX('05-أيار'!$Q$2:$Q$501,V131),IF($AO$1=1,0,"")))</f>
        <v/>
      </c>
      <c r="AA131" s="39" t="str">
        <f t="shared" si="53"/>
        <v/>
      </c>
      <c r="AB131" s="40" t="str">
        <f>IF(OR(L131="",V131=0),"",IF(AND(N(I131)&gt;0,N(INDEX('05-أيار'!$I$2:$I$501,V131))&gt;0,INDEX('05-أيار'!$F$2:$F$501,V131)=F131),N(I131)/N(INDEX('05-أيار'!$I$2:$I$501,V131))-1,""))</f>
        <v/>
      </c>
      <c r="AC131" t="str">
        <f>IF(L131="","",IF(AND($AO$2=1,ISNA(MATCH(L131,'07-تموز'!$L$2:$L$500,0))),"محذوف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>
        <f t="shared" si="55"/>
        <v>4.9242424242424256</v>
      </c>
      <c r="AI131" s="39">
        <f t="shared" si="56"/>
        <v>4.9242424242424256</v>
      </c>
      <c r="AJ131" s="39">
        <f t="shared" si="57"/>
        <v>4.9242424242424256</v>
      </c>
      <c r="AK131">
        <f t="shared" si="58"/>
        <v>6.4393940703939396</v>
      </c>
      <c r="AL131">
        <f t="shared" si="59"/>
        <v>4.9242425552424258</v>
      </c>
    </row>
    <row r="132" spans="1:38" ht="15">
      <c r="A132" t="s">
        <v>399</v>
      </c>
      <c r="B132">
        <v>0</v>
      </c>
      <c r="C132">
        <v>156000</v>
      </c>
      <c r="D132">
        <v>156000</v>
      </c>
      <c r="E132">
        <v>156000</v>
      </c>
      <c r="F132" t="s">
        <v>389</v>
      </c>
      <c r="G132" t="s">
        <v>178</v>
      </c>
      <c r="H132" t="s">
        <v>12</v>
      </c>
      <c r="I132">
        <v>120000</v>
      </c>
      <c r="K132" t="str">
        <f t="shared" si="40"/>
        <v/>
      </c>
      <c r="L132" t="str">
        <f t="shared" si="41"/>
        <v>ملمع زجاج الكرمل</v>
      </c>
      <c r="M132" s="36">
        <f t="shared" si="42"/>
        <v>7.5757575757575758E-5</v>
      </c>
      <c r="N132" s="37">
        <f t="shared" si="43"/>
        <v>9.0909090909090917</v>
      </c>
      <c r="O132" s="37">
        <f t="shared" si="44"/>
        <v>11.818181818181818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IF(L132="","",IF($AO$1=1,IFERROR(MATCH(L132,'05-أيار'!$L$2:$L$501,0),0),0))</f>
        <v>0</v>
      </c>
      <c r="W132" t="str">
        <f t="shared" si="51"/>
        <v/>
      </c>
      <c r="X132" s="38" t="str">
        <f>IF(L132="","",IF(V132&gt;0,INDEX('05-أيار'!$P$2:$P$501,V132),IF($AO$1=1,0,"")))</f>
        <v/>
      </c>
      <c r="Y132" s="38" t="str">
        <f t="shared" si="52"/>
        <v/>
      </c>
      <c r="Z132" s="39" t="str">
        <f>IF(L132="","",IF(V132&gt;0,INDEX('05-أيار'!$Q$2:$Q$501,V132),IF($AO$1=1,0,"")))</f>
        <v/>
      </c>
      <c r="AA132" s="39" t="str">
        <f t="shared" si="53"/>
        <v/>
      </c>
      <c r="AB132" s="40" t="str">
        <f>IF(OR(L132="",V132=0),"",IF(AND(N(I132)&gt;0,N(INDEX('05-أيار'!$I$2:$I$501,V132))&gt;0,INDEX('05-أيار'!$F$2:$F$501,V132)=F132),N(I132)/N(INDEX('05-أيار'!$I$2:$I$501,V132))-1,""))</f>
        <v/>
      </c>
      <c r="AC132" t="str">
        <f>IF(L132="","",IF(AND($AO$2=1,ISNA(MATCH(L132,'07-تموز'!$L$2:$L$500,0))),"محذوف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400</v>
      </c>
      <c r="B133">
        <v>23</v>
      </c>
      <c r="C133">
        <v>30000</v>
      </c>
      <c r="D133">
        <v>30000</v>
      </c>
      <c r="E133">
        <v>30000</v>
      </c>
      <c r="F133" t="s">
        <v>389</v>
      </c>
      <c r="G133" t="s">
        <v>178</v>
      </c>
      <c r="H133" t="s">
        <v>12</v>
      </c>
      <c r="I133">
        <v>9500</v>
      </c>
      <c r="K133" t="str">
        <f t="shared" si="40"/>
        <v/>
      </c>
      <c r="L133" t="str">
        <f t="shared" si="41"/>
        <v>ملمع زجاج 3 لتر</v>
      </c>
      <c r="M133" s="36">
        <f t="shared" si="42"/>
        <v>7.5757575757575758E-5</v>
      </c>
      <c r="N133" s="37">
        <f t="shared" si="43"/>
        <v>0.71969696969696972</v>
      </c>
      <c r="O133" s="37">
        <f t="shared" si="44"/>
        <v>2.2727272727272729</v>
      </c>
      <c r="P133" s="38">
        <f t="shared" si="45"/>
        <v>23</v>
      </c>
      <c r="Q133" s="39">
        <f t="shared" si="46"/>
        <v>16.553030303030305</v>
      </c>
      <c r="R133" s="39">
        <f t="shared" si="47"/>
        <v>52.27272727272728</v>
      </c>
      <c r="S133">
        <f t="shared" si="48"/>
        <v>1</v>
      </c>
      <c r="T133" s="39">
        <f t="shared" si="49"/>
        <v>35.719696969696976</v>
      </c>
      <c r="U133" t="str">
        <f t="shared" si="50"/>
        <v/>
      </c>
      <c r="V133">
        <f>IF(L133="","",IF($AO$1=1,IFERROR(MATCH(L133,'05-أيار'!$L$2:$L$501,0),0),0))</f>
        <v>0</v>
      </c>
      <c r="W133" t="str">
        <f t="shared" si="51"/>
        <v/>
      </c>
      <c r="X133" s="38" t="str">
        <f>IF(L133="","",IF(V133&gt;0,INDEX('05-أيار'!$P$2:$P$501,V133),IF($AO$1=1,0,"")))</f>
        <v/>
      </c>
      <c r="Y133" s="38" t="str">
        <f t="shared" si="52"/>
        <v/>
      </c>
      <c r="Z133" s="39" t="str">
        <f>IF(L133="","",IF(V133&gt;0,INDEX('05-أيار'!$Q$2:$Q$501,V133),IF($AO$1=1,0,"")))</f>
        <v/>
      </c>
      <c r="AA133" s="39" t="str">
        <f t="shared" si="53"/>
        <v/>
      </c>
      <c r="AB133" s="40" t="str">
        <f>IF(OR(L133="",V133=0),"",IF(AND(N(I133)&gt;0,N(INDEX('05-أيار'!$I$2:$I$501,V133))&gt;0,INDEX('05-أيار'!$F$2:$F$501,V133)=F133),N(I133)/N(INDEX('05-أيار'!$I$2:$I$501,V133))-1,""))</f>
        <v/>
      </c>
      <c r="AC133" t="str">
        <f>IF(L133="","",IF(AND($AO$2=1,ISNA(MATCH(L133,'07-تموز'!$L$2:$L$500,0))),"محذوف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>
        <f t="shared" si="55"/>
        <v>35.719696969696976</v>
      </c>
      <c r="AI133" s="39">
        <f t="shared" si="56"/>
        <v>35.719696969696976</v>
      </c>
      <c r="AJ133" s="39">
        <f t="shared" si="57"/>
        <v>35.719696969696976</v>
      </c>
      <c r="AK133">
        <f t="shared" si="58"/>
        <v>16.553030436030305</v>
      </c>
      <c r="AL133">
        <f t="shared" si="59"/>
        <v>35.719697102696976</v>
      </c>
    </row>
    <row r="134" spans="1:38" ht="15">
      <c r="A134" t="s">
        <v>401</v>
      </c>
      <c r="B134">
        <v>245</v>
      </c>
      <c r="C134">
        <v>10000</v>
      </c>
      <c r="D134">
        <v>10000</v>
      </c>
      <c r="E134">
        <v>10000</v>
      </c>
      <c r="F134" t="s">
        <v>389</v>
      </c>
      <c r="G134" t="s">
        <v>178</v>
      </c>
      <c r="H134" t="s">
        <v>12</v>
      </c>
      <c r="I134">
        <v>3000</v>
      </c>
      <c r="K134" t="str">
        <f t="shared" si="40"/>
        <v/>
      </c>
      <c r="L134" t="str">
        <f t="shared" si="41"/>
        <v>ملمع زجاج / فرط</v>
      </c>
      <c r="M134" s="36">
        <f t="shared" si="42"/>
        <v>7.5757575757575758E-5</v>
      </c>
      <c r="N134" s="37">
        <f t="shared" si="43"/>
        <v>0.22727272727272727</v>
      </c>
      <c r="O134" s="37">
        <f t="shared" si="44"/>
        <v>0.75757575757575757</v>
      </c>
      <c r="P134" s="38">
        <f t="shared" si="45"/>
        <v>245</v>
      </c>
      <c r="Q134" s="39">
        <f t="shared" si="46"/>
        <v>55.68181818181818</v>
      </c>
      <c r="R134" s="39">
        <f t="shared" si="47"/>
        <v>185.60606060606059</v>
      </c>
      <c r="S134">
        <f t="shared" si="48"/>
        <v>1</v>
      </c>
      <c r="T134" s="39">
        <f t="shared" si="49"/>
        <v>129.92424242424241</v>
      </c>
      <c r="U134" t="str">
        <f t="shared" si="50"/>
        <v/>
      </c>
      <c r="V134">
        <f>IF(L134="","",IF($AO$1=1,IFERROR(MATCH(L134,'05-أيار'!$L$2:$L$501,0),0),0))</f>
        <v>0</v>
      </c>
      <c r="W134" t="str">
        <f t="shared" si="51"/>
        <v/>
      </c>
      <c r="X134" s="38" t="str">
        <f>IF(L134="","",IF(V134&gt;0,INDEX('05-أيار'!$P$2:$P$501,V134),IF($AO$1=1,0,"")))</f>
        <v/>
      </c>
      <c r="Y134" s="38" t="str">
        <f t="shared" si="52"/>
        <v/>
      </c>
      <c r="Z134" s="39" t="str">
        <f>IF(L134="","",IF(V134&gt;0,INDEX('05-أيار'!$Q$2:$Q$501,V134),IF($AO$1=1,0,"")))</f>
        <v/>
      </c>
      <c r="AA134" s="39" t="str">
        <f t="shared" si="53"/>
        <v/>
      </c>
      <c r="AB134" s="40" t="str">
        <f>IF(OR(L134="",V134=0),"",IF(AND(N(I134)&gt;0,N(INDEX('05-أيار'!$I$2:$I$501,V134))&gt;0,INDEX('05-أيار'!$F$2:$F$501,V134)=F134),N(I134)/N(INDEX('05-أيار'!$I$2:$I$501,V134))-1,""))</f>
        <v/>
      </c>
      <c r="AC134" t="str">
        <f>IF(L134="","",IF(AND($AO$2=1,ISNA(MATCH(L134,'07-تموز'!$L$2:$L$500,0))),"محذوف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>
        <f t="shared" si="55"/>
        <v>129.92424242424241</v>
      </c>
      <c r="AI134" s="39">
        <f t="shared" si="56"/>
        <v>129.92424242424241</v>
      </c>
      <c r="AJ134" s="39">
        <f t="shared" si="57"/>
        <v>129.92424242424241</v>
      </c>
      <c r="AK134">
        <f t="shared" si="58"/>
        <v>55.681818315818177</v>
      </c>
      <c r="AL134">
        <f t="shared" si="59"/>
        <v>129.92424255824241</v>
      </c>
    </row>
    <row r="135" spans="1:38" ht="15">
      <c r="A135" t="s">
        <v>402</v>
      </c>
      <c r="B135">
        <v>0</v>
      </c>
      <c r="C135">
        <v>408000</v>
      </c>
      <c r="D135">
        <v>408000</v>
      </c>
      <c r="E135">
        <v>408000</v>
      </c>
      <c r="F135" t="s">
        <v>389</v>
      </c>
      <c r="G135" t="s">
        <v>178</v>
      </c>
      <c r="H135" t="s">
        <v>12</v>
      </c>
      <c r="I135">
        <v>0</v>
      </c>
      <c r="K135" t="str">
        <f t="shared" si="40"/>
        <v/>
      </c>
      <c r="L135" t="str">
        <f t="shared" si="41"/>
        <v>ملطف جو ليتس</v>
      </c>
      <c r="M135" s="36">
        <f t="shared" si="42"/>
        <v>7.5757575757575758E-5</v>
      </c>
      <c r="N135" s="37">
        <f t="shared" si="43"/>
        <v>0</v>
      </c>
      <c r="O135" s="37">
        <f t="shared" si="44"/>
        <v>30.90909090909091</v>
      </c>
      <c r="P135" s="38">
        <f t="shared" si="45"/>
        <v>0</v>
      </c>
      <c r="Q135" s="39">
        <f t="shared" si="46"/>
        <v>0</v>
      </c>
      <c r="R135" s="39">
        <f t="shared" si="47"/>
        <v>0</v>
      </c>
      <c r="S135">
        <f t="shared" si="48"/>
        <v>0</v>
      </c>
      <c r="T135" s="39">
        <f t="shared" si="49"/>
        <v>0</v>
      </c>
      <c r="U135" t="str">
        <f t="shared" si="50"/>
        <v/>
      </c>
      <c r="V135">
        <f>IF(L135="","",IF($AO$1=1,IFERROR(MATCH(L135,'05-أيار'!$L$2:$L$501,0),0),0))</f>
        <v>0</v>
      </c>
      <c r="W135" t="str">
        <f t="shared" si="51"/>
        <v/>
      </c>
      <c r="X135" s="38" t="str">
        <f>IF(L135="","",IF(V135&gt;0,INDEX('05-أيار'!$P$2:$P$501,V135),IF($AO$1=1,0,"")))</f>
        <v/>
      </c>
      <c r="Y135" s="38" t="str">
        <f t="shared" si="52"/>
        <v/>
      </c>
      <c r="Z135" s="39" t="str">
        <f>IF(L135="","",IF(V135&gt;0,INDEX('05-أيار'!$Q$2:$Q$501,V135),IF($AO$1=1,0,"")))</f>
        <v/>
      </c>
      <c r="AA135" s="39" t="str">
        <f t="shared" si="53"/>
        <v/>
      </c>
      <c r="AB135" s="40" t="str">
        <f>IF(OR(L135="",V135=0),"",IF(AND(N(I135)&gt;0,N(INDEX('05-أيار'!$I$2:$I$501,V135))&gt;0,INDEX('05-أيار'!$F$2:$F$501,V135)=F135),N(I135)/N(INDEX('05-أيار'!$I$2:$I$501,V135))-1,""))</f>
        <v/>
      </c>
      <c r="AC135" t="str">
        <f>IF(L135="","",IF(AND($AO$2=1,ISNA(MATCH(L135,'07-تموز'!$L$2:$L$500,0))),"محذوف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>
        <f t="shared" si="55"/>
        <v>0</v>
      </c>
      <c r="AI135" s="39">
        <f t="shared" si="56"/>
        <v>0</v>
      </c>
      <c r="AJ135" s="39">
        <f t="shared" si="57"/>
        <v>0</v>
      </c>
      <c r="AK135">
        <f t="shared" si="58"/>
        <v>1.35E-7</v>
      </c>
      <c r="AL135">
        <f t="shared" si="59"/>
        <v>1.35E-7</v>
      </c>
    </row>
    <row r="136" spans="1:38" ht="15">
      <c r="A136" t="s">
        <v>403</v>
      </c>
      <c r="B136">
        <v>0</v>
      </c>
      <c r="C136">
        <v>240000</v>
      </c>
      <c r="D136">
        <v>240000</v>
      </c>
      <c r="E136">
        <v>240000</v>
      </c>
      <c r="F136" t="s">
        <v>389</v>
      </c>
      <c r="G136" t="s">
        <v>178</v>
      </c>
      <c r="H136" t="s">
        <v>12</v>
      </c>
      <c r="I136">
        <v>139200</v>
      </c>
      <c r="K136" t="str">
        <f t="shared" si="40"/>
        <v/>
      </c>
      <c r="L136" t="str">
        <f t="shared" si="41"/>
        <v>ملطف جو</v>
      </c>
      <c r="M136" s="36">
        <f t="shared" si="42"/>
        <v>7.5757575757575758E-5</v>
      </c>
      <c r="N136" s="37">
        <f t="shared" si="43"/>
        <v>10.545454545454545</v>
      </c>
      <c r="O136" s="37">
        <f t="shared" si="44"/>
        <v>18.181818181818183</v>
      </c>
      <c r="P136" s="38">
        <f t="shared" si="45"/>
        <v>0</v>
      </c>
      <c r="Q136" s="39">
        <f t="shared" si="46"/>
        <v>0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IF(L136="","",IF($AO$1=1,IFERROR(MATCH(L136,'05-أيار'!$L$2:$L$501,0),0),0))</f>
        <v>0</v>
      </c>
      <c r="W136" t="str">
        <f t="shared" si="51"/>
        <v/>
      </c>
      <c r="X136" s="38" t="str">
        <f>IF(L136="","",IF(V136&gt;0,INDEX('05-أيار'!$P$2:$P$501,V136),IF($AO$1=1,0,"")))</f>
        <v/>
      </c>
      <c r="Y136" s="38" t="str">
        <f t="shared" si="52"/>
        <v/>
      </c>
      <c r="Z136" s="39" t="str">
        <f>IF(L136="","",IF(V136&gt;0,INDEX('05-أيار'!$Q$2:$Q$501,V136),IF($AO$1=1,0,"")))</f>
        <v/>
      </c>
      <c r="AA136" s="39" t="str">
        <f t="shared" si="53"/>
        <v/>
      </c>
      <c r="AB136" s="40" t="str">
        <f>IF(OR(L136="",V136=0),"",IF(AND(N(I136)&gt;0,N(INDEX('05-أيار'!$I$2:$I$501,V136))&gt;0,INDEX('05-أيار'!$F$2:$F$501,V136)=F136),N(I136)/N(INDEX('05-أيار'!$I$2:$I$501,V136))-1,""))</f>
        <v/>
      </c>
      <c r="AC136" t="str">
        <f>IF(L136="","",IF(AND($AO$2=1,ISNA(MATCH(L136,'07-تموز'!$L$2:$L$500,0))),"محذوف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1.36E-7</v>
      </c>
      <c r="AL136">
        <f t="shared" si="59"/>
        <v>1.36E-7</v>
      </c>
    </row>
    <row r="137" spans="1:38" ht="15">
      <c r="A137" t="s">
        <v>404</v>
      </c>
      <c r="B137">
        <v>0.42</v>
      </c>
      <c r="C137">
        <v>156000</v>
      </c>
      <c r="D137">
        <v>156000</v>
      </c>
      <c r="E137">
        <v>156000</v>
      </c>
      <c r="F137" t="s">
        <v>389</v>
      </c>
      <c r="G137" t="s">
        <v>178</v>
      </c>
      <c r="H137" t="s">
        <v>12</v>
      </c>
      <c r="I137">
        <v>74400</v>
      </c>
      <c r="K137" t="str">
        <f t="shared" si="40"/>
        <v/>
      </c>
      <c r="L137" t="str">
        <f t="shared" si="41"/>
        <v>مكانس ناعمة كثيفة</v>
      </c>
      <c r="M137" s="36">
        <f t="shared" si="42"/>
        <v>7.5757575757575758E-5</v>
      </c>
      <c r="N137" s="37">
        <f t="shared" si="43"/>
        <v>5.6363636363636367</v>
      </c>
      <c r="O137" s="37">
        <f t="shared" si="44"/>
        <v>11.818181818181818</v>
      </c>
      <c r="P137" s="38">
        <f t="shared" si="45"/>
        <v>0.42</v>
      </c>
      <c r="Q137" s="39">
        <f t="shared" si="46"/>
        <v>2.3672727272727272</v>
      </c>
      <c r="R137" s="39">
        <f t="shared" si="47"/>
        <v>4.9636363636363638</v>
      </c>
      <c r="S137">
        <f t="shared" si="48"/>
        <v>1</v>
      </c>
      <c r="T137" s="39">
        <f t="shared" si="49"/>
        <v>2.5963636363636367</v>
      </c>
      <c r="U137" t="str">
        <f t="shared" si="50"/>
        <v/>
      </c>
      <c r="V137">
        <f>IF(L137="","",IF($AO$1=1,IFERROR(MATCH(L137,'05-أيار'!$L$2:$L$501,0),0),0))</f>
        <v>0</v>
      </c>
      <c r="W137" t="str">
        <f t="shared" si="51"/>
        <v/>
      </c>
      <c r="X137" s="38" t="str">
        <f>IF(L137="","",IF(V137&gt;0,INDEX('05-أيار'!$P$2:$P$501,V137),IF($AO$1=1,0,"")))</f>
        <v/>
      </c>
      <c r="Y137" s="38" t="str">
        <f t="shared" si="52"/>
        <v/>
      </c>
      <c r="Z137" s="39" t="str">
        <f>IF(L137="","",IF(V137&gt;0,INDEX('05-أيار'!$Q$2:$Q$501,V137),IF($AO$1=1,0,"")))</f>
        <v/>
      </c>
      <c r="AA137" s="39" t="str">
        <f t="shared" si="53"/>
        <v/>
      </c>
      <c r="AB137" s="40" t="str">
        <f>IF(OR(L137="",V137=0),"",IF(AND(N(I137)&gt;0,N(INDEX('05-أيار'!$I$2:$I$501,V137))&gt;0,INDEX('05-أيار'!$F$2:$F$501,V137)=F137),N(I137)/N(INDEX('05-أيار'!$I$2:$I$501,V137))-1,""))</f>
        <v/>
      </c>
      <c r="AC137" t="str">
        <f>IF(L137="","",IF(AND($AO$2=1,ISNA(MATCH(L137,'07-تموز'!$L$2:$L$500,0))),"محذوف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>
        <f t="shared" si="55"/>
        <v>2.5963636363636362</v>
      </c>
      <c r="AI137" s="39">
        <f t="shared" si="56"/>
        <v>2.5963636363636362</v>
      </c>
      <c r="AJ137" s="39">
        <f t="shared" si="57"/>
        <v>2.5963636363636362</v>
      </c>
      <c r="AK137">
        <f t="shared" si="58"/>
        <v>2.367272864272727</v>
      </c>
      <c r="AL137">
        <f t="shared" si="59"/>
        <v>2.5963637733636364</v>
      </c>
    </row>
    <row r="138" spans="1:38" ht="15">
      <c r="A138" t="s">
        <v>405</v>
      </c>
      <c r="B138">
        <v>6</v>
      </c>
      <c r="C138">
        <v>20000</v>
      </c>
      <c r="D138">
        <v>20000</v>
      </c>
      <c r="E138">
        <v>20000</v>
      </c>
      <c r="F138" t="s">
        <v>389</v>
      </c>
      <c r="G138" t="s">
        <v>178</v>
      </c>
      <c r="H138" t="s">
        <v>12</v>
      </c>
      <c r="I138">
        <v>8125</v>
      </c>
      <c r="K138" t="str">
        <f t="shared" si="40"/>
        <v/>
      </c>
      <c r="L138" t="str">
        <f t="shared" si="41"/>
        <v>مكانس خشنة</v>
      </c>
      <c r="M138" s="36">
        <f t="shared" si="42"/>
        <v>7.5757575757575758E-5</v>
      </c>
      <c r="N138" s="37">
        <f t="shared" si="43"/>
        <v>0.61553030303030298</v>
      </c>
      <c r="O138" s="37">
        <f t="shared" si="44"/>
        <v>1.5151515151515151</v>
      </c>
      <c r="P138" s="38">
        <f t="shared" si="45"/>
        <v>6</v>
      </c>
      <c r="Q138" s="39">
        <f t="shared" si="46"/>
        <v>3.6931818181818179</v>
      </c>
      <c r="R138" s="39">
        <f t="shared" si="47"/>
        <v>9.0909090909090899</v>
      </c>
      <c r="S138">
        <f t="shared" si="48"/>
        <v>1</v>
      </c>
      <c r="T138" s="39">
        <f t="shared" si="49"/>
        <v>5.3977272727272716</v>
      </c>
      <c r="U138" t="str">
        <f t="shared" si="50"/>
        <v/>
      </c>
      <c r="V138">
        <f>IF(L138="","",IF($AO$1=1,IFERROR(MATCH(L138,'05-أيار'!$L$2:$L$501,0),0),0))</f>
        <v>0</v>
      </c>
      <c r="W138" t="str">
        <f t="shared" si="51"/>
        <v/>
      </c>
      <c r="X138" s="38" t="str">
        <f>IF(L138="","",IF(V138&gt;0,INDEX('05-أيار'!$P$2:$P$501,V138),IF($AO$1=1,0,"")))</f>
        <v/>
      </c>
      <c r="Y138" s="38" t="str">
        <f t="shared" si="52"/>
        <v/>
      </c>
      <c r="Z138" s="39" t="str">
        <f>IF(L138="","",IF(V138&gt;0,INDEX('05-أيار'!$Q$2:$Q$501,V138),IF($AO$1=1,0,"")))</f>
        <v/>
      </c>
      <c r="AA138" s="39" t="str">
        <f t="shared" si="53"/>
        <v/>
      </c>
      <c r="AB138" s="40" t="str">
        <f>IF(OR(L138="",V138=0),"",IF(AND(N(I138)&gt;0,N(INDEX('05-أيار'!$I$2:$I$501,V138))&gt;0,INDEX('05-أيار'!$F$2:$F$501,V138)=F138),N(I138)/N(INDEX('05-أيار'!$I$2:$I$501,V138))-1,""))</f>
        <v/>
      </c>
      <c r="AC138" t="str">
        <f>IF(L138="","",IF(AND($AO$2=1,ISNA(MATCH(L138,'07-تموز'!$L$2:$L$500,0))),"محذوف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>
        <f t="shared" si="55"/>
        <v>5.3977272727272734</v>
      </c>
      <c r="AI138" s="39">
        <f t="shared" si="56"/>
        <v>5.3977272727272734</v>
      </c>
      <c r="AJ138" s="39">
        <f t="shared" si="57"/>
        <v>5.3977272727272734</v>
      </c>
      <c r="AK138">
        <f t="shared" si="58"/>
        <v>3.6931819561818178</v>
      </c>
      <c r="AL138">
        <f t="shared" si="59"/>
        <v>5.3977274107272715</v>
      </c>
    </row>
    <row r="139" spans="1:38" ht="15">
      <c r="A139" t="s">
        <v>406</v>
      </c>
      <c r="B139">
        <v>0</v>
      </c>
      <c r="C139">
        <v>0</v>
      </c>
      <c r="D139">
        <v>0</v>
      </c>
      <c r="E139">
        <v>0</v>
      </c>
      <c r="F139" t="s">
        <v>389</v>
      </c>
      <c r="G139" t="s">
        <v>178</v>
      </c>
      <c r="H139" t="s">
        <v>12</v>
      </c>
      <c r="I139">
        <v>168000</v>
      </c>
      <c r="K139" t="str">
        <f t="shared" si="40"/>
        <v/>
      </c>
      <c r="L139" t="str">
        <f t="shared" si="41"/>
        <v>معطر كرمل .</v>
      </c>
      <c r="M139" s="36">
        <f t="shared" si="42"/>
        <v>7.5757575757575758E-5</v>
      </c>
      <c r="N139" s="37">
        <f t="shared" si="43"/>
        <v>12.727272727272727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IF(L139="","",IF($AO$1=1,IFERROR(MATCH(L139,'05-أيار'!$L$2:$L$501,0),0),0))</f>
        <v>0</v>
      </c>
      <c r="W139" t="str">
        <f t="shared" si="51"/>
        <v/>
      </c>
      <c r="X139" s="38" t="str">
        <f>IF(L139="","",IF(V139&gt;0,INDEX('05-أيار'!$P$2:$P$501,V139),IF($AO$1=1,0,"")))</f>
        <v/>
      </c>
      <c r="Y139" s="38" t="str">
        <f t="shared" si="52"/>
        <v/>
      </c>
      <c r="Z139" s="39" t="str">
        <f>IF(L139="","",IF(V139&gt;0,INDEX('05-أيار'!$Q$2:$Q$501,V139),IF($AO$1=1,0,"")))</f>
        <v/>
      </c>
      <c r="AA139" s="39" t="str">
        <f t="shared" si="53"/>
        <v/>
      </c>
      <c r="AB139" s="40" t="str">
        <f>IF(OR(L139="",V139=0),"",IF(AND(N(I139)&gt;0,N(INDEX('05-أيار'!$I$2:$I$501,V139))&gt;0,INDEX('05-أيار'!$F$2:$F$501,V139)=F139),N(I139)/N(INDEX('05-أيار'!$I$2:$I$501,V139))-1,""))</f>
        <v/>
      </c>
      <c r="AC139" t="str">
        <f>IF(L139="","",IF(AND($AO$2=1,ISNA(MATCH(L139,'07-تموز'!$L$2:$L$500,0))),"محذوف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407</v>
      </c>
      <c r="B140">
        <v>0</v>
      </c>
      <c r="C140">
        <v>120000</v>
      </c>
      <c r="D140">
        <v>120000</v>
      </c>
      <c r="E140">
        <v>120000</v>
      </c>
      <c r="F140" t="s">
        <v>389</v>
      </c>
      <c r="G140" t="s">
        <v>178</v>
      </c>
      <c r="H140" t="s">
        <v>12</v>
      </c>
      <c r="I140">
        <v>117000</v>
      </c>
      <c r="K140" t="str">
        <f t="shared" si="40"/>
        <v/>
      </c>
      <c r="L140" t="str">
        <f t="shared" si="41"/>
        <v>معطر عافية</v>
      </c>
      <c r="M140" s="36">
        <f t="shared" si="42"/>
        <v>7.5757575757575758E-5</v>
      </c>
      <c r="N140" s="37">
        <f t="shared" si="43"/>
        <v>8.8636363636363633</v>
      </c>
      <c r="O140" s="37">
        <f t="shared" si="44"/>
        <v>9.0909090909090917</v>
      </c>
      <c r="P140" s="38">
        <f t="shared" si="45"/>
        <v>0</v>
      </c>
      <c r="Q140" s="39">
        <f t="shared" si="46"/>
        <v>0</v>
      </c>
      <c r="R140" s="39">
        <f t="shared" si="47"/>
        <v>0</v>
      </c>
      <c r="S140">
        <f t="shared" si="48"/>
        <v>0</v>
      </c>
      <c r="T140" s="39">
        <f t="shared" si="49"/>
        <v>0</v>
      </c>
      <c r="U140" t="str">
        <f t="shared" si="50"/>
        <v/>
      </c>
      <c r="V140">
        <f>IF(L140="","",IF($AO$1=1,IFERROR(MATCH(L140,'05-أيار'!$L$2:$L$501,0),0),0))</f>
        <v>0</v>
      </c>
      <c r="W140" t="str">
        <f t="shared" si="51"/>
        <v/>
      </c>
      <c r="X140" s="38" t="str">
        <f>IF(L140="","",IF(V140&gt;0,INDEX('05-أيار'!$P$2:$P$501,V140),IF($AO$1=1,0,"")))</f>
        <v/>
      </c>
      <c r="Y140" s="38" t="str">
        <f t="shared" si="52"/>
        <v/>
      </c>
      <c r="Z140" s="39" t="str">
        <f>IF(L140="","",IF(V140&gt;0,INDEX('05-أيار'!$Q$2:$Q$501,V140),IF($AO$1=1,0,"")))</f>
        <v/>
      </c>
      <c r="AA140" s="39" t="str">
        <f t="shared" si="53"/>
        <v/>
      </c>
      <c r="AB140" s="40" t="str">
        <f>IF(OR(L140="",V140=0),"",IF(AND(N(I140)&gt;0,N(INDEX('05-أيار'!$I$2:$I$501,V140))&gt;0,INDEX('05-أيار'!$F$2:$F$501,V140)=F140),N(I140)/N(INDEX('05-أيار'!$I$2:$I$501,V140))-1,""))</f>
        <v/>
      </c>
      <c r="AC140" t="str">
        <f>IF(L140="","",IF(AND($AO$2=1,ISNA(MATCH(L140,'07-تموز'!$L$2:$L$500,0))),"محذوف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>
        <f t="shared" si="55"/>
        <v>0</v>
      </c>
      <c r="AI140" s="39">
        <f t="shared" si="56"/>
        <v>0</v>
      </c>
      <c r="AJ140" s="39">
        <f t="shared" si="57"/>
        <v>0</v>
      </c>
      <c r="AK140">
        <f t="shared" si="58"/>
        <v>1.4000000000000001E-7</v>
      </c>
      <c r="AL140">
        <f t="shared" si="59"/>
        <v>1.4000000000000001E-7</v>
      </c>
    </row>
    <row r="141" spans="1:38" ht="15">
      <c r="A141" t="s">
        <v>408</v>
      </c>
      <c r="B141">
        <v>0</v>
      </c>
      <c r="C141">
        <v>0</v>
      </c>
      <c r="D141">
        <v>0</v>
      </c>
      <c r="E141">
        <v>0</v>
      </c>
      <c r="F141" t="s">
        <v>389</v>
      </c>
      <c r="G141" t="s">
        <v>178</v>
      </c>
      <c r="H141" t="s">
        <v>12</v>
      </c>
      <c r="I141">
        <v>0</v>
      </c>
      <c r="K141" t="str">
        <f t="shared" si="40"/>
        <v/>
      </c>
      <c r="L141" t="str">
        <f t="shared" si="41"/>
        <v>معطر سيارات</v>
      </c>
      <c r="M141" s="36">
        <f t="shared" si="42"/>
        <v>7.5757575757575758E-5</v>
      </c>
      <c r="N141" s="37">
        <f t="shared" si="43"/>
        <v>0</v>
      </c>
      <c r="O141" s="37">
        <f t="shared" si="44"/>
        <v>0</v>
      </c>
      <c r="P141" s="38">
        <f t="shared" si="45"/>
        <v>0</v>
      </c>
      <c r="Q141" s="39">
        <f t="shared" si="46"/>
        <v>0</v>
      </c>
      <c r="R141" s="39">
        <f t="shared" si="47"/>
        <v>0</v>
      </c>
      <c r="S141">
        <f t="shared" si="48"/>
        <v>0</v>
      </c>
      <c r="T141" s="39">
        <f t="shared" si="49"/>
        <v>0</v>
      </c>
      <c r="U141" t="str">
        <f t="shared" si="50"/>
        <v/>
      </c>
      <c r="V141">
        <f>IF(L141="","",IF($AO$1=1,IFERROR(MATCH(L141,'05-أيار'!$L$2:$L$501,0),0),0))</f>
        <v>0</v>
      </c>
      <c r="W141" t="str">
        <f t="shared" si="51"/>
        <v/>
      </c>
      <c r="X141" s="38" t="str">
        <f>IF(L141="","",IF(V141&gt;0,INDEX('05-أيار'!$P$2:$P$501,V141),IF($AO$1=1,0,"")))</f>
        <v/>
      </c>
      <c r="Y141" s="38" t="str">
        <f t="shared" si="52"/>
        <v/>
      </c>
      <c r="Z141" s="39" t="str">
        <f>IF(L141="","",IF(V141&gt;0,INDEX('05-أيار'!$Q$2:$Q$501,V141),IF($AO$1=1,0,"")))</f>
        <v/>
      </c>
      <c r="AA141" s="39" t="str">
        <f t="shared" si="53"/>
        <v/>
      </c>
      <c r="AB141" s="40" t="str">
        <f>IF(OR(L141="",V141=0),"",IF(AND(N(I141)&gt;0,N(INDEX('05-أيار'!$I$2:$I$501,V141))&gt;0,INDEX('05-أيار'!$F$2:$F$501,V141)=F141),N(I141)/N(INDEX('05-أيار'!$I$2:$I$501,V141))-1,""))</f>
        <v/>
      </c>
      <c r="AC141" t="str">
        <f>IF(L141="","",IF(AND($AO$2=1,ISNA(MATCH(L141,'07-تموز'!$L$2:$L$500,0))),"محذوف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>
        <f t="shared" si="55"/>
        <v>0</v>
      </c>
      <c r="AI141" s="39">
        <f t="shared" si="56"/>
        <v>0</v>
      </c>
      <c r="AJ141" s="39">
        <f t="shared" si="57"/>
        <v>0</v>
      </c>
      <c r="AK141">
        <f t="shared" si="58"/>
        <v>1.4100000000000001E-7</v>
      </c>
      <c r="AL141">
        <f t="shared" si="59"/>
        <v>1.4100000000000001E-7</v>
      </c>
    </row>
    <row r="142" spans="1:38" ht="15">
      <c r="A142" t="s">
        <v>409</v>
      </c>
      <c r="B142">
        <v>0</v>
      </c>
      <c r="C142">
        <v>195000</v>
      </c>
      <c r="D142">
        <v>195000</v>
      </c>
      <c r="E142">
        <v>195000</v>
      </c>
      <c r="F142" t="s">
        <v>389</v>
      </c>
      <c r="G142" t="s">
        <v>178</v>
      </c>
      <c r="H142" t="s">
        <v>12</v>
      </c>
      <c r="I142">
        <v>0</v>
      </c>
      <c r="K142" t="str">
        <f t="shared" si="40"/>
        <v/>
      </c>
      <c r="L142" t="str">
        <f t="shared" si="41"/>
        <v>معطر رينزو</v>
      </c>
      <c r="M142" s="36">
        <f t="shared" si="42"/>
        <v>7.5757575757575758E-5</v>
      </c>
      <c r="N142" s="37">
        <f t="shared" si="43"/>
        <v>0</v>
      </c>
      <c r="O142" s="37">
        <f t="shared" si="44"/>
        <v>14.772727272727273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IF(L142="","",IF($AO$1=1,IFERROR(MATCH(L142,'05-أيار'!$L$2:$L$501,0),0),0))</f>
        <v>0</v>
      </c>
      <c r="W142" t="str">
        <f t="shared" si="51"/>
        <v/>
      </c>
      <c r="X142" s="38" t="str">
        <f>IF(L142="","",IF(V142&gt;0,INDEX('05-أيار'!$P$2:$P$501,V142),IF($AO$1=1,0,"")))</f>
        <v/>
      </c>
      <c r="Y142" s="38" t="str">
        <f t="shared" si="52"/>
        <v/>
      </c>
      <c r="Z142" s="39" t="str">
        <f>IF(L142="","",IF(V142&gt;0,INDEX('05-أيار'!$Q$2:$Q$501,V142),IF($AO$1=1,0,"")))</f>
        <v/>
      </c>
      <c r="AA142" s="39" t="str">
        <f t="shared" si="53"/>
        <v/>
      </c>
      <c r="AB142" s="40" t="str">
        <f>IF(OR(L142="",V142=0),"",IF(AND(N(I142)&gt;0,N(INDEX('05-أيار'!$I$2:$I$501,V142))&gt;0,INDEX('05-أيار'!$F$2:$F$501,V142)=F142),N(I142)/N(INDEX('05-أيار'!$I$2:$I$501,V142))-1,""))</f>
        <v/>
      </c>
      <c r="AC142" t="str">
        <f>IF(L142="","",IF(AND($AO$2=1,ISNA(MATCH(L142,'07-تموز'!$L$2:$L$500,0))),"محذوف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410</v>
      </c>
      <c r="B143">
        <v>4315</v>
      </c>
      <c r="C143">
        <v>8000</v>
      </c>
      <c r="D143">
        <v>8000</v>
      </c>
      <c r="E143">
        <v>8000</v>
      </c>
      <c r="F143" t="s">
        <v>389</v>
      </c>
      <c r="G143" t="s">
        <v>178</v>
      </c>
      <c r="H143" t="s">
        <v>12</v>
      </c>
      <c r="I143">
        <v>3200</v>
      </c>
      <c r="K143" t="str">
        <f t="shared" si="40"/>
        <v/>
      </c>
      <c r="L143" t="str">
        <f t="shared" si="41"/>
        <v>معطر super / فرط</v>
      </c>
      <c r="M143" s="36">
        <f t="shared" si="42"/>
        <v>7.5757575757575758E-5</v>
      </c>
      <c r="N143" s="37">
        <f t="shared" si="43"/>
        <v>0.24242424242424243</v>
      </c>
      <c r="O143" s="37">
        <f t="shared" si="44"/>
        <v>0.60606060606060608</v>
      </c>
      <c r="P143" s="38">
        <f t="shared" si="45"/>
        <v>4315</v>
      </c>
      <c r="Q143" s="39">
        <f t="shared" si="46"/>
        <v>1046.060606060606</v>
      </c>
      <c r="R143" s="39">
        <f t="shared" si="47"/>
        <v>2615.151515151515</v>
      </c>
      <c r="S143">
        <f t="shared" si="48"/>
        <v>1</v>
      </c>
      <c r="T143" s="39">
        <f t="shared" si="49"/>
        <v>1569.090909090909</v>
      </c>
      <c r="U143" t="str">
        <f t="shared" si="50"/>
        <v/>
      </c>
      <c r="V143">
        <f>IF(L143="","",IF($AO$1=1,IFERROR(MATCH(L143,'05-أيار'!$L$2:$L$501,0),0),0))</f>
        <v>0</v>
      </c>
      <c r="W143" t="str">
        <f t="shared" si="51"/>
        <v/>
      </c>
      <c r="X143" s="38" t="str">
        <f>IF(L143="","",IF(V143&gt;0,INDEX('05-أيار'!$P$2:$P$501,V143),IF($AO$1=1,0,"")))</f>
        <v/>
      </c>
      <c r="Y143" s="38" t="str">
        <f t="shared" si="52"/>
        <v/>
      </c>
      <c r="Z143" s="39" t="str">
        <f>IF(L143="","",IF(V143&gt;0,INDEX('05-أيار'!$Q$2:$Q$501,V143),IF($AO$1=1,0,"")))</f>
        <v/>
      </c>
      <c r="AA143" s="39" t="str">
        <f t="shared" si="53"/>
        <v/>
      </c>
      <c r="AB143" s="40" t="str">
        <f>IF(OR(L143="",V143=0),"",IF(AND(N(I143)&gt;0,N(INDEX('05-أيار'!$I$2:$I$501,V143))&gt;0,INDEX('05-أيار'!$F$2:$F$501,V143)=F143),N(I143)/N(INDEX('05-أيار'!$I$2:$I$501,V143))-1,""))</f>
        <v/>
      </c>
      <c r="AC143" t="str">
        <f>IF(L143="","",IF(AND($AO$2=1,ISNA(MATCH(L143,'07-تموز'!$L$2:$L$500,0))),"محذوف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>
        <f t="shared" si="55"/>
        <v>1569.0909090909092</v>
      </c>
      <c r="AI143" s="39">
        <f t="shared" si="56"/>
        <v>1569.0909090909092</v>
      </c>
      <c r="AJ143" s="39">
        <f t="shared" si="57"/>
        <v>1569.0909090909092</v>
      </c>
      <c r="AK143">
        <f t="shared" si="58"/>
        <v>1046.0606062036061</v>
      </c>
      <c r="AL143">
        <f t="shared" si="59"/>
        <v>1569.0909092339091</v>
      </c>
    </row>
    <row r="144" spans="1:38" ht="15">
      <c r="A144" t="s">
        <v>411</v>
      </c>
      <c r="B144">
        <v>43</v>
      </c>
      <c r="C144">
        <v>29000</v>
      </c>
      <c r="D144">
        <v>29000</v>
      </c>
      <c r="E144">
        <v>29000</v>
      </c>
      <c r="F144" t="s">
        <v>389</v>
      </c>
      <c r="G144" t="s">
        <v>178</v>
      </c>
      <c r="H144" t="s">
        <v>12</v>
      </c>
      <c r="I144">
        <v>12700</v>
      </c>
      <c r="K144" t="str">
        <f t="shared" si="40"/>
        <v/>
      </c>
      <c r="L144" t="str">
        <f t="shared" si="41"/>
        <v>معطر super / عبوة 3 لتر</v>
      </c>
      <c r="M144" s="36">
        <f t="shared" si="42"/>
        <v>7.5757575757575758E-5</v>
      </c>
      <c r="N144" s="37">
        <f t="shared" si="43"/>
        <v>0.96212121212121215</v>
      </c>
      <c r="O144" s="37">
        <f t="shared" si="44"/>
        <v>2.1969696969696968</v>
      </c>
      <c r="P144" s="38">
        <f t="shared" si="45"/>
        <v>43</v>
      </c>
      <c r="Q144" s="39">
        <f t="shared" si="46"/>
        <v>41.371212121212125</v>
      </c>
      <c r="R144" s="39">
        <f t="shared" si="47"/>
        <v>94.469696969696969</v>
      </c>
      <c r="S144">
        <f t="shared" si="48"/>
        <v>1</v>
      </c>
      <c r="T144" s="39">
        <f t="shared" si="49"/>
        <v>53.098484848484844</v>
      </c>
      <c r="U144" t="str">
        <f t="shared" si="50"/>
        <v/>
      </c>
      <c r="V144">
        <f>IF(L144="","",IF($AO$1=1,IFERROR(MATCH(L144,'05-أيار'!$L$2:$L$501,0),0),0))</f>
        <v>0</v>
      </c>
      <c r="W144" t="str">
        <f t="shared" si="51"/>
        <v/>
      </c>
      <c r="X144" s="38" t="str">
        <f>IF(L144="","",IF(V144&gt;0,INDEX('05-أيار'!$P$2:$P$501,V144),IF($AO$1=1,0,"")))</f>
        <v/>
      </c>
      <c r="Y144" s="38" t="str">
        <f t="shared" si="52"/>
        <v/>
      </c>
      <c r="Z144" s="39" t="str">
        <f>IF(L144="","",IF(V144&gt;0,INDEX('05-أيار'!$Q$2:$Q$501,V144),IF($AO$1=1,0,"")))</f>
        <v/>
      </c>
      <c r="AA144" s="39" t="str">
        <f t="shared" si="53"/>
        <v/>
      </c>
      <c r="AB144" s="40" t="str">
        <f>IF(OR(L144="",V144=0),"",IF(AND(N(I144)&gt;0,N(INDEX('05-أيار'!$I$2:$I$501,V144))&gt;0,INDEX('05-أيار'!$F$2:$F$501,V144)=F144),N(I144)/N(INDEX('05-أيار'!$I$2:$I$501,V144))-1,""))</f>
        <v/>
      </c>
      <c r="AC144" t="str">
        <f>IF(L144="","",IF(AND($AO$2=1,ISNA(MATCH(L144,'07-تموز'!$L$2:$L$500,0))),"محذوف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>
        <f t="shared" si="55"/>
        <v>53.098484848484837</v>
      </c>
      <c r="AI144" s="39">
        <f t="shared" si="56"/>
        <v>53.098484848484837</v>
      </c>
      <c r="AJ144" s="39">
        <f t="shared" si="57"/>
        <v>53.098484848484837</v>
      </c>
      <c r="AK144">
        <f t="shared" si="58"/>
        <v>41.371212265212122</v>
      </c>
      <c r="AL144">
        <f t="shared" si="59"/>
        <v>53.098484992484842</v>
      </c>
    </row>
    <row r="145" spans="1:38" ht="15">
      <c r="A145" t="s">
        <v>412</v>
      </c>
      <c r="B145">
        <v>0</v>
      </c>
      <c r="C145">
        <v>180000</v>
      </c>
      <c r="D145">
        <v>180000</v>
      </c>
      <c r="E145">
        <v>180000</v>
      </c>
      <c r="F145" t="s">
        <v>389</v>
      </c>
      <c r="G145" t="s">
        <v>178</v>
      </c>
      <c r="H145" t="s">
        <v>12</v>
      </c>
      <c r="I145">
        <v>105000</v>
      </c>
      <c r="K145" t="str">
        <f t="shared" si="40"/>
        <v/>
      </c>
      <c r="L145" t="str">
        <f t="shared" si="41"/>
        <v>مساحات / نشافات</v>
      </c>
      <c r="M145" s="36">
        <f t="shared" si="42"/>
        <v>7.5757575757575758E-5</v>
      </c>
      <c r="N145" s="37">
        <f t="shared" si="43"/>
        <v>7.9545454545454541</v>
      </c>
      <c r="O145" s="37">
        <f t="shared" si="44"/>
        <v>13.636363636363637</v>
      </c>
      <c r="P145" s="38">
        <f t="shared" si="45"/>
        <v>0</v>
      </c>
      <c r="Q145" s="39">
        <f t="shared" si="46"/>
        <v>0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IF(L145="","",IF($AO$1=1,IFERROR(MATCH(L145,'05-أيار'!$L$2:$L$501,0),0),0))</f>
        <v>0</v>
      </c>
      <c r="W145" t="str">
        <f t="shared" si="51"/>
        <v/>
      </c>
      <c r="X145" s="38" t="str">
        <f>IF(L145="","",IF(V145&gt;0,INDEX('05-أيار'!$P$2:$P$501,V145),IF($AO$1=1,0,"")))</f>
        <v/>
      </c>
      <c r="Y145" s="38" t="str">
        <f t="shared" si="52"/>
        <v/>
      </c>
      <c r="Z145" s="39" t="str">
        <f>IF(L145="","",IF(V145&gt;0,INDEX('05-أيار'!$Q$2:$Q$501,V145),IF($AO$1=1,0,"")))</f>
        <v/>
      </c>
      <c r="AA145" s="39" t="str">
        <f t="shared" si="53"/>
        <v/>
      </c>
      <c r="AB145" s="40" t="str">
        <f>IF(OR(L145="",V145=0),"",IF(AND(N(I145)&gt;0,N(INDEX('05-أيار'!$I$2:$I$501,V145))&gt;0,INDEX('05-أيار'!$F$2:$F$501,V145)=F145),N(I145)/N(INDEX('05-أيار'!$I$2:$I$501,V145))-1,""))</f>
        <v/>
      </c>
      <c r="AC145" t="str">
        <f>IF(L145="","",IF(AND($AO$2=1,ISNA(MATCH(L145,'07-تموز'!$L$2:$L$500,0))),"محذوف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1.4499999999999999E-7</v>
      </c>
      <c r="AL145">
        <f t="shared" si="59"/>
        <v>1.4499999999999999E-7</v>
      </c>
    </row>
    <row r="146" spans="1:38" ht="15">
      <c r="A146" t="s">
        <v>413</v>
      </c>
      <c r="B146">
        <v>0</v>
      </c>
      <c r="C146">
        <v>0</v>
      </c>
      <c r="D146">
        <v>0</v>
      </c>
      <c r="E146">
        <v>0</v>
      </c>
      <c r="F146" t="s">
        <v>389</v>
      </c>
      <c r="G146" t="s">
        <v>178</v>
      </c>
      <c r="H146" t="s">
        <v>12</v>
      </c>
      <c r="I146">
        <v>0</v>
      </c>
      <c r="K146" t="str">
        <f t="shared" si="40"/>
        <v/>
      </c>
      <c r="L146" t="str">
        <f t="shared" si="41"/>
        <v>محارم مكتب</v>
      </c>
      <c r="M146" s="36">
        <f t="shared" si="42"/>
        <v>7.5757575757575758E-5</v>
      </c>
      <c r="N146" s="37">
        <f t="shared" si="43"/>
        <v>0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IF(L146="","",IF($AO$1=1,IFERROR(MATCH(L146,'05-أيار'!$L$2:$L$501,0),0),0))</f>
        <v>0</v>
      </c>
      <c r="W146" t="str">
        <f t="shared" si="51"/>
        <v/>
      </c>
      <c r="X146" s="38" t="str">
        <f>IF(L146="","",IF(V146&gt;0,INDEX('05-أيار'!$P$2:$P$501,V146),IF($AO$1=1,0,"")))</f>
        <v/>
      </c>
      <c r="Y146" s="38" t="str">
        <f t="shared" si="52"/>
        <v/>
      </c>
      <c r="Z146" s="39" t="str">
        <f>IF(L146="","",IF(V146&gt;0,INDEX('05-أيار'!$Q$2:$Q$501,V146),IF($AO$1=1,0,"")))</f>
        <v/>
      </c>
      <c r="AA146" s="39" t="str">
        <f t="shared" si="53"/>
        <v/>
      </c>
      <c r="AB146" s="40" t="str">
        <f>IF(OR(L146="",V146=0),"",IF(AND(N(I146)&gt;0,N(INDEX('05-أيار'!$I$2:$I$501,V146))&gt;0,INDEX('05-أيار'!$F$2:$F$501,V146)=F146),N(I146)/N(INDEX('05-أيار'!$I$2:$I$501,V146))-1,""))</f>
        <v/>
      </c>
      <c r="AC146" t="str">
        <f>IF(L146="","",IF(AND($AO$2=1,ISNA(MATCH(L146,'07-تموز'!$L$2:$L$500,0))),"محذوف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414</v>
      </c>
      <c r="B147">
        <v>5</v>
      </c>
      <c r="C147">
        <v>110000</v>
      </c>
      <c r="D147">
        <v>110000</v>
      </c>
      <c r="E147">
        <v>110000</v>
      </c>
      <c r="F147" t="s">
        <v>389</v>
      </c>
      <c r="G147" t="s">
        <v>178</v>
      </c>
      <c r="H147" t="s">
        <v>12</v>
      </c>
      <c r="I147">
        <v>90000</v>
      </c>
      <c r="K147" t="str">
        <f t="shared" si="40"/>
        <v/>
      </c>
      <c r="L147" t="str">
        <f t="shared" si="41"/>
        <v>محارم تواليت</v>
      </c>
      <c r="M147" s="36">
        <f t="shared" si="42"/>
        <v>7.5757575757575758E-5</v>
      </c>
      <c r="N147" s="37">
        <f t="shared" si="43"/>
        <v>6.8181818181818183</v>
      </c>
      <c r="O147" s="37">
        <f t="shared" si="44"/>
        <v>8.3333333333333339</v>
      </c>
      <c r="P147" s="38">
        <f t="shared" si="45"/>
        <v>5</v>
      </c>
      <c r="Q147" s="39">
        <f t="shared" si="46"/>
        <v>34.090909090909093</v>
      </c>
      <c r="R147" s="39">
        <f t="shared" si="47"/>
        <v>41.666666666666671</v>
      </c>
      <c r="S147">
        <f t="shared" si="48"/>
        <v>1</v>
      </c>
      <c r="T147" s="39">
        <f t="shared" si="49"/>
        <v>7.5757575757575779</v>
      </c>
      <c r="U147" t="str">
        <f t="shared" si="50"/>
        <v/>
      </c>
      <c r="V147">
        <f>IF(L147="","",IF($AO$1=1,IFERROR(MATCH(L147,'05-أيار'!$L$2:$L$501,0),0),0))</f>
        <v>0</v>
      </c>
      <c r="W147" t="str">
        <f t="shared" si="51"/>
        <v/>
      </c>
      <c r="X147" s="38" t="str">
        <f>IF(L147="","",IF(V147&gt;0,INDEX('05-أيار'!$P$2:$P$501,V147),IF($AO$1=1,0,"")))</f>
        <v/>
      </c>
      <c r="Y147" s="38" t="str">
        <f t="shared" si="52"/>
        <v/>
      </c>
      <c r="Z147" s="39" t="str">
        <f>IF(L147="","",IF(V147&gt;0,INDEX('05-أيار'!$Q$2:$Q$501,V147),IF($AO$1=1,0,"")))</f>
        <v/>
      </c>
      <c r="AA147" s="39" t="str">
        <f t="shared" si="53"/>
        <v/>
      </c>
      <c r="AB147" s="40" t="str">
        <f>IF(OR(L147="",V147=0),"",IF(AND(N(I147)&gt;0,N(INDEX('05-أيار'!$I$2:$I$501,V147))&gt;0,INDEX('05-أيار'!$F$2:$F$501,V147)=F147),N(I147)/N(INDEX('05-أيار'!$I$2:$I$501,V147))-1,""))</f>
        <v/>
      </c>
      <c r="AC147" t="str">
        <f>IF(L147="","",IF(AND($AO$2=1,ISNA(MATCH(L147,'07-تموز'!$L$2:$L$500,0))),"محذوف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>
        <f t="shared" si="55"/>
        <v>7.5757575757575779</v>
      </c>
      <c r="AI147" s="39">
        <f t="shared" si="56"/>
        <v>7.5757575757575779</v>
      </c>
      <c r="AJ147" s="39">
        <f t="shared" si="57"/>
        <v>7.5757575757575779</v>
      </c>
      <c r="AK147">
        <f t="shared" si="58"/>
        <v>34.090909237909095</v>
      </c>
      <c r="AL147">
        <f t="shared" si="59"/>
        <v>7.5757577227575776</v>
      </c>
    </row>
    <row r="148" spans="1:38" ht="15">
      <c r="A148" t="s">
        <v>415</v>
      </c>
      <c r="B148">
        <v>0</v>
      </c>
      <c r="C148">
        <v>0</v>
      </c>
      <c r="D148">
        <v>0</v>
      </c>
      <c r="E148">
        <v>0</v>
      </c>
      <c r="F148" t="s">
        <v>389</v>
      </c>
      <c r="G148" t="s">
        <v>178</v>
      </c>
      <c r="H148" t="s">
        <v>12</v>
      </c>
      <c r="I148">
        <v>0</v>
      </c>
      <c r="K148" t="str">
        <f t="shared" si="40"/>
        <v/>
      </c>
      <c r="L148" t="str">
        <f t="shared" si="41"/>
        <v>محارم تنشيف</v>
      </c>
      <c r="M148" s="36">
        <f t="shared" si="42"/>
        <v>7.5757575757575758E-5</v>
      </c>
      <c r="N148" s="37">
        <f t="shared" si="43"/>
        <v>0</v>
      </c>
      <c r="O148" s="37">
        <f t="shared" si="44"/>
        <v>0</v>
      </c>
      <c r="P148" s="38">
        <f t="shared" si="45"/>
        <v>0</v>
      </c>
      <c r="Q148" s="39">
        <f t="shared" si="46"/>
        <v>0</v>
      </c>
      <c r="R148" s="39">
        <f t="shared" si="47"/>
        <v>0</v>
      </c>
      <c r="S148">
        <f t="shared" si="48"/>
        <v>0</v>
      </c>
      <c r="T148" s="39">
        <f t="shared" si="49"/>
        <v>0</v>
      </c>
      <c r="U148" t="str">
        <f t="shared" si="50"/>
        <v/>
      </c>
      <c r="V148">
        <f>IF(L148="","",IF($AO$1=1,IFERROR(MATCH(L148,'05-أيار'!$L$2:$L$501,0),0),0))</f>
        <v>0</v>
      </c>
      <c r="W148" t="str">
        <f t="shared" si="51"/>
        <v/>
      </c>
      <c r="X148" s="38" t="str">
        <f>IF(L148="","",IF(V148&gt;0,INDEX('05-أيار'!$P$2:$P$501,V148),IF($AO$1=1,0,"")))</f>
        <v/>
      </c>
      <c r="Y148" s="38" t="str">
        <f t="shared" si="52"/>
        <v/>
      </c>
      <c r="Z148" s="39" t="str">
        <f>IF(L148="","",IF(V148&gt;0,INDEX('05-أيار'!$Q$2:$Q$501,V148),IF($AO$1=1,0,"")))</f>
        <v/>
      </c>
      <c r="AA148" s="39" t="str">
        <f t="shared" si="53"/>
        <v/>
      </c>
      <c r="AB148" s="40" t="str">
        <f>IF(OR(L148="",V148=0),"",IF(AND(N(I148)&gt;0,N(INDEX('05-أيار'!$I$2:$I$501,V148))&gt;0,INDEX('05-أيار'!$F$2:$F$501,V148)=F148),N(I148)/N(INDEX('05-أيار'!$I$2:$I$501,V148))-1,""))</f>
        <v/>
      </c>
      <c r="AC148" t="str">
        <f>IF(L148="","",IF(AND($AO$2=1,ISNA(MATCH(L148,'07-تموز'!$L$2:$L$500,0))),"محذوف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>
        <f t="shared" si="55"/>
        <v>0</v>
      </c>
      <c r="AI148" s="39">
        <f t="shared" si="56"/>
        <v>0</v>
      </c>
      <c r="AJ148" s="39">
        <f t="shared" si="57"/>
        <v>0</v>
      </c>
      <c r="AK148">
        <f t="shared" si="58"/>
        <v>1.48E-7</v>
      </c>
      <c r="AL148">
        <f t="shared" si="59"/>
        <v>1.48E-7</v>
      </c>
    </row>
    <row r="149" spans="1:38" ht="15">
      <c r="A149" t="s">
        <v>416</v>
      </c>
      <c r="B149">
        <v>0</v>
      </c>
      <c r="C149">
        <v>110000</v>
      </c>
      <c r="D149">
        <v>110000</v>
      </c>
      <c r="E149">
        <v>110000</v>
      </c>
      <c r="F149" t="s">
        <v>389</v>
      </c>
      <c r="G149" t="s">
        <v>178</v>
      </c>
      <c r="H149" t="s">
        <v>12</v>
      </c>
      <c r="I149">
        <v>100000</v>
      </c>
      <c r="K149" t="str">
        <f t="shared" si="40"/>
        <v/>
      </c>
      <c r="L149" t="str">
        <f t="shared" si="41"/>
        <v>محارم الكرزة</v>
      </c>
      <c r="M149" s="36">
        <f t="shared" si="42"/>
        <v>7.5757575757575758E-5</v>
      </c>
      <c r="N149" s="37">
        <f t="shared" si="43"/>
        <v>7.5757575757575761</v>
      </c>
      <c r="O149" s="37">
        <f t="shared" si="44"/>
        <v>8.3333333333333339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IF(L149="","",IF($AO$1=1,IFERROR(MATCH(L149,'05-أيار'!$L$2:$L$501,0),0),0))</f>
        <v>0</v>
      </c>
      <c r="W149" t="str">
        <f t="shared" si="51"/>
        <v/>
      </c>
      <c r="X149" s="38" t="str">
        <f>IF(L149="","",IF(V149&gt;0,INDEX('05-أيار'!$P$2:$P$501,V149),IF($AO$1=1,0,"")))</f>
        <v/>
      </c>
      <c r="Y149" s="38" t="str">
        <f t="shared" si="52"/>
        <v/>
      </c>
      <c r="Z149" s="39" t="str">
        <f>IF(L149="","",IF(V149&gt;0,INDEX('05-أيار'!$Q$2:$Q$501,V149),IF($AO$1=1,0,"")))</f>
        <v/>
      </c>
      <c r="AA149" s="39" t="str">
        <f t="shared" si="53"/>
        <v/>
      </c>
      <c r="AB149" s="40" t="str">
        <f>IF(OR(L149="",V149=0),"",IF(AND(N(I149)&gt;0,N(INDEX('05-أيار'!$I$2:$I$501,V149))&gt;0,INDEX('05-أيار'!$F$2:$F$501,V149)=F149),N(I149)/N(INDEX('05-أيار'!$I$2:$I$501,V149))-1,""))</f>
        <v/>
      </c>
      <c r="AC149" t="str">
        <f>IF(L149="","",IF(AND($AO$2=1,ISNA(MATCH(L149,'07-تموز'!$L$2:$L$500,0))),"محذوف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417</v>
      </c>
      <c r="B150">
        <v>0</v>
      </c>
      <c r="C150">
        <v>336000</v>
      </c>
      <c r="D150">
        <v>336000</v>
      </c>
      <c r="E150">
        <v>336000</v>
      </c>
      <c r="F150" t="s">
        <v>389</v>
      </c>
      <c r="G150" t="s">
        <v>178</v>
      </c>
      <c r="H150" t="s">
        <v>12</v>
      </c>
      <c r="I150">
        <v>307000</v>
      </c>
      <c r="K150" t="str">
        <f t="shared" si="40"/>
        <v/>
      </c>
      <c r="L150" t="str">
        <f t="shared" si="41"/>
        <v>مبيد حشري بار بار</v>
      </c>
      <c r="M150" s="36">
        <f t="shared" si="42"/>
        <v>7.5757575757575758E-5</v>
      </c>
      <c r="N150" s="37">
        <f t="shared" si="43"/>
        <v>23.257575757575758</v>
      </c>
      <c r="O150" s="37">
        <f t="shared" si="44"/>
        <v>25.454545454545453</v>
      </c>
      <c r="P150" s="38">
        <f t="shared" si="45"/>
        <v>0</v>
      </c>
      <c r="Q150" s="39">
        <f t="shared" si="46"/>
        <v>0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IF(L150="","",IF($AO$1=1,IFERROR(MATCH(L150,'05-أيار'!$L$2:$L$501,0),0),0))</f>
        <v>0</v>
      </c>
      <c r="W150" t="str">
        <f t="shared" si="51"/>
        <v/>
      </c>
      <c r="X150" s="38" t="str">
        <f>IF(L150="","",IF(V150&gt;0,INDEX('05-أيار'!$P$2:$P$501,V150),IF($AO$1=1,0,"")))</f>
        <v/>
      </c>
      <c r="Y150" s="38" t="str">
        <f t="shared" si="52"/>
        <v/>
      </c>
      <c r="Z150" s="39" t="str">
        <f>IF(L150="","",IF(V150&gt;0,INDEX('05-أيار'!$Q$2:$Q$501,V150),IF($AO$1=1,0,"")))</f>
        <v/>
      </c>
      <c r="AA150" s="39" t="str">
        <f t="shared" si="53"/>
        <v/>
      </c>
      <c r="AB150" s="40" t="str">
        <f>IF(OR(L150="",V150=0),"",IF(AND(N(I150)&gt;0,N(INDEX('05-أيار'!$I$2:$I$501,V150))&gt;0,INDEX('05-أيار'!$F$2:$F$501,V150)=F150),N(I150)/N(INDEX('05-أيار'!$I$2:$I$501,V150))-1,""))</f>
        <v/>
      </c>
      <c r="AC150" t="str">
        <f>IF(L150="","",IF(AND($AO$2=1,ISNA(MATCH(L150,'07-تموز'!$L$2:$L$500,0))),"محذوف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1.4999999999999999E-7</v>
      </c>
      <c r="AL150">
        <f t="shared" si="59"/>
        <v>1.4999999999999999E-7</v>
      </c>
    </row>
    <row r="151" spans="1:38" ht="15">
      <c r="A151" t="s">
        <v>418</v>
      </c>
      <c r="B151">
        <v>0.5</v>
      </c>
      <c r="C151">
        <v>216000</v>
      </c>
      <c r="D151">
        <v>216000</v>
      </c>
      <c r="E151">
        <v>216000</v>
      </c>
      <c r="F151" t="s">
        <v>389</v>
      </c>
      <c r="G151" t="s">
        <v>178</v>
      </c>
      <c r="H151" t="s">
        <v>12</v>
      </c>
      <c r="I151">
        <v>156000</v>
      </c>
      <c r="K151" t="str">
        <f t="shared" si="40"/>
        <v/>
      </c>
      <c r="L151" t="str">
        <f t="shared" si="41"/>
        <v>ليف جلي ثلاثية</v>
      </c>
      <c r="M151" s="36">
        <f t="shared" si="42"/>
        <v>7.5757575757575758E-5</v>
      </c>
      <c r="N151" s="37">
        <f t="shared" si="43"/>
        <v>11.818181818181818</v>
      </c>
      <c r="O151" s="37">
        <f t="shared" si="44"/>
        <v>16.363636363636363</v>
      </c>
      <c r="P151" s="38">
        <f t="shared" si="45"/>
        <v>0.5</v>
      </c>
      <c r="Q151" s="39">
        <f t="shared" si="46"/>
        <v>5.9090909090909092</v>
      </c>
      <c r="R151" s="39">
        <f t="shared" si="47"/>
        <v>8.1818181818181817</v>
      </c>
      <c r="S151">
        <f t="shared" si="48"/>
        <v>1</v>
      </c>
      <c r="T151" s="39">
        <f t="shared" si="49"/>
        <v>2.2727272727272725</v>
      </c>
      <c r="U151" t="str">
        <f t="shared" si="50"/>
        <v/>
      </c>
      <c r="V151">
        <f>IF(L151="","",IF($AO$1=1,IFERROR(MATCH(L151,'05-أيار'!$L$2:$L$501,0),0),0))</f>
        <v>0</v>
      </c>
      <c r="W151" t="str">
        <f t="shared" si="51"/>
        <v/>
      </c>
      <c r="X151" s="38" t="str">
        <f>IF(L151="","",IF(V151&gt;0,INDEX('05-أيار'!$P$2:$P$501,V151),IF($AO$1=1,0,"")))</f>
        <v/>
      </c>
      <c r="Y151" s="38" t="str">
        <f t="shared" si="52"/>
        <v/>
      </c>
      <c r="Z151" s="39" t="str">
        <f>IF(L151="","",IF(V151&gt;0,INDEX('05-أيار'!$Q$2:$Q$501,V151),IF($AO$1=1,0,"")))</f>
        <v/>
      </c>
      <c r="AA151" s="39" t="str">
        <f t="shared" si="53"/>
        <v/>
      </c>
      <c r="AB151" s="40" t="str">
        <f>IF(OR(L151="",V151=0),"",IF(AND(N(I151)&gt;0,N(INDEX('05-أيار'!$I$2:$I$501,V151))&gt;0,INDEX('05-أيار'!$F$2:$F$501,V151)=F151),N(I151)/N(INDEX('05-أيار'!$I$2:$I$501,V151))-1,""))</f>
        <v/>
      </c>
      <c r="AC151" t="str">
        <f>IF(L151="","",IF(AND($AO$2=1,ISNA(MATCH(L151,'07-تموز'!$L$2:$L$500,0))),"محذوف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>
        <f t="shared" si="55"/>
        <v>2.2727272727272725</v>
      </c>
      <c r="AI151" s="39">
        <f t="shared" si="56"/>
        <v>2.2727272727272725</v>
      </c>
      <c r="AJ151" s="39">
        <f t="shared" si="57"/>
        <v>2.2727272727272725</v>
      </c>
      <c r="AK151">
        <f t="shared" si="58"/>
        <v>5.9090910600909092</v>
      </c>
      <c r="AL151">
        <f t="shared" si="59"/>
        <v>2.2727274237272725</v>
      </c>
    </row>
    <row r="152" spans="1:38" ht="15">
      <c r="A152" t="s">
        <v>419</v>
      </c>
      <c r="B152">
        <v>2</v>
      </c>
      <c r="C152">
        <v>100000</v>
      </c>
      <c r="D152">
        <v>100000</v>
      </c>
      <c r="E152">
        <v>100000</v>
      </c>
      <c r="F152" t="s">
        <v>389</v>
      </c>
      <c r="G152" t="s">
        <v>178</v>
      </c>
      <c r="H152" t="s">
        <v>12</v>
      </c>
      <c r="I152">
        <v>90000</v>
      </c>
      <c r="K152" t="str">
        <f t="shared" si="40"/>
        <v/>
      </c>
      <c r="L152" t="str">
        <f t="shared" si="41"/>
        <v>ليف اسفنج</v>
      </c>
      <c r="M152" s="36">
        <f t="shared" si="42"/>
        <v>7.5757575757575758E-5</v>
      </c>
      <c r="N152" s="37">
        <f t="shared" si="43"/>
        <v>6.8181818181818183</v>
      </c>
      <c r="O152" s="37">
        <f t="shared" si="44"/>
        <v>7.5757575757575761</v>
      </c>
      <c r="P152" s="38">
        <f t="shared" si="45"/>
        <v>2</v>
      </c>
      <c r="Q152" s="39">
        <f t="shared" si="46"/>
        <v>13.636363636363637</v>
      </c>
      <c r="R152" s="39">
        <f t="shared" si="47"/>
        <v>15.151515151515152</v>
      </c>
      <c r="S152">
        <f t="shared" si="48"/>
        <v>1</v>
      </c>
      <c r="T152" s="39">
        <f t="shared" si="49"/>
        <v>1.5151515151515156</v>
      </c>
      <c r="U152" t="str">
        <f t="shared" si="50"/>
        <v/>
      </c>
      <c r="V152">
        <f>IF(L152="","",IF($AO$1=1,IFERROR(MATCH(L152,'05-أيار'!$L$2:$L$501,0),0),0))</f>
        <v>0</v>
      </c>
      <c r="W152" t="str">
        <f t="shared" si="51"/>
        <v/>
      </c>
      <c r="X152" s="38" t="str">
        <f>IF(L152="","",IF(V152&gt;0,INDEX('05-أيار'!$P$2:$P$501,V152),IF($AO$1=1,0,"")))</f>
        <v/>
      </c>
      <c r="Y152" s="38" t="str">
        <f t="shared" si="52"/>
        <v/>
      </c>
      <c r="Z152" s="39" t="str">
        <f>IF(L152="","",IF(V152&gt;0,INDEX('05-أيار'!$Q$2:$Q$501,V152),IF($AO$1=1,0,"")))</f>
        <v/>
      </c>
      <c r="AA152" s="39" t="str">
        <f t="shared" si="53"/>
        <v/>
      </c>
      <c r="AB152" s="40" t="str">
        <f>IF(OR(L152="",V152=0),"",IF(AND(N(I152)&gt;0,N(INDEX('05-أيار'!$I$2:$I$501,V152))&gt;0,INDEX('05-أيار'!$F$2:$F$501,V152)=F152),N(I152)/N(INDEX('05-أيار'!$I$2:$I$501,V152))-1,""))</f>
        <v/>
      </c>
      <c r="AC152" t="str">
        <f>IF(L152="","",IF(AND($AO$2=1,ISNA(MATCH(L152,'07-تموز'!$L$2:$L$500,0))),"محذوف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>
        <f t="shared" si="55"/>
        <v>1.5151515151515156</v>
      </c>
      <c r="AI152" s="39">
        <f t="shared" si="56"/>
        <v>1.5151515151515156</v>
      </c>
      <c r="AJ152" s="39">
        <f t="shared" si="57"/>
        <v>1.5151515151515156</v>
      </c>
      <c r="AK152">
        <f t="shared" si="58"/>
        <v>13.636363788363637</v>
      </c>
      <c r="AL152">
        <f t="shared" si="59"/>
        <v>1.5151516671515155</v>
      </c>
    </row>
    <row r="153" spans="1:38" ht="15">
      <c r="A153" t="s">
        <v>420</v>
      </c>
      <c r="B153">
        <v>0</v>
      </c>
      <c r="C153">
        <v>170000</v>
      </c>
      <c r="D153">
        <v>170000</v>
      </c>
      <c r="E153">
        <v>170000</v>
      </c>
      <c r="F153" t="s">
        <v>389</v>
      </c>
      <c r="G153" t="s">
        <v>178</v>
      </c>
      <c r="H153" t="s">
        <v>12</v>
      </c>
      <c r="I153">
        <v>82000</v>
      </c>
      <c r="K153" t="str">
        <f t="shared" si="40"/>
        <v/>
      </c>
      <c r="L153" t="str">
        <f t="shared" si="41"/>
        <v>لوح صابون مسك</v>
      </c>
      <c r="M153" s="36">
        <f t="shared" si="42"/>
        <v>7.5757575757575758E-5</v>
      </c>
      <c r="N153" s="37">
        <f t="shared" si="43"/>
        <v>6.2121212121212119</v>
      </c>
      <c r="O153" s="37">
        <f t="shared" si="44"/>
        <v>12.878787878787879</v>
      </c>
      <c r="P153" s="38">
        <f t="shared" si="45"/>
        <v>0</v>
      </c>
      <c r="Q153" s="39">
        <f t="shared" si="46"/>
        <v>0</v>
      </c>
      <c r="R153" s="39">
        <f t="shared" si="47"/>
        <v>0</v>
      </c>
      <c r="S153">
        <f t="shared" si="48"/>
        <v>0</v>
      </c>
      <c r="T153" s="39">
        <f t="shared" si="49"/>
        <v>0</v>
      </c>
      <c r="U153" t="str">
        <f t="shared" si="50"/>
        <v/>
      </c>
      <c r="V153">
        <f>IF(L153="","",IF($AO$1=1,IFERROR(MATCH(L153,'05-أيار'!$L$2:$L$501,0),0),0))</f>
        <v>0</v>
      </c>
      <c r="W153" t="str">
        <f t="shared" si="51"/>
        <v/>
      </c>
      <c r="X153" s="38" t="str">
        <f>IF(L153="","",IF(V153&gt;0,INDEX('05-أيار'!$P$2:$P$501,V153),IF($AO$1=1,0,"")))</f>
        <v/>
      </c>
      <c r="Y153" s="38" t="str">
        <f t="shared" si="52"/>
        <v/>
      </c>
      <c r="Z153" s="39" t="str">
        <f>IF(L153="","",IF(V153&gt;0,INDEX('05-أيار'!$Q$2:$Q$501,V153),IF($AO$1=1,0,"")))</f>
        <v/>
      </c>
      <c r="AA153" s="39" t="str">
        <f t="shared" si="53"/>
        <v/>
      </c>
      <c r="AB153" s="40" t="str">
        <f>IF(OR(L153="",V153=0),"",IF(AND(N(I153)&gt;0,N(INDEX('05-أيار'!$I$2:$I$501,V153))&gt;0,INDEX('05-أيار'!$F$2:$F$501,V153)=F153),N(I153)/N(INDEX('05-أيار'!$I$2:$I$501,V153))-1,""))</f>
        <v/>
      </c>
      <c r="AC153" t="str">
        <f>IF(L153="","",IF(AND($AO$2=1,ISNA(MATCH(L153,'07-تموز'!$L$2:$L$500,0))),"محذوف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>
        <f t="shared" si="55"/>
        <v>0</v>
      </c>
      <c r="AI153" s="39">
        <f t="shared" si="56"/>
        <v>0</v>
      </c>
      <c r="AJ153" s="39">
        <f t="shared" si="57"/>
        <v>0</v>
      </c>
      <c r="AK153">
        <f t="shared" si="58"/>
        <v>1.5300000000000001E-7</v>
      </c>
      <c r="AL153">
        <f t="shared" si="59"/>
        <v>1.5300000000000001E-7</v>
      </c>
    </row>
    <row r="154" spans="1:38" ht="15">
      <c r="A154" t="s">
        <v>421</v>
      </c>
      <c r="B154">
        <v>0</v>
      </c>
      <c r="C154">
        <v>0</v>
      </c>
      <c r="D154">
        <v>0</v>
      </c>
      <c r="E154">
        <v>0</v>
      </c>
      <c r="F154" t="s">
        <v>389</v>
      </c>
      <c r="G154" t="s">
        <v>178</v>
      </c>
      <c r="H154" t="s">
        <v>176</v>
      </c>
      <c r="I154">
        <v>275</v>
      </c>
      <c r="K154" t="str">
        <f t="shared" si="40"/>
        <v/>
      </c>
      <c r="L154" t="str">
        <f t="shared" si="41"/>
        <v>لصاقة طابعة</v>
      </c>
      <c r="M154" s="36">
        <f t="shared" si="42"/>
        <v>7.5757575757575758E-5</v>
      </c>
      <c r="N154" s="37">
        <f t="shared" si="43"/>
        <v>2.0833333333333332E-2</v>
      </c>
      <c r="O154" s="37">
        <f t="shared" si="44"/>
        <v>0</v>
      </c>
      <c r="P154" s="38">
        <f t="shared" si="45"/>
        <v>0</v>
      </c>
      <c r="Q154" s="39">
        <f t="shared" si="46"/>
        <v>0</v>
      </c>
      <c r="R154" s="39">
        <f t="shared" si="47"/>
        <v>0</v>
      </c>
      <c r="S154">
        <f t="shared" si="48"/>
        <v>0</v>
      </c>
      <c r="T154" s="39">
        <f t="shared" si="49"/>
        <v>0</v>
      </c>
      <c r="U154" t="str">
        <f t="shared" si="50"/>
        <v/>
      </c>
      <c r="V154">
        <f>IF(L154="","",IF($AO$1=1,IFERROR(MATCH(L154,'05-أيار'!$L$2:$L$501,0),0),0))</f>
        <v>0</v>
      </c>
      <c r="W154" t="str">
        <f t="shared" si="51"/>
        <v/>
      </c>
      <c r="X154" s="38" t="str">
        <f>IF(L154="","",IF(V154&gt;0,INDEX('05-أيار'!$P$2:$P$501,V154),IF($AO$1=1,0,"")))</f>
        <v/>
      </c>
      <c r="Y154" s="38" t="str">
        <f t="shared" si="52"/>
        <v/>
      </c>
      <c r="Z154" s="39" t="str">
        <f>IF(L154="","",IF(V154&gt;0,INDEX('05-أيار'!$Q$2:$Q$501,V154),IF($AO$1=1,0,"")))</f>
        <v/>
      </c>
      <c r="AA154" s="39" t="str">
        <f t="shared" si="53"/>
        <v/>
      </c>
      <c r="AB154" s="40" t="str">
        <f>IF(OR(L154="",V154=0),"",IF(AND(N(I154)&gt;0,N(INDEX('05-أيار'!$I$2:$I$501,V154))&gt;0,INDEX('05-أيار'!$F$2:$F$501,V154)=F154),N(I154)/N(INDEX('05-أيار'!$I$2:$I$501,V154))-1,""))</f>
        <v/>
      </c>
      <c r="AC154" t="str">
        <f>IF(L154="","",IF(AND($AO$2=1,ISNA(MATCH(L154,'07-تموز'!$L$2:$L$500,0))),"محذوف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>
        <f t="shared" si="55"/>
        <v>0</v>
      </c>
      <c r="AI154" s="39">
        <f t="shared" si="56"/>
        <v>0</v>
      </c>
      <c r="AJ154" s="39">
        <f t="shared" si="57"/>
        <v>0</v>
      </c>
      <c r="AK154">
        <f t="shared" si="58"/>
        <v>1.54E-7</v>
      </c>
      <c r="AL154">
        <f t="shared" si="59"/>
        <v>1.54E-7</v>
      </c>
    </row>
    <row r="155" spans="1:38" ht="15">
      <c r="A155" t="s">
        <v>422</v>
      </c>
      <c r="B155">
        <v>0</v>
      </c>
      <c r="C155">
        <v>0</v>
      </c>
      <c r="D155">
        <v>0</v>
      </c>
      <c r="E155">
        <v>0</v>
      </c>
      <c r="F155" t="s">
        <v>389</v>
      </c>
      <c r="G155" t="s">
        <v>178</v>
      </c>
      <c r="H155" t="s">
        <v>12</v>
      </c>
      <c r="I155">
        <v>0</v>
      </c>
      <c r="K155" t="str">
        <f t="shared" si="40"/>
        <v/>
      </c>
      <c r="L155" t="str">
        <f t="shared" si="41"/>
        <v>لاصق</v>
      </c>
      <c r="M155" s="36">
        <f t="shared" si="42"/>
        <v>7.5757575757575758E-5</v>
      </c>
      <c r="N155" s="37">
        <f t="shared" si="43"/>
        <v>0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IF(L155="","",IF($AO$1=1,IFERROR(MATCH(L155,'05-أيار'!$L$2:$L$501,0),0),0))</f>
        <v>0</v>
      </c>
      <c r="W155" t="str">
        <f t="shared" si="51"/>
        <v/>
      </c>
      <c r="X155" s="38" t="str">
        <f>IF(L155="","",IF(V155&gt;0,INDEX('05-أيار'!$P$2:$P$501,V155),IF($AO$1=1,0,"")))</f>
        <v/>
      </c>
      <c r="Y155" s="38" t="str">
        <f t="shared" si="52"/>
        <v/>
      </c>
      <c r="Z155" s="39" t="str">
        <f>IF(L155="","",IF(V155&gt;0,INDEX('05-أيار'!$Q$2:$Q$501,V155),IF($AO$1=1,0,"")))</f>
        <v/>
      </c>
      <c r="AA155" s="39" t="str">
        <f t="shared" si="53"/>
        <v/>
      </c>
      <c r="AB155" s="40" t="str">
        <f>IF(OR(L155="",V155=0),"",IF(AND(N(I155)&gt;0,N(INDEX('05-أيار'!$I$2:$I$501,V155))&gt;0,INDEX('05-أيار'!$F$2:$F$501,V155)=F155),N(I155)/N(INDEX('05-أيار'!$I$2:$I$501,V155))-1,""))</f>
        <v/>
      </c>
      <c r="AC155" t="str">
        <f>IF(L155="","",IF(AND($AO$2=1,ISNA(MATCH(L155,'07-تموز'!$L$2:$L$500,0))),"محذوف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423</v>
      </c>
      <c r="B156">
        <v>1</v>
      </c>
      <c r="C156">
        <v>30000</v>
      </c>
      <c r="D156">
        <v>30000</v>
      </c>
      <c r="E156">
        <v>30000</v>
      </c>
      <c r="F156" t="s">
        <v>389</v>
      </c>
      <c r="G156" t="s">
        <v>178</v>
      </c>
      <c r="H156" t="s">
        <v>12</v>
      </c>
      <c r="I156">
        <v>20000</v>
      </c>
      <c r="K156" t="str">
        <f t="shared" si="40"/>
        <v/>
      </c>
      <c r="L156" t="str">
        <f t="shared" si="41"/>
        <v>كياس نايلون</v>
      </c>
      <c r="M156" s="36">
        <f t="shared" si="42"/>
        <v>7.5757575757575758E-5</v>
      </c>
      <c r="N156" s="37">
        <f t="shared" si="43"/>
        <v>1.5151515151515151</v>
      </c>
      <c r="O156" s="37">
        <f t="shared" si="44"/>
        <v>2.2727272727272729</v>
      </c>
      <c r="P156" s="38">
        <f t="shared" si="45"/>
        <v>1</v>
      </c>
      <c r="Q156" s="39">
        <f t="shared" si="46"/>
        <v>1.5151515151515151</v>
      </c>
      <c r="R156" s="39">
        <f t="shared" si="47"/>
        <v>2.2727272727272729</v>
      </c>
      <c r="S156">
        <f t="shared" si="48"/>
        <v>1</v>
      </c>
      <c r="T156" s="39">
        <f t="shared" si="49"/>
        <v>0.75757575757575779</v>
      </c>
      <c r="U156" t="str">
        <f t="shared" si="50"/>
        <v/>
      </c>
      <c r="V156">
        <f>IF(L156="","",IF($AO$1=1,IFERROR(MATCH(L156,'05-أيار'!$L$2:$L$501,0),0),0))</f>
        <v>0</v>
      </c>
      <c r="W156" t="str">
        <f t="shared" si="51"/>
        <v/>
      </c>
      <c r="X156" s="38" t="str">
        <f>IF(L156="","",IF(V156&gt;0,INDEX('05-أيار'!$P$2:$P$501,V156),IF($AO$1=1,0,"")))</f>
        <v/>
      </c>
      <c r="Y156" s="38" t="str">
        <f t="shared" si="52"/>
        <v/>
      </c>
      <c r="Z156" s="39" t="str">
        <f>IF(L156="","",IF(V156&gt;0,INDEX('05-أيار'!$Q$2:$Q$501,V156),IF($AO$1=1,0,"")))</f>
        <v/>
      </c>
      <c r="AA156" s="39" t="str">
        <f t="shared" si="53"/>
        <v/>
      </c>
      <c r="AB156" s="40" t="str">
        <f>IF(OR(L156="",V156=0),"",IF(AND(N(I156)&gt;0,N(INDEX('05-أيار'!$I$2:$I$501,V156))&gt;0,INDEX('05-أيار'!$F$2:$F$501,V156)=F156),N(I156)/N(INDEX('05-أيار'!$I$2:$I$501,V156))-1,""))</f>
        <v/>
      </c>
      <c r="AC156" t="str">
        <f>IF(L156="","",IF(AND($AO$2=1,ISNA(MATCH(L156,'07-تموز'!$L$2:$L$500,0))),"محذوف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>
        <f t="shared" si="55"/>
        <v>0.75757575757575779</v>
      </c>
      <c r="AI156" s="39">
        <f t="shared" si="56"/>
        <v>0.75757575757575779</v>
      </c>
      <c r="AJ156" s="39">
        <f t="shared" si="57"/>
        <v>0.75757575757575779</v>
      </c>
      <c r="AK156">
        <f t="shared" si="58"/>
        <v>1.5151516711515152</v>
      </c>
      <c r="AL156">
        <f t="shared" si="59"/>
        <v>0.75757591357575782</v>
      </c>
    </row>
    <row r="157" spans="1:38" ht="15">
      <c r="A157" t="s">
        <v>424</v>
      </c>
      <c r="B157">
        <v>0</v>
      </c>
      <c r="C157">
        <v>0</v>
      </c>
      <c r="D157">
        <v>0</v>
      </c>
      <c r="E157">
        <v>0</v>
      </c>
      <c r="F157" t="s">
        <v>389</v>
      </c>
      <c r="G157" t="s">
        <v>178</v>
      </c>
      <c r="H157" t="s">
        <v>12</v>
      </c>
      <c r="I157">
        <v>22500</v>
      </c>
      <c r="K157" t="str">
        <f t="shared" si="40"/>
        <v/>
      </c>
      <c r="L157" t="str">
        <f t="shared" si="41"/>
        <v>كياس قمامة</v>
      </c>
      <c r="M157" s="36">
        <f t="shared" si="42"/>
        <v>7.5757575757575758E-5</v>
      </c>
      <c r="N157" s="37">
        <f t="shared" si="43"/>
        <v>1.7045454545454546</v>
      </c>
      <c r="O157" s="37">
        <f t="shared" si="44"/>
        <v>0</v>
      </c>
      <c r="P157" s="38">
        <f t="shared" si="45"/>
        <v>0</v>
      </c>
      <c r="Q157" s="39">
        <f t="shared" si="46"/>
        <v>0</v>
      </c>
      <c r="R157" s="39">
        <f t="shared" si="47"/>
        <v>0</v>
      </c>
      <c r="S157">
        <f t="shared" si="48"/>
        <v>0</v>
      </c>
      <c r="T157" s="39">
        <f t="shared" si="49"/>
        <v>0</v>
      </c>
      <c r="U157" t="str">
        <f t="shared" si="50"/>
        <v/>
      </c>
      <c r="V157">
        <f>IF(L157="","",IF($AO$1=1,IFERROR(MATCH(L157,'05-أيار'!$L$2:$L$501,0),0),0))</f>
        <v>0</v>
      </c>
      <c r="W157" t="str">
        <f t="shared" si="51"/>
        <v/>
      </c>
      <c r="X157" s="38" t="str">
        <f>IF(L157="","",IF(V157&gt;0,INDEX('05-أيار'!$P$2:$P$501,V157),IF($AO$1=1,0,"")))</f>
        <v/>
      </c>
      <c r="Y157" s="38" t="str">
        <f t="shared" si="52"/>
        <v/>
      </c>
      <c r="Z157" s="39" t="str">
        <f>IF(L157="","",IF(V157&gt;0,INDEX('05-أيار'!$Q$2:$Q$501,V157),IF($AO$1=1,0,"")))</f>
        <v/>
      </c>
      <c r="AA157" s="39" t="str">
        <f t="shared" si="53"/>
        <v/>
      </c>
      <c r="AB157" s="40" t="str">
        <f>IF(OR(L157="",V157=0),"",IF(AND(N(I157)&gt;0,N(INDEX('05-أيار'!$I$2:$I$501,V157))&gt;0,INDEX('05-أيار'!$F$2:$F$501,V157)=F157),N(I157)/N(INDEX('05-أيار'!$I$2:$I$501,V157))-1,""))</f>
        <v/>
      </c>
      <c r="AC157" t="str">
        <f>IF(L157="","",IF(AND($AO$2=1,ISNA(MATCH(L157,'07-تموز'!$L$2:$L$500,0))),"محذوف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>
        <f t="shared" si="55"/>
        <v>0</v>
      </c>
      <c r="AI157" s="39">
        <f t="shared" si="56"/>
        <v>0</v>
      </c>
      <c r="AJ157" s="39">
        <f t="shared" si="57"/>
        <v>0</v>
      </c>
      <c r="AK157">
        <f t="shared" si="58"/>
        <v>1.5699999999999999E-7</v>
      </c>
      <c r="AL157">
        <f t="shared" si="59"/>
        <v>1.5699999999999999E-7</v>
      </c>
    </row>
    <row r="158" spans="1:38" ht="15">
      <c r="A158" t="s">
        <v>425</v>
      </c>
      <c r="B158">
        <v>0</v>
      </c>
      <c r="C158">
        <v>13000</v>
      </c>
      <c r="D158">
        <v>13000</v>
      </c>
      <c r="E158">
        <v>13000</v>
      </c>
      <c r="F158" t="s">
        <v>389</v>
      </c>
      <c r="G158" t="s">
        <v>178</v>
      </c>
      <c r="H158" t="s">
        <v>12</v>
      </c>
      <c r="I158">
        <v>11000</v>
      </c>
      <c r="K158" t="str">
        <f t="shared" si="40"/>
        <v/>
      </c>
      <c r="L158" t="str">
        <f t="shared" si="41"/>
        <v>كمامات</v>
      </c>
      <c r="M158" s="36">
        <f t="shared" si="42"/>
        <v>7.5757575757575758E-5</v>
      </c>
      <c r="N158" s="37">
        <f t="shared" si="43"/>
        <v>0.83333333333333337</v>
      </c>
      <c r="O158" s="37">
        <f t="shared" si="44"/>
        <v>0.98484848484848486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IF(L158="","",IF($AO$1=1,IFERROR(MATCH(L158,'05-أيار'!$L$2:$L$501,0),0),0))</f>
        <v>0</v>
      </c>
      <c r="W158" t="str">
        <f t="shared" si="51"/>
        <v/>
      </c>
      <c r="X158" s="38" t="str">
        <f>IF(L158="","",IF(V158&gt;0,INDEX('05-أيار'!$P$2:$P$501,V158),IF($AO$1=1,0,"")))</f>
        <v/>
      </c>
      <c r="Y158" s="38" t="str">
        <f t="shared" si="52"/>
        <v/>
      </c>
      <c r="Z158" s="39" t="str">
        <f>IF(L158="","",IF(V158&gt;0,INDEX('05-أيار'!$Q$2:$Q$501,V158),IF($AO$1=1,0,"")))</f>
        <v/>
      </c>
      <c r="AA158" s="39" t="str">
        <f t="shared" si="53"/>
        <v/>
      </c>
      <c r="AB158" s="40" t="str">
        <f>IF(OR(L158="",V158=0),"",IF(AND(N(I158)&gt;0,N(INDEX('05-أيار'!$I$2:$I$501,V158))&gt;0,INDEX('05-أيار'!$F$2:$F$501,V158)=F158),N(I158)/N(INDEX('05-أيار'!$I$2:$I$501,V158))-1,""))</f>
        <v/>
      </c>
      <c r="AC158" t="str">
        <f>IF(L158="","",IF(AND($AO$2=1,ISNA(MATCH(L158,'07-تموز'!$L$2:$L$500,0))),"محذوف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426</v>
      </c>
      <c r="B159">
        <v>67</v>
      </c>
      <c r="C159">
        <v>16000</v>
      </c>
      <c r="D159">
        <v>16000</v>
      </c>
      <c r="E159">
        <v>16000</v>
      </c>
      <c r="F159" t="s">
        <v>389</v>
      </c>
      <c r="G159" t="s">
        <v>178</v>
      </c>
      <c r="H159" t="s">
        <v>12</v>
      </c>
      <c r="I159">
        <v>5700</v>
      </c>
      <c r="K159" t="str">
        <f t="shared" si="40"/>
        <v/>
      </c>
      <c r="L159" t="str">
        <f t="shared" si="41"/>
        <v>كلور 4 لتر</v>
      </c>
      <c r="M159" s="36">
        <f t="shared" si="42"/>
        <v>7.5757575757575758E-5</v>
      </c>
      <c r="N159" s="37">
        <f t="shared" si="43"/>
        <v>0.43181818181818182</v>
      </c>
      <c r="O159" s="37">
        <f t="shared" si="44"/>
        <v>1.2121212121212122</v>
      </c>
      <c r="P159" s="38">
        <f t="shared" si="45"/>
        <v>67</v>
      </c>
      <c r="Q159" s="39">
        <f t="shared" si="46"/>
        <v>28.931818181818183</v>
      </c>
      <c r="R159" s="39">
        <f t="shared" si="47"/>
        <v>81.212121212121218</v>
      </c>
      <c r="S159">
        <f t="shared" si="48"/>
        <v>1</v>
      </c>
      <c r="T159" s="39">
        <f t="shared" si="49"/>
        <v>52.280303030303031</v>
      </c>
      <c r="U159" t="str">
        <f t="shared" si="50"/>
        <v/>
      </c>
      <c r="V159">
        <f>IF(L159="","",IF($AO$1=1,IFERROR(MATCH(L159,'05-أيار'!$L$2:$L$501,0),0),0))</f>
        <v>0</v>
      </c>
      <c r="W159" t="str">
        <f t="shared" si="51"/>
        <v/>
      </c>
      <c r="X159" s="38" t="str">
        <f>IF(L159="","",IF(V159&gt;0,INDEX('05-أيار'!$P$2:$P$501,V159),IF($AO$1=1,0,"")))</f>
        <v/>
      </c>
      <c r="Y159" s="38" t="str">
        <f t="shared" si="52"/>
        <v/>
      </c>
      <c r="Z159" s="39" t="str">
        <f>IF(L159="","",IF(V159&gt;0,INDEX('05-أيار'!$Q$2:$Q$501,V159),IF($AO$1=1,0,"")))</f>
        <v/>
      </c>
      <c r="AA159" s="39" t="str">
        <f t="shared" si="53"/>
        <v/>
      </c>
      <c r="AB159" s="40" t="str">
        <f>IF(OR(L159="",V159=0),"",IF(AND(N(I159)&gt;0,N(INDEX('05-أيار'!$I$2:$I$501,V159))&gt;0,INDEX('05-أيار'!$F$2:$F$501,V159)=F159),N(I159)/N(INDEX('05-أيار'!$I$2:$I$501,V159))-1,""))</f>
        <v/>
      </c>
      <c r="AC159" t="str">
        <f>IF(L159="","",IF(AND($AO$2=1,ISNA(MATCH(L159,'07-تموز'!$L$2:$L$500,0))),"محذوف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>
        <f t="shared" si="55"/>
        <v>52.280303030303031</v>
      </c>
      <c r="AI159" s="39">
        <f t="shared" si="56"/>
        <v>52.280303030303031</v>
      </c>
      <c r="AJ159" s="39">
        <f t="shared" si="57"/>
        <v>52.280303030303031</v>
      </c>
      <c r="AK159">
        <f t="shared" si="58"/>
        <v>28.931818340818182</v>
      </c>
      <c r="AL159">
        <f t="shared" si="59"/>
        <v>52.280303189303034</v>
      </c>
    </row>
    <row r="160" spans="1:38" ht="15">
      <c r="A160" t="s">
        <v>427</v>
      </c>
      <c r="B160">
        <v>114</v>
      </c>
      <c r="C160">
        <v>50000</v>
      </c>
      <c r="D160">
        <v>50000</v>
      </c>
      <c r="E160">
        <v>50000</v>
      </c>
      <c r="F160" t="s">
        <v>389</v>
      </c>
      <c r="G160" t="s">
        <v>178</v>
      </c>
      <c r="H160" t="s">
        <v>12</v>
      </c>
      <c r="I160">
        <v>38400</v>
      </c>
      <c r="K160" t="str">
        <f t="shared" si="40"/>
        <v/>
      </c>
      <c r="L160" t="str">
        <f t="shared" si="41"/>
        <v>كلور 1 لتر</v>
      </c>
      <c r="M160" s="36">
        <f t="shared" si="42"/>
        <v>7.5757575757575758E-5</v>
      </c>
      <c r="N160" s="37">
        <f t="shared" si="43"/>
        <v>2.9090909090909092</v>
      </c>
      <c r="O160" s="37">
        <f t="shared" si="44"/>
        <v>3.7878787878787881</v>
      </c>
      <c r="P160" s="38">
        <f t="shared" si="45"/>
        <v>114</v>
      </c>
      <c r="Q160" s="39">
        <f t="shared" si="46"/>
        <v>331.63636363636363</v>
      </c>
      <c r="R160" s="39">
        <f t="shared" si="47"/>
        <v>431.81818181818181</v>
      </c>
      <c r="S160">
        <f t="shared" si="48"/>
        <v>1</v>
      </c>
      <c r="T160" s="39">
        <f t="shared" si="49"/>
        <v>100.18181818181819</v>
      </c>
      <c r="U160" t="str">
        <f t="shared" si="50"/>
        <v/>
      </c>
      <c r="V160">
        <f>IF(L160="","",IF($AO$1=1,IFERROR(MATCH(L160,'05-أيار'!$L$2:$L$501,0),0),0))</f>
        <v>0</v>
      </c>
      <c r="W160" t="str">
        <f t="shared" si="51"/>
        <v/>
      </c>
      <c r="X160" s="38" t="str">
        <f>IF(L160="","",IF(V160&gt;0,INDEX('05-أيار'!$P$2:$P$501,V160),IF($AO$1=1,0,"")))</f>
        <v/>
      </c>
      <c r="Y160" s="38" t="str">
        <f t="shared" si="52"/>
        <v/>
      </c>
      <c r="Z160" s="39" t="str">
        <f>IF(L160="","",IF(V160&gt;0,INDEX('05-أيار'!$Q$2:$Q$501,V160),IF($AO$1=1,0,"")))</f>
        <v/>
      </c>
      <c r="AA160" s="39" t="str">
        <f t="shared" si="53"/>
        <v/>
      </c>
      <c r="AB160" s="40" t="str">
        <f>IF(OR(L160="",V160=0),"",IF(AND(N(I160)&gt;0,N(INDEX('05-أيار'!$I$2:$I$501,V160))&gt;0,INDEX('05-أيار'!$F$2:$F$501,V160)=F160),N(I160)/N(INDEX('05-أيار'!$I$2:$I$501,V160))-1,""))</f>
        <v/>
      </c>
      <c r="AC160" t="str">
        <f>IF(L160="","",IF(AND($AO$2=1,ISNA(MATCH(L160,'07-تموز'!$L$2:$L$500,0))),"محذوف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>
        <f t="shared" si="55"/>
        <v>100.18181818181819</v>
      </c>
      <c r="AI160" s="39">
        <f t="shared" si="56"/>
        <v>100.18181818181819</v>
      </c>
      <c r="AJ160" s="39">
        <f t="shared" si="57"/>
        <v>100.18181818181819</v>
      </c>
      <c r="AK160">
        <f t="shared" si="58"/>
        <v>331.63636379636364</v>
      </c>
      <c r="AL160">
        <f t="shared" si="59"/>
        <v>100.18181834181819</v>
      </c>
    </row>
    <row r="161" spans="1:38" ht="15">
      <c r="A161" t="s">
        <v>428</v>
      </c>
      <c r="B161">
        <v>71</v>
      </c>
      <c r="C161">
        <v>4500</v>
      </c>
      <c r="D161">
        <v>4500</v>
      </c>
      <c r="E161">
        <v>4500</v>
      </c>
      <c r="F161" t="s">
        <v>389</v>
      </c>
      <c r="G161" t="s">
        <v>178</v>
      </c>
      <c r="H161" t="s">
        <v>12</v>
      </c>
      <c r="I161">
        <v>680</v>
      </c>
      <c r="K161" t="str">
        <f t="shared" si="40"/>
        <v/>
      </c>
      <c r="L161" t="str">
        <f t="shared" si="41"/>
        <v>كلور / فرط</v>
      </c>
      <c r="M161" s="36">
        <f t="shared" si="42"/>
        <v>7.5757575757575758E-5</v>
      </c>
      <c r="N161" s="37">
        <f t="shared" si="43"/>
        <v>5.1515151515151514E-2</v>
      </c>
      <c r="O161" s="37">
        <f t="shared" si="44"/>
        <v>0.34090909090909088</v>
      </c>
      <c r="P161" s="38">
        <f t="shared" si="45"/>
        <v>71</v>
      </c>
      <c r="Q161" s="39">
        <f t="shared" si="46"/>
        <v>3.6575757575757573</v>
      </c>
      <c r="R161" s="39">
        <f t="shared" si="47"/>
        <v>24.204545454545453</v>
      </c>
      <c r="S161">
        <f t="shared" si="48"/>
        <v>1</v>
      </c>
      <c r="T161" s="39">
        <f t="shared" si="49"/>
        <v>20.546969696969697</v>
      </c>
      <c r="U161" t="str">
        <f t="shared" si="50"/>
        <v/>
      </c>
      <c r="V161">
        <f>IF(L161="","",IF($AO$1=1,IFERROR(MATCH(L161,'05-أيار'!$L$2:$L$501,0),0),0))</f>
        <v>0</v>
      </c>
      <c r="W161" t="str">
        <f t="shared" si="51"/>
        <v/>
      </c>
      <c r="X161" s="38" t="str">
        <f>IF(L161="","",IF(V161&gt;0,INDEX('05-أيار'!$P$2:$P$501,V161),IF($AO$1=1,0,"")))</f>
        <v/>
      </c>
      <c r="Y161" s="38" t="str">
        <f t="shared" si="52"/>
        <v/>
      </c>
      <c r="Z161" s="39" t="str">
        <f>IF(L161="","",IF(V161&gt;0,INDEX('05-أيار'!$Q$2:$Q$501,V161),IF($AO$1=1,0,"")))</f>
        <v/>
      </c>
      <c r="AA161" s="39" t="str">
        <f t="shared" si="53"/>
        <v/>
      </c>
      <c r="AB161" s="40" t="str">
        <f>IF(OR(L161="",V161=0),"",IF(AND(N(I161)&gt;0,N(INDEX('05-أيار'!$I$2:$I$501,V161))&gt;0,INDEX('05-أيار'!$F$2:$F$501,V161)=F161),N(I161)/N(INDEX('05-أيار'!$I$2:$I$501,V161))-1,""))</f>
        <v/>
      </c>
      <c r="AC161" t="str">
        <f>IF(L161="","",IF(AND($AO$2=1,ISNA(MATCH(L161,'07-تموز'!$L$2:$L$500,0))),"محذوف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>
        <f t="shared" si="55"/>
        <v>20.546969696969697</v>
      </c>
      <c r="AI161" s="39">
        <f t="shared" si="56"/>
        <v>20.546969696969697</v>
      </c>
      <c r="AJ161" s="39">
        <f t="shared" si="57"/>
        <v>20.546969696969697</v>
      </c>
      <c r="AK161">
        <f t="shared" si="58"/>
        <v>3.6575759185757573</v>
      </c>
      <c r="AL161">
        <f t="shared" si="59"/>
        <v>20.546969857969696</v>
      </c>
    </row>
    <row r="162" spans="1:38" ht="15">
      <c r="A162" t="s">
        <v>429</v>
      </c>
      <c r="B162">
        <v>0</v>
      </c>
      <c r="C162">
        <v>370000</v>
      </c>
      <c r="D162">
        <v>370000</v>
      </c>
      <c r="E162">
        <v>330000</v>
      </c>
      <c r="F162" t="s">
        <v>389</v>
      </c>
      <c r="G162" t="s">
        <v>178</v>
      </c>
      <c r="H162" t="s">
        <v>12</v>
      </c>
      <c r="I162">
        <v>320000</v>
      </c>
      <c r="K162" t="str">
        <f t="shared" si="40"/>
        <v/>
      </c>
      <c r="L162" t="str">
        <f t="shared" si="41"/>
        <v>كفوف نايلون</v>
      </c>
      <c r="M162" s="36">
        <f t="shared" si="42"/>
        <v>7.5757575757575758E-5</v>
      </c>
      <c r="N162" s="37">
        <f t="shared" si="43"/>
        <v>24.242424242424242</v>
      </c>
      <c r="O162" s="37">
        <f t="shared" si="44"/>
        <v>28.030303030303031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IF(L162="","",IF($AO$1=1,IFERROR(MATCH(L162,'05-أيار'!$L$2:$L$501,0),0),0))</f>
        <v>0</v>
      </c>
      <c r="W162" t="str">
        <f t="shared" si="51"/>
        <v/>
      </c>
      <c r="X162" s="38" t="str">
        <f>IF(L162="","",IF(V162&gt;0,INDEX('05-أيار'!$P$2:$P$501,V162),IF($AO$1=1,0,"")))</f>
        <v/>
      </c>
      <c r="Y162" s="38" t="str">
        <f t="shared" si="52"/>
        <v/>
      </c>
      <c r="Z162" s="39" t="str">
        <f>IF(L162="","",IF(V162&gt;0,INDEX('05-أيار'!$Q$2:$Q$501,V162),IF($AO$1=1,0,"")))</f>
        <v/>
      </c>
      <c r="AA162" s="39" t="str">
        <f t="shared" si="53"/>
        <v/>
      </c>
      <c r="AB162" s="40" t="str">
        <f>IF(OR(L162="",V162=0),"",IF(AND(N(I162)&gt;0,N(INDEX('05-أيار'!$I$2:$I$501,V162))&gt;0,INDEX('05-أيار'!$F$2:$F$501,V162)=F162),N(I162)/N(INDEX('05-أيار'!$I$2:$I$501,V162))-1,""))</f>
        <v/>
      </c>
      <c r="AC162" t="str">
        <f>IF(L162="","",IF(AND($AO$2=1,ISNA(MATCH(L162,'07-تموز'!$L$2:$L$500,0))),"محذوف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430</v>
      </c>
      <c r="B163">
        <v>2.42</v>
      </c>
      <c r="C163">
        <v>576000</v>
      </c>
      <c r="D163">
        <v>576000</v>
      </c>
      <c r="E163">
        <v>576000</v>
      </c>
      <c r="F163" t="s">
        <v>389</v>
      </c>
      <c r="G163" t="s">
        <v>178</v>
      </c>
      <c r="H163" t="s">
        <v>12</v>
      </c>
      <c r="I163">
        <v>300000</v>
      </c>
      <c r="K163" t="str">
        <f t="shared" si="40"/>
        <v/>
      </c>
      <c r="L163" t="str">
        <f t="shared" si="41"/>
        <v>كفوف طبية</v>
      </c>
      <c r="M163" s="36">
        <f t="shared" si="42"/>
        <v>7.5757575757575758E-5</v>
      </c>
      <c r="N163" s="37">
        <f t="shared" si="43"/>
        <v>22.727272727272727</v>
      </c>
      <c r="O163" s="37">
        <f t="shared" si="44"/>
        <v>43.636363636363633</v>
      </c>
      <c r="P163" s="38">
        <f t="shared" si="45"/>
        <v>2.42</v>
      </c>
      <c r="Q163" s="39">
        <f t="shared" si="46"/>
        <v>55</v>
      </c>
      <c r="R163" s="39">
        <f t="shared" si="47"/>
        <v>105.6</v>
      </c>
      <c r="S163">
        <f t="shared" si="48"/>
        <v>1</v>
      </c>
      <c r="T163" s="39">
        <f t="shared" si="49"/>
        <v>50.599999999999994</v>
      </c>
      <c r="U163" t="str">
        <f t="shared" si="50"/>
        <v/>
      </c>
      <c r="V163">
        <f>IF(L163="","",IF($AO$1=1,IFERROR(MATCH(L163,'05-أيار'!$L$2:$L$501,0),0),0))</f>
        <v>0</v>
      </c>
      <c r="W163" t="str">
        <f t="shared" si="51"/>
        <v/>
      </c>
      <c r="X163" s="38" t="str">
        <f>IF(L163="","",IF(V163&gt;0,INDEX('05-أيار'!$P$2:$P$501,V163),IF($AO$1=1,0,"")))</f>
        <v/>
      </c>
      <c r="Y163" s="38" t="str">
        <f t="shared" si="52"/>
        <v/>
      </c>
      <c r="Z163" s="39" t="str">
        <f>IF(L163="","",IF(V163&gt;0,INDEX('05-أيار'!$Q$2:$Q$501,V163),IF($AO$1=1,0,"")))</f>
        <v/>
      </c>
      <c r="AA163" s="39" t="str">
        <f t="shared" si="53"/>
        <v/>
      </c>
      <c r="AB163" s="40" t="str">
        <f>IF(OR(L163="",V163=0),"",IF(AND(N(I163)&gt;0,N(INDEX('05-أيار'!$I$2:$I$501,V163))&gt;0,INDEX('05-أيار'!$F$2:$F$501,V163)=F163),N(I163)/N(INDEX('05-أيار'!$I$2:$I$501,V163))-1,""))</f>
        <v/>
      </c>
      <c r="AC163" t="str">
        <f>IF(L163="","",IF(AND($AO$2=1,ISNA(MATCH(L163,'07-تموز'!$L$2:$L$500,0))),"محذوف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>
        <f t="shared" si="55"/>
        <v>50.599999999999994</v>
      </c>
      <c r="AI163" s="39">
        <f t="shared" si="56"/>
        <v>50.599999999999994</v>
      </c>
      <c r="AJ163" s="39">
        <f t="shared" si="57"/>
        <v>50.599999999999994</v>
      </c>
      <c r="AK163">
        <f t="shared" si="58"/>
        <v>55.000000163000003</v>
      </c>
      <c r="AL163">
        <f t="shared" si="59"/>
        <v>50.600000162999997</v>
      </c>
    </row>
    <row r="164" spans="1:38" ht="15">
      <c r="A164" t="s">
        <v>431</v>
      </c>
      <c r="B164">
        <v>0.17</v>
      </c>
      <c r="C164">
        <v>300000</v>
      </c>
      <c r="D164">
        <v>300000</v>
      </c>
      <c r="E164">
        <v>300000</v>
      </c>
      <c r="F164" t="s">
        <v>389</v>
      </c>
      <c r="G164" t="s">
        <v>178</v>
      </c>
      <c r="H164" t="s">
        <v>12</v>
      </c>
      <c r="I164">
        <v>152000</v>
      </c>
      <c r="K164" t="str">
        <f t="shared" si="40"/>
        <v/>
      </c>
      <c r="L164" t="str">
        <f t="shared" si="41"/>
        <v>كفوف صناعية</v>
      </c>
      <c r="M164" s="36">
        <f t="shared" si="42"/>
        <v>7.5757575757575758E-5</v>
      </c>
      <c r="N164" s="37">
        <f t="shared" si="43"/>
        <v>11.515151515151516</v>
      </c>
      <c r="O164" s="37">
        <f t="shared" si="44"/>
        <v>22.727272727272727</v>
      </c>
      <c r="P164" s="38">
        <f t="shared" si="45"/>
        <v>0.17</v>
      </c>
      <c r="Q164" s="39">
        <f t="shared" si="46"/>
        <v>1.9575757575757577</v>
      </c>
      <c r="R164" s="39">
        <f t="shared" si="47"/>
        <v>3.8636363636363638</v>
      </c>
      <c r="S164">
        <f t="shared" si="48"/>
        <v>1</v>
      </c>
      <c r="T164" s="39">
        <f t="shared" si="49"/>
        <v>1.906060606060606</v>
      </c>
      <c r="U164" t="str">
        <f t="shared" si="50"/>
        <v/>
      </c>
      <c r="V164">
        <f>IF(L164="","",IF($AO$1=1,IFERROR(MATCH(L164,'05-أيار'!$L$2:$L$501,0),0),0))</f>
        <v>0</v>
      </c>
      <c r="W164" t="str">
        <f t="shared" si="51"/>
        <v/>
      </c>
      <c r="X164" s="38" t="str">
        <f>IF(L164="","",IF(V164&gt;0,INDEX('05-أيار'!$P$2:$P$501,V164),IF($AO$1=1,0,"")))</f>
        <v/>
      </c>
      <c r="Y164" s="38" t="str">
        <f t="shared" si="52"/>
        <v/>
      </c>
      <c r="Z164" s="39" t="str">
        <f>IF(L164="","",IF(V164&gt;0,INDEX('05-أيار'!$Q$2:$Q$501,V164),IF($AO$1=1,0,"")))</f>
        <v/>
      </c>
      <c r="AA164" s="39" t="str">
        <f t="shared" si="53"/>
        <v/>
      </c>
      <c r="AB164" s="40" t="str">
        <f>IF(OR(L164="",V164=0),"",IF(AND(N(I164)&gt;0,N(INDEX('05-أيار'!$I$2:$I$501,V164))&gt;0,INDEX('05-أيار'!$F$2:$F$501,V164)=F164),N(I164)/N(INDEX('05-أيار'!$I$2:$I$501,V164))-1,""))</f>
        <v/>
      </c>
      <c r="AC164" t="str">
        <f>IF(L164="","",IF(AND($AO$2=1,ISNA(MATCH(L164,'07-تموز'!$L$2:$L$500,0))),"محذوف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>
        <f t="shared" si="55"/>
        <v>1.906060606060606</v>
      </c>
      <c r="AI164" s="39">
        <f t="shared" si="56"/>
        <v>1.906060606060606</v>
      </c>
      <c r="AJ164" s="39">
        <f t="shared" si="57"/>
        <v>1.906060606060606</v>
      </c>
      <c r="AK164">
        <f t="shared" si="58"/>
        <v>1.9575759215757578</v>
      </c>
      <c r="AL164">
        <f t="shared" si="59"/>
        <v>1.906060770060606</v>
      </c>
    </row>
    <row r="165" spans="1:38" ht="15">
      <c r="A165" t="s">
        <v>432</v>
      </c>
      <c r="B165">
        <v>0</v>
      </c>
      <c r="C165">
        <v>25000</v>
      </c>
      <c r="D165">
        <v>25000</v>
      </c>
      <c r="E165">
        <v>25000</v>
      </c>
      <c r="F165" t="s">
        <v>389</v>
      </c>
      <c r="G165" t="s">
        <v>178</v>
      </c>
      <c r="H165" t="s">
        <v>12</v>
      </c>
      <c r="I165">
        <v>0</v>
      </c>
      <c r="K165" t="str">
        <f t="shared" si="40"/>
        <v/>
      </c>
      <c r="L165" t="str">
        <f t="shared" si="41"/>
        <v>كفوف جلي</v>
      </c>
      <c r="M165" s="36">
        <f t="shared" si="42"/>
        <v>7.5757575757575758E-5</v>
      </c>
      <c r="N165" s="37">
        <f t="shared" si="43"/>
        <v>0</v>
      </c>
      <c r="O165" s="37">
        <f t="shared" si="44"/>
        <v>1.893939393939394</v>
      </c>
      <c r="P165" s="38">
        <f t="shared" si="45"/>
        <v>0</v>
      </c>
      <c r="Q165" s="39">
        <f t="shared" si="46"/>
        <v>0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IF(L165="","",IF($AO$1=1,IFERROR(MATCH(L165,'05-أيار'!$L$2:$L$501,0),0),0))</f>
        <v>0</v>
      </c>
      <c r="W165" t="str">
        <f t="shared" si="51"/>
        <v/>
      </c>
      <c r="X165" s="38" t="str">
        <f>IF(L165="","",IF(V165&gt;0,INDEX('05-أيار'!$P$2:$P$501,V165),IF($AO$1=1,0,"")))</f>
        <v/>
      </c>
      <c r="Y165" s="38" t="str">
        <f t="shared" si="52"/>
        <v/>
      </c>
      <c r="Z165" s="39" t="str">
        <f>IF(L165="","",IF(V165&gt;0,INDEX('05-أيار'!$Q$2:$Q$501,V165),IF($AO$1=1,0,"")))</f>
        <v/>
      </c>
      <c r="AA165" s="39" t="str">
        <f t="shared" si="53"/>
        <v/>
      </c>
      <c r="AB165" s="40" t="str">
        <f>IF(OR(L165="",V165=0),"",IF(AND(N(I165)&gt;0,N(INDEX('05-أيار'!$I$2:$I$501,V165))&gt;0,INDEX('05-أيار'!$F$2:$F$501,V165)=F165),N(I165)/N(INDEX('05-أيار'!$I$2:$I$501,V165))-1,""))</f>
        <v/>
      </c>
      <c r="AC165" t="str">
        <f>IF(L165="","",IF(AND($AO$2=1,ISNA(MATCH(L165,'07-تموز'!$L$2:$L$500,0))),"محذوف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1.6500000000000001E-7</v>
      </c>
      <c r="AL165">
        <f t="shared" si="59"/>
        <v>1.6500000000000001E-7</v>
      </c>
    </row>
    <row r="166" spans="1:38" ht="15">
      <c r="A166" t="s">
        <v>433</v>
      </c>
      <c r="B166">
        <v>1</v>
      </c>
      <c r="C166">
        <v>0</v>
      </c>
      <c r="D166">
        <v>0</v>
      </c>
      <c r="E166">
        <v>0</v>
      </c>
      <c r="F166" t="s">
        <v>389</v>
      </c>
      <c r="G166" t="s">
        <v>178</v>
      </c>
      <c r="H166" t="s">
        <v>176</v>
      </c>
      <c r="I166">
        <v>10000</v>
      </c>
      <c r="K166" t="str">
        <f t="shared" si="40"/>
        <v/>
      </c>
      <c r="L166" t="str">
        <f t="shared" si="41"/>
        <v>كريك بلاستيك</v>
      </c>
      <c r="M166" s="36">
        <f t="shared" si="42"/>
        <v>7.5757575757575758E-5</v>
      </c>
      <c r="N166" s="37">
        <f t="shared" si="43"/>
        <v>0.75757575757575757</v>
      </c>
      <c r="O166" s="37">
        <f t="shared" si="44"/>
        <v>0</v>
      </c>
      <c r="P166" s="38">
        <f t="shared" si="45"/>
        <v>1</v>
      </c>
      <c r="Q166" s="39">
        <f t="shared" si="46"/>
        <v>0.75757575757575757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IF(L166="","",IF($AO$1=1,IFERROR(MATCH(L166,'05-أيار'!$L$2:$L$501,0),0),0))</f>
        <v>0</v>
      </c>
      <c r="W166" t="str">
        <f t="shared" si="51"/>
        <v/>
      </c>
      <c r="X166" s="38" t="str">
        <f>IF(L166="","",IF(V166&gt;0,INDEX('05-أيار'!$P$2:$P$501,V166),IF($AO$1=1,0,"")))</f>
        <v/>
      </c>
      <c r="Y166" s="38" t="str">
        <f t="shared" si="52"/>
        <v/>
      </c>
      <c r="Z166" s="39" t="str">
        <f>IF(L166="","",IF(V166&gt;0,INDEX('05-أيار'!$Q$2:$Q$501,V166),IF($AO$1=1,0,"")))</f>
        <v/>
      </c>
      <c r="AA166" s="39" t="str">
        <f t="shared" si="53"/>
        <v/>
      </c>
      <c r="AB166" s="40" t="str">
        <f>IF(OR(L166="",V166=0),"",IF(AND(N(I166)&gt;0,N(INDEX('05-أيار'!$I$2:$I$501,V166))&gt;0,INDEX('05-أيار'!$F$2:$F$501,V166)=F166),N(I166)/N(INDEX('05-أيار'!$I$2:$I$501,V166))-1,""))</f>
        <v/>
      </c>
      <c r="AC166" t="str">
        <f>IF(L166="","",IF(AND($AO$2=1,ISNA(MATCH(L166,'07-تموز'!$L$2:$L$500,0))),"محذوف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0.75757592357575754</v>
      </c>
      <c r="AL166">
        <f t="shared" si="59"/>
        <v>1.66E-7</v>
      </c>
    </row>
    <row r="167" spans="1:38" ht="15">
      <c r="A167" t="s">
        <v>434</v>
      </c>
      <c r="B167">
        <v>13</v>
      </c>
      <c r="C167">
        <v>10000</v>
      </c>
      <c r="D167">
        <v>10000</v>
      </c>
      <c r="E167">
        <v>10000</v>
      </c>
      <c r="F167" t="s">
        <v>389</v>
      </c>
      <c r="G167" t="s">
        <v>178</v>
      </c>
      <c r="H167" t="s">
        <v>12</v>
      </c>
      <c r="I167">
        <v>8000</v>
      </c>
      <c r="K167" t="str">
        <f t="shared" si="40"/>
        <v/>
      </c>
      <c r="L167" t="str">
        <f t="shared" si="41"/>
        <v>كاسات شاي صغيرة 17 *6</v>
      </c>
      <c r="M167" s="36">
        <f t="shared" si="42"/>
        <v>7.5757575757575758E-5</v>
      </c>
      <c r="N167" s="37">
        <f t="shared" si="43"/>
        <v>0.60606060606060608</v>
      </c>
      <c r="O167" s="37">
        <f t="shared" si="44"/>
        <v>0.75757575757575757</v>
      </c>
      <c r="P167" s="38">
        <f t="shared" si="45"/>
        <v>13</v>
      </c>
      <c r="Q167" s="39">
        <f t="shared" si="46"/>
        <v>7.8787878787878789</v>
      </c>
      <c r="R167" s="39">
        <f t="shared" si="47"/>
        <v>9.8484848484848477</v>
      </c>
      <c r="S167">
        <f t="shared" si="48"/>
        <v>1</v>
      </c>
      <c r="T167" s="39">
        <f t="shared" si="49"/>
        <v>1.9696969696969688</v>
      </c>
      <c r="U167" t="str">
        <f t="shared" si="50"/>
        <v/>
      </c>
      <c r="V167">
        <f>IF(L167="","",IF($AO$1=1,IFERROR(MATCH(L167,'05-أيار'!$L$2:$L$501,0),0),0))</f>
        <v>0</v>
      </c>
      <c r="W167" t="str">
        <f t="shared" si="51"/>
        <v/>
      </c>
      <c r="X167" s="38" t="str">
        <f>IF(L167="","",IF(V167&gt;0,INDEX('05-أيار'!$P$2:$P$501,V167),IF($AO$1=1,0,"")))</f>
        <v/>
      </c>
      <c r="Y167" s="38" t="str">
        <f t="shared" si="52"/>
        <v/>
      </c>
      <c r="Z167" s="39" t="str">
        <f>IF(L167="","",IF(V167&gt;0,INDEX('05-أيار'!$Q$2:$Q$501,V167),IF($AO$1=1,0,"")))</f>
        <v/>
      </c>
      <c r="AA167" s="39" t="str">
        <f t="shared" si="53"/>
        <v/>
      </c>
      <c r="AB167" s="40" t="str">
        <f>IF(OR(L167="",V167=0),"",IF(AND(N(I167)&gt;0,N(INDEX('05-أيار'!$I$2:$I$501,V167))&gt;0,INDEX('05-أيار'!$F$2:$F$501,V167)=F167),N(I167)/N(INDEX('05-أيار'!$I$2:$I$501,V167))-1,""))</f>
        <v/>
      </c>
      <c r="AC167" t="str">
        <f>IF(L167="","",IF(AND($AO$2=1,ISNA(MATCH(L167,'07-تموز'!$L$2:$L$500,0))),"محذوف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>
        <f t="shared" si="55"/>
        <v>1.9696969696969693</v>
      </c>
      <c r="AI167" s="39">
        <f t="shared" si="56"/>
        <v>1.9696969696969693</v>
      </c>
      <c r="AJ167" s="39">
        <f t="shared" si="57"/>
        <v>1.9696969696969693</v>
      </c>
      <c r="AK167">
        <f t="shared" si="58"/>
        <v>7.8787880457878785</v>
      </c>
      <c r="AL167">
        <f t="shared" si="59"/>
        <v>1.9696971366969689</v>
      </c>
    </row>
    <row r="168" spans="1:38" ht="15">
      <c r="A168" t="s">
        <v>435</v>
      </c>
      <c r="B168">
        <v>0</v>
      </c>
      <c r="C168">
        <v>7000</v>
      </c>
      <c r="D168">
        <v>7000</v>
      </c>
      <c r="E168">
        <v>7000</v>
      </c>
      <c r="F168" t="s">
        <v>389</v>
      </c>
      <c r="G168" t="s">
        <v>178</v>
      </c>
      <c r="H168" t="s">
        <v>12</v>
      </c>
      <c r="I168">
        <v>0</v>
      </c>
      <c r="K168" t="str">
        <f t="shared" si="40"/>
        <v/>
      </c>
      <c r="L168" t="str">
        <f t="shared" si="41"/>
        <v>قاشط سيارات / فرط</v>
      </c>
      <c r="M168" s="36">
        <f t="shared" si="42"/>
        <v>7.5757575757575758E-5</v>
      </c>
      <c r="N168" s="37">
        <f t="shared" si="43"/>
        <v>0</v>
      </c>
      <c r="O168" s="37">
        <f t="shared" si="44"/>
        <v>0.53030303030303028</v>
      </c>
      <c r="P168" s="38">
        <f t="shared" si="45"/>
        <v>0</v>
      </c>
      <c r="Q168" s="39">
        <f t="shared" si="46"/>
        <v>0</v>
      </c>
      <c r="R168" s="39">
        <f t="shared" si="47"/>
        <v>0</v>
      </c>
      <c r="S168">
        <f t="shared" si="48"/>
        <v>0</v>
      </c>
      <c r="T168" s="39">
        <f t="shared" si="49"/>
        <v>0</v>
      </c>
      <c r="U168" t="str">
        <f t="shared" si="50"/>
        <v/>
      </c>
      <c r="V168">
        <f>IF(L168="","",IF($AO$1=1,IFERROR(MATCH(L168,'05-أيار'!$L$2:$L$501,0),0),0))</f>
        <v>0</v>
      </c>
      <c r="W168" t="str">
        <f t="shared" si="51"/>
        <v/>
      </c>
      <c r="X168" s="38" t="str">
        <f>IF(L168="","",IF(V168&gt;0,INDEX('05-أيار'!$P$2:$P$501,V168),IF($AO$1=1,0,"")))</f>
        <v/>
      </c>
      <c r="Y168" s="38" t="str">
        <f t="shared" si="52"/>
        <v/>
      </c>
      <c r="Z168" s="39" t="str">
        <f>IF(L168="","",IF(V168&gt;0,INDEX('05-أيار'!$Q$2:$Q$501,V168),IF($AO$1=1,0,"")))</f>
        <v/>
      </c>
      <c r="AA168" s="39" t="str">
        <f t="shared" si="53"/>
        <v/>
      </c>
      <c r="AB168" s="40" t="str">
        <f>IF(OR(L168="",V168=0),"",IF(AND(N(I168)&gt;0,N(INDEX('05-أيار'!$I$2:$I$501,V168))&gt;0,INDEX('05-أيار'!$F$2:$F$501,V168)=F168),N(I168)/N(INDEX('05-أيار'!$I$2:$I$501,V168))-1,""))</f>
        <v/>
      </c>
      <c r="AC168" t="str">
        <f>IF(L168="","",IF(AND($AO$2=1,ISNA(MATCH(L168,'07-تموز'!$L$2:$L$500,0))),"محذوف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>
        <f t="shared" si="55"/>
        <v>0</v>
      </c>
      <c r="AI168" s="39">
        <f t="shared" si="56"/>
        <v>0</v>
      </c>
      <c r="AJ168" s="39">
        <f t="shared" si="57"/>
        <v>0</v>
      </c>
      <c r="AK168">
        <f t="shared" si="58"/>
        <v>1.68E-7</v>
      </c>
      <c r="AL168">
        <f t="shared" si="59"/>
        <v>1.68E-7</v>
      </c>
    </row>
    <row r="169" spans="1:38" ht="15">
      <c r="A169" t="s">
        <v>436</v>
      </c>
      <c r="B169">
        <v>761.5</v>
      </c>
      <c r="C169">
        <v>13000</v>
      </c>
      <c r="D169">
        <v>13000</v>
      </c>
      <c r="E169">
        <v>13000</v>
      </c>
      <c r="F169" t="s">
        <v>389</v>
      </c>
      <c r="G169" t="s">
        <v>178</v>
      </c>
      <c r="H169" t="s">
        <v>12</v>
      </c>
      <c r="I169">
        <v>7200</v>
      </c>
      <c r="K169" t="str">
        <f t="shared" si="40"/>
        <v/>
      </c>
      <c r="L169" t="str">
        <f t="shared" si="41"/>
        <v>قاشط المينيوم - ساندي / فرط</v>
      </c>
      <c r="M169" s="36">
        <f t="shared" si="42"/>
        <v>7.5757575757575758E-5</v>
      </c>
      <c r="N169" s="37">
        <f t="shared" si="43"/>
        <v>0.54545454545454541</v>
      </c>
      <c r="O169" s="37">
        <f t="shared" si="44"/>
        <v>0.98484848484848486</v>
      </c>
      <c r="P169" s="38">
        <f t="shared" si="45"/>
        <v>761.5</v>
      </c>
      <c r="Q169" s="39">
        <f t="shared" si="46"/>
        <v>415.36363636363632</v>
      </c>
      <c r="R169" s="39">
        <f t="shared" si="47"/>
        <v>749.96212121212125</v>
      </c>
      <c r="S169">
        <f t="shared" si="48"/>
        <v>1</v>
      </c>
      <c r="T169" s="39">
        <f t="shared" si="49"/>
        <v>334.59848484848493</v>
      </c>
      <c r="U169" t="str">
        <f t="shared" si="50"/>
        <v/>
      </c>
      <c r="V169">
        <f>IF(L169="","",IF($AO$1=1,IFERROR(MATCH(L169,'05-أيار'!$L$2:$L$501,0),0),0))</f>
        <v>0</v>
      </c>
      <c r="W169" t="str">
        <f t="shared" si="51"/>
        <v/>
      </c>
      <c r="X169" s="38" t="str">
        <f>IF(L169="","",IF(V169&gt;0,INDEX('05-أيار'!$P$2:$P$501,V169),IF($AO$1=1,0,"")))</f>
        <v/>
      </c>
      <c r="Y169" s="38" t="str">
        <f t="shared" si="52"/>
        <v/>
      </c>
      <c r="Z169" s="39" t="str">
        <f>IF(L169="","",IF(V169&gt;0,INDEX('05-أيار'!$Q$2:$Q$501,V169),IF($AO$1=1,0,"")))</f>
        <v/>
      </c>
      <c r="AA169" s="39" t="str">
        <f t="shared" si="53"/>
        <v/>
      </c>
      <c r="AB169" s="40" t="str">
        <f>IF(OR(L169="",V169=0),"",IF(AND(N(I169)&gt;0,N(INDEX('05-أيار'!$I$2:$I$501,V169))&gt;0,INDEX('05-أيار'!$F$2:$F$501,V169)=F169),N(I169)/N(INDEX('05-أيار'!$I$2:$I$501,V169))-1,""))</f>
        <v/>
      </c>
      <c r="AC169" t="str">
        <f>IF(L169="","",IF(AND($AO$2=1,ISNA(MATCH(L169,'07-تموز'!$L$2:$L$500,0))),"محذوف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>
        <f t="shared" si="55"/>
        <v>334.59848484848487</v>
      </c>
      <c r="AI169" s="39">
        <f t="shared" si="56"/>
        <v>334.59848484848487</v>
      </c>
      <c r="AJ169" s="39">
        <f t="shared" si="57"/>
        <v>334.59848484848487</v>
      </c>
      <c r="AK169">
        <f t="shared" si="58"/>
        <v>415.36363653263629</v>
      </c>
      <c r="AL169">
        <f t="shared" si="59"/>
        <v>334.5984850174849</v>
      </c>
    </row>
    <row r="170" spans="1:38" ht="15">
      <c r="A170" t="s">
        <v>437</v>
      </c>
      <c r="B170">
        <v>134</v>
      </c>
      <c r="C170">
        <v>40000</v>
      </c>
      <c r="D170">
        <v>40000</v>
      </c>
      <c r="E170">
        <v>40000</v>
      </c>
      <c r="F170" t="s">
        <v>389</v>
      </c>
      <c r="G170" t="s">
        <v>178</v>
      </c>
      <c r="H170" t="s">
        <v>12</v>
      </c>
      <c r="I170">
        <v>25000</v>
      </c>
      <c r="K170" t="str">
        <f t="shared" si="40"/>
        <v/>
      </c>
      <c r="L170" t="str">
        <f t="shared" si="41"/>
        <v>قاشط المينيوم 3 لتر</v>
      </c>
      <c r="M170" s="36">
        <f t="shared" si="42"/>
        <v>7.5757575757575758E-5</v>
      </c>
      <c r="N170" s="37">
        <f t="shared" si="43"/>
        <v>1.893939393939394</v>
      </c>
      <c r="O170" s="37">
        <f t="shared" si="44"/>
        <v>3.0303030303030303</v>
      </c>
      <c r="P170" s="38">
        <f t="shared" si="45"/>
        <v>134</v>
      </c>
      <c r="Q170" s="39">
        <f t="shared" si="46"/>
        <v>253.78787878787881</v>
      </c>
      <c r="R170" s="39">
        <f t="shared" si="47"/>
        <v>406.06060606060606</v>
      </c>
      <c r="S170">
        <f t="shared" si="48"/>
        <v>1</v>
      </c>
      <c r="T170" s="39">
        <f t="shared" si="49"/>
        <v>152.27272727272725</v>
      </c>
      <c r="U170" t="str">
        <f t="shared" si="50"/>
        <v/>
      </c>
      <c r="V170">
        <f>IF(L170="","",IF($AO$1=1,IFERROR(MATCH(L170,'05-أيار'!$L$2:$L$501,0),0),0))</f>
        <v>0</v>
      </c>
      <c r="W170" t="str">
        <f t="shared" si="51"/>
        <v/>
      </c>
      <c r="X170" s="38" t="str">
        <f>IF(L170="","",IF(V170&gt;0,INDEX('05-أيار'!$P$2:$P$501,V170),IF($AO$1=1,0,"")))</f>
        <v/>
      </c>
      <c r="Y170" s="38" t="str">
        <f t="shared" si="52"/>
        <v/>
      </c>
      <c r="Z170" s="39" t="str">
        <f>IF(L170="","",IF(V170&gt;0,INDEX('05-أيار'!$Q$2:$Q$501,V170),IF($AO$1=1,0,"")))</f>
        <v/>
      </c>
      <c r="AA170" s="39" t="str">
        <f t="shared" si="53"/>
        <v/>
      </c>
      <c r="AB170" s="40" t="str">
        <f>IF(OR(L170="",V170=0),"",IF(AND(N(I170)&gt;0,N(INDEX('05-أيار'!$I$2:$I$501,V170))&gt;0,INDEX('05-أيار'!$F$2:$F$501,V170)=F170),N(I170)/N(INDEX('05-أيار'!$I$2:$I$501,V170))-1,""))</f>
        <v/>
      </c>
      <c r="AC170" t="str">
        <f>IF(L170="","",IF(AND($AO$2=1,ISNA(MATCH(L170,'07-تموز'!$L$2:$L$500,0))),"محذوف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>
        <f t="shared" si="55"/>
        <v>152.27272727272725</v>
      </c>
      <c r="AI170" s="39">
        <f t="shared" si="56"/>
        <v>152.27272727272725</v>
      </c>
      <c r="AJ170" s="39">
        <f t="shared" si="57"/>
        <v>152.27272727272725</v>
      </c>
      <c r="AK170">
        <f t="shared" si="58"/>
        <v>253.7878789578788</v>
      </c>
      <c r="AL170">
        <f t="shared" si="59"/>
        <v>152.27272744272724</v>
      </c>
    </row>
    <row r="171" spans="1:38" ht="15">
      <c r="A171" t="s">
        <v>438</v>
      </c>
      <c r="B171">
        <v>124</v>
      </c>
      <c r="C171">
        <v>18000</v>
      </c>
      <c r="D171">
        <v>18000</v>
      </c>
      <c r="E171">
        <v>18000</v>
      </c>
      <c r="F171" t="s">
        <v>389</v>
      </c>
      <c r="G171" t="s">
        <v>178</v>
      </c>
      <c r="H171" t="s">
        <v>12</v>
      </c>
      <c r="I171">
        <v>6250</v>
      </c>
      <c r="K171" t="str">
        <f t="shared" si="40"/>
        <v/>
      </c>
      <c r="L171" t="str">
        <f t="shared" si="41"/>
        <v>فلاش 4 لتر</v>
      </c>
      <c r="M171" s="36">
        <f t="shared" si="42"/>
        <v>7.5757575757575758E-5</v>
      </c>
      <c r="N171" s="37">
        <f t="shared" si="43"/>
        <v>0.47348484848484851</v>
      </c>
      <c r="O171" s="37">
        <f t="shared" si="44"/>
        <v>1.3636363636363635</v>
      </c>
      <c r="P171" s="38">
        <f t="shared" si="45"/>
        <v>124</v>
      </c>
      <c r="Q171" s="39">
        <f t="shared" si="46"/>
        <v>58.712121212121218</v>
      </c>
      <c r="R171" s="39">
        <f t="shared" si="47"/>
        <v>169.09090909090907</v>
      </c>
      <c r="S171">
        <f t="shared" si="48"/>
        <v>1</v>
      </c>
      <c r="T171" s="39">
        <f t="shared" si="49"/>
        <v>110.37878787878785</v>
      </c>
      <c r="U171" t="str">
        <f t="shared" si="50"/>
        <v/>
      </c>
      <c r="V171">
        <f>IF(L171="","",IF($AO$1=1,IFERROR(MATCH(L171,'05-أيار'!$L$2:$L$501,0),0),0))</f>
        <v>0</v>
      </c>
      <c r="W171" t="str">
        <f t="shared" si="51"/>
        <v/>
      </c>
      <c r="X171" s="38" t="str">
        <f>IF(L171="","",IF(V171&gt;0,INDEX('05-أيار'!$P$2:$P$501,V171),IF($AO$1=1,0,"")))</f>
        <v/>
      </c>
      <c r="Y171" s="38" t="str">
        <f t="shared" si="52"/>
        <v/>
      </c>
      <c r="Z171" s="39" t="str">
        <f>IF(L171="","",IF(V171&gt;0,INDEX('05-أيار'!$Q$2:$Q$501,V171),IF($AO$1=1,0,"")))</f>
        <v/>
      </c>
      <c r="AA171" s="39" t="str">
        <f t="shared" si="53"/>
        <v/>
      </c>
      <c r="AB171" s="40" t="str">
        <f>IF(OR(L171="",V171=0),"",IF(AND(N(I171)&gt;0,N(INDEX('05-أيار'!$I$2:$I$501,V171))&gt;0,INDEX('05-أيار'!$F$2:$F$501,V171)=F171),N(I171)/N(INDEX('05-أيار'!$I$2:$I$501,V171))-1,""))</f>
        <v/>
      </c>
      <c r="AC171" t="str">
        <f>IF(L171="","",IF(AND($AO$2=1,ISNA(MATCH(L171,'07-تموز'!$L$2:$L$500,0))),"محذوف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>
        <f t="shared" si="55"/>
        <v>110.37878787878786</v>
      </c>
      <c r="AI171" s="39">
        <f t="shared" si="56"/>
        <v>110.37878787878786</v>
      </c>
      <c r="AJ171" s="39">
        <f t="shared" si="57"/>
        <v>110.37878787878786</v>
      </c>
      <c r="AK171">
        <f t="shared" si="58"/>
        <v>58.712121383121222</v>
      </c>
      <c r="AL171">
        <f t="shared" si="59"/>
        <v>110.37878804978784</v>
      </c>
    </row>
    <row r="172" spans="1:38" ht="15">
      <c r="A172" t="s">
        <v>439</v>
      </c>
      <c r="B172">
        <v>321</v>
      </c>
      <c r="C172">
        <v>5000</v>
      </c>
      <c r="D172">
        <v>5000</v>
      </c>
      <c r="E172">
        <v>5000</v>
      </c>
      <c r="F172" t="s">
        <v>389</v>
      </c>
      <c r="G172" t="s">
        <v>178</v>
      </c>
      <c r="H172" t="s">
        <v>12</v>
      </c>
      <c r="I172">
        <v>1080</v>
      </c>
      <c r="K172" t="str">
        <f t="shared" si="40"/>
        <v/>
      </c>
      <c r="L172" t="str">
        <f t="shared" si="41"/>
        <v>فلاش / فرط</v>
      </c>
      <c r="M172" s="36">
        <f t="shared" si="42"/>
        <v>7.5757575757575758E-5</v>
      </c>
      <c r="N172" s="37">
        <f t="shared" si="43"/>
        <v>8.1818181818181818E-2</v>
      </c>
      <c r="O172" s="37">
        <f t="shared" si="44"/>
        <v>0.37878787878787878</v>
      </c>
      <c r="P172" s="38">
        <f t="shared" si="45"/>
        <v>321</v>
      </c>
      <c r="Q172" s="39">
        <f t="shared" si="46"/>
        <v>26.263636363636362</v>
      </c>
      <c r="R172" s="39">
        <f t="shared" si="47"/>
        <v>121.59090909090909</v>
      </c>
      <c r="S172">
        <f t="shared" si="48"/>
        <v>1</v>
      </c>
      <c r="T172" s="39">
        <f t="shared" si="49"/>
        <v>95.327272727272728</v>
      </c>
      <c r="U172" t="str">
        <f t="shared" si="50"/>
        <v/>
      </c>
      <c r="V172">
        <f>IF(L172="","",IF($AO$1=1,IFERROR(MATCH(L172,'05-أيار'!$L$2:$L$501,0),0),0))</f>
        <v>0</v>
      </c>
      <c r="W172" t="str">
        <f t="shared" si="51"/>
        <v/>
      </c>
      <c r="X172" s="38" t="str">
        <f>IF(L172="","",IF(V172&gt;0,INDEX('05-أيار'!$P$2:$P$501,V172),IF($AO$1=1,0,"")))</f>
        <v/>
      </c>
      <c r="Y172" s="38" t="str">
        <f t="shared" si="52"/>
        <v/>
      </c>
      <c r="Z172" s="39" t="str">
        <f>IF(L172="","",IF(V172&gt;0,INDEX('05-أيار'!$Q$2:$Q$501,V172),IF($AO$1=1,0,"")))</f>
        <v/>
      </c>
      <c r="AA172" s="39" t="str">
        <f t="shared" si="53"/>
        <v/>
      </c>
      <c r="AB172" s="40" t="str">
        <f>IF(OR(L172="",V172=0),"",IF(AND(N(I172)&gt;0,N(INDEX('05-أيار'!$I$2:$I$501,V172))&gt;0,INDEX('05-أيار'!$F$2:$F$501,V172)=F172),N(I172)/N(INDEX('05-أيار'!$I$2:$I$501,V172))-1,""))</f>
        <v/>
      </c>
      <c r="AC172" t="str">
        <f>IF(L172="","",IF(AND($AO$2=1,ISNA(MATCH(L172,'07-تموز'!$L$2:$L$500,0))),"محذوف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>
        <f t="shared" si="55"/>
        <v>95.327272727272742</v>
      </c>
      <c r="AI172" s="39">
        <f t="shared" si="56"/>
        <v>95.327272727272742</v>
      </c>
      <c r="AJ172" s="39">
        <f t="shared" si="57"/>
        <v>95.327272727272742</v>
      </c>
      <c r="AK172">
        <f t="shared" si="58"/>
        <v>26.263636535636362</v>
      </c>
      <c r="AL172">
        <f t="shared" si="59"/>
        <v>95.327272899272728</v>
      </c>
    </row>
    <row r="173" spans="1:38" ht="15">
      <c r="A173" t="s">
        <v>440</v>
      </c>
      <c r="B173">
        <v>0</v>
      </c>
      <c r="C173">
        <v>0</v>
      </c>
      <c r="D173">
        <v>0</v>
      </c>
      <c r="E173">
        <v>0</v>
      </c>
      <c r="F173" t="s">
        <v>389</v>
      </c>
      <c r="G173" t="s">
        <v>178</v>
      </c>
      <c r="H173" t="s">
        <v>12</v>
      </c>
      <c r="I173">
        <v>0</v>
      </c>
      <c r="K173" t="str">
        <f t="shared" si="40"/>
        <v/>
      </c>
      <c r="L173" t="str">
        <f t="shared" si="41"/>
        <v>فرشاية بسط</v>
      </c>
      <c r="M173" s="36">
        <f t="shared" si="42"/>
        <v>7.5757575757575758E-5</v>
      </c>
      <c r="N173" s="37">
        <f t="shared" si="43"/>
        <v>0</v>
      </c>
      <c r="O173" s="37">
        <f t="shared" si="44"/>
        <v>0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IF(L173="","",IF($AO$1=1,IFERROR(MATCH(L173,'05-أيار'!$L$2:$L$501,0),0),0))</f>
        <v>0</v>
      </c>
      <c r="W173" t="str">
        <f t="shared" si="51"/>
        <v/>
      </c>
      <c r="X173" s="38" t="str">
        <f>IF(L173="","",IF(V173&gt;0,INDEX('05-أيار'!$P$2:$P$501,V173),IF($AO$1=1,0,"")))</f>
        <v/>
      </c>
      <c r="Y173" s="38" t="str">
        <f t="shared" si="52"/>
        <v/>
      </c>
      <c r="Z173" s="39" t="str">
        <f>IF(L173="","",IF(V173&gt;0,INDEX('05-أيار'!$Q$2:$Q$501,V173),IF($AO$1=1,0,"")))</f>
        <v/>
      </c>
      <c r="AA173" s="39" t="str">
        <f t="shared" si="53"/>
        <v/>
      </c>
      <c r="AB173" s="40" t="str">
        <f>IF(OR(L173="",V173=0),"",IF(AND(N(I173)&gt;0,N(INDEX('05-أيار'!$I$2:$I$501,V173))&gt;0,INDEX('05-أيار'!$F$2:$F$501,V173)=F173),N(I173)/N(INDEX('05-أيار'!$I$2:$I$501,V173))-1,""))</f>
        <v/>
      </c>
      <c r="AC173" t="str">
        <f>IF(L173="","",IF(AND($AO$2=1,ISNA(MATCH(L173,'07-تموز'!$L$2:$L$500,0))),"محذوف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441</v>
      </c>
      <c r="B174">
        <v>0</v>
      </c>
      <c r="C174">
        <v>0</v>
      </c>
      <c r="D174">
        <v>0</v>
      </c>
      <c r="E174">
        <v>0</v>
      </c>
      <c r="F174" t="s">
        <v>389</v>
      </c>
      <c r="G174" t="s">
        <v>178</v>
      </c>
      <c r="H174" t="s">
        <v>12</v>
      </c>
      <c r="I174">
        <v>0</v>
      </c>
      <c r="K174" t="str">
        <f t="shared" si="40"/>
        <v/>
      </c>
      <c r="L174" t="str">
        <f t="shared" si="41"/>
        <v>فرشاة حمام</v>
      </c>
      <c r="M174" s="36">
        <f t="shared" si="42"/>
        <v>7.5757575757575758E-5</v>
      </c>
      <c r="N174" s="37">
        <f t="shared" si="43"/>
        <v>0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IF(L174="","",IF($AO$1=1,IFERROR(MATCH(L174,'05-أيار'!$L$2:$L$501,0),0),0))</f>
        <v>0</v>
      </c>
      <c r="W174" t="str">
        <f t="shared" si="51"/>
        <v/>
      </c>
      <c r="X174" s="38" t="str">
        <f>IF(L174="","",IF(V174&gt;0,INDEX('05-أيار'!$P$2:$P$501,V174),IF($AO$1=1,0,"")))</f>
        <v/>
      </c>
      <c r="Y174" s="38" t="str">
        <f t="shared" si="52"/>
        <v/>
      </c>
      <c r="Z174" s="39" t="str">
        <f>IF(L174="","",IF(V174&gt;0,INDEX('05-أيار'!$Q$2:$Q$501,V174),IF($AO$1=1,0,"")))</f>
        <v/>
      </c>
      <c r="AA174" s="39" t="str">
        <f t="shared" si="53"/>
        <v/>
      </c>
      <c r="AB174" s="40" t="str">
        <f>IF(OR(L174="",V174=0),"",IF(AND(N(I174)&gt;0,N(INDEX('05-أيار'!$I$2:$I$501,V174))&gt;0,INDEX('05-أيار'!$F$2:$F$501,V174)=F174),N(I174)/N(INDEX('05-أيار'!$I$2:$I$501,V174))-1,""))</f>
        <v/>
      </c>
      <c r="AC174" t="str">
        <f>IF(L174="","",IF(AND($AO$2=1,ISNA(MATCH(L174,'07-تموز'!$L$2:$L$500,0))),"محذوف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442</v>
      </c>
      <c r="B175">
        <v>0</v>
      </c>
      <c r="C175">
        <v>32000</v>
      </c>
      <c r="D175">
        <v>32000</v>
      </c>
      <c r="E175">
        <v>32000</v>
      </c>
      <c r="F175" t="s">
        <v>389</v>
      </c>
      <c r="G175" t="s">
        <v>178</v>
      </c>
      <c r="H175" t="s">
        <v>176</v>
      </c>
      <c r="I175">
        <v>21000</v>
      </c>
      <c r="K175" t="str">
        <f t="shared" si="40"/>
        <v/>
      </c>
      <c r="L175" t="str">
        <f t="shared" si="41"/>
        <v>فازلين</v>
      </c>
      <c r="M175" s="36">
        <f t="shared" si="42"/>
        <v>7.5757575757575758E-5</v>
      </c>
      <c r="N175" s="37">
        <f t="shared" si="43"/>
        <v>1.5909090909090908</v>
      </c>
      <c r="O175" s="37">
        <f t="shared" si="44"/>
        <v>2.4242424242424243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IF(L175="","",IF($AO$1=1,IFERROR(MATCH(L175,'05-أيار'!$L$2:$L$501,0),0),0))</f>
        <v>0</v>
      </c>
      <c r="W175" t="str">
        <f t="shared" si="51"/>
        <v/>
      </c>
      <c r="X175" s="38" t="str">
        <f>IF(L175="","",IF(V175&gt;0,INDEX('05-أيار'!$P$2:$P$501,V175),IF($AO$1=1,0,"")))</f>
        <v/>
      </c>
      <c r="Y175" s="38" t="str">
        <f t="shared" si="52"/>
        <v/>
      </c>
      <c r="Z175" s="39" t="str">
        <f>IF(L175="","",IF(V175&gt;0,INDEX('05-أيار'!$Q$2:$Q$501,V175),IF($AO$1=1,0,"")))</f>
        <v/>
      </c>
      <c r="AA175" s="39" t="str">
        <f t="shared" si="53"/>
        <v/>
      </c>
      <c r="AB175" s="40" t="str">
        <f>IF(OR(L175="",V175=0),"",IF(AND(N(I175)&gt;0,N(INDEX('05-أيار'!$I$2:$I$501,V175))&gt;0,INDEX('05-أيار'!$F$2:$F$501,V175)=F175),N(I175)/N(INDEX('05-أيار'!$I$2:$I$501,V175))-1,""))</f>
        <v/>
      </c>
      <c r="AC175" t="str">
        <f>IF(L175="","",IF(AND($AO$2=1,ISNA(MATCH(L175,'07-تموز'!$L$2:$L$500,0))),"محذوف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443</v>
      </c>
      <c r="B176">
        <v>1</v>
      </c>
      <c r="C176">
        <v>5000</v>
      </c>
      <c r="D176">
        <v>5000</v>
      </c>
      <c r="E176">
        <v>5000</v>
      </c>
      <c r="F176" t="s">
        <v>389</v>
      </c>
      <c r="G176" t="s">
        <v>178</v>
      </c>
      <c r="H176" t="s">
        <v>12</v>
      </c>
      <c r="I176">
        <v>4500</v>
      </c>
      <c r="K176" t="str">
        <f t="shared" si="40"/>
        <v/>
      </c>
      <c r="L176" t="str">
        <f t="shared" si="41"/>
        <v>فاربن مزيل شعر</v>
      </c>
      <c r="M176" s="36">
        <f t="shared" si="42"/>
        <v>7.5757575757575758E-5</v>
      </c>
      <c r="N176" s="37">
        <f t="shared" si="43"/>
        <v>0.34090909090909088</v>
      </c>
      <c r="O176" s="37">
        <f t="shared" si="44"/>
        <v>0.37878787878787878</v>
      </c>
      <c r="P176" s="38">
        <f t="shared" si="45"/>
        <v>1</v>
      </c>
      <c r="Q176" s="39">
        <f t="shared" si="46"/>
        <v>0.34090909090909088</v>
      </c>
      <c r="R176" s="39">
        <f t="shared" si="47"/>
        <v>0.37878787878787878</v>
      </c>
      <c r="S176">
        <f t="shared" si="48"/>
        <v>1</v>
      </c>
      <c r="T176" s="39">
        <f t="shared" si="49"/>
        <v>3.7878787878787901E-2</v>
      </c>
      <c r="U176" t="str">
        <f t="shared" si="50"/>
        <v/>
      </c>
      <c r="V176">
        <f>IF(L176="","",IF($AO$1=1,IFERROR(MATCH(L176,'05-أيار'!$L$2:$L$501,0),0),0))</f>
        <v>0</v>
      </c>
      <c r="W176" t="str">
        <f t="shared" si="51"/>
        <v/>
      </c>
      <c r="X176" s="38" t="str">
        <f>IF(L176="","",IF(V176&gt;0,INDEX('05-أيار'!$P$2:$P$501,V176),IF($AO$1=1,0,"")))</f>
        <v/>
      </c>
      <c r="Y176" s="38" t="str">
        <f t="shared" si="52"/>
        <v/>
      </c>
      <c r="Z176" s="39" t="str">
        <f>IF(L176="","",IF(V176&gt;0,INDEX('05-أيار'!$Q$2:$Q$501,V176),IF($AO$1=1,0,"")))</f>
        <v/>
      </c>
      <c r="AA176" s="39" t="str">
        <f t="shared" si="53"/>
        <v/>
      </c>
      <c r="AB176" s="40" t="str">
        <f>IF(OR(L176="",V176=0),"",IF(AND(N(I176)&gt;0,N(INDEX('05-أيار'!$I$2:$I$501,V176))&gt;0,INDEX('05-أيار'!$F$2:$F$501,V176)=F176),N(I176)/N(INDEX('05-أيار'!$I$2:$I$501,V176))-1,""))</f>
        <v/>
      </c>
      <c r="AC176" t="str">
        <f>IF(L176="","",IF(AND($AO$2=1,ISNA(MATCH(L176,'07-تموز'!$L$2:$L$500,0))),"محذوف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>
        <f t="shared" si="55"/>
        <v>3.7878787878787901E-2</v>
      </c>
      <c r="AI176" s="39">
        <f t="shared" si="56"/>
        <v>3.7878787878787901E-2</v>
      </c>
      <c r="AJ176" s="39">
        <f t="shared" si="57"/>
        <v>3.7878787878787901E-2</v>
      </c>
      <c r="AK176">
        <f t="shared" si="58"/>
        <v>0.3409092669090909</v>
      </c>
      <c r="AL176">
        <f t="shared" si="59"/>
        <v>3.7878963878787898E-2</v>
      </c>
    </row>
    <row r="177" spans="1:38" ht="15">
      <c r="A177" t="s">
        <v>444</v>
      </c>
      <c r="B177">
        <v>0</v>
      </c>
      <c r="C177">
        <v>0</v>
      </c>
      <c r="D177">
        <v>0</v>
      </c>
      <c r="E177">
        <v>0</v>
      </c>
      <c r="F177" t="s">
        <v>389</v>
      </c>
      <c r="G177" t="s">
        <v>178</v>
      </c>
      <c r="H177" t="s">
        <v>12</v>
      </c>
      <c r="I177">
        <v>0</v>
      </c>
      <c r="K177" t="str">
        <f t="shared" si="40"/>
        <v/>
      </c>
      <c r="L177" t="str">
        <f t="shared" si="41"/>
        <v>عملاق 3 لتر</v>
      </c>
      <c r="M177" s="36">
        <f t="shared" si="42"/>
        <v>7.5757575757575758E-5</v>
      </c>
      <c r="N177" s="37">
        <f t="shared" si="43"/>
        <v>0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IF(L177="","",IF($AO$1=1,IFERROR(MATCH(L177,'05-أيار'!$L$2:$L$501,0),0),0))</f>
        <v>0</v>
      </c>
      <c r="W177" t="str">
        <f t="shared" si="51"/>
        <v/>
      </c>
      <c r="X177" s="38" t="str">
        <f>IF(L177="","",IF(V177&gt;0,INDEX('05-أيار'!$P$2:$P$501,V177),IF($AO$1=1,0,"")))</f>
        <v/>
      </c>
      <c r="Y177" s="38" t="str">
        <f t="shared" si="52"/>
        <v/>
      </c>
      <c r="Z177" s="39" t="str">
        <f>IF(L177="","",IF(V177&gt;0,INDEX('05-أيار'!$Q$2:$Q$501,V177),IF($AO$1=1,0,"")))</f>
        <v/>
      </c>
      <c r="AA177" s="39" t="str">
        <f t="shared" si="53"/>
        <v/>
      </c>
      <c r="AB177" s="40" t="str">
        <f>IF(OR(L177="",V177=0),"",IF(AND(N(I177)&gt;0,N(INDEX('05-أيار'!$I$2:$I$501,V177))&gt;0,INDEX('05-أيار'!$F$2:$F$501,V177)=F177),N(I177)/N(INDEX('05-أيار'!$I$2:$I$501,V177))-1,""))</f>
        <v/>
      </c>
      <c r="AC177" t="str">
        <f>IF(L177="","",IF(AND($AO$2=1,ISNA(MATCH(L177,'07-تموز'!$L$2:$L$500,0))),"محذوف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445</v>
      </c>
      <c r="B178">
        <v>45</v>
      </c>
      <c r="C178">
        <v>13000</v>
      </c>
      <c r="D178">
        <v>13000</v>
      </c>
      <c r="E178">
        <v>13000</v>
      </c>
      <c r="F178" t="s">
        <v>389</v>
      </c>
      <c r="G178" t="s">
        <v>178</v>
      </c>
      <c r="H178" t="s">
        <v>12</v>
      </c>
      <c r="I178">
        <v>9000</v>
      </c>
      <c r="K178" t="str">
        <f t="shared" si="40"/>
        <v/>
      </c>
      <c r="L178" t="str">
        <f t="shared" si="41"/>
        <v>عملاق</v>
      </c>
      <c r="M178" s="36">
        <f t="shared" si="42"/>
        <v>7.5757575757575758E-5</v>
      </c>
      <c r="N178" s="37">
        <f t="shared" si="43"/>
        <v>0.68181818181818177</v>
      </c>
      <c r="O178" s="37">
        <f t="shared" si="44"/>
        <v>0.98484848484848486</v>
      </c>
      <c r="P178" s="38">
        <f t="shared" si="45"/>
        <v>45</v>
      </c>
      <c r="Q178" s="39">
        <f t="shared" si="46"/>
        <v>30.68181818181818</v>
      </c>
      <c r="R178" s="39">
        <f t="shared" si="47"/>
        <v>44.31818181818182</v>
      </c>
      <c r="S178">
        <f t="shared" si="48"/>
        <v>1</v>
      </c>
      <c r="T178" s="39">
        <f t="shared" si="49"/>
        <v>13.63636363636364</v>
      </c>
      <c r="U178" t="str">
        <f t="shared" si="50"/>
        <v/>
      </c>
      <c r="V178">
        <f>IF(L178="","",IF($AO$1=1,IFERROR(MATCH(L178,'05-أيار'!$L$2:$L$501,0),0),0))</f>
        <v>0</v>
      </c>
      <c r="W178" t="str">
        <f t="shared" si="51"/>
        <v/>
      </c>
      <c r="X178" s="38" t="str">
        <f>IF(L178="","",IF(V178&gt;0,INDEX('05-أيار'!$P$2:$P$501,V178),IF($AO$1=1,0,"")))</f>
        <v/>
      </c>
      <c r="Y178" s="38" t="str">
        <f t="shared" si="52"/>
        <v/>
      </c>
      <c r="Z178" s="39" t="str">
        <f>IF(L178="","",IF(V178&gt;0,INDEX('05-أيار'!$Q$2:$Q$501,V178),IF($AO$1=1,0,"")))</f>
        <v/>
      </c>
      <c r="AA178" s="39" t="str">
        <f t="shared" si="53"/>
        <v/>
      </c>
      <c r="AB178" s="40" t="str">
        <f>IF(OR(L178="",V178=0),"",IF(AND(N(I178)&gt;0,N(INDEX('05-أيار'!$I$2:$I$501,V178))&gt;0,INDEX('05-أيار'!$F$2:$F$501,V178)=F178),N(I178)/N(INDEX('05-أيار'!$I$2:$I$501,V178))-1,""))</f>
        <v/>
      </c>
      <c r="AC178" t="str">
        <f>IF(L178="","",IF(AND($AO$2=1,ISNA(MATCH(L178,'07-تموز'!$L$2:$L$500,0))),"محذوف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>
        <f t="shared" si="55"/>
        <v>13.636363636363638</v>
      </c>
      <c r="AI178" s="39">
        <f t="shared" si="56"/>
        <v>13.636363636363638</v>
      </c>
      <c r="AJ178" s="39">
        <f t="shared" si="57"/>
        <v>13.636363636363638</v>
      </c>
      <c r="AK178">
        <f t="shared" si="58"/>
        <v>30.68181835981818</v>
      </c>
      <c r="AL178">
        <f t="shared" si="59"/>
        <v>13.636363814363641</v>
      </c>
    </row>
    <row r="179" spans="1:38" ht="15">
      <c r="A179" t="s">
        <v>446</v>
      </c>
      <c r="B179">
        <v>0</v>
      </c>
      <c r="C179">
        <v>250000</v>
      </c>
      <c r="D179">
        <v>250000</v>
      </c>
      <c r="E179">
        <v>250000</v>
      </c>
      <c r="F179" t="s">
        <v>389</v>
      </c>
      <c r="G179" t="s">
        <v>178</v>
      </c>
      <c r="H179" t="s">
        <v>12</v>
      </c>
      <c r="I179">
        <v>200000</v>
      </c>
      <c r="K179" t="str">
        <f t="shared" si="40"/>
        <v/>
      </c>
      <c r="L179" t="str">
        <f t="shared" si="41"/>
        <v>عصايات</v>
      </c>
      <c r="M179" s="36">
        <f t="shared" si="42"/>
        <v>7.5757575757575758E-5</v>
      </c>
      <c r="N179" s="37">
        <f t="shared" si="43"/>
        <v>15.151515151515152</v>
      </c>
      <c r="O179" s="37">
        <f t="shared" si="44"/>
        <v>18.939393939393938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IF(L179="","",IF($AO$1=1,IFERROR(MATCH(L179,'05-أيار'!$L$2:$L$501,0),0),0))</f>
        <v>0</v>
      </c>
      <c r="W179" t="str">
        <f t="shared" si="51"/>
        <v/>
      </c>
      <c r="X179" s="38" t="str">
        <f>IF(L179="","",IF(V179&gt;0,INDEX('05-أيار'!$P$2:$P$501,V179),IF($AO$1=1,0,"")))</f>
        <v/>
      </c>
      <c r="Y179" s="38" t="str">
        <f t="shared" si="52"/>
        <v/>
      </c>
      <c r="Z179" s="39" t="str">
        <f>IF(L179="","",IF(V179&gt;0,INDEX('05-أيار'!$Q$2:$Q$501,V179),IF($AO$1=1,0,"")))</f>
        <v/>
      </c>
      <c r="AA179" s="39" t="str">
        <f t="shared" si="53"/>
        <v/>
      </c>
      <c r="AB179" s="40" t="str">
        <f>IF(OR(L179="",V179=0),"",IF(AND(N(I179)&gt;0,N(INDEX('05-أيار'!$I$2:$I$501,V179))&gt;0,INDEX('05-أيار'!$F$2:$F$501,V179)=F179),N(I179)/N(INDEX('05-أيار'!$I$2:$I$501,V179))-1,""))</f>
        <v/>
      </c>
      <c r="AC179" t="str">
        <f>IF(L179="","",IF(AND($AO$2=1,ISNA(MATCH(L179,'07-تموز'!$L$2:$L$500,0))),"محذوف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447</v>
      </c>
      <c r="B180">
        <v>19.87</v>
      </c>
      <c r="C180">
        <v>90000</v>
      </c>
      <c r="D180">
        <v>90000</v>
      </c>
      <c r="E180">
        <v>90000</v>
      </c>
      <c r="F180" t="s">
        <v>389</v>
      </c>
      <c r="G180" t="s">
        <v>178</v>
      </c>
      <c r="H180" t="s">
        <v>176</v>
      </c>
      <c r="I180">
        <v>84000</v>
      </c>
      <c r="K180" t="str">
        <f t="shared" si="40"/>
        <v/>
      </c>
      <c r="L180" t="str">
        <f t="shared" si="41"/>
        <v>عبوات كلور + فلاش فارغة</v>
      </c>
      <c r="M180" s="36">
        <f t="shared" si="42"/>
        <v>7.5757575757575758E-5</v>
      </c>
      <c r="N180" s="37">
        <f t="shared" si="43"/>
        <v>6.3636363636363633</v>
      </c>
      <c r="O180" s="37">
        <f t="shared" si="44"/>
        <v>6.8181818181818183</v>
      </c>
      <c r="P180" s="38">
        <f t="shared" si="45"/>
        <v>19.87</v>
      </c>
      <c r="Q180" s="39">
        <f t="shared" si="46"/>
        <v>126.44545454545455</v>
      </c>
      <c r="R180" s="39">
        <f t="shared" si="47"/>
        <v>135.47727272727275</v>
      </c>
      <c r="S180">
        <f t="shared" si="48"/>
        <v>1</v>
      </c>
      <c r="T180" s="39">
        <f t="shared" si="49"/>
        <v>9.0318181818181955</v>
      </c>
      <c r="U180" t="str">
        <f t="shared" si="50"/>
        <v/>
      </c>
      <c r="V180">
        <f>IF(L180="","",IF($AO$1=1,IFERROR(MATCH(L180,'05-أيار'!$L$2:$L$501,0),0),0))</f>
        <v>0</v>
      </c>
      <c r="W180" t="str">
        <f t="shared" si="51"/>
        <v/>
      </c>
      <c r="X180" s="38" t="str">
        <f>IF(L180="","",IF(V180&gt;0,INDEX('05-أيار'!$P$2:$P$501,V180),IF($AO$1=1,0,"")))</f>
        <v/>
      </c>
      <c r="Y180" s="38" t="str">
        <f t="shared" si="52"/>
        <v/>
      </c>
      <c r="Z180" s="39" t="str">
        <f>IF(L180="","",IF(V180&gt;0,INDEX('05-أيار'!$Q$2:$Q$501,V180),IF($AO$1=1,0,"")))</f>
        <v/>
      </c>
      <c r="AA180" s="39" t="str">
        <f t="shared" si="53"/>
        <v/>
      </c>
      <c r="AB180" s="40" t="str">
        <f>IF(OR(L180="",V180=0),"",IF(AND(N(I180)&gt;0,N(INDEX('05-أيار'!$I$2:$I$501,V180))&gt;0,INDEX('05-أيار'!$F$2:$F$501,V180)=F180),N(I180)/N(INDEX('05-أيار'!$I$2:$I$501,V180))-1,""))</f>
        <v/>
      </c>
      <c r="AC180" t="str">
        <f>IF(L180="","",IF(AND($AO$2=1,ISNA(MATCH(L180,'07-تموز'!$L$2:$L$500,0))),"محذوف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>
        <f t="shared" si="55"/>
        <v>9.031818181818192</v>
      </c>
      <c r="AI180" s="39">
        <f t="shared" si="56"/>
        <v>9.031818181818192</v>
      </c>
      <c r="AJ180" s="39">
        <f t="shared" si="57"/>
        <v>9.031818181818192</v>
      </c>
      <c r="AK180">
        <f t="shared" si="58"/>
        <v>126.44545472545455</v>
      </c>
      <c r="AL180">
        <f t="shared" si="59"/>
        <v>9.0318183618181962</v>
      </c>
    </row>
    <row r="181" spans="1:38" ht="15">
      <c r="A181" t="s">
        <v>448</v>
      </c>
      <c r="B181">
        <v>11.16</v>
      </c>
      <c r="C181">
        <v>135000</v>
      </c>
      <c r="D181">
        <v>135000</v>
      </c>
      <c r="E181">
        <v>135000</v>
      </c>
      <c r="F181" t="s">
        <v>389</v>
      </c>
      <c r="G181" t="s">
        <v>178</v>
      </c>
      <c r="H181" t="s">
        <v>176</v>
      </c>
      <c r="I181">
        <v>126000</v>
      </c>
      <c r="K181" t="str">
        <f t="shared" si="40"/>
        <v/>
      </c>
      <c r="L181" t="str">
        <f t="shared" si="41"/>
        <v>عبوات شفافة 3 لتر</v>
      </c>
      <c r="M181" s="36">
        <f t="shared" si="42"/>
        <v>7.5757575757575758E-5</v>
      </c>
      <c r="N181" s="37">
        <f t="shared" si="43"/>
        <v>9.545454545454545</v>
      </c>
      <c r="O181" s="37">
        <f t="shared" si="44"/>
        <v>10.227272727272727</v>
      </c>
      <c r="P181" s="38">
        <f t="shared" si="45"/>
        <v>11.16</v>
      </c>
      <c r="Q181" s="39">
        <f t="shared" si="46"/>
        <v>106.52727272727272</v>
      </c>
      <c r="R181" s="39">
        <f t="shared" si="47"/>
        <v>114.13636363636363</v>
      </c>
      <c r="S181">
        <f t="shared" si="48"/>
        <v>1</v>
      </c>
      <c r="T181" s="39">
        <f t="shared" si="49"/>
        <v>7.6090909090909093</v>
      </c>
      <c r="U181" t="str">
        <f t="shared" si="50"/>
        <v/>
      </c>
      <c r="V181">
        <f>IF(L181="","",IF($AO$1=1,IFERROR(MATCH(L181,'05-أيار'!$L$2:$L$501,0),0),0))</f>
        <v>0</v>
      </c>
      <c r="W181" t="str">
        <f t="shared" si="51"/>
        <v/>
      </c>
      <c r="X181" s="38" t="str">
        <f>IF(L181="","",IF(V181&gt;0,INDEX('05-أيار'!$P$2:$P$501,V181),IF($AO$1=1,0,"")))</f>
        <v/>
      </c>
      <c r="Y181" s="38" t="str">
        <f t="shared" si="52"/>
        <v/>
      </c>
      <c r="Z181" s="39" t="str">
        <f>IF(L181="","",IF(V181&gt;0,INDEX('05-أيار'!$Q$2:$Q$501,V181),IF($AO$1=1,0,"")))</f>
        <v/>
      </c>
      <c r="AA181" s="39" t="str">
        <f t="shared" si="53"/>
        <v/>
      </c>
      <c r="AB181" s="40" t="str">
        <f>IF(OR(L181="",V181=0),"",IF(AND(N(I181)&gt;0,N(INDEX('05-أيار'!$I$2:$I$501,V181))&gt;0,INDEX('05-أيار'!$F$2:$F$501,V181)=F181),N(I181)/N(INDEX('05-أيار'!$I$2:$I$501,V181))-1,""))</f>
        <v/>
      </c>
      <c r="AC181" t="str">
        <f>IF(L181="","",IF(AND($AO$2=1,ISNA(MATCH(L181,'07-تموز'!$L$2:$L$500,0))),"محذوف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>
        <f t="shared" si="55"/>
        <v>7.6090909090909076</v>
      </c>
      <c r="AI181" s="39">
        <f t="shared" si="56"/>
        <v>7.6090909090909076</v>
      </c>
      <c r="AJ181" s="39">
        <f t="shared" si="57"/>
        <v>7.6090909090909076</v>
      </c>
      <c r="AK181">
        <f t="shared" si="58"/>
        <v>106.52727290827272</v>
      </c>
      <c r="AL181">
        <f t="shared" si="59"/>
        <v>7.6090910900909092</v>
      </c>
    </row>
    <row r="182" spans="1:38" ht="15">
      <c r="A182" t="s">
        <v>449</v>
      </c>
      <c r="B182">
        <v>93.75</v>
      </c>
      <c r="C182">
        <v>128000</v>
      </c>
      <c r="D182">
        <v>128000</v>
      </c>
      <c r="E182">
        <v>128000</v>
      </c>
      <c r="F182" t="s">
        <v>389</v>
      </c>
      <c r="G182" t="s">
        <v>178</v>
      </c>
      <c r="H182" t="s">
        <v>176</v>
      </c>
      <c r="I182">
        <v>96000</v>
      </c>
      <c r="K182" t="str">
        <f t="shared" si="40"/>
        <v/>
      </c>
      <c r="L182" t="str">
        <f t="shared" si="41"/>
        <v>عبوات حليبي</v>
      </c>
      <c r="M182" s="36">
        <f t="shared" si="42"/>
        <v>7.5757575757575758E-5</v>
      </c>
      <c r="N182" s="37">
        <f t="shared" si="43"/>
        <v>7.2727272727272725</v>
      </c>
      <c r="O182" s="37">
        <f t="shared" si="44"/>
        <v>9.6969696969696972</v>
      </c>
      <c r="P182" s="38">
        <f t="shared" si="45"/>
        <v>93.75</v>
      </c>
      <c r="Q182" s="39">
        <f t="shared" si="46"/>
        <v>681.81818181818176</v>
      </c>
      <c r="R182" s="39">
        <f t="shared" si="47"/>
        <v>909.09090909090912</v>
      </c>
      <c r="S182">
        <f t="shared" si="48"/>
        <v>1</v>
      </c>
      <c r="T182" s="39">
        <f t="shared" si="49"/>
        <v>227.27272727272737</v>
      </c>
      <c r="U182" t="str">
        <f t="shared" si="50"/>
        <v/>
      </c>
      <c r="V182">
        <f>IF(L182="","",IF($AO$1=1,IFERROR(MATCH(L182,'05-أيار'!$L$2:$L$501,0),0),0))</f>
        <v>0</v>
      </c>
      <c r="W182" t="str">
        <f t="shared" si="51"/>
        <v/>
      </c>
      <c r="X182" s="38" t="str">
        <f>IF(L182="","",IF(V182&gt;0,INDEX('05-أيار'!$P$2:$P$501,V182),IF($AO$1=1,0,"")))</f>
        <v/>
      </c>
      <c r="Y182" s="38" t="str">
        <f t="shared" si="52"/>
        <v/>
      </c>
      <c r="Z182" s="39" t="str">
        <f>IF(L182="","",IF(V182&gt;0,INDEX('05-أيار'!$Q$2:$Q$501,V182),IF($AO$1=1,0,"")))</f>
        <v/>
      </c>
      <c r="AA182" s="39" t="str">
        <f t="shared" si="53"/>
        <v/>
      </c>
      <c r="AB182" s="40" t="str">
        <f>IF(OR(L182="",V182=0),"",IF(AND(N(I182)&gt;0,N(INDEX('05-أيار'!$I$2:$I$501,V182))&gt;0,INDEX('05-أيار'!$F$2:$F$501,V182)=F182),N(I182)/N(INDEX('05-أيار'!$I$2:$I$501,V182))-1,""))</f>
        <v/>
      </c>
      <c r="AC182" t="str">
        <f>IF(L182="","",IF(AND($AO$2=1,ISNA(MATCH(L182,'07-تموز'!$L$2:$L$500,0))),"محذوف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>
        <f t="shared" si="55"/>
        <v>227.27272727272731</v>
      </c>
      <c r="AI182" s="39">
        <f t="shared" si="56"/>
        <v>227.27272727272731</v>
      </c>
      <c r="AJ182" s="39">
        <f t="shared" si="57"/>
        <v>227.27272727272731</v>
      </c>
      <c r="AK182">
        <f t="shared" si="58"/>
        <v>681.81818200018176</v>
      </c>
      <c r="AL182">
        <f t="shared" si="59"/>
        <v>227.27272745472737</v>
      </c>
    </row>
    <row r="183" spans="1:38" ht="15">
      <c r="A183" t="s">
        <v>450</v>
      </c>
      <c r="B183">
        <v>80</v>
      </c>
      <c r="C183">
        <v>18000</v>
      </c>
      <c r="D183">
        <v>18000</v>
      </c>
      <c r="E183">
        <v>18000</v>
      </c>
      <c r="F183" t="s">
        <v>389</v>
      </c>
      <c r="G183" t="s">
        <v>178</v>
      </c>
      <c r="H183" t="s">
        <v>12</v>
      </c>
      <c r="I183">
        <v>15000</v>
      </c>
      <c r="K183" t="str">
        <f t="shared" si="40"/>
        <v/>
      </c>
      <c r="L183" t="str">
        <f t="shared" si="41"/>
        <v>طواقي راس</v>
      </c>
      <c r="M183" s="36">
        <f t="shared" si="42"/>
        <v>7.5757575757575758E-5</v>
      </c>
      <c r="N183" s="37">
        <f t="shared" si="43"/>
        <v>1.1363636363636365</v>
      </c>
      <c r="O183" s="37">
        <f t="shared" si="44"/>
        <v>1.3636363636363635</v>
      </c>
      <c r="P183" s="38">
        <f t="shared" si="45"/>
        <v>80</v>
      </c>
      <c r="Q183" s="39">
        <f t="shared" si="46"/>
        <v>90.909090909090921</v>
      </c>
      <c r="R183" s="39">
        <f t="shared" si="47"/>
        <v>109.09090909090908</v>
      </c>
      <c r="S183">
        <f t="shared" si="48"/>
        <v>1</v>
      </c>
      <c r="T183" s="39">
        <f t="shared" si="49"/>
        <v>18.181818181818159</v>
      </c>
      <c r="U183" t="str">
        <f t="shared" si="50"/>
        <v/>
      </c>
      <c r="V183">
        <f>IF(L183="","",IF($AO$1=1,IFERROR(MATCH(L183,'05-أيار'!$L$2:$L$501,0),0),0))</f>
        <v>0</v>
      </c>
      <c r="W183" t="str">
        <f t="shared" si="51"/>
        <v/>
      </c>
      <c r="X183" s="38" t="str">
        <f>IF(L183="","",IF(V183&gt;0,INDEX('05-أيار'!$P$2:$P$501,V183),IF($AO$1=1,0,"")))</f>
        <v/>
      </c>
      <c r="Y183" s="38" t="str">
        <f t="shared" si="52"/>
        <v/>
      </c>
      <c r="Z183" s="39" t="str">
        <f>IF(L183="","",IF(V183&gt;0,INDEX('05-أيار'!$Q$2:$Q$501,V183),IF($AO$1=1,0,"")))</f>
        <v/>
      </c>
      <c r="AA183" s="39" t="str">
        <f t="shared" si="53"/>
        <v/>
      </c>
      <c r="AB183" s="40" t="str">
        <f>IF(OR(L183="",V183=0),"",IF(AND(N(I183)&gt;0,N(INDEX('05-أيار'!$I$2:$I$501,V183))&gt;0,INDEX('05-أيار'!$F$2:$F$501,V183)=F183),N(I183)/N(INDEX('05-أيار'!$I$2:$I$501,V183))-1,""))</f>
        <v/>
      </c>
      <c r="AC183" t="str">
        <f>IF(L183="","",IF(AND($AO$2=1,ISNA(MATCH(L183,'07-تموز'!$L$2:$L$500,0))),"محذوف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>
        <f t="shared" si="55"/>
        <v>18.181818181818166</v>
      </c>
      <c r="AI183" s="39">
        <f t="shared" si="56"/>
        <v>18.181818181818166</v>
      </c>
      <c r="AJ183" s="39">
        <f t="shared" si="57"/>
        <v>18.181818181818166</v>
      </c>
      <c r="AK183">
        <f t="shared" si="58"/>
        <v>90.909091092090918</v>
      </c>
      <c r="AL183">
        <f t="shared" si="59"/>
        <v>18.181818364818159</v>
      </c>
    </row>
    <row r="184" spans="1:38" ht="15">
      <c r="A184" t="s">
        <v>451</v>
      </c>
      <c r="B184">
        <v>0</v>
      </c>
      <c r="C184">
        <v>0</v>
      </c>
      <c r="D184">
        <v>0</v>
      </c>
      <c r="E184">
        <v>0</v>
      </c>
      <c r="F184" t="s">
        <v>389</v>
      </c>
      <c r="G184" t="s">
        <v>178</v>
      </c>
      <c r="H184" t="s">
        <v>12</v>
      </c>
      <c r="I184">
        <v>170000</v>
      </c>
      <c r="K184" t="str">
        <f t="shared" si="40"/>
        <v/>
      </c>
      <c r="L184" t="str">
        <f t="shared" si="41"/>
        <v>صابون كرمل</v>
      </c>
      <c r="M184" s="36">
        <f t="shared" si="42"/>
        <v>7.5757575757575758E-5</v>
      </c>
      <c r="N184" s="37">
        <f t="shared" si="43"/>
        <v>12.878787878787879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IF(L184="","",IF($AO$1=1,IFERROR(MATCH(L184,'05-أيار'!$L$2:$L$501,0),0),0))</f>
        <v>0</v>
      </c>
      <c r="W184" t="str">
        <f t="shared" si="51"/>
        <v/>
      </c>
      <c r="X184" s="38" t="str">
        <f>IF(L184="","",IF(V184&gt;0,INDEX('05-أيار'!$P$2:$P$501,V184),IF($AO$1=1,0,"")))</f>
        <v/>
      </c>
      <c r="Y184" s="38" t="str">
        <f t="shared" si="52"/>
        <v/>
      </c>
      <c r="Z184" s="39" t="str">
        <f>IF(L184="","",IF(V184&gt;0,INDEX('05-أيار'!$Q$2:$Q$501,V184),IF($AO$1=1,0,"")))</f>
        <v/>
      </c>
      <c r="AA184" s="39" t="str">
        <f t="shared" si="53"/>
        <v/>
      </c>
      <c r="AB184" s="40" t="str">
        <f>IF(OR(L184="",V184=0),"",IF(AND(N(I184)&gt;0,N(INDEX('05-أيار'!$I$2:$I$501,V184))&gt;0,INDEX('05-أيار'!$F$2:$F$501,V184)=F184),N(I184)/N(INDEX('05-أيار'!$I$2:$I$501,V184))-1,""))</f>
        <v/>
      </c>
      <c r="AC184" t="str">
        <f>IF(L184="","",IF(AND($AO$2=1,ISNA(MATCH(L184,'07-تموز'!$L$2:$L$500,0))),"محذوف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452</v>
      </c>
      <c r="B185">
        <v>0</v>
      </c>
      <c r="C185">
        <v>0</v>
      </c>
      <c r="D185">
        <v>0</v>
      </c>
      <c r="E185">
        <v>0</v>
      </c>
      <c r="F185" t="s">
        <v>389</v>
      </c>
      <c r="G185" t="s">
        <v>178</v>
      </c>
      <c r="H185" t="s">
        <v>12</v>
      </c>
      <c r="I185">
        <v>0</v>
      </c>
      <c r="K185" t="str">
        <f t="shared" si="40"/>
        <v/>
      </c>
      <c r="L185" t="str">
        <f t="shared" si="41"/>
        <v>صابون سائل</v>
      </c>
      <c r="M185" s="36">
        <f t="shared" si="42"/>
        <v>7.5757575757575758E-5</v>
      </c>
      <c r="N185" s="37">
        <f t="shared" si="43"/>
        <v>0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IF(L185="","",IF($AO$1=1,IFERROR(MATCH(L185,'05-أيار'!$L$2:$L$501,0),0),0))</f>
        <v>0</v>
      </c>
      <c r="W185" t="str">
        <f t="shared" si="51"/>
        <v/>
      </c>
      <c r="X185" s="38" t="str">
        <f>IF(L185="","",IF(V185&gt;0,INDEX('05-أيار'!$P$2:$P$501,V185),IF($AO$1=1,0,"")))</f>
        <v/>
      </c>
      <c r="Y185" s="38" t="str">
        <f t="shared" si="52"/>
        <v/>
      </c>
      <c r="Z185" s="39" t="str">
        <f>IF(L185="","",IF(V185&gt;0,INDEX('05-أيار'!$Q$2:$Q$501,V185),IF($AO$1=1,0,"")))</f>
        <v/>
      </c>
      <c r="AA185" s="39" t="str">
        <f t="shared" si="53"/>
        <v/>
      </c>
      <c r="AB185" s="40" t="str">
        <f>IF(OR(L185="",V185=0),"",IF(AND(N(I185)&gt;0,N(INDEX('05-أيار'!$I$2:$I$501,V185))&gt;0,INDEX('05-أيار'!$F$2:$F$501,V185)=F185),N(I185)/N(INDEX('05-أيار'!$I$2:$I$501,V185))-1,""))</f>
        <v/>
      </c>
      <c r="AC185" t="str">
        <f>IF(L185="","",IF(AND($AO$2=1,ISNA(MATCH(L185,'07-تموز'!$L$2:$L$500,0))),"محذوف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453</v>
      </c>
      <c r="B186">
        <v>3521</v>
      </c>
      <c r="C186">
        <v>10000</v>
      </c>
      <c r="D186">
        <v>10000</v>
      </c>
      <c r="E186">
        <v>10000</v>
      </c>
      <c r="F186" t="s">
        <v>389</v>
      </c>
      <c r="G186" t="s">
        <v>178</v>
      </c>
      <c r="H186" t="s">
        <v>12</v>
      </c>
      <c r="I186">
        <v>6500</v>
      </c>
      <c r="K186" t="str">
        <f t="shared" si="40"/>
        <v/>
      </c>
      <c r="L186" t="str">
        <f t="shared" si="41"/>
        <v>صابون super / فرط</v>
      </c>
      <c r="M186" s="36">
        <f t="shared" si="42"/>
        <v>7.5757575757575758E-5</v>
      </c>
      <c r="N186" s="37">
        <f t="shared" si="43"/>
        <v>0.49242424242424243</v>
      </c>
      <c r="O186" s="37">
        <f t="shared" si="44"/>
        <v>0.75757575757575757</v>
      </c>
      <c r="P186" s="38">
        <f t="shared" si="45"/>
        <v>3521</v>
      </c>
      <c r="Q186" s="39">
        <f t="shared" si="46"/>
        <v>1733.8257575757575</v>
      </c>
      <c r="R186" s="39">
        <f t="shared" si="47"/>
        <v>2667.4242424242425</v>
      </c>
      <c r="S186">
        <f t="shared" si="48"/>
        <v>1</v>
      </c>
      <c r="T186" s="39">
        <f t="shared" si="49"/>
        <v>933.59848484848499</v>
      </c>
      <c r="U186" t="str">
        <f t="shared" si="50"/>
        <v/>
      </c>
      <c r="V186">
        <f>IF(L186="","",IF($AO$1=1,IFERROR(MATCH(L186,'05-أيار'!$L$2:$L$501,0),0),0))</f>
        <v>0</v>
      </c>
      <c r="W186" t="str">
        <f t="shared" si="51"/>
        <v/>
      </c>
      <c r="X186" s="38" t="str">
        <f>IF(L186="","",IF(V186&gt;0,INDEX('05-أيار'!$P$2:$P$501,V186),IF($AO$1=1,0,"")))</f>
        <v/>
      </c>
      <c r="Y186" s="38" t="str">
        <f t="shared" si="52"/>
        <v/>
      </c>
      <c r="Z186" s="39" t="str">
        <f>IF(L186="","",IF(V186&gt;0,INDEX('05-أيار'!$Q$2:$Q$501,V186),IF($AO$1=1,0,"")))</f>
        <v/>
      </c>
      <c r="AA186" s="39" t="str">
        <f t="shared" si="53"/>
        <v/>
      </c>
      <c r="AB186" s="40" t="str">
        <f>IF(OR(L186="",V186=0),"",IF(AND(N(I186)&gt;0,N(INDEX('05-أيار'!$I$2:$I$501,V186))&gt;0,INDEX('05-أيار'!$F$2:$F$501,V186)=F186),N(I186)/N(INDEX('05-أيار'!$I$2:$I$501,V186))-1,""))</f>
        <v/>
      </c>
      <c r="AC186" t="str">
        <f>IF(L186="","",IF(AND($AO$2=1,ISNA(MATCH(L186,'07-تموز'!$L$2:$L$500,0))),"محذوف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>
        <f t="shared" si="55"/>
        <v>933.59848484848476</v>
      </c>
      <c r="AI186" s="39">
        <f t="shared" si="56"/>
        <v>933.59848484848476</v>
      </c>
      <c r="AJ186" s="39">
        <f t="shared" si="57"/>
        <v>933.59848484848476</v>
      </c>
      <c r="AK186">
        <f t="shared" si="58"/>
        <v>1733.8257577617576</v>
      </c>
      <c r="AL186">
        <f t="shared" si="59"/>
        <v>933.59848503448495</v>
      </c>
    </row>
    <row r="187" spans="1:38" ht="15">
      <c r="A187" t="s">
        <v>454</v>
      </c>
      <c r="B187">
        <v>138</v>
      </c>
      <c r="C187">
        <v>33000</v>
      </c>
      <c r="D187">
        <v>33000</v>
      </c>
      <c r="E187">
        <v>33000</v>
      </c>
      <c r="F187" t="s">
        <v>389</v>
      </c>
      <c r="G187" t="s">
        <v>178</v>
      </c>
      <c r="H187" t="s">
        <v>12</v>
      </c>
      <c r="I187">
        <v>23000</v>
      </c>
      <c r="K187" t="str">
        <f t="shared" si="40"/>
        <v/>
      </c>
      <c r="L187" t="str">
        <f t="shared" si="41"/>
        <v>صابون super / عبوة 3 لتر</v>
      </c>
      <c r="M187" s="36">
        <f t="shared" si="42"/>
        <v>7.5757575757575758E-5</v>
      </c>
      <c r="N187" s="37">
        <f t="shared" si="43"/>
        <v>1.7424242424242424</v>
      </c>
      <c r="O187" s="37">
        <f t="shared" si="44"/>
        <v>2.5</v>
      </c>
      <c r="P187" s="38">
        <f t="shared" si="45"/>
        <v>138</v>
      </c>
      <c r="Q187" s="39">
        <f t="shared" si="46"/>
        <v>240.45454545454547</v>
      </c>
      <c r="R187" s="39">
        <f t="shared" si="47"/>
        <v>345</v>
      </c>
      <c r="S187">
        <f t="shared" si="48"/>
        <v>1</v>
      </c>
      <c r="T187" s="39">
        <f t="shared" si="49"/>
        <v>104.54545454545453</v>
      </c>
      <c r="U187" t="str">
        <f t="shared" si="50"/>
        <v/>
      </c>
      <c r="V187">
        <f>IF(L187="","",IF($AO$1=1,IFERROR(MATCH(L187,'05-أيار'!$L$2:$L$501,0),0),0))</f>
        <v>0</v>
      </c>
      <c r="W187" t="str">
        <f t="shared" si="51"/>
        <v/>
      </c>
      <c r="X187" s="38" t="str">
        <f>IF(L187="","",IF(V187&gt;0,INDEX('05-أيار'!$P$2:$P$501,V187),IF($AO$1=1,0,"")))</f>
        <v/>
      </c>
      <c r="Y187" s="38" t="str">
        <f t="shared" si="52"/>
        <v/>
      </c>
      <c r="Z187" s="39" t="str">
        <f>IF(L187="","",IF(V187&gt;0,INDEX('05-أيار'!$Q$2:$Q$501,V187),IF($AO$1=1,0,"")))</f>
        <v/>
      </c>
      <c r="AA187" s="39" t="str">
        <f t="shared" si="53"/>
        <v/>
      </c>
      <c r="AB187" s="40" t="str">
        <f>IF(OR(L187="",V187=0),"",IF(AND(N(I187)&gt;0,N(INDEX('05-أيار'!$I$2:$I$501,V187))&gt;0,INDEX('05-أيار'!$F$2:$F$501,V187)=F187),N(I187)/N(INDEX('05-أيار'!$I$2:$I$501,V187))-1,""))</f>
        <v/>
      </c>
      <c r="AC187" t="str">
        <f>IF(L187="","",IF(AND($AO$2=1,ISNA(MATCH(L187,'07-تموز'!$L$2:$L$500,0))),"محذوف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>
        <f t="shared" si="55"/>
        <v>104.54545454545455</v>
      </c>
      <c r="AI187" s="39">
        <f t="shared" si="56"/>
        <v>104.54545454545455</v>
      </c>
      <c r="AJ187" s="39">
        <f t="shared" si="57"/>
        <v>104.54545454545455</v>
      </c>
      <c r="AK187">
        <f t="shared" si="58"/>
        <v>240.45454564154548</v>
      </c>
      <c r="AL187">
        <f t="shared" si="59"/>
        <v>104.54545473245453</v>
      </c>
    </row>
    <row r="188" spans="1:38" ht="15">
      <c r="A188" t="s">
        <v>455</v>
      </c>
      <c r="B188">
        <v>0</v>
      </c>
      <c r="C188">
        <v>6000</v>
      </c>
      <c r="D188">
        <v>6000</v>
      </c>
      <c r="E188">
        <v>6000</v>
      </c>
      <c r="F188" t="s">
        <v>389</v>
      </c>
      <c r="G188" t="s">
        <v>178</v>
      </c>
      <c r="H188" t="s">
        <v>12</v>
      </c>
      <c r="I188">
        <v>3000</v>
      </c>
      <c r="K188" t="str">
        <f t="shared" si="40"/>
        <v/>
      </c>
      <c r="L188" t="str">
        <f t="shared" si="41"/>
        <v>شامبو سيارات</v>
      </c>
      <c r="M188" s="36">
        <f t="shared" si="42"/>
        <v>7.5757575757575758E-5</v>
      </c>
      <c r="N188" s="37">
        <f t="shared" si="43"/>
        <v>0.22727272727272727</v>
      </c>
      <c r="O188" s="37">
        <f t="shared" si="44"/>
        <v>0.45454545454545453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IF(L188="","",IF($AO$1=1,IFERROR(MATCH(L188,'05-أيار'!$L$2:$L$501,0),0),0))</f>
        <v>0</v>
      </c>
      <c r="W188" t="str">
        <f t="shared" si="51"/>
        <v/>
      </c>
      <c r="X188" s="38" t="str">
        <f>IF(L188="","",IF(V188&gt;0,INDEX('05-أيار'!$P$2:$P$501,V188),IF($AO$1=1,0,"")))</f>
        <v/>
      </c>
      <c r="Y188" s="38" t="str">
        <f t="shared" si="52"/>
        <v/>
      </c>
      <c r="Z188" s="39" t="str">
        <f>IF(L188="","",IF(V188&gt;0,INDEX('05-أيار'!$Q$2:$Q$501,V188),IF($AO$1=1,0,"")))</f>
        <v/>
      </c>
      <c r="AA188" s="39" t="str">
        <f t="shared" si="53"/>
        <v/>
      </c>
      <c r="AB188" s="40" t="str">
        <f>IF(OR(L188="",V188=0),"",IF(AND(N(I188)&gt;0,N(INDEX('05-أيار'!$I$2:$I$501,V188))&gt;0,INDEX('05-أيار'!$F$2:$F$501,V188)=F188),N(I188)/N(INDEX('05-أيار'!$I$2:$I$501,V188))-1,""))</f>
        <v/>
      </c>
      <c r="AC188" t="str">
        <f>IF(L188="","",IF(AND($AO$2=1,ISNA(MATCH(L188,'07-تموز'!$L$2:$L$500,0))),"محذوف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456</v>
      </c>
      <c r="B189">
        <v>1</v>
      </c>
      <c r="C189">
        <v>480000</v>
      </c>
      <c r="D189">
        <v>480000</v>
      </c>
      <c r="E189">
        <v>480000</v>
      </c>
      <c r="F189" t="s">
        <v>389</v>
      </c>
      <c r="G189" t="s">
        <v>178</v>
      </c>
      <c r="H189" t="s">
        <v>12</v>
      </c>
      <c r="I189">
        <v>302400</v>
      </c>
      <c r="K189" t="str">
        <f t="shared" si="40"/>
        <v/>
      </c>
      <c r="L189" t="str">
        <f t="shared" si="41"/>
        <v>شامبو 3 لتر</v>
      </c>
      <c r="M189" s="36">
        <f t="shared" si="42"/>
        <v>7.5757575757575758E-5</v>
      </c>
      <c r="N189" s="37">
        <f t="shared" si="43"/>
        <v>22.90909090909091</v>
      </c>
      <c r="O189" s="37">
        <f t="shared" si="44"/>
        <v>36.363636363636367</v>
      </c>
      <c r="P189" s="38">
        <f t="shared" si="45"/>
        <v>1</v>
      </c>
      <c r="Q189" s="39">
        <f t="shared" si="46"/>
        <v>22.90909090909091</v>
      </c>
      <c r="R189" s="39">
        <f t="shared" si="47"/>
        <v>36.363636363636367</v>
      </c>
      <c r="S189">
        <f t="shared" si="48"/>
        <v>1</v>
      </c>
      <c r="T189" s="39">
        <f t="shared" si="49"/>
        <v>13.454545454545457</v>
      </c>
      <c r="U189" t="str">
        <f t="shared" si="50"/>
        <v/>
      </c>
      <c r="V189">
        <f>IF(L189="","",IF($AO$1=1,IFERROR(MATCH(L189,'05-أيار'!$L$2:$L$501,0),0),0))</f>
        <v>0</v>
      </c>
      <c r="W189" t="str">
        <f t="shared" si="51"/>
        <v/>
      </c>
      <c r="X189" s="38" t="str">
        <f>IF(L189="","",IF(V189&gt;0,INDEX('05-أيار'!$P$2:$P$501,V189),IF($AO$1=1,0,"")))</f>
        <v/>
      </c>
      <c r="Y189" s="38" t="str">
        <f t="shared" si="52"/>
        <v/>
      </c>
      <c r="Z189" s="39" t="str">
        <f>IF(L189="","",IF(V189&gt;0,INDEX('05-أيار'!$Q$2:$Q$501,V189),IF($AO$1=1,0,"")))</f>
        <v/>
      </c>
      <c r="AA189" s="39" t="str">
        <f t="shared" si="53"/>
        <v/>
      </c>
      <c r="AB189" s="40" t="str">
        <f>IF(OR(L189="",V189=0),"",IF(AND(N(I189)&gt;0,N(INDEX('05-أيار'!$I$2:$I$501,V189))&gt;0,INDEX('05-أيار'!$F$2:$F$501,V189)=F189),N(I189)/N(INDEX('05-أيار'!$I$2:$I$501,V189))-1,""))</f>
        <v/>
      </c>
      <c r="AC189" t="str">
        <f>IF(L189="","",IF(AND($AO$2=1,ISNA(MATCH(L189,'07-تموز'!$L$2:$L$500,0))),"محذوف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>
        <f t="shared" si="55"/>
        <v>13.454545454545457</v>
      </c>
      <c r="AI189" s="39">
        <f t="shared" si="56"/>
        <v>13.454545454545457</v>
      </c>
      <c r="AJ189" s="39">
        <f t="shared" si="57"/>
        <v>13.454545454545457</v>
      </c>
      <c r="AK189">
        <f t="shared" si="58"/>
        <v>22.909091098090911</v>
      </c>
      <c r="AL189">
        <f t="shared" si="59"/>
        <v>13.454545643545456</v>
      </c>
    </row>
    <row r="190" spans="1:38" ht="15">
      <c r="A190" t="s">
        <v>457</v>
      </c>
      <c r="B190">
        <v>908</v>
      </c>
      <c r="C190">
        <v>15000</v>
      </c>
      <c r="D190">
        <v>15000</v>
      </c>
      <c r="E190">
        <v>15000</v>
      </c>
      <c r="F190" t="s">
        <v>389</v>
      </c>
      <c r="G190" t="s">
        <v>178</v>
      </c>
      <c r="H190" t="s">
        <v>12</v>
      </c>
      <c r="I190">
        <v>7500</v>
      </c>
      <c r="K190" t="str">
        <f t="shared" si="40"/>
        <v/>
      </c>
      <c r="L190" t="str">
        <f t="shared" si="41"/>
        <v>شامبو</v>
      </c>
      <c r="M190" s="36">
        <f t="shared" si="42"/>
        <v>7.5757575757575758E-5</v>
      </c>
      <c r="N190" s="37">
        <f t="shared" si="43"/>
        <v>0.56818181818181823</v>
      </c>
      <c r="O190" s="37">
        <f t="shared" si="44"/>
        <v>1.1363636363636365</v>
      </c>
      <c r="P190" s="38">
        <f t="shared" si="45"/>
        <v>908</v>
      </c>
      <c r="Q190" s="39">
        <f t="shared" si="46"/>
        <v>515.90909090909099</v>
      </c>
      <c r="R190" s="39">
        <f t="shared" si="47"/>
        <v>1031.818181818182</v>
      </c>
      <c r="S190">
        <f t="shared" si="48"/>
        <v>1</v>
      </c>
      <c r="T190" s="39">
        <f t="shared" si="49"/>
        <v>515.90909090909099</v>
      </c>
      <c r="U190" t="str">
        <f t="shared" si="50"/>
        <v/>
      </c>
      <c r="V190">
        <f>IF(L190="","",IF($AO$1=1,IFERROR(MATCH(L190,'05-أيار'!$L$2:$L$501,0),0),0))</f>
        <v>0</v>
      </c>
      <c r="W190" t="str">
        <f t="shared" si="51"/>
        <v/>
      </c>
      <c r="X190" s="38" t="str">
        <f>IF(L190="","",IF(V190&gt;0,INDEX('05-أيار'!$P$2:$P$501,V190),IF($AO$1=1,0,"")))</f>
        <v/>
      </c>
      <c r="Y190" s="38" t="str">
        <f t="shared" si="52"/>
        <v/>
      </c>
      <c r="Z190" s="39" t="str">
        <f>IF(L190="","",IF(V190&gt;0,INDEX('05-أيار'!$Q$2:$Q$501,V190),IF($AO$1=1,0,"")))</f>
        <v/>
      </c>
      <c r="AA190" s="39" t="str">
        <f t="shared" si="53"/>
        <v/>
      </c>
      <c r="AB190" s="40" t="str">
        <f>IF(OR(L190="",V190=0),"",IF(AND(N(I190)&gt;0,N(INDEX('05-أيار'!$I$2:$I$501,V190))&gt;0,INDEX('05-أيار'!$F$2:$F$501,V190)=F190),N(I190)/N(INDEX('05-أيار'!$I$2:$I$501,V190))-1,""))</f>
        <v/>
      </c>
      <c r="AC190" t="str">
        <f>IF(L190="","",IF(AND($AO$2=1,ISNA(MATCH(L190,'07-تموز'!$L$2:$L$500,0))),"محذوف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>
        <f t="shared" si="55"/>
        <v>515.90909090909099</v>
      </c>
      <c r="AI190" s="39">
        <f t="shared" si="56"/>
        <v>515.90909090909099</v>
      </c>
      <c r="AJ190" s="39">
        <f t="shared" si="57"/>
        <v>515.90909090909099</v>
      </c>
      <c r="AK190">
        <f t="shared" si="58"/>
        <v>515.90909109909103</v>
      </c>
      <c r="AL190">
        <f t="shared" si="59"/>
        <v>515.90909109909103</v>
      </c>
    </row>
    <row r="191" spans="1:38" ht="15">
      <c r="A191" t="s">
        <v>458</v>
      </c>
      <c r="B191">
        <v>7.9</v>
      </c>
      <c r="C191">
        <v>25000</v>
      </c>
      <c r="D191">
        <v>25000</v>
      </c>
      <c r="E191">
        <v>25000</v>
      </c>
      <c r="F191" t="s">
        <v>389</v>
      </c>
      <c r="G191" t="s">
        <v>178</v>
      </c>
      <c r="H191" t="s">
        <v>12</v>
      </c>
      <c r="I191">
        <v>17000</v>
      </c>
      <c r="K191" t="str">
        <f t="shared" si="40"/>
        <v/>
      </c>
      <c r="L191" t="str">
        <f t="shared" si="41"/>
        <v>سيف عائلاتي</v>
      </c>
      <c r="M191" s="36">
        <f t="shared" si="42"/>
        <v>7.5757575757575758E-5</v>
      </c>
      <c r="N191" s="37">
        <f t="shared" si="43"/>
        <v>1.2878787878787878</v>
      </c>
      <c r="O191" s="37">
        <f t="shared" si="44"/>
        <v>1.893939393939394</v>
      </c>
      <c r="P191" s="38">
        <f t="shared" si="45"/>
        <v>7.9</v>
      </c>
      <c r="Q191" s="39">
        <f t="shared" si="46"/>
        <v>10.174242424242424</v>
      </c>
      <c r="R191" s="39">
        <f t="shared" si="47"/>
        <v>14.962121212121213</v>
      </c>
      <c r="S191">
        <f t="shared" si="48"/>
        <v>1</v>
      </c>
      <c r="T191" s="39">
        <f t="shared" si="49"/>
        <v>4.787878787878789</v>
      </c>
      <c r="U191" t="str">
        <f t="shared" si="50"/>
        <v/>
      </c>
      <c r="V191">
        <f>IF(L191="","",IF($AO$1=1,IFERROR(MATCH(L191,'05-أيار'!$L$2:$L$501,0),0),0))</f>
        <v>0</v>
      </c>
      <c r="W191" t="str">
        <f t="shared" si="51"/>
        <v/>
      </c>
      <c r="X191" s="38" t="str">
        <f>IF(L191="","",IF(V191&gt;0,INDEX('05-أيار'!$P$2:$P$501,V191),IF($AO$1=1,0,"")))</f>
        <v/>
      </c>
      <c r="Y191" s="38" t="str">
        <f t="shared" si="52"/>
        <v/>
      </c>
      <c r="Z191" s="39" t="str">
        <f>IF(L191="","",IF(V191&gt;0,INDEX('05-أيار'!$Q$2:$Q$501,V191),IF($AO$1=1,0,"")))</f>
        <v/>
      </c>
      <c r="AA191" s="39" t="str">
        <f t="shared" si="53"/>
        <v/>
      </c>
      <c r="AB191" s="40" t="str">
        <f>IF(OR(L191="",V191=0),"",IF(AND(N(I191)&gt;0,N(INDEX('05-أيار'!$I$2:$I$501,V191))&gt;0,INDEX('05-أيار'!$F$2:$F$501,V191)=F191),N(I191)/N(INDEX('05-أيار'!$I$2:$I$501,V191))-1,""))</f>
        <v/>
      </c>
      <c r="AC191" t="str">
        <f>IF(L191="","",IF(AND($AO$2=1,ISNA(MATCH(L191,'07-تموز'!$L$2:$L$500,0))),"محذوف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>
        <f t="shared" si="55"/>
        <v>4.787878787878789</v>
      </c>
      <c r="AI191" s="39">
        <f t="shared" si="56"/>
        <v>4.787878787878789</v>
      </c>
      <c r="AJ191" s="39">
        <f t="shared" si="57"/>
        <v>4.787878787878789</v>
      </c>
      <c r="AK191">
        <f t="shared" si="58"/>
        <v>10.174242615242424</v>
      </c>
      <c r="AL191">
        <f t="shared" si="59"/>
        <v>4.7878789788787888</v>
      </c>
    </row>
    <row r="192" spans="1:38" ht="15">
      <c r="A192" t="s">
        <v>459</v>
      </c>
      <c r="B192">
        <v>71.599999999999994</v>
      </c>
      <c r="C192">
        <v>50000</v>
      </c>
      <c r="D192">
        <v>50000</v>
      </c>
      <c r="E192">
        <v>50000</v>
      </c>
      <c r="F192" t="s">
        <v>389</v>
      </c>
      <c r="G192" t="s">
        <v>178</v>
      </c>
      <c r="H192" t="s">
        <v>12</v>
      </c>
      <c r="I192">
        <v>35000</v>
      </c>
      <c r="K192" t="str">
        <f t="shared" ref="K192:K255" si="60">IF(L192="","",IF(U192&lt;&gt;"","⚠",""))</f>
        <v/>
      </c>
      <c r="L192" t="str">
        <f t="shared" ref="L192:L255" si="61">IF(A192="","",TRIM(A192))</f>
        <v>سيف بريفيت</v>
      </c>
      <c r="M192" s="36">
        <f t="shared" ref="M192:M255" si="62">IF(L192="","",IF(ISNUMBER(SEARCH("دولار",F192)),1,IF(ISNUMBER(SEARCH("ليرة",F192)),IF($AO$3&gt;0,1/$AO$3,0),0)))</f>
        <v>7.5757575757575758E-5</v>
      </c>
      <c r="N192" s="37">
        <f t="shared" ref="N192:N255" si="63">IF(L192="","",N(I192)*M192)</f>
        <v>2.6515151515151514</v>
      </c>
      <c r="O192" s="37">
        <f t="shared" ref="O192:O255" si="64">IF(L192="","",M192*CHOOSE($AO$4,N(C192),N(D192),N(E192)))</f>
        <v>3.7878787878787881</v>
      </c>
      <c r="P192" s="38">
        <f t="shared" ref="P192:P255" si="65">IF(L192="","",MAX(N(B192),0))</f>
        <v>71.599999999999994</v>
      </c>
      <c r="Q192" s="39">
        <f t="shared" ref="Q192:Q255" si="66">IF(L192="","",P192*N192)</f>
        <v>189.84848484848482</v>
      </c>
      <c r="R192" s="39">
        <f t="shared" ref="R192:R255" si="67">IF(L192="","",P192*O192)</f>
        <v>271.21212121212119</v>
      </c>
      <c r="S192">
        <f t="shared" ref="S192:S255" si="68">IF(L192="","",IF(AND(P192&gt;0,N192&gt;0,O192&gt;0),1,0))</f>
        <v>1</v>
      </c>
      <c r="T192" s="39">
        <f t="shared" ref="T192:T255" si="69">IF(L192="","",S192*(R192-Q192))</f>
        <v>81.363636363636374</v>
      </c>
      <c r="U192" t="str">
        <f t="shared" ref="U192:U255" si="70">IF(L192="","",MID(IF(OR(NOT(ISNUMBER(B192)),NOT(ISNUMBER(C192)),NOT(ISNUMBER(D192)),NOT(ISNUMBER(E192)),NOT(ISNUMBER(I192)),AND(NOT(ISNUMBER(SEARCH("دولار",F192))),NOT(ISNUMBER(SEARCH("ليرة",F192)))))," | بيانات غير صالحة","")&amp;IF(N(B192)&lt;0," | كمية سالبة","")&amp;IF(AND(N(B192)&gt;0,N(I192)=0)," | شراء صفر","")&amp;IF(AND(N(B192)&gt;0,TRIM(H192)=$AO$5,OR(N(C192)=0,N(D192)=0,N(E192)=0))," | بيع صفر","")&amp;IF(AND(N192&gt;0,O192&gt;0,O192&lt;N192)," | بيع أقل من الشراء","")&amp;IF(OR(AND(ISNUMBER(SEARCH("ليرة",F192)),OR(AND(N(I192)&gt;0,N(I192)&lt;$AO$6),AND(N(C192)&gt;0,N(C192)&lt;$AO$6),AND(N(D192)&gt;0,N(D192)&lt;$AO$6),AND(N(E192)&gt;0,N(E192)&lt;$AO$6))),AND(ISNUMBER(SEARCH("دولار",F192)),MAX(N(I192),N(C192),N(D192),N(E192))&gt;$AO$7))," | عملة/سعر مشكوك","")&amp;IF(AND(COUNTIF(C192:E192,"&gt;0")&gt;=2,MAX(N(C192),N(D192),N(E192))&gt;$AO$8*MIN(IF(N(C192)&gt;0,N(C192),1E+99),IF(N(D192)&gt;0,N(D192),1E+99),IF(N(E192)&gt;0,N(E192),1E+99)))," | تباين أسعار البيع","")&amp;IF(OR(TRIM(H192)="All",TRIM(H192)="")," | بلا تصنيف",""),4,300))</f>
        <v/>
      </c>
      <c r="V192">
        <f>IF(L192="","",IF($AO$1=1,IFERROR(MATCH(L192,'05-أيار'!$L$2:$L$501,0),0),0))</f>
        <v>0</v>
      </c>
      <c r="W192" t="str">
        <f t="shared" ref="W192:W255" si="71">IF(L192="","",IF(AND($AO$1=1,V192=0),"جديد",""))</f>
        <v/>
      </c>
      <c r="X192" s="38" t="str">
        <f>IF(L192="","",IF(V192&gt;0,INDEX('05-أيار'!$P$2:$P$501,V192),IF($AO$1=1,0,"")))</f>
        <v/>
      </c>
      <c r="Y192" s="38" t="str">
        <f t="shared" ref="Y192:Y255" si="72">IF(OR(L192="",X192=""),"",P192-X192)</f>
        <v/>
      </c>
      <c r="Z192" s="39" t="str">
        <f>IF(L192="","",IF(V192&gt;0,INDEX('05-أيار'!$Q$2:$Q$501,V192),IF($AO$1=1,0,"")))</f>
        <v/>
      </c>
      <c r="AA192" s="39" t="str">
        <f t="shared" ref="AA192:AA255" si="73">IF(OR(L192="",Z192=""),"",Q192-Z192)</f>
        <v/>
      </c>
      <c r="AB192" s="40" t="str">
        <f>IF(OR(L192="",V192=0),"",IF(AND(N(I192)&gt;0,N(INDEX('05-أيار'!$I$2:$I$501,V192))&gt;0,INDEX('05-أيار'!$F$2:$F$501,V192)=F192),N(I192)/N(INDEX('05-أيار'!$I$2:$I$501,V192))-1,""))</f>
        <v/>
      </c>
      <c r="AC192" t="str">
        <f>IF(L192="","",IF(AND($AO$2=1,ISNA(MATCH(L192,'07-تموز'!$L$2:$L$500,0))),"محذوف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ref="AG192:AG255" si="74">IF(AA192="","",ABS(AA192)+ROW()/1000000000)</f>
        <v/>
      </c>
      <c r="AH192" s="39">
        <f t="shared" ref="AH192:AH255" si="75">IF(L192="","",IF(AND(P192&gt;0,N192&gt;0,N(C192)&gt;0),P192*(M192*N(C192)-N192),0))</f>
        <v>81.363636363636374</v>
      </c>
      <c r="AI192" s="39">
        <f t="shared" ref="AI192:AI255" si="76">IF(L192="","",IF(AND(P192&gt;0,N192&gt;0,N(D192)&gt;0),P192*(M192*N(D192)-N192),0))</f>
        <v>81.363636363636374</v>
      </c>
      <c r="AJ192" s="39">
        <f t="shared" ref="AJ192:AJ255" si="77">IF(L192="","",IF(AND(P192&gt;0,N192&gt;0,N(E192)&gt;0),P192*(M192*N(E192)-N192),0))</f>
        <v>81.363636363636374</v>
      </c>
      <c r="AK192">
        <f t="shared" ref="AK192:AK255" si="78">IF(L192="","",Q192+ROW()/1000000000)</f>
        <v>189.8484850404848</v>
      </c>
      <c r="AL192">
        <f t="shared" ref="AL192:AL255" si="79">IF(L192="","",T192+ROW()/1000000000)</f>
        <v>81.363636555636376</v>
      </c>
    </row>
    <row r="193" spans="1:38" ht="15">
      <c r="A193" t="s">
        <v>460</v>
      </c>
      <c r="B193">
        <v>0</v>
      </c>
      <c r="C193">
        <v>19000</v>
      </c>
      <c r="D193">
        <v>19000</v>
      </c>
      <c r="E193">
        <v>19000</v>
      </c>
      <c r="F193" t="s">
        <v>389</v>
      </c>
      <c r="G193" t="s">
        <v>178</v>
      </c>
      <c r="H193" t="s">
        <v>12</v>
      </c>
      <c r="I193">
        <v>16000</v>
      </c>
      <c r="K193" t="str">
        <f t="shared" si="60"/>
        <v/>
      </c>
      <c r="L193" t="str">
        <f t="shared" si="61"/>
        <v>سيف برلنت</v>
      </c>
      <c r="M193" s="36">
        <f t="shared" si="62"/>
        <v>7.5757575757575758E-5</v>
      </c>
      <c r="N193" s="37">
        <f t="shared" si="63"/>
        <v>1.2121212121212122</v>
      </c>
      <c r="O193" s="37">
        <f t="shared" si="64"/>
        <v>1.4393939393939394</v>
      </c>
      <c r="P193" s="38">
        <f t="shared" si="65"/>
        <v>0</v>
      </c>
      <c r="Q193" s="39">
        <f t="shared" si="66"/>
        <v>0</v>
      </c>
      <c r="R193" s="39">
        <f t="shared" si="67"/>
        <v>0</v>
      </c>
      <c r="S193">
        <f t="shared" si="68"/>
        <v>0</v>
      </c>
      <c r="T193" s="39">
        <f t="shared" si="69"/>
        <v>0</v>
      </c>
      <c r="U193" t="str">
        <f t="shared" si="70"/>
        <v/>
      </c>
      <c r="V193">
        <f>IF(L193="","",IF($AO$1=1,IFERROR(MATCH(L193,'05-أيار'!$L$2:$L$501,0),0),0))</f>
        <v>0</v>
      </c>
      <c r="W193" t="str">
        <f t="shared" si="71"/>
        <v/>
      </c>
      <c r="X193" s="38" t="str">
        <f>IF(L193="","",IF(V193&gt;0,INDEX('05-أيار'!$P$2:$P$501,V193),IF($AO$1=1,0,"")))</f>
        <v/>
      </c>
      <c r="Y193" s="38" t="str">
        <f t="shared" si="72"/>
        <v/>
      </c>
      <c r="Z193" s="39" t="str">
        <f>IF(L193="","",IF(V193&gt;0,INDEX('05-أيار'!$Q$2:$Q$501,V193),IF($AO$1=1,0,"")))</f>
        <v/>
      </c>
      <c r="AA193" s="39" t="str">
        <f t="shared" si="73"/>
        <v/>
      </c>
      <c r="AB193" s="40" t="str">
        <f>IF(OR(L193="",V193=0),"",IF(AND(N(I193)&gt;0,N(INDEX('05-أيار'!$I$2:$I$501,V193))&gt;0,INDEX('05-أيار'!$F$2:$F$501,V193)=F193),N(I193)/N(INDEX('05-أيار'!$I$2:$I$501,V193))-1,""))</f>
        <v/>
      </c>
      <c r="AC193" t="str">
        <f>IF(L193="","",IF(AND($AO$2=1,ISNA(MATCH(L193,'07-تموز'!$L$2:$L$500,0))),"محذوف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74"/>
        <v/>
      </c>
      <c r="AH193" s="39">
        <f t="shared" si="75"/>
        <v>0</v>
      </c>
      <c r="AI193" s="39">
        <f t="shared" si="76"/>
        <v>0</v>
      </c>
      <c r="AJ193" s="39">
        <f t="shared" si="77"/>
        <v>0</v>
      </c>
      <c r="AK193">
        <f t="shared" si="78"/>
        <v>1.9299999999999999E-7</v>
      </c>
      <c r="AL193">
        <f t="shared" si="79"/>
        <v>1.9299999999999999E-7</v>
      </c>
    </row>
    <row r="194" spans="1:38" ht="15">
      <c r="A194" t="s">
        <v>461</v>
      </c>
      <c r="B194">
        <v>14</v>
      </c>
      <c r="C194">
        <v>21000</v>
      </c>
      <c r="D194">
        <v>21000</v>
      </c>
      <c r="E194">
        <v>21000</v>
      </c>
      <c r="F194" t="s">
        <v>389</v>
      </c>
      <c r="G194" t="s">
        <v>178</v>
      </c>
      <c r="H194" t="s">
        <v>12</v>
      </c>
      <c r="I194">
        <v>9000</v>
      </c>
      <c r="K194" t="str">
        <f t="shared" si="60"/>
        <v/>
      </c>
      <c r="L194" t="str">
        <f t="shared" si="61"/>
        <v>سيف الكرار نخب اول</v>
      </c>
      <c r="M194" s="36">
        <f t="shared" si="62"/>
        <v>7.5757575757575758E-5</v>
      </c>
      <c r="N194" s="37">
        <f t="shared" si="63"/>
        <v>0.68181818181818177</v>
      </c>
      <c r="O194" s="37">
        <f t="shared" si="64"/>
        <v>1.5909090909090908</v>
      </c>
      <c r="P194" s="38">
        <f t="shared" si="65"/>
        <v>14</v>
      </c>
      <c r="Q194" s="39">
        <f t="shared" si="66"/>
        <v>9.545454545454545</v>
      </c>
      <c r="R194" s="39">
        <f t="shared" si="67"/>
        <v>22.272727272727273</v>
      </c>
      <c r="S194">
        <f t="shared" si="68"/>
        <v>1</v>
      </c>
      <c r="T194" s="39">
        <f t="shared" si="69"/>
        <v>12.727272727272728</v>
      </c>
      <c r="U194" t="str">
        <f t="shared" si="70"/>
        <v/>
      </c>
      <c r="V194">
        <f>IF(L194="","",IF($AO$1=1,IFERROR(MATCH(L194,'05-أيار'!$L$2:$L$501,0),0),0))</f>
        <v>0</v>
      </c>
      <c r="W194" t="str">
        <f t="shared" si="71"/>
        <v/>
      </c>
      <c r="X194" s="38" t="str">
        <f>IF(L194="","",IF(V194&gt;0,INDEX('05-أيار'!$P$2:$P$501,V194),IF($AO$1=1,0,"")))</f>
        <v/>
      </c>
      <c r="Y194" s="38" t="str">
        <f t="shared" si="72"/>
        <v/>
      </c>
      <c r="Z194" s="39" t="str">
        <f>IF(L194="","",IF(V194&gt;0,INDEX('05-أيار'!$Q$2:$Q$501,V194),IF($AO$1=1,0,"")))</f>
        <v/>
      </c>
      <c r="AA194" s="39" t="str">
        <f t="shared" si="73"/>
        <v/>
      </c>
      <c r="AB194" s="40" t="str">
        <f>IF(OR(L194="",V194=0),"",IF(AND(N(I194)&gt;0,N(INDEX('05-أيار'!$I$2:$I$501,V194))&gt;0,INDEX('05-أيار'!$F$2:$F$501,V194)=F194),N(I194)/N(INDEX('05-أيار'!$I$2:$I$501,V194))-1,""))</f>
        <v/>
      </c>
      <c r="AC194" t="str">
        <f>IF(L194="","",IF(AND($AO$2=1,ISNA(MATCH(L194,'07-تموز'!$L$2:$L$500,0))),"محذوف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si="74"/>
        <v/>
      </c>
      <c r="AH194" s="39">
        <f t="shared" si="75"/>
        <v>12.727272727272727</v>
      </c>
      <c r="AI194" s="39">
        <f t="shared" si="76"/>
        <v>12.727272727272727</v>
      </c>
      <c r="AJ194" s="39">
        <f t="shared" si="77"/>
        <v>12.727272727272727</v>
      </c>
      <c r="AK194">
        <f t="shared" si="78"/>
        <v>9.545454739454545</v>
      </c>
      <c r="AL194">
        <f t="shared" si="79"/>
        <v>12.727272921272728</v>
      </c>
    </row>
    <row r="195" spans="1:38" ht="15">
      <c r="A195" t="s">
        <v>462</v>
      </c>
      <c r="B195">
        <v>7</v>
      </c>
      <c r="C195">
        <v>200000</v>
      </c>
      <c r="D195">
        <v>200000</v>
      </c>
      <c r="E195">
        <v>200000</v>
      </c>
      <c r="F195" t="s">
        <v>389</v>
      </c>
      <c r="G195" t="s">
        <v>178</v>
      </c>
      <c r="H195" t="s">
        <v>12</v>
      </c>
      <c r="I195">
        <v>150000</v>
      </c>
      <c r="K195" t="str">
        <f t="shared" si="60"/>
        <v/>
      </c>
      <c r="L195" t="str">
        <f t="shared" si="61"/>
        <v>سيف الكرار 2602</v>
      </c>
      <c r="M195" s="36">
        <f t="shared" si="62"/>
        <v>7.5757575757575758E-5</v>
      </c>
      <c r="N195" s="37">
        <f t="shared" si="63"/>
        <v>11.363636363636363</v>
      </c>
      <c r="O195" s="37">
        <f t="shared" si="64"/>
        <v>15.151515151515152</v>
      </c>
      <c r="P195" s="38">
        <f t="shared" si="65"/>
        <v>7</v>
      </c>
      <c r="Q195" s="39">
        <f t="shared" si="66"/>
        <v>79.545454545454547</v>
      </c>
      <c r="R195" s="39">
        <f t="shared" si="67"/>
        <v>106.06060606060606</v>
      </c>
      <c r="S195">
        <f t="shared" si="68"/>
        <v>1</v>
      </c>
      <c r="T195" s="39">
        <f t="shared" si="69"/>
        <v>26.515151515151516</v>
      </c>
      <c r="U195" t="str">
        <f t="shared" si="70"/>
        <v/>
      </c>
      <c r="V195">
        <f>IF(L195="","",IF($AO$1=1,IFERROR(MATCH(L195,'05-أيار'!$L$2:$L$501,0),0),0))</f>
        <v>0</v>
      </c>
      <c r="W195" t="str">
        <f t="shared" si="71"/>
        <v/>
      </c>
      <c r="X195" s="38" t="str">
        <f>IF(L195="","",IF(V195&gt;0,INDEX('05-أيار'!$P$2:$P$501,V195),IF($AO$1=1,0,"")))</f>
        <v/>
      </c>
      <c r="Y195" s="38" t="str">
        <f t="shared" si="72"/>
        <v/>
      </c>
      <c r="Z195" s="39" t="str">
        <f>IF(L195="","",IF(V195&gt;0,INDEX('05-أيار'!$Q$2:$Q$501,V195),IF($AO$1=1,0,"")))</f>
        <v/>
      </c>
      <c r="AA195" s="39" t="str">
        <f t="shared" si="73"/>
        <v/>
      </c>
      <c r="AB195" s="40" t="str">
        <f>IF(OR(L195="",V195=0),"",IF(AND(N(I195)&gt;0,N(INDEX('05-أيار'!$I$2:$I$501,V195))&gt;0,INDEX('05-أيار'!$F$2:$F$501,V195)=F195),N(I195)/N(INDEX('05-أيار'!$I$2:$I$501,V195))-1,""))</f>
        <v/>
      </c>
      <c r="AC195" t="str">
        <f>IF(L195="","",IF(AND($AO$2=1,ISNA(MATCH(L195,'07-تموز'!$L$2:$L$500,0))),"محذوف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>
        <f t="shared" si="75"/>
        <v>26.515151515151523</v>
      </c>
      <c r="AI195" s="39">
        <f t="shared" si="76"/>
        <v>26.515151515151523</v>
      </c>
      <c r="AJ195" s="39">
        <f t="shared" si="77"/>
        <v>26.515151515151523</v>
      </c>
      <c r="AK195">
        <f t="shared" si="78"/>
        <v>79.545454740454545</v>
      </c>
      <c r="AL195">
        <f t="shared" si="79"/>
        <v>26.515151710151514</v>
      </c>
    </row>
    <row r="196" spans="1:38" ht="15">
      <c r="A196" t="s">
        <v>463</v>
      </c>
      <c r="B196">
        <v>0</v>
      </c>
      <c r="C196">
        <v>30000</v>
      </c>
      <c r="D196">
        <v>30000</v>
      </c>
      <c r="E196">
        <v>30000</v>
      </c>
      <c r="F196" t="s">
        <v>389</v>
      </c>
      <c r="G196" t="s">
        <v>178</v>
      </c>
      <c r="H196" t="s">
        <v>12</v>
      </c>
      <c r="I196">
        <v>20000</v>
      </c>
      <c r="K196" t="str">
        <f t="shared" si="60"/>
        <v/>
      </c>
      <c r="L196" t="str">
        <f t="shared" si="61"/>
        <v>سلة غسيل</v>
      </c>
      <c r="M196" s="36">
        <f t="shared" si="62"/>
        <v>7.5757575757575758E-5</v>
      </c>
      <c r="N196" s="37">
        <f t="shared" si="63"/>
        <v>1.5151515151515151</v>
      </c>
      <c r="O196" s="37">
        <f t="shared" si="64"/>
        <v>2.2727272727272729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IF(L196="","",IF($AO$1=1,IFERROR(MATCH(L196,'05-أيار'!$L$2:$L$501,0),0),0))</f>
        <v>0</v>
      </c>
      <c r="W196" t="str">
        <f t="shared" si="71"/>
        <v/>
      </c>
      <c r="X196" s="38" t="str">
        <f>IF(L196="","",IF(V196&gt;0,INDEX('05-أيار'!$P$2:$P$501,V196),IF($AO$1=1,0,"")))</f>
        <v/>
      </c>
      <c r="Y196" s="38" t="str">
        <f t="shared" si="72"/>
        <v/>
      </c>
      <c r="Z196" s="39" t="str">
        <f>IF(L196="","",IF(V196&gt;0,INDEX('05-أيار'!$Q$2:$Q$501,V196),IF($AO$1=1,0,"")))</f>
        <v/>
      </c>
      <c r="AA196" s="39" t="str">
        <f t="shared" si="73"/>
        <v/>
      </c>
      <c r="AB196" s="40" t="str">
        <f>IF(OR(L196="",V196=0),"",IF(AND(N(I196)&gt;0,N(INDEX('05-أيار'!$I$2:$I$501,V196))&gt;0,INDEX('05-أيار'!$F$2:$F$501,V196)=F196),N(I196)/N(INDEX('05-أيار'!$I$2:$I$501,V196))-1,""))</f>
        <v/>
      </c>
      <c r="AC196" t="str">
        <f>IF(L196="","",IF(AND($AO$2=1,ISNA(MATCH(L196,'07-تموز'!$L$2:$L$500,0))),"محذوف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464</v>
      </c>
      <c r="B197">
        <v>2335</v>
      </c>
      <c r="C197">
        <v>4000</v>
      </c>
      <c r="D197">
        <v>4000</v>
      </c>
      <c r="E197">
        <v>4000</v>
      </c>
      <c r="F197" t="s">
        <v>389</v>
      </c>
      <c r="G197" t="s">
        <v>178</v>
      </c>
      <c r="H197" t="s">
        <v>12</v>
      </c>
      <c r="I197">
        <v>2500</v>
      </c>
      <c r="K197" t="str">
        <f t="shared" si="60"/>
        <v/>
      </c>
      <c r="L197" t="str">
        <f t="shared" si="61"/>
        <v>سائل مغسل</v>
      </c>
      <c r="M197" s="36">
        <f t="shared" si="62"/>
        <v>7.5757575757575758E-5</v>
      </c>
      <c r="N197" s="37">
        <f t="shared" si="63"/>
        <v>0.18939393939393939</v>
      </c>
      <c r="O197" s="37">
        <f t="shared" si="64"/>
        <v>0.30303030303030304</v>
      </c>
      <c r="P197" s="38">
        <f t="shared" si="65"/>
        <v>2335</v>
      </c>
      <c r="Q197" s="39">
        <f t="shared" si="66"/>
        <v>442.2348484848485</v>
      </c>
      <c r="R197" s="39">
        <f t="shared" si="67"/>
        <v>707.57575757575762</v>
      </c>
      <c r="S197">
        <f t="shared" si="68"/>
        <v>1</v>
      </c>
      <c r="T197" s="39">
        <f t="shared" si="69"/>
        <v>265.34090909090912</v>
      </c>
      <c r="U197" t="str">
        <f t="shared" si="70"/>
        <v/>
      </c>
      <c r="V197">
        <f>IF(L197="","",IF($AO$1=1,IFERROR(MATCH(L197,'05-أيار'!$L$2:$L$501,0),0),0))</f>
        <v>0</v>
      </c>
      <c r="W197" t="str">
        <f t="shared" si="71"/>
        <v/>
      </c>
      <c r="X197" s="38" t="str">
        <f>IF(L197="","",IF(V197&gt;0,INDEX('05-أيار'!$P$2:$P$501,V197),IF($AO$1=1,0,"")))</f>
        <v/>
      </c>
      <c r="Y197" s="38" t="str">
        <f t="shared" si="72"/>
        <v/>
      </c>
      <c r="Z197" s="39" t="str">
        <f>IF(L197="","",IF(V197&gt;0,INDEX('05-أيار'!$Q$2:$Q$501,V197),IF($AO$1=1,0,"")))</f>
        <v/>
      </c>
      <c r="AA197" s="39" t="str">
        <f t="shared" si="73"/>
        <v/>
      </c>
      <c r="AB197" s="40" t="str">
        <f>IF(OR(L197="",V197=0),"",IF(AND(N(I197)&gt;0,N(INDEX('05-أيار'!$I$2:$I$501,V197))&gt;0,INDEX('05-أيار'!$F$2:$F$501,V197)=F197),N(I197)/N(INDEX('05-أيار'!$I$2:$I$501,V197))-1,""))</f>
        <v/>
      </c>
      <c r="AC197" t="str">
        <f>IF(L197="","",IF(AND($AO$2=1,ISNA(MATCH(L197,'07-تموز'!$L$2:$L$500,0))),"محذوف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>
        <f t="shared" si="75"/>
        <v>265.34090909090912</v>
      </c>
      <c r="AI197" s="39">
        <f t="shared" si="76"/>
        <v>265.34090909090912</v>
      </c>
      <c r="AJ197" s="39">
        <f t="shared" si="77"/>
        <v>265.34090909090912</v>
      </c>
      <c r="AK197">
        <f t="shared" si="78"/>
        <v>442.23484868184852</v>
      </c>
      <c r="AL197">
        <f t="shared" si="79"/>
        <v>265.34090928790914</v>
      </c>
    </row>
    <row r="198" spans="1:38" ht="15">
      <c r="A198" t="s">
        <v>465</v>
      </c>
      <c r="B198">
        <v>29</v>
      </c>
      <c r="C198">
        <v>13000</v>
      </c>
      <c r="D198">
        <v>13000</v>
      </c>
      <c r="E198">
        <v>13000</v>
      </c>
      <c r="F198" t="s">
        <v>389</v>
      </c>
      <c r="G198" t="s">
        <v>178</v>
      </c>
      <c r="H198" t="s">
        <v>12</v>
      </c>
      <c r="I198">
        <v>12800</v>
      </c>
      <c r="K198" t="str">
        <f t="shared" si="60"/>
        <v/>
      </c>
      <c r="L198" t="str">
        <f t="shared" si="61"/>
        <v>سائل غسيل زهري</v>
      </c>
      <c r="M198" s="36">
        <f t="shared" si="62"/>
        <v>7.5757575757575758E-5</v>
      </c>
      <c r="N198" s="37">
        <f t="shared" si="63"/>
        <v>0.96969696969696972</v>
      </c>
      <c r="O198" s="37">
        <f t="shared" si="64"/>
        <v>0.98484848484848486</v>
      </c>
      <c r="P198" s="38">
        <f t="shared" si="65"/>
        <v>29</v>
      </c>
      <c r="Q198" s="39">
        <f t="shared" si="66"/>
        <v>28.121212121212121</v>
      </c>
      <c r="R198" s="39">
        <f t="shared" si="67"/>
        <v>28.560606060606062</v>
      </c>
      <c r="S198">
        <f t="shared" si="68"/>
        <v>1</v>
      </c>
      <c r="T198" s="39">
        <f t="shared" si="69"/>
        <v>0.43939393939394122</v>
      </c>
      <c r="U198" t="str">
        <f t="shared" si="70"/>
        <v/>
      </c>
      <c r="V198">
        <f>IF(L198="","",IF($AO$1=1,IFERROR(MATCH(L198,'05-أيار'!$L$2:$L$501,0),0),0))</f>
        <v>0</v>
      </c>
      <c r="W198" t="str">
        <f t="shared" si="71"/>
        <v/>
      </c>
      <c r="X198" s="38" t="str">
        <f>IF(L198="","",IF(V198&gt;0,INDEX('05-أيار'!$P$2:$P$501,V198),IF($AO$1=1,0,"")))</f>
        <v/>
      </c>
      <c r="Y198" s="38" t="str">
        <f t="shared" si="72"/>
        <v/>
      </c>
      <c r="Z198" s="39" t="str">
        <f>IF(L198="","",IF(V198&gt;0,INDEX('05-أيار'!$Q$2:$Q$501,V198),IF($AO$1=1,0,"")))</f>
        <v/>
      </c>
      <c r="AA198" s="39" t="str">
        <f t="shared" si="73"/>
        <v/>
      </c>
      <c r="AB198" s="40" t="str">
        <f>IF(OR(L198="",V198=0),"",IF(AND(N(I198)&gt;0,N(INDEX('05-أيار'!$I$2:$I$501,V198))&gt;0,INDEX('05-أيار'!$F$2:$F$501,V198)=F198),N(I198)/N(INDEX('05-أيار'!$I$2:$I$501,V198))-1,""))</f>
        <v/>
      </c>
      <c r="AC198" t="str">
        <f>IF(L198="","",IF(AND($AO$2=1,ISNA(MATCH(L198,'07-تموز'!$L$2:$L$500,0))),"محذوف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>
        <f t="shared" si="75"/>
        <v>0.439393939393939</v>
      </c>
      <c r="AI198" s="39">
        <f t="shared" si="76"/>
        <v>0.439393939393939</v>
      </c>
      <c r="AJ198" s="39">
        <f t="shared" si="77"/>
        <v>0.439393939393939</v>
      </c>
      <c r="AK198">
        <f t="shared" si="78"/>
        <v>28.12121231921212</v>
      </c>
      <c r="AL198">
        <f t="shared" si="79"/>
        <v>0.43939413739394123</v>
      </c>
    </row>
    <row r="199" spans="1:38" ht="15">
      <c r="A199" t="s">
        <v>466</v>
      </c>
      <c r="B199">
        <v>34</v>
      </c>
      <c r="C199">
        <v>58000</v>
      </c>
      <c r="D199">
        <v>58000</v>
      </c>
      <c r="E199">
        <v>58000</v>
      </c>
      <c r="F199" t="s">
        <v>389</v>
      </c>
      <c r="G199" t="s">
        <v>178</v>
      </c>
      <c r="H199" t="s">
        <v>12</v>
      </c>
      <c r="I199">
        <v>41500</v>
      </c>
      <c r="K199" t="str">
        <f t="shared" si="60"/>
        <v/>
      </c>
      <c r="L199" t="str">
        <f t="shared" si="61"/>
        <v>سائل غسيل اتوماتيك 3 لتر</v>
      </c>
      <c r="M199" s="36">
        <f t="shared" si="62"/>
        <v>7.5757575757575758E-5</v>
      </c>
      <c r="N199" s="37">
        <f t="shared" si="63"/>
        <v>3.143939393939394</v>
      </c>
      <c r="O199" s="37">
        <f t="shared" si="64"/>
        <v>4.3939393939393936</v>
      </c>
      <c r="P199" s="38">
        <f t="shared" si="65"/>
        <v>34</v>
      </c>
      <c r="Q199" s="39">
        <f t="shared" si="66"/>
        <v>106.89393939393939</v>
      </c>
      <c r="R199" s="39">
        <f t="shared" si="67"/>
        <v>149.39393939393938</v>
      </c>
      <c r="S199">
        <f t="shared" si="68"/>
        <v>1</v>
      </c>
      <c r="T199" s="39">
        <f t="shared" si="69"/>
        <v>42.499999999999986</v>
      </c>
      <c r="U199" t="str">
        <f t="shared" si="70"/>
        <v/>
      </c>
      <c r="V199">
        <f>IF(L199="","",IF($AO$1=1,IFERROR(MATCH(L199,'05-أيار'!$L$2:$L$501,0),0),0))</f>
        <v>0</v>
      </c>
      <c r="W199" t="str">
        <f t="shared" si="71"/>
        <v/>
      </c>
      <c r="X199" s="38" t="str">
        <f>IF(L199="","",IF(V199&gt;0,INDEX('05-أيار'!$P$2:$P$501,V199),IF($AO$1=1,0,"")))</f>
        <v/>
      </c>
      <c r="Y199" s="38" t="str">
        <f t="shared" si="72"/>
        <v/>
      </c>
      <c r="Z199" s="39" t="str">
        <f>IF(L199="","",IF(V199&gt;0,INDEX('05-أيار'!$Q$2:$Q$501,V199),IF($AO$1=1,0,"")))</f>
        <v/>
      </c>
      <c r="AA199" s="39" t="str">
        <f t="shared" si="73"/>
        <v/>
      </c>
      <c r="AB199" s="40" t="str">
        <f>IF(OR(L199="",V199=0),"",IF(AND(N(I199)&gt;0,N(INDEX('05-أيار'!$I$2:$I$501,V199))&gt;0,INDEX('05-أيار'!$F$2:$F$501,V199)=F199),N(I199)/N(INDEX('05-أيار'!$I$2:$I$501,V199))-1,""))</f>
        <v/>
      </c>
      <c r="AC199" t="str">
        <f>IF(L199="","",IF(AND($AO$2=1,ISNA(MATCH(L199,'07-تموز'!$L$2:$L$500,0))),"محذوف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>
        <f t="shared" si="75"/>
        <v>42.499999999999986</v>
      </c>
      <c r="AI199" s="39">
        <f t="shared" si="76"/>
        <v>42.499999999999986</v>
      </c>
      <c r="AJ199" s="39">
        <f t="shared" si="77"/>
        <v>42.499999999999986</v>
      </c>
      <c r="AK199">
        <f t="shared" si="78"/>
        <v>106.89393959293939</v>
      </c>
      <c r="AL199">
        <f t="shared" si="79"/>
        <v>42.500000198999984</v>
      </c>
    </row>
    <row r="200" spans="1:38" ht="15">
      <c r="A200" t="s">
        <v>467</v>
      </c>
      <c r="B200">
        <v>245</v>
      </c>
      <c r="C200">
        <v>15000</v>
      </c>
      <c r="D200">
        <v>15000</v>
      </c>
      <c r="E200">
        <v>15000</v>
      </c>
      <c r="F200" t="s">
        <v>389</v>
      </c>
      <c r="G200" t="s">
        <v>178</v>
      </c>
      <c r="H200" t="s">
        <v>12</v>
      </c>
      <c r="I200">
        <v>12800</v>
      </c>
      <c r="K200" t="str">
        <f t="shared" si="60"/>
        <v/>
      </c>
      <c r="L200" t="str">
        <f t="shared" si="61"/>
        <v>سائل غسيل اتوماتيك / فرط</v>
      </c>
      <c r="M200" s="36">
        <f t="shared" si="62"/>
        <v>7.5757575757575758E-5</v>
      </c>
      <c r="N200" s="37">
        <f t="shared" si="63"/>
        <v>0.96969696969696972</v>
      </c>
      <c r="O200" s="37">
        <f t="shared" si="64"/>
        <v>1.1363636363636365</v>
      </c>
      <c r="P200" s="38">
        <f t="shared" si="65"/>
        <v>245</v>
      </c>
      <c r="Q200" s="39">
        <f t="shared" si="66"/>
        <v>237.57575757575759</v>
      </c>
      <c r="R200" s="39">
        <f t="shared" si="67"/>
        <v>278.40909090909093</v>
      </c>
      <c r="S200">
        <f t="shared" si="68"/>
        <v>1</v>
      </c>
      <c r="T200" s="39">
        <f t="shared" si="69"/>
        <v>40.833333333333343</v>
      </c>
      <c r="U200" t="str">
        <f t="shared" si="70"/>
        <v/>
      </c>
      <c r="V200">
        <f>IF(L200="","",IF($AO$1=1,IFERROR(MATCH(L200,'05-أيار'!$L$2:$L$501,0),0),0))</f>
        <v>0</v>
      </c>
      <c r="W200" t="str">
        <f t="shared" si="71"/>
        <v/>
      </c>
      <c r="X200" s="38" t="str">
        <f>IF(L200="","",IF(V200&gt;0,INDEX('05-أيار'!$P$2:$P$501,V200),IF($AO$1=1,0,"")))</f>
        <v/>
      </c>
      <c r="Y200" s="38" t="str">
        <f t="shared" si="72"/>
        <v/>
      </c>
      <c r="Z200" s="39" t="str">
        <f>IF(L200="","",IF(V200&gt;0,INDEX('05-أيار'!$Q$2:$Q$501,V200),IF($AO$1=1,0,"")))</f>
        <v/>
      </c>
      <c r="AA200" s="39" t="str">
        <f t="shared" si="73"/>
        <v/>
      </c>
      <c r="AB200" s="40" t="str">
        <f>IF(OR(L200="",V200=0),"",IF(AND(N(I200)&gt;0,N(INDEX('05-أيار'!$I$2:$I$501,V200))&gt;0,INDEX('05-أيار'!$F$2:$F$501,V200)=F200),N(I200)/N(INDEX('05-أيار'!$I$2:$I$501,V200))-1,""))</f>
        <v/>
      </c>
      <c r="AC200" t="str">
        <f>IF(L200="","",IF(AND($AO$2=1,ISNA(MATCH(L200,'07-تموز'!$L$2:$L$500,0))),"محذوف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>
        <f t="shared" si="75"/>
        <v>40.83333333333335</v>
      </c>
      <c r="AI200" s="39">
        <f t="shared" si="76"/>
        <v>40.83333333333335</v>
      </c>
      <c r="AJ200" s="39">
        <f t="shared" si="77"/>
        <v>40.83333333333335</v>
      </c>
      <c r="AK200">
        <f t="shared" si="78"/>
        <v>237.57575777575758</v>
      </c>
      <c r="AL200">
        <f t="shared" si="79"/>
        <v>40.833333533333345</v>
      </c>
    </row>
    <row r="201" spans="1:38" ht="15">
      <c r="A201" t="s">
        <v>468</v>
      </c>
      <c r="B201">
        <v>0</v>
      </c>
      <c r="C201">
        <v>12000</v>
      </c>
      <c r="D201">
        <v>12000</v>
      </c>
      <c r="E201">
        <v>12000</v>
      </c>
      <c r="F201" t="s">
        <v>389</v>
      </c>
      <c r="G201" t="s">
        <v>178</v>
      </c>
      <c r="H201" t="s">
        <v>12</v>
      </c>
      <c r="I201">
        <v>11000</v>
      </c>
      <c r="K201" t="str">
        <f t="shared" si="60"/>
        <v/>
      </c>
      <c r="L201" t="str">
        <f t="shared" si="61"/>
        <v>سائل جلي متعدد الاستعمالات كرمل</v>
      </c>
      <c r="M201" s="36">
        <f t="shared" si="62"/>
        <v>7.5757575757575758E-5</v>
      </c>
      <c r="N201" s="37">
        <f t="shared" si="63"/>
        <v>0.83333333333333337</v>
      </c>
      <c r="O201" s="37">
        <f t="shared" si="64"/>
        <v>0.90909090909090906</v>
      </c>
      <c r="P201" s="38">
        <f t="shared" si="65"/>
        <v>0</v>
      </c>
      <c r="Q201" s="39">
        <f t="shared" si="66"/>
        <v>0</v>
      </c>
      <c r="R201" s="39">
        <f t="shared" si="67"/>
        <v>0</v>
      </c>
      <c r="S201">
        <f t="shared" si="68"/>
        <v>0</v>
      </c>
      <c r="T201" s="39">
        <f t="shared" si="69"/>
        <v>0</v>
      </c>
      <c r="U201" t="str">
        <f t="shared" si="70"/>
        <v/>
      </c>
      <c r="V201">
        <f>IF(L201="","",IF($AO$1=1,IFERROR(MATCH(L201,'05-أيار'!$L$2:$L$501,0),0),0))</f>
        <v>0</v>
      </c>
      <c r="W201" t="str">
        <f t="shared" si="71"/>
        <v/>
      </c>
      <c r="X201" s="38" t="str">
        <f>IF(L201="","",IF(V201&gt;0,INDEX('05-أيار'!$P$2:$P$501,V201),IF($AO$1=1,0,"")))</f>
        <v/>
      </c>
      <c r="Y201" s="38" t="str">
        <f t="shared" si="72"/>
        <v/>
      </c>
      <c r="Z201" s="39" t="str">
        <f>IF(L201="","",IF(V201&gt;0,INDEX('05-أيار'!$Q$2:$Q$501,V201),IF($AO$1=1,0,"")))</f>
        <v/>
      </c>
      <c r="AA201" s="39" t="str">
        <f t="shared" si="73"/>
        <v/>
      </c>
      <c r="AB201" s="40" t="str">
        <f>IF(OR(L201="",V201=0),"",IF(AND(N(I201)&gt;0,N(INDEX('05-أيار'!$I$2:$I$501,V201))&gt;0,INDEX('05-أيار'!$F$2:$F$501,V201)=F201),N(I201)/N(INDEX('05-أيار'!$I$2:$I$501,V201))-1,""))</f>
        <v/>
      </c>
      <c r="AC201" t="str">
        <f>IF(L201="","",IF(AND($AO$2=1,ISNA(MATCH(L201,'07-تموز'!$L$2:$L$500,0))),"محذوف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>
        <f t="shared" si="75"/>
        <v>0</v>
      </c>
      <c r="AI201" s="39">
        <f t="shared" si="76"/>
        <v>0</v>
      </c>
      <c r="AJ201" s="39">
        <f t="shared" si="77"/>
        <v>0</v>
      </c>
      <c r="AK201">
        <f t="shared" si="78"/>
        <v>2.0100000000000001E-7</v>
      </c>
      <c r="AL201">
        <f t="shared" si="79"/>
        <v>2.0100000000000001E-7</v>
      </c>
    </row>
    <row r="202" spans="1:38" ht="15">
      <c r="A202" t="s">
        <v>469</v>
      </c>
      <c r="B202">
        <v>4</v>
      </c>
      <c r="C202">
        <v>11000</v>
      </c>
      <c r="D202">
        <v>11000</v>
      </c>
      <c r="E202">
        <v>11000</v>
      </c>
      <c r="F202" t="s">
        <v>389</v>
      </c>
      <c r="G202" t="s">
        <v>178</v>
      </c>
      <c r="H202" t="s">
        <v>12</v>
      </c>
      <c r="I202">
        <v>9000</v>
      </c>
      <c r="K202" t="str">
        <f t="shared" si="60"/>
        <v/>
      </c>
      <c r="L202" t="str">
        <f t="shared" si="61"/>
        <v>سائل جلي متعدد الإستعمالات - غولدن هاوس 1 لتر</v>
      </c>
      <c r="M202" s="36">
        <f t="shared" si="62"/>
        <v>7.5757575757575758E-5</v>
      </c>
      <c r="N202" s="37">
        <f t="shared" si="63"/>
        <v>0.68181818181818177</v>
      </c>
      <c r="O202" s="37">
        <f t="shared" si="64"/>
        <v>0.83333333333333337</v>
      </c>
      <c r="P202" s="38">
        <f t="shared" si="65"/>
        <v>4</v>
      </c>
      <c r="Q202" s="39">
        <f t="shared" si="66"/>
        <v>2.7272727272727271</v>
      </c>
      <c r="R202" s="39">
        <f t="shared" si="67"/>
        <v>3.3333333333333335</v>
      </c>
      <c r="S202">
        <f t="shared" si="68"/>
        <v>1</v>
      </c>
      <c r="T202" s="39">
        <f t="shared" si="69"/>
        <v>0.60606060606060641</v>
      </c>
      <c r="U202" t="str">
        <f t="shared" si="70"/>
        <v/>
      </c>
      <c r="V202">
        <f>IF(L202="","",IF($AO$1=1,IFERROR(MATCH(L202,'05-أيار'!$L$2:$L$501,0),0),0))</f>
        <v>0</v>
      </c>
      <c r="W202" t="str">
        <f t="shared" si="71"/>
        <v/>
      </c>
      <c r="X202" s="38" t="str">
        <f>IF(L202="","",IF(V202&gt;0,INDEX('05-أيار'!$P$2:$P$501,V202),IF($AO$1=1,0,"")))</f>
        <v/>
      </c>
      <c r="Y202" s="38" t="str">
        <f t="shared" si="72"/>
        <v/>
      </c>
      <c r="Z202" s="39" t="str">
        <f>IF(L202="","",IF(V202&gt;0,INDEX('05-أيار'!$Q$2:$Q$501,V202),IF($AO$1=1,0,"")))</f>
        <v/>
      </c>
      <c r="AA202" s="39" t="str">
        <f t="shared" si="73"/>
        <v/>
      </c>
      <c r="AB202" s="40" t="str">
        <f>IF(OR(L202="",V202=0),"",IF(AND(N(I202)&gt;0,N(INDEX('05-أيار'!$I$2:$I$501,V202))&gt;0,INDEX('05-أيار'!$F$2:$F$501,V202)=F202),N(I202)/N(INDEX('05-أيار'!$I$2:$I$501,V202))-1,""))</f>
        <v/>
      </c>
      <c r="AC202" t="str">
        <f>IF(L202="","",IF(AND($AO$2=1,ISNA(MATCH(L202,'07-تموز'!$L$2:$L$500,0))),"محذوف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>
        <f t="shared" si="75"/>
        <v>0.60606060606060641</v>
      </c>
      <c r="AI202" s="39">
        <f t="shared" si="76"/>
        <v>0.60606060606060641</v>
      </c>
      <c r="AJ202" s="39">
        <f t="shared" si="77"/>
        <v>0.60606060606060641</v>
      </c>
      <c r="AK202">
        <f t="shared" si="78"/>
        <v>2.7272729292727269</v>
      </c>
      <c r="AL202">
        <f t="shared" si="79"/>
        <v>0.60606080806060636</v>
      </c>
    </row>
    <row r="203" spans="1:38" ht="15">
      <c r="A203" t="s">
        <v>470</v>
      </c>
      <c r="B203">
        <v>0</v>
      </c>
      <c r="C203">
        <v>4000</v>
      </c>
      <c r="D203">
        <v>4000</v>
      </c>
      <c r="E203">
        <v>4000</v>
      </c>
      <c r="F203" t="s">
        <v>389</v>
      </c>
      <c r="G203" t="s">
        <v>178</v>
      </c>
      <c r="H203" t="s">
        <v>12</v>
      </c>
      <c r="I203">
        <v>2300</v>
      </c>
      <c r="K203" t="str">
        <f t="shared" si="60"/>
        <v/>
      </c>
      <c r="L203" t="str">
        <f t="shared" si="61"/>
        <v>سائل جلي شفاف مع عطر / فرط</v>
      </c>
      <c r="M203" s="36">
        <f t="shared" si="62"/>
        <v>7.5757575757575758E-5</v>
      </c>
      <c r="N203" s="37">
        <f t="shared" si="63"/>
        <v>0.17424242424242425</v>
      </c>
      <c r="O203" s="37">
        <f t="shared" si="64"/>
        <v>0.30303030303030304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IF(L203="","",IF($AO$1=1,IFERROR(MATCH(L203,'05-أيار'!$L$2:$L$501,0),0),0))</f>
        <v>0</v>
      </c>
      <c r="W203" t="str">
        <f t="shared" si="71"/>
        <v/>
      </c>
      <c r="X203" s="38" t="str">
        <f>IF(L203="","",IF(V203&gt;0,INDEX('05-أيار'!$P$2:$P$501,V203),IF($AO$1=1,0,"")))</f>
        <v/>
      </c>
      <c r="Y203" s="38" t="str">
        <f t="shared" si="72"/>
        <v/>
      </c>
      <c r="Z203" s="39" t="str">
        <f>IF(L203="","",IF(V203&gt;0,INDEX('05-أيار'!$Q$2:$Q$501,V203),IF($AO$1=1,0,"")))</f>
        <v/>
      </c>
      <c r="AA203" s="39" t="str">
        <f t="shared" si="73"/>
        <v/>
      </c>
      <c r="AB203" s="40" t="str">
        <f>IF(OR(L203="",V203=0),"",IF(AND(N(I203)&gt;0,N(INDEX('05-أيار'!$I$2:$I$501,V203))&gt;0,INDEX('05-أيار'!$F$2:$F$501,V203)=F203),N(I203)/N(INDEX('05-أيار'!$I$2:$I$501,V203))-1,""))</f>
        <v/>
      </c>
      <c r="AC203" t="str">
        <f>IF(L203="","",IF(AND($AO$2=1,ISNA(MATCH(L203,'07-تموز'!$L$2:$L$500,0))),"محذوف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471</v>
      </c>
      <c r="B204">
        <v>4556.2</v>
      </c>
      <c r="C204">
        <v>6000</v>
      </c>
      <c r="D204">
        <v>6000</v>
      </c>
      <c r="E204">
        <v>6000</v>
      </c>
      <c r="F204" t="s">
        <v>389</v>
      </c>
      <c r="G204" t="s">
        <v>178</v>
      </c>
      <c r="H204" t="s">
        <v>12</v>
      </c>
      <c r="I204">
        <v>2980</v>
      </c>
      <c r="K204" t="str">
        <f t="shared" si="60"/>
        <v/>
      </c>
      <c r="L204" t="str">
        <f t="shared" si="61"/>
        <v>سائل جلي super / فرط 2604</v>
      </c>
      <c r="M204" s="36">
        <f t="shared" si="62"/>
        <v>7.5757575757575758E-5</v>
      </c>
      <c r="N204" s="37">
        <f t="shared" si="63"/>
        <v>0.22575757575757577</v>
      </c>
      <c r="O204" s="37">
        <f t="shared" si="64"/>
        <v>0.45454545454545453</v>
      </c>
      <c r="P204" s="38">
        <f t="shared" si="65"/>
        <v>4556.2</v>
      </c>
      <c r="Q204" s="39">
        <f t="shared" si="66"/>
        <v>1028.5966666666666</v>
      </c>
      <c r="R204" s="39">
        <f t="shared" si="67"/>
        <v>2071</v>
      </c>
      <c r="S204">
        <f t="shared" si="68"/>
        <v>1</v>
      </c>
      <c r="T204" s="39">
        <f t="shared" si="69"/>
        <v>1042.4033333333334</v>
      </c>
      <c r="U204" t="str">
        <f t="shared" si="70"/>
        <v/>
      </c>
      <c r="V204">
        <f>IF(L204="","",IF($AO$1=1,IFERROR(MATCH(L204,'05-أيار'!$L$2:$L$501,0),0),0))</f>
        <v>0</v>
      </c>
      <c r="W204" t="str">
        <f t="shared" si="71"/>
        <v/>
      </c>
      <c r="X204" s="38" t="str">
        <f>IF(L204="","",IF(V204&gt;0,INDEX('05-أيار'!$P$2:$P$501,V204),IF($AO$1=1,0,"")))</f>
        <v/>
      </c>
      <c r="Y204" s="38" t="str">
        <f t="shared" si="72"/>
        <v/>
      </c>
      <c r="Z204" s="39" t="str">
        <f>IF(L204="","",IF(V204&gt;0,INDEX('05-أيار'!$Q$2:$Q$501,V204),IF($AO$1=1,0,"")))</f>
        <v/>
      </c>
      <c r="AA204" s="39" t="str">
        <f t="shared" si="73"/>
        <v/>
      </c>
      <c r="AB204" s="40" t="str">
        <f>IF(OR(L204="",V204=0),"",IF(AND(N(I204)&gt;0,N(INDEX('05-أيار'!$I$2:$I$501,V204))&gt;0,INDEX('05-أيار'!$F$2:$F$501,V204)=F204),N(I204)/N(INDEX('05-أيار'!$I$2:$I$501,V204))-1,""))</f>
        <v/>
      </c>
      <c r="AC204" t="str">
        <f>IF(L204="","",IF(AND($AO$2=1,ISNA(MATCH(L204,'07-تموز'!$L$2:$L$500,0))),"محذوف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>
        <f t="shared" si="75"/>
        <v>1042.4033333333332</v>
      </c>
      <c r="AI204" s="39">
        <f t="shared" si="76"/>
        <v>1042.4033333333332</v>
      </c>
      <c r="AJ204" s="39">
        <f t="shared" si="77"/>
        <v>1042.4033333333332</v>
      </c>
      <c r="AK204">
        <f t="shared" si="78"/>
        <v>1028.5966668706665</v>
      </c>
      <c r="AL204">
        <f t="shared" si="79"/>
        <v>1042.4033335373333</v>
      </c>
    </row>
    <row r="205" spans="1:38" ht="15">
      <c r="A205" t="s">
        <v>472</v>
      </c>
      <c r="B205">
        <v>6424.07</v>
      </c>
      <c r="C205">
        <v>7000</v>
      </c>
      <c r="D205">
        <v>7000</v>
      </c>
      <c r="E205">
        <v>7000</v>
      </c>
      <c r="F205" t="s">
        <v>389</v>
      </c>
      <c r="G205" t="s">
        <v>178</v>
      </c>
      <c r="H205" t="s">
        <v>12</v>
      </c>
      <c r="I205">
        <v>4000</v>
      </c>
      <c r="K205" t="str">
        <f t="shared" si="60"/>
        <v/>
      </c>
      <c r="L205" t="str">
        <f t="shared" si="61"/>
        <v>سائل جلي super / فرط 2603</v>
      </c>
      <c r="M205" s="36">
        <f t="shared" si="62"/>
        <v>7.5757575757575758E-5</v>
      </c>
      <c r="N205" s="37">
        <f t="shared" si="63"/>
        <v>0.30303030303030304</v>
      </c>
      <c r="O205" s="37">
        <f t="shared" si="64"/>
        <v>0.53030303030303028</v>
      </c>
      <c r="P205" s="38">
        <f t="shared" si="65"/>
        <v>6424.07</v>
      </c>
      <c r="Q205" s="39">
        <f t="shared" si="66"/>
        <v>1946.6878787878788</v>
      </c>
      <c r="R205" s="39">
        <f t="shared" si="67"/>
        <v>3406.7037878787874</v>
      </c>
      <c r="S205">
        <f t="shared" si="68"/>
        <v>1</v>
      </c>
      <c r="T205" s="39">
        <f t="shared" si="69"/>
        <v>1460.0159090909085</v>
      </c>
      <c r="U205" t="str">
        <f t="shared" si="70"/>
        <v/>
      </c>
      <c r="V205">
        <f>IF(L205="","",IF($AO$1=1,IFERROR(MATCH(L205,'05-أيار'!$L$2:$L$501,0),0),0))</f>
        <v>0</v>
      </c>
      <c r="W205" t="str">
        <f t="shared" si="71"/>
        <v/>
      </c>
      <c r="X205" s="38" t="str">
        <f>IF(L205="","",IF(V205&gt;0,INDEX('05-أيار'!$P$2:$P$501,V205),IF($AO$1=1,0,"")))</f>
        <v/>
      </c>
      <c r="Y205" s="38" t="str">
        <f t="shared" si="72"/>
        <v/>
      </c>
      <c r="Z205" s="39" t="str">
        <f>IF(L205="","",IF(V205&gt;0,INDEX('05-أيار'!$Q$2:$Q$501,V205),IF($AO$1=1,0,"")))</f>
        <v/>
      </c>
      <c r="AA205" s="39" t="str">
        <f t="shared" si="73"/>
        <v/>
      </c>
      <c r="AB205" s="40" t="str">
        <f>IF(OR(L205="",V205=0),"",IF(AND(N(I205)&gt;0,N(INDEX('05-أيار'!$I$2:$I$501,V205))&gt;0,INDEX('05-أيار'!$F$2:$F$501,V205)=F205),N(I205)/N(INDEX('05-أيار'!$I$2:$I$501,V205))-1,""))</f>
        <v/>
      </c>
      <c r="AC205" t="str">
        <f>IF(L205="","",IF(AND($AO$2=1,ISNA(MATCH(L205,'07-تموز'!$L$2:$L$500,0))),"محذوف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>
        <f t="shared" si="75"/>
        <v>1460.0159090909087</v>
      </c>
      <c r="AI205" s="39">
        <f t="shared" si="76"/>
        <v>1460.0159090909087</v>
      </c>
      <c r="AJ205" s="39">
        <f t="shared" si="77"/>
        <v>1460.0159090909087</v>
      </c>
      <c r="AK205">
        <f t="shared" si="78"/>
        <v>1946.687878992879</v>
      </c>
      <c r="AL205">
        <f t="shared" si="79"/>
        <v>1460.0159092959086</v>
      </c>
    </row>
    <row r="206" spans="1:38" ht="15">
      <c r="A206" t="s">
        <v>473</v>
      </c>
      <c r="B206">
        <v>1942</v>
      </c>
      <c r="C206">
        <v>8000</v>
      </c>
      <c r="D206">
        <v>8000</v>
      </c>
      <c r="E206">
        <v>8000</v>
      </c>
      <c r="F206" t="s">
        <v>389</v>
      </c>
      <c r="G206" t="s">
        <v>178</v>
      </c>
      <c r="H206" t="s">
        <v>12</v>
      </c>
      <c r="I206">
        <v>5200</v>
      </c>
      <c r="K206" t="str">
        <f t="shared" si="60"/>
        <v/>
      </c>
      <c r="L206" t="str">
        <f t="shared" si="61"/>
        <v>سائل جلي super / فرط 2602</v>
      </c>
      <c r="M206" s="36">
        <f t="shared" si="62"/>
        <v>7.5757575757575758E-5</v>
      </c>
      <c r="N206" s="37">
        <f t="shared" si="63"/>
        <v>0.39393939393939392</v>
      </c>
      <c r="O206" s="37">
        <f t="shared" si="64"/>
        <v>0.60606060606060608</v>
      </c>
      <c r="P206" s="38">
        <f t="shared" si="65"/>
        <v>1942</v>
      </c>
      <c r="Q206" s="39">
        <f t="shared" si="66"/>
        <v>765.030303030303</v>
      </c>
      <c r="R206" s="39">
        <f t="shared" si="67"/>
        <v>1176.969696969697</v>
      </c>
      <c r="S206">
        <f t="shared" si="68"/>
        <v>1</v>
      </c>
      <c r="T206" s="39">
        <f t="shared" si="69"/>
        <v>411.93939393939399</v>
      </c>
      <c r="U206" t="str">
        <f t="shared" si="70"/>
        <v/>
      </c>
      <c r="V206">
        <f>IF(L206="","",IF($AO$1=1,IFERROR(MATCH(L206,'05-أيار'!$L$2:$L$501,0),0),0))</f>
        <v>0</v>
      </c>
      <c r="W206" t="str">
        <f t="shared" si="71"/>
        <v/>
      </c>
      <c r="X206" s="38" t="str">
        <f>IF(L206="","",IF(V206&gt;0,INDEX('05-أيار'!$P$2:$P$501,V206),IF($AO$1=1,0,"")))</f>
        <v/>
      </c>
      <c r="Y206" s="38" t="str">
        <f t="shared" si="72"/>
        <v/>
      </c>
      <c r="Z206" s="39" t="str">
        <f>IF(L206="","",IF(V206&gt;0,INDEX('05-أيار'!$Q$2:$Q$501,V206),IF($AO$1=1,0,"")))</f>
        <v/>
      </c>
      <c r="AA206" s="39" t="str">
        <f t="shared" si="73"/>
        <v/>
      </c>
      <c r="AB206" s="40" t="str">
        <f>IF(OR(L206="",V206=0),"",IF(AND(N(I206)&gt;0,N(INDEX('05-أيار'!$I$2:$I$501,V206))&gt;0,INDEX('05-أيار'!$F$2:$F$501,V206)=F206),N(I206)/N(INDEX('05-أيار'!$I$2:$I$501,V206))-1,""))</f>
        <v/>
      </c>
      <c r="AC206" t="str">
        <f>IF(L206="","",IF(AND($AO$2=1,ISNA(MATCH(L206,'07-تموز'!$L$2:$L$500,0))),"محذوف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>
        <f t="shared" si="75"/>
        <v>411.93939393939399</v>
      </c>
      <c r="AI206" s="39">
        <f t="shared" si="76"/>
        <v>411.93939393939399</v>
      </c>
      <c r="AJ206" s="39">
        <f t="shared" si="77"/>
        <v>411.93939393939399</v>
      </c>
      <c r="AK206">
        <f t="shared" si="78"/>
        <v>765.03030323630298</v>
      </c>
      <c r="AL206">
        <f t="shared" si="79"/>
        <v>411.93939414539398</v>
      </c>
    </row>
    <row r="207" spans="1:38" ht="15">
      <c r="A207" t="s">
        <v>474</v>
      </c>
      <c r="B207">
        <v>2032</v>
      </c>
      <c r="C207">
        <v>15000</v>
      </c>
      <c r="D207">
        <v>15000</v>
      </c>
      <c r="E207">
        <v>15000</v>
      </c>
      <c r="F207" t="s">
        <v>389</v>
      </c>
      <c r="G207" t="s">
        <v>178</v>
      </c>
      <c r="H207" t="s">
        <v>12</v>
      </c>
      <c r="I207">
        <v>11600</v>
      </c>
      <c r="K207" t="str">
        <f t="shared" si="60"/>
        <v/>
      </c>
      <c r="L207" t="str">
        <f t="shared" si="61"/>
        <v>سائل جلي super / فرط 2601</v>
      </c>
      <c r="M207" s="36">
        <f t="shared" si="62"/>
        <v>7.5757575757575758E-5</v>
      </c>
      <c r="N207" s="37">
        <f t="shared" si="63"/>
        <v>0.87878787878787878</v>
      </c>
      <c r="O207" s="37">
        <f t="shared" si="64"/>
        <v>1.1363636363636365</v>
      </c>
      <c r="P207" s="38">
        <f t="shared" si="65"/>
        <v>2032</v>
      </c>
      <c r="Q207" s="39">
        <f t="shared" si="66"/>
        <v>1785.6969696969697</v>
      </c>
      <c r="R207" s="39">
        <f t="shared" si="67"/>
        <v>2309.0909090909095</v>
      </c>
      <c r="S207">
        <f t="shared" si="68"/>
        <v>1</v>
      </c>
      <c r="T207" s="39">
        <f t="shared" si="69"/>
        <v>523.39393939393972</v>
      </c>
      <c r="U207" t="str">
        <f t="shared" si="70"/>
        <v/>
      </c>
      <c r="V207">
        <f>IF(L207="","",IF($AO$1=1,IFERROR(MATCH(L207,'05-أيار'!$L$2:$L$501,0),0),0))</f>
        <v>0</v>
      </c>
      <c r="W207" t="str">
        <f t="shared" si="71"/>
        <v/>
      </c>
      <c r="X207" s="38" t="str">
        <f>IF(L207="","",IF(V207&gt;0,INDEX('05-أيار'!$P$2:$P$501,V207),IF($AO$1=1,0,"")))</f>
        <v/>
      </c>
      <c r="Y207" s="38" t="str">
        <f t="shared" si="72"/>
        <v/>
      </c>
      <c r="Z207" s="39" t="str">
        <f>IF(L207="","",IF(V207&gt;0,INDEX('05-أيار'!$Q$2:$Q$501,V207),IF($AO$1=1,0,"")))</f>
        <v/>
      </c>
      <c r="AA207" s="39" t="str">
        <f t="shared" si="73"/>
        <v/>
      </c>
      <c r="AB207" s="40" t="str">
        <f>IF(OR(L207="",V207=0),"",IF(AND(N(I207)&gt;0,N(INDEX('05-أيار'!$I$2:$I$501,V207))&gt;0,INDEX('05-أيار'!$F$2:$F$501,V207)=F207),N(I207)/N(INDEX('05-أيار'!$I$2:$I$501,V207))-1,""))</f>
        <v/>
      </c>
      <c r="AC207" t="str">
        <f>IF(L207="","",IF(AND($AO$2=1,ISNA(MATCH(L207,'07-تموز'!$L$2:$L$500,0))),"محذوف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>
        <f t="shared" si="75"/>
        <v>523.3939393939396</v>
      </c>
      <c r="AI207" s="39">
        <f t="shared" si="76"/>
        <v>523.3939393939396</v>
      </c>
      <c r="AJ207" s="39">
        <f t="shared" si="77"/>
        <v>523.3939393939396</v>
      </c>
      <c r="AK207">
        <f t="shared" si="78"/>
        <v>1785.6969699039698</v>
      </c>
      <c r="AL207">
        <f t="shared" si="79"/>
        <v>523.39393960093969</v>
      </c>
    </row>
    <row r="208" spans="1:38" ht="15">
      <c r="A208" t="s">
        <v>475</v>
      </c>
      <c r="B208">
        <v>18</v>
      </c>
      <c r="C208">
        <v>22000</v>
      </c>
      <c r="D208">
        <v>22000</v>
      </c>
      <c r="E208">
        <v>22000</v>
      </c>
      <c r="F208" t="s">
        <v>389</v>
      </c>
      <c r="G208" t="s">
        <v>178</v>
      </c>
      <c r="H208" t="s">
        <v>12</v>
      </c>
      <c r="I208">
        <v>11940</v>
      </c>
      <c r="K208" t="str">
        <f t="shared" si="60"/>
        <v/>
      </c>
      <c r="L208" t="str">
        <f t="shared" si="61"/>
        <v>سائل جلي super / عبوة 3 لتر 2604</v>
      </c>
      <c r="M208" s="36">
        <f t="shared" si="62"/>
        <v>7.5757575757575758E-5</v>
      </c>
      <c r="N208" s="37">
        <f t="shared" si="63"/>
        <v>0.90454545454545454</v>
      </c>
      <c r="O208" s="37">
        <f t="shared" si="64"/>
        <v>1.6666666666666667</v>
      </c>
      <c r="P208" s="38">
        <f t="shared" si="65"/>
        <v>18</v>
      </c>
      <c r="Q208" s="39">
        <f t="shared" si="66"/>
        <v>16.281818181818181</v>
      </c>
      <c r="R208" s="39">
        <f t="shared" si="67"/>
        <v>30</v>
      </c>
      <c r="S208">
        <f t="shared" si="68"/>
        <v>1</v>
      </c>
      <c r="T208" s="39">
        <f t="shared" si="69"/>
        <v>13.718181818181819</v>
      </c>
      <c r="U208" t="str">
        <f t="shared" si="70"/>
        <v/>
      </c>
      <c r="V208">
        <f>IF(L208="","",IF($AO$1=1,IFERROR(MATCH(L208,'05-أيار'!$L$2:$L$501,0),0),0))</f>
        <v>0</v>
      </c>
      <c r="W208" t="str">
        <f t="shared" si="71"/>
        <v/>
      </c>
      <c r="X208" s="38" t="str">
        <f>IF(L208="","",IF(V208&gt;0,INDEX('05-أيار'!$P$2:$P$501,V208),IF($AO$1=1,0,"")))</f>
        <v/>
      </c>
      <c r="Y208" s="38" t="str">
        <f t="shared" si="72"/>
        <v/>
      </c>
      <c r="Z208" s="39" t="str">
        <f>IF(L208="","",IF(V208&gt;0,INDEX('05-أيار'!$Q$2:$Q$501,V208),IF($AO$1=1,0,"")))</f>
        <v/>
      </c>
      <c r="AA208" s="39" t="str">
        <f t="shared" si="73"/>
        <v/>
      </c>
      <c r="AB208" s="40" t="str">
        <f>IF(OR(L208="",V208=0),"",IF(AND(N(I208)&gt;0,N(INDEX('05-أيار'!$I$2:$I$501,V208))&gt;0,INDEX('05-أيار'!$F$2:$F$501,V208)=F208),N(I208)/N(INDEX('05-أيار'!$I$2:$I$501,V208))-1,""))</f>
        <v/>
      </c>
      <c r="AC208" t="str">
        <f>IF(L208="","",IF(AND($AO$2=1,ISNA(MATCH(L208,'07-تموز'!$L$2:$L$500,0))),"محذوف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>
        <f t="shared" si="75"/>
        <v>13.718181818181819</v>
      </c>
      <c r="AI208" s="39">
        <f t="shared" si="76"/>
        <v>13.718181818181819</v>
      </c>
      <c r="AJ208" s="39">
        <f t="shared" si="77"/>
        <v>13.718181818181819</v>
      </c>
      <c r="AK208">
        <f t="shared" si="78"/>
        <v>16.281818389818181</v>
      </c>
      <c r="AL208">
        <f t="shared" si="79"/>
        <v>13.718182026181818</v>
      </c>
    </row>
    <row r="209" spans="1:38" ht="15">
      <c r="A209" t="s">
        <v>476</v>
      </c>
      <c r="B209">
        <v>32</v>
      </c>
      <c r="C209">
        <v>25000</v>
      </c>
      <c r="D209">
        <v>25000</v>
      </c>
      <c r="E209">
        <v>25000</v>
      </c>
      <c r="F209" t="s">
        <v>389</v>
      </c>
      <c r="G209" t="s">
        <v>178</v>
      </c>
      <c r="H209" t="s">
        <v>12</v>
      </c>
      <c r="I209">
        <v>15000</v>
      </c>
      <c r="K209" t="str">
        <f t="shared" si="60"/>
        <v/>
      </c>
      <c r="L209" t="str">
        <f t="shared" si="61"/>
        <v>سائل جلي super / عبوة 3 لتر 2603</v>
      </c>
      <c r="M209" s="36">
        <f t="shared" si="62"/>
        <v>7.5757575757575758E-5</v>
      </c>
      <c r="N209" s="37">
        <f t="shared" si="63"/>
        <v>1.1363636363636365</v>
      </c>
      <c r="O209" s="37">
        <f t="shared" si="64"/>
        <v>1.893939393939394</v>
      </c>
      <c r="P209" s="38">
        <f t="shared" si="65"/>
        <v>32</v>
      </c>
      <c r="Q209" s="39">
        <f t="shared" si="66"/>
        <v>36.363636363636367</v>
      </c>
      <c r="R209" s="39">
        <f t="shared" si="67"/>
        <v>60.606060606060609</v>
      </c>
      <c r="S209">
        <f t="shared" si="68"/>
        <v>1</v>
      </c>
      <c r="T209" s="39">
        <f t="shared" si="69"/>
        <v>24.242424242424242</v>
      </c>
      <c r="U209" t="str">
        <f t="shared" si="70"/>
        <v/>
      </c>
      <c r="V209">
        <f>IF(L209="","",IF($AO$1=1,IFERROR(MATCH(L209,'05-أيار'!$L$2:$L$501,0),0),0))</f>
        <v>0</v>
      </c>
      <c r="W209" t="str">
        <f t="shared" si="71"/>
        <v/>
      </c>
      <c r="X209" s="38" t="str">
        <f>IF(L209="","",IF(V209&gt;0,INDEX('05-أيار'!$P$2:$P$501,V209),IF($AO$1=1,0,"")))</f>
        <v/>
      </c>
      <c r="Y209" s="38" t="str">
        <f t="shared" si="72"/>
        <v/>
      </c>
      <c r="Z209" s="39" t="str">
        <f>IF(L209="","",IF(V209&gt;0,INDEX('05-أيار'!$Q$2:$Q$501,V209),IF($AO$1=1,0,"")))</f>
        <v/>
      </c>
      <c r="AA209" s="39" t="str">
        <f t="shared" si="73"/>
        <v/>
      </c>
      <c r="AB209" s="40" t="str">
        <f>IF(OR(L209="",V209=0),"",IF(AND(N(I209)&gt;0,N(INDEX('05-أيار'!$I$2:$I$501,V209))&gt;0,INDEX('05-أيار'!$F$2:$F$501,V209)=F209),N(I209)/N(INDEX('05-أيار'!$I$2:$I$501,V209))-1,""))</f>
        <v/>
      </c>
      <c r="AC209" t="str">
        <f>IF(L209="","",IF(AND($AO$2=1,ISNA(MATCH(L209,'07-تموز'!$L$2:$L$500,0))),"محذوف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>
        <f t="shared" si="75"/>
        <v>24.242424242424242</v>
      </c>
      <c r="AI209" s="39">
        <f t="shared" si="76"/>
        <v>24.242424242424242</v>
      </c>
      <c r="AJ209" s="39">
        <f t="shared" si="77"/>
        <v>24.242424242424242</v>
      </c>
      <c r="AK209">
        <f t="shared" si="78"/>
        <v>36.363636572636366</v>
      </c>
      <c r="AL209">
        <f t="shared" si="79"/>
        <v>24.242424451424242</v>
      </c>
    </row>
    <row r="210" spans="1:38" ht="15">
      <c r="A210" t="s">
        <v>477</v>
      </c>
      <c r="B210">
        <v>404</v>
      </c>
      <c r="C210">
        <v>27000</v>
      </c>
      <c r="D210">
        <v>27000</v>
      </c>
      <c r="E210">
        <v>27000</v>
      </c>
      <c r="F210" t="s">
        <v>389</v>
      </c>
      <c r="G210" t="s">
        <v>178</v>
      </c>
      <c r="H210" t="s">
        <v>12</v>
      </c>
      <c r="I210">
        <v>18600</v>
      </c>
      <c r="K210" t="str">
        <f t="shared" si="60"/>
        <v/>
      </c>
      <c r="L210" t="str">
        <f t="shared" si="61"/>
        <v>سائل جلي super / عبوة 3 لتر 2602</v>
      </c>
      <c r="M210" s="36">
        <f t="shared" si="62"/>
        <v>7.5757575757575758E-5</v>
      </c>
      <c r="N210" s="37">
        <f t="shared" si="63"/>
        <v>1.4090909090909092</v>
      </c>
      <c r="O210" s="37">
        <f t="shared" si="64"/>
        <v>2.0454545454545454</v>
      </c>
      <c r="P210" s="38">
        <f t="shared" si="65"/>
        <v>404</v>
      </c>
      <c r="Q210" s="39">
        <f t="shared" si="66"/>
        <v>569.27272727272725</v>
      </c>
      <c r="R210" s="39">
        <f t="shared" si="67"/>
        <v>826.36363636363637</v>
      </c>
      <c r="S210">
        <f t="shared" si="68"/>
        <v>1</v>
      </c>
      <c r="T210" s="39">
        <f t="shared" si="69"/>
        <v>257.09090909090912</v>
      </c>
      <c r="U210" t="str">
        <f t="shared" si="70"/>
        <v/>
      </c>
      <c r="V210">
        <f>IF(L210="","",IF($AO$1=1,IFERROR(MATCH(L210,'05-أيار'!$L$2:$L$501,0),0),0))</f>
        <v>0</v>
      </c>
      <c r="W210" t="str">
        <f t="shared" si="71"/>
        <v/>
      </c>
      <c r="X210" s="38" t="str">
        <f>IF(L210="","",IF(V210&gt;0,INDEX('05-أيار'!$P$2:$P$501,V210),IF($AO$1=1,0,"")))</f>
        <v/>
      </c>
      <c r="Y210" s="38" t="str">
        <f t="shared" si="72"/>
        <v/>
      </c>
      <c r="Z210" s="39" t="str">
        <f>IF(L210="","",IF(V210&gt;0,INDEX('05-أيار'!$Q$2:$Q$501,V210),IF($AO$1=1,0,"")))</f>
        <v/>
      </c>
      <c r="AA210" s="39" t="str">
        <f t="shared" si="73"/>
        <v/>
      </c>
      <c r="AB210" s="40" t="str">
        <f>IF(OR(L210="",V210=0),"",IF(AND(N(I210)&gt;0,N(INDEX('05-أيار'!$I$2:$I$501,V210))&gt;0,INDEX('05-أيار'!$F$2:$F$501,V210)=F210),N(I210)/N(INDEX('05-أيار'!$I$2:$I$501,V210))-1,""))</f>
        <v/>
      </c>
      <c r="AC210" t="str">
        <f>IF(L210="","",IF(AND($AO$2=1,ISNA(MATCH(L210,'07-تموز'!$L$2:$L$500,0))),"محذوف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>
        <f t="shared" si="75"/>
        <v>257.09090909090907</v>
      </c>
      <c r="AI210" s="39">
        <f t="shared" si="76"/>
        <v>257.09090909090907</v>
      </c>
      <c r="AJ210" s="39">
        <f t="shared" si="77"/>
        <v>257.09090909090907</v>
      </c>
      <c r="AK210">
        <f t="shared" si="78"/>
        <v>569.2727274827273</v>
      </c>
      <c r="AL210">
        <f t="shared" si="79"/>
        <v>257.09090930090912</v>
      </c>
    </row>
    <row r="211" spans="1:38" ht="15">
      <c r="A211" t="s">
        <v>478</v>
      </c>
      <c r="B211">
        <v>38</v>
      </c>
      <c r="C211">
        <v>48000</v>
      </c>
      <c r="D211">
        <v>48000</v>
      </c>
      <c r="E211">
        <v>48000</v>
      </c>
      <c r="F211" t="s">
        <v>389</v>
      </c>
      <c r="G211" t="s">
        <v>178</v>
      </c>
      <c r="H211" t="s">
        <v>12</v>
      </c>
      <c r="I211">
        <v>38000</v>
      </c>
      <c r="K211" t="str">
        <f t="shared" si="60"/>
        <v/>
      </c>
      <c r="L211" t="str">
        <f t="shared" si="61"/>
        <v>سائل جلي super / عبوة 3 لتر 2601</v>
      </c>
      <c r="M211" s="36">
        <f t="shared" si="62"/>
        <v>7.5757575757575758E-5</v>
      </c>
      <c r="N211" s="37">
        <f t="shared" si="63"/>
        <v>2.8787878787878789</v>
      </c>
      <c r="O211" s="37">
        <f t="shared" si="64"/>
        <v>3.6363636363636362</v>
      </c>
      <c r="P211" s="38">
        <f t="shared" si="65"/>
        <v>38</v>
      </c>
      <c r="Q211" s="39">
        <f t="shared" si="66"/>
        <v>109.39393939393941</v>
      </c>
      <c r="R211" s="39">
        <f t="shared" si="67"/>
        <v>138.18181818181819</v>
      </c>
      <c r="S211">
        <f t="shared" si="68"/>
        <v>1</v>
      </c>
      <c r="T211" s="39">
        <f t="shared" si="69"/>
        <v>28.787878787878782</v>
      </c>
      <c r="U211" t="str">
        <f t="shared" si="70"/>
        <v/>
      </c>
      <c r="V211">
        <f>IF(L211="","",IF($AO$1=1,IFERROR(MATCH(L211,'05-أيار'!$L$2:$L$501,0),0),0))</f>
        <v>0</v>
      </c>
      <c r="W211" t="str">
        <f t="shared" si="71"/>
        <v/>
      </c>
      <c r="X211" s="38" t="str">
        <f>IF(L211="","",IF(V211&gt;0,INDEX('05-أيار'!$P$2:$P$501,V211),IF($AO$1=1,0,"")))</f>
        <v/>
      </c>
      <c r="Y211" s="38" t="str">
        <f t="shared" si="72"/>
        <v/>
      </c>
      <c r="Z211" s="39" t="str">
        <f>IF(L211="","",IF(V211&gt;0,INDEX('05-أيار'!$Q$2:$Q$501,V211),IF($AO$1=1,0,"")))</f>
        <v/>
      </c>
      <c r="AA211" s="39" t="str">
        <f t="shared" si="73"/>
        <v/>
      </c>
      <c r="AB211" s="40" t="str">
        <f>IF(OR(L211="",V211=0),"",IF(AND(N(I211)&gt;0,N(INDEX('05-أيار'!$I$2:$I$501,V211))&gt;0,INDEX('05-أيار'!$F$2:$F$501,V211)=F211),N(I211)/N(INDEX('05-أيار'!$I$2:$I$501,V211))-1,""))</f>
        <v/>
      </c>
      <c r="AC211" t="str">
        <f>IF(L211="","",IF(AND($AO$2=1,ISNA(MATCH(L211,'07-تموز'!$L$2:$L$500,0))),"محذوف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>
        <f t="shared" si="75"/>
        <v>28.787878787878778</v>
      </c>
      <c r="AI211" s="39">
        <f t="shared" si="76"/>
        <v>28.787878787878778</v>
      </c>
      <c r="AJ211" s="39">
        <f t="shared" si="77"/>
        <v>28.787878787878778</v>
      </c>
      <c r="AK211">
        <f t="shared" si="78"/>
        <v>109.3939396049394</v>
      </c>
      <c r="AL211">
        <f t="shared" si="79"/>
        <v>28.787878998878782</v>
      </c>
    </row>
    <row r="212" spans="1:38" ht="15">
      <c r="A212" t="s">
        <v>479</v>
      </c>
      <c r="B212">
        <v>0</v>
      </c>
      <c r="C212">
        <v>270000</v>
      </c>
      <c r="D212">
        <v>270000</v>
      </c>
      <c r="E212">
        <v>270000</v>
      </c>
      <c r="F212" t="s">
        <v>389</v>
      </c>
      <c r="G212" t="s">
        <v>178</v>
      </c>
      <c r="H212" t="s">
        <v>12</v>
      </c>
      <c r="I212">
        <v>119500</v>
      </c>
      <c r="K212" t="str">
        <f t="shared" si="60"/>
        <v/>
      </c>
      <c r="L212" t="str">
        <f t="shared" si="61"/>
        <v>زيت صنوبر 3 لتر</v>
      </c>
      <c r="M212" s="36">
        <f t="shared" si="62"/>
        <v>7.5757575757575758E-5</v>
      </c>
      <c r="N212" s="37">
        <f t="shared" si="63"/>
        <v>9.0530303030303028</v>
      </c>
      <c r="O212" s="37">
        <f t="shared" si="64"/>
        <v>20.454545454545453</v>
      </c>
      <c r="P212" s="38">
        <f t="shared" si="65"/>
        <v>0</v>
      </c>
      <c r="Q212" s="39">
        <f t="shared" si="66"/>
        <v>0</v>
      </c>
      <c r="R212" s="39">
        <f t="shared" si="67"/>
        <v>0</v>
      </c>
      <c r="S212">
        <f t="shared" si="68"/>
        <v>0</v>
      </c>
      <c r="T212" s="39">
        <f t="shared" si="69"/>
        <v>0</v>
      </c>
      <c r="U212" t="str">
        <f t="shared" si="70"/>
        <v/>
      </c>
      <c r="V212">
        <f>IF(L212="","",IF($AO$1=1,IFERROR(MATCH(L212,'05-أيار'!$L$2:$L$501,0),0),0))</f>
        <v>0</v>
      </c>
      <c r="W212" t="str">
        <f t="shared" si="71"/>
        <v/>
      </c>
      <c r="X212" s="38" t="str">
        <f>IF(L212="","",IF(V212&gt;0,INDEX('05-أيار'!$P$2:$P$501,V212),IF($AO$1=1,0,"")))</f>
        <v/>
      </c>
      <c r="Y212" s="38" t="str">
        <f t="shared" si="72"/>
        <v/>
      </c>
      <c r="Z212" s="39" t="str">
        <f>IF(L212="","",IF(V212&gt;0,INDEX('05-أيار'!$Q$2:$Q$501,V212),IF($AO$1=1,0,"")))</f>
        <v/>
      </c>
      <c r="AA212" s="39" t="str">
        <f t="shared" si="73"/>
        <v/>
      </c>
      <c r="AB212" s="40" t="str">
        <f>IF(OR(L212="",V212=0),"",IF(AND(N(I212)&gt;0,N(INDEX('05-أيار'!$I$2:$I$501,V212))&gt;0,INDEX('05-أيار'!$F$2:$F$501,V212)=F212),N(I212)/N(INDEX('05-أيار'!$I$2:$I$501,V212))-1,""))</f>
        <v/>
      </c>
      <c r="AC212" t="str">
        <f>IF(L212="","",IF(AND($AO$2=1,ISNA(MATCH(L212,'07-تموز'!$L$2:$L$500,0))),"محذوف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>
        <f t="shared" si="75"/>
        <v>0</v>
      </c>
      <c r="AI212" s="39">
        <f t="shared" si="76"/>
        <v>0</v>
      </c>
      <c r="AJ212" s="39">
        <f t="shared" si="77"/>
        <v>0</v>
      </c>
      <c r="AK212">
        <f t="shared" si="78"/>
        <v>2.1199999999999999E-7</v>
      </c>
      <c r="AL212">
        <f t="shared" si="79"/>
        <v>2.1199999999999999E-7</v>
      </c>
    </row>
    <row r="213" spans="1:38" ht="15">
      <c r="A213" t="s">
        <v>480</v>
      </c>
      <c r="B213">
        <v>0</v>
      </c>
      <c r="C213">
        <v>14000</v>
      </c>
      <c r="D213">
        <v>14000</v>
      </c>
      <c r="E213">
        <v>14000</v>
      </c>
      <c r="F213" t="s">
        <v>389</v>
      </c>
      <c r="G213" t="s">
        <v>178</v>
      </c>
      <c r="H213" t="s">
        <v>176</v>
      </c>
      <c r="I213">
        <v>6500</v>
      </c>
      <c r="K213" t="str">
        <f t="shared" si="60"/>
        <v/>
      </c>
      <c r="L213" t="str">
        <f t="shared" si="61"/>
        <v>ديتول خام</v>
      </c>
      <c r="M213" s="36">
        <f t="shared" si="62"/>
        <v>7.5757575757575758E-5</v>
      </c>
      <c r="N213" s="37">
        <f t="shared" si="63"/>
        <v>0.49242424242424243</v>
      </c>
      <c r="O213" s="37">
        <f t="shared" si="64"/>
        <v>1.0606060606060606</v>
      </c>
      <c r="P213" s="38">
        <f t="shared" si="65"/>
        <v>0</v>
      </c>
      <c r="Q213" s="39">
        <f t="shared" si="66"/>
        <v>0</v>
      </c>
      <c r="R213" s="39">
        <f t="shared" si="67"/>
        <v>0</v>
      </c>
      <c r="S213">
        <f t="shared" si="68"/>
        <v>0</v>
      </c>
      <c r="T213" s="39">
        <f t="shared" si="69"/>
        <v>0</v>
      </c>
      <c r="U213" t="str">
        <f t="shared" si="70"/>
        <v/>
      </c>
      <c r="V213">
        <f>IF(L213="","",IF($AO$1=1,IFERROR(MATCH(L213,'05-أيار'!$L$2:$L$501,0),0),0))</f>
        <v>0</v>
      </c>
      <c r="W213" t="str">
        <f t="shared" si="71"/>
        <v/>
      </c>
      <c r="X213" s="38" t="str">
        <f>IF(L213="","",IF(V213&gt;0,INDEX('05-أيار'!$P$2:$P$501,V213),IF($AO$1=1,0,"")))</f>
        <v/>
      </c>
      <c r="Y213" s="38" t="str">
        <f t="shared" si="72"/>
        <v/>
      </c>
      <c r="Z213" s="39" t="str">
        <f>IF(L213="","",IF(V213&gt;0,INDEX('05-أيار'!$Q$2:$Q$501,V213),IF($AO$1=1,0,"")))</f>
        <v/>
      </c>
      <c r="AA213" s="39" t="str">
        <f t="shared" si="73"/>
        <v/>
      </c>
      <c r="AB213" s="40" t="str">
        <f>IF(OR(L213="",V213=0),"",IF(AND(N(I213)&gt;0,N(INDEX('05-أيار'!$I$2:$I$501,V213))&gt;0,INDEX('05-أيار'!$F$2:$F$501,V213)=F213),N(I213)/N(INDEX('05-أيار'!$I$2:$I$501,V213))-1,""))</f>
        <v/>
      </c>
      <c r="AC213" t="str">
        <f>IF(L213="","",IF(AND($AO$2=1,ISNA(MATCH(L213,'07-تموز'!$L$2:$L$500,0))),"محذوف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>
        <f t="shared" si="75"/>
        <v>0</v>
      </c>
      <c r="AI213" s="39">
        <f t="shared" si="76"/>
        <v>0</v>
      </c>
      <c r="AJ213" s="39">
        <f t="shared" si="77"/>
        <v>0</v>
      </c>
      <c r="AK213">
        <f t="shared" si="78"/>
        <v>2.1299999999999999E-7</v>
      </c>
      <c r="AL213">
        <f t="shared" si="79"/>
        <v>2.1299999999999999E-7</v>
      </c>
    </row>
    <row r="214" spans="1:38" ht="15">
      <c r="A214" t="s">
        <v>481</v>
      </c>
      <c r="B214">
        <v>0</v>
      </c>
      <c r="C214">
        <v>49000</v>
      </c>
      <c r="D214">
        <v>49000</v>
      </c>
      <c r="E214">
        <v>49000</v>
      </c>
      <c r="F214" t="s">
        <v>389</v>
      </c>
      <c r="G214" t="s">
        <v>178</v>
      </c>
      <c r="H214" t="s">
        <v>12</v>
      </c>
      <c r="I214">
        <v>24500</v>
      </c>
      <c r="K214" t="str">
        <f t="shared" si="60"/>
        <v/>
      </c>
      <c r="L214" t="str">
        <f t="shared" si="61"/>
        <v>ديتول 3 لتر</v>
      </c>
      <c r="M214" s="36">
        <f t="shared" si="62"/>
        <v>7.5757575757575758E-5</v>
      </c>
      <c r="N214" s="37">
        <f t="shared" si="63"/>
        <v>1.856060606060606</v>
      </c>
      <c r="O214" s="37">
        <f t="shared" si="64"/>
        <v>3.7121212121212119</v>
      </c>
      <c r="P214" s="38">
        <f t="shared" si="65"/>
        <v>0</v>
      </c>
      <c r="Q214" s="39">
        <f t="shared" si="66"/>
        <v>0</v>
      </c>
      <c r="R214" s="39">
        <f t="shared" si="67"/>
        <v>0</v>
      </c>
      <c r="S214">
        <f t="shared" si="68"/>
        <v>0</v>
      </c>
      <c r="T214" s="39">
        <f t="shared" si="69"/>
        <v>0</v>
      </c>
      <c r="U214" t="str">
        <f t="shared" si="70"/>
        <v/>
      </c>
      <c r="V214">
        <f>IF(L214="","",IF($AO$1=1,IFERROR(MATCH(L214,'05-أيار'!$L$2:$L$501,0),0),0))</f>
        <v>0</v>
      </c>
      <c r="W214" t="str">
        <f t="shared" si="71"/>
        <v/>
      </c>
      <c r="X214" s="38" t="str">
        <f>IF(L214="","",IF(V214&gt;0,INDEX('05-أيار'!$P$2:$P$501,V214),IF($AO$1=1,0,"")))</f>
        <v/>
      </c>
      <c r="Y214" s="38" t="str">
        <f t="shared" si="72"/>
        <v/>
      </c>
      <c r="Z214" s="39" t="str">
        <f>IF(L214="","",IF(V214&gt;0,INDEX('05-أيار'!$Q$2:$Q$501,V214),IF($AO$1=1,0,"")))</f>
        <v/>
      </c>
      <c r="AA214" s="39" t="str">
        <f t="shared" si="73"/>
        <v/>
      </c>
      <c r="AB214" s="40" t="str">
        <f>IF(OR(L214="",V214=0),"",IF(AND(N(I214)&gt;0,N(INDEX('05-أيار'!$I$2:$I$501,V214))&gt;0,INDEX('05-أيار'!$F$2:$F$501,V214)=F214),N(I214)/N(INDEX('05-أيار'!$I$2:$I$501,V214))-1,""))</f>
        <v/>
      </c>
      <c r="AC214" t="str">
        <f>IF(L214="","",IF(AND($AO$2=1,ISNA(MATCH(L214,'07-تموز'!$L$2:$L$500,0))),"محذوف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2.1400000000000001E-7</v>
      </c>
      <c r="AL214">
        <f t="shared" si="79"/>
        <v>2.1400000000000001E-7</v>
      </c>
    </row>
    <row r="215" spans="1:38" ht="15">
      <c r="A215" t="s">
        <v>482</v>
      </c>
      <c r="B215">
        <v>0</v>
      </c>
      <c r="C215">
        <v>14000</v>
      </c>
      <c r="D215">
        <v>14000</v>
      </c>
      <c r="E215">
        <v>14000</v>
      </c>
      <c r="F215" t="s">
        <v>389</v>
      </c>
      <c r="G215" t="s">
        <v>178</v>
      </c>
      <c r="H215" t="s">
        <v>12</v>
      </c>
      <c r="I215">
        <v>7000</v>
      </c>
      <c r="K215" t="str">
        <f t="shared" si="60"/>
        <v/>
      </c>
      <c r="L215" t="str">
        <f t="shared" si="61"/>
        <v>ديتول / فرط</v>
      </c>
      <c r="M215" s="36">
        <f t="shared" si="62"/>
        <v>7.5757575757575758E-5</v>
      </c>
      <c r="N215" s="37">
        <f t="shared" si="63"/>
        <v>0.53030303030303028</v>
      </c>
      <c r="O215" s="37">
        <f t="shared" si="64"/>
        <v>1.0606060606060606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IF(L215="","",IF($AO$1=1,IFERROR(MATCH(L215,'05-أيار'!$L$2:$L$501,0),0),0))</f>
        <v>0</v>
      </c>
      <c r="W215" t="str">
        <f t="shared" si="71"/>
        <v/>
      </c>
      <c r="X215" s="38" t="str">
        <f>IF(L215="","",IF(V215&gt;0,INDEX('05-أيار'!$P$2:$P$501,V215),IF($AO$1=1,0,"")))</f>
        <v/>
      </c>
      <c r="Y215" s="38" t="str">
        <f t="shared" si="72"/>
        <v/>
      </c>
      <c r="Z215" s="39" t="str">
        <f>IF(L215="","",IF(V215&gt;0,INDEX('05-أيار'!$Q$2:$Q$501,V215),IF($AO$1=1,0,"")))</f>
        <v/>
      </c>
      <c r="AA215" s="39" t="str">
        <f t="shared" si="73"/>
        <v/>
      </c>
      <c r="AB215" s="40" t="str">
        <f>IF(OR(L215="",V215=0),"",IF(AND(N(I215)&gt;0,N(INDEX('05-أيار'!$I$2:$I$501,V215))&gt;0,INDEX('05-أيار'!$F$2:$F$501,V215)=F215),N(I215)/N(INDEX('05-أيار'!$I$2:$I$501,V215))-1,""))</f>
        <v/>
      </c>
      <c r="AC215" t="str">
        <f>IF(L215="","",IF(AND($AO$2=1,ISNA(MATCH(L215,'07-تموز'!$L$2:$L$500,0))),"محذوف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483</v>
      </c>
      <c r="B216">
        <v>589</v>
      </c>
      <c r="C216">
        <v>11000</v>
      </c>
      <c r="D216">
        <v>11000</v>
      </c>
      <c r="E216">
        <v>11000</v>
      </c>
      <c r="F216" t="s">
        <v>389</v>
      </c>
      <c r="G216" t="s">
        <v>178</v>
      </c>
      <c r="H216" t="s">
        <v>12</v>
      </c>
      <c r="I216">
        <v>9000</v>
      </c>
      <c r="K216" t="str">
        <f t="shared" si="60"/>
        <v/>
      </c>
      <c r="L216" t="str">
        <f t="shared" si="61"/>
        <v>دواء غسيل بودرا</v>
      </c>
      <c r="M216" s="36">
        <f t="shared" si="62"/>
        <v>7.5757575757575758E-5</v>
      </c>
      <c r="N216" s="37">
        <f t="shared" si="63"/>
        <v>0.68181818181818177</v>
      </c>
      <c r="O216" s="37">
        <f t="shared" si="64"/>
        <v>0.83333333333333337</v>
      </c>
      <c r="P216" s="38">
        <f t="shared" si="65"/>
        <v>589</v>
      </c>
      <c r="Q216" s="39">
        <f t="shared" si="66"/>
        <v>401.59090909090907</v>
      </c>
      <c r="R216" s="39">
        <f t="shared" si="67"/>
        <v>490.83333333333337</v>
      </c>
      <c r="S216">
        <f t="shared" si="68"/>
        <v>1</v>
      </c>
      <c r="T216" s="39">
        <f t="shared" si="69"/>
        <v>89.242424242424306</v>
      </c>
      <c r="U216" t="str">
        <f t="shared" si="70"/>
        <v/>
      </c>
      <c r="V216">
        <f>IF(L216="","",IF($AO$1=1,IFERROR(MATCH(L216,'05-أيار'!$L$2:$L$501,0),0),0))</f>
        <v>0</v>
      </c>
      <c r="W216" t="str">
        <f t="shared" si="71"/>
        <v/>
      </c>
      <c r="X216" s="38" t="str">
        <f>IF(L216="","",IF(V216&gt;0,INDEX('05-أيار'!$P$2:$P$501,V216),IF($AO$1=1,0,"")))</f>
        <v/>
      </c>
      <c r="Y216" s="38" t="str">
        <f t="shared" si="72"/>
        <v/>
      </c>
      <c r="Z216" s="39" t="str">
        <f>IF(L216="","",IF(V216&gt;0,INDEX('05-أيار'!$Q$2:$Q$501,V216),IF($AO$1=1,0,"")))</f>
        <v/>
      </c>
      <c r="AA216" s="39" t="str">
        <f t="shared" si="73"/>
        <v/>
      </c>
      <c r="AB216" s="40" t="str">
        <f>IF(OR(L216="",V216=0),"",IF(AND(N(I216)&gt;0,N(INDEX('05-أيار'!$I$2:$I$501,V216))&gt;0,INDEX('05-أيار'!$F$2:$F$501,V216)=F216),N(I216)/N(INDEX('05-أيار'!$I$2:$I$501,V216))-1,""))</f>
        <v/>
      </c>
      <c r="AC216" t="str">
        <f>IF(L216="","",IF(AND($AO$2=1,ISNA(MATCH(L216,'07-تموز'!$L$2:$L$500,0))),"محذوف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>
        <f t="shared" si="75"/>
        <v>89.242424242424292</v>
      </c>
      <c r="AI216" s="39">
        <f t="shared" si="76"/>
        <v>89.242424242424292</v>
      </c>
      <c r="AJ216" s="39">
        <f t="shared" si="77"/>
        <v>89.242424242424292</v>
      </c>
      <c r="AK216">
        <f t="shared" si="78"/>
        <v>401.59090930690905</v>
      </c>
      <c r="AL216">
        <f t="shared" si="79"/>
        <v>89.24242445842431</v>
      </c>
    </row>
    <row r="217" spans="1:38" ht="15">
      <c r="A217" t="s">
        <v>484</v>
      </c>
      <c r="B217">
        <v>0</v>
      </c>
      <c r="C217">
        <v>200000</v>
      </c>
      <c r="D217">
        <v>200000</v>
      </c>
      <c r="E217">
        <v>200000</v>
      </c>
      <c r="F217" t="s">
        <v>389</v>
      </c>
      <c r="G217" t="s">
        <v>178</v>
      </c>
      <c r="H217" t="s">
        <v>12</v>
      </c>
      <c r="I217">
        <v>144000</v>
      </c>
      <c r="K217" t="str">
        <f t="shared" si="60"/>
        <v/>
      </c>
      <c r="L217" t="str">
        <f t="shared" si="61"/>
        <v>دوا غسيل نورا</v>
      </c>
      <c r="M217" s="36">
        <f t="shared" si="62"/>
        <v>7.5757575757575758E-5</v>
      </c>
      <c r="N217" s="37">
        <f t="shared" si="63"/>
        <v>10.909090909090908</v>
      </c>
      <c r="O217" s="37">
        <f t="shared" si="64"/>
        <v>15.151515151515152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IF(L217="","",IF($AO$1=1,IFERROR(MATCH(L217,'05-أيار'!$L$2:$L$501,0),0),0))</f>
        <v>0</v>
      </c>
      <c r="W217" t="str">
        <f t="shared" si="71"/>
        <v/>
      </c>
      <c r="X217" s="38" t="str">
        <f>IF(L217="","",IF(V217&gt;0,INDEX('05-أيار'!$P$2:$P$501,V217),IF($AO$1=1,0,"")))</f>
        <v/>
      </c>
      <c r="Y217" s="38" t="str">
        <f t="shared" si="72"/>
        <v/>
      </c>
      <c r="Z217" s="39" t="str">
        <f>IF(L217="","",IF(V217&gt;0,INDEX('05-أيار'!$Q$2:$Q$501,V217),IF($AO$1=1,0,"")))</f>
        <v/>
      </c>
      <c r="AA217" s="39" t="str">
        <f t="shared" si="73"/>
        <v/>
      </c>
      <c r="AB217" s="40" t="str">
        <f>IF(OR(L217="",V217=0),"",IF(AND(N(I217)&gt;0,N(INDEX('05-أيار'!$I$2:$I$501,V217))&gt;0,INDEX('05-أيار'!$F$2:$F$501,V217)=F217),N(I217)/N(INDEX('05-أيار'!$I$2:$I$501,V217))-1,""))</f>
        <v/>
      </c>
      <c r="AC217" t="str">
        <f>IF(L217="","",IF(AND($AO$2=1,ISNA(MATCH(L217,'07-تموز'!$L$2:$L$500,0))),"محذوف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485</v>
      </c>
      <c r="B218">
        <v>0</v>
      </c>
      <c r="C218">
        <v>13000</v>
      </c>
      <c r="D218">
        <v>13000</v>
      </c>
      <c r="E218">
        <v>13000</v>
      </c>
      <c r="F218" t="s">
        <v>389</v>
      </c>
      <c r="G218" t="s">
        <v>178</v>
      </c>
      <c r="H218" t="s">
        <v>12</v>
      </c>
      <c r="I218">
        <v>5500</v>
      </c>
      <c r="K218" t="str">
        <f t="shared" si="60"/>
        <v/>
      </c>
      <c r="L218" t="str">
        <f t="shared" si="61"/>
        <v>دفتر</v>
      </c>
      <c r="M218" s="36">
        <f t="shared" si="62"/>
        <v>7.5757575757575758E-5</v>
      </c>
      <c r="N218" s="37">
        <f t="shared" si="63"/>
        <v>0.41666666666666669</v>
      </c>
      <c r="O218" s="37">
        <f t="shared" si="64"/>
        <v>0.98484848484848486</v>
      </c>
      <c r="P218" s="38">
        <f t="shared" si="65"/>
        <v>0</v>
      </c>
      <c r="Q218" s="39">
        <f t="shared" si="66"/>
        <v>0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IF(L218="","",IF($AO$1=1,IFERROR(MATCH(L218,'05-أيار'!$L$2:$L$501,0),0),0))</f>
        <v>0</v>
      </c>
      <c r="W218" t="str">
        <f t="shared" si="71"/>
        <v/>
      </c>
      <c r="X218" s="38" t="str">
        <f>IF(L218="","",IF(V218&gt;0,INDEX('05-أيار'!$P$2:$P$501,V218),IF($AO$1=1,0,"")))</f>
        <v/>
      </c>
      <c r="Y218" s="38" t="str">
        <f t="shared" si="72"/>
        <v/>
      </c>
      <c r="Z218" s="39" t="str">
        <f>IF(L218="","",IF(V218&gt;0,INDEX('05-أيار'!$Q$2:$Q$501,V218),IF($AO$1=1,0,"")))</f>
        <v/>
      </c>
      <c r="AA218" s="39" t="str">
        <f t="shared" si="73"/>
        <v/>
      </c>
      <c r="AB218" s="40" t="str">
        <f>IF(OR(L218="",V218=0),"",IF(AND(N(I218)&gt;0,N(INDEX('05-أيار'!$I$2:$I$501,V218))&gt;0,INDEX('05-أيار'!$F$2:$F$501,V218)=F218),N(I218)/N(INDEX('05-أيار'!$I$2:$I$501,V218))-1,""))</f>
        <v/>
      </c>
      <c r="AC218" t="str">
        <f>IF(L218="","",IF(AND($AO$2=1,ISNA(MATCH(L218,'07-تموز'!$L$2:$L$500,0))),"محذوف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2.1799999999999999E-7</v>
      </c>
      <c r="AL218">
        <f t="shared" si="79"/>
        <v>2.1799999999999999E-7</v>
      </c>
    </row>
    <row r="219" spans="1:38" ht="15">
      <c r="A219" t="s">
        <v>486</v>
      </c>
      <c r="B219">
        <v>0</v>
      </c>
      <c r="C219">
        <v>0</v>
      </c>
      <c r="D219">
        <v>0</v>
      </c>
      <c r="E219">
        <v>0</v>
      </c>
      <c r="F219" t="s">
        <v>389</v>
      </c>
      <c r="G219" t="s">
        <v>178</v>
      </c>
      <c r="H219" t="s">
        <v>176</v>
      </c>
      <c r="I219">
        <v>28000</v>
      </c>
      <c r="K219" t="str">
        <f t="shared" si="60"/>
        <v/>
      </c>
      <c r="L219" t="str">
        <f t="shared" si="61"/>
        <v>دبجانة 50 كغ</v>
      </c>
      <c r="M219" s="36">
        <f t="shared" si="62"/>
        <v>7.5757575757575758E-5</v>
      </c>
      <c r="N219" s="37">
        <f t="shared" si="63"/>
        <v>2.1212121212121211</v>
      </c>
      <c r="O219" s="37">
        <f t="shared" si="64"/>
        <v>0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IF(L219="","",IF($AO$1=1,IFERROR(MATCH(L219,'05-أيار'!$L$2:$L$501,0),0),0))</f>
        <v>0</v>
      </c>
      <c r="W219" t="str">
        <f t="shared" si="71"/>
        <v/>
      </c>
      <c r="X219" s="38" t="str">
        <f>IF(L219="","",IF(V219&gt;0,INDEX('05-أيار'!$P$2:$P$501,V219),IF($AO$1=1,0,"")))</f>
        <v/>
      </c>
      <c r="Y219" s="38" t="str">
        <f t="shared" si="72"/>
        <v/>
      </c>
      <c r="Z219" s="39" t="str">
        <f>IF(L219="","",IF(V219&gt;0,INDEX('05-أيار'!$Q$2:$Q$501,V219),IF($AO$1=1,0,"")))</f>
        <v/>
      </c>
      <c r="AA219" s="39" t="str">
        <f t="shared" si="73"/>
        <v/>
      </c>
      <c r="AB219" s="40" t="str">
        <f>IF(OR(L219="",V219=0),"",IF(AND(N(I219)&gt;0,N(INDEX('05-أيار'!$I$2:$I$501,V219))&gt;0,INDEX('05-أيار'!$F$2:$F$501,V219)=F219),N(I219)/N(INDEX('05-أيار'!$I$2:$I$501,V219))-1,""))</f>
        <v/>
      </c>
      <c r="AC219" t="str">
        <f>IF(L219="","",IF(AND($AO$2=1,ISNA(MATCH(L219,'07-تموز'!$L$2:$L$500,0))),"محذوف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487</v>
      </c>
      <c r="B220">
        <v>0</v>
      </c>
      <c r="C220">
        <v>0</v>
      </c>
      <c r="D220">
        <v>0</v>
      </c>
      <c r="E220">
        <v>0</v>
      </c>
      <c r="F220" t="s">
        <v>389</v>
      </c>
      <c r="G220" t="s">
        <v>178</v>
      </c>
      <c r="H220" t="s">
        <v>12</v>
      </c>
      <c r="I220">
        <v>0</v>
      </c>
      <c r="K220" t="str">
        <f t="shared" si="60"/>
        <v/>
      </c>
      <c r="L220" t="str">
        <f t="shared" si="61"/>
        <v>خردة وبلاستيك</v>
      </c>
      <c r="M220" s="36">
        <f t="shared" si="62"/>
        <v>7.5757575757575758E-5</v>
      </c>
      <c r="N220" s="37">
        <f t="shared" si="63"/>
        <v>0</v>
      </c>
      <c r="O220" s="37">
        <f t="shared" si="64"/>
        <v>0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IF(L220="","",IF($AO$1=1,IFERROR(MATCH(L220,'05-أيار'!$L$2:$L$501,0),0),0))</f>
        <v>0</v>
      </c>
      <c r="W220" t="str">
        <f t="shared" si="71"/>
        <v/>
      </c>
      <c r="X220" s="38" t="str">
        <f>IF(L220="","",IF(V220&gt;0,INDEX('05-أيار'!$P$2:$P$501,V220),IF($AO$1=1,0,"")))</f>
        <v/>
      </c>
      <c r="Y220" s="38" t="str">
        <f t="shared" si="72"/>
        <v/>
      </c>
      <c r="Z220" s="39" t="str">
        <f>IF(L220="","",IF(V220&gt;0,INDEX('05-أيار'!$Q$2:$Q$501,V220),IF($AO$1=1,0,"")))</f>
        <v/>
      </c>
      <c r="AA220" s="39" t="str">
        <f t="shared" si="73"/>
        <v/>
      </c>
      <c r="AB220" s="40" t="str">
        <f>IF(OR(L220="",V220=0),"",IF(AND(N(I220)&gt;0,N(INDEX('05-أيار'!$I$2:$I$501,V220))&gt;0,INDEX('05-أيار'!$F$2:$F$501,V220)=F220),N(I220)/N(INDEX('05-أيار'!$I$2:$I$501,V220))-1,""))</f>
        <v/>
      </c>
      <c r="AC220" t="str">
        <f>IF(L220="","",IF(AND($AO$2=1,ISNA(MATCH(L220,'07-تموز'!$L$2:$L$500,0))),"محذوف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488</v>
      </c>
      <c r="B221">
        <v>0</v>
      </c>
      <c r="C221">
        <v>20000</v>
      </c>
      <c r="D221">
        <v>20000</v>
      </c>
      <c r="E221">
        <v>20000</v>
      </c>
      <c r="F221" t="s">
        <v>389</v>
      </c>
      <c r="G221" t="s">
        <v>178</v>
      </c>
      <c r="H221" t="s">
        <v>12</v>
      </c>
      <c r="I221">
        <v>15000</v>
      </c>
      <c r="K221" t="str">
        <f t="shared" si="60"/>
        <v/>
      </c>
      <c r="L221" t="str">
        <f t="shared" si="61"/>
        <v>جاطات + طشوطة بلاستيك</v>
      </c>
      <c r="M221" s="36">
        <f t="shared" si="62"/>
        <v>7.5757575757575758E-5</v>
      </c>
      <c r="N221" s="37">
        <f t="shared" si="63"/>
        <v>1.1363636363636365</v>
      </c>
      <c r="O221" s="37">
        <f t="shared" si="64"/>
        <v>1.5151515151515151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IF(L221="","",IF($AO$1=1,IFERROR(MATCH(L221,'05-أيار'!$L$2:$L$501,0),0),0))</f>
        <v>0</v>
      </c>
      <c r="W221" t="str">
        <f t="shared" si="71"/>
        <v/>
      </c>
      <c r="X221" s="38" t="str">
        <f>IF(L221="","",IF(V221&gt;0,INDEX('05-أيار'!$P$2:$P$501,V221),IF($AO$1=1,0,"")))</f>
        <v/>
      </c>
      <c r="Y221" s="38" t="str">
        <f t="shared" si="72"/>
        <v/>
      </c>
      <c r="Z221" s="39" t="str">
        <f>IF(L221="","",IF(V221&gt;0,INDEX('05-أيار'!$Q$2:$Q$501,V221),IF($AO$1=1,0,"")))</f>
        <v/>
      </c>
      <c r="AA221" s="39" t="str">
        <f t="shared" si="73"/>
        <v/>
      </c>
      <c r="AB221" s="40" t="str">
        <f>IF(OR(L221="",V221=0),"",IF(AND(N(I221)&gt;0,N(INDEX('05-أيار'!$I$2:$I$501,V221))&gt;0,INDEX('05-أيار'!$F$2:$F$501,V221)=F221),N(I221)/N(INDEX('05-أيار'!$I$2:$I$501,V221))-1,""))</f>
        <v/>
      </c>
      <c r="AC221" t="str">
        <f>IF(L221="","",IF(AND($AO$2=1,ISNA(MATCH(L221,'07-تموز'!$L$2:$L$500,0))),"محذوف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489</v>
      </c>
      <c r="B222">
        <v>4</v>
      </c>
      <c r="C222">
        <v>6000</v>
      </c>
      <c r="D222">
        <v>6000</v>
      </c>
      <c r="E222">
        <v>6000</v>
      </c>
      <c r="F222" t="s">
        <v>389</v>
      </c>
      <c r="G222" t="s">
        <v>178</v>
      </c>
      <c r="H222" t="s">
        <v>12</v>
      </c>
      <c r="I222">
        <v>6000</v>
      </c>
      <c r="K222" t="str">
        <f t="shared" si="60"/>
        <v/>
      </c>
      <c r="L222" t="str">
        <f t="shared" si="61"/>
        <v>بيدون سعة 5 كغ</v>
      </c>
      <c r="M222" s="36">
        <f t="shared" si="62"/>
        <v>7.5757575757575758E-5</v>
      </c>
      <c r="N222" s="37">
        <f t="shared" si="63"/>
        <v>0.45454545454545453</v>
      </c>
      <c r="O222" s="37">
        <f t="shared" si="64"/>
        <v>0.45454545454545453</v>
      </c>
      <c r="P222" s="38">
        <f t="shared" si="65"/>
        <v>4</v>
      </c>
      <c r="Q222" s="39">
        <f t="shared" si="66"/>
        <v>1.8181818181818181</v>
      </c>
      <c r="R222" s="39">
        <f t="shared" si="67"/>
        <v>1.8181818181818181</v>
      </c>
      <c r="S222">
        <f t="shared" si="68"/>
        <v>1</v>
      </c>
      <c r="T222" s="39">
        <f t="shared" si="69"/>
        <v>0</v>
      </c>
      <c r="U222" t="str">
        <f t="shared" si="70"/>
        <v/>
      </c>
      <c r="V222">
        <f>IF(L222="","",IF($AO$1=1,IFERROR(MATCH(L222,'05-أيار'!$L$2:$L$501,0),0),0))</f>
        <v>0</v>
      </c>
      <c r="W222" t="str">
        <f t="shared" si="71"/>
        <v/>
      </c>
      <c r="X222" s="38" t="str">
        <f>IF(L222="","",IF(V222&gt;0,INDEX('05-أيار'!$P$2:$P$501,V222),IF($AO$1=1,0,"")))</f>
        <v/>
      </c>
      <c r="Y222" s="38" t="str">
        <f t="shared" si="72"/>
        <v/>
      </c>
      <c r="Z222" s="39" t="str">
        <f>IF(L222="","",IF(V222&gt;0,INDEX('05-أيار'!$Q$2:$Q$501,V222),IF($AO$1=1,0,"")))</f>
        <v/>
      </c>
      <c r="AA222" s="39" t="str">
        <f t="shared" si="73"/>
        <v/>
      </c>
      <c r="AB222" s="40" t="str">
        <f>IF(OR(L222="",V222=0),"",IF(AND(N(I222)&gt;0,N(INDEX('05-أيار'!$I$2:$I$501,V222))&gt;0,INDEX('05-أيار'!$F$2:$F$501,V222)=F222),N(I222)/N(INDEX('05-أيار'!$I$2:$I$501,V222))-1,""))</f>
        <v/>
      </c>
      <c r="AC222" t="str">
        <f>IF(L222="","",IF(AND($AO$2=1,ISNA(MATCH(L222,'07-تموز'!$L$2:$L$500,0))),"محذوف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1.8181820401818181</v>
      </c>
      <c r="AL222">
        <f t="shared" si="79"/>
        <v>2.22E-7</v>
      </c>
    </row>
    <row r="223" spans="1:38" ht="15">
      <c r="A223" t="s">
        <v>490</v>
      </c>
      <c r="B223">
        <v>0</v>
      </c>
      <c r="C223">
        <v>0</v>
      </c>
      <c r="D223">
        <v>0</v>
      </c>
      <c r="E223">
        <v>0</v>
      </c>
      <c r="F223" t="s">
        <v>389</v>
      </c>
      <c r="G223" t="s">
        <v>178</v>
      </c>
      <c r="H223" t="s">
        <v>176</v>
      </c>
      <c r="I223">
        <v>0</v>
      </c>
      <c r="K223" t="str">
        <f t="shared" si="60"/>
        <v/>
      </c>
      <c r="L223" t="str">
        <f t="shared" si="61"/>
        <v>بيدون سعة 10 كغ</v>
      </c>
      <c r="M223" s="36">
        <f t="shared" si="62"/>
        <v>7.5757575757575758E-5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IF(L223="","",IF($AO$1=1,IFERROR(MATCH(L223,'05-أيار'!$L$2:$L$501,0),0),0))</f>
        <v>0</v>
      </c>
      <c r="W223" t="str">
        <f t="shared" si="71"/>
        <v/>
      </c>
      <c r="X223" s="38" t="str">
        <f>IF(L223="","",IF(V223&gt;0,INDEX('05-أيار'!$P$2:$P$501,V223),IF($AO$1=1,0,"")))</f>
        <v/>
      </c>
      <c r="Y223" s="38" t="str">
        <f t="shared" si="72"/>
        <v/>
      </c>
      <c r="Z223" s="39" t="str">
        <f>IF(L223="","",IF(V223&gt;0,INDEX('05-أيار'!$Q$2:$Q$501,V223),IF($AO$1=1,0,"")))</f>
        <v/>
      </c>
      <c r="AA223" s="39" t="str">
        <f t="shared" si="73"/>
        <v/>
      </c>
      <c r="AB223" s="40" t="str">
        <f>IF(OR(L223="",V223=0),"",IF(AND(N(I223)&gt;0,N(INDEX('05-أيار'!$I$2:$I$501,V223))&gt;0,INDEX('05-أيار'!$F$2:$F$501,V223)=F223),N(I223)/N(INDEX('05-أيار'!$I$2:$I$501,V223))-1,""))</f>
        <v/>
      </c>
      <c r="AC223" t="str">
        <f>IF(L223="","",IF(AND($AO$2=1,ISNA(MATCH(L223,'07-تموز'!$L$2:$L$500,0))),"محذوف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491</v>
      </c>
      <c r="B224">
        <v>0</v>
      </c>
      <c r="C224">
        <v>0</v>
      </c>
      <c r="D224">
        <v>0</v>
      </c>
      <c r="E224">
        <v>0</v>
      </c>
      <c r="F224" t="s">
        <v>389</v>
      </c>
      <c r="G224" t="s">
        <v>178</v>
      </c>
      <c r="H224" t="s">
        <v>12</v>
      </c>
      <c r="I224">
        <v>0</v>
      </c>
      <c r="K224" t="str">
        <f t="shared" si="60"/>
        <v/>
      </c>
      <c r="L224" t="str">
        <f t="shared" si="61"/>
        <v>بيدون !</v>
      </c>
      <c r="M224" s="36">
        <f t="shared" si="62"/>
        <v>7.5757575757575758E-5</v>
      </c>
      <c r="N224" s="37">
        <f t="shared" si="63"/>
        <v>0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IF(L224="","",IF($AO$1=1,IFERROR(MATCH(L224,'05-أيار'!$L$2:$L$501,0),0),0))</f>
        <v>0</v>
      </c>
      <c r="W224" t="str">
        <f t="shared" si="71"/>
        <v/>
      </c>
      <c r="X224" s="38" t="str">
        <f>IF(L224="","",IF(V224&gt;0,INDEX('05-أيار'!$P$2:$P$501,V224),IF($AO$1=1,0,"")))</f>
        <v/>
      </c>
      <c r="Y224" s="38" t="str">
        <f t="shared" si="72"/>
        <v/>
      </c>
      <c r="Z224" s="39" t="str">
        <f>IF(L224="","",IF(V224&gt;0,INDEX('05-أيار'!$Q$2:$Q$501,V224),IF($AO$1=1,0,"")))</f>
        <v/>
      </c>
      <c r="AA224" s="39" t="str">
        <f t="shared" si="73"/>
        <v/>
      </c>
      <c r="AB224" s="40" t="str">
        <f>IF(OR(L224="",V224=0),"",IF(AND(N(I224)&gt;0,N(INDEX('05-أيار'!$I$2:$I$501,V224))&gt;0,INDEX('05-أيار'!$F$2:$F$501,V224)=F224),N(I224)/N(INDEX('05-أيار'!$I$2:$I$501,V224))-1,""))</f>
        <v/>
      </c>
      <c r="AC224" t="str">
        <f>IF(L224="","",IF(AND($AO$2=1,ISNA(MATCH(L224,'07-تموز'!$L$2:$L$500,0))),"محذوف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492</v>
      </c>
      <c r="B225">
        <v>0</v>
      </c>
      <c r="C225">
        <v>0</v>
      </c>
      <c r="D225">
        <v>0</v>
      </c>
      <c r="E225">
        <v>0</v>
      </c>
      <c r="F225" t="s">
        <v>389</v>
      </c>
      <c r="G225" t="s">
        <v>178</v>
      </c>
      <c r="H225" t="s">
        <v>12</v>
      </c>
      <c r="I225">
        <v>0</v>
      </c>
      <c r="K225" t="str">
        <f t="shared" si="60"/>
        <v/>
      </c>
      <c r="L225" t="str">
        <f t="shared" si="61"/>
        <v>بي اتش 3 لتر</v>
      </c>
      <c r="M225" s="36">
        <f t="shared" si="62"/>
        <v>7.5757575757575758E-5</v>
      </c>
      <c r="N225" s="37">
        <f t="shared" si="63"/>
        <v>0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IF(L225="","",IF($AO$1=1,IFERROR(MATCH(L225,'05-أيار'!$L$2:$L$501,0),0),0))</f>
        <v>0</v>
      </c>
      <c r="W225" t="str">
        <f t="shared" si="71"/>
        <v/>
      </c>
      <c r="X225" s="38" t="str">
        <f>IF(L225="","",IF(V225&gt;0,INDEX('05-أيار'!$P$2:$P$501,V225),IF($AO$1=1,0,"")))</f>
        <v/>
      </c>
      <c r="Y225" s="38" t="str">
        <f t="shared" si="72"/>
        <v/>
      </c>
      <c r="Z225" s="39" t="str">
        <f>IF(L225="","",IF(V225&gt;0,INDEX('05-أيار'!$Q$2:$Q$501,V225),IF($AO$1=1,0,"")))</f>
        <v/>
      </c>
      <c r="AA225" s="39" t="str">
        <f t="shared" si="73"/>
        <v/>
      </c>
      <c r="AB225" s="40" t="str">
        <f>IF(OR(L225="",V225=0),"",IF(AND(N(I225)&gt;0,N(INDEX('05-أيار'!$I$2:$I$501,V225))&gt;0,INDEX('05-أيار'!$F$2:$F$501,V225)=F225),N(I225)/N(INDEX('05-أيار'!$I$2:$I$501,V225))-1,""))</f>
        <v/>
      </c>
      <c r="AC225" t="str">
        <f>IF(L225="","",IF(AND($AO$2=1,ISNA(MATCH(L225,'07-تموز'!$L$2:$L$500,0))),"محذوف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493</v>
      </c>
      <c r="B226">
        <v>0</v>
      </c>
      <c r="C226">
        <v>118000</v>
      </c>
      <c r="D226">
        <v>118000</v>
      </c>
      <c r="E226">
        <v>118000</v>
      </c>
      <c r="F226" t="s">
        <v>389</v>
      </c>
      <c r="G226" t="s">
        <v>178</v>
      </c>
      <c r="H226" t="s">
        <v>12</v>
      </c>
      <c r="I226">
        <v>105000</v>
      </c>
      <c r="K226" t="str">
        <f t="shared" si="60"/>
        <v/>
      </c>
      <c r="L226" t="str">
        <f t="shared" si="61"/>
        <v>بي اتش - كرتونة</v>
      </c>
      <c r="M226" s="36">
        <f t="shared" si="62"/>
        <v>7.5757575757575758E-5</v>
      </c>
      <c r="N226" s="37">
        <f t="shared" si="63"/>
        <v>7.9545454545454541</v>
      </c>
      <c r="O226" s="37">
        <f t="shared" si="64"/>
        <v>8.9393939393939394</v>
      </c>
      <c r="P226" s="38">
        <f t="shared" si="65"/>
        <v>0</v>
      </c>
      <c r="Q226" s="39">
        <f t="shared" si="66"/>
        <v>0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IF(L226="","",IF($AO$1=1,IFERROR(MATCH(L226,'05-أيار'!$L$2:$L$501,0),0),0))</f>
        <v>0</v>
      </c>
      <c r="W226" t="str">
        <f t="shared" si="71"/>
        <v/>
      </c>
      <c r="X226" s="38" t="str">
        <f>IF(L226="","",IF(V226&gt;0,INDEX('05-أيار'!$P$2:$P$501,V226),IF($AO$1=1,0,"")))</f>
        <v/>
      </c>
      <c r="Y226" s="38" t="str">
        <f t="shared" si="72"/>
        <v/>
      </c>
      <c r="Z226" s="39" t="str">
        <f>IF(L226="","",IF(V226&gt;0,INDEX('05-أيار'!$Q$2:$Q$501,V226),IF($AO$1=1,0,"")))</f>
        <v/>
      </c>
      <c r="AA226" s="39" t="str">
        <f t="shared" si="73"/>
        <v/>
      </c>
      <c r="AB226" s="40" t="str">
        <f>IF(OR(L226="",V226=0),"",IF(AND(N(I226)&gt;0,N(INDEX('05-أيار'!$I$2:$I$501,V226))&gt;0,INDEX('05-أيار'!$F$2:$F$501,V226)=F226),N(I226)/N(INDEX('05-أيار'!$I$2:$I$501,V226))-1,""))</f>
        <v/>
      </c>
      <c r="AC226" t="str">
        <f>IF(L226="","",IF(AND($AO$2=1,ISNA(MATCH(L226,'07-تموز'!$L$2:$L$500,0))),"محذوف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2.2600000000000001E-7</v>
      </c>
      <c r="AL226">
        <f t="shared" si="79"/>
        <v>2.2600000000000001E-7</v>
      </c>
    </row>
    <row r="227" spans="1:38" ht="15">
      <c r="A227" t="s">
        <v>494</v>
      </c>
      <c r="B227">
        <v>544</v>
      </c>
      <c r="C227">
        <v>6000</v>
      </c>
      <c r="D227">
        <v>6000</v>
      </c>
      <c r="E227">
        <v>6000</v>
      </c>
      <c r="F227" t="s">
        <v>389</v>
      </c>
      <c r="G227" t="s">
        <v>178</v>
      </c>
      <c r="H227" t="s">
        <v>12</v>
      </c>
      <c r="I227">
        <v>5500</v>
      </c>
      <c r="K227" t="str">
        <f t="shared" si="60"/>
        <v/>
      </c>
      <c r="L227" t="str">
        <f t="shared" si="61"/>
        <v>بي اتش - BH / فرط</v>
      </c>
      <c r="M227" s="36">
        <f t="shared" si="62"/>
        <v>7.5757575757575758E-5</v>
      </c>
      <c r="N227" s="37">
        <f t="shared" si="63"/>
        <v>0.41666666666666669</v>
      </c>
      <c r="O227" s="37">
        <f t="shared" si="64"/>
        <v>0.45454545454545453</v>
      </c>
      <c r="P227" s="38">
        <f t="shared" si="65"/>
        <v>544</v>
      </c>
      <c r="Q227" s="39">
        <f t="shared" si="66"/>
        <v>226.66666666666669</v>
      </c>
      <c r="R227" s="39">
        <f t="shared" si="67"/>
        <v>247.27272727272725</v>
      </c>
      <c r="S227">
        <f t="shared" si="68"/>
        <v>1</v>
      </c>
      <c r="T227" s="39">
        <f t="shared" si="69"/>
        <v>20.606060606060566</v>
      </c>
      <c r="U227" t="str">
        <f t="shared" si="70"/>
        <v/>
      </c>
      <c r="V227">
        <f>IF(L227="","",IF($AO$1=1,IFERROR(MATCH(L227,'05-أيار'!$L$2:$L$501,0),0),0))</f>
        <v>0</v>
      </c>
      <c r="W227" t="str">
        <f t="shared" si="71"/>
        <v/>
      </c>
      <c r="X227" s="38" t="str">
        <f>IF(L227="","",IF(V227&gt;0,INDEX('05-أيار'!$P$2:$P$501,V227),IF($AO$1=1,0,"")))</f>
        <v/>
      </c>
      <c r="Y227" s="38" t="str">
        <f t="shared" si="72"/>
        <v/>
      </c>
      <c r="Z227" s="39" t="str">
        <f>IF(L227="","",IF(V227&gt;0,INDEX('05-أيار'!$Q$2:$Q$501,V227),IF($AO$1=1,0,"")))</f>
        <v/>
      </c>
      <c r="AA227" s="39" t="str">
        <f t="shared" si="73"/>
        <v/>
      </c>
      <c r="AB227" s="40" t="str">
        <f>IF(OR(L227="",V227=0),"",IF(AND(N(I227)&gt;0,N(INDEX('05-أيار'!$I$2:$I$501,V227))&gt;0,INDEX('05-أيار'!$F$2:$F$501,V227)=F227),N(I227)/N(INDEX('05-أيار'!$I$2:$I$501,V227))-1,""))</f>
        <v/>
      </c>
      <c r="AC227" t="str">
        <f>IF(L227="","",IF(AND($AO$2=1,ISNA(MATCH(L227,'07-تموز'!$L$2:$L$500,0))),"محذوف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>
        <f t="shared" si="75"/>
        <v>20.606060606060588</v>
      </c>
      <c r="AI227" s="39">
        <f t="shared" si="76"/>
        <v>20.606060606060588</v>
      </c>
      <c r="AJ227" s="39">
        <f t="shared" si="77"/>
        <v>20.606060606060588</v>
      </c>
      <c r="AK227">
        <f t="shared" si="78"/>
        <v>226.66666689366667</v>
      </c>
      <c r="AL227">
        <f t="shared" si="79"/>
        <v>20.606060833060567</v>
      </c>
    </row>
    <row r="228" spans="1:38" ht="15">
      <c r="A228" t="s">
        <v>495</v>
      </c>
      <c r="B228">
        <v>0</v>
      </c>
      <c r="C228">
        <v>0</v>
      </c>
      <c r="D228">
        <v>0</v>
      </c>
      <c r="E228">
        <v>0</v>
      </c>
      <c r="F228" t="s">
        <v>389</v>
      </c>
      <c r="G228" t="s">
        <v>178</v>
      </c>
      <c r="H228" t="s">
        <v>12</v>
      </c>
      <c r="I228">
        <v>0</v>
      </c>
      <c r="K228" t="str">
        <f t="shared" si="60"/>
        <v/>
      </c>
      <c r="L228" t="str">
        <f t="shared" si="61"/>
        <v>بي أتش ph الكرمل</v>
      </c>
      <c r="M228" s="36">
        <f t="shared" si="62"/>
        <v>7.5757575757575758E-5</v>
      </c>
      <c r="N228" s="37">
        <f t="shared" si="63"/>
        <v>0</v>
      </c>
      <c r="O228" s="37">
        <f t="shared" si="64"/>
        <v>0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IF(L228="","",IF($AO$1=1,IFERROR(MATCH(L228,'05-أيار'!$L$2:$L$501,0),0),0))</f>
        <v>0</v>
      </c>
      <c r="W228" t="str">
        <f t="shared" si="71"/>
        <v/>
      </c>
      <c r="X228" s="38" t="str">
        <f>IF(L228="","",IF(V228&gt;0,INDEX('05-أيار'!$P$2:$P$501,V228),IF($AO$1=1,0,"")))</f>
        <v/>
      </c>
      <c r="Y228" s="38" t="str">
        <f t="shared" si="72"/>
        <v/>
      </c>
      <c r="Z228" s="39" t="str">
        <f>IF(L228="","",IF(V228&gt;0,INDEX('05-أيار'!$Q$2:$Q$501,V228),IF($AO$1=1,0,"")))</f>
        <v/>
      </c>
      <c r="AA228" s="39" t="str">
        <f t="shared" si="73"/>
        <v/>
      </c>
      <c r="AB228" s="40" t="str">
        <f>IF(OR(L228="",V228=0),"",IF(AND(N(I228)&gt;0,N(INDEX('05-أيار'!$I$2:$I$501,V228))&gt;0,INDEX('05-أيار'!$F$2:$F$501,V228)=F228),N(I228)/N(INDEX('05-أيار'!$I$2:$I$501,V228))-1,""))</f>
        <v/>
      </c>
      <c r="AC228" t="str">
        <f>IF(L228="","",IF(AND($AO$2=1,ISNA(MATCH(L228,'07-تموز'!$L$2:$L$500,0))),"محذوف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496</v>
      </c>
      <c r="B229">
        <v>0</v>
      </c>
      <c r="C229">
        <v>0</v>
      </c>
      <c r="D229">
        <v>0</v>
      </c>
      <c r="E229">
        <v>0</v>
      </c>
      <c r="F229" t="s">
        <v>389</v>
      </c>
      <c r="G229" t="s">
        <v>178</v>
      </c>
      <c r="H229" t="s">
        <v>12</v>
      </c>
      <c r="I229">
        <v>0</v>
      </c>
      <c r="K229" t="str">
        <f t="shared" si="60"/>
        <v/>
      </c>
      <c r="L229" t="str">
        <f t="shared" si="61"/>
        <v>بلسم 3 لتر</v>
      </c>
      <c r="M229" s="36">
        <f t="shared" si="62"/>
        <v>7.5757575757575758E-5</v>
      </c>
      <c r="N229" s="37">
        <f t="shared" si="63"/>
        <v>0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IF(L229="","",IF($AO$1=1,IFERROR(MATCH(L229,'05-أيار'!$L$2:$L$501,0),0),0))</f>
        <v>0</v>
      </c>
      <c r="W229" t="str">
        <f t="shared" si="71"/>
        <v/>
      </c>
      <c r="X229" s="38" t="str">
        <f>IF(L229="","",IF(V229&gt;0,INDEX('05-أيار'!$P$2:$P$501,V229),IF($AO$1=1,0,"")))</f>
        <v/>
      </c>
      <c r="Y229" s="38" t="str">
        <f t="shared" si="72"/>
        <v/>
      </c>
      <c r="Z229" s="39" t="str">
        <f>IF(L229="","",IF(V229&gt;0,INDEX('05-أيار'!$Q$2:$Q$501,V229),IF($AO$1=1,0,"")))</f>
        <v/>
      </c>
      <c r="AA229" s="39" t="str">
        <f t="shared" si="73"/>
        <v/>
      </c>
      <c r="AB229" s="40" t="str">
        <f>IF(OR(L229="",V229=0),"",IF(AND(N(I229)&gt;0,N(INDEX('05-أيار'!$I$2:$I$501,V229))&gt;0,INDEX('05-أيار'!$F$2:$F$501,V229)=F229),N(I229)/N(INDEX('05-أيار'!$I$2:$I$501,V229))-1,""))</f>
        <v/>
      </c>
      <c r="AC229" t="str">
        <f>IF(L229="","",IF(AND($AO$2=1,ISNA(MATCH(L229,'07-تموز'!$L$2:$L$500,0))),"محذوف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497</v>
      </c>
      <c r="B230">
        <v>0</v>
      </c>
      <c r="C230">
        <v>15000</v>
      </c>
      <c r="D230">
        <v>15000</v>
      </c>
      <c r="E230">
        <v>15000</v>
      </c>
      <c r="F230" t="s">
        <v>389</v>
      </c>
      <c r="G230" t="s">
        <v>178</v>
      </c>
      <c r="H230" t="s">
        <v>12</v>
      </c>
      <c r="I230">
        <v>0</v>
      </c>
      <c r="K230" t="str">
        <f t="shared" si="60"/>
        <v/>
      </c>
      <c r="L230" t="str">
        <f t="shared" si="61"/>
        <v>بلسم / فرط</v>
      </c>
      <c r="M230" s="36">
        <f t="shared" si="62"/>
        <v>7.5757575757575758E-5</v>
      </c>
      <c r="N230" s="37">
        <f t="shared" si="63"/>
        <v>0</v>
      </c>
      <c r="O230" s="37">
        <f t="shared" si="64"/>
        <v>1.1363636363636365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IF(L230="","",IF($AO$1=1,IFERROR(MATCH(L230,'05-أيار'!$L$2:$L$501,0),0),0))</f>
        <v>0</v>
      </c>
      <c r="W230" t="str">
        <f t="shared" si="71"/>
        <v/>
      </c>
      <c r="X230" s="38" t="str">
        <f>IF(L230="","",IF(V230&gt;0,INDEX('05-أيار'!$P$2:$P$501,V230),IF($AO$1=1,0,"")))</f>
        <v/>
      </c>
      <c r="Y230" s="38" t="str">
        <f t="shared" si="72"/>
        <v/>
      </c>
      <c r="Z230" s="39" t="str">
        <f>IF(L230="","",IF(V230&gt;0,INDEX('05-أيار'!$Q$2:$Q$501,V230),IF($AO$1=1,0,"")))</f>
        <v/>
      </c>
      <c r="AA230" s="39" t="str">
        <f t="shared" si="73"/>
        <v/>
      </c>
      <c r="AB230" s="40" t="str">
        <f>IF(OR(L230="",V230=0),"",IF(AND(N(I230)&gt;0,N(INDEX('05-أيار'!$I$2:$I$501,V230))&gt;0,INDEX('05-أيار'!$F$2:$F$501,V230)=F230),N(I230)/N(INDEX('05-أيار'!$I$2:$I$501,V230))-1,""))</f>
        <v/>
      </c>
      <c r="AC230" t="str">
        <f>IF(L230="","",IF(AND($AO$2=1,ISNA(MATCH(L230,'07-تموز'!$L$2:$L$500,0))),"محذوف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498</v>
      </c>
      <c r="B231">
        <v>0</v>
      </c>
      <c r="C231">
        <v>49000</v>
      </c>
      <c r="D231">
        <v>49000</v>
      </c>
      <c r="E231">
        <v>49000</v>
      </c>
      <c r="F231" t="s">
        <v>389</v>
      </c>
      <c r="G231" t="s">
        <v>178</v>
      </c>
      <c r="H231" t="s">
        <v>12</v>
      </c>
      <c r="I231">
        <v>20000</v>
      </c>
      <c r="K231" t="str">
        <f t="shared" si="60"/>
        <v/>
      </c>
      <c r="L231" t="str">
        <f t="shared" si="61"/>
        <v>برميل كرتون</v>
      </c>
      <c r="M231" s="36">
        <f t="shared" si="62"/>
        <v>7.5757575757575758E-5</v>
      </c>
      <c r="N231" s="37">
        <f t="shared" si="63"/>
        <v>1.5151515151515151</v>
      </c>
      <c r="O231" s="37">
        <f t="shared" si="64"/>
        <v>3.7121212121212119</v>
      </c>
      <c r="P231" s="38">
        <f t="shared" si="65"/>
        <v>0</v>
      </c>
      <c r="Q231" s="39">
        <f t="shared" si="66"/>
        <v>0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IF(L231="","",IF($AO$1=1,IFERROR(MATCH(L231,'05-أيار'!$L$2:$L$501,0),0),0))</f>
        <v>0</v>
      </c>
      <c r="W231" t="str">
        <f t="shared" si="71"/>
        <v/>
      </c>
      <c r="X231" s="38" t="str">
        <f>IF(L231="","",IF(V231&gt;0,INDEX('05-أيار'!$P$2:$P$501,V231),IF($AO$1=1,0,"")))</f>
        <v/>
      </c>
      <c r="Y231" s="38" t="str">
        <f t="shared" si="72"/>
        <v/>
      </c>
      <c r="Z231" s="39" t="str">
        <f>IF(L231="","",IF(V231&gt;0,INDEX('05-أيار'!$Q$2:$Q$501,V231),IF($AO$1=1,0,"")))</f>
        <v/>
      </c>
      <c r="AA231" s="39" t="str">
        <f t="shared" si="73"/>
        <v/>
      </c>
      <c r="AB231" s="40" t="str">
        <f>IF(OR(L231="",V231=0),"",IF(AND(N(I231)&gt;0,N(INDEX('05-أيار'!$I$2:$I$501,V231))&gt;0,INDEX('05-أيار'!$F$2:$F$501,V231)=F231),N(I231)/N(INDEX('05-أيار'!$I$2:$I$501,V231))-1,""))</f>
        <v/>
      </c>
      <c r="AC231" t="str">
        <f>IF(L231="","",IF(AND($AO$2=1,ISNA(MATCH(L231,'07-تموز'!$L$2:$L$500,0))),"محذوف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2.3099999999999999E-7</v>
      </c>
      <c r="AL231">
        <f t="shared" si="79"/>
        <v>2.3099999999999999E-7</v>
      </c>
    </row>
    <row r="232" spans="1:38" ht="15">
      <c r="A232" t="s">
        <v>499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12</v>
      </c>
      <c r="I232">
        <v>0</v>
      </c>
      <c r="K232" t="str">
        <f t="shared" si="60"/>
        <v/>
      </c>
      <c r="L232" t="str">
        <f t="shared" si="61"/>
        <v>برميل تكسبون فارغ</v>
      </c>
      <c r="M232" s="36">
        <f t="shared" si="62"/>
        <v>7.5757575757575758E-5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IF(L232="","",IF($AO$1=1,IFERROR(MATCH(L232,'05-أيار'!$L$2:$L$501,0),0),0))</f>
        <v>0</v>
      </c>
      <c r="W232" t="str">
        <f t="shared" si="71"/>
        <v/>
      </c>
      <c r="X232" s="38" t="str">
        <f>IF(L232="","",IF(V232&gt;0,INDEX('05-أيار'!$P$2:$P$501,V232),IF($AO$1=1,0,"")))</f>
        <v/>
      </c>
      <c r="Y232" s="38" t="str">
        <f t="shared" si="72"/>
        <v/>
      </c>
      <c r="Z232" s="39" t="str">
        <f>IF(L232="","",IF(V232&gt;0,INDEX('05-أيار'!$Q$2:$Q$501,V232),IF($AO$1=1,0,"")))</f>
        <v/>
      </c>
      <c r="AA232" s="39" t="str">
        <f t="shared" si="73"/>
        <v/>
      </c>
      <c r="AB232" s="40" t="str">
        <f>IF(OR(L232="",V232=0),"",IF(AND(N(I232)&gt;0,N(INDEX('05-أيار'!$I$2:$I$501,V232))&gt;0,INDEX('05-أيار'!$F$2:$F$501,V232)=F232),N(I232)/N(INDEX('05-أيار'!$I$2:$I$501,V232))-1,""))</f>
        <v/>
      </c>
      <c r="AC232" t="str">
        <f>IF(L232="","",IF(AND($AO$2=1,ISNA(MATCH(L232,'07-تموز'!$L$2:$L$500,0))),"محذوف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500</v>
      </c>
      <c r="B233">
        <v>0</v>
      </c>
      <c r="C233">
        <v>0</v>
      </c>
      <c r="D233">
        <v>0</v>
      </c>
      <c r="E233">
        <v>0</v>
      </c>
      <c r="F233" t="s">
        <v>389</v>
      </c>
      <c r="G233" t="s">
        <v>178</v>
      </c>
      <c r="H233" t="s">
        <v>176</v>
      </c>
      <c r="I233">
        <v>0</v>
      </c>
      <c r="K233" t="str">
        <f t="shared" si="60"/>
        <v/>
      </c>
      <c r="L233" t="str">
        <f t="shared" si="61"/>
        <v>برميل بلاستيك</v>
      </c>
      <c r="M233" s="36">
        <f t="shared" si="62"/>
        <v>7.5757575757575758E-5</v>
      </c>
      <c r="N233" s="37">
        <f t="shared" si="63"/>
        <v>0</v>
      </c>
      <c r="O233" s="37">
        <f t="shared" si="64"/>
        <v>0</v>
      </c>
      <c r="P233" s="38">
        <f t="shared" si="65"/>
        <v>0</v>
      </c>
      <c r="Q233" s="39">
        <f t="shared" si="66"/>
        <v>0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IF(L233="","",IF($AO$1=1,IFERROR(MATCH(L233,'05-أيار'!$L$2:$L$501,0),0),0))</f>
        <v>0</v>
      </c>
      <c r="W233" t="str">
        <f t="shared" si="71"/>
        <v/>
      </c>
      <c r="X233" s="38" t="str">
        <f>IF(L233="","",IF(V233&gt;0,INDEX('05-أيار'!$P$2:$P$501,V233),IF($AO$1=1,0,"")))</f>
        <v/>
      </c>
      <c r="Y233" s="38" t="str">
        <f t="shared" si="72"/>
        <v/>
      </c>
      <c r="Z233" s="39" t="str">
        <f>IF(L233="","",IF(V233&gt;0,INDEX('05-أيار'!$Q$2:$Q$501,V233),IF($AO$1=1,0,"")))</f>
        <v/>
      </c>
      <c r="AA233" s="39" t="str">
        <f t="shared" si="73"/>
        <v/>
      </c>
      <c r="AB233" s="40" t="str">
        <f>IF(OR(L233="",V233=0),"",IF(AND(N(I233)&gt;0,N(INDEX('05-أيار'!$I$2:$I$501,V233))&gt;0,INDEX('05-أيار'!$F$2:$F$501,V233)=F233),N(I233)/N(INDEX('05-أيار'!$I$2:$I$501,V233))-1,""))</f>
        <v/>
      </c>
      <c r="AC233" t="str">
        <f>IF(L233="","",IF(AND($AO$2=1,ISNA(MATCH(L233,'07-تموز'!$L$2:$L$500,0))),"محذوف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2.3300000000000001E-7</v>
      </c>
      <c r="AL233">
        <f t="shared" si="79"/>
        <v>2.3300000000000001E-7</v>
      </c>
    </row>
    <row r="234" spans="1:38" ht="15">
      <c r="A234" t="s">
        <v>501</v>
      </c>
      <c r="B234">
        <v>330.4</v>
      </c>
      <c r="C234">
        <v>65000</v>
      </c>
      <c r="D234">
        <v>65000</v>
      </c>
      <c r="E234">
        <v>65000</v>
      </c>
      <c r="F234" t="s">
        <v>389</v>
      </c>
      <c r="G234" t="s">
        <v>178</v>
      </c>
      <c r="H234" t="s">
        <v>12</v>
      </c>
      <c r="I234">
        <v>55000</v>
      </c>
      <c r="K234" t="str">
        <f t="shared" si="60"/>
        <v/>
      </c>
      <c r="L234" t="str">
        <f t="shared" si="61"/>
        <v>اقراص كلور</v>
      </c>
      <c r="M234" s="36">
        <f t="shared" si="62"/>
        <v>7.5757575757575758E-5</v>
      </c>
      <c r="N234" s="37">
        <f t="shared" si="63"/>
        <v>4.166666666666667</v>
      </c>
      <c r="O234" s="37">
        <f t="shared" si="64"/>
        <v>4.9242424242424239</v>
      </c>
      <c r="P234" s="38">
        <f t="shared" si="65"/>
        <v>330.4</v>
      </c>
      <c r="Q234" s="39">
        <f t="shared" si="66"/>
        <v>1376.6666666666667</v>
      </c>
      <c r="R234" s="39">
        <f t="shared" si="67"/>
        <v>1626.9696969696968</v>
      </c>
      <c r="S234">
        <f t="shared" si="68"/>
        <v>1</v>
      </c>
      <c r="T234" s="39">
        <f t="shared" si="69"/>
        <v>250.30303030303003</v>
      </c>
      <c r="U234" t="str">
        <f t="shared" si="70"/>
        <v/>
      </c>
      <c r="V234">
        <f>IF(L234="","",IF($AO$1=1,IFERROR(MATCH(L234,'05-أيار'!$L$2:$L$501,0),0),0))</f>
        <v>0</v>
      </c>
      <c r="W234" t="str">
        <f t="shared" si="71"/>
        <v/>
      </c>
      <c r="X234" s="38" t="str">
        <f>IF(L234="","",IF(V234&gt;0,INDEX('05-أيار'!$P$2:$P$501,V234),IF($AO$1=1,0,"")))</f>
        <v/>
      </c>
      <c r="Y234" s="38" t="str">
        <f t="shared" si="72"/>
        <v/>
      </c>
      <c r="Z234" s="39" t="str">
        <f>IF(L234="","",IF(V234&gt;0,INDEX('05-أيار'!$Q$2:$Q$501,V234),IF($AO$1=1,0,"")))</f>
        <v/>
      </c>
      <c r="AA234" s="39" t="str">
        <f t="shared" si="73"/>
        <v/>
      </c>
      <c r="AB234" s="40" t="str">
        <f>IF(OR(L234="",V234=0),"",IF(AND(N(I234)&gt;0,N(INDEX('05-أيار'!$I$2:$I$501,V234))&gt;0,INDEX('05-أيار'!$F$2:$F$501,V234)=F234),N(I234)/N(INDEX('05-أيار'!$I$2:$I$501,V234))-1,""))</f>
        <v/>
      </c>
      <c r="AC234" t="str">
        <f>IF(L234="","",IF(AND($AO$2=1,ISNA(MATCH(L234,'07-تموز'!$L$2:$L$500,0))),"محذوف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>
        <f t="shared" si="75"/>
        <v>250.30303030303006</v>
      </c>
      <c r="AI234" s="39">
        <f t="shared" si="76"/>
        <v>250.30303030303006</v>
      </c>
      <c r="AJ234" s="39">
        <f t="shared" si="77"/>
        <v>250.30303030303006</v>
      </c>
      <c r="AK234">
        <f t="shared" si="78"/>
        <v>1376.6666669006668</v>
      </c>
      <c r="AL234">
        <f t="shared" si="79"/>
        <v>250.30303053703003</v>
      </c>
    </row>
    <row r="235" spans="1:38" ht="15">
      <c r="A235" t="s">
        <v>502</v>
      </c>
      <c r="B235">
        <v>0</v>
      </c>
      <c r="C235">
        <v>45000</v>
      </c>
      <c r="D235">
        <v>45000</v>
      </c>
      <c r="E235">
        <v>45000</v>
      </c>
      <c r="F235" t="s">
        <v>389</v>
      </c>
      <c r="G235" t="s">
        <v>178</v>
      </c>
      <c r="H235" t="s">
        <v>12</v>
      </c>
      <c r="I235">
        <v>0</v>
      </c>
      <c r="K235" t="str">
        <f t="shared" si="60"/>
        <v/>
      </c>
      <c r="L235" t="str">
        <f t="shared" si="61"/>
        <v>اسيد 3 لتر</v>
      </c>
      <c r="M235" s="36">
        <f t="shared" si="62"/>
        <v>7.5757575757575758E-5</v>
      </c>
      <c r="N235" s="37">
        <f t="shared" si="63"/>
        <v>0</v>
      </c>
      <c r="O235" s="37">
        <f t="shared" si="64"/>
        <v>3.4090909090909092</v>
      </c>
      <c r="P235" s="38">
        <f t="shared" si="65"/>
        <v>0</v>
      </c>
      <c r="Q235" s="39">
        <f t="shared" si="66"/>
        <v>0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IF(L235="","",IF($AO$1=1,IFERROR(MATCH(L235,'05-أيار'!$L$2:$L$501,0),0),0))</f>
        <v>0</v>
      </c>
      <c r="W235" t="str">
        <f t="shared" si="71"/>
        <v/>
      </c>
      <c r="X235" s="38" t="str">
        <f>IF(L235="","",IF(V235&gt;0,INDEX('05-أيار'!$P$2:$P$501,V235),IF($AO$1=1,0,"")))</f>
        <v/>
      </c>
      <c r="Y235" s="38" t="str">
        <f t="shared" si="72"/>
        <v/>
      </c>
      <c r="Z235" s="39" t="str">
        <f>IF(L235="","",IF(V235&gt;0,INDEX('05-أيار'!$Q$2:$Q$501,V235),IF($AO$1=1,0,"")))</f>
        <v/>
      </c>
      <c r="AA235" s="39" t="str">
        <f t="shared" si="73"/>
        <v/>
      </c>
      <c r="AB235" s="40" t="str">
        <f>IF(OR(L235="",V235=0),"",IF(AND(N(I235)&gt;0,N(INDEX('05-أيار'!$I$2:$I$501,V235))&gt;0,INDEX('05-أيار'!$F$2:$F$501,V235)=F235),N(I235)/N(INDEX('05-أيار'!$I$2:$I$501,V235))-1,""))</f>
        <v/>
      </c>
      <c r="AC235" t="str">
        <f>IF(L235="","",IF(AND($AO$2=1,ISNA(MATCH(L235,'07-تموز'!$L$2:$L$500,0))),"محذوف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2.35E-7</v>
      </c>
      <c r="AL235">
        <f t="shared" si="79"/>
        <v>2.35E-7</v>
      </c>
    </row>
    <row r="236" spans="1:38" ht="15">
      <c r="A236" t="s">
        <v>503</v>
      </c>
      <c r="B236">
        <v>0</v>
      </c>
      <c r="C236">
        <v>27000</v>
      </c>
      <c r="D236">
        <v>27000</v>
      </c>
      <c r="E236">
        <v>27000</v>
      </c>
      <c r="F236" t="s">
        <v>389</v>
      </c>
      <c r="G236" t="s">
        <v>178</v>
      </c>
      <c r="H236" t="s">
        <v>12</v>
      </c>
      <c r="I236">
        <v>10700</v>
      </c>
      <c r="K236" t="str">
        <f t="shared" si="60"/>
        <v/>
      </c>
      <c r="L236" t="str">
        <f t="shared" si="61"/>
        <v>أسيد 3 لتر</v>
      </c>
      <c r="M236" s="36">
        <f t="shared" si="62"/>
        <v>7.5757575757575758E-5</v>
      </c>
      <c r="N236" s="37">
        <f t="shared" si="63"/>
        <v>0.81060606060606055</v>
      </c>
      <c r="O236" s="37">
        <f t="shared" si="64"/>
        <v>2.0454545454545454</v>
      </c>
      <c r="P236" s="38">
        <f t="shared" si="65"/>
        <v>0</v>
      </c>
      <c r="Q236" s="39">
        <f t="shared" si="66"/>
        <v>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IF(L236="","",IF($AO$1=1,IFERROR(MATCH(L236,'05-أيار'!$L$2:$L$501,0),0),0))</f>
        <v>0</v>
      </c>
      <c r="W236" t="str">
        <f t="shared" si="71"/>
        <v/>
      </c>
      <c r="X236" s="38" t="str">
        <f>IF(L236="","",IF(V236&gt;0,INDEX('05-أيار'!$P$2:$P$501,V236),IF($AO$1=1,0,"")))</f>
        <v/>
      </c>
      <c r="Y236" s="38" t="str">
        <f t="shared" si="72"/>
        <v/>
      </c>
      <c r="Z236" s="39" t="str">
        <f>IF(L236="","",IF(V236&gt;0,INDEX('05-أيار'!$Q$2:$Q$501,V236),IF($AO$1=1,0,"")))</f>
        <v/>
      </c>
      <c r="AA236" s="39" t="str">
        <f t="shared" si="73"/>
        <v/>
      </c>
      <c r="AB236" s="40" t="str">
        <f>IF(OR(L236="",V236=0),"",IF(AND(N(I236)&gt;0,N(INDEX('05-أيار'!$I$2:$I$501,V236))&gt;0,INDEX('05-أيار'!$F$2:$F$501,V236)=F236),N(I236)/N(INDEX('05-أيار'!$I$2:$I$501,V236))-1,""))</f>
        <v/>
      </c>
      <c r="AC236" t="str">
        <f>IF(L236="","",IF(AND($AO$2=1,ISNA(MATCH(L236,'07-تموز'!$L$2:$L$500,0))),"محذوف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2.36E-7</v>
      </c>
      <c r="AL236">
        <f t="shared" si="79"/>
        <v>2.36E-7</v>
      </c>
    </row>
    <row r="237" spans="1:38" ht="15">
      <c r="A237" t="s">
        <v>504</v>
      </c>
      <c r="B237">
        <v>0</v>
      </c>
      <c r="C237">
        <v>5500</v>
      </c>
      <c r="D237">
        <v>5500</v>
      </c>
      <c r="E237">
        <v>5500</v>
      </c>
      <c r="F237" t="s">
        <v>389</v>
      </c>
      <c r="G237" t="s">
        <v>178</v>
      </c>
      <c r="H237" t="s">
        <v>12</v>
      </c>
      <c r="I237">
        <v>3500</v>
      </c>
      <c r="K237" t="str">
        <f t="shared" si="60"/>
        <v/>
      </c>
      <c r="L237" t="str">
        <f t="shared" si="61"/>
        <v>أسيد 1 لتر</v>
      </c>
      <c r="M237" s="36">
        <f t="shared" si="62"/>
        <v>7.5757575757575758E-5</v>
      </c>
      <c r="N237" s="37">
        <f t="shared" si="63"/>
        <v>0.26515151515151514</v>
      </c>
      <c r="O237" s="37">
        <f t="shared" si="64"/>
        <v>0.41666666666666669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IF(L237="","",IF($AO$1=1,IFERROR(MATCH(L237,'05-أيار'!$L$2:$L$501,0),0),0))</f>
        <v>0</v>
      </c>
      <c r="W237" t="str">
        <f t="shared" si="71"/>
        <v/>
      </c>
      <c r="X237" s="38" t="str">
        <f>IF(L237="","",IF(V237&gt;0,INDEX('05-أيار'!$P$2:$P$501,V237),IF($AO$1=1,0,"")))</f>
        <v/>
      </c>
      <c r="Y237" s="38" t="str">
        <f t="shared" si="72"/>
        <v/>
      </c>
      <c r="Z237" s="39" t="str">
        <f>IF(L237="","",IF(V237&gt;0,INDEX('05-أيار'!$Q$2:$Q$501,V237),IF($AO$1=1,0,"")))</f>
        <v/>
      </c>
      <c r="AA237" s="39" t="str">
        <f t="shared" si="73"/>
        <v/>
      </c>
      <c r="AB237" s="40" t="str">
        <f>IF(OR(L237="",V237=0),"",IF(AND(N(I237)&gt;0,N(INDEX('05-أيار'!$I$2:$I$501,V237))&gt;0,INDEX('05-أيار'!$F$2:$F$501,V237)=F237),N(I237)/N(INDEX('05-أيار'!$I$2:$I$501,V237))-1,""))</f>
        <v/>
      </c>
      <c r="AC237" t="str">
        <f>IF(L237="","",IF(AND($AO$2=1,ISNA(MATCH(L237,'07-تموز'!$L$2:$L$500,0))),"محذوف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IF(L238="","",IF($AO$1=1,IFERROR(MATCH(L238,'05-أيار'!$L$2:$L$501,0),0),0))</f>
        <v/>
      </c>
      <c r="W238" t="str">
        <f t="shared" si="71"/>
        <v/>
      </c>
      <c r="X238" s="38" t="str">
        <f>IF(L238="","",IF(V238&gt;0,INDEX('05-أيار'!$P$2:$P$501,V238),IF($AO$1=1,0,"")))</f>
        <v/>
      </c>
      <c r="Y238" s="38" t="str">
        <f t="shared" si="72"/>
        <v/>
      </c>
      <c r="Z238" s="39" t="str">
        <f>IF(L238="","",IF(V238&gt;0,INDEX('05-أيار'!$Q$2:$Q$501,V238),IF($AO$1=1,0,"")))</f>
        <v/>
      </c>
      <c r="AA238" s="39" t="str">
        <f t="shared" si="73"/>
        <v/>
      </c>
      <c r="AB238" s="40" t="str">
        <f>IF(OR(L238="",V238=0),"",IF(AND(N(I238)&gt;0,N(INDEX('05-أيار'!$I$2:$I$501,V238))&gt;0,INDEX('05-أيار'!$F$2:$F$501,V238)=F238),N(I238)/N(INDEX('05-أيار'!$I$2:$I$501,V238))-1,""))</f>
        <v/>
      </c>
      <c r="AC238" t="str">
        <f>IF(L238="","",IF(AND($AO$2=1,ISNA(MATCH(L238,'07-تموز'!$L$2:$L$500,0))),"محذوف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IF(L239="","",IF($AO$1=1,IFERROR(MATCH(L239,'05-أيار'!$L$2:$L$501,0),0),0))</f>
        <v/>
      </c>
      <c r="W239" t="str">
        <f t="shared" si="71"/>
        <v/>
      </c>
      <c r="X239" s="38" t="str">
        <f>IF(L239="","",IF(V239&gt;0,INDEX('05-أيار'!$P$2:$P$501,V239),IF($AO$1=1,0,"")))</f>
        <v/>
      </c>
      <c r="Y239" s="38" t="str">
        <f t="shared" si="72"/>
        <v/>
      </c>
      <c r="Z239" s="39" t="str">
        <f>IF(L239="","",IF(V239&gt;0,INDEX('05-أيار'!$Q$2:$Q$501,V239),IF($AO$1=1,0,"")))</f>
        <v/>
      </c>
      <c r="AA239" s="39" t="str">
        <f t="shared" si="73"/>
        <v/>
      </c>
      <c r="AB239" s="40" t="str">
        <f>IF(OR(L239="",V239=0),"",IF(AND(N(I239)&gt;0,N(INDEX('05-أيار'!$I$2:$I$501,V239))&gt;0,INDEX('05-أيار'!$F$2:$F$501,V239)=F239),N(I239)/N(INDEX('05-أيار'!$I$2:$I$501,V239))-1,""))</f>
        <v/>
      </c>
      <c r="AC239" t="str">
        <f>IF(L239="","",IF(AND($AO$2=1,ISNA(MATCH(L239,'07-تموز'!$L$2:$L$500,0))),"محذوف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IF(L240="","",IF($AO$1=1,IFERROR(MATCH(L240,'05-أيار'!$L$2:$L$501,0),0),0))</f>
        <v/>
      </c>
      <c r="W240" t="str">
        <f t="shared" si="71"/>
        <v/>
      </c>
      <c r="X240" s="38" t="str">
        <f>IF(L240="","",IF(V240&gt;0,INDEX('05-أيار'!$P$2:$P$501,V240),IF($AO$1=1,0,"")))</f>
        <v/>
      </c>
      <c r="Y240" s="38" t="str">
        <f t="shared" si="72"/>
        <v/>
      </c>
      <c r="Z240" s="39" t="str">
        <f>IF(L240="","",IF(V240&gt;0,INDEX('05-أيار'!$Q$2:$Q$501,V240),IF($AO$1=1,0,"")))</f>
        <v/>
      </c>
      <c r="AA240" s="39" t="str">
        <f t="shared" si="73"/>
        <v/>
      </c>
      <c r="AB240" s="40" t="str">
        <f>IF(OR(L240="",V240=0),"",IF(AND(N(I240)&gt;0,N(INDEX('05-أيار'!$I$2:$I$501,V240))&gt;0,INDEX('05-أيار'!$F$2:$F$501,V240)=F240),N(I240)/N(INDEX('05-أيار'!$I$2:$I$501,V240))-1,""))</f>
        <v/>
      </c>
      <c r="AC240" t="str">
        <f>IF(L240="","",IF(AND($AO$2=1,ISNA(MATCH(L240,'07-تموز'!$L$2:$L$500,0))),"محذوف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IF(L241="","",IF($AO$1=1,IFERROR(MATCH(L241,'05-أيار'!$L$2:$L$501,0),0),0))</f>
        <v/>
      </c>
      <c r="W241" t="str">
        <f t="shared" si="71"/>
        <v/>
      </c>
      <c r="X241" s="38" t="str">
        <f>IF(L241="","",IF(V241&gt;0,INDEX('05-أيار'!$P$2:$P$501,V241),IF($AO$1=1,0,"")))</f>
        <v/>
      </c>
      <c r="Y241" s="38" t="str">
        <f t="shared" si="72"/>
        <v/>
      </c>
      <c r="Z241" s="39" t="str">
        <f>IF(L241="","",IF(V241&gt;0,INDEX('05-أيار'!$Q$2:$Q$501,V241),IF($AO$1=1,0,"")))</f>
        <v/>
      </c>
      <c r="AA241" s="39" t="str">
        <f t="shared" si="73"/>
        <v/>
      </c>
      <c r="AB241" s="40" t="str">
        <f>IF(OR(L241="",V241=0),"",IF(AND(N(I241)&gt;0,N(INDEX('05-أيار'!$I$2:$I$501,V241))&gt;0,INDEX('05-أيار'!$F$2:$F$501,V241)=F241),N(I241)/N(INDEX('05-أيار'!$I$2:$I$501,V241))-1,""))</f>
        <v/>
      </c>
      <c r="AC241" t="str">
        <f>IF(L241="","",IF(AND($AO$2=1,ISNA(MATCH(L241,'07-تموز'!$L$2:$L$500,0))),"محذوف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IF(L242="","",IF($AO$1=1,IFERROR(MATCH(L242,'05-أيار'!$L$2:$L$501,0),0),0))</f>
        <v/>
      </c>
      <c r="W242" t="str">
        <f t="shared" si="71"/>
        <v/>
      </c>
      <c r="X242" s="38" t="str">
        <f>IF(L242="","",IF(V242&gt;0,INDEX('05-أيار'!$P$2:$P$501,V242),IF($AO$1=1,0,"")))</f>
        <v/>
      </c>
      <c r="Y242" s="38" t="str">
        <f t="shared" si="72"/>
        <v/>
      </c>
      <c r="Z242" s="39" t="str">
        <f>IF(L242="","",IF(V242&gt;0,INDEX('05-أيار'!$Q$2:$Q$501,V242),IF($AO$1=1,0,"")))</f>
        <v/>
      </c>
      <c r="AA242" s="39" t="str">
        <f t="shared" si="73"/>
        <v/>
      </c>
      <c r="AB242" s="40" t="str">
        <f>IF(OR(L242="",V242=0),"",IF(AND(N(I242)&gt;0,N(INDEX('05-أيار'!$I$2:$I$501,V242))&gt;0,INDEX('05-أيار'!$F$2:$F$501,V242)=F242),N(I242)/N(INDEX('05-أيار'!$I$2:$I$501,V242))-1,""))</f>
        <v/>
      </c>
      <c r="AC242" t="str">
        <f>IF(L242="","",IF(AND($AO$2=1,ISNA(MATCH(L242,'07-تموز'!$L$2:$L$500,0))),"محذوف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IF(L243="","",IF($AO$1=1,IFERROR(MATCH(L243,'05-أيار'!$L$2:$L$501,0),0),0))</f>
        <v/>
      </c>
      <c r="W243" t="str">
        <f t="shared" si="71"/>
        <v/>
      </c>
      <c r="X243" s="38" t="str">
        <f>IF(L243="","",IF(V243&gt;0,INDEX('05-أيار'!$P$2:$P$501,V243),IF($AO$1=1,0,"")))</f>
        <v/>
      </c>
      <c r="Y243" s="38" t="str">
        <f t="shared" si="72"/>
        <v/>
      </c>
      <c r="Z243" s="39" t="str">
        <f>IF(L243="","",IF(V243&gt;0,INDEX('05-أيار'!$Q$2:$Q$501,V243),IF($AO$1=1,0,"")))</f>
        <v/>
      </c>
      <c r="AA243" s="39" t="str">
        <f t="shared" si="73"/>
        <v/>
      </c>
      <c r="AB243" s="40" t="str">
        <f>IF(OR(L243="",V243=0),"",IF(AND(N(I243)&gt;0,N(INDEX('05-أيار'!$I$2:$I$501,V243))&gt;0,INDEX('05-أيار'!$F$2:$F$501,V243)=F243),N(I243)/N(INDEX('05-أيار'!$I$2:$I$501,V243))-1,""))</f>
        <v/>
      </c>
      <c r="AC243" t="str">
        <f>IF(L243="","",IF(AND($AO$2=1,ISNA(MATCH(L243,'07-تموز'!$L$2:$L$500,0))),"محذوف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IF(L244="","",IF($AO$1=1,IFERROR(MATCH(L244,'05-أيار'!$L$2:$L$501,0),0),0))</f>
        <v/>
      </c>
      <c r="W244" t="str">
        <f t="shared" si="71"/>
        <v/>
      </c>
      <c r="X244" s="38" t="str">
        <f>IF(L244="","",IF(V244&gt;0,INDEX('05-أيار'!$P$2:$P$501,V244),IF($AO$1=1,0,"")))</f>
        <v/>
      </c>
      <c r="Y244" s="38" t="str">
        <f t="shared" si="72"/>
        <v/>
      </c>
      <c r="Z244" s="39" t="str">
        <f>IF(L244="","",IF(V244&gt;0,INDEX('05-أيار'!$Q$2:$Q$501,V244),IF($AO$1=1,0,"")))</f>
        <v/>
      </c>
      <c r="AA244" s="39" t="str">
        <f t="shared" si="73"/>
        <v/>
      </c>
      <c r="AB244" s="40" t="str">
        <f>IF(OR(L244="",V244=0),"",IF(AND(N(I244)&gt;0,N(INDEX('05-أيار'!$I$2:$I$501,V244))&gt;0,INDEX('05-أيار'!$F$2:$F$501,V244)=F244),N(I244)/N(INDEX('05-أيار'!$I$2:$I$501,V244))-1,""))</f>
        <v/>
      </c>
      <c r="AC244" t="str">
        <f>IF(L244="","",IF(AND($AO$2=1,ISNA(MATCH(L244,'07-تموز'!$L$2:$L$500,0))),"محذوف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IF(L245="","",IF($AO$1=1,IFERROR(MATCH(L245,'05-أيار'!$L$2:$L$501,0),0),0))</f>
        <v/>
      </c>
      <c r="W245" t="str">
        <f t="shared" si="71"/>
        <v/>
      </c>
      <c r="X245" s="38" t="str">
        <f>IF(L245="","",IF(V245&gt;0,INDEX('05-أيار'!$P$2:$P$501,V245),IF($AO$1=1,0,"")))</f>
        <v/>
      </c>
      <c r="Y245" s="38" t="str">
        <f t="shared" si="72"/>
        <v/>
      </c>
      <c r="Z245" s="39" t="str">
        <f>IF(L245="","",IF(V245&gt;0,INDEX('05-أيار'!$Q$2:$Q$501,V245),IF($AO$1=1,0,"")))</f>
        <v/>
      </c>
      <c r="AA245" s="39" t="str">
        <f t="shared" si="73"/>
        <v/>
      </c>
      <c r="AB245" s="40" t="str">
        <f>IF(OR(L245="",V245=0),"",IF(AND(N(I245)&gt;0,N(INDEX('05-أيار'!$I$2:$I$501,V245))&gt;0,INDEX('05-أيار'!$F$2:$F$501,V245)=F245),N(I245)/N(INDEX('05-أيار'!$I$2:$I$501,V245))-1,""))</f>
        <v/>
      </c>
      <c r="AC245" t="str">
        <f>IF(L245="","",IF(AND($AO$2=1,ISNA(MATCH(L245,'07-تموز'!$L$2:$L$500,0))),"محذوف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IF(L246="","",IF($AO$1=1,IFERROR(MATCH(L246,'05-أيار'!$L$2:$L$501,0),0),0))</f>
        <v/>
      </c>
      <c r="W246" t="str">
        <f t="shared" si="71"/>
        <v/>
      </c>
      <c r="X246" s="38" t="str">
        <f>IF(L246="","",IF(V246&gt;0,INDEX('05-أيار'!$P$2:$P$501,V246),IF($AO$1=1,0,"")))</f>
        <v/>
      </c>
      <c r="Y246" s="38" t="str">
        <f t="shared" si="72"/>
        <v/>
      </c>
      <c r="Z246" s="39" t="str">
        <f>IF(L246="","",IF(V246&gt;0,INDEX('05-أيار'!$Q$2:$Q$501,V246),IF($AO$1=1,0,"")))</f>
        <v/>
      </c>
      <c r="AA246" s="39" t="str">
        <f t="shared" si="73"/>
        <v/>
      </c>
      <c r="AB246" s="40" t="str">
        <f>IF(OR(L246="",V246=0),"",IF(AND(N(I246)&gt;0,N(INDEX('05-أيار'!$I$2:$I$501,V246))&gt;0,INDEX('05-أيار'!$F$2:$F$501,V246)=F246),N(I246)/N(INDEX('05-أيار'!$I$2:$I$501,V246))-1,""))</f>
        <v/>
      </c>
      <c r="AC246" t="str">
        <f>IF(L246="","",IF(AND($AO$2=1,ISNA(MATCH(L246,'07-تموز'!$L$2:$L$500,0))),"محذوف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IF(L247="","",IF($AO$1=1,IFERROR(MATCH(L247,'05-أيار'!$L$2:$L$501,0),0),0))</f>
        <v/>
      </c>
      <c r="W247" t="str">
        <f t="shared" si="71"/>
        <v/>
      </c>
      <c r="X247" s="38" t="str">
        <f>IF(L247="","",IF(V247&gt;0,INDEX('05-أيار'!$P$2:$P$501,V247),IF($AO$1=1,0,"")))</f>
        <v/>
      </c>
      <c r="Y247" s="38" t="str">
        <f t="shared" si="72"/>
        <v/>
      </c>
      <c r="Z247" s="39" t="str">
        <f>IF(L247="","",IF(V247&gt;0,INDEX('05-أيار'!$Q$2:$Q$501,V247),IF($AO$1=1,0,"")))</f>
        <v/>
      </c>
      <c r="AA247" s="39" t="str">
        <f t="shared" si="73"/>
        <v/>
      </c>
      <c r="AB247" s="40" t="str">
        <f>IF(OR(L247="",V247=0),"",IF(AND(N(I247)&gt;0,N(INDEX('05-أيار'!$I$2:$I$501,V247))&gt;0,INDEX('05-أيار'!$F$2:$F$501,V247)=F247),N(I247)/N(INDEX('05-أيار'!$I$2:$I$501,V247))-1,""))</f>
        <v/>
      </c>
      <c r="AC247" t="str">
        <f>IF(L247="","",IF(AND($AO$2=1,ISNA(MATCH(L247,'07-تموز'!$L$2:$L$500,0))),"محذوف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IF(L248="","",IF($AO$1=1,IFERROR(MATCH(L248,'05-أيار'!$L$2:$L$501,0),0),0))</f>
        <v/>
      </c>
      <c r="W248" t="str">
        <f t="shared" si="71"/>
        <v/>
      </c>
      <c r="X248" s="38" t="str">
        <f>IF(L248="","",IF(V248&gt;0,INDEX('05-أيار'!$P$2:$P$501,V248),IF($AO$1=1,0,"")))</f>
        <v/>
      </c>
      <c r="Y248" s="38" t="str">
        <f t="shared" si="72"/>
        <v/>
      </c>
      <c r="Z248" s="39" t="str">
        <f>IF(L248="","",IF(V248&gt;0,INDEX('05-أيار'!$Q$2:$Q$501,V248),IF($AO$1=1,0,"")))</f>
        <v/>
      </c>
      <c r="AA248" s="39" t="str">
        <f t="shared" si="73"/>
        <v/>
      </c>
      <c r="AB248" s="40" t="str">
        <f>IF(OR(L248="",V248=0),"",IF(AND(N(I248)&gt;0,N(INDEX('05-أيار'!$I$2:$I$501,V248))&gt;0,INDEX('05-أيار'!$F$2:$F$501,V248)=F248),N(I248)/N(INDEX('05-أيار'!$I$2:$I$501,V248))-1,""))</f>
        <v/>
      </c>
      <c r="AC248" t="str">
        <f>IF(L248="","",IF(AND($AO$2=1,ISNA(MATCH(L248,'07-تموز'!$L$2:$L$500,0))),"محذوف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IF(L249="","",IF($AO$1=1,IFERROR(MATCH(L249,'05-أيار'!$L$2:$L$501,0),0),0))</f>
        <v/>
      </c>
      <c r="W249" t="str">
        <f t="shared" si="71"/>
        <v/>
      </c>
      <c r="X249" s="38" t="str">
        <f>IF(L249="","",IF(V249&gt;0,INDEX('05-أيار'!$P$2:$P$501,V249),IF($AO$1=1,0,"")))</f>
        <v/>
      </c>
      <c r="Y249" s="38" t="str">
        <f t="shared" si="72"/>
        <v/>
      </c>
      <c r="Z249" s="39" t="str">
        <f>IF(L249="","",IF(V249&gt;0,INDEX('05-أيار'!$Q$2:$Q$501,V249),IF($AO$1=1,0,"")))</f>
        <v/>
      </c>
      <c r="AA249" s="39" t="str">
        <f t="shared" si="73"/>
        <v/>
      </c>
      <c r="AB249" s="40" t="str">
        <f>IF(OR(L249="",V249=0),"",IF(AND(N(I249)&gt;0,N(INDEX('05-أيار'!$I$2:$I$501,V249))&gt;0,INDEX('05-أيار'!$F$2:$F$501,V249)=F249),N(I249)/N(INDEX('05-أيار'!$I$2:$I$501,V249))-1,""))</f>
        <v/>
      </c>
      <c r="AC249" t="str">
        <f>IF(L249="","",IF(AND($AO$2=1,ISNA(MATCH(L249,'07-تموز'!$L$2:$L$500,0))),"محذوف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IF(L250="","",IF($AO$1=1,IFERROR(MATCH(L250,'05-أيار'!$L$2:$L$501,0),0),0))</f>
        <v/>
      </c>
      <c r="W250" t="str">
        <f t="shared" si="71"/>
        <v/>
      </c>
      <c r="X250" s="38" t="str">
        <f>IF(L250="","",IF(V250&gt;0,INDEX('05-أيار'!$P$2:$P$501,V250),IF($AO$1=1,0,"")))</f>
        <v/>
      </c>
      <c r="Y250" s="38" t="str">
        <f t="shared" si="72"/>
        <v/>
      </c>
      <c r="Z250" s="39" t="str">
        <f>IF(L250="","",IF(V250&gt;0,INDEX('05-أيار'!$Q$2:$Q$501,V250),IF($AO$1=1,0,"")))</f>
        <v/>
      </c>
      <c r="AA250" s="39" t="str">
        <f t="shared" si="73"/>
        <v/>
      </c>
      <c r="AB250" s="40" t="str">
        <f>IF(OR(L250="",V250=0),"",IF(AND(N(I250)&gt;0,N(INDEX('05-أيار'!$I$2:$I$501,V250))&gt;0,INDEX('05-أيار'!$F$2:$F$501,V250)=F250),N(I250)/N(INDEX('05-أيار'!$I$2:$I$501,V250))-1,""))</f>
        <v/>
      </c>
      <c r="AC250" t="str">
        <f>IF(L250="","",IF(AND($AO$2=1,ISNA(MATCH(L250,'07-تموز'!$L$2:$L$500,0))),"محذوف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IF(L251="","",IF($AO$1=1,IFERROR(MATCH(L251,'05-أيار'!$L$2:$L$501,0),0),0))</f>
        <v/>
      </c>
      <c r="W251" t="str">
        <f t="shared" si="71"/>
        <v/>
      </c>
      <c r="X251" s="38" t="str">
        <f>IF(L251="","",IF(V251&gt;0,INDEX('05-أيار'!$P$2:$P$501,V251),IF($AO$1=1,0,"")))</f>
        <v/>
      </c>
      <c r="Y251" s="38" t="str">
        <f t="shared" si="72"/>
        <v/>
      </c>
      <c r="Z251" s="39" t="str">
        <f>IF(L251="","",IF(V251&gt;0,INDEX('05-أيار'!$Q$2:$Q$501,V251),IF($AO$1=1,0,"")))</f>
        <v/>
      </c>
      <c r="AA251" s="39" t="str">
        <f t="shared" si="73"/>
        <v/>
      </c>
      <c r="AB251" s="40" t="str">
        <f>IF(OR(L251="",V251=0),"",IF(AND(N(I251)&gt;0,N(INDEX('05-أيار'!$I$2:$I$501,V251))&gt;0,INDEX('05-أيار'!$F$2:$F$501,V251)=F251),N(I251)/N(INDEX('05-أيار'!$I$2:$I$501,V251))-1,""))</f>
        <v/>
      </c>
      <c r="AC251" t="str">
        <f>IF(L251="","",IF(AND($AO$2=1,ISNA(MATCH(L251,'07-تموز'!$L$2:$L$500,0))),"محذوف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IF(L252="","",IF($AO$1=1,IFERROR(MATCH(L252,'05-أيار'!$L$2:$L$501,0),0),0))</f>
        <v/>
      </c>
      <c r="W252" t="str">
        <f t="shared" si="71"/>
        <v/>
      </c>
      <c r="X252" s="38" t="str">
        <f>IF(L252="","",IF(V252&gt;0,INDEX('05-أيار'!$P$2:$P$501,V252),IF($AO$1=1,0,"")))</f>
        <v/>
      </c>
      <c r="Y252" s="38" t="str">
        <f t="shared" si="72"/>
        <v/>
      </c>
      <c r="Z252" s="39" t="str">
        <f>IF(L252="","",IF(V252&gt;0,INDEX('05-أيار'!$Q$2:$Q$501,V252),IF($AO$1=1,0,"")))</f>
        <v/>
      </c>
      <c r="AA252" s="39" t="str">
        <f t="shared" si="73"/>
        <v/>
      </c>
      <c r="AB252" s="40" t="str">
        <f>IF(OR(L252="",V252=0),"",IF(AND(N(I252)&gt;0,N(INDEX('05-أيار'!$I$2:$I$501,V252))&gt;0,INDEX('05-أيار'!$F$2:$F$501,V252)=F252),N(I252)/N(INDEX('05-أيار'!$I$2:$I$501,V252))-1,""))</f>
        <v/>
      </c>
      <c r="AC252" t="str">
        <f>IF(L252="","",IF(AND($AO$2=1,ISNA(MATCH(L252,'07-تموز'!$L$2:$L$500,0))),"محذوف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IF(L253="","",IF($AO$1=1,IFERROR(MATCH(L253,'05-أيار'!$L$2:$L$501,0),0),0))</f>
        <v/>
      </c>
      <c r="W253" t="str">
        <f t="shared" si="71"/>
        <v/>
      </c>
      <c r="X253" s="38" t="str">
        <f>IF(L253="","",IF(V253&gt;0,INDEX('05-أيار'!$P$2:$P$501,V253),IF($AO$1=1,0,"")))</f>
        <v/>
      </c>
      <c r="Y253" s="38" t="str">
        <f t="shared" si="72"/>
        <v/>
      </c>
      <c r="Z253" s="39" t="str">
        <f>IF(L253="","",IF(V253&gt;0,INDEX('05-أيار'!$Q$2:$Q$501,V253),IF($AO$1=1,0,"")))</f>
        <v/>
      </c>
      <c r="AA253" s="39" t="str">
        <f t="shared" si="73"/>
        <v/>
      </c>
      <c r="AB253" s="40" t="str">
        <f>IF(OR(L253="",V253=0),"",IF(AND(N(I253)&gt;0,N(INDEX('05-أيار'!$I$2:$I$501,V253))&gt;0,INDEX('05-أيار'!$F$2:$F$501,V253)=F253),N(I253)/N(INDEX('05-أيار'!$I$2:$I$501,V253))-1,""))</f>
        <v/>
      </c>
      <c r="AC253" t="str">
        <f>IF(L253="","",IF(AND($AO$2=1,ISNA(MATCH(L253,'07-تموز'!$L$2:$L$500,0))),"محذوف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IF(L254="","",IF($AO$1=1,IFERROR(MATCH(L254,'05-أيار'!$L$2:$L$501,0),0),0))</f>
        <v/>
      </c>
      <c r="W254" t="str">
        <f t="shared" si="71"/>
        <v/>
      </c>
      <c r="X254" s="38" t="str">
        <f>IF(L254="","",IF(V254&gt;0,INDEX('05-أيار'!$P$2:$P$501,V254),IF($AO$1=1,0,"")))</f>
        <v/>
      </c>
      <c r="Y254" s="38" t="str">
        <f t="shared" si="72"/>
        <v/>
      </c>
      <c r="Z254" s="39" t="str">
        <f>IF(L254="","",IF(V254&gt;0,INDEX('05-أيار'!$Q$2:$Q$501,V254),IF($AO$1=1,0,"")))</f>
        <v/>
      </c>
      <c r="AA254" s="39" t="str">
        <f t="shared" si="73"/>
        <v/>
      </c>
      <c r="AB254" s="40" t="str">
        <f>IF(OR(L254="",V254=0),"",IF(AND(N(I254)&gt;0,N(INDEX('05-أيار'!$I$2:$I$501,V254))&gt;0,INDEX('05-أيار'!$F$2:$F$501,V254)=F254),N(I254)/N(INDEX('05-أيار'!$I$2:$I$501,V254))-1,""))</f>
        <v/>
      </c>
      <c r="AC254" t="str">
        <f>IF(L254="","",IF(AND($AO$2=1,ISNA(MATCH(L254,'07-تموز'!$L$2:$L$500,0))),"محذوف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IF(L255="","",IF($AO$1=1,IFERROR(MATCH(L255,'05-أيار'!$L$2:$L$501,0),0),0))</f>
        <v/>
      </c>
      <c r="W255" t="str">
        <f t="shared" si="71"/>
        <v/>
      </c>
      <c r="X255" s="38" t="str">
        <f>IF(L255="","",IF(V255&gt;0,INDEX('05-أيار'!$P$2:$P$501,V255),IF($AO$1=1,0,"")))</f>
        <v/>
      </c>
      <c r="Y255" s="38" t="str">
        <f t="shared" si="72"/>
        <v/>
      </c>
      <c r="Z255" s="39" t="str">
        <f>IF(L255="","",IF(V255&gt;0,INDEX('05-أيار'!$Q$2:$Q$501,V255),IF($AO$1=1,0,"")))</f>
        <v/>
      </c>
      <c r="AA255" s="39" t="str">
        <f t="shared" si="73"/>
        <v/>
      </c>
      <c r="AB255" s="40" t="str">
        <f>IF(OR(L255="",V255=0),"",IF(AND(N(I255)&gt;0,N(INDEX('05-أيار'!$I$2:$I$501,V255))&gt;0,INDEX('05-أيار'!$F$2:$F$501,V255)=F255),N(I255)/N(INDEX('05-أيار'!$I$2:$I$501,V255))-1,""))</f>
        <v/>
      </c>
      <c r="AC255" t="str">
        <f>IF(L255="","",IF(AND($AO$2=1,ISNA(MATCH(L255,'07-تموز'!$L$2:$L$500,0))),"محذوف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ref="K256:K319" si="80">IF(L256="","",IF(U256&lt;&gt;"","⚠",""))</f>
        <v/>
      </c>
      <c r="L256" t="str">
        <f t="shared" ref="L256:L319" si="81">IF(A256="","",TRIM(A256))</f>
        <v/>
      </c>
      <c r="M256" s="36" t="str">
        <f t="shared" ref="M256:M319" si="82">IF(L256="","",IF(ISNUMBER(SEARCH("دولار",F256)),1,IF(ISNUMBER(SEARCH("ليرة",F256)),IF($AO$3&gt;0,1/$AO$3,0),0)))</f>
        <v/>
      </c>
      <c r="N256" s="37" t="str">
        <f t="shared" ref="N256:N319" si="83">IF(L256="","",N(I256)*M256)</f>
        <v/>
      </c>
      <c r="O256" s="37" t="str">
        <f t="shared" ref="O256:O319" si="84">IF(L256="","",M256*CHOOSE($AO$4,N(C256),N(D256),N(E256)))</f>
        <v/>
      </c>
      <c r="P256" s="38" t="str">
        <f t="shared" ref="P256:P319" si="85">IF(L256="","",MAX(N(B256),0))</f>
        <v/>
      </c>
      <c r="Q256" s="39" t="str">
        <f t="shared" ref="Q256:Q319" si="86">IF(L256="","",P256*N256)</f>
        <v/>
      </c>
      <c r="R256" s="39" t="str">
        <f t="shared" ref="R256:R319" si="87">IF(L256="","",P256*O256)</f>
        <v/>
      </c>
      <c r="S256" t="str">
        <f t="shared" ref="S256:S319" si="88">IF(L256="","",IF(AND(P256&gt;0,N256&gt;0,O256&gt;0),1,0))</f>
        <v/>
      </c>
      <c r="T256" s="39" t="str">
        <f t="shared" ref="T256:T319" si="89">IF(L256="","",S256*(R256-Q256))</f>
        <v/>
      </c>
      <c r="U256" t="str">
        <f t="shared" ref="U256:U319" si="90">IF(L256="","",MID(IF(OR(NOT(ISNUMBER(B256)),NOT(ISNUMBER(C256)),NOT(ISNUMBER(D256)),NOT(ISNUMBER(E256)),NOT(ISNUMBER(I256)),AND(NOT(ISNUMBER(SEARCH("دولار",F256))),NOT(ISNUMBER(SEARCH("ليرة",F256)))))," | بيانات غير صالحة","")&amp;IF(N(B256)&lt;0," | كمية سالبة","")&amp;IF(AND(N(B256)&gt;0,N(I256)=0)," | شراء صفر","")&amp;IF(AND(N(B256)&gt;0,TRIM(H256)=$AO$5,OR(N(C256)=0,N(D256)=0,N(E256)=0))," | بيع صفر","")&amp;IF(AND(N256&gt;0,O256&gt;0,O256&lt;N256)," | بيع أقل من الشراء","")&amp;IF(OR(AND(ISNUMBER(SEARCH("ليرة",F256)),OR(AND(N(I256)&gt;0,N(I256)&lt;$AO$6),AND(N(C256)&gt;0,N(C256)&lt;$AO$6),AND(N(D256)&gt;0,N(D256)&lt;$AO$6),AND(N(E256)&gt;0,N(E256)&lt;$AO$6))),AND(ISNUMBER(SEARCH("دولار",F256)),MAX(N(I256),N(C256),N(D256),N(E256))&gt;$AO$7))," | عملة/سعر مشكوك","")&amp;IF(AND(COUNTIF(C256:E256,"&gt;0")&gt;=2,MAX(N(C256),N(D256),N(E256))&gt;$AO$8*MIN(IF(N(C256)&gt;0,N(C256),1E+99),IF(N(D256)&gt;0,N(D256),1E+99),IF(N(E256)&gt;0,N(E256),1E+99)))," | تباين أسعار البيع","")&amp;IF(OR(TRIM(H256)="All",TRIM(H256)="")," | بلا تصنيف",""),4,300))</f>
        <v/>
      </c>
      <c r="V256" t="str">
        <f>IF(L256="","",IF($AO$1=1,IFERROR(MATCH(L256,'05-أيار'!$L$2:$L$501,0),0),0))</f>
        <v/>
      </c>
      <c r="W256" t="str">
        <f t="shared" ref="W256:W319" si="91">IF(L256="","",IF(AND($AO$1=1,V256=0),"جديد",""))</f>
        <v/>
      </c>
      <c r="X256" s="38" t="str">
        <f>IF(L256="","",IF(V256&gt;0,INDEX('05-أيار'!$P$2:$P$501,V256),IF($AO$1=1,0,"")))</f>
        <v/>
      </c>
      <c r="Y256" s="38" t="str">
        <f t="shared" ref="Y256:Y319" si="92">IF(OR(L256="",X256=""),"",P256-X256)</f>
        <v/>
      </c>
      <c r="Z256" s="39" t="str">
        <f>IF(L256="","",IF(V256&gt;0,INDEX('05-أيار'!$Q$2:$Q$501,V256),IF($AO$1=1,0,"")))</f>
        <v/>
      </c>
      <c r="AA256" s="39" t="str">
        <f t="shared" ref="AA256:AA319" si="93">IF(OR(L256="",Z256=""),"",Q256-Z256)</f>
        <v/>
      </c>
      <c r="AB256" s="40" t="str">
        <f>IF(OR(L256="",V256=0),"",IF(AND(N(I256)&gt;0,N(INDEX('05-أيار'!$I$2:$I$501,V256))&gt;0,INDEX('05-أيار'!$F$2:$F$501,V256)=F256),N(I256)/N(INDEX('05-أيار'!$I$2:$I$501,V256))-1,""))</f>
        <v/>
      </c>
      <c r="AC256" t="str">
        <f>IF(L256="","",IF(AND($AO$2=1,ISNA(MATCH(L256,'07-تموز'!$L$2:$L$500,0))),"محذوف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ref="AG256:AG319" si="94">IF(AA256="","",ABS(AA256)+ROW()/1000000000)</f>
        <v/>
      </c>
      <c r="AH256" s="39" t="str">
        <f t="shared" ref="AH256:AH319" si="95">IF(L256="","",IF(AND(P256&gt;0,N256&gt;0,N(C256)&gt;0),P256*(M256*N(C256)-N256),0))</f>
        <v/>
      </c>
      <c r="AI256" s="39" t="str">
        <f t="shared" ref="AI256:AI319" si="96">IF(L256="","",IF(AND(P256&gt;0,N256&gt;0,N(D256)&gt;0),P256*(M256*N(D256)-N256),0))</f>
        <v/>
      </c>
      <c r="AJ256" s="39" t="str">
        <f t="shared" ref="AJ256:AJ319" si="97">IF(L256="","",IF(AND(P256&gt;0,N256&gt;0,N(E256)&gt;0),P256*(M256*N(E256)-N256),0))</f>
        <v/>
      </c>
      <c r="AK256" t="str">
        <f t="shared" ref="AK256:AK319" si="98">IF(L256="","",Q256+ROW()/1000000000)</f>
        <v/>
      </c>
      <c r="AL256" t="str">
        <f t="shared" ref="AL256:AL319" si="99">IF(L256="","",T256+ROW()/1000000000)</f>
        <v/>
      </c>
    </row>
    <row r="257" spans="11:38" ht="15">
      <c r="K257" t="str">
        <f t="shared" si="80"/>
        <v/>
      </c>
      <c r="L257" t="str">
        <f t="shared" si="81"/>
        <v/>
      </c>
      <c r="M257" s="36" t="str">
        <f t="shared" si="82"/>
        <v/>
      </c>
      <c r="N257" s="37" t="str">
        <f t="shared" si="83"/>
        <v/>
      </c>
      <c r="O257" s="37" t="str">
        <f t="shared" si="84"/>
        <v/>
      </c>
      <c r="P257" s="38" t="str">
        <f t="shared" si="85"/>
        <v/>
      </c>
      <c r="Q257" s="39" t="str">
        <f t="shared" si="86"/>
        <v/>
      </c>
      <c r="R257" s="39" t="str">
        <f t="shared" si="87"/>
        <v/>
      </c>
      <c r="S257" t="str">
        <f t="shared" si="88"/>
        <v/>
      </c>
      <c r="T257" s="39" t="str">
        <f t="shared" si="89"/>
        <v/>
      </c>
      <c r="U257" t="str">
        <f t="shared" si="90"/>
        <v/>
      </c>
      <c r="V257" t="str">
        <f>IF(L257="","",IF($AO$1=1,IFERROR(MATCH(L257,'05-أيار'!$L$2:$L$501,0),0),0))</f>
        <v/>
      </c>
      <c r="W257" t="str">
        <f t="shared" si="91"/>
        <v/>
      </c>
      <c r="X257" s="38" t="str">
        <f>IF(L257="","",IF(V257&gt;0,INDEX('05-أيار'!$P$2:$P$501,V257),IF($AO$1=1,0,"")))</f>
        <v/>
      </c>
      <c r="Y257" s="38" t="str">
        <f t="shared" si="92"/>
        <v/>
      </c>
      <c r="Z257" s="39" t="str">
        <f>IF(L257="","",IF(V257&gt;0,INDEX('05-أيار'!$Q$2:$Q$501,V257),IF($AO$1=1,0,"")))</f>
        <v/>
      </c>
      <c r="AA257" s="39" t="str">
        <f t="shared" si="93"/>
        <v/>
      </c>
      <c r="AB257" s="40" t="str">
        <f>IF(OR(L257="",V257=0),"",IF(AND(N(I257)&gt;0,N(INDEX('05-أيار'!$I$2:$I$501,V257))&gt;0,INDEX('05-أيار'!$F$2:$F$501,V257)=F257),N(I257)/N(INDEX('05-أيار'!$I$2:$I$501,V257))-1,""))</f>
        <v/>
      </c>
      <c r="AC257" t="str">
        <f>IF(L257="","",IF(AND($AO$2=1,ISNA(MATCH(L257,'07-تموز'!$L$2:$L$500,0))),"محذوف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94"/>
        <v/>
      </c>
      <c r="AH257" s="39" t="str">
        <f t="shared" si="95"/>
        <v/>
      </c>
      <c r="AI257" s="39" t="str">
        <f t="shared" si="96"/>
        <v/>
      </c>
      <c r="AJ257" s="39" t="str">
        <f t="shared" si="97"/>
        <v/>
      </c>
      <c r="AK257" t="str">
        <f t="shared" si="98"/>
        <v/>
      </c>
      <c r="AL257" t="str">
        <f t="shared" si="99"/>
        <v/>
      </c>
    </row>
    <row r="258" spans="11:38" ht="15">
      <c r="K258" t="str">
        <f t="shared" si="80"/>
        <v/>
      </c>
      <c r="L258" t="str">
        <f t="shared" si="81"/>
        <v/>
      </c>
      <c r="M258" s="36" t="str">
        <f t="shared" si="82"/>
        <v/>
      </c>
      <c r="N258" s="37" t="str">
        <f t="shared" si="83"/>
        <v/>
      </c>
      <c r="O258" s="37" t="str">
        <f t="shared" si="84"/>
        <v/>
      </c>
      <c r="P258" s="38" t="str">
        <f t="shared" si="85"/>
        <v/>
      </c>
      <c r="Q258" s="39" t="str">
        <f t="shared" si="86"/>
        <v/>
      </c>
      <c r="R258" s="39" t="str">
        <f t="shared" si="87"/>
        <v/>
      </c>
      <c r="S258" t="str">
        <f t="shared" si="88"/>
        <v/>
      </c>
      <c r="T258" s="39" t="str">
        <f t="shared" si="89"/>
        <v/>
      </c>
      <c r="U258" t="str">
        <f t="shared" si="90"/>
        <v/>
      </c>
      <c r="V258" t="str">
        <f>IF(L258="","",IF($AO$1=1,IFERROR(MATCH(L258,'05-أيار'!$L$2:$L$501,0),0),0))</f>
        <v/>
      </c>
      <c r="W258" t="str">
        <f t="shared" si="91"/>
        <v/>
      </c>
      <c r="X258" s="38" t="str">
        <f>IF(L258="","",IF(V258&gt;0,INDEX('05-أيار'!$P$2:$P$501,V258),IF($AO$1=1,0,"")))</f>
        <v/>
      </c>
      <c r="Y258" s="38" t="str">
        <f t="shared" si="92"/>
        <v/>
      </c>
      <c r="Z258" s="39" t="str">
        <f>IF(L258="","",IF(V258&gt;0,INDEX('05-أيار'!$Q$2:$Q$501,V258),IF($AO$1=1,0,"")))</f>
        <v/>
      </c>
      <c r="AA258" s="39" t="str">
        <f t="shared" si="93"/>
        <v/>
      </c>
      <c r="AB258" s="40" t="str">
        <f>IF(OR(L258="",V258=0),"",IF(AND(N(I258)&gt;0,N(INDEX('05-أيار'!$I$2:$I$501,V258))&gt;0,INDEX('05-أيار'!$F$2:$F$501,V258)=F258),N(I258)/N(INDEX('05-أيار'!$I$2:$I$501,V258))-1,""))</f>
        <v/>
      </c>
      <c r="AC258" t="str">
        <f>IF(L258="","",IF(AND($AO$2=1,ISNA(MATCH(L258,'07-تموز'!$L$2:$L$500,0))),"محذوف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si="94"/>
        <v/>
      </c>
      <c r="AH258" s="39" t="str">
        <f t="shared" si="95"/>
        <v/>
      </c>
      <c r="AI258" s="39" t="str">
        <f t="shared" si="96"/>
        <v/>
      </c>
      <c r="AJ258" s="39" t="str">
        <f t="shared" si="97"/>
        <v/>
      </c>
      <c r="AK258" t="str">
        <f t="shared" si="98"/>
        <v/>
      </c>
      <c r="AL258" t="str">
        <f t="shared" si="99"/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IF(L259="","",IF($AO$1=1,IFERROR(MATCH(L259,'05-أيار'!$L$2:$L$501,0),0),0))</f>
        <v/>
      </c>
      <c r="W259" t="str">
        <f t="shared" si="91"/>
        <v/>
      </c>
      <c r="X259" s="38" t="str">
        <f>IF(L259="","",IF(V259&gt;0,INDEX('05-أيار'!$P$2:$P$501,V259),IF($AO$1=1,0,"")))</f>
        <v/>
      </c>
      <c r="Y259" s="38" t="str">
        <f t="shared" si="92"/>
        <v/>
      </c>
      <c r="Z259" s="39" t="str">
        <f>IF(L259="","",IF(V259&gt;0,INDEX('05-أيار'!$Q$2:$Q$501,V259),IF($AO$1=1,0,"")))</f>
        <v/>
      </c>
      <c r="AA259" s="39" t="str">
        <f t="shared" si="93"/>
        <v/>
      </c>
      <c r="AB259" s="40" t="str">
        <f>IF(OR(L259="",V259=0),"",IF(AND(N(I259)&gt;0,N(INDEX('05-أيار'!$I$2:$I$501,V259))&gt;0,INDEX('05-أيار'!$F$2:$F$501,V259)=F259),N(I259)/N(INDEX('05-أيار'!$I$2:$I$501,V259))-1,""))</f>
        <v/>
      </c>
      <c r="AC259" t="str">
        <f>IF(L259="","",IF(AND($AO$2=1,ISNA(MATCH(L259,'07-تموز'!$L$2:$L$500,0))),"محذوف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IF(L260="","",IF($AO$1=1,IFERROR(MATCH(L260,'05-أيار'!$L$2:$L$501,0),0),0))</f>
        <v/>
      </c>
      <c r="W260" t="str">
        <f t="shared" si="91"/>
        <v/>
      </c>
      <c r="X260" s="38" t="str">
        <f>IF(L260="","",IF(V260&gt;0,INDEX('05-أيار'!$P$2:$P$501,V260),IF($AO$1=1,0,"")))</f>
        <v/>
      </c>
      <c r="Y260" s="38" t="str">
        <f t="shared" si="92"/>
        <v/>
      </c>
      <c r="Z260" s="39" t="str">
        <f>IF(L260="","",IF(V260&gt;0,INDEX('05-أيار'!$Q$2:$Q$501,V260),IF($AO$1=1,0,"")))</f>
        <v/>
      </c>
      <c r="AA260" s="39" t="str">
        <f t="shared" si="93"/>
        <v/>
      </c>
      <c r="AB260" s="40" t="str">
        <f>IF(OR(L260="",V260=0),"",IF(AND(N(I260)&gt;0,N(INDEX('05-أيار'!$I$2:$I$501,V260))&gt;0,INDEX('05-أيار'!$F$2:$F$501,V260)=F260),N(I260)/N(INDEX('05-أيار'!$I$2:$I$501,V260))-1,""))</f>
        <v/>
      </c>
      <c r="AC260" t="str">
        <f>IF(L260="","",IF(AND($AO$2=1,ISNA(MATCH(L260,'07-تموز'!$L$2:$L$500,0))),"محذوف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IF(L261="","",IF($AO$1=1,IFERROR(MATCH(L261,'05-أيار'!$L$2:$L$501,0),0),0))</f>
        <v/>
      </c>
      <c r="W261" t="str">
        <f t="shared" si="91"/>
        <v/>
      </c>
      <c r="X261" s="38" t="str">
        <f>IF(L261="","",IF(V261&gt;0,INDEX('05-أيار'!$P$2:$P$501,V261),IF($AO$1=1,0,"")))</f>
        <v/>
      </c>
      <c r="Y261" s="38" t="str">
        <f t="shared" si="92"/>
        <v/>
      </c>
      <c r="Z261" s="39" t="str">
        <f>IF(L261="","",IF(V261&gt;0,INDEX('05-أيار'!$Q$2:$Q$501,V261),IF($AO$1=1,0,"")))</f>
        <v/>
      </c>
      <c r="AA261" s="39" t="str">
        <f t="shared" si="93"/>
        <v/>
      </c>
      <c r="AB261" s="40" t="str">
        <f>IF(OR(L261="",V261=0),"",IF(AND(N(I261)&gt;0,N(INDEX('05-أيار'!$I$2:$I$501,V261))&gt;0,INDEX('05-أيار'!$F$2:$F$501,V261)=F261),N(I261)/N(INDEX('05-أيار'!$I$2:$I$501,V261))-1,""))</f>
        <v/>
      </c>
      <c r="AC261" t="str">
        <f>IF(L261="","",IF(AND($AO$2=1,ISNA(MATCH(L261,'07-تموز'!$L$2:$L$500,0))),"محذوف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IF(L262="","",IF($AO$1=1,IFERROR(MATCH(L262,'05-أيار'!$L$2:$L$501,0),0),0))</f>
        <v/>
      </c>
      <c r="W262" t="str">
        <f t="shared" si="91"/>
        <v/>
      </c>
      <c r="X262" s="38" t="str">
        <f>IF(L262="","",IF(V262&gt;0,INDEX('05-أيار'!$P$2:$P$501,V262),IF($AO$1=1,0,"")))</f>
        <v/>
      </c>
      <c r="Y262" s="38" t="str">
        <f t="shared" si="92"/>
        <v/>
      </c>
      <c r="Z262" s="39" t="str">
        <f>IF(L262="","",IF(V262&gt;0,INDEX('05-أيار'!$Q$2:$Q$501,V262),IF($AO$1=1,0,"")))</f>
        <v/>
      </c>
      <c r="AA262" s="39" t="str">
        <f t="shared" si="93"/>
        <v/>
      </c>
      <c r="AB262" s="40" t="str">
        <f>IF(OR(L262="",V262=0),"",IF(AND(N(I262)&gt;0,N(INDEX('05-أيار'!$I$2:$I$501,V262))&gt;0,INDEX('05-أيار'!$F$2:$F$501,V262)=F262),N(I262)/N(INDEX('05-أيار'!$I$2:$I$501,V262))-1,""))</f>
        <v/>
      </c>
      <c r="AC262" t="str">
        <f>IF(L262="","",IF(AND($AO$2=1,ISNA(MATCH(L262,'07-تموز'!$L$2:$L$500,0))),"محذوف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IF(L263="","",IF($AO$1=1,IFERROR(MATCH(L263,'05-أيار'!$L$2:$L$501,0),0),0))</f>
        <v/>
      </c>
      <c r="W263" t="str">
        <f t="shared" si="91"/>
        <v/>
      </c>
      <c r="X263" s="38" t="str">
        <f>IF(L263="","",IF(V263&gt;0,INDEX('05-أيار'!$P$2:$P$501,V263),IF($AO$1=1,0,"")))</f>
        <v/>
      </c>
      <c r="Y263" s="38" t="str">
        <f t="shared" si="92"/>
        <v/>
      </c>
      <c r="Z263" s="39" t="str">
        <f>IF(L263="","",IF(V263&gt;0,INDEX('05-أيار'!$Q$2:$Q$501,V263),IF($AO$1=1,0,"")))</f>
        <v/>
      </c>
      <c r="AA263" s="39" t="str">
        <f t="shared" si="93"/>
        <v/>
      </c>
      <c r="AB263" s="40" t="str">
        <f>IF(OR(L263="",V263=0),"",IF(AND(N(I263)&gt;0,N(INDEX('05-أيار'!$I$2:$I$501,V263))&gt;0,INDEX('05-أيار'!$F$2:$F$501,V263)=F263),N(I263)/N(INDEX('05-أيار'!$I$2:$I$501,V263))-1,""))</f>
        <v/>
      </c>
      <c r="AC263" t="str">
        <f>IF(L263="","",IF(AND($AO$2=1,ISNA(MATCH(L263,'07-تموز'!$L$2:$L$500,0))),"محذوف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IF(L264="","",IF($AO$1=1,IFERROR(MATCH(L264,'05-أيار'!$L$2:$L$501,0),0),0))</f>
        <v/>
      </c>
      <c r="W264" t="str">
        <f t="shared" si="91"/>
        <v/>
      </c>
      <c r="X264" s="38" t="str">
        <f>IF(L264="","",IF(V264&gt;0,INDEX('05-أيار'!$P$2:$P$501,V264),IF($AO$1=1,0,"")))</f>
        <v/>
      </c>
      <c r="Y264" s="38" t="str">
        <f t="shared" si="92"/>
        <v/>
      </c>
      <c r="Z264" s="39" t="str">
        <f>IF(L264="","",IF(V264&gt;0,INDEX('05-أيار'!$Q$2:$Q$501,V264),IF($AO$1=1,0,"")))</f>
        <v/>
      </c>
      <c r="AA264" s="39" t="str">
        <f t="shared" si="93"/>
        <v/>
      </c>
      <c r="AB264" s="40" t="str">
        <f>IF(OR(L264="",V264=0),"",IF(AND(N(I264)&gt;0,N(INDEX('05-أيار'!$I$2:$I$501,V264))&gt;0,INDEX('05-أيار'!$F$2:$F$501,V264)=F264),N(I264)/N(INDEX('05-أيار'!$I$2:$I$501,V264))-1,""))</f>
        <v/>
      </c>
      <c r="AC264" t="str">
        <f>IF(L264="","",IF(AND($AO$2=1,ISNA(MATCH(L264,'07-تموز'!$L$2:$L$500,0))),"محذوف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IF(L265="","",IF($AO$1=1,IFERROR(MATCH(L265,'05-أيار'!$L$2:$L$501,0),0),0))</f>
        <v/>
      </c>
      <c r="W265" t="str">
        <f t="shared" si="91"/>
        <v/>
      </c>
      <c r="X265" s="38" t="str">
        <f>IF(L265="","",IF(V265&gt;0,INDEX('05-أيار'!$P$2:$P$501,V265),IF($AO$1=1,0,"")))</f>
        <v/>
      </c>
      <c r="Y265" s="38" t="str">
        <f t="shared" si="92"/>
        <v/>
      </c>
      <c r="Z265" s="39" t="str">
        <f>IF(L265="","",IF(V265&gt;0,INDEX('05-أيار'!$Q$2:$Q$501,V265),IF($AO$1=1,0,"")))</f>
        <v/>
      </c>
      <c r="AA265" s="39" t="str">
        <f t="shared" si="93"/>
        <v/>
      </c>
      <c r="AB265" s="40" t="str">
        <f>IF(OR(L265="",V265=0),"",IF(AND(N(I265)&gt;0,N(INDEX('05-أيار'!$I$2:$I$501,V265))&gt;0,INDEX('05-أيار'!$F$2:$F$501,V265)=F265),N(I265)/N(INDEX('05-أيار'!$I$2:$I$501,V265))-1,""))</f>
        <v/>
      </c>
      <c r="AC265" t="str">
        <f>IF(L265="","",IF(AND($AO$2=1,ISNA(MATCH(L265,'07-تموز'!$L$2:$L$500,0))),"محذوف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IF(L266="","",IF($AO$1=1,IFERROR(MATCH(L266,'05-أيار'!$L$2:$L$501,0),0),0))</f>
        <v/>
      </c>
      <c r="W266" t="str">
        <f t="shared" si="91"/>
        <v/>
      </c>
      <c r="X266" s="38" t="str">
        <f>IF(L266="","",IF(V266&gt;0,INDEX('05-أيار'!$P$2:$P$501,V266),IF($AO$1=1,0,"")))</f>
        <v/>
      </c>
      <c r="Y266" s="38" t="str">
        <f t="shared" si="92"/>
        <v/>
      </c>
      <c r="Z266" s="39" t="str">
        <f>IF(L266="","",IF(V266&gt;0,INDEX('05-أيار'!$Q$2:$Q$501,V266),IF($AO$1=1,0,"")))</f>
        <v/>
      </c>
      <c r="AA266" s="39" t="str">
        <f t="shared" si="93"/>
        <v/>
      </c>
      <c r="AB266" s="40" t="str">
        <f>IF(OR(L266="",V266=0),"",IF(AND(N(I266)&gt;0,N(INDEX('05-أيار'!$I$2:$I$501,V266))&gt;0,INDEX('05-أيار'!$F$2:$F$501,V266)=F266),N(I266)/N(INDEX('05-أيار'!$I$2:$I$501,V266))-1,""))</f>
        <v/>
      </c>
      <c r="AC266" t="str">
        <f>IF(L266="","",IF(AND($AO$2=1,ISNA(MATCH(L266,'07-تموز'!$L$2:$L$500,0))),"محذوف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IF(L267="","",IF($AO$1=1,IFERROR(MATCH(L267,'05-أيار'!$L$2:$L$501,0),0),0))</f>
        <v/>
      </c>
      <c r="W267" t="str">
        <f t="shared" si="91"/>
        <v/>
      </c>
      <c r="X267" s="38" t="str">
        <f>IF(L267="","",IF(V267&gt;0,INDEX('05-أيار'!$P$2:$P$501,V267),IF($AO$1=1,0,"")))</f>
        <v/>
      </c>
      <c r="Y267" s="38" t="str">
        <f t="shared" si="92"/>
        <v/>
      </c>
      <c r="Z267" s="39" t="str">
        <f>IF(L267="","",IF(V267&gt;0,INDEX('05-أيار'!$Q$2:$Q$501,V267),IF($AO$1=1,0,"")))</f>
        <v/>
      </c>
      <c r="AA267" s="39" t="str">
        <f t="shared" si="93"/>
        <v/>
      </c>
      <c r="AB267" s="40" t="str">
        <f>IF(OR(L267="",V267=0),"",IF(AND(N(I267)&gt;0,N(INDEX('05-أيار'!$I$2:$I$501,V267))&gt;0,INDEX('05-أيار'!$F$2:$F$501,V267)=F267),N(I267)/N(INDEX('05-أيار'!$I$2:$I$501,V267))-1,""))</f>
        <v/>
      </c>
      <c r="AC267" t="str">
        <f>IF(L267="","",IF(AND($AO$2=1,ISNA(MATCH(L267,'07-تموز'!$L$2:$L$500,0))),"محذوف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IF(L268="","",IF($AO$1=1,IFERROR(MATCH(L268,'05-أيار'!$L$2:$L$501,0),0),0))</f>
        <v/>
      </c>
      <c r="W268" t="str">
        <f t="shared" si="91"/>
        <v/>
      </c>
      <c r="X268" s="38" t="str">
        <f>IF(L268="","",IF(V268&gt;0,INDEX('05-أيار'!$P$2:$P$501,V268),IF($AO$1=1,0,"")))</f>
        <v/>
      </c>
      <c r="Y268" s="38" t="str">
        <f t="shared" si="92"/>
        <v/>
      </c>
      <c r="Z268" s="39" t="str">
        <f>IF(L268="","",IF(V268&gt;0,INDEX('05-أيار'!$Q$2:$Q$501,V268),IF($AO$1=1,0,"")))</f>
        <v/>
      </c>
      <c r="AA268" s="39" t="str">
        <f t="shared" si="93"/>
        <v/>
      </c>
      <c r="AB268" s="40" t="str">
        <f>IF(OR(L268="",V268=0),"",IF(AND(N(I268)&gt;0,N(INDEX('05-أيار'!$I$2:$I$501,V268))&gt;0,INDEX('05-أيار'!$F$2:$F$501,V268)=F268),N(I268)/N(INDEX('05-أيار'!$I$2:$I$501,V268))-1,""))</f>
        <v/>
      </c>
      <c r="AC268" t="str">
        <f>IF(L268="","",IF(AND($AO$2=1,ISNA(MATCH(L268,'07-تموز'!$L$2:$L$500,0))),"محذوف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IF(L269="","",IF($AO$1=1,IFERROR(MATCH(L269,'05-أيار'!$L$2:$L$501,0),0),0))</f>
        <v/>
      </c>
      <c r="W269" t="str">
        <f t="shared" si="91"/>
        <v/>
      </c>
      <c r="X269" s="38" t="str">
        <f>IF(L269="","",IF(V269&gt;0,INDEX('05-أيار'!$P$2:$P$501,V269),IF($AO$1=1,0,"")))</f>
        <v/>
      </c>
      <c r="Y269" s="38" t="str">
        <f t="shared" si="92"/>
        <v/>
      </c>
      <c r="Z269" s="39" t="str">
        <f>IF(L269="","",IF(V269&gt;0,INDEX('05-أيار'!$Q$2:$Q$501,V269),IF($AO$1=1,0,"")))</f>
        <v/>
      </c>
      <c r="AA269" s="39" t="str">
        <f t="shared" si="93"/>
        <v/>
      </c>
      <c r="AB269" s="40" t="str">
        <f>IF(OR(L269="",V269=0),"",IF(AND(N(I269)&gt;0,N(INDEX('05-أيار'!$I$2:$I$501,V269))&gt;0,INDEX('05-أيار'!$F$2:$F$501,V269)=F269),N(I269)/N(INDEX('05-أيار'!$I$2:$I$501,V269))-1,""))</f>
        <v/>
      </c>
      <c r="AC269" t="str">
        <f>IF(L269="","",IF(AND($AO$2=1,ISNA(MATCH(L269,'07-تموز'!$L$2:$L$500,0))),"محذوف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IF(L270="","",IF($AO$1=1,IFERROR(MATCH(L270,'05-أيار'!$L$2:$L$501,0),0),0))</f>
        <v/>
      </c>
      <c r="W270" t="str">
        <f t="shared" si="91"/>
        <v/>
      </c>
      <c r="X270" s="38" t="str">
        <f>IF(L270="","",IF(V270&gt;0,INDEX('05-أيار'!$P$2:$P$501,V270),IF($AO$1=1,0,"")))</f>
        <v/>
      </c>
      <c r="Y270" s="38" t="str">
        <f t="shared" si="92"/>
        <v/>
      </c>
      <c r="Z270" s="39" t="str">
        <f>IF(L270="","",IF(V270&gt;0,INDEX('05-أيار'!$Q$2:$Q$501,V270),IF($AO$1=1,0,"")))</f>
        <v/>
      </c>
      <c r="AA270" s="39" t="str">
        <f t="shared" si="93"/>
        <v/>
      </c>
      <c r="AB270" s="40" t="str">
        <f>IF(OR(L270="",V270=0),"",IF(AND(N(I270)&gt;0,N(INDEX('05-أيار'!$I$2:$I$501,V270))&gt;0,INDEX('05-أيار'!$F$2:$F$501,V270)=F270),N(I270)/N(INDEX('05-أيار'!$I$2:$I$501,V270))-1,""))</f>
        <v/>
      </c>
      <c r="AC270" t="str">
        <f>IF(L270="","",IF(AND($AO$2=1,ISNA(MATCH(L270,'07-تموز'!$L$2:$L$500,0))),"محذوف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IF(L271="","",IF($AO$1=1,IFERROR(MATCH(L271,'05-أيار'!$L$2:$L$501,0),0),0))</f>
        <v/>
      </c>
      <c r="W271" t="str">
        <f t="shared" si="91"/>
        <v/>
      </c>
      <c r="X271" s="38" t="str">
        <f>IF(L271="","",IF(V271&gt;0,INDEX('05-أيار'!$P$2:$P$501,V271),IF($AO$1=1,0,"")))</f>
        <v/>
      </c>
      <c r="Y271" s="38" t="str">
        <f t="shared" si="92"/>
        <v/>
      </c>
      <c r="Z271" s="39" t="str">
        <f>IF(L271="","",IF(V271&gt;0,INDEX('05-أيار'!$Q$2:$Q$501,V271),IF($AO$1=1,0,"")))</f>
        <v/>
      </c>
      <c r="AA271" s="39" t="str">
        <f t="shared" si="93"/>
        <v/>
      </c>
      <c r="AB271" s="40" t="str">
        <f>IF(OR(L271="",V271=0),"",IF(AND(N(I271)&gt;0,N(INDEX('05-أيار'!$I$2:$I$501,V271))&gt;0,INDEX('05-أيار'!$F$2:$F$501,V271)=F271),N(I271)/N(INDEX('05-أيار'!$I$2:$I$501,V271))-1,""))</f>
        <v/>
      </c>
      <c r="AC271" t="str">
        <f>IF(L271="","",IF(AND($AO$2=1,ISNA(MATCH(L271,'07-تموز'!$L$2:$L$500,0))),"محذوف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IF(L272="","",IF($AO$1=1,IFERROR(MATCH(L272,'05-أيار'!$L$2:$L$501,0),0),0))</f>
        <v/>
      </c>
      <c r="W272" t="str">
        <f t="shared" si="91"/>
        <v/>
      </c>
      <c r="X272" s="38" t="str">
        <f>IF(L272="","",IF(V272&gt;0,INDEX('05-أيار'!$P$2:$P$501,V272),IF($AO$1=1,0,"")))</f>
        <v/>
      </c>
      <c r="Y272" s="38" t="str">
        <f t="shared" si="92"/>
        <v/>
      </c>
      <c r="Z272" s="39" t="str">
        <f>IF(L272="","",IF(V272&gt;0,INDEX('05-أيار'!$Q$2:$Q$501,V272),IF($AO$1=1,0,"")))</f>
        <v/>
      </c>
      <c r="AA272" s="39" t="str">
        <f t="shared" si="93"/>
        <v/>
      </c>
      <c r="AB272" s="40" t="str">
        <f>IF(OR(L272="",V272=0),"",IF(AND(N(I272)&gt;0,N(INDEX('05-أيار'!$I$2:$I$501,V272))&gt;0,INDEX('05-أيار'!$F$2:$F$501,V272)=F272),N(I272)/N(INDEX('05-أيار'!$I$2:$I$501,V272))-1,""))</f>
        <v/>
      </c>
      <c r="AC272" t="str">
        <f>IF(L272="","",IF(AND($AO$2=1,ISNA(MATCH(L272,'07-تموز'!$L$2:$L$500,0))),"محذوف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IF(L273="","",IF($AO$1=1,IFERROR(MATCH(L273,'05-أيار'!$L$2:$L$501,0),0),0))</f>
        <v/>
      </c>
      <c r="W273" t="str">
        <f t="shared" si="91"/>
        <v/>
      </c>
      <c r="X273" s="38" t="str">
        <f>IF(L273="","",IF(V273&gt;0,INDEX('05-أيار'!$P$2:$P$501,V273),IF($AO$1=1,0,"")))</f>
        <v/>
      </c>
      <c r="Y273" s="38" t="str">
        <f t="shared" si="92"/>
        <v/>
      </c>
      <c r="Z273" s="39" t="str">
        <f>IF(L273="","",IF(V273&gt;0,INDEX('05-أيار'!$Q$2:$Q$501,V273),IF($AO$1=1,0,"")))</f>
        <v/>
      </c>
      <c r="AA273" s="39" t="str">
        <f t="shared" si="93"/>
        <v/>
      </c>
      <c r="AB273" s="40" t="str">
        <f>IF(OR(L273="",V273=0),"",IF(AND(N(I273)&gt;0,N(INDEX('05-أيار'!$I$2:$I$501,V273))&gt;0,INDEX('05-أيار'!$F$2:$F$501,V273)=F273),N(I273)/N(INDEX('05-أيار'!$I$2:$I$501,V273))-1,""))</f>
        <v/>
      </c>
      <c r="AC273" t="str">
        <f>IF(L273="","",IF(AND($AO$2=1,ISNA(MATCH(L273,'07-تموز'!$L$2:$L$500,0))),"محذوف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IF(L274="","",IF($AO$1=1,IFERROR(MATCH(L274,'05-أيار'!$L$2:$L$501,0),0),0))</f>
        <v/>
      </c>
      <c r="W274" t="str">
        <f t="shared" si="91"/>
        <v/>
      </c>
      <c r="X274" s="38" t="str">
        <f>IF(L274="","",IF(V274&gt;0,INDEX('05-أيار'!$P$2:$P$501,V274),IF($AO$1=1,0,"")))</f>
        <v/>
      </c>
      <c r="Y274" s="38" t="str">
        <f t="shared" si="92"/>
        <v/>
      </c>
      <c r="Z274" s="39" t="str">
        <f>IF(L274="","",IF(V274&gt;0,INDEX('05-أيار'!$Q$2:$Q$501,V274),IF($AO$1=1,0,"")))</f>
        <v/>
      </c>
      <c r="AA274" s="39" t="str">
        <f t="shared" si="93"/>
        <v/>
      </c>
      <c r="AB274" s="40" t="str">
        <f>IF(OR(L274="",V274=0),"",IF(AND(N(I274)&gt;0,N(INDEX('05-أيار'!$I$2:$I$501,V274))&gt;0,INDEX('05-أيار'!$F$2:$F$501,V274)=F274),N(I274)/N(INDEX('05-أيار'!$I$2:$I$501,V274))-1,""))</f>
        <v/>
      </c>
      <c r="AC274" t="str">
        <f>IF(L274="","",IF(AND($AO$2=1,ISNA(MATCH(L274,'07-تموز'!$L$2:$L$500,0))),"محذوف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IF(L275="","",IF($AO$1=1,IFERROR(MATCH(L275,'05-أيار'!$L$2:$L$501,0),0),0))</f>
        <v/>
      </c>
      <c r="W275" t="str">
        <f t="shared" si="91"/>
        <v/>
      </c>
      <c r="X275" s="38" t="str">
        <f>IF(L275="","",IF(V275&gt;0,INDEX('05-أيار'!$P$2:$P$501,V275),IF($AO$1=1,0,"")))</f>
        <v/>
      </c>
      <c r="Y275" s="38" t="str">
        <f t="shared" si="92"/>
        <v/>
      </c>
      <c r="Z275" s="39" t="str">
        <f>IF(L275="","",IF(V275&gt;0,INDEX('05-أيار'!$Q$2:$Q$501,V275),IF($AO$1=1,0,"")))</f>
        <v/>
      </c>
      <c r="AA275" s="39" t="str">
        <f t="shared" si="93"/>
        <v/>
      </c>
      <c r="AB275" s="40" t="str">
        <f>IF(OR(L275="",V275=0),"",IF(AND(N(I275)&gt;0,N(INDEX('05-أيار'!$I$2:$I$501,V275))&gt;0,INDEX('05-أيار'!$F$2:$F$501,V275)=F275),N(I275)/N(INDEX('05-أيار'!$I$2:$I$501,V275))-1,""))</f>
        <v/>
      </c>
      <c r="AC275" t="str">
        <f>IF(L275="","",IF(AND($AO$2=1,ISNA(MATCH(L275,'07-تموز'!$L$2:$L$500,0))),"محذوف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IF(L276="","",IF($AO$1=1,IFERROR(MATCH(L276,'05-أيار'!$L$2:$L$501,0),0),0))</f>
        <v/>
      </c>
      <c r="W276" t="str">
        <f t="shared" si="91"/>
        <v/>
      </c>
      <c r="X276" s="38" t="str">
        <f>IF(L276="","",IF(V276&gt;0,INDEX('05-أيار'!$P$2:$P$501,V276),IF($AO$1=1,0,"")))</f>
        <v/>
      </c>
      <c r="Y276" s="38" t="str">
        <f t="shared" si="92"/>
        <v/>
      </c>
      <c r="Z276" s="39" t="str">
        <f>IF(L276="","",IF(V276&gt;0,INDEX('05-أيار'!$Q$2:$Q$501,V276),IF($AO$1=1,0,"")))</f>
        <v/>
      </c>
      <c r="AA276" s="39" t="str">
        <f t="shared" si="93"/>
        <v/>
      </c>
      <c r="AB276" s="40" t="str">
        <f>IF(OR(L276="",V276=0),"",IF(AND(N(I276)&gt;0,N(INDEX('05-أيار'!$I$2:$I$501,V276))&gt;0,INDEX('05-أيار'!$F$2:$F$501,V276)=F276),N(I276)/N(INDEX('05-أيار'!$I$2:$I$501,V276))-1,""))</f>
        <v/>
      </c>
      <c r="AC276" t="str">
        <f>IF(L276="","",IF(AND($AO$2=1,ISNA(MATCH(L276,'07-تموز'!$L$2:$L$500,0))),"محذوف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IF(L277="","",IF($AO$1=1,IFERROR(MATCH(L277,'05-أيار'!$L$2:$L$501,0),0),0))</f>
        <v/>
      </c>
      <c r="W277" t="str">
        <f t="shared" si="91"/>
        <v/>
      </c>
      <c r="X277" s="38" t="str">
        <f>IF(L277="","",IF(V277&gt;0,INDEX('05-أيار'!$P$2:$P$501,V277),IF($AO$1=1,0,"")))</f>
        <v/>
      </c>
      <c r="Y277" s="38" t="str">
        <f t="shared" si="92"/>
        <v/>
      </c>
      <c r="Z277" s="39" t="str">
        <f>IF(L277="","",IF(V277&gt;0,INDEX('05-أيار'!$Q$2:$Q$501,V277),IF($AO$1=1,0,"")))</f>
        <v/>
      </c>
      <c r="AA277" s="39" t="str">
        <f t="shared" si="93"/>
        <v/>
      </c>
      <c r="AB277" s="40" t="str">
        <f>IF(OR(L277="",V277=0),"",IF(AND(N(I277)&gt;0,N(INDEX('05-أيار'!$I$2:$I$501,V277))&gt;0,INDEX('05-أيار'!$F$2:$F$501,V277)=F277),N(I277)/N(INDEX('05-أيار'!$I$2:$I$501,V277))-1,""))</f>
        <v/>
      </c>
      <c r="AC277" t="str">
        <f>IF(L277="","",IF(AND($AO$2=1,ISNA(MATCH(L277,'07-تموز'!$L$2:$L$500,0))),"محذوف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IF(L278="","",IF($AO$1=1,IFERROR(MATCH(L278,'05-أيار'!$L$2:$L$501,0),0),0))</f>
        <v/>
      </c>
      <c r="W278" t="str">
        <f t="shared" si="91"/>
        <v/>
      </c>
      <c r="X278" s="38" t="str">
        <f>IF(L278="","",IF(V278&gt;0,INDEX('05-أيار'!$P$2:$P$501,V278),IF($AO$1=1,0,"")))</f>
        <v/>
      </c>
      <c r="Y278" s="38" t="str">
        <f t="shared" si="92"/>
        <v/>
      </c>
      <c r="Z278" s="39" t="str">
        <f>IF(L278="","",IF(V278&gt;0,INDEX('05-أيار'!$Q$2:$Q$501,V278),IF($AO$1=1,0,"")))</f>
        <v/>
      </c>
      <c r="AA278" s="39" t="str">
        <f t="shared" si="93"/>
        <v/>
      </c>
      <c r="AB278" s="40" t="str">
        <f>IF(OR(L278="",V278=0),"",IF(AND(N(I278)&gt;0,N(INDEX('05-أيار'!$I$2:$I$501,V278))&gt;0,INDEX('05-أيار'!$F$2:$F$501,V278)=F278),N(I278)/N(INDEX('05-أيار'!$I$2:$I$501,V278))-1,""))</f>
        <v/>
      </c>
      <c r="AC278" t="str">
        <f>IF(L278="","",IF(AND($AO$2=1,ISNA(MATCH(L278,'07-تموز'!$L$2:$L$500,0))),"محذوف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IF(L279="","",IF($AO$1=1,IFERROR(MATCH(L279,'05-أيار'!$L$2:$L$501,0),0),0))</f>
        <v/>
      </c>
      <c r="W279" t="str">
        <f t="shared" si="91"/>
        <v/>
      </c>
      <c r="X279" s="38" t="str">
        <f>IF(L279="","",IF(V279&gt;0,INDEX('05-أيار'!$P$2:$P$501,V279),IF($AO$1=1,0,"")))</f>
        <v/>
      </c>
      <c r="Y279" s="38" t="str">
        <f t="shared" si="92"/>
        <v/>
      </c>
      <c r="Z279" s="39" t="str">
        <f>IF(L279="","",IF(V279&gt;0,INDEX('05-أيار'!$Q$2:$Q$501,V279),IF($AO$1=1,0,"")))</f>
        <v/>
      </c>
      <c r="AA279" s="39" t="str">
        <f t="shared" si="93"/>
        <v/>
      </c>
      <c r="AB279" s="40" t="str">
        <f>IF(OR(L279="",V279=0),"",IF(AND(N(I279)&gt;0,N(INDEX('05-أيار'!$I$2:$I$501,V279))&gt;0,INDEX('05-أيار'!$F$2:$F$501,V279)=F279),N(I279)/N(INDEX('05-أيار'!$I$2:$I$501,V279))-1,""))</f>
        <v/>
      </c>
      <c r="AC279" t="str">
        <f>IF(L279="","",IF(AND($AO$2=1,ISNA(MATCH(L279,'07-تموز'!$L$2:$L$500,0))),"محذوف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IF(L280="","",IF($AO$1=1,IFERROR(MATCH(L280,'05-أيار'!$L$2:$L$501,0),0),0))</f>
        <v/>
      </c>
      <c r="W280" t="str">
        <f t="shared" si="91"/>
        <v/>
      </c>
      <c r="X280" s="38" t="str">
        <f>IF(L280="","",IF(V280&gt;0,INDEX('05-أيار'!$P$2:$P$501,V280),IF($AO$1=1,0,"")))</f>
        <v/>
      </c>
      <c r="Y280" s="38" t="str">
        <f t="shared" si="92"/>
        <v/>
      </c>
      <c r="Z280" s="39" t="str">
        <f>IF(L280="","",IF(V280&gt;0,INDEX('05-أيار'!$Q$2:$Q$501,V280),IF($AO$1=1,0,"")))</f>
        <v/>
      </c>
      <c r="AA280" s="39" t="str">
        <f t="shared" si="93"/>
        <v/>
      </c>
      <c r="AB280" s="40" t="str">
        <f>IF(OR(L280="",V280=0),"",IF(AND(N(I280)&gt;0,N(INDEX('05-أيار'!$I$2:$I$501,V280))&gt;0,INDEX('05-أيار'!$F$2:$F$501,V280)=F280),N(I280)/N(INDEX('05-أيار'!$I$2:$I$501,V280))-1,""))</f>
        <v/>
      </c>
      <c r="AC280" t="str">
        <f>IF(L280="","",IF(AND($AO$2=1,ISNA(MATCH(L280,'07-تموز'!$L$2:$L$500,0))),"محذوف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IF(L281="","",IF($AO$1=1,IFERROR(MATCH(L281,'05-أيار'!$L$2:$L$501,0),0),0))</f>
        <v/>
      </c>
      <c r="W281" t="str">
        <f t="shared" si="91"/>
        <v/>
      </c>
      <c r="X281" s="38" t="str">
        <f>IF(L281="","",IF(V281&gt;0,INDEX('05-أيار'!$P$2:$P$501,V281),IF($AO$1=1,0,"")))</f>
        <v/>
      </c>
      <c r="Y281" s="38" t="str">
        <f t="shared" si="92"/>
        <v/>
      </c>
      <c r="Z281" s="39" t="str">
        <f>IF(L281="","",IF(V281&gt;0,INDEX('05-أيار'!$Q$2:$Q$501,V281),IF($AO$1=1,0,"")))</f>
        <v/>
      </c>
      <c r="AA281" s="39" t="str">
        <f t="shared" si="93"/>
        <v/>
      </c>
      <c r="AB281" s="40" t="str">
        <f>IF(OR(L281="",V281=0),"",IF(AND(N(I281)&gt;0,N(INDEX('05-أيار'!$I$2:$I$501,V281))&gt;0,INDEX('05-أيار'!$F$2:$F$501,V281)=F281),N(I281)/N(INDEX('05-أيار'!$I$2:$I$501,V281))-1,""))</f>
        <v/>
      </c>
      <c r="AC281" t="str">
        <f>IF(L281="","",IF(AND($AO$2=1,ISNA(MATCH(L281,'07-تموز'!$L$2:$L$500,0))),"محذوف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IF(L282="","",IF($AO$1=1,IFERROR(MATCH(L282,'05-أيار'!$L$2:$L$501,0),0),0))</f>
        <v/>
      </c>
      <c r="W282" t="str">
        <f t="shared" si="91"/>
        <v/>
      </c>
      <c r="X282" s="38" t="str">
        <f>IF(L282="","",IF(V282&gt;0,INDEX('05-أيار'!$P$2:$P$501,V282),IF($AO$1=1,0,"")))</f>
        <v/>
      </c>
      <c r="Y282" s="38" t="str">
        <f t="shared" si="92"/>
        <v/>
      </c>
      <c r="Z282" s="39" t="str">
        <f>IF(L282="","",IF(V282&gt;0,INDEX('05-أيار'!$Q$2:$Q$501,V282),IF($AO$1=1,0,"")))</f>
        <v/>
      </c>
      <c r="AA282" s="39" t="str">
        <f t="shared" si="93"/>
        <v/>
      </c>
      <c r="AB282" s="40" t="str">
        <f>IF(OR(L282="",V282=0),"",IF(AND(N(I282)&gt;0,N(INDEX('05-أيار'!$I$2:$I$501,V282))&gt;0,INDEX('05-أيار'!$F$2:$F$501,V282)=F282),N(I282)/N(INDEX('05-أيار'!$I$2:$I$501,V282))-1,""))</f>
        <v/>
      </c>
      <c r="AC282" t="str">
        <f>IF(L282="","",IF(AND($AO$2=1,ISNA(MATCH(L282,'07-تموز'!$L$2:$L$500,0))),"محذوف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IF(L283="","",IF($AO$1=1,IFERROR(MATCH(L283,'05-أيار'!$L$2:$L$501,0),0),0))</f>
        <v/>
      </c>
      <c r="W283" t="str">
        <f t="shared" si="91"/>
        <v/>
      </c>
      <c r="X283" s="38" t="str">
        <f>IF(L283="","",IF(V283&gt;0,INDEX('05-أيار'!$P$2:$P$501,V283),IF($AO$1=1,0,"")))</f>
        <v/>
      </c>
      <c r="Y283" s="38" t="str">
        <f t="shared" si="92"/>
        <v/>
      </c>
      <c r="Z283" s="39" t="str">
        <f>IF(L283="","",IF(V283&gt;0,INDEX('05-أيار'!$Q$2:$Q$501,V283),IF($AO$1=1,0,"")))</f>
        <v/>
      </c>
      <c r="AA283" s="39" t="str">
        <f t="shared" si="93"/>
        <v/>
      </c>
      <c r="AB283" s="40" t="str">
        <f>IF(OR(L283="",V283=0),"",IF(AND(N(I283)&gt;0,N(INDEX('05-أيار'!$I$2:$I$501,V283))&gt;0,INDEX('05-أيار'!$F$2:$F$501,V283)=F283),N(I283)/N(INDEX('05-أيار'!$I$2:$I$501,V283))-1,""))</f>
        <v/>
      </c>
      <c r="AC283" t="str">
        <f>IF(L283="","",IF(AND($AO$2=1,ISNA(MATCH(L283,'07-تموز'!$L$2:$L$500,0))),"محذوف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IF(L284="","",IF($AO$1=1,IFERROR(MATCH(L284,'05-أيار'!$L$2:$L$501,0),0),0))</f>
        <v/>
      </c>
      <c r="W284" t="str">
        <f t="shared" si="91"/>
        <v/>
      </c>
      <c r="X284" s="38" t="str">
        <f>IF(L284="","",IF(V284&gt;0,INDEX('05-أيار'!$P$2:$P$501,V284),IF($AO$1=1,0,"")))</f>
        <v/>
      </c>
      <c r="Y284" s="38" t="str">
        <f t="shared" si="92"/>
        <v/>
      </c>
      <c r="Z284" s="39" t="str">
        <f>IF(L284="","",IF(V284&gt;0,INDEX('05-أيار'!$Q$2:$Q$501,V284),IF($AO$1=1,0,"")))</f>
        <v/>
      </c>
      <c r="AA284" s="39" t="str">
        <f t="shared" si="93"/>
        <v/>
      </c>
      <c r="AB284" s="40" t="str">
        <f>IF(OR(L284="",V284=0),"",IF(AND(N(I284)&gt;0,N(INDEX('05-أيار'!$I$2:$I$501,V284))&gt;0,INDEX('05-أيار'!$F$2:$F$501,V284)=F284),N(I284)/N(INDEX('05-أيار'!$I$2:$I$501,V284))-1,""))</f>
        <v/>
      </c>
      <c r="AC284" t="str">
        <f>IF(L284="","",IF(AND($AO$2=1,ISNA(MATCH(L284,'07-تموز'!$L$2:$L$500,0))),"محذوف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IF(L285="","",IF($AO$1=1,IFERROR(MATCH(L285,'05-أيار'!$L$2:$L$501,0),0),0))</f>
        <v/>
      </c>
      <c r="W285" t="str">
        <f t="shared" si="91"/>
        <v/>
      </c>
      <c r="X285" s="38" t="str">
        <f>IF(L285="","",IF(V285&gt;0,INDEX('05-أيار'!$P$2:$P$501,V285),IF($AO$1=1,0,"")))</f>
        <v/>
      </c>
      <c r="Y285" s="38" t="str">
        <f t="shared" si="92"/>
        <v/>
      </c>
      <c r="Z285" s="39" t="str">
        <f>IF(L285="","",IF(V285&gt;0,INDEX('05-أيار'!$Q$2:$Q$501,V285),IF($AO$1=1,0,"")))</f>
        <v/>
      </c>
      <c r="AA285" s="39" t="str">
        <f t="shared" si="93"/>
        <v/>
      </c>
      <c r="AB285" s="40" t="str">
        <f>IF(OR(L285="",V285=0),"",IF(AND(N(I285)&gt;0,N(INDEX('05-أيار'!$I$2:$I$501,V285))&gt;0,INDEX('05-أيار'!$F$2:$F$501,V285)=F285),N(I285)/N(INDEX('05-أيار'!$I$2:$I$501,V285))-1,""))</f>
        <v/>
      </c>
      <c r="AC285" t="str">
        <f>IF(L285="","",IF(AND($AO$2=1,ISNA(MATCH(L285,'07-تموز'!$L$2:$L$500,0))),"محذوف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IF(L286="","",IF($AO$1=1,IFERROR(MATCH(L286,'05-أيار'!$L$2:$L$501,0),0),0))</f>
        <v/>
      </c>
      <c r="W286" t="str">
        <f t="shared" si="91"/>
        <v/>
      </c>
      <c r="X286" s="38" t="str">
        <f>IF(L286="","",IF(V286&gt;0,INDEX('05-أيار'!$P$2:$P$501,V286),IF($AO$1=1,0,"")))</f>
        <v/>
      </c>
      <c r="Y286" s="38" t="str">
        <f t="shared" si="92"/>
        <v/>
      </c>
      <c r="Z286" s="39" t="str">
        <f>IF(L286="","",IF(V286&gt;0,INDEX('05-أيار'!$Q$2:$Q$501,V286),IF($AO$1=1,0,"")))</f>
        <v/>
      </c>
      <c r="AA286" s="39" t="str">
        <f t="shared" si="93"/>
        <v/>
      </c>
      <c r="AB286" s="40" t="str">
        <f>IF(OR(L286="",V286=0),"",IF(AND(N(I286)&gt;0,N(INDEX('05-أيار'!$I$2:$I$501,V286))&gt;0,INDEX('05-أيار'!$F$2:$F$501,V286)=F286),N(I286)/N(INDEX('05-أيار'!$I$2:$I$501,V286))-1,""))</f>
        <v/>
      </c>
      <c r="AC286" t="str">
        <f>IF(L286="","",IF(AND($AO$2=1,ISNA(MATCH(L286,'07-تموز'!$L$2:$L$500,0))),"محذوف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IF(L287="","",IF($AO$1=1,IFERROR(MATCH(L287,'05-أيار'!$L$2:$L$501,0),0),0))</f>
        <v/>
      </c>
      <c r="W287" t="str">
        <f t="shared" si="91"/>
        <v/>
      </c>
      <c r="X287" s="38" t="str">
        <f>IF(L287="","",IF(V287&gt;0,INDEX('05-أيار'!$P$2:$P$501,V287),IF($AO$1=1,0,"")))</f>
        <v/>
      </c>
      <c r="Y287" s="38" t="str">
        <f t="shared" si="92"/>
        <v/>
      </c>
      <c r="Z287" s="39" t="str">
        <f>IF(L287="","",IF(V287&gt;0,INDEX('05-أيار'!$Q$2:$Q$501,V287),IF($AO$1=1,0,"")))</f>
        <v/>
      </c>
      <c r="AA287" s="39" t="str">
        <f t="shared" si="93"/>
        <v/>
      </c>
      <c r="AB287" s="40" t="str">
        <f>IF(OR(L287="",V287=0),"",IF(AND(N(I287)&gt;0,N(INDEX('05-أيار'!$I$2:$I$501,V287))&gt;0,INDEX('05-أيار'!$F$2:$F$501,V287)=F287),N(I287)/N(INDEX('05-أيار'!$I$2:$I$501,V287))-1,""))</f>
        <v/>
      </c>
      <c r="AC287" t="str">
        <f>IF(L287="","",IF(AND($AO$2=1,ISNA(MATCH(L287,'07-تموز'!$L$2:$L$500,0))),"محذوف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IF(L288="","",IF($AO$1=1,IFERROR(MATCH(L288,'05-أيار'!$L$2:$L$501,0),0),0))</f>
        <v/>
      </c>
      <c r="W288" t="str">
        <f t="shared" si="91"/>
        <v/>
      </c>
      <c r="X288" s="38" t="str">
        <f>IF(L288="","",IF(V288&gt;0,INDEX('05-أيار'!$P$2:$P$501,V288),IF($AO$1=1,0,"")))</f>
        <v/>
      </c>
      <c r="Y288" s="38" t="str">
        <f t="shared" si="92"/>
        <v/>
      </c>
      <c r="Z288" s="39" t="str">
        <f>IF(L288="","",IF(V288&gt;0,INDEX('05-أيار'!$Q$2:$Q$501,V288),IF($AO$1=1,0,"")))</f>
        <v/>
      </c>
      <c r="AA288" s="39" t="str">
        <f t="shared" si="93"/>
        <v/>
      </c>
      <c r="AB288" s="40" t="str">
        <f>IF(OR(L288="",V288=0),"",IF(AND(N(I288)&gt;0,N(INDEX('05-أيار'!$I$2:$I$501,V288))&gt;0,INDEX('05-أيار'!$F$2:$F$501,V288)=F288),N(I288)/N(INDEX('05-أيار'!$I$2:$I$501,V288))-1,""))</f>
        <v/>
      </c>
      <c r="AC288" t="str">
        <f>IF(L288="","",IF(AND($AO$2=1,ISNA(MATCH(L288,'07-تموز'!$L$2:$L$500,0))),"محذوف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IF(L289="","",IF($AO$1=1,IFERROR(MATCH(L289,'05-أيار'!$L$2:$L$501,0),0),0))</f>
        <v/>
      </c>
      <c r="W289" t="str">
        <f t="shared" si="91"/>
        <v/>
      </c>
      <c r="X289" s="38" t="str">
        <f>IF(L289="","",IF(V289&gt;0,INDEX('05-أيار'!$P$2:$P$501,V289),IF($AO$1=1,0,"")))</f>
        <v/>
      </c>
      <c r="Y289" s="38" t="str">
        <f t="shared" si="92"/>
        <v/>
      </c>
      <c r="Z289" s="39" t="str">
        <f>IF(L289="","",IF(V289&gt;0,INDEX('05-أيار'!$Q$2:$Q$501,V289),IF($AO$1=1,0,"")))</f>
        <v/>
      </c>
      <c r="AA289" s="39" t="str">
        <f t="shared" si="93"/>
        <v/>
      </c>
      <c r="AB289" s="40" t="str">
        <f>IF(OR(L289="",V289=0),"",IF(AND(N(I289)&gt;0,N(INDEX('05-أيار'!$I$2:$I$501,V289))&gt;0,INDEX('05-أيار'!$F$2:$F$501,V289)=F289),N(I289)/N(INDEX('05-أيار'!$I$2:$I$501,V289))-1,""))</f>
        <v/>
      </c>
      <c r="AC289" t="str">
        <f>IF(L289="","",IF(AND($AO$2=1,ISNA(MATCH(L289,'07-تموز'!$L$2:$L$500,0))),"محذوف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IF(L290="","",IF($AO$1=1,IFERROR(MATCH(L290,'05-أيار'!$L$2:$L$501,0),0),0))</f>
        <v/>
      </c>
      <c r="W290" t="str">
        <f t="shared" si="91"/>
        <v/>
      </c>
      <c r="X290" s="38" t="str">
        <f>IF(L290="","",IF(V290&gt;0,INDEX('05-أيار'!$P$2:$P$501,V290),IF($AO$1=1,0,"")))</f>
        <v/>
      </c>
      <c r="Y290" s="38" t="str">
        <f t="shared" si="92"/>
        <v/>
      </c>
      <c r="Z290" s="39" t="str">
        <f>IF(L290="","",IF(V290&gt;0,INDEX('05-أيار'!$Q$2:$Q$501,V290),IF($AO$1=1,0,"")))</f>
        <v/>
      </c>
      <c r="AA290" s="39" t="str">
        <f t="shared" si="93"/>
        <v/>
      </c>
      <c r="AB290" s="40" t="str">
        <f>IF(OR(L290="",V290=0),"",IF(AND(N(I290)&gt;0,N(INDEX('05-أيار'!$I$2:$I$501,V290))&gt;0,INDEX('05-أيار'!$F$2:$F$501,V290)=F290),N(I290)/N(INDEX('05-أيار'!$I$2:$I$501,V290))-1,""))</f>
        <v/>
      </c>
      <c r="AC290" t="str">
        <f>IF(L290="","",IF(AND($AO$2=1,ISNA(MATCH(L290,'07-تموز'!$L$2:$L$500,0))),"محذوف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IF(L291="","",IF($AO$1=1,IFERROR(MATCH(L291,'05-أيار'!$L$2:$L$501,0),0),0))</f>
        <v/>
      </c>
      <c r="W291" t="str">
        <f t="shared" si="91"/>
        <v/>
      </c>
      <c r="X291" s="38" t="str">
        <f>IF(L291="","",IF(V291&gt;0,INDEX('05-أيار'!$P$2:$P$501,V291),IF($AO$1=1,0,"")))</f>
        <v/>
      </c>
      <c r="Y291" s="38" t="str">
        <f t="shared" si="92"/>
        <v/>
      </c>
      <c r="Z291" s="39" t="str">
        <f>IF(L291="","",IF(V291&gt;0,INDEX('05-أيار'!$Q$2:$Q$501,V291),IF($AO$1=1,0,"")))</f>
        <v/>
      </c>
      <c r="AA291" s="39" t="str">
        <f t="shared" si="93"/>
        <v/>
      </c>
      <c r="AB291" s="40" t="str">
        <f>IF(OR(L291="",V291=0),"",IF(AND(N(I291)&gt;0,N(INDEX('05-أيار'!$I$2:$I$501,V291))&gt;0,INDEX('05-أيار'!$F$2:$F$501,V291)=F291),N(I291)/N(INDEX('05-أيار'!$I$2:$I$501,V291))-1,""))</f>
        <v/>
      </c>
      <c r="AC291" t="str">
        <f>IF(L291="","",IF(AND($AO$2=1,ISNA(MATCH(L291,'07-تموز'!$L$2:$L$500,0))),"محذوف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IF(L292="","",IF($AO$1=1,IFERROR(MATCH(L292,'05-أيار'!$L$2:$L$501,0),0),0))</f>
        <v/>
      </c>
      <c r="W292" t="str">
        <f t="shared" si="91"/>
        <v/>
      </c>
      <c r="X292" s="38" t="str">
        <f>IF(L292="","",IF(V292&gt;0,INDEX('05-أيار'!$P$2:$P$501,V292),IF($AO$1=1,0,"")))</f>
        <v/>
      </c>
      <c r="Y292" s="38" t="str">
        <f t="shared" si="92"/>
        <v/>
      </c>
      <c r="Z292" s="39" t="str">
        <f>IF(L292="","",IF(V292&gt;0,INDEX('05-أيار'!$Q$2:$Q$501,V292),IF($AO$1=1,0,"")))</f>
        <v/>
      </c>
      <c r="AA292" s="39" t="str">
        <f t="shared" si="93"/>
        <v/>
      </c>
      <c r="AB292" s="40" t="str">
        <f>IF(OR(L292="",V292=0),"",IF(AND(N(I292)&gt;0,N(INDEX('05-أيار'!$I$2:$I$501,V292))&gt;0,INDEX('05-أيار'!$F$2:$F$501,V292)=F292),N(I292)/N(INDEX('05-أيار'!$I$2:$I$501,V292))-1,""))</f>
        <v/>
      </c>
      <c r="AC292" t="str">
        <f>IF(L292="","",IF(AND($AO$2=1,ISNA(MATCH(L292,'07-تموز'!$L$2:$L$500,0))),"محذوف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IF(L293="","",IF($AO$1=1,IFERROR(MATCH(L293,'05-أيار'!$L$2:$L$501,0),0),0))</f>
        <v/>
      </c>
      <c r="W293" t="str">
        <f t="shared" si="91"/>
        <v/>
      </c>
      <c r="X293" s="38" t="str">
        <f>IF(L293="","",IF(V293&gt;0,INDEX('05-أيار'!$P$2:$P$501,V293),IF($AO$1=1,0,"")))</f>
        <v/>
      </c>
      <c r="Y293" s="38" t="str">
        <f t="shared" si="92"/>
        <v/>
      </c>
      <c r="Z293" s="39" t="str">
        <f>IF(L293="","",IF(V293&gt;0,INDEX('05-أيار'!$Q$2:$Q$501,V293),IF($AO$1=1,0,"")))</f>
        <v/>
      </c>
      <c r="AA293" s="39" t="str">
        <f t="shared" si="93"/>
        <v/>
      </c>
      <c r="AB293" s="40" t="str">
        <f>IF(OR(L293="",V293=0),"",IF(AND(N(I293)&gt;0,N(INDEX('05-أيار'!$I$2:$I$501,V293))&gt;0,INDEX('05-أيار'!$F$2:$F$501,V293)=F293),N(I293)/N(INDEX('05-أيار'!$I$2:$I$501,V293))-1,""))</f>
        <v/>
      </c>
      <c r="AC293" t="str">
        <f>IF(L293="","",IF(AND($AO$2=1,ISNA(MATCH(L293,'07-تموز'!$L$2:$L$500,0))),"محذوف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IF(L294="","",IF($AO$1=1,IFERROR(MATCH(L294,'05-أيار'!$L$2:$L$501,0),0),0))</f>
        <v/>
      </c>
      <c r="W294" t="str">
        <f t="shared" si="91"/>
        <v/>
      </c>
      <c r="X294" s="38" t="str">
        <f>IF(L294="","",IF(V294&gt;0,INDEX('05-أيار'!$P$2:$P$501,V294),IF($AO$1=1,0,"")))</f>
        <v/>
      </c>
      <c r="Y294" s="38" t="str">
        <f t="shared" si="92"/>
        <v/>
      </c>
      <c r="Z294" s="39" t="str">
        <f>IF(L294="","",IF(V294&gt;0,INDEX('05-أيار'!$Q$2:$Q$501,V294),IF($AO$1=1,0,"")))</f>
        <v/>
      </c>
      <c r="AA294" s="39" t="str">
        <f t="shared" si="93"/>
        <v/>
      </c>
      <c r="AB294" s="40" t="str">
        <f>IF(OR(L294="",V294=0),"",IF(AND(N(I294)&gt;0,N(INDEX('05-أيار'!$I$2:$I$501,V294))&gt;0,INDEX('05-أيار'!$F$2:$F$501,V294)=F294),N(I294)/N(INDEX('05-أيار'!$I$2:$I$501,V294))-1,""))</f>
        <v/>
      </c>
      <c r="AC294" t="str">
        <f>IF(L294="","",IF(AND($AO$2=1,ISNA(MATCH(L294,'07-تموز'!$L$2:$L$500,0))),"محذوف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IF(L295="","",IF($AO$1=1,IFERROR(MATCH(L295,'05-أيار'!$L$2:$L$501,0),0),0))</f>
        <v/>
      </c>
      <c r="W295" t="str">
        <f t="shared" si="91"/>
        <v/>
      </c>
      <c r="X295" s="38" t="str">
        <f>IF(L295="","",IF(V295&gt;0,INDEX('05-أيار'!$P$2:$P$501,V295),IF($AO$1=1,0,"")))</f>
        <v/>
      </c>
      <c r="Y295" s="38" t="str">
        <f t="shared" si="92"/>
        <v/>
      </c>
      <c r="Z295" s="39" t="str">
        <f>IF(L295="","",IF(V295&gt;0,INDEX('05-أيار'!$Q$2:$Q$501,V295),IF($AO$1=1,0,"")))</f>
        <v/>
      </c>
      <c r="AA295" s="39" t="str">
        <f t="shared" si="93"/>
        <v/>
      </c>
      <c r="AB295" s="40" t="str">
        <f>IF(OR(L295="",V295=0),"",IF(AND(N(I295)&gt;0,N(INDEX('05-أيار'!$I$2:$I$501,V295))&gt;0,INDEX('05-أيار'!$F$2:$F$501,V295)=F295),N(I295)/N(INDEX('05-أيار'!$I$2:$I$501,V295))-1,""))</f>
        <v/>
      </c>
      <c r="AC295" t="str">
        <f>IF(L295="","",IF(AND($AO$2=1,ISNA(MATCH(L295,'07-تموز'!$L$2:$L$500,0))),"محذوف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IF(L296="","",IF($AO$1=1,IFERROR(MATCH(L296,'05-أيار'!$L$2:$L$501,0),0),0))</f>
        <v/>
      </c>
      <c r="W296" t="str">
        <f t="shared" si="91"/>
        <v/>
      </c>
      <c r="X296" s="38" t="str">
        <f>IF(L296="","",IF(V296&gt;0,INDEX('05-أيار'!$P$2:$P$501,V296),IF($AO$1=1,0,"")))</f>
        <v/>
      </c>
      <c r="Y296" s="38" t="str">
        <f t="shared" si="92"/>
        <v/>
      </c>
      <c r="Z296" s="39" t="str">
        <f>IF(L296="","",IF(V296&gt;0,INDEX('05-أيار'!$Q$2:$Q$501,V296),IF($AO$1=1,0,"")))</f>
        <v/>
      </c>
      <c r="AA296" s="39" t="str">
        <f t="shared" si="93"/>
        <v/>
      </c>
      <c r="AB296" s="40" t="str">
        <f>IF(OR(L296="",V296=0),"",IF(AND(N(I296)&gt;0,N(INDEX('05-أيار'!$I$2:$I$501,V296))&gt;0,INDEX('05-أيار'!$F$2:$F$501,V296)=F296),N(I296)/N(INDEX('05-أيار'!$I$2:$I$501,V296))-1,""))</f>
        <v/>
      </c>
      <c r="AC296" t="str">
        <f>IF(L296="","",IF(AND($AO$2=1,ISNA(MATCH(L296,'07-تموز'!$L$2:$L$500,0))),"محذوف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IF(L297="","",IF($AO$1=1,IFERROR(MATCH(L297,'05-أيار'!$L$2:$L$501,0),0),0))</f>
        <v/>
      </c>
      <c r="W297" t="str">
        <f t="shared" si="91"/>
        <v/>
      </c>
      <c r="X297" s="38" t="str">
        <f>IF(L297="","",IF(V297&gt;0,INDEX('05-أيار'!$P$2:$P$501,V297),IF($AO$1=1,0,"")))</f>
        <v/>
      </c>
      <c r="Y297" s="38" t="str">
        <f t="shared" si="92"/>
        <v/>
      </c>
      <c r="Z297" s="39" t="str">
        <f>IF(L297="","",IF(V297&gt;0,INDEX('05-أيار'!$Q$2:$Q$501,V297),IF($AO$1=1,0,"")))</f>
        <v/>
      </c>
      <c r="AA297" s="39" t="str">
        <f t="shared" si="93"/>
        <v/>
      </c>
      <c r="AB297" s="40" t="str">
        <f>IF(OR(L297="",V297=0),"",IF(AND(N(I297)&gt;0,N(INDEX('05-أيار'!$I$2:$I$501,V297))&gt;0,INDEX('05-أيار'!$F$2:$F$501,V297)=F297),N(I297)/N(INDEX('05-أيار'!$I$2:$I$501,V297))-1,""))</f>
        <v/>
      </c>
      <c r="AC297" t="str">
        <f>IF(L297="","",IF(AND($AO$2=1,ISNA(MATCH(L297,'07-تموز'!$L$2:$L$500,0))),"محذوف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IF(L298="","",IF($AO$1=1,IFERROR(MATCH(L298,'05-أيار'!$L$2:$L$501,0),0),0))</f>
        <v/>
      </c>
      <c r="W298" t="str">
        <f t="shared" si="91"/>
        <v/>
      </c>
      <c r="X298" s="38" t="str">
        <f>IF(L298="","",IF(V298&gt;0,INDEX('05-أيار'!$P$2:$P$501,V298),IF($AO$1=1,0,"")))</f>
        <v/>
      </c>
      <c r="Y298" s="38" t="str">
        <f t="shared" si="92"/>
        <v/>
      </c>
      <c r="Z298" s="39" t="str">
        <f>IF(L298="","",IF(V298&gt;0,INDEX('05-أيار'!$Q$2:$Q$501,V298),IF($AO$1=1,0,"")))</f>
        <v/>
      </c>
      <c r="AA298" s="39" t="str">
        <f t="shared" si="93"/>
        <v/>
      </c>
      <c r="AB298" s="40" t="str">
        <f>IF(OR(L298="",V298=0),"",IF(AND(N(I298)&gt;0,N(INDEX('05-أيار'!$I$2:$I$501,V298))&gt;0,INDEX('05-أيار'!$F$2:$F$501,V298)=F298),N(I298)/N(INDEX('05-أيار'!$I$2:$I$501,V298))-1,""))</f>
        <v/>
      </c>
      <c r="AC298" t="str">
        <f>IF(L298="","",IF(AND($AO$2=1,ISNA(MATCH(L298,'07-تموز'!$L$2:$L$500,0))),"محذوف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IF(L299="","",IF($AO$1=1,IFERROR(MATCH(L299,'05-أيار'!$L$2:$L$501,0),0),0))</f>
        <v/>
      </c>
      <c r="W299" t="str">
        <f t="shared" si="91"/>
        <v/>
      </c>
      <c r="X299" s="38" t="str">
        <f>IF(L299="","",IF(V299&gt;0,INDEX('05-أيار'!$P$2:$P$501,V299),IF($AO$1=1,0,"")))</f>
        <v/>
      </c>
      <c r="Y299" s="38" t="str">
        <f t="shared" si="92"/>
        <v/>
      </c>
      <c r="Z299" s="39" t="str">
        <f>IF(L299="","",IF(V299&gt;0,INDEX('05-أيار'!$Q$2:$Q$501,V299),IF($AO$1=1,0,"")))</f>
        <v/>
      </c>
      <c r="AA299" s="39" t="str">
        <f t="shared" si="93"/>
        <v/>
      </c>
      <c r="AB299" s="40" t="str">
        <f>IF(OR(L299="",V299=0),"",IF(AND(N(I299)&gt;0,N(INDEX('05-أيار'!$I$2:$I$501,V299))&gt;0,INDEX('05-أيار'!$F$2:$F$501,V299)=F299),N(I299)/N(INDEX('05-أيار'!$I$2:$I$501,V299))-1,""))</f>
        <v/>
      </c>
      <c r="AC299" t="str">
        <f>IF(L299="","",IF(AND($AO$2=1,ISNA(MATCH(L299,'07-تموز'!$L$2:$L$500,0))),"محذوف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IF(L300="","",IF($AO$1=1,IFERROR(MATCH(L300,'05-أيار'!$L$2:$L$501,0),0),0))</f>
        <v/>
      </c>
      <c r="W300" t="str">
        <f t="shared" si="91"/>
        <v/>
      </c>
      <c r="X300" s="38" t="str">
        <f>IF(L300="","",IF(V300&gt;0,INDEX('05-أيار'!$P$2:$P$501,V300),IF($AO$1=1,0,"")))</f>
        <v/>
      </c>
      <c r="Y300" s="38" t="str">
        <f t="shared" si="92"/>
        <v/>
      </c>
      <c r="Z300" s="39" t="str">
        <f>IF(L300="","",IF(V300&gt;0,INDEX('05-أيار'!$Q$2:$Q$501,V300),IF($AO$1=1,0,"")))</f>
        <v/>
      </c>
      <c r="AA300" s="39" t="str">
        <f t="shared" si="93"/>
        <v/>
      </c>
      <c r="AB300" s="40" t="str">
        <f>IF(OR(L300="",V300=0),"",IF(AND(N(I300)&gt;0,N(INDEX('05-أيار'!$I$2:$I$501,V300))&gt;0,INDEX('05-أيار'!$F$2:$F$501,V300)=F300),N(I300)/N(INDEX('05-أيار'!$I$2:$I$501,V300))-1,""))</f>
        <v/>
      </c>
      <c r="AC300" t="str">
        <f>IF(L300="","",IF(AND($AO$2=1,ISNA(MATCH(L300,'07-تموز'!$L$2:$L$500,0))),"محذوف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IF(L301="","",IF($AO$1=1,IFERROR(MATCH(L301,'05-أيار'!$L$2:$L$501,0),0),0))</f>
        <v/>
      </c>
      <c r="W301" t="str">
        <f t="shared" si="91"/>
        <v/>
      </c>
      <c r="X301" s="38" t="str">
        <f>IF(L301="","",IF(V301&gt;0,INDEX('05-أيار'!$P$2:$P$501,V301),IF($AO$1=1,0,"")))</f>
        <v/>
      </c>
      <c r="Y301" s="38" t="str">
        <f t="shared" si="92"/>
        <v/>
      </c>
      <c r="Z301" s="39" t="str">
        <f>IF(L301="","",IF(V301&gt;0,INDEX('05-أيار'!$Q$2:$Q$501,V301),IF($AO$1=1,0,"")))</f>
        <v/>
      </c>
      <c r="AA301" s="39" t="str">
        <f t="shared" si="93"/>
        <v/>
      </c>
      <c r="AB301" s="40" t="str">
        <f>IF(OR(L301="",V301=0),"",IF(AND(N(I301)&gt;0,N(INDEX('05-أيار'!$I$2:$I$501,V301))&gt;0,INDEX('05-أيار'!$F$2:$F$501,V301)=F301),N(I301)/N(INDEX('05-أيار'!$I$2:$I$501,V301))-1,""))</f>
        <v/>
      </c>
      <c r="AC301" t="str">
        <f>IF(L301="","",IF(AND($AO$2=1,ISNA(MATCH(L301,'07-تموز'!$L$2:$L$500,0))),"محذوف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IF(L302="","",IF($AO$1=1,IFERROR(MATCH(L302,'05-أيار'!$L$2:$L$501,0),0),0))</f>
        <v/>
      </c>
      <c r="W302" t="str">
        <f t="shared" si="91"/>
        <v/>
      </c>
      <c r="X302" s="38" t="str">
        <f>IF(L302="","",IF(V302&gt;0,INDEX('05-أيار'!$P$2:$P$501,V302),IF($AO$1=1,0,"")))</f>
        <v/>
      </c>
      <c r="Y302" s="38" t="str">
        <f t="shared" si="92"/>
        <v/>
      </c>
      <c r="Z302" s="39" t="str">
        <f>IF(L302="","",IF(V302&gt;0,INDEX('05-أيار'!$Q$2:$Q$501,V302),IF($AO$1=1,0,"")))</f>
        <v/>
      </c>
      <c r="AA302" s="39" t="str">
        <f t="shared" si="93"/>
        <v/>
      </c>
      <c r="AB302" s="40" t="str">
        <f>IF(OR(L302="",V302=0),"",IF(AND(N(I302)&gt;0,N(INDEX('05-أيار'!$I$2:$I$501,V302))&gt;0,INDEX('05-أيار'!$F$2:$F$501,V302)=F302),N(I302)/N(INDEX('05-أيار'!$I$2:$I$501,V302))-1,""))</f>
        <v/>
      </c>
      <c r="AC302" t="str">
        <f>IF(L302="","",IF(AND($AO$2=1,ISNA(MATCH(L302,'07-تموز'!$L$2:$L$500,0))),"محذوف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IF(L303="","",IF($AO$1=1,IFERROR(MATCH(L303,'05-أيار'!$L$2:$L$501,0),0),0))</f>
        <v/>
      </c>
      <c r="W303" t="str">
        <f t="shared" si="91"/>
        <v/>
      </c>
      <c r="X303" s="38" t="str">
        <f>IF(L303="","",IF(V303&gt;0,INDEX('05-أيار'!$P$2:$P$501,V303),IF($AO$1=1,0,"")))</f>
        <v/>
      </c>
      <c r="Y303" s="38" t="str">
        <f t="shared" si="92"/>
        <v/>
      </c>
      <c r="Z303" s="39" t="str">
        <f>IF(L303="","",IF(V303&gt;0,INDEX('05-أيار'!$Q$2:$Q$501,V303),IF($AO$1=1,0,"")))</f>
        <v/>
      </c>
      <c r="AA303" s="39" t="str">
        <f t="shared" si="93"/>
        <v/>
      </c>
      <c r="AB303" s="40" t="str">
        <f>IF(OR(L303="",V303=0),"",IF(AND(N(I303)&gt;0,N(INDEX('05-أيار'!$I$2:$I$501,V303))&gt;0,INDEX('05-أيار'!$F$2:$F$501,V303)=F303),N(I303)/N(INDEX('05-أيار'!$I$2:$I$501,V303))-1,""))</f>
        <v/>
      </c>
      <c r="AC303" t="str">
        <f>IF(L303="","",IF(AND($AO$2=1,ISNA(MATCH(L303,'07-تموز'!$L$2:$L$500,0))),"محذوف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IF(L304="","",IF($AO$1=1,IFERROR(MATCH(L304,'05-أيار'!$L$2:$L$501,0),0),0))</f>
        <v/>
      </c>
      <c r="W304" t="str">
        <f t="shared" si="91"/>
        <v/>
      </c>
      <c r="X304" s="38" t="str">
        <f>IF(L304="","",IF(V304&gt;0,INDEX('05-أيار'!$P$2:$P$501,V304),IF($AO$1=1,0,"")))</f>
        <v/>
      </c>
      <c r="Y304" s="38" t="str">
        <f t="shared" si="92"/>
        <v/>
      </c>
      <c r="Z304" s="39" t="str">
        <f>IF(L304="","",IF(V304&gt;0,INDEX('05-أيار'!$Q$2:$Q$501,V304),IF($AO$1=1,0,"")))</f>
        <v/>
      </c>
      <c r="AA304" s="39" t="str">
        <f t="shared" si="93"/>
        <v/>
      </c>
      <c r="AB304" s="40" t="str">
        <f>IF(OR(L304="",V304=0),"",IF(AND(N(I304)&gt;0,N(INDEX('05-أيار'!$I$2:$I$501,V304))&gt;0,INDEX('05-أيار'!$F$2:$F$501,V304)=F304),N(I304)/N(INDEX('05-أيار'!$I$2:$I$501,V304))-1,""))</f>
        <v/>
      </c>
      <c r="AC304" t="str">
        <f>IF(L304="","",IF(AND($AO$2=1,ISNA(MATCH(L304,'07-تموز'!$L$2:$L$500,0))),"محذوف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IF(L305="","",IF($AO$1=1,IFERROR(MATCH(L305,'05-أيار'!$L$2:$L$501,0),0),0))</f>
        <v/>
      </c>
      <c r="W305" t="str">
        <f t="shared" si="91"/>
        <v/>
      </c>
      <c r="X305" s="38" t="str">
        <f>IF(L305="","",IF(V305&gt;0,INDEX('05-أيار'!$P$2:$P$501,V305),IF($AO$1=1,0,"")))</f>
        <v/>
      </c>
      <c r="Y305" s="38" t="str">
        <f t="shared" si="92"/>
        <v/>
      </c>
      <c r="Z305" s="39" t="str">
        <f>IF(L305="","",IF(V305&gt;0,INDEX('05-أيار'!$Q$2:$Q$501,V305),IF($AO$1=1,0,"")))</f>
        <v/>
      </c>
      <c r="AA305" s="39" t="str">
        <f t="shared" si="93"/>
        <v/>
      </c>
      <c r="AB305" s="40" t="str">
        <f>IF(OR(L305="",V305=0),"",IF(AND(N(I305)&gt;0,N(INDEX('05-أيار'!$I$2:$I$501,V305))&gt;0,INDEX('05-أيار'!$F$2:$F$501,V305)=F305),N(I305)/N(INDEX('05-أيار'!$I$2:$I$501,V305))-1,""))</f>
        <v/>
      </c>
      <c r="AC305" t="str">
        <f>IF(L305="","",IF(AND($AO$2=1,ISNA(MATCH(L305,'07-تموز'!$L$2:$L$500,0))),"محذوف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IF(L306="","",IF($AO$1=1,IFERROR(MATCH(L306,'05-أيار'!$L$2:$L$501,0),0),0))</f>
        <v/>
      </c>
      <c r="W306" t="str">
        <f t="shared" si="91"/>
        <v/>
      </c>
      <c r="X306" s="38" t="str">
        <f>IF(L306="","",IF(V306&gt;0,INDEX('05-أيار'!$P$2:$P$501,V306),IF($AO$1=1,0,"")))</f>
        <v/>
      </c>
      <c r="Y306" s="38" t="str">
        <f t="shared" si="92"/>
        <v/>
      </c>
      <c r="Z306" s="39" t="str">
        <f>IF(L306="","",IF(V306&gt;0,INDEX('05-أيار'!$Q$2:$Q$501,V306),IF($AO$1=1,0,"")))</f>
        <v/>
      </c>
      <c r="AA306" s="39" t="str">
        <f t="shared" si="93"/>
        <v/>
      </c>
      <c r="AB306" s="40" t="str">
        <f>IF(OR(L306="",V306=0),"",IF(AND(N(I306)&gt;0,N(INDEX('05-أيار'!$I$2:$I$501,V306))&gt;0,INDEX('05-أيار'!$F$2:$F$501,V306)=F306),N(I306)/N(INDEX('05-أيار'!$I$2:$I$501,V306))-1,""))</f>
        <v/>
      </c>
      <c r="AC306" t="str">
        <f>IF(L306="","",IF(AND($AO$2=1,ISNA(MATCH(L306,'07-تموز'!$L$2:$L$500,0))),"محذوف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IF(L307="","",IF($AO$1=1,IFERROR(MATCH(L307,'05-أيار'!$L$2:$L$501,0),0),0))</f>
        <v/>
      </c>
      <c r="W307" t="str">
        <f t="shared" si="91"/>
        <v/>
      </c>
      <c r="X307" s="38" t="str">
        <f>IF(L307="","",IF(V307&gt;0,INDEX('05-أيار'!$P$2:$P$501,V307),IF($AO$1=1,0,"")))</f>
        <v/>
      </c>
      <c r="Y307" s="38" t="str">
        <f t="shared" si="92"/>
        <v/>
      </c>
      <c r="Z307" s="39" t="str">
        <f>IF(L307="","",IF(V307&gt;0,INDEX('05-أيار'!$Q$2:$Q$501,V307),IF($AO$1=1,0,"")))</f>
        <v/>
      </c>
      <c r="AA307" s="39" t="str">
        <f t="shared" si="93"/>
        <v/>
      </c>
      <c r="AB307" s="40" t="str">
        <f>IF(OR(L307="",V307=0),"",IF(AND(N(I307)&gt;0,N(INDEX('05-أيار'!$I$2:$I$501,V307))&gt;0,INDEX('05-أيار'!$F$2:$F$501,V307)=F307),N(I307)/N(INDEX('05-أيار'!$I$2:$I$501,V307))-1,""))</f>
        <v/>
      </c>
      <c r="AC307" t="str">
        <f>IF(L307="","",IF(AND($AO$2=1,ISNA(MATCH(L307,'07-تموز'!$L$2:$L$500,0))),"محذوف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IF(L308="","",IF($AO$1=1,IFERROR(MATCH(L308,'05-أيار'!$L$2:$L$501,0),0),0))</f>
        <v/>
      </c>
      <c r="W308" t="str">
        <f t="shared" si="91"/>
        <v/>
      </c>
      <c r="X308" s="38" t="str">
        <f>IF(L308="","",IF(V308&gt;0,INDEX('05-أيار'!$P$2:$P$501,V308),IF($AO$1=1,0,"")))</f>
        <v/>
      </c>
      <c r="Y308" s="38" t="str">
        <f t="shared" si="92"/>
        <v/>
      </c>
      <c r="Z308" s="39" t="str">
        <f>IF(L308="","",IF(V308&gt;0,INDEX('05-أيار'!$Q$2:$Q$501,V308),IF($AO$1=1,0,"")))</f>
        <v/>
      </c>
      <c r="AA308" s="39" t="str">
        <f t="shared" si="93"/>
        <v/>
      </c>
      <c r="AB308" s="40" t="str">
        <f>IF(OR(L308="",V308=0),"",IF(AND(N(I308)&gt;0,N(INDEX('05-أيار'!$I$2:$I$501,V308))&gt;0,INDEX('05-أيار'!$F$2:$F$501,V308)=F308),N(I308)/N(INDEX('05-أيار'!$I$2:$I$501,V308))-1,""))</f>
        <v/>
      </c>
      <c r="AC308" t="str">
        <f>IF(L308="","",IF(AND($AO$2=1,ISNA(MATCH(L308,'07-تموز'!$L$2:$L$500,0))),"محذوف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IF(L309="","",IF($AO$1=1,IFERROR(MATCH(L309,'05-أيار'!$L$2:$L$501,0),0),0))</f>
        <v/>
      </c>
      <c r="W309" t="str">
        <f t="shared" si="91"/>
        <v/>
      </c>
      <c r="X309" s="38" t="str">
        <f>IF(L309="","",IF(V309&gt;0,INDEX('05-أيار'!$P$2:$P$501,V309),IF($AO$1=1,0,"")))</f>
        <v/>
      </c>
      <c r="Y309" s="38" t="str">
        <f t="shared" si="92"/>
        <v/>
      </c>
      <c r="Z309" s="39" t="str">
        <f>IF(L309="","",IF(V309&gt;0,INDEX('05-أيار'!$Q$2:$Q$501,V309),IF($AO$1=1,0,"")))</f>
        <v/>
      </c>
      <c r="AA309" s="39" t="str">
        <f t="shared" si="93"/>
        <v/>
      </c>
      <c r="AB309" s="40" t="str">
        <f>IF(OR(L309="",V309=0),"",IF(AND(N(I309)&gt;0,N(INDEX('05-أيار'!$I$2:$I$501,V309))&gt;0,INDEX('05-أيار'!$F$2:$F$501,V309)=F309),N(I309)/N(INDEX('05-أيار'!$I$2:$I$501,V309))-1,""))</f>
        <v/>
      </c>
      <c r="AC309" t="str">
        <f>IF(L309="","",IF(AND($AO$2=1,ISNA(MATCH(L309,'07-تموز'!$L$2:$L$500,0))),"محذوف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IF(L310="","",IF($AO$1=1,IFERROR(MATCH(L310,'05-أيار'!$L$2:$L$501,0),0),0))</f>
        <v/>
      </c>
      <c r="W310" t="str">
        <f t="shared" si="91"/>
        <v/>
      </c>
      <c r="X310" s="38" t="str">
        <f>IF(L310="","",IF(V310&gt;0,INDEX('05-أيار'!$P$2:$P$501,V310),IF($AO$1=1,0,"")))</f>
        <v/>
      </c>
      <c r="Y310" s="38" t="str">
        <f t="shared" si="92"/>
        <v/>
      </c>
      <c r="Z310" s="39" t="str">
        <f>IF(L310="","",IF(V310&gt;0,INDEX('05-أيار'!$Q$2:$Q$501,V310),IF($AO$1=1,0,"")))</f>
        <v/>
      </c>
      <c r="AA310" s="39" t="str">
        <f t="shared" si="93"/>
        <v/>
      </c>
      <c r="AB310" s="40" t="str">
        <f>IF(OR(L310="",V310=0),"",IF(AND(N(I310)&gt;0,N(INDEX('05-أيار'!$I$2:$I$501,V310))&gt;0,INDEX('05-أيار'!$F$2:$F$501,V310)=F310),N(I310)/N(INDEX('05-أيار'!$I$2:$I$501,V310))-1,""))</f>
        <v/>
      </c>
      <c r="AC310" t="str">
        <f>IF(L310="","",IF(AND($AO$2=1,ISNA(MATCH(L310,'07-تموز'!$L$2:$L$500,0))),"محذوف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IF(L311="","",IF($AO$1=1,IFERROR(MATCH(L311,'05-أيار'!$L$2:$L$501,0),0),0))</f>
        <v/>
      </c>
      <c r="W311" t="str">
        <f t="shared" si="91"/>
        <v/>
      </c>
      <c r="X311" s="38" t="str">
        <f>IF(L311="","",IF(V311&gt;0,INDEX('05-أيار'!$P$2:$P$501,V311),IF($AO$1=1,0,"")))</f>
        <v/>
      </c>
      <c r="Y311" s="38" t="str">
        <f t="shared" si="92"/>
        <v/>
      </c>
      <c r="Z311" s="39" t="str">
        <f>IF(L311="","",IF(V311&gt;0,INDEX('05-أيار'!$Q$2:$Q$501,V311),IF($AO$1=1,0,"")))</f>
        <v/>
      </c>
      <c r="AA311" s="39" t="str">
        <f t="shared" si="93"/>
        <v/>
      </c>
      <c r="AB311" s="40" t="str">
        <f>IF(OR(L311="",V311=0),"",IF(AND(N(I311)&gt;0,N(INDEX('05-أيار'!$I$2:$I$501,V311))&gt;0,INDEX('05-أيار'!$F$2:$F$501,V311)=F311),N(I311)/N(INDEX('05-أيار'!$I$2:$I$501,V311))-1,""))</f>
        <v/>
      </c>
      <c r="AC311" t="str">
        <f>IF(L311="","",IF(AND($AO$2=1,ISNA(MATCH(L311,'07-تموز'!$L$2:$L$500,0))),"محذوف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IF(L312="","",IF($AO$1=1,IFERROR(MATCH(L312,'05-أيار'!$L$2:$L$501,0),0),0))</f>
        <v/>
      </c>
      <c r="W312" t="str">
        <f t="shared" si="91"/>
        <v/>
      </c>
      <c r="X312" s="38" t="str">
        <f>IF(L312="","",IF(V312&gt;0,INDEX('05-أيار'!$P$2:$P$501,V312),IF($AO$1=1,0,"")))</f>
        <v/>
      </c>
      <c r="Y312" s="38" t="str">
        <f t="shared" si="92"/>
        <v/>
      </c>
      <c r="Z312" s="39" t="str">
        <f>IF(L312="","",IF(V312&gt;0,INDEX('05-أيار'!$Q$2:$Q$501,V312),IF($AO$1=1,0,"")))</f>
        <v/>
      </c>
      <c r="AA312" s="39" t="str">
        <f t="shared" si="93"/>
        <v/>
      </c>
      <c r="AB312" s="40" t="str">
        <f>IF(OR(L312="",V312=0),"",IF(AND(N(I312)&gt;0,N(INDEX('05-أيار'!$I$2:$I$501,V312))&gt;0,INDEX('05-أيار'!$F$2:$F$501,V312)=F312),N(I312)/N(INDEX('05-أيار'!$I$2:$I$501,V312))-1,""))</f>
        <v/>
      </c>
      <c r="AC312" t="str">
        <f>IF(L312="","",IF(AND($AO$2=1,ISNA(MATCH(L312,'07-تموز'!$L$2:$L$500,0))),"محذوف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IF(L313="","",IF($AO$1=1,IFERROR(MATCH(L313,'05-أيار'!$L$2:$L$501,0),0),0))</f>
        <v/>
      </c>
      <c r="W313" t="str">
        <f t="shared" si="91"/>
        <v/>
      </c>
      <c r="X313" s="38" t="str">
        <f>IF(L313="","",IF(V313&gt;0,INDEX('05-أيار'!$P$2:$P$501,V313),IF($AO$1=1,0,"")))</f>
        <v/>
      </c>
      <c r="Y313" s="38" t="str">
        <f t="shared" si="92"/>
        <v/>
      </c>
      <c r="Z313" s="39" t="str">
        <f>IF(L313="","",IF(V313&gt;0,INDEX('05-أيار'!$Q$2:$Q$501,V313),IF($AO$1=1,0,"")))</f>
        <v/>
      </c>
      <c r="AA313" s="39" t="str">
        <f t="shared" si="93"/>
        <v/>
      </c>
      <c r="AB313" s="40" t="str">
        <f>IF(OR(L313="",V313=0),"",IF(AND(N(I313)&gt;0,N(INDEX('05-أيار'!$I$2:$I$501,V313))&gt;0,INDEX('05-أيار'!$F$2:$F$501,V313)=F313),N(I313)/N(INDEX('05-أيار'!$I$2:$I$501,V313))-1,""))</f>
        <v/>
      </c>
      <c r="AC313" t="str">
        <f>IF(L313="","",IF(AND($AO$2=1,ISNA(MATCH(L313,'07-تموز'!$L$2:$L$500,0))),"محذوف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IF(L314="","",IF($AO$1=1,IFERROR(MATCH(L314,'05-أيار'!$L$2:$L$501,0),0),0))</f>
        <v/>
      </c>
      <c r="W314" t="str">
        <f t="shared" si="91"/>
        <v/>
      </c>
      <c r="X314" s="38" t="str">
        <f>IF(L314="","",IF(V314&gt;0,INDEX('05-أيار'!$P$2:$P$501,V314),IF($AO$1=1,0,"")))</f>
        <v/>
      </c>
      <c r="Y314" s="38" t="str">
        <f t="shared" si="92"/>
        <v/>
      </c>
      <c r="Z314" s="39" t="str">
        <f>IF(L314="","",IF(V314&gt;0,INDEX('05-أيار'!$Q$2:$Q$501,V314),IF($AO$1=1,0,"")))</f>
        <v/>
      </c>
      <c r="AA314" s="39" t="str">
        <f t="shared" si="93"/>
        <v/>
      </c>
      <c r="AB314" s="40" t="str">
        <f>IF(OR(L314="",V314=0),"",IF(AND(N(I314)&gt;0,N(INDEX('05-أيار'!$I$2:$I$501,V314))&gt;0,INDEX('05-أيار'!$F$2:$F$501,V314)=F314),N(I314)/N(INDEX('05-أيار'!$I$2:$I$501,V314))-1,""))</f>
        <v/>
      </c>
      <c r="AC314" t="str">
        <f>IF(L314="","",IF(AND($AO$2=1,ISNA(MATCH(L314,'07-تموز'!$L$2:$L$500,0))),"محذوف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IF(L315="","",IF($AO$1=1,IFERROR(MATCH(L315,'05-أيار'!$L$2:$L$501,0),0),0))</f>
        <v/>
      </c>
      <c r="W315" t="str">
        <f t="shared" si="91"/>
        <v/>
      </c>
      <c r="X315" s="38" t="str">
        <f>IF(L315="","",IF(V315&gt;0,INDEX('05-أيار'!$P$2:$P$501,V315),IF($AO$1=1,0,"")))</f>
        <v/>
      </c>
      <c r="Y315" s="38" t="str">
        <f t="shared" si="92"/>
        <v/>
      </c>
      <c r="Z315" s="39" t="str">
        <f>IF(L315="","",IF(V315&gt;0,INDEX('05-أيار'!$Q$2:$Q$501,V315),IF($AO$1=1,0,"")))</f>
        <v/>
      </c>
      <c r="AA315" s="39" t="str">
        <f t="shared" si="93"/>
        <v/>
      </c>
      <c r="AB315" s="40" t="str">
        <f>IF(OR(L315="",V315=0),"",IF(AND(N(I315)&gt;0,N(INDEX('05-أيار'!$I$2:$I$501,V315))&gt;0,INDEX('05-أيار'!$F$2:$F$501,V315)=F315),N(I315)/N(INDEX('05-أيار'!$I$2:$I$501,V315))-1,""))</f>
        <v/>
      </c>
      <c r="AC315" t="str">
        <f>IF(L315="","",IF(AND($AO$2=1,ISNA(MATCH(L315,'07-تموز'!$L$2:$L$500,0))),"محذوف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IF(L316="","",IF($AO$1=1,IFERROR(MATCH(L316,'05-أيار'!$L$2:$L$501,0),0),0))</f>
        <v/>
      </c>
      <c r="W316" t="str">
        <f t="shared" si="91"/>
        <v/>
      </c>
      <c r="X316" s="38" t="str">
        <f>IF(L316="","",IF(V316&gt;0,INDEX('05-أيار'!$P$2:$P$501,V316),IF($AO$1=1,0,"")))</f>
        <v/>
      </c>
      <c r="Y316" s="38" t="str">
        <f t="shared" si="92"/>
        <v/>
      </c>
      <c r="Z316" s="39" t="str">
        <f>IF(L316="","",IF(V316&gt;0,INDEX('05-أيار'!$Q$2:$Q$501,V316),IF($AO$1=1,0,"")))</f>
        <v/>
      </c>
      <c r="AA316" s="39" t="str">
        <f t="shared" si="93"/>
        <v/>
      </c>
      <c r="AB316" s="40" t="str">
        <f>IF(OR(L316="",V316=0),"",IF(AND(N(I316)&gt;0,N(INDEX('05-أيار'!$I$2:$I$501,V316))&gt;0,INDEX('05-أيار'!$F$2:$F$501,V316)=F316),N(I316)/N(INDEX('05-أيار'!$I$2:$I$501,V316))-1,""))</f>
        <v/>
      </c>
      <c r="AC316" t="str">
        <f>IF(L316="","",IF(AND($AO$2=1,ISNA(MATCH(L316,'07-تموز'!$L$2:$L$500,0))),"محذوف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IF(L317="","",IF($AO$1=1,IFERROR(MATCH(L317,'05-أيار'!$L$2:$L$501,0),0),0))</f>
        <v/>
      </c>
      <c r="W317" t="str">
        <f t="shared" si="91"/>
        <v/>
      </c>
      <c r="X317" s="38" t="str">
        <f>IF(L317="","",IF(V317&gt;0,INDEX('05-أيار'!$P$2:$P$501,V317),IF($AO$1=1,0,"")))</f>
        <v/>
      </c>
      <c r="Y317" s="38" t="str">
        <f t="shared" si="92"/>
        <v/>
      </c>
      <c r="Z317" s="39" t="str">
        <f>IF(L317="","",IF(V317&gt;0,INDEX('05-أيار'!$Q$2:$Q$501,V317),IF($AO$1=1,0,"")))</f>
        <v/>
      </c>
      <c r="AA317" s="39" t="str">
        <f t="shared" si="93"/>
        <v/>
      </c>
      <c r="AB317" s="40" t="str">
        <f>IF(OR(L317="",V317=0),"",IF(AND(N(I317)&gt;0,N(INDEX('05-أيار'!$I$2:$I$501,V317))&gt;0,INDEX('05-أيار'!$F$2:$F$501,V317)=F317),N(I317)/N(INDEX('05-أيار'!$I$2:$I$501,V317))-1,""))</f>
        <v/>
      </c>
      <c r="AC317" t="str">
        <f>IF(L317="","",IF(AND($AO$2=1,ISNA(MATCH(L317,'07-تموز'!$L$2:$L$500,0))),"محذوف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IF(L318="","",IF($AO$1=1,IFERROR(MATCH(L318,'05-أيار'!$L$2:$L$501,0),0),0))</f>
        <v/>
      </c>
      <c r="W318" t="str">
        <f t="shared" si="91"/>
        <v/>
      </c>
      <c r="X318" s="38" t="str">
        <f>IF(L318="","",IF(V318&gt;0,INDEX('05-أيار'!$P$2:$P$501,V318),IF($AO$1=1,0,"")))</f>
        <v/>
      </c>
      <c r="Y318" s="38" t="str">
        <f t="shared" si="92"/>
        <v/>
      </c>
      <c r="Z318" s="39" t="str">
        <f>IF(L318="","",IF(V318&gt;0,INDEX('05-أيار'!$Q$2:$Q$501,V318),IF($AO$1=1,0,"")))</f>
        <v/>
      </c>
      <c r="AA318" s="39" t="str">
        <f t="shared" si="93"/>
        <v/>
      </c>
      <c r="AB318" s="40" t="str">
        <f>IF(OR(L318="",V318=0),"",IF(AND(N(I318)&gt;0,N(INDEX('05-أيار'!$I$2:$I$501,V318))&gt;0,INDEX('05-أيار'!$F$2:$F$501,V318)=F318),N(I318)/N(INDEX('05-أيار'!$I$2:$I$501,V318))-1,""))</f>
        <v/>
      </c>
      <c r="AC318" t="str">
        <f>IF(L318="","",IF(AND($AO$2=1,ISNA(MATCH(L318,'07-تموز'!$L$2:$L$500,0))),"محذوف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IF(L319="","",IF($AO$1=1,IFERROR(MATCH(L319,'05-أيار'!$L$2:$L$501,0),0),0))</f>
        <v/>
      </c>
      <c r="W319" t="str">
        <f t="shared" si="91"/>
        <v/>
      </c>
      <c r="X319" s="38" t="str">
        <f>IF(L319="","",IF(V319&gt;0,INDEX('05-أيار'!$P$2:$P$501,V319),IF($AO$1=1,0,"")))</f>
        <v/>
      </c>
      <c r="Y319" s="38" t="str">
        <f t="shared" si="92"/>
        <v/>
      </c>
      <c r="Z319" s="39" t="str">
        <f>IF(L319="","",IF(V319&gt;0,INDEX('05-أيار'!$Q$2:$Q$501,V319),IF($AO$1=1,0,"")))</f>
        <v/>
      </c>
      <c r="AA319" s="39" t="str">
        <f t="shared" si="93"/>
        <v/>
      </c>
      <c r="AB319" s="40" t="str">
        <f>IF(OR(L319="",V319=0),"",IF(AND(N(I319)&gt;0,N(INDEX('05-أيار'!$I$2:$I$501,V319))&gt;0,INDEX('05-أيار'!$F$2:$F$501,V319)=F319),N(I319)/N(INDEX('05-أيار'!$I$2:$I$501,V319))-1,""))</f>
        <v/>
      </c>
      <c r="AC319" t="str">
        <f>IF(L319="","",IF(AND($AO$2=1,ISNA(MATCH(L319,'07-تموز'!$L$2:$L$500,0))),"محذوف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ref="K320:K383" si="100">IF(L320="","",IF(U320&lt;&gt;"","⚠",""))</f>
        <v/>
      </c>
      <c r="L320" t="str">
        <f t="shared" ref="L320:L383" si="101">IF(A320="","",TRIM(A320))</f>
        <v/>
      </c>
      <c r="M320" s="36" t="str">
        <f t="shared" ref="M320:M383" si="102">IF(L320="","",IF(ISNUMBER(SEARCH("دولار",F320)),1,IF(ISNUMBER(SEARCH("ليرة",F320)),IF($AO$3&gt;0,1/$AO$3,0),0)))</f>
        <v/>
      </c>
      <c r="N320" s="37" t="str">
        <f t="shared" ref="N320:N383" si="103">IF(L320="","",N(I320)*M320)</f>
        <v/>
      </c>
      <c r="O320" s="37" t="str">
        <f t="shared" ref="O320:O383" si="104">IF(L320="","",M320*CHOOSE($AO$4,N(C320),N(D320),N(E320)))</f>
        <v/>
      </c>
      <c r="P320" s="38" t="str">
        <f t="shared" ref="P320:P383" si="105">IF(L320="","",MAX(N(B320),0))</f>
        <v/>
      </c>
      <c r="Q320" s="39" t="str">
        <f t="shared" ref="Q320:Q383" si="106">IF(L320="","",P320*N320)</f>
        <v/>
      </c>
      <c r="R320" s="39" t="str">
        <f t="shared" ref="R320:R383" si="107">IF(L320="","",P320*O320)</f>
        <v/>
      </c>
      <c r="S320" t="str">
        <f t="shared" ref="S320:S383" si="108">IF(L320="","",IF(AND(P320&gt;0,N320&gt;0,O320&gt;0),1,0))</f>
        <v/>
      </c>
      <c r="T320" s="39" t="str">
        <f t="shared" ref="T320:T383" si="109">IF(L320="","",S320*(R320-Q320))</f>
        <v/>
      </c>
      <c r="U320" t="str">
        <f t="shared" ref="U320:U383" si="110">IF(L320="","",MID(IF(OR(NOT(ISNUMBER(B320)),NOT(ISNUMBER(C320)),NOT(ISNUMBER(D320)),NOT(ISNUMBER(E320)),NOT(ISNUMBER(I320)),AND(NOT(ISNUMBER(SEARCH("دولار",F320))),NOT(ISNUMBER(SEARCH("ليرة",F320)))))," | بيانات غير صالحة","")&amp;IF(N(B320)&lt;0," | كمية سالبة","")&amp;IF(AND(N(B320)&gt;0,N(I320)=0)," | شراء صفر","")&amp;IF(AND(N(B320)&gt;0,TRIM(H320)=$AO$5,OR(N(C320)=0,N(D320)=0,N(E320)=0))," | بيع صفر","")&amp;IF(AND(N320&gt;0,O320&gt;0,O320&lt;N320)," | بيع أقل من الشراء","")&amp;IF(OR(AND(ISNUMBER(SEARCH("ليرة",F320)),OR(AND(N(I320)&gt;0,N(I320)&lt;$AO$6),AND(N(C320)&gt;0,N(C320)&lt;$AO$6),AND(N(D320)&gt;0,N(D320)&lt;$AO$6),AND(N(E320)&gt;0,N(E320)&lt;$AO$6))),AND(ISNUMBER(SEARCH("دولار",F320)),MAX(N(I320),N(C320),N(D320),N(E320))&gt;$AO$7))," | عملة/سعر مشكوك","")&amp;IF(AND(COUNTIF(C320:E320,"&gt;0")&gt;=2,MAX(N(C320),N(D320),N(E320))&gt;$AO$8*MIN(IF(N(C320)&gt;0,N(C320),1E+99),IF(N(D320)&gt;0,N(D320),1E+99),IF(N(E320)&gt;0,N(E320),1E+99)))," | تباين أسعار البيع","")&amp;IF(OR(TRIM(H320)="All",TRIM(H320)="")," | بلا تصنيف",""),4,300))</f>
        <v/>
      </c>
      <c r="V320" t="str">
        <f>IF(L320="","",IF($AO$1=1,IFERROR(MATCH(L320,'05-أيار'!$L$2:$L$501,0),0),0))</f>
        <v/>
      </c>
      <c r="W320" t="str">
        <f t="shared" ref="W320:W383" si="111">IF(L320="","",IF(AND($AO$1=1,V320=0),"جديد",""))</f>
        <v/>
      </c>
      <c r="X320" s="38" t="str">
        <f>IF(L320="","",IF(V320&gt;0,INDEX('05-أيار'!$P$2:$P$501,V320),IF($AO$1=1,0,"")))</f>
        <v/>
      </c>
      <c r="Y320" s="38" t="str">
        <f t="shared" ref="Y320:Y383" si="112">IF(OR(L320="",X320=""),"",P320-X320)</f>
        <v/>
      </c>
      <c r="Z320" s="39" t="str">
        <f>IF(L320="","",IF(V320&gt;0,INDEX('05-أيار'!$Q$2:$Q$501,V320),IF($AO$1=1,0,"")))</f>
        <v/>
      </c>
      <c r="AA320" s="39" t="str">
        <f t="shared" ref="AA320:AA383" si="113">IF(OR(L320="",Z320=""),"",Q320-Z320)</f>
        <v/>
      </c>
      <c r="AB320" s="40" t="str">
        <f>IF(OR(L320="",V320=0),"",IF(AND(N(I320)&gt;0,N(INDEX('05-أيار'!$I$2:$I$501,V320))&gt;0,INDEX('05-أيار'!$F$2:$F$501,V320)=F320),N(I320)/N(INDEX('05-أيار'!$I$2:$I$501,V320))-1,""))</f>
        <v/>
      </c>
      <c r="AC320" t="str">
        <f>IF(L320="","",IF(AND($AO$2=1,ISNA(MATCH(L320,'07-تموز'!$L$2:$L$500,0))),"محذوف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ref="AG320:AG383" si="114">IF(AA320="","",ABS(AA320)+ROW()/1000000000)</f>
        <v/>
      </c>
      <c r="AH320" s="39" t="str">
        <f t="shared" ref="AH320:AH383" si="115">IF(L320="","",IF(AND(P320&gt;0,N320&gt;0,N(C320)&gt;0),P320*(M320*N(C320)-N320),0))</f>
        <v/>
      </c>
      <c r="AI320" s="39" t="str">
        <f t="shared" ref="AI320:AI383" si="116">IF(L320="","",IF(AND(P320&gt;0,N320&gt;0,N(D320)&gt;0),P320*(M320*N(D320)-N320),0))</f>
        <v/>
      </c>
      <c r="AJ320" s="39" t="str">
        <f t="shared" ref="AJ320:AJ383" si="117">IF(L320="","",IF(AND(P320&gt;0,N320&gt;0,N(E320)&gt;0),P320*(M320*N(E320)-N320),0))</f>
        <v/>
      </c>
      <c r="AK320" t="str">
        <f t="shared" ref="AK320:AK383" si="118">IF(L320="","",Q320+ROW()/1000000000)</f>
        <v/>
      </c>
      <c r="AL320" t="str">
        <f t="shared" ref="AL320:AL383" si="119">IF(L320="","",T320+ROW()/1000000000)</f>
        <v/>
      </c>
    </row>
    <row r="321" spans="11:38" ht="15">
      <c r="K321" t="str">
        <f t="shared" si="100"/>
        <v/>
      </c>
      <c r="L321" t="str">
        <f t="shared" si="101"/>
        <v/>
      </c>
      <c r="M321" s="36" t="str">
        <f t="shared" si="102"/>
        <v/>
      </c>
      <c r="N321" s="37" t="str">
        <f t="shared" si="103"/>
        <v/>
      </c>
      <c r="O321" s="37" t="str">
        <f t="shared" si="104"/>
        <v/>
      </c>
      <c r="P321" s="38" t="str">
        <f t="shared" si="105"/>
        <v/>
      </c>
      <c r="Q321" s="39" t="str">
        <f t="shared" si="106"/>
        <v/>
      </c>
      <c r="R321" s="39" t="str">
        <f t="shared" si="107"/>
        <v/>
      </c>
      <c r="S321" t="str">
        <f t="shared" si="108"/>
        <v/>
      </c>
      <c r="T321" s="39" t="str">
        <f t="shared" si="109"/>
        <v/>
      </c>
      <c r="U321" t="str">
        <f t="shared" si="110"/>
        <v/>
      </c>
      <c r="V321" t="str">
        <f>IF(L321="","",IF($AO$1=1,IFERROR(MATCH(L321,'05-أيار'!$L$2:$L$501,0),0),0))</f>
        <v/>
      </c>
      <c r="W321" t="str">
        <f t="shared" si="111"/>
        <v/>
      </c>
      <c r="X321" s="38" t="str">
        <f>IF(L321="","",IF(V321&gt;0,INDEX('05-أيار'!$P$2:$P$501,V321),IF($AO$1=1,0,"")))</f>
        <v/>
      </c>
      <c r="Y321" s="38" t="str">
        <f t="shared" si="112"/>
        <v/>
      </c>
      <c r="Z321" s="39" t="str">
        <f>IF(L321="","",IF(V321&gt;0,INDEX('05-أيار'!$Q$2:$Q$501,V321),IF($AO$1=1,0,"")))</f>
        <v/>
      </c>
      <c r="AA321" s="39" t="str">
        <f t="shared" si="113"/>
        <v/>
      </c>
      <c r="AB321" s="40" t="str">
        <f>IF(OR(L321="",V321=0),"",IF(AND(N(I321)&gt;0,N(INDEX('05-أيار'!$I$2:$I$501,V321))&gt;0,INDEX('05-أيار'!$F$2:$F$501,V321)=F321),N(I321)/N(INDEX('05-أيار'!$I$2:$I$501,V321))-1,""))</f>
        <v/>
      </c>
      <c r="AC321" t="str">
        <f>IF(L321="","",IF(AND($AO$2=1,ISNA(MATCH(L321,'07-تموز'!$L$2:$L$500,0))),"محذوف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114"/>
        <v/>
      </c>
      <c r="AH321" s="39" t="str">
        <f t="shared" si="115"/>
        <v/>
      </c>
      <c r="AI321" s="39" t="str">
        <f t="shared" si="116"/>
        <v/>
      </c>
      <c r="AJ321" s="39" t="str">
        <f t="shared" si="117"/>
        <v/>
      </c>
      <c r="AK321" t="str">
        <f t="shared" si="118"/>
        <v/>
      </c>
      <c r="AL321" t="str">
        <f t="shared" si="119"/>
        <v/>
      </c>
    </row>
    <row r="322" spans="11:38" ht="15">
      <c r="K322" t="str">
        <f t="shared" si="100"/>
        <v/>
      </c>
      <c r="L322" t="str">
        <f t="shared" si="101"/>
        <v/>
      </c>
      <c r="M322" s="36" t="str">
        <f t="shared" si="102"/>
        <v/>
      </c>
      <c r="N322" s="37" t="str">
        <f t="shared" si="103"/>
        <v/>
      </c>
      <c r="O322" s="37" t="str">
        <f t="shared" si="104"/>
        <v/>
      </c>
      <c r="P322" s="38" t="str">
        <f t="shared" si="105"/>
        <v/>
      </c>
      <c r="Q322" s="39" t="str">
        <f t="shared" si="106"/>
        <v/>
      </c>
      <c r="R322" s="39" t="str">
        <f t="shared" si="107"/>
        <v/>
      </c>
      <c r="S322" t="str">
        <f t="shared" si="108"/>
        <v/>
      </c>
      <c r="T322" s="39" t="str">
        <f t="shared" si="109"/>
        <v/>
      </c>
      <c r="U322" t="str">
        <f t="shared" si="110"/>
        <v/>
      </c>
      <c r="V322" t="str">
        <f>IF(L322="","",IF($AO$1=1,IFERROR(MATCH(L322,'05-أيار'!$L$2:$L$501,0),0),0))</f>
        <v/>
      </c>
      <c r="W322" t="str">
        <f t="shared" si="111"/>
        <v/>
      </c>
      <c r="X322" s="38" t="str">
        <f>IF(L322="","",IF(V322&gt;0,INDEX('05-أيار'!$P$2:$P$501,V322),IF($AO$1=1,0,"")))</f>
        <v/>
      </c>
      <c r="Y322" s="38" t="str">
        <f t="shared" si="112"/>
        <v/>
      </c>
      <c r="Z322" s="39" t="str">
        <f>IF(L322="","",IF(V322&gt;0,INDEX('05-أيار'!$Q$2:$Q$501,V322),IF($AO$1=1,0,"")))</f>
        <v/>
      </c>
      <c r="AA322" s="39" t="str">
        <f t="shared" si="113"/>
        <v/>
      </c>
      <c r="AB322" s="40" t="str">
        <f>IF(OR(L322="",V322=0),"",IF(AND(N(I322)&gt;0,N(INDEX('05-أيار'!$I$2:$I$501,V322))&gt;0,INDEX('05-أيار'!$F$2:$F$501,V322)=F322),N(I322)/N(INDEX('05-أيار'!$I$2:$I$501,V322))-1,""))</f>
        <v/>
      </c>
      <c r="AC322" t="str">
        <f>IF(L322="","",IF(AND($AO$2=1,ISNA(MATCH(L322,'07-تموز'!$L$2:$L$500,0))),"محذوف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si="114"/>
        <v/>
      </c>
      <c r="AH322" s="39" t="str">
        <f t="shared" si="115"/>
        <v/>
      </c>
      <c r="AI322" s="39" t="str">
        <f t="shared" si="116"/>
        <v/>
      </c>
      <c r="AJ322" s="39" t="str">
        <f t="shared" si="117"/>
        <v/>
      </c>
      <c r="AK322" t="str">
        <f t="shared" si="118"/>
        <v/>
      </c>
      <c r="AL322" t="str">
        <f t="shared" si="119"/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IF(L323="","",IF($AO$1=1,IFERROR(MATCH(L323,'05-أيار'!$L$2:$L$501,0),0),0))</f>
        <v/>
      </c>
      <c r="W323" t="str">
        <f t="shared" si="111"/>
        <v/>
      </c>
      <c r="X323" s="38" t="str">
        <f>IF(L323="","",IF(V323&gt;0,INDEX('05-أيار'!$P$2:$P$501,V323),IF($AO$1=1,0,"")))</f>
        <v/>
      </c>
      <c r="Y323" s="38" t="str">
        <f t="shared" si="112"/>
        <v/>
      </c>
      <c r="Z323" s="39" t="str">
        <f>IF(L323="","",IF(V323&gt;0,INDEX('05-أيار'!$Q$2:$Q$501,V323),IF($AO$1=1,0,"")))</f>
        <v/>
      </c>
      <c r="AA323" s="39" t="str">
        <f t="shared" si="113"/>
        <v/>
      </c>
      <c r="AB323" s="40" t="str">
        <f>IF(OR(L323="",V323=0),"",IF(AND(N(I323)&gt;0,N(INDEX('05-أيار'!$I$2:$I$501,V323))&gt;0,INDEX('05-أيار'!$F$2:$F$501,V323)=F323),N(I323)/N(INDEX('05-أيار'!$I$2:$I$501,V323))-1,""))</f>
        <v/>
      </c>
      <c r="AC323" t="str">
        <f>IF(L323="","",IF(AND($AO$2=1,ISNA(MATCH(L323,'07-تموز'!$L$2:$L$500,0))),"محذوف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IF(L324="","",IF($AO$1=1,IFERROR(MATCH(L324,'05-أيار'!$L$2:$L$501,0),0),0))</f>
        <v/>
      </c>
      <c r="W324" t="str">
        <f t="shared" si="111"/>
        <v/>
      </c>
      <c r="X324" s="38" t="str">
        <f>IF(L324="","",IF(V324&gt;0,INDEX('05-أيار'!$P$2:$P$501,V324),IF($AO$1=1,0,"")))</f>
        <v/>
      </c>
      <c r="Y324" s="38" t="str">
        <f t="shared" si="112"/>
        <v/>
      </c>
      <c r="Z324" s="39" t="str">
        <f>IF(L324="","",IF(V324&gt;0,INDEX('05-أيار'!$Q$2:$Q$501,V324),IF($AO$1=1,0,"")))</f>
        <v/>
      </c>
      <c r="AA324" s="39" t="str">
        <f t="shared" si="113"/>
        <v/>
      </c>
      <c r="AB324" s="40" t="str">
        <f>IF(OR(L324="",V324=0),"",IF(AND(N(I324)&gt;0,N(INDEX('05-أيار'!$I$2:$I$501,V324))&gt;0,INDEX('05-أيار'!$F$2:$F$501,V324)=F324),N(I324)/N(INDEX('05-أيار'!$I$2:$I$501,V324))-1,""))</f>
        <v/>
      </c>
      <c r="AC324" t="str">
        <f>IF(L324="","",IF(AND($AO$2=1,ISNA(MATCH(L324,'07-تموز'!$L$2:$L$500,0))),"محذوف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IF(L325="","",IF($AO$1=1,IFERROR(MATCH(L325,'05-أيار'!$L$2:$L$501,0),0),0))</f>
        <v/>
      </c>
      <c r="W325" t="str">
        <f t="shared" si="111"/>
        <v/>
      </c>
      <c r="X325" s="38" t="str">
        <f>IF(L325="","",IF(V325&gt;0,INDEX('05-أيار'!$P$2:$P$501,V325),IF($AO$1=1,0,"")))</f>
        <v/>
      </c>
      <c r="Y325" s="38" t="str">
        <f t="shared" si="112"/>
        <v/>
      </c>
      <c r="Z325" s="39" t="str">
        <f>IF(L325="","",IF(V325&gt;0,INDEX('05-أيار'!$Q$2:$Q$501,V325),IF($AO$1=1,0,"")))</f>
        <v/>
      </c>
      <c r="AA325" s="39" t="str">
        <f t="shared" si="113"/>
        <v/>
      </c>
      <c r="AB325" s="40" t="str">
        <f>IF(OR(L325="",V325=0),"",IF(AND(N(I325)&gt;0,N(INDEX('05-أيار'!$I$2:$I$501,V325))&gt;0,INDEX('05-أيار'!$F$2:$F$501,V325)=F325),N(I325)/N(INDEX('05-أيار'!$I$2:$I$501,V325))-1,""))</f>
        <v/>
      </c>
      <c r="AC325" t="str">
        <f>IF(L325="","",IF(AND($AO$2=1,ISNA(MATCH(L325,'07-تموز'!$L$2:$L$500,0))),"محذوف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IF(L326="","",IF($AO$1=1,IFERROR(MATCH(L326,'05-أيار'!$L$2:$L$501,0),0),0))</f>
        <v/>
      </c>
      <c r="W326" t="str">
        <f t="shared" si="111"/>
        <v/>
      </c>
      <c r="X326" s="38" t="str">
        <f>IF(L326="","",IF(V326&gt;0,INDEX('05-أيار'!$P$2:$P$501,V326),IF($AO$1=1,0,"")))</f>
        <v/>
      </c>
      <c r="Y326" s="38" t="str">
        <f t="shared" si="112"/>
        <v/>
      </c>
      <c r="Z326" s="39" t="str">
        <f>IF(L326="","",IF(V326&gt;0,INDEX('05-أيار'!$Q$2:$Q$501,V326),IF($AO$1=1,0,"")))</f>
        <v/>
      </c>
      <c r="AA326" s="39" t="str">
        <f t="shared" si="113"/>
        <v/>
      </c>
      <c r="AB326" s="40" t="str">
        <f>IF(OR(L326="",V326=0),"",IF(AND(N(I326)&gt;0,N(INDEX('05-أيار'!$I$2:$I$501,V326))&gt;0,INDEX('05-أيار'!$F$2:$F$501,V326)=F326),N(I326)/N(INDEX('05-أيار'!$I$2:$I$501,V326))-1,""))</f>
        <v/>
      </c>
      <c r="AC326" t="str">
        <f>IF(L326="","",IF(AND($AO$2=1,ISNA(MATCH(L326,'07-تموز'!$L$2:$L$500,0))),"محذوف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IF(L327="","",IF($AO$1=1,IFERROR(MATCH(L327,'05-أيار'!$L$2:$L$501,0),0),0))</f>
        <v/>
      </c>
      <c r="W327" t="str">
        <f t="shared" si="111"/>
        <v/>
      </c>
      <c r="X327" s="38" t="str">
        <f>IF(L327="","",IF(V327&gt;0,INDEX('05-أيار'!$P$2:$P$501,V327),IF($AO$1=1,0,"")))</f>
        <v/>
      </c>
      <c r="Y327" s="38" t="str">
        <f t="shared" si="112"/>
        <v/>
      </c>
      <c r="Z327" s="39" t="str">
        <f>IF(L327="","",IF(V327&gt;0,INDEX('05-أيار'!$Q$2:$Q$501,V327),IF($AO$1=1,0,"")))</f>
        <v/>
      </c>
      <c r="AA327" s="39" t="str">
        <f t="shared" si="113"/>
        <v/>
      </c>
      <c r="AB327" s="40" t="str">
        <f>IF(OR(L327="",V327=0),"",IF(AND(N(I327)&gt;0,N(INDEX('05-أيار'!$I$2:$I$501,V327))&gt;0,INDEX('05-أيار'!$F$2:$F$501,V327)=F327),N(I327)/N(INDEX('05-أيار'!$I$2:$I$501,V327))-1,""))</f>
        <v/>
      </c>
      <c r="AC327" t="str">
        <f>IF(L327="","",IF(AND($AO$2=1,ISNA(MATCH(L327,'07-تموز'!$L$2:$L$500,0))),"محذوف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IF(L328="","",IF($AO$1=1,IFERROR(MATCH(L328,'05-أيار'!$L$2:$L$501,0),0),0))</f>
        <v/>
      </c>
      <c r="W328" t="str">
        <f t="shared" si="111"/>
        <v/>
      </c>
      <c r="X328" s="38" t="str">
        <f>IF(L328="","",IF(V328&gt;0,INDEX('05-أيار'!$P$2:$P$501,V328),IF($AO$1=1,0,"")))</f>
        <v/>
      </c>
      <c r="Y328" s="38" t="str">
        <f t="shared" si="112"/>
        <v/>
      </c>
      <c r="Z328" s="39" t="str">
        <f>IF(L328="","",IF(V328&gt;0,INDEX('05-أيار'!$Q$2:$Q$501,V328),IF($AO$1=1,0,"")))</f>
        <v/>
      </c>
      <c r="AA328" s="39" t="str">
        <f t="shared" si="113"/>
        <v/>
      </c>
      <c r="AB328" s="40" t="str">
        <f>IF(OR(L328="",V328=0),"",IF(AND(N(I328)&gt;0,N(INDEX('05-أيار'!$I$2:$I$501,V328))&gt;0,INDEX('05-أيار'!$F$2:$F$501,V328)=F328),N(I328)/N(INDEX('05-أيار'!$I$2:$I$501,V328))-1,""))</f>
        <v/>
      </c>
      <c r="AC328" t="str">
        <f>IF(L328="","",IF(AND($AO$2=1,ISNA(MATCH(L328,'07-تموز'!$L$2:$L$500,0))),"محذوف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IF(L329="","",IF($AO$1=1,IFERROR(MATCH(L329,'05-أيار'!$L$2:$L$501,0),0),0))</f>
        <v/>
      </c>
      <c r="W329" t="str">
        <f t="shared" si="111"/>
        <v/>
      </c>
      <c r="X329" s="38" t="str">
        <f>IF(L329="","",IF(V329&gt;0,INDEX('05-أيار'!$P$2:$P$501,V329),IF($AO$1=1,0,"")))</f>
        <v/>
      </c>
      <c r="Y329" s="38" t="str">
        <f t="shared" si="112"/>
        <v/>
      </c>
      <c r="Z329" s="39" t="str">
        <f>IF(L329="","",IF(V329&gt;0,INDEX('05-أيار'!$Q$2:$Q$501,V329),IF($AO$1=1,0,"")))</f>
        <v/>
      </c>
      <c r="AA329" s="39" t="str">
        <f t="shared" si="113"/>
        <v/>
      </c>
      <c r="AB329" s="40" t="str">
        <f>IF(OR(L329="",V329=0),"",IF(AND(N(I329)&gt;0,N(INDEX('05-أيار'!$I$2:$I$501,V329))&gt;0,INDEX('05-أيار'!$F$2:$F$501,V329)=F329),N(I329)/N(INDEX('05-أيار'!$I$2:$I$501,V329))-1,""))</f>
        <v/>
      </c>
      <c r="AC329" t="str">
        <f>IF(L329="","",IF(AND($AO$2=1,ISNA(MATCH(L329,'07-تموز'!$L$2:$L$500,0))),"محذوف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IF(L330="","",IF($AO$1=1,IFERROR(MATCH(L330,'05-أيار'!$L$2:$L$501,0),0),0))</f>
        <v/>
      </c>
      <c r="W330" t="str">
        <f t="shared" si="111"/>
        <v/>
      </c>
      <c r="X330" s="38" t="str">
        <f>IF(L330="","",IF(V330&gt;0,INDEX('05-أيار'!$P$2:$P$501,V330),IF($AO$1=1,0,"")))</f>
        <v/>
      </c>
      <c r="Y330" s="38" t="str">
        <f t="shared" si="112"/>
        <v/>
      </c>
      <c r="Z330" s="39" t="str">
        <f>IF(L330="","",IF(V330&gt;0,INDEX('05-أيار'!$Q$2:$Q$501,V330),IF($AO$1=1,0,"")))</f>
        <v/>
      </c>
      <c r="AA330" s="39" t="str">
        <f t="shared" si="113"/>
        <v/>
      </c>
      <c r="AB330" s="40" t="str">
        <f>IF(OR(L330="",V330=0),"",IF(AND(N(I330)&gt;0,N(INDEX('05-أيار'!$I$2:$I$501,V330))&gt;0,INDEX('05-أيار'!$F$2:$F$501,V330)=F330),N(I330)/N(INDEX('05-أيار'!$I$2:$I$501,V330))-1,""))</f>
        <v/>
      </c>
      <c r="AC330" t="str">
        <f>IF(L330="","",IF(AND($AO$2=1,ISNA(MATCH(L330,'07-تموز'!$L$2:$L$500,0))),"محذوف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IF(L331="","",IF($AO$1=1,IFERROR(MATCH(L331,'05-أيار'!$L$2:$L$501,0),0),0))</f>
        <v/>
      </c>
      <c r="W331" t="str">
        <f t="shared" si="111"/>
        <v/>
      </c>
      <c r="X331" s="38" t="str">
        <f>IF(L331="","",IF(V331&gt;0,INDEX('05-أيار'!$P$2:$P$501,V331),IF($AO$1=1,0,"")))</f>
        <v/>
      </c>
      <c r="Y331" s="38" t="str">
        <f t="shared" si="112"/>
        <v/>
      </c>
      <c r="Z331" s="39" t="str">
        <f>IF(L331="","",IF(V331&gt;0,INDEX('05-أيار'!$Q$2:$Q$501,V331),IF($AO$1=1,0,"")))</f>
        <v/>
      </c>
      <c r="AA331" s="39" t="str">
        <f t="shared" si="113"/>
        <v/>
      </c>
      <c r="AB331" s="40" t="str">
        <f>IF(OR(L331="",V331=0),"",IF(AND(N(I331)&gt;0,N(INDEX('05-أيار'!$I$2:$I$501,V331))&gt;0,INDEX('05-أيار'!$F$2:$F$501,V331)=F331),N(I331)/N(INDEX('05-أيار'!$I$2:$I$501,V331))-1,""))</f>
        <v/>
      </c>
      <c r="AC331" t="str">
        <f>IF(L331="","",IF(AND($AO$2=1,ISNA(MATCH(L331,'07-تموز'!$L$2:$L$500,0))),"محذوف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IF(L332="","",IF($AO$1=1,IFERROR(MATCH(L332,'05-أيار'!$L$2:$L$501,0),0),0))</f>
        <v/>
      </c>
      <c r="W332" t="str">
        <f t="shared" si="111"/>
        <v/>
      </c>
      <c r="X332" s="38" t="str">
        <f>IF(L332="","",IF(V332&gt;0,INDEX('05-أيار'!$P$2:$P$501,V332),IF($AO$1=1,0,"")))</f>
        <v/>
      </c>
      <c r="Y332" s="38" t="str">
        <f t="shared" si="112"/>
        <v/>
      </c>
      <c r="Z332" s="39" t="str">
        <f>IF(L332="","",IF(V332&gt;0,INDEX('05-أيار'!$Q$2:$Q$501,V332),IF($AO$1=1,0,"")))</f>
        <v/>
      </c>
      <c r="AA332" s="39" t="str">
        <f t="shared" si="113"/>
        <v/>
      </c>
      <c r="AB332" s="40" t="str">
        <f>IF(OR(L332="",V332=0),"",IF(AND(N(I332)&gt;0,N(INDEX('05-أيار'!$I$2:$I$501,V332))&gt;0,INDEX('05-أيار'!$F$2:$F$501,V332)=F332),N(I332)/N(INDEX('05-أيار'!$I$2:$I$501,V332))-1,""))</f>
        <v/>
      </c>
      <c r="AC332" t="str">
        <f>IF(L332="","",IF(AND($AO$2=1,ISNA(MATCH(L332,'07-تموز'!$L$2:$L$500,0))),"محذوف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IF(L333="","",IF($AO$1=1,IFERROR(MATCH(L333,'05-أيار'!$L$2:$L$501,0),0),0))</f>
        <v/>
      </c>
      <c r="W333" t="str">
        <f t="shared" si="111"/>
        <v/>
      </c>
      <c r="X333" s="38" t="str">
        <f>IF(L333="","",IF(V333&gt;0,INDEX('05-أيار'!$P$2:$P$501,V333),IF($AO$1=1,0,"")))</f>
        <v/>
      </c>
      <c r="Y333" s="38" t="str">
        <f t="shared" si="112"/>
        <v/>
      </c>
      <c r="Z333" s="39" t="str">
        <f>IF(L333="","",IF(V333&gt;0,INDEX('05-أيار'!$Q$2:$Q$501,V333),IF($AO$1=1,0,"")))</f>
        <v/>
      </c>
      <c r="AA333" s="39" t="str">
        <f t="shared" si="113"/>
        <v/>
      </c>
      <c r="AB333" s="40" t="str">
        <f>IF(OR(L333="",V333=0),"",IF(AND(N(I333)&gt;0,N(INDEX('05-أيار'!$I$2:$I$501,V333))&gt;0,INDEX('05-أيار'!$F$2:$F$501,V333)=F333),N(I333)/N(INDEX('05-أيار'!$I$2:$I$501,V333))-1,""))</f>
        <v/>
      </c>
      <c r="AC333" t="str">
        <f>IF(L333="","",IF(AND($AO$2=1,ISNA(MATCH(L333,'07-تموز'!$L$2:$L$500,0))),"محذوف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IF(L334="","",IF($AO$1=1,IFERROR(MATCH(L334,'05-أيار'!$L$2:$L$501,0),0),0))</f>
        <v/>
      </c>
      <c r="W334" t="str">
        <f t="shared" si="111"/>
        <v/>
      </c>
      <c r="X334" s="38" t="str">
        <f>IF(L334="","",IF(V334&gt;0,INDEX('05-أيار'!$P$2:$P$501,V334),IF($AO$1=1,0,"")))</f>
        <v/>
      </c>
      <c r="Y334" s="38" t="str">
        <f t="shared" si="112"/>
        <v/>
      </c>
      <c r="Z334" s="39" t="str">
        <f>IF(L334="","",IF(V334&gt;0,INDEX('05-أيار'!$Q$2:$Q$501,V334),IF($AO$1=1,0,"")))</f>
        <v/>
      </c>
      <c r="AA334" s="39" t="str">
        <f t="shared" si="113"/>
        <v/>
      </c>
      <c r="AB334" s="40" t="str">
        <f>IF(OR(L334="",V334=0),"",IF(AND(N(I334)&gt;0,N(INDEX('05-أيار'!$I$2:$I$501,V334))&gt;0,INDEX('05-أيار'!$F$2:$F$501,V334)=F334),N(I334)/N(INDEX('05-أيار'!$I$2:$I$501,V334))-1,""))</f>
        <v/>
      </c>
      <c r="AC334" t="str">
        <f>IF(L334="","",IF(AND($AO$2=1,ISNA(MATCH(L334,'07-تموز'!$L$2:$L$500,0))),"محذوف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IF(L335="","",IF($AO$1=1,IFERROR(MATCH(L335,'05-أيار'!$L$2:$L$501,0),0),0))</f>
        <v/>
      </c>
      <c r="W335" t="str">
        <f t="shared" si="111"/>
        <v/>
      </c>
      <c r="X335" s="38" t="str">
        <f>IF(L335="","",IF(V335&gt;0,INDEX('05-أيار'!$P$2:$P$501,V335),IF($AO$1=1,0,"")))</f>
        <v/>
      </c>
      <c r="Y335" s="38" t="str">
        <f t="shared" si="112"/>
        <v/>
      </c>
      <c r="Z335" s="39" t="str">
        <f>IF(L335="","",IF(V335&gt;0,INDEX('05-أيار'!$Q$2:$Q$501,V335),IF($AO$1=1,0,"")))</f>
        <v/>
      </c>
      <c r="AA335" s="39" t="str">
        <f t="shared" si="113"/>
        <v/>
      </c>
      <c r="AB335" s="40" t="str">
        <f>IF(OR(L335="",V335=0),"",IF(AND(N(I335)&gt;0,N(INDEX('05-أيار'!$I$2:$I$501,V335))&gt;0,INDEX('05-أيار'!$F$2:$F$501,V335)=F335),N(I335)/N(INDEX('05-أيار'!$I$2:$I$501,V335))-1,""))</f>
        <v/>
      </c>
      <c r="AC335" t="str">
        <f>IF(L335="","",IF(AND($AO$2=1,ISNA(MATCH(L335,'07-تموز'!$L$2:$L$500,0))),"محذوف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IF(L336="","",IF($AO$1=1,IFERROR(MATCH(L336,'05-أيار'!$L$2:$L$501,0),0),0))</f>
        <v/>
      </c>
      <c r="W336" t="str">
        <f t="shared" si="111"/>
        <v/>
      </c>
      <c r="X336" s="38" t="str">
        <f>IF(L336="","",IF(V336&gt;0,INDEX('05-أيار'!$P$2:$P$501,V336),IF($AO$1=1,0,"")))</f>
        <v/>
      </c>
      <c r="Y336" s="38" t="str">
        <f t="shared" si="112"/>
        <v/>
      </c>
      <c r="Z336" s="39" t="str">
        <f>IF(L336="","",IF(V336&gt;0,INDEX('05-أيار'!$Q$2:$Q$501,V336),IF($AO$1=1,0,"")))</f>
        <v/>
      </c>
      <c r="AA336" s="39" t="str">
        <f t="shared" si="113"/>
        <v/>
      </c>
      <c r="AB336" s="40" t="str">
        <f>IF(OR(L336="",V336=0),"",IF(AND(N(I336)&gt;0,N(INDEX('05-أيار'!$I$2:$I$501,V336))&gt;0,INDEX('05-أيار'!$F$2:$F$501,V336)=F336),N(I336)/N(INDEX('05-أيار'!$I$2:$I$501,V336))-1,""))</f>
        <v/>
      </c>
      <c r="AC336" t="str">
        <f>IF(L336="","",IF(AND($AO$2=1,ISNA(MATCH(L336,'07-تموز'!$L$2:$L$500,0))),"محذوف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IF(L337="","",IF($AO$1=1,IFERROR(MATCH(L337,'05-أيار'!$L$2:$L$501,0),0),0))</f>
        <v/>
      </c>
      <c r="W337" t="str">
        <f t="shared" si="111"/>
        <v/>
      </c>
      <c r="X337" s="38" t="str">
        <f>IF(L337="","",IF(V337&gt;0,INDEX('05-أيار'!$P$2:$P$501,V337),IF($AO$1=1,0,"")))</f>
        <v/>
      </c>
      <c r="Y337" s="38" t="str">
        <f t="shared" si="112"/>
        <v/>
      </c>
      <c r="Z337" s="39" t="str">
        <f>IF(L337="","",IF(V337&gt;0,INDEX('05-أيار'!$Q$2:$Q$501,V337),IF($AO$1=1,0,"")))</f>
        <v/>
      </c>
      <c r="AA337" s="39" t="str">
        <f t="shared" si="113"/>
        <v/>
      </c>
      <c r="AB337" s="40" t="str">
        <f>IF(OR(L337="",V337=0),"",IF(AND(N(I337)&gt;0,N(INDEX('05-أيار'!$I$2:$I$501,V337))&gt;0,INDEX('05-أيار'!$F$2:$F$501,V337)=F337),N(I337)/N(INDEX('05-أيار'!$I$2:$I$501,V337))-1,""))</f>
        <v/>
      </c>
      <c r="AC337" t="str">
        <f>IF(L337="","",IF(AND($AO$2=1,ISNA(MATCH(L337,'07-تموز'!$L$2:$L$500,0))),"محذوف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IF(L338="","",IF($AO$1=1,IFERROR(MATCH(L338,'05-أيار'!$L$2:$L$501,0),0),0))</f>
        <v/>
      </c>
      <c r="W338" t="str">
        <f t="shared" si="111"/>
        <v/>
      </c>
      <c r="X338" s="38" t="str">
        <f>IF(L338="","",IF(V338&gt;0,INDEX('05-أيار'!$P$2:$P$501,V338),IF($AO$1=1,0,"")))</f>
        <v/>
      </c>
      <c r="Y338" s="38" t="str">
        <f t="shared" si="112"/>
        <v/>
      </c>
      <c r="Z338" s="39" t="str">
        <f>IF(L338="","",IF(V338&gt;0,INDEX('05-أيار'!$Q$2:$Q$501,V338),IF($AO$1=1,0,"")))</f>
        <v/>
      </c>
      <c r="AA338" s="39" t="str">
        <f t="shared" si="113"/>
        <v/>
      </c>
      <c r="AB338" s="40" t="str">
        <f>IF(OR(L338="",V338=0),"",IF(AND(N(I338)&gt;0,N(INDEX('05-أيار'!$I$2:$I$501,V338))&gt;0,INDEX('05-أيار'!$F$2:$F$501,V338)=F338),N(I338)/N(INDEX('05-أيار'!$I$2:$I$501,V338))-1,""))</f>
        <v/>
      </c>
      <c r="AC338" t="str">
        <f>IF(L338="","",IF(AND($AO$2=1,ISNA(MATCH(L338,'07-تموز'!$L$2:$L$500,0))),"محذوف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IF(L339="","",IF($AO$1=1,IFERROR(MATCH(L339,'05-أيار'!$L$2:$L$501,0),0),0))</f>
        <v/>
      </c>
      <c r="W339" t="str">
        <f t="shared" si="111"/>
        <v/>
      </c>
      <c r="X339" s="38" t="str">
        <f>IF(L339="","",IF(V339&gt;0,INDEX('05-أيار'!$P$2:$P$501,V339),IF($AO$1=1,0,"")))</f>
        <v/>
      </c>
      <c r="Y339" s="38" t="str">
        <f t="shared" si="112"/>
        <v/>
      </c>
      <c r="Z339" s="39" t="str">
        <f>IF(L339="","",IF(V339&gt;0,INDEX('05-أيار'!$Q$2:$Q$501,V339),IF($AO$1=1,0,"")))</f>
        <v/>
      </c>
      <c r="AA339" s="39" t="str">
        <f t="shared" si="113"/>
        <v/>
      </c>
      <c r="AB339" s="40" t="str">
        <f>IF(OR(L339="",V339=0),"",IF(AND(N(I339)&gt;0,N(INDEX('05-أيار'!$I$2:$I$501,V339))&gt;0,INDEX('05-أيار'!$F$2:$F$501,V339)=F339),N(I339)/N(INDEX('05-أيار'!$I$2:$I$501,V339))-1,""))</f>
        <v/>
      </c>
      <c r="AC339" t="str">
        <f>IF(L339="","",IF(AND($AO$2=1,ISNA(MATCH(L339,'07-تموز'!$L$2:$L$500,0))),"محذوف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IF(L340="","",IF($AO$1=1,IFERROR(MATCH(L340,'05-أيار'!$L$2:$L$501,0),0),0))</f>
        <v/>
      </c>
      <c r="W340" t="str">
        <f t="shared" si="111"/>
        <v/>
      </c>
      <c r="X340" s="38" t="str">
        <f>IF(L340="","",IF(V340&gt;0,INDEX('05-أيار'!$P$2:$P$501,V340),IF($AO$1=1,0,"")))</f>
        <v/>
      </c>
      <c r="Y340" s="38" t="str">
        <f t="shared" si="112"/>
        <v/>
      </c>
      <c r="Z340" s="39" t="str">
        <f>IF(L340="","",IF(V340&gt;0,INDEX('05-أيار'!$Q$2:$Q$501,V340),IF($AO$1=1,0,"")))</f>
        <v/>
      </c>
      <c r="AA340" s="39" t="str">
        <f t="shared" si="113"/>
        <v/>
      </c>
      <c r="AB340" s="40" t="str">
        <f>IF(OR(L340="",V340=0),"",IF(AND(N(I340)&gt;0,N(INDEX('05-أيار'!$I$2:$I$501,V340))&gt;0,INDEX('05-أيار'!$F$2:$F$501,V340)=F340),N(I340)/N(INDEX('05-أيار'!$I$2:$I$501,V340))-1,""))</f>
        <v/>
      </c>
      <c r="AC340" t="str">
        <f>IF(L340="","",IF(AND($AO$2=1,ISNA(MATCH(L340,'07-تموز'!$L$2:$L$500,0))),"محذوف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IF(L341="","",IF($AO$1=1,IFERROR(MATCH(L341,'05-أيار'!$L$2:$L$501,0),0),0))</f>
        <v/>
      </c>
      <c r="W341" t="str">
        <f t="shared" si="111"/>
        <v/>
      </c>
      <c r="X341" s="38" t="str">
        <f>IF(L341="","",IF(V341&gt;0,INDEX('05-أيار'!$P$2:$P$501,V341),IF($AO$1=1,0,"")))</f>
        <v/>
      </c>
      <c r="Y341" s="38" t="str">
        <f t="shared" si="112"/>
        <v/>
      </c>
      <c r="Z341" s="39" t="str">
        <f>IF(L341="","",IF(V341&gt;0,INDEX('05-أيار'!$Q$2:$Q$501,V341),IF($AO$1=1,0,"")))</f>
        <v/>
      </c>
      <c r="AA341" s="39" t="str">
        <f t="shared" si="113"/>
        <v/>
      </c>
      <c r="AB341" s="40" t="str">
        <f>IF(OR(L341="",V341=0),"",IF(AND(N(I341)&gt;0,N(INDEX('05-أيار'!$I$2:$I$501,V341))&gt;0,INDEX('05-أيار'!$F$2:$F$501,V341)=F341),N(I341)/N(INDEX('05-أيار'!$I$2:$I$501,V341))-1,""))</f>
        <v/>
      </c>
      <c r="AC341" t="str">
        <f>IF(L341="","",IF(AND($AO$2=1,ISNA(MATCH(L341,'07-تموز'!$L$2:$L$500,0))),"محذوف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IF(L342="","",IF($AO$1=1,IFERROR(MATCH(L342,'05-أيار'!$L$2:$L$501,0),0),0))</f>
        <v/>
      </c>
      <c r="W342" t="str">
        <f t="shared" si="111"/>
        <v/>
      </c>
      <c r="X342" s="38" t="str">
        <f>IF(L342="","",IF(V342&gt;0,INDEX('05-أيار'!$P$2:$P$501,V342),IF($AO$1=1,0,"")))</f>
        <v/>
      </c>
      <c r="Y342" s="38" t="str">
        <f t="shared" si="112"/>
        <v/>
      </c>
      <c r="Z342" s="39" t="str">
        <f>IF(L342="","",IF(V342&gt;0,INDEX('05-أيار'!$Q$2:$Q$501,V342),IF($AO$1=1,0,"")))</f>
        <v/>
      </c>
      <c r="AA342" s="39" t="str">
        <f t="shared" si="113"/>
        <v/>
      </c>
      <c r="AB342" s="40" t="str">
        <f>IF(OR(L342="",V342=0),"",IF(AND(N(I342)&gt;0,N(INDEX('05-أيار'!$I$2:$I$501,V342))&gt;0,INDEX('05-أيار'!$F$2:$F$501,V342)=F342),N(I342)/N(INDEX('05-أيار'!$I$2:$I$501,V342))-1,""))</f>
        <v/>
      </c>
      <c r="AC342" t="str">
        <f>IF(L342="","",IF(AND($AO$2=1,ISNA(MATCH(L342,'07-تموز'!$L$2:$L$500,0))),"محذوف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IF(L343="","",IF($AO$1=1,IFERROR(MATCH(L343,'05-أيار'!$L$2:$L$501,0),0),0))</f>
        <v/>
      </c>
      <c r="W343" t="str">
        <f t="shared" si="111"/>
        <v/>
      </c>
      <c r="X343" s="38" t="str">
        <f>IF(L343="","",IF(V343&gt;0,INDEX('05-أيار'!$P$2:$P$501,V343),IF($AO$1=1,0,"")))</f>
        <v/>
      </c>
      <c r="Y343" s="38" t="str">
        <f t="shared" si="112"/>
        <v/>
      </c>
      <c r="Z343" s="39" t="str">
        <f>IF(L343="","",IF(V343&gt;0,INDEX('05-أيار'!$Q$2:$Q$501,V343),IF($AO$1=1,0,"")))</f>
        <v/>
      </c>
      <c r="AA343" s="39" t="str">
        <f t="shared" si="113"/>
        <v/>
      </c>
      <c r="AB343" s="40" t="str">
        <f>IF(OR(L343="",V343=0),"",IF(AND(N(I343)&gt;0,N(INDEX('05-أيار'!$I$2:$I$501,V343))&gt;0,INDEX('05-أيار'!$F$2:$F$501,V343)=F343),N(I343)/N(INDEX('05-أيار'!$I$2:$I$501,V343))-1,""))</f>
        <v/>
      </c>
      <c r="AC343" t="str">
        <f>IF(L343="","",IF(AND($AO$2=1,ISNA(MATCH(L343,'07-تموز'!$L$2:$L$500,0))),"محذوف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IF(L344="","",IF($AO$1=1,IFERROR(MATCH(L344,'05-أيار'!$L$2:$L$501,0),0),0))</f>
        <v/>
      </c>
      <c r="W344" t="str">
        <f t="shared" si="111"/>
        <v/>
      </c>
      <c r="X344" s="38" t="str">
        <f>IF(L344="","",IF(V344&gt;0,INDEX('05-أيار'!$P$2:$P$501,V344),IF($AO$1=1,0,"")))</f>
        <v/>
      </c>
      <c r="Y344" s="38" t="str">
        <f t="shared" si="112"/>
        <v/>
      </c>
      <c r="Z344" s="39" t="str">
        <f>IF(L344="","",IF(V344&gt;0,INDEX('05-أيار'!$Q$2:$Q$501,V344),IF($AO$1=1,0,"")))</f>
        <v/>
      </c>
      <c r="AA344" s="39" t="str">
        <f t="shared" si="113"/>
        <v/>
      </c>
      <c r="AB344" s="40" t="str">
        <f>IF(OR(L344="",V344=0),"",IF(AND(N(I344)&gt;0,N(INDEX('05-أيار'!$I$2:$I$501,V344))&gt;0,INDEX('05-أيار'!$F$2:$F$501,V344)=F344),N(I344)/N(INDEX('05-أيار'!$I$2:$I$501,V344))-1,""))</f>
        <v/>
      </c>
      <c r="AC344" t="str">
        <f>IF(L344="","",IF(AND($AO$2=1,ISNA(MATCH(L344,'07-تموز'!$L$2:$L$500,0))),"محذوف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IF(L345="","",IF($AO$1=1,IFERROR(MATCH(L345,'05-أيار'!$L$2:$L$501,0),0),0))</f>
        <v/>
      </c>
      <c r="W345" t="str">
        <f t="shared" si="111"/>
        <v/>
      </c>
      <c r="X345" s="38" t="str">
        <f>IF(L345="","",IF(V345&gt;0,INDEX('05-أيار'!$P$2:$P$501,V345),IF($AO$1=1,0,"")))</f>
        <v/>
      </c>
      <c r="Y345" s="38" t="str">
        <f t="shared" si="112"/>
        <v/>
      </c>
      <c r="Z345" s="39" t="str">
        <f>IF(L345="","",IF(V345&gt;0,INDEX('05-أيار'!$Q$2:$Q$501,V345),IF($AO$1=1,0,"")))</f>
        <v/>
      </c>
      <c r="AA345" s="39" t="str">
        <f t="shared" si="113"/>
        <v/>
      </c>
      <c r="AB345" s="40" t="str">
        <f>IF(OR(L345="",V345=0),"",IF(AND(N(I345)&gt;0,N(INDEX('05-أيار'!$I$2:$I$501,V345))&gt;0,INDEX('05-أيار'!$F$2:$F$501,V345)=F345),N(I345)/N(INDEX('05-أيار'!$I$2:$I$501,V345))-1,""))</f>
        <v/>
      </c>
      <c r="AC345" t="str">
        <f>IF(L345="","",IF(AND($AO$2=1,ISNA(MATCH(L345,'07-تموز'!$L$2:$L$500,0))),"محذوف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IF(L346="","",IF($AO$1=1,IFERROR(MATCH(L346,'05-أيار'!$L$2:$L$501,0),0),0))</f>
        <v/>
      </c>
      <c r="W346" t="str">
        <f t="shared" si="111"/>
        <v/>
      </c>
      <c r="X346" s="38" t="str">
        <f>IF(L346="","",IF(V346&gt;0,INDEX('05-أيار'!$P$2:$P$501,V346),IF($AO$1=1,0,"")))</f>
        <v/>
      </c>
      <c r="Y346" s="38" t="str">
        <f t="shared" si="112"/>
        <v/>
      </c>
      <c r="Z346" s="39" t="str">
        <f>IF(L346="","",IF(V346&gt;0,INDEX('05-أيار'!$Q$2:$Q$501,V346),IF($AO$1=1,0,"")))</f>
        <v/>
      </c>
      <c r="AA346" s="39" t="str">
        <f t="shared" si="113"/>
        <v/>
      </c>
      <c r="AB346" s="40" t="str">
        <f>IF(OR(L346="",V346=0),"",IF(AND(N(I346)&gt;0,N(INDEX('05-أيار'!$I$2:$I$501,V346))&gt;0,INDEX('05-أيار'!$F$2:$F$501,V346)=F346),N(I346)/N(INDEX('05-أيار'!$I$2:$I$501,V346))-1,""))</f>
        <v/>
      </c>
      <c r="AC346" t="str">
        <f>IF(L346="","",IF(AND($AO$2=1,ISNA(MATCH(L346,'07-تموز'!$L$2:$L$500,0))),"محذوف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IF(L347="","",IF($AO$1=1,IFERROR(MATCH(L347,'05-أيار'!$L$2:$L$501,0),0),0))</f>
        <v/>
      </c>
      <c r="W347" t="str">
        <f t="shared" si="111"/>
        <v/>
      </c>
      <c r="X347" s="38" t="str">
        <f>IF(L347="","",IF(V347&gt;0,INDEX('05-أيار'!$P$2:$P$501,V347),IF($AO$1=1,0,"")))</f>
        <v/>
      </c>
      <c r="Y347" s="38" t="str">
        <f t="shared" si="112"/>
        <v/>
      </c>
      <c r="Z347" s="39" t="str">
        <f>IF(L347="","",IF(V347&gt;0,INDEX('05-أيار'!$Q$2:$Q$501,V347),IF($AO$1=1,0,"")))</f>
        <v/>
      </c>
      <c r="AA347" s="39" t="str">
        <f t="shared" si="113"/>
        <v/>
      </c>
      <c r="AB347" s="40" t="str">
        <f>IF(OR(L347="",V347=0),"",IF(AND(N(I347)&gt;0,N(INDEX('05-أيار'!$I$2:$I$501,V347))&gt;0,INDEX('05-أيار'!$F$2:$F$501,V347)=F347),N(I347)/N(INDEX('05-أيار'!$I$2:$I$501,V347))-1,""))</f>
        <v/>
      </c>
      <c r="AC347" t="str">
        <f>IF(L347="","",IF(AND($AO$2=1,ISNA(MATCH(L347,'07-تموز'!$L$2:$L$500,0))),"محذوف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IF(L348="","",IF($AO$1=1,IFERROR(MATCH(L348,'05-أيار'!$L$2:$L$501,0),0),0))</f>
        <v/>
      </c>
      <c r="W348" t="str">
        <f t="shared" si="111"/>
        <v/>
      </c>
      <c r="X348" s="38" t="str">
        <f>IF(L348="","",IF(V348&gt;0,INDEX('05-أيار'!$P$2:$P$501,V348),IF($AO$1=1,0,"")))</f>
        <v/>
      </c>
      <c r="Y348" s="38" t="str">
        <f t="shared" si="112"/>
        <v/>
      </c>
      <c r="Z348" s="39" t="str">
        <f>IF(L348="","",IF(V348&gt;0,INDEX('05-أيار'!$Q$2:$Q$501,V348),IF($AO$1=1,0,"")))</f>
        <v/>
      </c>
      <c r="AA348" s="39" t="str">
        <f t="shared" si="113"/>
        <v/>
      </c>
      <c r="AB348" s="40" t="str">
        <f>IF(OR(L348="",V348=0),"",IF(AND(N(I348)&gt;0,N(INDEX('05-أيار'!$I$2:$I$501,V348))&gt;0,INDEX('05-أيار'!$F$2:$F$501,V348)=F348),N(I348)/N(INDEX('05-أيار'!$I$2:$I$501,V348))-1,""))</f>
        <v/>
      </c>
      <c r="AC348" t="str">
        <f>IF(L348="","",IF(AND($AO$2=1,ISNA(MATCH(L348,'07-تموز'!$L$2:$L$500,0))),"محذوف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IF(L349="","",IF($AO$1=1,IFERROR(MATCH(L349,'05-أيار'!$L$2:$L$501,0),0),0))</f>
        <v/>
      </c>
      <c r="W349" t="str">
        <f t="shared" si="111"/>
        <v/>
      </c>
      <c r="X349" s="38" t="str">
        <f>IF(L349="","",IF(V349&gt;0,INDEX('05-أيار'!$P$2:$P$501,V349),IF($AO$1=1,0,"")))</f>
        <v/>
      </c>
      <c r="Y349" s="38" t="str">
        <f t="shared" si="112"/>
        <v/>
      </c>
      <c r="Z349" s="39" t="str">
        <f>IF(L349="","",IF(V349&gt;0,INDEX('05-أيار'!$Q$2:$Q$501,V349),IF($AO$1=1,0,"")))</f>
        <v/>
      </c>
      <c r="AA349" s="39" t="str">
        <f t="shared" si="113"/>
        <v/>
      </c>
      <c r="AB349" s="40" t="str">
        <f>IF(OR(L349="",V349=0),"",IF(AND(N(I349)&gt;0,N(INDEX('05-أيار'!$I$2:$I$501,V349))&gt;0,INDEX('05-أيار'!$F$2:$F$501,V349)=F349),N(I349)/N(INDEX('05-أيار'!$I$2:$I$501,V349))-1,""))</f>
        <v/>
      </c>
      <c r="AC349" t="str">
        <f>IF(L349="","",IF(AND($AO$2=1,ISNA(MATCH(L349,'07-تموز'!$L$2:$L$500,0))),"محذوف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IF(L350="","",IF($AO$1=1,IFERROR(MATCH(L350,'05-أيار'!$L$2:$L$501,0),0),0))</f>
        <v/>
      </c>
      <c r="W350" t="str">
        <f t="shared" si="111"/>
        <v/>
      </c>
      <c r="X350" s="38" t="str">
        <f>IF(L350="","",IF(V350&gt;0,INDEX('05-أيار'!$P$2:$P$501,V350),IF($AO$1=1,0,"")))</f>
        <v/>
      </c>
      <c r="Y350" s="38" t="str">
        <f t="shared" si="112"/>
        <v/>
      </c>
      <c r="Z350" s="39" t="str">
        <f>IF(L350="","",IF(V350&gt;0,INDEX('05-أيار'!$Q$2:$Q$501,V350),IF($AO$1=1,0,"")))</f>
        <v/>
      </c>
      <c r="AA350" s="39" t="str">
        <f t="shared" si="113"/>
        <v/>
      </c>
      <c r="AB350" s="40" t="str">
        <f>IF(OR(L350="",V350=0),"",IF(AND(N(I350)&gt;0,N(INDEX('05-أيار'!$I$2:$I$501,V350))&gt;0,INDEX('05-أيار'!$F$2:$F$501,V350)=F350),N(I350)/N(INDEX('05-أيار'!$I$2:$I$501,V350))-1,""))</f>
        <v/>
      </c>
      <c r="AC350" t="str">
        <f>IF(L350="","",IF(AND($AO$2=1,ISNA(MATCH(L350,'07-تموز'!$L$2:$L$500,0))),"محذوف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IF(L351="","",IF($AO$1=1,IFERROR(MATCH(L351,'05-أيار'!$L$2:$L$501,0),0),0))</f>
        <v/>
      </c>
      <c r="W351" t="str">
        <f t="shared" si="111"/>
        <v/>
      </c>
      <c r="X351" s="38" t="str">
        <f>IF(L351="","",IF(V351&gt;0,INDEX('05-أيار'!$P$2:$P$501,V351),IF($AO$1=1,0,"")))</f>
        <v/>
      </c>
      <c r="Y351" s="38" t="str">
        <f t="shared" si="112"/>
        <v/>
      </c>
      <c r="Z351" s="39" t="str">
        <f>IF(L351="","",IF(V351&gt;0,INDEX('05-أيار'!$Q$2:$Q$501,V351),IF($AO$1=1,0,"")))</f>
        <v/>
      </c>
      <c r="AA351" s="39" t="str">
        <f t="shared" si="113"/>
        <v/>
      </c>
      <c r="AB351" s="40" t="str">
        <f>IF(OR(L351="",V351=0),"",IF(AND(N(I351)&gt;0,N(INDEX('05-أيار'!$I$2:$I$501,V351))&gt;0,INDEX('05-أيار'!$F$2:$F$501,V351)=F351),N(I351)/N(INDEX('05-أيار'!$I$2:$I$501,V351))-1,""))</f>
        <v/>
      </c>
      <c r="AC351" t="str">
        <f>IF(L351="","",IF(AND($AO$2=1,ISNA(MATCH(L351,'07-تموز'!$L$2:$L$500,0))),"محذوف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IF(L352="","",IF($AO$1=1,IFERROR(MATCH(L352,'05-أيار'!$L$2:$L$501,0),0),0))</f>
        <v/>
      </c>
      <c r="W352" t="str">
        <f t="shared" si="111"/>
        <v/>
      </c>
      <c r="X352" s="38" t="str">
        <f>IF(L352="","",IF(V352&gt;0,INDEX('05-أيار'!$P$2:$P$501,V352),IF($AO$1=1,0,"")))</f>
        <v/>
      </c>
      <c r="Y352" s="38" t="str">
        <f t="shared" si="112"/>
        <v/>
      </c>
      <c r="Z352" s="39" t="str">
        <f>IF(L352="","",IF(V352&gt;0,INDEX('05-أيار'!$Q$2:$Q$501,V352),IF($AO$1=1,0,"")))</f>
        <v/>
      </c>
      <c r="AA352" s="39" t="str">
        <f t="shared" si="113"/>
        <v/>
      </c>
      <c r="AB352" s="40" t="str">
        <f>IF(OR(L352="",V352=0),"",IF(AND(N(I352)&gt;0,N(INDEX('05-أيار'!$I$2:$I$501,V352))&gt;0,INDEX('05-أيار'!$F$2:$F$501,V352)=F352),N(I352)/N(INDEX('05-أيار'!$I$2:$I$501,V352))-1,""))</f>
        <v/>
      </c>
      <c r="AC352" t="str">
        <f>IF(L352="","",IF(AND($AO$2=1,ISNA(MATCH(L352,'07-تموز'!$L$2:$L$500,0))),"محذوف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IF(L353="","",IF($AO$1=1,IFERROR(MATCH(L353,'05-أيار'!$L$2:$L$501,0),0),0))</f>
        <v/>
      </c>
      <c r="W353" t="str">
        <f t="shared" si="111"/>
        <v/>
      </c>
      <c r="X353" s="38" t="str">
        <f>IF(L353="","",IF(V353&gt;0,INDEX('05-أيار'!$P$2:$P$501,V353),IF($AO$1=1,0,"")))</f>
        <v/>
      </c>
      <c r="Y353" s="38" t="str">
        <f t="shared" si="112"/>
        <v/>
      </c>
      <c r="Z353" s="39" t="str">
        <f>IF(L353="","",IF(V353&gt;0,INDEX('05-أيار'!$Q$2:$Q$501,V353),IF($AO$1=1,0,"")))</f>
        <v/>
      </c>
      <c r="AA353" s="39" t="str">
        <f t="shared" si="113"/>
        <v/>
      </c>
      <c r="AB353" s="40" t="str">
        <f>IF(OR(L353="",V353=0),"",IF(AND(N(I353)&gt;0,N(INDEX('05-أيار'!$I$2:$I$501,V353))&gt;0,INDEX('05-أيار'!$F$2:$F$501,V353)=F353),N(I353)/N(INDEX('05-أيار'!$I$2:$I$501,V353))-1,""))</f>
        <v/>
      </c>
      <c r="AC353" t="str">
        <f>IF(L353="","",IF(AND($AO$2=1,ISNA(MATCH(L353,'07-تموز'!$L$2:$L$500,0))),"محذوف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IF(L354="","",IF($AO$1=1,IFERROR(MATCH(L354,'05-أيار'!$L$2:$L$501,0),0),0))</f>
        <v/>
      </c>
      <c r="W354" t="str">
        <f t="shared" si="111"/>
        <v/>
      </c>
      <c r="X354" s="38" t="str">
        <f>IF(L354="","",IF(V354&gt;0,INDEX('05-أيار'!$P$2:$P$501,V354),IF($AO$1=1,0,"")))</f>
        <v/>
      </c>
      <c r="Y354" s="38" t="str">
        <f t="shared" si="112"/>
        <v/>
      </c>
      <c r="Z354" s="39" t="str">
        <f>IF(L354="","",IF(V354&gt;0,INDEX('05-أيار'!$Q$2:$Q$501,V354),IF($AO$1=1,0,"")))</f>
        <v/>
      </c>
      <c r="AA354" s="39" t="str">
        <f t="shared" si="113"/>
        <v/>
      </c>
      <c r="AB354" s="40" t="str">
        <f>IF(OR(L354="",V354=0),"",IF(AND(N(I354)&gt;0,N(INDEX('05-أيار'!$I$2:$I$501,V354))&gt;0,INDEX('05-أيار'!$F$2:$F$501,V354)=F354),N(I354)/N(INDEX('05-أيار'!$I$2:$I$501,V354))-1,""))</f>
        <v/>
      </c>
      <c r="AC354" t="str">
        <f>IF(L354="","",IF(AND($AO$2=1,ISNA(MATCH(L354,'07-تموز'!$L$2:$L$500,0))),"محذوف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IF(L355="","",IF($AO$1=1,IFERROR(MATCH(L355,'05-أيار'!$L$2:$L$501,0),0),0))</f>
        <v/>
      </c>
      <c r="W355" t="str">
        <f t="shared" si="111"/>
        <v/>
      </c>
      <c r="X355" s="38" t="str">
        <f>IF(L355="","",IF(V355&gt;0,INDEX('05-أيار'!$P$2:$P$501,V355),IF($AO$1=1,0,"")))</f>
        <v/>
      </c>
      <c r="Y355" s="38" t="str">
        <f t="shared" si="112"/>
        <v/>
      </c>
      <c r="Z355" s="39" t="str">
        <f>IF(L355="","",IF(V355&gt;0,INDEX('05-أيار'!$Q$2:$Q$501,V355),IF($AO$1=1,0,"")))</f>
        <v/>
      </c>
      <c r="AA355" s="39" t="str">
        <f t="shared" si="113"/>
        <v/>
      </c>
      <c r="AB355" s="40" t="str">
        <f>IF(OR(L355="",V355=0),"",IF(AND(N(I355)&gt;0,N(INDEX('05-أيار'!$I$2:$I$501,V355))&gt;0,INDEX('05-أيار'!$F$2:$F$501,V355)=F355),N(I355)/N(INDEX('05-أيار'!$I$2:$I$501,V355))-1,""))</f>
        <v/>
      </c>
      <c r="AC355" t="str">
        <f>IF(L355="","",IF(AND($AO$2=1,ISNA(MATCH(L355,'07-تموز'!$L$2:$L$500,0))),"محذوف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IF(L356="","",IF($AO$1=1,IFERROR(MATCH(L356,'05-أيار'!$L$2:$L$501,0),0),0))</f>
        <v/>
      </c>
      <c r="W356" t="str">
        <f t="shared" si="111"/>
        <v/>
      </c>
      <c r="X356" s="38" t="str">
        <f>IF(L356="","",IF(V356&gt;0,INDEX('05-أيار'!$P$2:$P$501,V356),IF($AO$1=1,0,"")))</f>
        <v/>
      </c>
      <c r="Y356" s="38" t="str">
        <f t="shared" si="112"/>
        <v/>
      </c>
      <c r="Z356" s="39" t="str">
        <f>IF(L356="","",IF(V356&gt;0,INDEX('05-أيار'!$Q$2:$Q$501,V356),IF($AO$1=1,0,"")))</f>
        <v/>
      </c>
      <c r="AA356" s="39" t="str">
        <f t="shared" si="113"/>
        <v/>
      </c>
      <c r="AB356" s="40" t="str">
        <f>IF(OR(L356="",V356=0),"",IF(AND(N(I356)&gt;0,N(INDEX('05-أيار'!$I$2:$I$501,V356))&gt;0,INDEX('05-أيار'!$F$2:$F$501,V356)=F356),N(I356)/N(INDEX('05-أيار'!$I$2:$I$501,V356))-1,""))</f>
        <v/>
      </c>
      <c r="AC356" t="str">
        <f>IF(L356="","",IF(AND($AO$2=1,ISNA(MATCH(L356,'07-تموز'!$L$2:$L$500,0))),"محذوف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IF(L357="","",IF($AO$1=1,IFERROR(MATCH(L357,'05-أيار'!$L$2:$L$501,0),0),0))</f>
        <v/>
      </c>
      <c r="W357" t="str">
        <f t="shared" si="111"/>
        <v/>
      </c>
      <c r="X357" s="38" t="str">
        <f>IF(L357="","",IF(V357&gt;0,INDEX('05-أيار'!$P$2:$P$501,V357),IF($AO$1=1,0,"")))</f>
        <v/>
      </c>
      <c r="Y357" s="38" t="str">
        <f t="shared" si="112"/>
        <v/>
      </c>
      <c r="Z357" s="39" t="str">
        <f>IF(L357="","",IF(V357&gt;0,INDEX('05-أيار'!$Q$2:$Q$501,V357),IF($AO$1=1,0,"")))</f>
        <v/>
      </c>
      <c r="AA357" s="39" t="str">
        <f t="shared" si="113"/>
        <v/>
      </c>
      <c r="AB357" s="40" t="str">
        <f>IF(OR(L357="",V357=0),"",IF(AND(N(I357)&gt;0,N(INDEX('05-أيار'!$I$2:$I$501,V357))&gt;0,INDEX('05-أيار'!$F$2:$F$501,V357)=F357),N(I357)/N(INDEX('05-أيار'!$I$2:$I$501,V357))-1,""))</f>
        <v/>
      </c>
      <c r="AC357" t="str">
        <f>IF(L357="","",IF(AND($AO$2=1,ISNA(MATCH(L357,'07-تموز'!$L$2:$L$500,0))),"محذوف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IF(L358="","",IF($AO$1=1,IFERROR(MATCH(L358,'05-أيار'!$L$2:$L$501,0),0),0))</f>
        <v/>
      </c>
      <c r="W358" t="str">
        <f t="shared" si="111"/>
        <v/>
      </c>
      <c r="X358" s="38" t="str">
        <f>IF(L358="","",IF(V358&gt;0,INDEX('05-أيار'!$P$2:$P$501,V358),IF($AO$1=1,0,"")))</f>
        <v/>
      </c>
      <c r="Y358" s="38" t="str">
        <f t="shared" si="112"/>
        <v/>
      </c>
      <c r="Z358" s="39" t="str">
        <f>IF(L358="","",IF(V358&gt;0,INDEX('05-أيار'!$Q$2:$Q$501,V358),IF($AO$1=1,0,"")))</f>
        <v/>
      </c>
      <c r="AA358" s="39" t="str">
        <f t="shared" si="113"/>
        <v/>
      </c>
      <c r="AB358" s="40" t="str">
        <f>IF(OR(L358="",V358=0),"",IF(AND(N(I358)&gt;0,N(INDEX('05-أيار'!$I$2:$I$501,V358))&gt;0,INDEX('05-أيار'!$F$2:$F$501,V358)=F358),N(I358)/N(INDEX('05-أيار'!$I$2:$I$501,V358))-1,""))</f>
        <v/>
      </c>
      <c r="AC358" t="str">
        <f>IF(L358="","",IF(AND($AO$2=1,ISNA(MATCH(L358,'07-تموز'!$L$2:$L$500,0))),"محذوف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IF(L359="","",IF($AO$1=1,IFERROR(MATCH(L359,'05-أيار'!$L$2:$L$501,0),0),0))</f>
        <v/>
      </c>
      <c r="W359" t="str">
        <f t="shared" si="111"/>
        <v/>
      </c>
      <c r="X359" s="38" t="str">
        <f>IF(L359="","",IF(V359&gt;0,INDEX('05-أيار'!$P$2:$P$501,V359),IF($AO$1=1,0,"")))</f>
        <v/>
      </c>
      <c r="Y359" s="38" t="str">
        <f t="shared" si="112"/>
        <v/>
      </c>
      <c r="Z359" s="39" t="str">
        <f>IF(L359="","",IF(V359&gt;0,INDEX('05-أيار'!$Q$2:$Q$501,V359),IF($AO$1=1,0,"")))</f>
        <v/>
      </c>
      <c r="AA359" s="39" t="str">
        <f t="shared" si="113"/>
        <v/>
      </c>
      <c r="AB359" s="40" t="str">
        <f>IF(OR(L359="",V359=0),"",IF(AND(N(I359)&gt;0,N(INDEX('05-أيار'!$I$2:$I$501,V359))&gt;0,INDEX('05-أيار'!$F$2:$F$501,V359)=F359),N(I359)/N(INDEX('05-أيار'!$I$2:$I$501,V359))-1,""))</f>
        <v/>
      </c>
      <c r="AC359" t="str">
        <f>IF(L359="","",IF(AND($AO$2=1,ISNA(MATCH(L359,'07-تموز'!$L$2:$L$500,0))),"محذوف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IF(L360="","",IF($AO$1=1,IFERROR(MATCH(L360,'05-أيار'!$L$2:$L$501,0),0),0))</f>
        <v/>
      </c>
      <c r="W360" t="str">
        <f t="shared" si="111"/>
        <v/>
      </c>
      <c r="X360" s="38" t="str">
        <f>IF(L360="","",IF(V360&gt;0,INDEX('05-أيار'!$P$2:$P$501,V360),IF($AO$1=1,0,"")))</f>
        <v/>
      </c>
      <c r="Y360" s="38" t="str">
        <f t="shared" si="112"/>
        <v/>
      </c>
      <c r="Z360" s="39" t="str">
        <f>IF(L360="","",IF(V360&gt;0,INDEX('05-أيار'!$Q$2:$Q$501,V360),IF($AO$1=1,0,"")))</f>
        <v/>
      </c>
      <c r="AA360" s="39" t="str">
        <f t="shared" si="113"/>
        <v/>
      </c>
      <c r="AB360" s="40" t="str">
        <f>IF(OR(L360="",V360=0),"",IF(AND(N(I360)&gt;0,N(INDEX('05-أيار'!$I$2:$I$501,V360))&gt;0,INDEX('05-أيار'!$F$2:$F$501,V360)=F360),N(I360)/N(INDEX('05-أيار'!$I$2:$I$501,V360))-1,""))</f>
        <v/>
      </c>
      <c r="AC360" t="str">
        <f>IF(L360="","",IF(AND($AO$2=1,ISNA(MATCH(L360,'07-تموز'!$L$2:$L$500,0))),"محذوف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IF(L361="","",IF($AO$1=1,IFERROR(MATCH(L361,'05-أيار'!$L$2:$L$501,0),0),0))</f>
        <v/>
      </c>
      <c r="W361" t="str">
        <f t="shared" si="111"/>
        <v/>
      </c>
      <c r="X361" s="38" t="str">
        <f>IF(L361="","",IF(V361&gt;0,INDEX('05-أيار'!$P$2:$P$501,V361),IF($AO$1=1,0,"")))</f>
        <v/>
      </c>
      <c r="Y361" s="38" t="str">
        <f t="shared" si="112"/>
        <v/>
      </c>
      <c r="Z361" s="39" t="str">
        <f>IF(L361="","",IF(V361&gt;0,INDEX('05-أيار'!$Q$2:$Q$501,V361),IF($AO$1=1,0,"")))</f>
        <v/>
      </c>
      <c r="AA361" s="39" t="str">
        <f t="shared" si="113"/>
        <v/>
      </c>
      <c r="AB361" s="40" t="str">
        <f>IF(OR(L361="",V361=0),"",IF(AND(N(I361)&gt;0,N(INDEX('05-أيار'!$I$2:$I$501,V361))&gt;0,INDEX('05-أيار'!$F$2:$F$501,V361)=F361),N(I361)/N(INDEX('05-أيار'!$I$2:$I$501,V361))-1,""))</f>
        <v/>
      </c>
      <c r="AC361" t="str">
        <f>IF(L361="","",IF(AND($AO$2=1,ISNA(MATCH(L361,'07-تموز'!$L$2:$L$500,0))),"محذوف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IF(L362="","",IF($AO$1=1,IFERROR(MATCH(L362,'05-أيار'!$L$2:$L$501,0),0),0))</f>
        <v/>
      </c>
      <c r="W362" t="str">
        <f t="shared" si="111"/>
        <v/>
      </c>
      <c r="X362" s="38" t="str">
        <f>IF(L362="","",IF(V362&gt;0,INDEX('05-أيار'!$P$2:$P$501,V362),IF($AO$1=1,0,"")))</f>
        <v/>
      </c>
      <c r="Y362" s="38" t="str">
        <f t="shared" si="112"/>
        <v/>
      </c>
      <c r="Z362" s="39" t="str">
        <f>IF(L362="","",IF(V362&gt;0,INDEX('05-أيار'!$Q$2:$Q$501,V362),IF($AO$1=1,0,"")))</f>
        <v/>
      </c>
      <c r="AA362" s="39" t="str">
        <f t="shared" si="113"/>
        <v/>
      </c>
      <c r="AB362" s="40" t="str">
        <f>IF(OR(L362="",V362=0),"",IF(AND(N(I362)&gt;0,N(INDEX('05-أيار'!$I$2:$I$501,V362))&gt;0,INDEX('05-أيار'!$F$2:$F$501,V362)=F362),N(I362)/N(INDEX('05-أيار'!$I$2:$I$501,V362))-1,""))</f>
        <v/>
      </c>
      <c r="AC362" t="str">
        <f>IF(L362="","",IF(AND($AO$2=1,ISNA(MATCH(L362,'07-تموز'!$L$2:$L$500,0))),"محذوف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IF(L363="","",IF($AO$1=1,IFERROR(MATCH(L363,'05-أيار'!$L$2:$L$501,0),0),0))</f>
        <v/>
      </c>
      <c r="W363" t="str">
        <f t="shared" si="111"/>
        <v/>
      </c>
      <c r="X363" s="38" t="str">
        <f>IF(L363="","",IF(V363&gt;0,INDEX('05-أيار'!$P$2:$P$501,V363),IF($AO$1=1,0,"")))</f>
        <v/>
      </c>
      <c r="Y363" s="38" t="str">
        <f t="shared" si="112"/>
        <v/>
      </c>
      <c r="Z363" s="39" t="str">
        <f>IF(L363="","",IF(V363&gt;0,INDEX('05-أيار'!$Q$2:$Q$501,V363),IF($AO$1=1,0,"")))</f>
        <v/>
      </c>
      <c r="AA363" s="39" t="str">
        <f t="shared" si="113"/>
        <v/>
      </c>
      <c r="AB363" s="40" t="str">
        <f>IF(OR(L363="",V363=0),"",IF(AND(N(I363)&gt;0,N(INDEX('05-أيار'!$I$2:$I$501,V363))&gt;0,INDEX('05-أيار'!$F$2:$F$501,V363)=F363),N(I363)/N(INDEX('05-أيار'!$I$2:$I$501,V363))-1,""))</f>
        <v/>
      </c>
      <c r="AC363" t="str">
        <f>IF(L363="","",IF(AND($AO$2=1,ISNA(MATCH(L363,'07-تموز'!$L$2:$L$500,0))),"محذوف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IF(L364="","",IF($AO$1=1,IFERROR(MATCH(L364,'05-أيار'!$L$2:$L$501,0),0),0))</f>
        <v/>
      </c>
      <c r="W364" t="str">
        <f t="shared" si="111"/>
        <v/>
      </c>
      <c r="X364" s="38" t="str">
        <f>IF(L364="","",IF(V364&gt;0,INDEX('05-أيار'!$P$2:$P$501,V364),IF($AO$1=1,0,"")))</f>
        <v/>
      </c>
      <c r="Y364" s="38" t="str">
        <f t="shared" si="112"/>
        <v/>
      </c>
      <c r="Z364" s="39" t="str">
        <f>IF(L364="","",IF(V364&gt;0,INDEX('05-أيار'!$Q$2:$Q$501,V364),IF($AO$1=1,0,"")))</f>
        <v/>
      </c>
      <c r="AA364" s="39" t="str">
        <f t="shared" si="113"/>
        <v/>
      </c>
      <c r="AB364" s="40" t="str">
        <f>IF(OR(L364="",V364=0),"",IF(AND(N(I364)&gt;0,N(INDEX('05-أيار'!$I$2:$I$501,V364))&gt;0,INDEX('05-أيار'!$F$2:$F$501,V364)=F364),N(I364)/N(INDEX('05-أيار'!$I$2:$I$501,V364))-1,""))</f>
        <v/>
      </c>
      <c r="AC364" t="str">
        <f>IF(L364="","",IF(AND($AO$2=1,ISNA(MATCH(L364,'07-تموز'!$L$2:$L$500,0))),"محذوف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IF(L365="","",IF($AO$1=1,IFERROR(MATCH(L365,'05-أيار'!$L$2:$L$501,0),0),0))</f>
        <v/>
      </c>
      <c r="W365" t="str">
        <f t="shared" si="111"/>
        <v/>
      </c>
      <c r="X365" s="38" t="str">
        <f>IF(L365="","",IF(V365&gt;0,INDEX('05-أيار'!$P$2:$P$501,V365),IF($AO$1=1,0,"")))</f>
        <v/>
      </c>
      <c r="Y365" s="38" t="str">
        <f t="shared" si="112"/>
        <v/>
      </c>
      <c r="Z365" s="39" t="str">
        <f>IF(L365="","",IF(V365&gt;0,INDEX('05-أيار'!$Q$2:$Q$501,V365),IF($AO$1=1,0,"")))</f>
        <v/>
      </c>
      <c r="AA365" s="39" t="str">
        <f t="shared" si="113"/>
        <v/>
      </c>
      <c r="AB365" s="40" t="str">
        <f>IF(OR(L365="",V365=0),"",IF(AND(N(I365)&gt;0,N(INDEX('05-أيار'!$I$2:$I$501,V365))&gt;0,INDEX('05-أيار'!$F$2:$F$501,V365)=F365),N(I365)/N(INDEX('05-أيار'!$I$2:$I$501,V365))-1,""))</f>
        <v/>
      </c>
      <c r="AC365" t="str">
        <f>IF(L365="","",IF(AND($AO$2=1,ISNA(MATCH(L365,'07-تموز'!$L$2:$L$500,0))),"محذوف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IF(L366="","",IF($AO$1=1,IFERROR(MATCH(L366,'05-أيار'!$L$2:$L$501,0),0),0))</f>
        <v/>
      </c>
      <c r="W366" t="str">
        <f t="shared" si="111"/>
        <v/>
      </c>
      <c r="X366" s="38" t="str">
        <f>IF(L366="","",IF(V366&gt;0,INDEX('05-أيار'!$P$2:$P$501,V366),IF($AO$1=1,0,"")))</f>
        <v/>
      </c>
      <c r="Y366" s="38" t="str">
        <f t="shared" si="112"/>
        <v/>
      </c>
      <c r="Z366" s="39" t="str">
        <f>IF(L366="","",IF(V366&gt;0,INDEX('05-أيار'!$Q$2:$Q$501,V366),IF($AO$1=1,0,"")))</f>
        <v/>
      </c>
      <c r="AA366" s="39" t="str">
        <f t="shared" si="113"/>
        <v/>
      </c>
      <c r="AB366" s="40" t="str">
        <f>IF(OR(L366="",V366=0),"",IF(AND(N(I366)&gt;0,N(INDEX('05-أيار'!$I$2:$I$501,V366))&gt;0,INDEX('05-أيار'!$F$2:$F$501,V366)=F366),N(I366)/N(INDEX('05-أيار'!$I$2:$I$501,V366))-1,""))</f>
        <v/>
      </c>
      <c r="AC366" t="str">
        <f>IF(L366="","",IF(AND($AO$2=1,ISNA(MATCH(L366,'07-تموز'!$L$2:$L$500,0))),"محذوف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IF(L367="","",IF($AO$1=1,IFERROR(MATCH(L367,'05-أيار'!$L$2:$L$501,0),0),0))</f>
        <v/>
      </c>
      <c r="W367" t="str">
        <f t="shared" si="111"/>
        <v/>
      </c>
      <c r="X367" s="38" t="str">
        <f>IF(L367="","",IF(V367&gt;0,INDEX('05-أيار'!$P$2:$P$501,V367),IF($AO$1=1,0,"")))</f>
        <v/>
      </c>
      <c r="Y367" s="38" t="str">
        <f t="shared" si="112"/>
        <v/>
      </c>
      <c r="Z367" s="39" t="str">
        <f>IF(L367="","",IF(V367&gt;0,INDEX('05-أيار'!$Q$2:$Q$501,V367),IF($AO$1=1,0,"")))</f>
        <v/>
      </c>
      <c r="AA367" s="39" t="str">
        <f t="shared" si="113"/>
        <v/>
      </c>
      <c r="AB367" s="40" t="str">
        <f>IF(OR(L367="",V367=0),"",IF(AND(N(I367)&gt;0,N(INDEX('05-أيار'!$I$2:$I$501,V367))&gt;0,INDEX('05-أيار'!$F$2:$F$501,V367)=F367),N(I367)/N(INDEX('05-أيار'!$I$2:$I$501,V367))-1,""))</f>
        <v/>
      </c>
      <c r="AC367" t="str">
        <f>IF(L367="","",IF(AND($AO$2=1,ISNA(MATCH(L367,'07-تموز'!$L$2:$L$500,0))),"محذوف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IF(L368="","",IF($AO$1=1,IFERROR(MATCH(L368,'05-أيار'!$L$2:$L$501,0),0),0))</f>
        <v/>
      </c>
      <c r="W368" t="str">
        <f t="shared" si="111"/>
        <v/>
      </c>
      <c r="X368" s="38" t="str">
        <f>IF(L368="","",IF(V368&gt;0,INDEX('05-أيار'!$P$2:$P$501,V368),IF($AO$1=1,0,"")))</f>
        <v/>
      </c>
      <c r="Y368" s="38" t="str">
        <f t="shared" si="112"/>
        <v/>
      </c>
      <c r="Z368" s="39" t="str">
        <f>IF(L368="","",IF(V368&gt;0,INDEX('05-أيار'!$Q$2:$Q$501,V368),IF($AO$1=1,0,"")))</f>
        <v/>
      </c>
      <c r="AA368" s="39" t="str">
        <f t="shared" si="113"/>
        <v/>
      </c>
      <c r="AB368" s="40" t="str">
        <f>IF(OR(L368="",V368=0),"",IF(AND(N(I368)&gt;0,N(INDEX('05-أيار'!$I$2:$I$501,V368))&gt;0,INDEX('05-أيار'!$F$2:$F$501,V368)=F368),N(I368)/N(INDEX('05-أيار'!$I$2:$I$501,V368))-1,""))</f>
        <v/>
      </c>
      <c r="AC368" t="str">
        <f>IF(L368="","",IF(AND($AO$2=1,ISNA(MATCH(L368,'07-تموز'!$L$2:$L$500,0))),"محذوف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IF(L369="","",IF($AO$1=1,IFERROR(MATCH(L369,'05-أيار'!$L$2:$L$501,0),0),0))</f>
        <v/>
      </c>
      <c r="W369" t="str">
        <f t="shared" si="111"/>
        <v/>
      </c>
      <c r="X369" s="38" t="str">
        <f>IF(L369="","",IF(V369&gt;0,INDEX('05-أيار'!$P$2:$P$501,V369),IF($AO$1=1,0,"")))</f>
        <v/>
      </c>
      <c r="Y369" s="38" t="str">
        <f t="shared" si="112"/>
        <v/>
      </c>
      <c r="Z369" s="39" t="str">
        <f>IF(L369="","",IF(V369&gt;0,INDEX('05-أيار'!$Q$2:$Q$501,V369),IF($AO$1=1,0,"")))</f>
        <v/>
      </c>
      <c r="AA369" s="39" t="str">
        <f t="shared" si="113"/>
        <v/>
      </c>
      <c r="AB369" s="40" t="str">
        <f>IF(OR(L369="",V369=0),"",IF(AND(N(I369)&gt;0,N(INDEX('05-أيار'!$I$2:$I$501,V369))&gt;0,INDEX('05-أيار'!$F$2:$F$501,V369)=F369),N(I369)/N(INDEX('05-أيار'!$I$2:$I$501,V369))-1,""))</f>
        <v/>
      </c>
      <c r="AC369" t="str">
        <f>IF(L369="","",IF(AND($AO$2=1,ISNA(MATCH(L369,'07-تموز'!$L$2:$L$500,0))),"محذوف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IF(L370="","",IF($AO$1=1,IFERROR(MATCH(L370,'05-أيار'!$L$2:$L$501,0),0),0))</f>
        <v/>
      </c>
      <c r="W370" t="str">
        <f t="shared" si="111"/>
        <v/>
      </c>
      <c r="X370" s="38" t="str">
        <f>IF(L370="","",IF(V370&gt;0,INDEX('05-أيار'!$P$2:$P$501,V370),IF($AO$1=1,0,"")))</f>
        <v/>
      </c>
      <c r="Y370" s="38" t="str">
        <f t="shared" si="112"/>
        <v/>
      </c>
      <c r="Z370" s="39" t="str">
        <f>IF(L370="","",IF(V370&gt;0,INDEX('05-أيار'!$Q$2:$Q$501,V370),IF($AO$1=1,0,"")))</f>
        <v/>
      </c>
      <c r="AA370" s="39" t="str">
        <f t="shared" si="113"/>
        <v/>
      </c>
      <c r="AB370" s="40" t="str">
        <f>IF(OR(L370="",V370=0),"",IF(AND(N(I370)&gt;0,N(INDEX('05-أيار'!$I$2:$I$501,V370))&gt;0,INDEX('05-أيار'!$F$2:$F$501,V370)=F370),N(I370)/N(INDEX('05-أيار'!$I$2:$I$501,V370))-1,""))</f>
        <v/>
      </c>
      <c r="AC370" t="str">
        <f>IF(L370="","",IF(AND($AO$2=1,ISNA(MATCH(L370,'07-تموز'!$L$2:$L$500,0))),"محذوف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IF(L371="","",IF($AO$1=1,IFERROR(MATCH(L371,'05-أيار'!$L$2:$L$501,0),0),0))</f>
        <v/>
      </c>
      <c r="W371" t="str">
        <f t="shared" si="111"/>
        <v/>
      </c>
      <c r="X371" s="38" t="str">
        <f>IF(L371="","",IF(V371&gt;0,INDEX('05-أيار'!$P$2:$P$501,V371),IF($AO$1=1,0,"")))</f>
        <v/>
      </c>
      <c r="Y371" s="38" t="str">
        <f t="shared" si="112"/>
        <v/>
      </c>
      <c r="Z371" s="39" t="str">
        <f>IF(L371="","",IF(V371&gt;0,INDEX('05-أيار'!$Q$2:$Q$501,V371),IF($AO$1=1,0,"")))</f>
        <v/>
      </c>
      <c r="AA371" s="39" t="str">
        <f t="shared" si="113"/>
        <v/>
      </c>
      <c r="AB371" s="40" t="str">
        <f>IF(OR(L371="",V371=0),"",IF(AND(N(I371)&gt;0,N(INDEX('05-أيار'!$I$2:$I$501,V371))&gt;0,INDEX('05-أيار'!$F$2:$F$501,V371)=F371),N(I371)/N(INDEX('05-أيار'!$I$2:$I$501,V371))-1,""))</f>
        <v/>
      </c>
      <c r="AC371" t="str">
        <f>IF(L371="","",IF(AND($AO$2=1,ISNA(MATCH(L371,'07-تموز'!$L$2:$L$500,0))),"محذوف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IF(L372="","",IF($AO$1=1,IFERROR(MATCH(L372,'05-أيار'!$L$2:$L$501,0),0),0))</f>
        <v/>
      </c>
      <c r="W372" t="str">
        <f t="shared" si="111"/>
        <v/>
      </c>
      <c r="X372" s="38" t="str">
        <f>IF(L372="","",IF(V372&gt;0,INDEX('05-أيار'!$P$2:$P$501,V372),IF($AO$1=1,0,"")))</f>
        <v/>
      </c>
      <c r="Y372" s="38" t="str">
        <f t="shared" si="112"/>
        <v/>
      </c>
      <c r="Z372" s="39" t="str">
        <f>IF(L372="","",IF(V372&gt;0,INDEX('05-أيار'!$Q$2:$Q$501,V372),IF($AO$1=1,0,"")))</f>
        <v/>
      </c>
      <c r="AA372" s="39" t="str">
        <f t="shared" si="113"/>
        <v/>
      </c>
      <c r="AB372" s="40" t="str">
        <f>IF(OR(L372="",V372=0),"",IF(AND(N(I372)&gt;0,N(INDEX('05-أيار'!$I$2:$I$501,V372))&gt;0,INDEX('05-أيار'!$F$2:$F$501,V372)=F372),N(I372)/N(INDEX('05-أيار'!$I$2:$I$501,V372))-1,""))</f>
        <v/>
      </c>
      <c r="AC372" t="str">
        <f>IF(L372="","",IF(AND($AO$2=1,ISNA(MATCH(L372,'07-تموز'!$L$2:$L$500,0))),"محذوف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IF(L373="","",IF($AO$1=1,IFERROR(MATCH(L373,'05-أيار'!$L$2:$L$501,0),0),0))</f>
        <v/>
      </c>
      <c r="W373" t="str">
        <f t="shared" si="111"/>
        <v/>
      </c>
      <c r="X373" s="38" t="str">
        <f>IF(L373="","",IF(V373&gt;0,INDEX('05-أيار'!$P$2:$P$501,V373),IF($AO$1=1,0,"")))</f>
        <v/>
      </c>
      <c r="Y373" s="38" t="str">
        <f t="shared" si="112"/>
        <v/>
      </c>
      <c r="Z373" s="39" t="str">
        <f>IF(L373="","",IF(V373&gt;0,INDEX('05-أيار'!$Q$2:$Q$501,V373),IF($AO$1=1,0,"")))</f>
        <v/>
      </c>
      <c r="AA373" s="39" t="str">
        <f t="shared" si="113"/>
        <v/>
      </c>
      <c r="AB373" s="40" t="str">
        <f>IF(OR(L373="",V373=0),"",IF(AND(N(I373)&gt;0,N(INDEX('05-أيار'!$I$2:$I$501,V373))&gt;0,INDEX('05-أيار'!$F$2:$F$501,V373)=F373),N(I373)/N(INDEX('05-أيار'!$I$2:$I$501,V373))-1,""))</f>
        <v/>
      </c>
      <c r="AC373" t="str">
        <f>IF(L373="","",IF(AND($AO$2=1,ISNA(MATCH(L373,'07-تموز'!$L$2:$L$500,0))),"محذوف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IF(L374="","",IF($AO$1=1,IFERROR(MATCH(L374,'05-أيار'!$L$2:$L$501,0),0),0))</f>
        <v/>
      </c>
      <c r="W374" t="str">
        <f t="shared" si="111"/>
        <v/>
      </c>
      <c r="X374" s="38" t="str">
        <f>IF(L374="","",IF(V374&gt;0,INDEX('05-أيار'!$P$2:$P$501,V374),IF($AO$1=1,0,"")))</f>
        <v/>
      </c>
      <c r="Y374" s="38" t="str">
        <f t="shared" si="112"/>
        <v/>
      </c>
      <c r="Z374" s="39" t="str">
        <f>IF(L374="","",IF(V374&gt;0,INDEX('05-أيار'!$Q$2:$Q$501,V374),IF($AO$1=1,0,"")))</f>
        <v/>
      </c>
      <c r="AA374" s="39" t="str">
        <f t="shared" si="113"/>
        <v/>
      </c>
      <c r="AB374" s="40" t="str">
        <f>IF(OR(L374="",V374=0),"",IF(AND(N(I374)&gt;0,N(INDEX('05-أيار'!$I$2:$I$501,V374))&gt;0,INDEX('05-أيار'!$F$2:$F$501,V374)=F374),N(I374)/N(INDEX('05-أيار'!$I$2:$I$501,V374))-1,""))</f>
        <v/>
      </c>
      <c r="AC374" t="str">
        <f>IF(L374="","",IF(AND($AO$2=1,ISNA(MATCH(L374,'07-تموز'!$L$2:$L$500,0))),"محذوف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IF(L375="","",IF($AO$1=1,IFERROR(MATCH(L375,'05-أيار'!$L$2:$L$501,0),0),0))</f>
        <v/>
      </c>
      <c r="W375" t="str">
        <f t="shared" si="111"/>
        <v/>
      </c>
      <c r="X375" s="38" t="str">
        <f>IF(L375="","",IF(V375&gt;0,INDEX('05-أيار'!$P$2:$P$501,V375),IF($AO$1=1,0,"")))</f>
        <v/>
      </c>
      <c r="Y375" s="38" t="str">
        <f t="shared" si="112"/>
        <v/>
      </c>
      <c r="Z375" s="39" t="str">
        <f>IF(L375="","",IF(V375&gt;0,INDEX('05-أيار'!$Q$2:$Q$501,V375),IF($AO$1=1,0,"")))</f>
        <v/>
      </c>
      <c r="AA375" s="39" t="str">
        <f t="shared" si="113"/>
        <v/>
      </c>
      <c r="AB375" s="40" t="str">
        <f>IF(OR(L375="",V375=0),"",IF(AND(N(I375)&gt;0,N(INDEX('05-أيار'!$I$2:$I$501,V375))&gt;0,INDEX('05-أيار'!$F$2:$F$501,V375)=F375),N(I375)/N(INDEX('05-أيار'!$I$2:$I$501,V375))-1,""))</f>
        <v/>
      </c>
      <c r="AC375" t="str">
        <f>IF(L375="","",IF(AND($AO$2=1,ISNA(MATCH(L375,'07-تموز'!$L$2:$L$500,0))),"محذوف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IF(L376="","",IF($AO$1=1,IFERROR(MATCH(L376,'05-أيار'!$L$2:$L$501,0),0),0))</f>
        <v/>
      </c>
      <c r="W376" t="str">
        <f t="shared" si="111"/>
        <v/>
      </c>
      <c r="X376" s="38" t="str">
        <f>IF(L376="","",IF(V376&gt;0,INDEX('05-أيار'!$P$2:$P$501,V376),IF($AO$1=1,0,"")))</f>
        <v/>
      </c>
      <c r="Y376" s="38" t="str">
        <f t="shared" si="112"/>
        <v/>
      </c>
      <c r="Z376" s="39" t="str">
        <f>IF(L376="","",IF(V376&gt;0,INDEX('05-أيار'!$Q$2:$Q$501,V376),IF($AO$1=1,0,"")))</f>
        <v/>
      </c>
      <c r="AA376" s="39" t="str">
        <f t="shared" si="113"/>
        <v/>
      </c>
      <c r="AB376" s="40" t="str">
        <f>IF(OR(L376="",V376=0),"",IF(AND(N(I376)&gt;0,N(INDEX('05-أيار'!$I$2:$I$501,V376))&gt;0,INDEX('05-أيار'!$F$2:$F$501,V376)=F376),N(I376)/N(INDEX('05-أيار'!$I$2:$I$501,V376))-1,""))</f>
        <v/>
      </c>
      <c r="AC376" t="str">
        <f>IF(L376="","",IF(AND($AO$2=1,ISNA(MATCH(L376,'07-تموز'!$L$2:$L$500,0))),"محذوف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IF(L377="","",IF($AO$1=1,IFERROR(MATCH(L377,'05-أيار'!$L$2:$L$501,0),0),0))</f>
        <v/>
      </c>
      <c r="W377" t="str">
        <f t="shared" si="111"/>
        <v/>
      </c>
      <c r="X377" s="38" t="str">
        <f>IF(L377="","",IF(V377&gt;0,INDEX('05-أيار'!$P$2:$P$501,V377),IF($AO$1=1,0,"")))</f>
        <v/>
      </c>
      <c r="Y377" s="38" t="str">
        <f t="shared" si="112"/>
        <v/>
      </c>
      <c r="Z377" s="39" t="str">
        <f>IF(L377="","",IF(V377&gt;0,INDEX('05-أيار'!$Q$2:$Q$501,V377),IF($AO$1=1,0,"")))</f>
        <v/>
      </c>
      <c r="AA377" s="39" t="str">
        <f t="shared" si="113"/>
        <v/>
      </c>
      <c r="AB377" s="40" t="str">
        <f>IF(OR(L377="",V377=0),"",IF(AND(N(I377)&gt;0,N(INDEX('05-أيار'!$I$2:$I$501,V377))&gt;0,INDEX('05-أيار'!$F$2:$F$501,V377)=F377),N(I377)/N(INDEX('05-أيار'!$I$2:$I$501,V377))-1,""))</f>
        <v/>
      </c>
      <c r="AC377" t="str">
        <f>IF(L377="","",IF(AND($AO$2=1,ISNA(MATCH(L377,'07-تموز'!$L$2:$L$500,0))),"محذوف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IF(L378="","",IF($AO$1=1,IFERROR(MATCH(L378,'05-أيار'!$L$2:$L$501,0),0),0))</f>
        <v/>
      </c>
      <c r="W378" t="str">
        <f t="shared" si="111"/>
        <v/>
      </c>
      <c r="X378" s="38" t="str">
        <f>IF(L378="","",IF(V378&gt;0,INDEX('05-أيار'!$P$2:$P$501,V378),IF($AO$1=1,0,"")))</f>
        <v/>
      </c>
      <c r="Y378" s="38" t="str">
        <f t="shared" si="112"/>
        <v/>
      </c>
      <c r="Z378" s="39" t="str">
        <f>IF(L378="","",IF(V378&gt;0,INDEX('05-أيار'!$Q$2:$Q$501,V378),IF($AO$1=1,0,"")))</f>
        <v/>
      </c>
      <c r="AA378" s="39" t="str">
        <f t="shared" si="113"/>
        <v/>
      </c>
      <c r="AB378" s="40" t="str">
        <f>IF(OR(L378="",V378=0),"",IF(AND(N(I378)&gt;0,N(INDEX('05-أيار'!$I$2:$I$501,V378))&gt;0,INDEX('05-أيار'!$F$2:$F$501,V378)=F378),N(I378)/N(INDEX('05-أيار'!$I$2:$I$501,V378))-1,""))</f>
        <v/>
      </c>
      <c r="AC378" t="str">
        <f>IF(L378="","",IF(AND($AO$2=1,ISNA(MATCH(L378,'07-تموز'!$L$2:$L$500,0))),"محذوف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IF(L379="","",IF($AO$1=1,IFERROR(MATCH(L379,'05-أيار'!$L$2:$L$501,0),0),0))</f>
        <v/>
      </c>
      <c r="W379" t="str">
        <f t="shared" si="111"/>
        <v/>
      </c>
      <c r="X379" s="38" t="str">
        <f>IF(L379="","",IF(V379&gt;0,INDEX('05-أيار'!$P$2:$P$501,V379),IF($AO$1=1,0,"")))</f>
        <v/>
      </c>
      <c r="Y379" s="38" t="str">
        <f t="shared" si="112"/>
        <v/>
      </c>
      <c r="Z379" s="39" t="str">
        <f>IF(L379="","",IF(V379&gt;0,INDEX('05-أيار'!$Q$2:$Q$501,V379),IF($AO$1=1,0,"")))</f>
        <v/>
      </c>
      <c r="AA379" s="39" t="str">
        <f t="shared" si="113"/>
        <v/>
      </c>
      <c r="AB379" s="40" t="str">
        <f>IF(OR(L379="",V379=0),"",IF(AND(N(I379)&gt;0,N(INDEX('05-أيار'!$I$2:$I$501,V379))&gt;0,INDEX('05-أيار'!$F$2:$F$501,V379)=F379),N(I379)/N(INDEX('05-أيار'!$I$2:$I$501,V379))-1,""))</f>
        <v/>
      </c>
      <c r="AC379" t="str">
        <f>IF(L379="","",IF(AND($AO$2=1,ISNA(MATCH(L379,'07-تموز'!$L$2:$L$500,0))),"محذوف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IF(L380="","",IF($AO$1=1,IFERROR(MATCH(L380,'05-أيار'!$L$2:$L$501,0),0),0))</f>
        <v/>
      </c>
      <c r="W380" t="str">
        <f t="shared" si="111"/>
        <v/>
      </c>
      <c r="X380" s="38" t="str">
        <f>IF(L380="","",IF(V380&gt;0,INDEX('05-أيار'!$P$2:$P$501,V380),IF($AO$1=1,0,"")))</f>
        <v/>
      </c>
      <c r="Y380" s="38" t="str">
        <f t="shared" si="112"/>
        <v/>
      </c>
      <c r="Z380" s="39" t="str">
        <f>IF(L380="","",IF(V380&gt;0,INDEX('05-أيار'!$Q$2:$Q$501,V380),IF($AO$1=1,0,"")))</f>
        <v/>
      </c>
      <c r="AA380" s="39" t="str">
        <f t="shared" si="113"/>
        <v/>
      </c>
      <c r="AB380" s="40" t="str">
        <f>IF(OR(L380="",V380=0),"",IF(AND(N(I380)&gt;0,N(INDEX('05-أيار'!$I$2:$I$501,V380))&gt;0,INDEX('05-أيار'!$F$2:$F$501,V380)=F380),N(I380)/N(INDEX('05-أيار'!$I$2:$I$501,V380))-1,""))</f>
        <v/>
      </c>
      <c r="AC380" t="str">
        <f>IF(L380="","",IF(AND($AO$2=1,ISNA(MATCH(L380,'07-تموز'!$L$2:$L$500,0))),"محذوف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IF(L381="","",IF($AO$1=1,IFERROR(MATCH(L381,'05-أيار'!$L$2:$L$501,0),0),0))</f>
        <v/>
      </c>
      <c r="W381" t="str">
        <f t="shared" si="111"/>
        <v/>
      </c>
      <c r="X381" s="38" t="str">
        <f>IF(L381="","",IF(V381&gt;0,INDEX('05-أيار'!$P$2:$P$501,V381),IF($AO$1=1,0,"")))</f>
        <v/>
      </c>
      <c r="Y381" s="38" t="str">
        <f t="shared" si="112"/>
        <v/>
      </c>
      <c r="Z381" s="39" t="str">
        <f>IF(L381="","",IF(V381&gt;0,INDEX('05-أيار'!$Q$2:$Q$501,V381),IF($AO$1=1,0,"")))</f>
        <v/>
      </c>
      <c r="AA381" s="39" t="str">
        <f t="shared" si="113"/>
        <v/>
      </c>
      <c r="AB381" s="40" t="str">
        <f>IF(OR(L381="",V381=0),"",IF(AND(N(I381)&gt;0,N(INDEX('05-أيار'!$I$2:$I$501,V381))&gt;0,INDEX('05-أيار'!$F$2:$F$501,V381)=F381),N(I381)/N(INDEX('05-أيار'!$I$2:$I$501,V381))-1,""))</f>
        <v/>
      </c>
      <c r="AC381" t="str">
        <f>IF(L381="","",IF(AND($AO$2=1,ISNA(MATCH(L381,'07-تموز'!$L$2:$L$500,0))),"محذوف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IF(L382="","",IF($AO$1=1,IFERROR(MATCH(L382,'05-أيار'!$L$2:$L$501,0),0),0))</f>
        <v/>
      </c>
      <c r="W382" t="str">
        <f t="shared" si="111"/>
        <v/>
      </c>
      <c r="X382" s="38" t="str">
        <f>IF(L382="","",IF(V382&gt;0,INDEX('05-أيار'!$P$2:$P$501,V382),IF($AO$1=1,0,"")))</f>
        <v/>
      </c>
      <c r="Y382" s="38" t="str">
        <f t="shared" si="112"/>
        <v/>
      </c>
      <c r="Z382" s="39" t="str">
        <f>IF(L382="","",IF(V382&gt;0,INDEX('05-أيار'!$Q$2:$Q$501,V382),IF($AO$1=1,0,"")))</f>
        <v/>
      </c>
      <c r="AA382" s="39" t="str">
        <f t="shared" si="113"/>
        <v/>
      </c>
      <c r="AB382" s="40" t="str">
        <f>IF(OR(L382="",V382=0),"",IF(AND(N(I382)&gt;0,N(INDEX('05-أيار'!$I$2:$I$501,V382))&gt;0,INDEX('05-أيار'!$F$2:$F$501,V382)=F382),N(I382)/N(INDEX('05-أيار'!$I$2:$I$501,V382))-1,""))</f>
        <v/>
      </c>
      <c r="AC382" t="str">
        <f>IF(L382="","",IF(AND($AO$2=1,ISNA(MATCH(L382,'07-تموز'!$L$2:$L$500,0))),"محذوف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IF(L383="","",IF($AO$1=1,IFERROR(MATCH(L383,'05-أيار'!$L$2:$L$501,0),0),0))</f>
        <v/>
      </c>
      <c r="W383" t="str">
        <f t="shared" si="111"/>
        <v/>
      </c>
      <c r="X383" s="38" t="str">
        <f>IF(L383="","",IF(V383&gt;0,INDEX('05-أيار'!$P$2:$P$501,V383),IF($AO$1=1,0,"")))</f>
        <v/>
      </c>
      <c r="Y383" s="38" t="str">
        <f t="shared" si="112"/>
        <v/>
      </c>
      <c r="Z383" s="39" t="str">
        <f>IF(L383="","",IF(V383&gt;0,INDEX('05-أيار'!$Q$2:$Q$501,V383),IF($AO$1=1,0,"")))</f>
        <v/>
      </c>
      <c r="AA383" s="39" t="str">
        <f t="shared" si="113"/>
        <v/>
      </c>
      <c r="AB383" s="40" t="str">
        <f>IF(OR(L383="",V383=0),"",IF(AND(N(I383)&gt;0,N(INDEX('05-أيار'!$I$2:$I$501,V383))&gt;0,INDEX('05-أيار'!$F$2:$F$501,V383)=F383),N(I383)/N(INDEX('05-أيار'!$I$2:$I$501,V383))-1,""))</f>
        <v/>
      </c>
      <c r="AC383" t="str">
        <f>IF(L383="","",IF(AND($AO$2=1,ISNA(MATCH(L383,'07-تموز'!$L$2:$L$500,0))),"محذوف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ref="K384:K447" si="120">IF(L384="","",IF(U384&lt;&gt;"","⚠",""))</f>
        <v/>
      </c>
      <c r="L384" t="str">
        <f t="shared" ref="L384:L447" si="121">IF(A384="","",TRIM(A384))</f>
        <v/>
      </c>
      <c r="M384" s="36" t="str">
        <f t="shared" ref="M384:M447" si="122">IF(L384="","",IF(ISNUMBER(SEARCH("دولار",F384)),1,IF(ISNUMBER(SEARCH("ليرة",F384)),IF($AO$3&gt;0,1/$AO$3,0),0)))</f>
        <v/>
      </c>
      <c r="N384" s="37" t="str">
        <f t="shared" ref="N384:N447" si="123">IF(L384="","",N(I384)*M384)</f>
        <v/>
      </c>
      <c r="O384" s="37" t="str">
        <f t="shared" ref="O384:O447" si="124">IF(L384="","",M384*CHOOSE($AO$4,N(C384),N(D384),N(E384)))</f>
        <v/>
      </c>
      <c r="P384" s="38" t="str">
        <f t="shared" ref="P384:P447" si="125">IF(L384="","",MAX(N(B384),0))</f>
        <v/>
      </c>
      <c r="Q384" s="39" t="str">
        <f t="shared" ref="Q384:Q447" si="126">IF(L384="","",P384*N384)</f>
        <v/>
      </c>
      <c r="R384" s="39" t="str">
        <f t="shared" ref="R384:R447" si="127">IF(L384="","",P384*O384)</f>
        <v/>
      </c>
      <c r="S384" t="str">
        <f t="shared" ref="S384:S447" si="128">IF(L384="","",IF(AND(P384&gt;0,N384&gt;0,O384&gt;0),1,0))</f>
        <v/>
      </c>
      <c r="T384" s="39" t="str">
        <f t="shared" ref="T384:T447" si="129">IF(L384="","",S384*(R384-Q384))</f>
        <v/>
      </c>
      <c r="U384" t="str">
        <f t="shared" ref="U384:U447" si="130">IF(L384="","",MID(IF(OR(NOT(ISNUMBER(B384)),NOT(ISNUMBER(C384)),NOT(ISNUMBER(D384)),NOT(ISNUMBER(E384)),NOT(ISNUMBER(I384)),AND(NOT(ISNUMBER(SEARCH("دولار",F384))),NOT(ISNUMBER(SEARCH("ليرة",F384)))))," | بيانات غير صالحة","")&amp;IF(N(B384)&lt;0," | كمية سالبة","")&amp;IF(AND(N(B384)&gt;0,N(I384)=0)," | شراء صفر","")&amp;IF(AND(N(B384)&gt;0,TRIM(H384)=$AO$5,OR(N(C384)=0,N(D384)=0,N(E384)=0))," | بيع صفر","")&amp;IF(AND(N384&gt;0,O384&gt;0,O384&lt;N384)," | بيع أقل من الشراء","")&amp;IF(OR(AND(ISNUMBER(SEARCH("ليرة",F384)),OR(AND(N(I384)&gt;0,N(I384)&lt;$AO$6),AND(N(C384)&gt;0,N(C384)&lt;$AO$6),AND(N(D384)&gt;0,N(D384)&lt;$AO$6),AND(N(E384)&gt;0,N(E384)&lt;$AO$6))),AND(ISNUMBER(SEARCH("دولار",F384)),MAX(N(I384),N(C384),N(D384),N(E384))&gt;$AO$7))," | عملة/سعر مشكوك","")&amp;IF(AND(COUNTIF(C384:E384,"&gt;0")&gt;=2,MAX(N(C384),N(D384),N(E384))&gt;$AO$8*MIN(IF(N(C384)&gt;0,N(C384),1E+99),IF(N(D384)&gt;0,N(D384),1E+99),IF(N(E384)&gt;0,N(E384),1E+99)))," | تباين أسعار البيع","")&amp;IF(OR(TRIM(H384)="All",TRIM(H384)="")," | بلا تصنيف",""),4,300))</f>
        <v/>
      </c>
      <c r="V384" t="str">
        <f>IF(L384="","",IF($AO$1=1,IFERROR(MATCH(L384,'05-أيار'!$L$2:$L$501,0),0),0))</f>
        <v/>
      </c>
      <c r="W384" t="str">
        <f t="shared" ref="W384:W447" si="131">IF(L384="","",IF(AND($AO$1=1,V384=0),"جديد",""))</f>
        <v/>
      </c>
      <c r="X384" s="38" t="str">
        <f>IF(L384="","",IF(V384&gt;0,INDEX('05-أيار'!$P$2:$P$501,V384),IF($AO$1=1,0,"")))</f>
        <v/>
      </c>
      <c r="Y384" s="38" t="str">
        <f t="shared" ref="Y384:Y447" si="132">IF(OR(L384="",X384=""),"",P384-X384)</f>
        <v/>
      </c>
      <c r="Z384" s="39" t="str">
        <f>IF(L384="","",IF(V384&gt;0,INDEX('05-أيار'!$Q$2:$Q$501,V384),IF($AO$1=1,0,"")))</f>
        <v/>
      </c>
      <c r="AA384" s="39" t="str">
        <f t="shared" ref="AA384:AA447" si="133">IF(OR(L384="",Z384=""),"",Q384-Z384)</f>
        <v/>
      </c>
      <c r="AB384" s="40" t="str">
        <f>IF(OR(L384="",V384=0),"",IF(AND(N(I384)&gt;0,N(INDEX('05-أيار'!$I$2:$I$501,V384))&gt;0,INDEX('05-أيار'!$F$2:$F$501,V384)=F384),N(I384)/N(INDEX('05-أيار'!$I$2:$I$501,V384))-1,""))</f>
        <v/>
      </c>
      <c r="AC384" t="str">
        <f>IF(L384="","",IF(AND($AO$2=1,ISNA(MATCH(L384,'07-تموز'!$L$2:$L$500,0))),"محذوف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ref="AG384:AG447" si="134">IF(AA384="","",ABS(AA384)+ROW()/1000000000)</f>
        <v/>
      </c>
      <c r="AH384" s="39" t="str">
        <f t="shared" ref="AH384:AH447" si="135">IF(L384="","",IF(AND(P384&gt;0,N384&gt;0,N(C384)&gt;0),P384*(M384*N(C384)-N384),0))</f>
        <v/>
      </c>
      <c r="AI384" s="39" t="str">
        <f t="shared" ref="AI384:AI447" si="136">IF(L384="","",IF(AND(P384&gt;0,N384&gt;0,N(D384)&gt;0),P384*(M384*N(D384)-N384),0))</f>
        <v/>
      </c>
      <c r="AJ384" s="39" t="str">
        <f t="shared" ref="AJ384:AJ447" si="137">IF(L384="","",IF(AND(P384&gt;0,N384&gt;0,N(E384)&gt;0),P384*(M384*N(E384)-N384),0))</f>
        <v/>
      </c>
      <c r="AK384" t="str">
        <f t="shared" ref="AK384:AK447" si="138">IF(L384="","",Q384+ROW()/1000000000)</f>
        <v/>
      </c>
      <c r="AL384" t="str">
        <f t="shared" ref="AL384:AL447" si="139">IF(L384="","",T384+ROW()/1000000000)</f>
        <v/>
      </c>
    </row>
    <row r="385" spans="11:38" ht="15">
      <c r="K385" t="str">
        <f t="shared" si="120"/>
        <v/>
      </c>
      <c r="L385" t="str">
        <f t="shared" si="121"/>
        <v/>
      </c>
      <c r="M385" s="36" t="str">
        <f t="shared" si="122"/>
        <v/>
      </c>
      <c r="N385" s="37" t="str">
        <f t="shared" si="123"/>
        <v/>
      </c>
      <c r="O385" s="37" t="str">
        <f t="shared" si="124"/>
        <v/>
      </c>
      <c r="P385" s="38" t="str">
        <f t="shared" si="125"/>
        <v/>
      </c>
      <c r="Q385" s="39" t="str">
        <f t="shared" si="126"/>
        <v/>
      </c>
      <c r="R385" s="39" t="str">
        <f t="shared" si="127"/>
        <v/>
      </c>
      <c r="S385" t="str">
        <f t="shared" si="128"/>
        <v/>
      </c>
      <c r="T385" s="39" t="str">
        <f t="shared" si="129"/>
        <v/>
      </c>
      <c r="U385" t="str">
        <f t="shared" si="130"/>
        <v/>
      </c>
      <c r="V385" t="str">
        <f>IF(L385="","",IF($AO$1=1,IFERROR(MATCH(L385,'05-أيار'!$L$2:$L$501,0),0),0))</f>
        <v/>
      </c>
      <c r="W385" t="str">
        <f t="shared" si="131"/>
        <v/>
      </c>
      <c r="X385" s="38" t="str">
        <f>IF(L385="","",IF(V385&gt;0,INDEX('05-أيار'!$P$2:$P$501,V385),IF($AO$1=1,0,"")))</f>
        <v/>
      </c>
      <c r="Y385" s="38" t="str">
        <f t="shared" si="132"/>
        <v/>
      </c>
      <c r="Z385" s="39" t="str">
        <f>IF(L385="","",IF(V385&gt;0,INDEX('05-أيار'!$Q$2:$Q$501,V385),IF($AO$1=1,0,"")))</f>
        <v/>
      </c>
      <c r="AA385" s="39" t="str">
        <f t="shared" si="133"/>
        <v/>
      </c>
      <c r="AB385" s="40" t="str">
        <f>IF(OR(L385="",V385=0),"",IF(AND(N(I385)&gt;0,N(INDEX('05-أيار'!$I$2:$I$501,V385))&gt;0,INDEX('05-أيار'!$F$2:$F$501,V385)=F385),N(I385)/N(INDEX('05-أيار'!$I$2:$I$501,V385))-1,""))</f>
        <v/>
      </c>
      <c r="AC385" t="str">
        <f>IF(L385="","",IF(AND($AO$2=1,ISNA(MATCH(L385,'07-تموز'!$L$2:$L$500,0))),"محذوف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34"/>
        <v/>
      </c>
      <c r="AH385" s="39" t="str">
        <f t="shared" si="135"/>
        <v/>
      </c>
      <c r="AI385" s="39" t="str">
        <f t="shared" si="136"/>
        <v/>
      </c>
      <c r="AJ385" s="39" t="str">
        <f t="shared" si="137"/>
        <v/>
      </c>
      <c r="AK385" t="str">
        <f t="shared" si="138"/>
        <v/>
      </c>
      <c r="AL385" t="str">
        <f t="shared" si="139"/>
        <v/>
      </c>
    </row>
    <row r="386" spans="11:38" ht="15">
      <c r="K386" t="str">
        <f t="shared" si="120"/>
        <v/>
      </c>
      <c r="L386" t="str">
        <f t="shared" si="121"/>
        <v/>
      </c>
      <c r="M386" s="36" t="str">
        <f t="shared" si="122"/>
        <v/>
      </c>
      <c r="N386" s="37" t="str">
        <f t="shared" si="123"/>
        <v/>
      </c>
      <c r="O386" s="37" t="str">
        <f t="shared" si="124"/>
        <v/>
      </c>
      <c r="P386" s="38" t="str">
        <f t="shared" si="125"/>
        <v/>
      </c>
      <c r="Q386" s="39" t="str">
        <f t="shared" si="126"/>
        <v/>
      </c>
      <c r="R386" s="39" t="str">
        <f t="shared" si="127"/>
        <v/>
      </c>
      <c r="S386" t="str">
        <f t="shared" si="128"/>
        <v/>
      </c>
      <c r="T386" s="39" t="str">
        <f t="shared" si="129"/>
        <v/>
      </c>
      <c r="U386" t="str">
        <f t="shared" si="130"/>
        <v/>
      </c>
      <c r="V386" t="str">
        <f>IF(L386="","",IF($AO$1=1,IFERROR(MATCH(L386,'05-أيار'!$L$2:$L$501,0),0),0))</f>
        <v/>
      </c>
      <c r="W386" t="str">
        <f t="shared" si="131"/>
        <v/>
      </c>
      <c r="X386" s="38" t="str">
        <f>IF(L386="","",IF(V386&gt;0,INDEX('05-أيار'!$P$2:$P$501,V386),IF($AO$1=1,0,"")))</f>
        <v/>
      </c>
      <c r="Y386" s="38" t="str">
        <f t="shared" si="132"/>
        <v/>
      </c>
      <c r="Z386" s="39" t="str">
        <f>IF(L386="","",IF(V386&gt;0,INDEX('05-أيار'!$Q$2:$Q$501,V386),IF($AO$1=1,0,"")))</f>
        <v/>
      </c>
      <c r="AA386" s="39" t="str">
        <f t="shared" si="133"/>
        <v/>
      </c>
      <c r="AB386" s="40" t="str">
        <f>IF(OR(L386="",V386=0),"",IF(AND(N(I386)&gt;0,N(INDEX('05-أيار'!$I$2:$I$501,V386))&gt;0,INDEX('05-أيار'!$F$2:$F$501,V386)=F386),N(I386)/N(INDEX('05-أيار'!$I$2:$I$501,V386))-1,""))</f>
        <v/>
      </c>
      <c r="AC386" t="str">
        <f>IF(L386="","",IF(AND($AO$2=1,ISNA(MATCH(L386,'07-تموز'!$L$2:$L$500,0))),"محذوف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si="134"/>
        <v/>
      </c>
      <c r="AH386" s="39" t="str">
        <f t="shared" si="135"/>
        <v/>
      </c>
      <c r="AI386" s="39" t="str">
        <f t="shared" si="136"/>
        <v/>
      </c>
      <c r="AJ386" s="39" t="str">
        <f t="shared" si="137"/>
        <v/>
      </c>
      <c r="AK386" t="str">
        <f t="shared" si="138"/>
        <v/>
      </c>
      <c r="AL386" t="str">
        <f t="shared" si="139"/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IF(L387="","",IF($AO$1=1,IFERROR(MATCH(L387,'05-أيار'!$L$2:$L$501,0),0),0))</f>
        <v/>
      </c>
      <c r="W387" t="str">
        <f t="shared" si="131"/>
        <v/>
      </c>
      <c r="X387" s="38" t="str">
        <f>IF(L387="","",IF(V387&gt;0,INDEX('05-أيار'!$P$2:$P$501,V387),IF($AO$1=1,0,"")))</f>
        <v/>
      </c>
      <c r="Y387" s="38" t="str">
        <f t="shared" si="132"/>
        <v/>
      </c>
      <c r="Z387" s="39" t="str">
        <f>IF(L387="","",IF(V387&gt;0,INDEX('05-أيار'!$Q$2:$Q$501,V387),IF($AO$1=1,0,"")))</f>
        <v/>
      </c>
      <c r="AA387" s="39" t="str">
        <f t="shared" si="133"/>
        <v/>
      </c>
      <c r="AB387" s="40" t="str">
        <f>IF(OR(L387="",V387=0),"",IF(AND(N(I387)&gt;0,N(INDEX('05-أيار'!$I$2:$I$501,V387))&gt;0,INDEX('05-أيار'!$F$2:$F$501,V387)=F387),N(I387)/N(INDEX('05-أيار'!$I$2:$I$501,V387))-1,""))</f>
        <v/>
      </c>
      <c r="AC387" t="str">
        <f>IF(L387="","",IF(AND($AO$2=1,ISNA(MATCH(L387,'07-تموز'!$L$2:$L$500,0))),"محذوف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IF(L388="","",IF($AO$1=1,IFERROR(MATCH(L388,'05-أيار'!$L$2:$L$501,0),0),0))</f>
        <v/>
      </c>
      <c r="W388" t="str">
        <f t="shared" si="131"/>
        <v/>
      </c>
      <c r="X388" s="38" t="str">
        <f>IF(L388="","",IF(V388&gt;0,INDEX('05-أيار'!$P$2:$P$501,V388),IF($AO$1=1,0,"")))</f>
        <v/>
      </c>
      <c r="Y388" s="38" t="str">
        <f t="shared" si="132"/>
        <v/>
      </c>
      <c r="Z388" s="39" t="str">
        <f>IF(L388="","",IF(V388&gt;0,INDEX('05-أيار'!$Q$2:$Q$501,V388),IF($AO$1=1,0,"")))</f>
        <v/>
      </c>
      <c r="AA388" s="39" t="str">
        <f t="shared" si="133"/>
        <v/>
      </c>
      <c r="AB388" s="40" t="str">
        <f>IF(OR(L388="",V388=0),"",IF(AND(N(I388)&gt;0,N(INDEX('05-أيار'!$I$2:$I$501,V388))&gt;0,INDEX('05-أيار'!$F$2:$F$501,V388)=F388),N(I388)/N(INDEX('05-أيار'!$I$2:$I$501,V388))-1,""))</f>
        <v/>
      </c>
      <c r="AC388" t="str">
        <f>IF(L388="","",IF(AND($AO$2=1,ISNA(MATCH(L388,'07-تموز'!$L$2:$L$500,0))),"محذوف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IF(L389="","",IF($AO$1=1,IFERROR(MATCH(L389,'05-أيار'!$L$2:$L$501,0),0),0))</f>
        <v/>
      </c>
      <c r="W389" t="str">
        <f t="shared" si="131"/>
        <v/>
      </c>
      <c r="X389" s="38" t="str">
        <f>IF(L389="","",IF(V389&gt;0,INDEX('05-أيار'!$P$2:$P$501,V389),IF($AO$1=1,0,"")))</f>
        <v/>
      </c>
      <c r="Y389" s="38" t="str">
        <f t="shared" si="132"/>
        <v/>
      </c>
      <c r="Z389" s="39" t="str">
        <f>IF(L389="","",IF(V389&gt;0,INDEX('05-أيار'!$Q$2:$Q$501,V389),IF($AO$1=1,0,"")))</f>
        <v/>
      </c>
      <c r="AA389" s="39" t="str">
        <f t="shared" si="133"/>
        <v/>
      </c>
      <c r="AB389" s="40" t="str">
        <f>IF(OR(L389="",V389=0),"",IF(AND(N(I389)&gt;0,N(INDEX('05-أيار'!$I$2:$I$501,V389))&gt;0,INDEX('05-أيار'!$F$2:$F$501,V389)=F389),N(I389)/N(INDEX('05-أيار'!$I$2:$I$501,V389))-1,""))</f>
        <v/>
      </c>
      <c r="AC389" t="str">
        <f>IF(L389="","",IF(AND($AO$2=1,ISNA(MATCH(L389,'07-تموز'!$L$2:$L$500,0))),"محذوف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IF(L390="","",IF($AO$1=1,IFERROR(MATCH(L390,'05-أيار'!$L$2:$L$501,0),0),0))</f>
        <v/>
      </c>
      <c r="W390" t="str">
        <f t="shared" si="131"/>
        <v/>
      </c>
      <c r="X390" s="38" t="str">
        <f>IF(L390="","",IF(V390&gt;0,INDEX('05-أيار'!$P$2:$P$501,V390),IF($AO$1=1,0,"")))</f>
        <v/>
      </c>
      <c r="Y390" s="38" t="str">
        <f t="shared" si="132"/>
        <v/>
      </c>
      <c r="Z390" s="39" t="str">
        <f>IF(L390="","",IF(V390&gt;0,INDEX('05-أيار'!$Q$2:$Q$501,V390),IF($AO$1=1,0,"")))</f>
        <v/>
      </c>
      <c r="AA390" s="39" t="str">
        <f t="shared" si="133"/>
        <v/>
      </c>
      <c r="AB390" s="40" t="str">
        <f>IF(OR(L390="",V390=0),"",IF(AND(N(I390)&gt;0,N(INDEX('05-أيار'!$I$2:$I$501,V390))&gt;0,INDEX('05-أيار'!$F$2:$F$501,V390)=F390),N(I390)/N(INDEX('05-أيار'!$I$2:$I$501,V390))-1,""))</f>
        <v/>
      </c>
      <c r="AC390" t="str">
        <f>IF(L390="","",IF(AND($AO$2=1,ISNA(MATCH(L390,'07-تموز'!$L$2:$L$500,0))),"محذوف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IF(L391="","",IF($AO$1=1,IFERROR(MATCH(L391,'05-أيار'!$L$2:$L$501,0),0),0))</f>
        <v/>
      </c>
      <c r="W391" t="str">
        <f t="shared" si="131"/>
        <v/>
      </c>
      <c r="X391" s="38" t="str">
        <f>IF(L391="","",IF(V391&gt;0,INDEX('05-أيار'!$P$2:$P$501,V391),IF($AO$1=1,0,"")))</f>
        <v/>
      </c>
      <c r="Y391" s="38" t="str">
        <f t="shared" si="132"/>
        <v/>
      </c>
      <c r="Z391" s="39" t="str">
        <f>IF(L391="","",IF(V391&gt;0,INDEX('05-أيار'!$Q$2:$Q$501,V391),IF($AO$1=1,0,"")))</f>
        <v/>
      </c>
      <c r="AA391" s="39" t="str">
        <f t="shared" si="133"/>
        <v/>
      </c>
      <c r="AB391" s="40" t="str">
        <f>IF(OR(L391="",V391=0),"",IF(AND(N(I391)&gt;0,N(INDEX('05-أيار'!$I$2:$I$501,V391))&gt;0,INDEX('05-أيار'!$F$2:$F$501,V391)=F391),N(I391)/N(INDEX('05-أيار'!$I$2:$I$501,V391))-1,""))</f>
        <v/>
      </c>
      <c r="AC391" t="str">
        <f>IF(L391="","",IF(AND($AO$2=1,ISNA(MATCH(L391,'07-تموز'!$L$2:$L$500,0))),"محذوف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IF(L392="","",IF($AO$1=1,IFERROR(MATCH(L392,'05-أيار'!$L$2:$L$501,0),0),0))</f>
        <v/>
      </c>
      <c r="W392" t="str">
        <f t="shared" si="131"/>
        <v/>
      </c>
      <c r="X392" s="38" t="str">
        <f>IF(L392="","",IF(V392&gt;0,INDEX('05-أيار'!$P$2:$P$501,V392),IF($AO$1=1,0,"")))</f>
        <v/>
      </c>
      <c r="Y392" s="38" t="str">
        <f t="shared" si="132"/>
        <v/>
      </c>
      <c r="Z392" s="39" t="str">
        <f>IF(L392="","",IF(V392&gt;0,INDEX('05-أيار'!$Q$2:$Q$501,V392),IF($AO$1=1,0,"")))</f>
        <v/>
      </c>
      <c r="AA392" s="39" t="str">
        <f t="shared" si="133"/>
        <v/>
      </c>
      <c r="AB392" s="40" t="str">
        <f>IF(OR(L392="",V392=0),"",IF(AND(N(I392)&gt;0,N(INDEX('05-أيار'!$I$2:$I$501,V392))&gt;0,INDEX('05-أيار'!$F$2:$F$501,V392)=F392),N(I392)/N(INDEX('05-أيار'!$I$2:$I$501,V392))-1,""))</f>
        <v/>
      </c>
      <c r="AC392" t="str">
        <f>IF(L392="","",IF(AND($AO$2=1,ISNA(MATCH(L392,'07-تموز'!$L$2:$L$500,0))),"محذوف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IF(L393="","",IF($AO$1=1,IFERROR(MATCH(L393,'05-أيار'!$L$2:$L$501,0),0),0))</f>
        <v/>
      </c>
      <c r="W393" t="str">
        <f t="shared" si="131"/>
        <v/>
      </c>
      <c r="X393" s="38" t="str">
        <f>IF(L393="","",IF(V393&gt;0,INDEX('05-أيار'!$P$2:$P$501,V393),IF($AO$1=1,0,"")))</f>
        <v/>
      </c>
      <c r="Y393" s="38" t="str">
        <f t="shared" si="132"/>
        <v/>
      </c>
      <c r="Z393" s="39" t="str">
        <f>IF(L393="","",IF(V393&gt;0,INDEX('05-أيار'!$Q$2:$Q$501,V393),IF($AO$1=1,0,"")))</f>
        <v/>
      </c>
      <c r="AA393" s="39" t="str">
        <f t="shared" si="133"/>
        <v/>
      </c>
      <c r="AB393" s="40" t="str">
        <f>IF(OR(L393="",V393=0),"",IF(AND(N(I393)&gt;0,N(INDEX('05-أيار'!$I$2:$I$501,V393))&gt;0,INDEX('05-أيار'!$F$2:$F$501,V393)=F393),N(I393)/N(INDEX('05-أيار'!$I$2:$I$501,V393))-1,""))</f>
        <v/>
      </c>
      <c r="AC393" t="str">
        <f>IF(L393="","",IF(AND($AO$2=1,ISNA(MATCH(L393,'07-تموز'!$L$2:$L$500,0))),"محذوف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IF(L394="","",IF($AO$1=1,IFERROR(MATCH(L394,'05-أيار'!$L$2:$L$501,0),0),0))</f>
        <v/>
      </c>
      <c r="W394" t="str">
        <f t="shared" si="131"/>
        <v/>
      </c>
      <c r="X394" s="38" t="str">
        <f>IF(L394="","",IF(V394&gt;0,INDEX('05-أيار'!$P$2:$P$501,V394),IF($AO$1=1,0,"")))</f>
        <v/>
      </c>
      <c r="Y394" s="38" t="str">
        <f t="shared" si="132"/>
        <v/>
      </c>
      <c r="Z394" s="39" t="str">
        <f>IF(L394="","",IF(V394&gt;0,INDEX('05-أيار'!$Q$2:$Q$501,V394),IF($AO$1=1,0,"")))</f>
        <v/>
      </c>
      <c r="AA394" s="39" t="str">
        <f t="shared" si="133"/>
        <v/>
      </c>
      <c r="AB394" s="40" t="str">
        <f>IF(OR(L394="",V394=0),"",IF(AND(N(I394)&gt;0,N(INDEX('05-أيار'!$I$2:$I$501,V394))&gt;0,INDEX('05-أيار'!$F$2:$F$501,V394)=F394),N(I394)/N(INDEX('05-أيار'!$I$2:$I$501,V394))-1,""))</f>
        <v/>
      </c>
      <c r="AC394" t="str">
        <f>IF(L394="","",IF(AND($AO$2=1,ISNA(MATCH(L394,'07-تموز'!$L$2:$L$500,0))),"محذوف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IF(L395="","",IF($AO$1=1,IFERROR(MATCH(L395,'05-أيار'!$L$2:$L$501,0),0),0))</f>
        <v/>
      </c>
      <c r="W395" t="str">
        <f t="shared" si="131"/>
        <v/>
      </c>
      <c r="X395" s="38" t="str">
        <f>IF(L395="","",IF(V395&gt;0,INDEX('05-أيار'!$P$2:$P$501,V395),IF($AO$1=1,0,"")))</f>
        <v/>
      </c>
      <c r="Y395" s="38" t="str">
        <f t="shared" si="132"/>
        <v/>
      </c>
      <c r="Z395" s="39" t="str">
        <f>IF(L395="","",IF(V395&gt;0,INDEX('05-أيار'!$Q$2:$Q$501,V395),IF($AO$1=1,0,"")))</f>
        <v/>
      </c>
      <c r="AA395" s="39" t="str">
        <f t="shared" si="133"/>
        <v/>
      </c>
      <c r="AB395" s="40" t="str">
        <f>IF(OR(L395="",V395=0),"",IF(AND(N(I395)&gt;0,N(INDEX('05-أيار'!$I$2:$I$501,V395))&gt;0,INDEX('05-أيار'!$F$2:$F$501,V395)=F395),N(I395)/N(INDEX('05-أيار'!$I$2:$I$501,V395))-1,""))</f>
        <v/>
      </c>
      <c r="AC395" t="str">
        <f>IF(L395="","",IF(AND($AO$2=1,ISNA(MATCH(L395,'07-تموز'!$L$2:$L$500,0))),"محذوف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IF(L396="","",IF($AO$1=1,IFERROR(MATCH(L396,'05-أيار'!$L$2:$L$501,0),0),0))</f>
        <v/>
      </c>
      <c r="W396" t="str">
        <f t="shared" si="131"/>
        <v/>
      </c>
      <c r="X396" s="38" t="str">
        <f>IF(L396="","",IF(V396&gt;0,INDEX('05-أيار'!$P$2:$P$501,V396),IF($AO$1=1,0,"")))</f>
        <v/>
      </c>
      <c r="Y396" s="38" t="str">
        <f t="shared" si="132"/>
        <v/>
      </c>
      <c r="Z396" s="39" t="str">
        <f>IF(L396="","",IF(V396&gt;0,INDEX('05-أيار'!$Q$2:$Q$501,V396),IF($AO$1=1,0,"")))</f>
        <v/>
      </c>
      <c r="AA396" s="39" t="str">
        <f t="shared" si="133"/>
        <v/>
      </c>
      <c r="AB396" s="40" t="str">
        <f>IF(OR(L396="",V396=0),"",IF(AND(N(I396)&gt;0,N(INDEX('05-أيار'!$I$2:$I$501,V396))&gt;0,INDEX('05-أيار'!$F$2:$F$501,V396)=F396),N(I396)/N(INDEX('05-أيار'!$I$2:$I$501,V396))-1,""))</f>
        <v/>
      </c>
      <c r="AC396" t="str">
        <f>IF(L396="","",IF(AND($AO$2=1,ISNA(MATCH(L396,'07-تموز'!$L$2:$L$500,0))),"محذوف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IF(L397="","",IF($AO$1=1,IFERROR(MATCH(L397,'05-أيار'!$L$2:$L$501,0),0),0))</f>
        <v/>
      </c>
      <c r="W397" t="str">
        <f t="shared" si="131"/>
        <v/>
      </c>
      <c r="X397" s="38" t="str">
        <f>IF(L397="","",IF(V397&gt;0,INDEX('05-أيار'!$P$2:$P$501,V397),IF($AO$1=1,0,"")))</f>
        <v/>
      </c>
      <c r="Y397" s="38" t="str">
        <f t="shared" si="132"/>
        <v/>
      </c>
      <c r="Z397" s="39" t="str">
        <f>IF(L397="","",IF(V397&gt;0,INDEX('05-أيار'!$Q$2:$Q$501,V397),IF($AO$1=1,0,"")))</f>
        <v/>
      </c>
      <c r="AA397" s="39" t="str">
        <f t="shared" si="133"/>
        <v/>
      </c>
      <c r="AB397" s="40" t="str">
        <f>IF(OR(L397="",V397=0),"",IF(AND(N(I397)&gt;0,N(INDEX('05-أيار'!$I$2:$I$501,V397))&gt;0,INDEX('05-أيار'!$F$2:$F$501,V397)=F397),N(I397)/N(INDEX('05-أيار'!$I$2:$I$501,V397))-1,""))</f>
        <v/>
      </c>
      <c r="AC397" t="str">
        <f>IF(L397="","",IF(AND($AO$2=1,ISNA(MATCH(L397,'07-تموز'!$L$2:$L$500,0))),"محذوف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IF(L398="","",IF($AO$1=1,IFERROR(MATCH(L398,'05-أيار'!$L$2:$L$501,0),0),0))</f>
        <v/>
      </c>
      <c r="W398" t="str">
        <f t="shared" si="131"/>
        <v/>
      </c>
      <c r="X398" s="38" t="str">
        <f>IF(L398="","",IF(V398&gt;0,INDEX('05-أيار'!$P$2:$P$501,V398),IF($AO$1=1,0,"")))</f>
        <v/>
      </c>
      <c r="Y398" s="38" t="str">
        <f t="shared" si="132"/>
        <v/>
      </c>
      <c r="Z398" s="39" t="str">
        <f>IF(L398="","",IF(V398&gt;0,INDEX('05-أيار'!$Q$2:$Q$501,V398),IF($AO$1=1,0,"")))</f>
        <v/>
      </c>
      <c r="AA398" s="39" t="str">
        <f t="shared" si="133"/>
        <v/>
      </c>
      <c r="AB398" s="40" t="str">
        <f>IF(OR(L398="",V398=0),"",IF(AND(N(I398)&gt;0,N(INDEX('05-أيار'!$I$2:$I$501,V398))&gt;0,INDEX('05-أيار'!$F$2:$F$501,V398)=F398),N(I398)/N(INDEX('05-أيار'!$I$2:$I$501,V398))-1,""))</f>
        <v/>
      </c>
      <c r="AC398" t="str">
        <f>IF(L398="","",IF(AND($AO$2=1,ISNA(MATCH(L398,'07-تموز'!$L$2:$L$500,0))),"محذوف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IF(L399="","",IF($AO$1=1,IFERROR(MATCH(L399,'05-أيار'!$L$2:$L$501,0),0),0))</f>
        <v/>
      </c>
      <c r="W399" t="str">
        <f t="shared" si="131"/>
        <v/>
      </c>
      <c r="X399" s="38" t="str">
        <f>IF(L399="","",IF(V399&gt;0,INDEX('05-أيار'!$P$2:$P$501,V399),IF($AO$1=1,0,"")))</f>
        <v/>
      </c>
      <c r="Y399" s="38" t="str">
        <f t="shared" si="132"/>
        <v/>
      </c>
      <c r="Z399" s="39" t="str">
        <f>IF(L399="","",IF(V399&gt;0,INDEX('05-أيار'!$Q$2:$Q$501,V399),IF($AO$1=1,0,"")))</f>
        <v/>
      </c>
      <c r="AA399" s="39" t="str">
        <f t="shared" si="133"/>
        <v/>
      </c>
      <c r="AB399" s="40" t="str">
        <f>IF(OR(L399="",V399=0),"",IF(AND(N(I399)&gt;0,N(INDEX('05-أيار'!$I$2:$I$501,V399))&gt;0,INDEX('05-أيار'!$F$2:$F$501,V399)=F399),N(I399)/N(INDEX('05-أيار'!$I$2:$I$501,V399))-1,""))</f>
        <v/>
      </c>
      <c r="AC399" t="str">
        <f>IF(L399="","",IF(AND($AO$2=1,ISNA(MATCH(L399,'07-تموز'!$L$2:$L$500,0))),"محذوف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IF(L400="","",IF($AO$1=1,IFERROR(MATCH(L400,'05-أيار'!$L$2:$L$501,0),0),0))</f>
        <v/>
      </c>
      <c r="W400" t="str">
        <f t="shared" si="131"/>
        <v/>
      </c>
      <c r="X400" s="38" t="str">
        <f>IF(L400="","",IF(V400&gt;0,INDEX('05-أيار'!$P$2:$P$501,V400),IF($AO$1=1,0,"")))</f>
        <v/>
      </c>
      <c r="Y400" s="38" t="str">
        <f t="shared" si="132"/>
        <v/>
      </c>
      <c r="Z400" s="39" t="str">
        <f>IF(L400="","",IF(V400&gt;0,INDEX('05-أيار'!$Q$2:$Q$501,V400),IF($AO$1=1,0,"")))</f>
        <v/>
      </c>
      <c r="AA400" s="39" t="str">
        <f t="shared" si="133"/>
        <v/>
      </c>
      <c r="AB400" s="40" t="str">
        <f>IF(OR(L400="",V400=0),"",IF(AND(N(I400)&gt;0,N(INDEX('05-أيار'!$I$2:$I$501,V400))&gt;0,INDEX('05-أيار'!$F$2:$F$501,V400)=F400),N(I400)/N(INDEX('05-أيار'!$I$2:$I$501,V400))-1,""))</f>
        <v/>
      </c>
      <c r="AC400" t="str">
        <f>IF(L400="","",IF(AND($AO$2=1,ISNA(MATCH(L400,'07-تموز'!$L$2:$L$500,0))),"محذوف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IF(L401="","",IF($AO$1=1,IFERROR(MATCH(L401,'05-أيار'!$L$2:$L$501,0),0),0))</f>
        <v/>
      </c>
      <c r="W401" t="str">
        <f t="shared" si="131"/>
        <v/>
      </c>
      <c r="X401" s="38" t="str">
        <f>IF(L401="","",IF(V401&gt;0,INDEX('05-أيار'!$P$2:$P$501,V401),IF($AO$1=1,0,"")))</f>
        <v/>
      </c>
      <c r="Y401" s="38" t="str">
        <f t="shared" si="132"/>
        <v/>
      </c>
      <c r="Z401" s="39" t="str">
        <f>IF(L401="","",IF(V401&gt;0,INDEX('05-أيار'!$Q$2:$Q$501,V401),IF($AO$1=1,0,"")))</f>
        <v/>
      </c>
      <c r="AA401" s="39" t="str">
        <f t="shared" si="133"/>
        <v/>
      </c>
      <c r="AB401" s="40" t="str">
        <f>IF(OR(L401="",V401=0),"",IF(AND(N(I401)&gt;0,N(INDEX('05-أيار'!$I$2:$I$501,V401))&gt;0,INDEX('05-أيار'!$F$2:$F$501,V401)=F401),N(I401)/N(INDEX('05-أيار'!$I$2:$I$501,V401))-1,""))</f>
        <v/>
      </c>
      <c r="AC401" t="str">
        <f>IF(L401="","",IF(AND($AO$2=1,ISNA(MATCH(L401,'07-تموز'!$L$2:$L$500,0))),"محذوف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IF(L402="","",IF($AO$1=1,IFERROR(MATCH(L402,'05-أيار'!$L$2:$L$501,0),0),0))</f>
        <v/>
      </c>
      <c r="W402" t="str">
        <f t="shared" si="131"/>
        <v/>
      </c>
      <c r="X402" s="38" t="str">
        <f>IF(L402="","",IF(V402&gt;0,INDEX('05-أيار'!$P$2:$P$501,V402),IF($AO$1=1,0,"")))</f>
        <v/>
      </c>
      <c r="Y402" s="38" t="str">
        <f t="shared" si="132"/>
        <v/>
      </c>
      <c r="Z402" s="39" t="str">
        <f>IF(L402="","",IF(V402&gt;0,INDEX('05-أيار'!$Q$2:$Q$501,V402),IF($AO$1=1,0,"")))</f>
        <v/>
      </c>
      <c r="AA402" s="39" t="str">
        <f t="shared" si="133"/>
        <v/>
      </c>
      <c r="AB402" s="40" t="str">
        <f>IF(OR(L402="",V402=0),"",IF(AND(N(I402)&gt;0,N(INDEX('05-أيار'!$I$2:$I$501,V402))&gt;0,INDEX('05-أيار'!$F$2:$F$501,V402)=F402),N(I402)/N(INDEX('05-أيار'!$I$2:$I$501,V402))-1,""))</f>
        <v/>
      </c>
      <c r="AC402" t="str">
        <f>IF(L402="","",IF(AND($AO$2=1,ISNA(MATCH(L402,'07-تموز'!$L$2:$L$500,0))),"محذوف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IF(L403="","",IF($AO$1=1,IFERROR(MATCH(L403,'05-أيار'!$L$2:$L$501,0),0),0))</f>
        <v/>
      </c>
      <c r="W403" t="str">
        <f t="shared" si="131"/>
        <v/>
      </c>
      <c r="X403" s="38" t="str">
        <f>IF(L403="","",IF(V403&gt;0,INDEX('05-أيار'!$P$2:$P$501,V403),IF($AO$1=1,0,"")))</f>
        <v/>
      </c>
      <c r="Y403" s="38" t="str">
        <f t="shared" si="132"/>
        <v/>
      </c>
      <c r="Z403" s="39" t="str">
        <f>IF(L403="","",IF(V403&gt;0,INDEX('05-أيار'!$Q$2:$Q$501,V403),IF($AO$1=1,0,"")))</f>
        <v/>
      </c>
      <c r="AA403" s="39" t="str">
        <f t="shared" si="133"/>
        <v/>
      </c>
      <c r="AB403" s="40" t="str">
        <f>IF(OR(L403="",V403=0),"",IF(AND(N(I403)&gt;0,N(INDEX('05-أيار'!$I$2:$I$501,V403))&gt;0,INDEX('05-أيار'!$F$2:$F$501,V403)=F403),N(I403)/N(INDEX('05-أيار'!$I$2:$I$501,V403))-1,""))</f>
        <v/>
      </c>
      <c r="AC403" t="str">
        <f>IF(L403="","",IF(AND($AO$2=1,ISNA(MATCH(L403,'07-تموز'!$L$2:$L$500,0))),"محذوف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IF(L404="","",IF($AO$1=1,IFERROR(MATCH(L404,'05-أيار'!$L$2:$L$501,0),0),0))</f>
        <v/>
      </c>
      <c r="W404" t="str">
        <f t="shared" si="131"/>
        <v/>
      </c>
      <c r="X404" s="38" t="str">
        <f>IF(L404="","",IF(V404&gt;0,INDEX('05-أيار'!$P$2:$P$501,V404),IF($AO$1=1,0,"")))</f>
        <v/>
      </c>
      <c r="Y404" s="38" t="str">
        <f t="shared" si="132"/>
        <v/>
      </c>
      <c r="Z404" s="39" t="str">
        <f>IF(L404="","",IF(V404&gt;0,INDEX('05-أيار'!$Q$2:$Q$501,V404),IF($AO$1=1,0,"")))</f>
        <v/>
      </c>
      <c r="AA404" s="39" t="str">
        <f t="shared" si="133"/>
        <v/>
      </c>
      <c r="AB404" s="40" t="str">
        <f>IF(OR(L404="",V404=0),"",IF(AND(N(I404)&gt;0,N(INDEX('05-أيار'!$I$2:$I$501,V404))&gt;0,INDEX('05-أيار'!$F$2:$F$501,V404)=F404),N(I404)/N(INDEX('05-أيار'!$I$2:$I$501,V404))-1,""))</f>
        <v/>
      </c>
      <c r="AC404" t="str">
        <f>IF(L404="","",IF(AND($AO$2=1,ISNA(MATCH(L404,'07-تموز'!$L$2:$L$500,0))),"محذوف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IF(L405="","",IF($AO$1=1,IFERROR(MATCH(L405,'05-أيار'!$L$2:$L$501,0),0),0))</f>
        <v/>
      </c>
      <c r="W405" t="str">
        <f t="shared" si="131"/>
        <v/>
      </c>
      <c r="X405" s="38" t="str">
        <f>IF(L405="","",IF(V405&gt;0,INDEX('05-أيار'!$P$2:$P$501,V405),IF($AO$1=1,0,"")))</f>
        <v/>
      </c>
      <c r="Y405" s="38" t="str">
        <f t="shared" si="132"/>
        <v/>
      </c>
      <c r="Z405" s="39" t="str">
        <f>IF(L405="","",IF(V405&gt;0,INDEX('05-أيار'!$Q$2:$Q$501,V405),IF($AO$1=1,0,"")))</f>
        <v/>
      </c>
      <c r="AA405" s="39" t="str">
        <f t="shared" si="133"/>
        <v/>
      </c>
      <c r="AB405" s="40" t="str">
        <f>IF(OR(L405="",V405=0),"",IF(AND(N(I405)&gt;0,N(INDEX('05-أيار'!$I$2:$I$501,V405))&gt;0,INDEX('05-أيار'!$F$2:$F$501,V405)=F405),N(I405)/N(INDEX('05-أيار'!$I$2:$I$501,V405))-1,""))</f>
        <v/>
      </c>
      <c r="AC405" t="str">
        <f>IF(L405="","",IF(AND($AO$2=1,ISNA(MATCH(L405,'07-تموز'!$L$2:$L$500,0))),"محذوف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IF(L406="","",IF($AO$1=1,IFERROR(MATCH(L406,'05-أيار'!$L$2:$L$501,0),0),0))</f>
        <v/>
      </c>
      <c r="W406" t="str">
        <f t="shared" si="131"/>
        <v/>
      </c>
      <c r="X406" s="38" t="str">
        <f>IF(L406="","",IF(V406&gt;0,INDEX('05-أيار'!$P$2:$P$501,V406),IF($AO$1=1,0,"")))</f>
        <v/>
      </c>
      <c r="Y406" s="38" t="str">
        <f t="shared" si="132"/>
        <v/>
      </c>
      <c r="Z406" s="39" t="str">
        <f>IF(L406="","",IF(V406&gt;0,INDEX('05-أيار'!$Q$2:$Q$501,V406),IF($AO$1=1,0,"")))</f>
        <v/>
      </c>
      <c r="AA406" s="39" t="str">
        <f t="shared" si="133"/>
        <v/>
      </c>
      <c r="AB406" s="40" t="str">
        <f>IF(OR(L406="",V406=0),"",IF(AND(N(I406)&gt;0,N(INDEX('05-أيار'!$I$2:$I$501,V406))&gt;0,INDEX('05-أيار'!$F$2:$F$501,V406)=F406),N(I406)/N(INDEX('05-أيار'!$I$2:$I$501,V406))-1,""))</f>
        <v/>
      </c>
      <c r="AC406" t="str">
        <f>IF(L406="","",IF(AND($AO$2=1,ISNA(MATCH(L406,'07-تموز'!$L$2:$L$500,0))),"محذوف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IF(L407="","",IF($AO$1=1,IFERROR(MATCH(L407,'05-أيار'!$L$2:$L$501,0),0),0))</f>
        <v/>
      </c>
      <c r="W407" t="str">
        <f t="shared" si="131"/>
        <v/>
      </c>
      <c r="X407" s="38" t="str">
        <f>IF(L407="","",IF(V407&gt;0,INDEX('05-أيار'!$P$2:$P$501,V407),IF($AO$1=1,0,"")))</f>
        <v/>
      </c>
      <c r="Y407" s="38" t="str">
        <f t="shared" si="132"/>
        <v/>
      </c>
      <c r="Z407" s="39" t="str">
        <f>IF(L407="","",IF(V407&gt;0,INDEX('05-أيار'!$Q$2:$Q$501,V407),IF($AO$1=1,0,"")))</f>
        <v/>
      </c>
      <c r="AA407" s="39" t="str">
        <f t="shared" si="133"/>
        <v/>
      </c>
      <c r="AB407" s="40" t="str">
        <f>IF(OR(L407="",V407=0),"",IF(AND(N(I407)&gt;0,N(INDEX('05-أيار'!$I$2:$I$501,V407))&gt;0,INDEX('05-أيار'!$F$2:$F$501,V407)=F407),N(I407)/N(INDEX('05-أيار'!$I$2:$I$501,V407))-1,""))</f>
        <v/>
      </c>
      <c r="AC407" t="str">
        <f>IF(L407="","",IF(AND($AO$2=1,ISNA(MATCH(L407,'07-تموز'!$L$2:$L$500,0))),"محذوف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IF(L408="","",IF($AO$1=1,IFERROR(MATCH(L408,'05-أيار'!$L$2:$L$501,0),0),0))</f>
        <v/>
      </c>
      <c r="W408" t="str">
        <f t="shared" si="131"/>
        <v/>
      </c>
      <c r="X408" s="38" t="str">
        <f>IF(L408="","",IF(V408&gt;0,INDEX('05-أيار'!$P$2:$P$501,V408),IF($AO$1=1,0,"")))</f>
        <v/>
      </c>
      <c r="Y408" s="38" t="str">
        <f t="shared" si="132"/>
        <v/>
      </c>
      <c r="Z408" s="39" t="str">
        <f>IF(L408="","",IF(V408&gt;0,INDEX('05-أيار'!$Q$2:$Q$501,V408),IF($AO$1=1,0,"")))</f>
        <v/>
      </c>
      <c r="AA408" s="39" t="str">
        <f t="shared" si="133"/>
        <v/>
      </c>
      <c r="AB408" s="40" t="str">
        <f>IF(OR(L408="",V408=0),"",IF(AND(N(I408)&gt;0,N(INDEX('05-أيار'!$I$2:$I$501,V408))&gt;0,INDEX('05-أيار'!$F$2:$F$501,V408)=F408),N(I408)/N(INDEX('05-أيار'!$I$2:$I$501,V408))-1,""))</f>
        <v/>
      </c>
      <c r="AC408" t="str">
        <f>IF(L408="","",IF(AND($AO$2=1,ISNA(MATCH(L408,'07-تموز'!$L$2:$L$500,0))),"محذوف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IF(L409="","",IF($AO$1=1,IFERROR(MATCH(L409,'05-أيار'!$L$2:$L$501,0),0),0))</f>
        <v/>
      </c>
      <c r="W409" t="str">
        <f t="shared" si="131"/>
        <v/>
      </c>
      <c r="X409" s="38" t="str">
        <f>IF(L409="","",IF(V409&gt;0,INDEX('05-أيار'!$P$2:$P$501,V409),IF($AO$1=1,0,"")))</f>
        <v/>
      </c>
      <c r="Y409" s="38" t="str">
        <f t="shared" si="132"/>
        <v/>
      </c>
      <c r="Z409" s="39" t="str">
        <f>IF(L409="","",IF(V409&gt;0,INDEX('05-أيار'!$Q$2:$Q$501,V409),IF($AO$1=1,0,"")))</f>
        <v/>
      </c>
      <c r="AA409" s="39" t="str">
        <f t="shared" si="133"/>
        <v/>
      </c>
      <c r="AB409" s="40" t="str">
        <f>IF(OR(L409="",V409=0),"",IF(AND(N(I409)&gt;0,N(INDEX('05-أيار'!$I$2:$I$501,V409))&gt;0,INDEX('05-أيار'!$F$2:$F$501,V409)=F409),N(I409)/N(INDEX('05-أيار'!$I$2:$I$501,V409))-1,""))</f>
        <v/>
      </c>
      <c r="AC409" t="str">
        <f>IF(L409="","",IF(AND($AO$2=1,ISNA(MATCH(L409,'07-تموز'!$L$2:$L$500,0))),"محذوف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IF(L410="","",IF($AO$1=1,IFERROR(MATCH(L410,'05-أيار'!$L$2:$L$501,0),0),0))</f>
        <v/>
      </c>
      <c r="W410" t="str">
        <f t="shared" si="131"/>
        <v/>
      </c>
      <c r="X410" s="38" t="str">
        <f>IF(L410="","",IF(V410&gt;0,INDEX('05-أيار'!$P$2:$P$501,V410),IF($AO$1=1,0,"")))</f>
        <v/>
      </c>
      <c r="Y410" s="38" t="str">
        <f t="shared" si="132"/>
        <v/>
      </c>
      <c r="Z410" s="39" t="str">
        <f>IF(L410="","",IF(V410&gt;0,INDEX('05-أيار'!$Q$2:$Q$501,V410),IF($AO$1=1,0,"")))</f>
        <v/>
      </c>
      <c r="AA410" s="39" t="str">
        <f t="shared" si="133"/>
        <v/>
      </c>
      <c r="AB410" s="40" t="str">
        <f>IF(OR(L410="",V410=0),"",IF(AND(N(I410)&gt;0,N(INDEX('05-أيار'!$I$2:$I$501,V410))&gt;0,INDEX('05-أيار'!$F$2:$F$501,V410)=F410),N(I410)/N(INDEX('05-أيار'!$I$2:$I$501,V410))-1,""))</f>
        <v/>
      </c>
      <c r="AC410" t="str">
        <f>IF(L410="","",IF(AND($AO$2=1,ISNA(MATCH(L410,'07-تموز'!$L$2:$L$500,0))),"محذوف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IF(L411="","",IF($AO$1=1,IFERROR(MATCH(L411,'05-أيار'!$L$2:$L$501,0),0),0))</f>
        <v/>
      </c>
      <c r="W411" t="str">
        <f t="shared" si="131"/>
        <v/>
      </c>
      <c r="X411" s="38" t="str">
        <f>IF(L411="","",IF(V411&gt;0,INDEX('05-أيار'!$P$2:$P$501,V411),IF($AO$1=1,0,"")))</f>
        <v/>
      </c>
      <c r="Y411" s="38" t="str">
        <f t="shared" si="132"/>
        <v/>
      </c>
      <c r="Z411" s="39" t="str">
        <f>IF(L411="","",IF(V411&gt;0,INDEX('05-أيار'!$Q$2:$Q$501,V411),IF($AO$1=1,0,"")))</f>
        <v/>
      </c>
      <c r="AA411" s="39" t="str">
        <f t="shared" si="133"/>
        <v/>
      </c>
      <c r="AB411" s="40" t="str">
        <f>IF(OR(L411="",V411=0),"",IF(AND(N(I411)&gt;0,N(INDEX('05-أيار'!$I$2:$I$501,V411))&gt;0,INDEX('05-أيار'!$F$2:$F$501,V411)=F411),N(I411)/N(INDEX('05-أيار'!$I$2:$I$501,V411))-1,""))</f>
        <v/>
      </c>
      <c r="AC411" t="str">
        <f>IF(L411="","",IF(AND($AO$2=1,ISNA(MATCH(L411,'07-تموز'!$L$2:$L$500,0))),"محذوف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IF(L412="","",IF($AO$1=1,IFERROR(MATCH(L412,'05-أيار'!$L$2:$L$501,0),0),0))</f>
        <v/>
      </c>
      <c r="W412" t="str">
        <f t="shared" si="131"/>
        <v/>
      </c>
      <c r="X412" s="38" t="str">
        <f>IF(L412="","",IF(V412&gt;0,INDEX('05-أيار'!$P$2:$P$501,V412),IF($AO$1=1,0,"")))</f>
        <v/>
      </c>
      <c r="Y412" s="38" t="str">
        <f t="shared" si="132"/>
        <v/>
      </c>
      <c r="Z412" s="39" t="str">
        <f>IF(L412="","",IF(V412&gt;0,INDEX('05-أيار'!$Q$2:$Q$501,V412),IF($AO$1=1,0,"")))</f>
        <v/>
      </c>
      <c r="AA412" s="39" t="str">
        <f t="shared" si="133"/>
        <v/>
      </c>
      <c r="AB412" s="40" t="str">
        <f>IF(OR(L412="",V412=0),"",IF(AND(N(I412)&gt;0,N(INDEX('05-أيار'!$I$2:$I$501,V412))&gt;0,INDEX('05-أيار'!$F$2:$F$501,V412)=F412),N(I412)/N(INDEX('05-أيار'!$I$2:$I$501,V412))-1,""))</f>
        <v/>
      </c>
      <c r="AC412" t="str">
        <f>IF(L412="","",IF(AND($AO$2=1,ISNA(MATCH(L412,'07-تموز'!$L$2:$L$500,0))),"محذوف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IF(L413="","",IF($AO$1=1,IFERROR(MATCH(L413,'05-أيار'!$L$2:$L$501,0),0),0))</f>
        <v/>
      </c>
      <c r="W413" t="str">
        <f t="shared" si="131"/>
        <v/>
      </c>
      <c r="X413" s="38" t="str">
        <f>IF(L413="","",IF(V413&gt;0,INDEX('05-أيار'!$P$2:$P$501,V413),IF($AO$1=1,0,"")))</f>
        <v/>
      </c>
      <c r="Y413" s="38" t="str">
        <f t="shared" si="132"/>
        <v/>
      </c>
      <c r="Z413" s="39" t="str">
        <f>IF(L413="","",IF(V413&gt;0,INDEX('05-أيار'!$Q$2:$Q$501,V413),IF($AO$1=1,0,"")))</f>
        <v/>
      </c>
      <c r="AA413" s="39" t="str">
        <f t="shared" si="133"/>
        <v/>
      </c>
      <c r="AB413" s="40" t="str">
        <f>IF(OR(L413="",V413=0),"",IF(AND(N(I413)&gt;0,N(INDEX('05-أيار'!$I$2:$I$501,V413))&gt;0,INDEX('05-أيار'!$F$2:$F$501,V413)=F413),N(I413)/N(INDEX('05-أيار'!$I$2:$I$501,V413))-1,""))</f>
        <v/>
      </c>
      <c r="AC413" t="str">
        <f>IF(L413="","",IF(AND($AO$2=1,ISNA(MATCH(L413,'07-تموز'!$L$2:$L$500,0))),"محذوف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IF(L414="","",IF($AO$1=1,IFERROR(MATCH(L414,'05-أيار'!$L$2:$L$501,0),0),0))</f>
        <v/>
      </c>
      <c r="W414" t="str">
        <f t="shared" si="131"/>
        <v/>
      </c>
      <c r="X414" s="38" t="str">
        <f>IF(L414="","",IF(V414&gt;0,INDEX('05-أيار'!$P$2:$P$501,V414),IF($AO$1=1,0,"")))</f>
        <v/>
      </c>
      <c r="Y414" s="38" t="str">
        <f t="shared" si="132"/>
        <v/>
      </c>
      <c r="Z414" s="39" t="str">
        <f>IF(L414="","",IF(V414&gt;0,INDEX('05-أيار'!$Q$2:$Q$501,V414),IF($AO$1=1,0,"")))</f>
        <v/>
      </c>
      <c r="AA414" s="39" t="str">
        <f t="shared" si="133"/>
        <v/>
      </c>
      <c r="AB414" s="40" t="str">
        <f>IF(OR(L414="",V414=0),"",IF(AND(N(I414)&gt;0,N(INDEX('05-أيار'!$I$2:$I$501,V414))&gt;0,INDEX('05-أيار'!$F$2:$F$501,V414)=F414),N(I414)/N(INDEX('05-أيار'!$I$2:$I$501,V414))-1,""))</f>
        <v/>
      </c>
      <c r="AC414" t="str">
        <f>IF(L414="","",IF(AND($AO$2=1,ISNA(MATCH(L414,'07-تموز'!$L$2:$L$500,0))),"محذوف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IF(L415="","",IF($AO$1=1,IFERROR(MATCH(L415,'05-أيار'!$L$2:$L$501,0),0),0))</f>
        <v/>
      </c>
      <c r="W415" t="str">
        <f t="shared" si="131"/>
        <v/>
      </c>
      <c r="X415" s="38" t="str">
        <f>IF(L415="","",IF(V415&gt;0,INDEX('05-أيار'!$P$2:$P$501,V415),IF($AO$1=1,0,"")))</f>
        <v/>
      </c>
      <c r="Y415" s="38" t="str">
        <f t="shared" si="132"/>
        <v/>
      </c>
      <c r="Z415" s="39" t="str">
        <f>IF(L415="","",IF(V415&gt;0,INDEX('05-أيار'!$Q$2:$Q$501,V415),IF($AO$1=1,0,"")))</f>
        <v/>
      </c>
      <c r="AA415" s="39" t="str">
        <f t="shared" si="133"/>
        <v/>
      </c>
      <c r="AB415" s="40" t="str">
        <f>IF(OR(L415="",V415=0),"",IF(AND(N(I415)&gt;0,N(INDEX('05-أيار'!$I$2:$I$501,V415))&gt;0,INDEX('05-أيار'!$F$2:$F$501,V415)=F415),N(I415)/N(INDEX('05-أيار'!$I$2:$I$501,V415))-1,""))</f>
        <v/>
      </c>
      <c r="AC415" t="str">
        <f>IF(L415="","",IF(AND($AO$2=1,ISNA(MATCH(L415,'07-تموز'!$L$2:$L$500,0))),"محذوف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IF(L416="","",IF($AO$1=1,IFERROR(MATCH(L416,'05-أيار'!$L$2:$L$501,0),0),0))</f>
        <v/>
      </c>
      <c r="W416" t="str">
        <f t="shared" si="131"/>
        <v/>
      </c>
      <c r="X416" s="38" t="str">
        <f>IF(L416="","",IF(V416&gt;0,INDEX('05-أيار'!$P$2:$P$501,V416),IF($AO$1=1,0,"")))</f>
        <v/>
      </c>
      <c r="Y416" s="38" t="str">
        <f t="shared" si="132"/>
        <v/>
      </c>
      <c r="Z416" s="39" t="str">
        <f>IF(L416="","",IF(V416&gt;0,INDEX('05-أيار'!$Q$2:$Q$501,V416),IF($AO$1=1,0,"")))</f>
        <v/>
      </c>
      <c r="AA416" s="39" t="str">
        <f t="shared" si="133"/>
        <v/>
      </c>
      <c r="AB416" s="40" t="str">
        <f>IF(OR(L416="",V416=0),"",IF(AND(N(I416)&gt;0,N(INDEX('05-أيار'!$I$2:$I$501,V416))&gt;0,INDEX('05-أيار'!$F$2:$F$501,V416)=F416),N(I416)/N(INDEX('05-أيار'!$I$2:$I$501,V416))-1,""))</f>
        <v/>
      </c>
      <c r="AC416" t="str">
        <f>IF(L416="","",IF(AND($AO$2=1,ISNA(MATCH(L416,'07-تموز'!$L$2:$L$500,0))),"محذوف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IF(L417="","",IF($AO$1=1,IFERROR(MATCH(L417,'05-أيار'!$L$2:$L$501,0),0),0))</f>
        <v/>
      </c>
      <c r="W417" t="str">
        <f t="shared" si="131"/>
        <v/>
      </c>
      <c r="X417" s="38" t="str">
        <f>IF(L417="","",IF(V417&gt;0,INDEX('05-أيار'!$P$2:$P$501,V417),IF($AO$1=1,0,"")))</f>
        <v/>
      </c>
      <c r="Y417" s="38" t="str">
        <f t="shared" si="132"/>
        <v/>
      </c>
      <c r="Z417" s="39" t="str">
        <f>IF(L417="","",IF(V417&gt;0,INDEX('05-أيار'!$Q$2:$Q$501,V417),IF($AO$1=1,0,"")))</f>
        <v/>
      </c>
      <c r="AA417" s="39" t="str">
        <f t="shared" si="133"/>
        <v/>
      </c>
      <c r="AB417" s="40" t="str">
        <f>IF(OR(L417="",V417=0),"",IF(AND(N(I417)&gt;0,N(INDEX('05-أيار'!$I$2:$I$501,V417))&gt;0,INDEX('05-أيار'!$F$2:$F$501,V417)=F417),N(I417)/N(INDEX('05-أيار'!$I$2:$I$501,V417))-1,""))</f>
        <v/>
      </c>
      <c r="AC417" t="str">
        <f>IF(L417="","",IF(AND($AO$2=1,ISNA(MATCH(L417,'07-تموز'!$L$2:$L$500,0))),"محذوف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IF(L418="","",IF($AO$1=1,IFERROR(MATCH(L418,'05-أيار'!$L$2:$L$501,0),0),0))</f>
        <v/>
      </c>
      <c r="W418" t="str">
        <f t="shared" si="131"/>
        <v/>
      </c>
      <c r="X418" s="38" t="str">
        <f>IF(L418="","",IF(V418&gt;0,INDEX('05-أيار'!$P$2:$P$501,V418),IF($AO$1=1,0,"")))</f>
        <v/>
      </c>
      <c r="Y418" s="38" t="str">
        <f t="shared" si="132"/>
        <v/>
      </c>
      <c r="Z418" s="39" t="str">
        <f>IF(L418="","",IF(V418&gt;0,INDEX('05-أيار'!$Q$2:$Q$501,V418),IF($AO$1=1,0,"")))</f>
        <v/>
      </c>
      <c r="AA418" s="39" t="str">
        <f t="shared" si="133"/>
        <v/>
      </c>
      <c r="AB418" s="40" t="str">
        <f>IF(OR(L418="",V418=0),"",IF(AND(N(I418)&gt;0,N(INDEX('05-أيار'!$I$2:$I$501,V418))&gt;0,INDEX('05-أيار'!$F$2:$F$501,V418)=F418),N(I418)/N(INDEX('05-أيار'!$I$2:$I$501,V418))-1,""))</f>
        <v/>
      </c>
      <c r="AC418" t="str">
        <f>IF(L418="","",IF(AND($AO$2=1,ISNA(MATCH(L418,'07-تموز'!$L$2:$L$500,0))),"محذوف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IF(L419="","",IF($AO$1=1,IFERROR(MATCH(L419,'05-أيار'!$L$2:$L$501,0),0),0))</f>
        <v/>
      </c>
      <c r="W419" t="str">
        <f t="shared" si="131"/>
        <v/>
      </c>
      <c r="X419" s="38" t="str">
        <f>IF(L419="","",IF(V419&gt;0,INDEX('05-أيار'!$P$2:$P$501,V419),IF($AO$1=1,0,"")))</f>
        <v/>
      </c>
      <c r="Y419" s="38" t="str">
        <f t="shared" si="132"/>
        <v/>
      </c>
      <c r="Z419" s="39" t="str">
        <f>IF(L419="","",IF(V419&gt;0,INDEX('05-أيار'!$Q$2:$Q$501,V419),IF($AO$1=1,0,"")))</f>
        <v/>
      </c>
      <c r="AA419" s="39" t="str">
        <f t="shared" si="133"/>
        <v/>
      </c>
      <c r="AB419" s="40" t="str">
        <f>IF(OR(L419="",V419=0),"",IF(AND(N(I419)&gt;0,N(INDEX('05-أيار'!$I$2:$I$501,V419))&gt;0,INDEX('05-أيار'!$F$2:$F$501,V419)=F419),N(I419)/N(INDEX('05-أيار'!$I$2:$I$501,V419))-1,""))</f>
        <v/>
      </c>
      <c r="AC419" t="str">
        <f>IF(L419="","",IF(AND($AO$2=1,ISNA(MATCH(L419,'07-تموز'!$L$2:$L$500,0))),"محذوف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IF(L420="","",IF($AO$1=1,IFERROR(MATCH(L420,'05-أيار'!$L$2:$L$501,0),0),0))</f>
        <v/>
      </c>
      <c r="W420" t="str">
        <f t="shared" si="131"/>
        <v/>
      </c>
      <c r="X420" s="38" t="str">
        <f>IF(L420="","",IF(V420&gt;0,INDEX('05-أيار'!$P$2:$P$501,V420),IF($AO$1=1,0,"")))</f>
        <v/>
      </c>
      <c r="Y420" s="38" t="str">
        <f t="shared" si="132"/>
        <v/>
      </c>
      <c r="Z420" s="39" t="str">
        <f>IF(L420="","",IF(V420&gt;0,INDEX('05-أيار'!$Q$2:$Q$501,V420),IF($AO$1=1,0,"")))</f>
        <v/>
      </c>
      <c r="AA420" s="39" t="str">
        <f t="shared" si="133"/>
        <v/>
      </c>
      <c r="AB420" s="40" t="str">
        <f>IF(OR(L420="",V420=0),"",IF(AND(N(I420)&gt;0,N(INDEX('05-أيار'!$I$2:$I$501,V420))&gt;0,INDEX('05-أيار'!$F$2:$F$501,V420)=F420),N(I420)/N(INDEX('05-أيار'!$I$2:$I$501,V420))-1,""))</f>
        <v/>
      </c>
      <c r="AC420" t="str">
        <f>IF(L420="","",IF(AND($AO$2=1,ISNA(MATCH(L420,'07-تموز'!$L$2:$L$500,0))),"محذوف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IF(L421="","",IF($AO$1=1,IFERROR(MATCH(L421,'05-أيار'!$L$2:$L$501,0),0),0))</f>
        <v/>
      </c>
      <c r="W421" t="str">
        <f t="shared" si="131"/>
        <v/>
      </c>
      <c r="X421" s="38" t="str">
        <f>IF(L421="","",IF(V421&gt;0,INDEX('05-أيار'!$P$2:$P$501,V421),IF($AO$1=1,0,"")))</f>
        <v/>
      </c>
      <c r="Y421" s="38" t="str">
        <f t="shared" si="132"/>
        <v/>
      </c>
      <c r="Z421" s="39" t="str">
        <f>IF(L421="","",IF(V421&gt;0,INDEX('05-أيار'!$Q$2:$Q$501,V421),IF($AO$1=1,0,"")))</f>
        <v/>
      </c>
      <c r="AA421" s="39" t="str">
        <f t="shared" si="133"/>
        <v/>
      </c>
      <c r="AB421" s="40" t="str">
        <f>IF(OR(L421="",V421=0),"",IF(AND(N(I421)&gt;0,N(INDEX('05-أيار'!$I$2:$I$501,V421))&gt;0,INDEX('05-أيار'!$F$2:$F$501,V421)=F421),N(I421)/N(INDEX('05-أيار'!$I$2:$I$501,V421))-1,""))</f>
        <v/>
      </c>
      <c r="AC421" t="str">
        <f>IF(L421="","",IF(AND($AO$2=1,ISNA(MATCH(L421,'07-تموز'!$L$2:$L$500,0))),"محذوف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IF(L422="","",IF($AO$1=1,IFERROR(MATCH(L422,'05-أيار'!$L$2:$L$501,0),0),0))</f>
        <v/>
      </c>
      <c r="W422" t="str">
        <f t="shared" si="131"/>
        <v/>
      </c>
      <c r="X422" s="38" t="str">
        <f>IF(L422="","",IF(V422&gt;0,INDEX('05-أيار'!$P$2:$P$501,V422),IF($AO$1=1,0,"")))</f>
        <v/>
      </c>
      <c r="Y422" s="38" t="str">
        <f t="shared" si="132"/>
        <v/>
      </c>
      <c r="Z422" s="39" t="str">
        <f>IF(L422="","",IF(V422&gt;0,INDEX('05-أيار'!$Q$2:$Q$501,V422),IF($AO$1=1,0,"")))</f>
        <v/>
      </c>
      <c r="AA422" s="39" t="str">
        <f t="shared" si="133"/>
        <v/>
      </c>
      <c r="AB422" s="40" t="str">
        <f>IF(OR(L422="",V422=0),"",IF(AND(N(I422)&gt;0,N(INDEX('05-أيار'!$I$2:$I$501,V422))&gt;0,INDEX('05-أيار'!$F$2:$F$501,V422)=F422),N(I422)/N(INDEX('05-أيار'!$I$2:$I$501,V422))-1,""))</f>
        <v/>
      </c>
      <c r="AC422" t="str">
        <f>IF(L422="","",IF(AND($AO$2=1,ISNA(MATCH(L422,'07-تموز'!$L$2:$L$500,0))),"محذوف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IF(L423="","",IF($AO$1=1,IFERROR(MATCH(L423,'05-أيار'!$L$2:$L$501,0),0),0))</f>
        <v/>
      </c>
      <c r="W423" t="str">
        <f t="shared" si="131"/>
        <v/>
      </c>
      <c r="X423" s="38" t="str">
        <f>IF(L423="","",IF(V423&gt;0,INDEX('05-أيار'!$P$2:$P$501,V423),IF($AO$1=1,0,"")))</f>
        <v/>
      </c>
      <c r="Y423" s="38" t="str">
        <f t="shared" si="132"/>
        <v/>
      </c>
      <c r="Z423" s="39" t="str">
        <f>IF(L423="","",IF(V423&gt;0,INDEX('05-أيار'!$Q$2:$Q$501,V423),IF($AO$1=1,0,"")))</f>
        <v/>
      </c>
      <c r="AA423" s="39" t="str">
        <f t="shared" si="133"/>
        <v/>
      </c>
      <c r="AB423" s="40" t="str">
        <f>IF(OR(L423="",V423=0),"",IF(AND(N(I423)&gt;0,N(INDEX('05-أيار'!$I$2:$I$501,V423))&gt;0,INDEX('05-أيار'!$F$2:$F$501,V423)=F423),N(I423)/N(INDEX('05-أيار'!$I$2:$I$501,V423))-1,""))</f>
        <v/>
      </c>
      <c r="AC423" t="str">
        <f>IF(L423="","",IF(AND($AO$2=1,ISNA(MATCH(L423,'07-تموز'!$L$2:$L$500,0))),"محذوف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IF(L424="","",IF($AO$1=1,IFERROR(MATCH(L424,'05-أيار'!$L$2:$L$501,0),0),0))</f>
        <v/>
      </c>
      <c r="W424" t="str">
        <f t="shared" si="131"/>
        <v/>
      </c>
      <c r="X424" s="38" t="str">
        <f>IF(L424="","",IF(V424&gt;0,INDEX('05-أيار'!$P$2:$P$501,V424),IF($AO$1=1,0,"")))</f>
        <v/>
      </c>
      <c r="Y424" s="38" t="str">
        <f t="shared" si="132"/>
        <v/>
      </c>
      <c r="Z424" s="39" t="str">
        <f>IF(L424="","",IF(V424&gt;0,INDEX('05-أيار'!$Q$2:$Q$501,V424),IF($AO$1=1,0,"")))</f>
        <v/>
      </c>
      <c r="AA424" s="39" t="str">
        <f t="shared" si="133"/>
        <v/>
      </c>
      <c r="AB424" s="40" t="str">
        <f>IF(OR(L424="",V424=0),"",IF(AND(N(I424)&gt;0,N(INDEX('05-أيار'!$I$2:$I$501,V424))&gt;0,INDEX('05-أيار'!$F$2:$F$501,V424)=F424),N(I424)/N(INDEX('05-أيار'!$I$2:$I$501,V424))-1,""))</f>
        <v/>
      </c>
      <c r="AC424" t="str">
        <f>IF(L424="","",IF(AND($AO$2=1,ISNA(MATCH(L424,'07-تموز'!$L$2:$L$500,0))),"محذوف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IF(L425="","",IF($AO$1=1,IFERROR(MATCH(L425,'05-أيار'!$L$2:$L$501,0),0),0))</f>
        <v/>
      </c>
      <c r="W425" t="str">
        <f t="shared" si="131"/>
        <v/>
      </c>
      <c r="X425" s="38" t="str">
        <f>IF(L425="","",IF(V425&gt;0,INDEX('05-أيار'!$P$2:$P$501,V425),IF($AO$1=1,0,"")))</f>
        <v/>
      </c>
      <c r="Y425" s="38" t="str">
        <f t="shared" si="132"/>
        <v/>
      </c>
      <c r="Z425" s="39" t="str">
        <f>IF(L425="","",IF(V425&gt;0,INDEX('05-أيار'!$Q$2:$Q$501,V425),IF($AO$1=1,0,"")))</f>
        <v/>
      </c>
      <c r="AA425" s="39" t="str">
        <f t="shared" si="133"/>
        <v/>
      </c>
      <c r="AB425" s="40" t="str">
        <f>IF(OR(L425="",V425=0),"",IF(AND(N(I425)&gt;0,N(INDEX('05-أيار'!$I$2:$I$501,V425))&gt;0,INDEX('05-أيار'!$F$2:$F$501,V425)=F425),N(I425)/N(INDEX('05-أيار'!$I$2:$I$501,V425))-1,""))</f>
        <v/>
      </c>
      <c r="AC425" t="str">
        <f>IF(L425="","",IF(AND($AO$2=1,ISNA(MATCH(L425,'07-تموز'!$L$2:$L$500,0))),"محذوف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IF(L426="","",IF($AO$1=1,IFERROR(MATCH(L426,'05-أيار'!$L$2:$L$501,0),0),0))</f>
        <v/>
      </c>
      <c r="W426" t="str">
        <f t="shared" si="131"/>
        <v/>
      </c>
      <c r="X426" s="38" t="str">
        <f>IF(L426="","",IF(V426&gt;0,INDEX('05-أيار'!$P$2:$P$501,V426),IF($AO$1=1,0,"")))</f>
        <v/>
      </c>
      <c r="Y426" s="38" t="str">
        <f t="shared" si="132"/>
        <v/>
      </c>
      <c r="Z426" s="39" t="str">
        <f>IF(L426="","",IF(V426&gt;0,INDEX('05-أيار'!$Q$2:$Q$501,V426),IF($AO$1=1,0,"")))</f>
        <v/>
      </c>
      <c r="AA426" s="39" t="str">
        <f t="shared" si="133"/>
        <v/>
      </c>
      <c r="AB426" s="40" t="str">
        <f>IF(OR(L426="",V426=0),"",IF(AND(N(I426)&gt;0,N(INDEX('05-أيار'!$I$2:$I$501,V426))&gt;0,INDEX('05-أيار'!$F$2:$F$501,V426)=F426),N(I426)/N(INDEX('05-أيار'!$I$2:$I$501,V426))-1,""))</f>
        <v/>
      </c>
      <c r="AC426" t="str">
        <f>IF(L426="","",IF(AND($AO$2=1,ISNA(MATCH(L426,'07-تموز'!$L$2:$L$500,0))),"محذوف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IF(L427="","",IF($AO$1=1,IFERROR(MATCH(L427,'05-أيار'!$L$2:$L$501,0),0),0))</f>
        <v/>
      </c>
      <c r="W427" t="str">
        <f t="shared" si="131"/>
        <v/>
      </c>
      <c r="X427" s="38" t="str">
        <f>IF(L427="","",IF(V427&gt;0,INDEX('05-أيار'!$P$2:$P$501,V427),IF($AO$1=1,0,"")))</f>
        <v/>
      </c>
      <c r="Y427" s="38" t="str">
        <f t="shared" si="132"/>
        <v/>
      </c>
      <c r="Z427" s="39" t="str">
        <f>IF(L427="","",IF(V427&gt;0,INDEX('05-أيار'!$Q$2:$Q$501,V427),IF($AO$1=1,0,"")))</f>
        <v/>
      </c>
      <c r="AA427" s="39" t="str">
        <f t="shared" si="133"/>
        <v/>
      </c>
      <c r="AB427" s="40" t="str">
        <f>IF(OR(L427="",V427=0),"",IF(AND(N(I427)&gt;0,N(INDEX('05-أيار'!$I$2:$I$501,V427))&gt;0,INDEX('05-أيار'!$F$2:$F$501,V427)=F427),N(I427)/N(INDEX('05-أيار'!$I$2:$I$501,V427))-1,""))</f>
        <v/>
      </c>
      <c r="AC427" t="str">
        <f>IF(L427="","",IF(AND($AO$2=1,ISNA(MATCH(L427,'07-تموز'!$L$2:$L$500,0))),"محذوف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IF(L428="","",IF($AO$1=1,IFERROR(MATCH(L428,'05-أيار'!$L$2:$L$501,0),0),0))</f>
        <v/>
      </c>
      <c r="W428" t="str">
        <f t="shared" si="131"/>
        <v/>
      </c>
      <c r="X428" s="38" t="str">
        <f>IF(L428="","",IF(V428&gt;0,INDEX('05-أيار'!$P$2:$P$501,V428),IF($AO$1=1,0,"")))</f>
        <v/>
      </c>
      <c r="Y428" s="38" t="str">
        <f t="shared" si="132"/>
        <v/>
      </c>
      <c r="Z428" s="39" t="str">
        <f>IF(L428="","",IF(V428&gt;0,INDEX('05-أيار'!$Q$2:$Q$501,V428),IF($AO$1=1,0,"")))</f>
        <v/>
      </c>
      <c r="AA428" s="39" t="str">
        <f t="shared" si="133"/>
        <v/>
      </c>
      <c r="AB428" s="40" t="str">
        <f>IF(OR(L428="",V428=0),"",IF(AND(N(I428)&gt;0,N(INDEX('05-أيار'!$I$2:$I$501,V428))&gt;0,INDEX('05-أيار'!$F$2:$F$501,V428)=F428),N(I428)/N(INDEX('05-أيار'!$I$2:$I$501,V428))-1,""))</f>
        <v/>
      </c>
      <c r="AC428" t="str">
        <f>IF(L428="","",IF(AND($AO$2=1,ISNA(MATCH(L428,'07-تموز'!$L$2:$L$500,0))),"محذوف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IF(L429="","",IF($AO$1=1,IFERROR(MATCH(L429,'05-أيار'!$L$2:$L$501,0),0),0))</f>
        <v/>
      </c>
      <c r="W429" t="str">
        <f t="shared" si="131"/>
        <v/>
      </c>
      <c r="X429" s="38" t="str">
        <f>IF(L429="","",IF(V429&gt;0,INDEX('05-أيار'!$P$2:$P$501,V429),IF($AO$1=1,0,"")))</f>
        <v/>
      </c>
      <c r="Y429" s="38" t="str">
        <f t="shared" si="132"/>
        <v/>
      </c>
      <c r="Z429" s="39" t="str">
        <f>IF(L429="","",IF(V429&gt;0,INDEX('05-أيار'!$Q$2:$Q$501,V429),IF($AO$1=1,0,"")))</f>
        <v/>
      </c>
      <c r="AA429" s="39" t="str">
        <f t="shared" si="133"/>
        <v/>
      </c>
      <c r="AB429" s="40" t="str">
        <f>IF(OR(L429="",V429=0),"",IF(AND(N(I429)&gt;0,N(INDEX('05-أيار'!$I$2:$I$501,V429))&gt;0,INDEX('05-أيار'!$F$2:$F$501,V429)=F429),N(I429)/N(INDEX('05-أيار'!$I$2:$I$501,V429))-1,""))</f>
        <v/>
      </c>
      <c r="AC429" t="str">
        <f>IF(L429="","",IF(AND($AO$2=1,ISNA(MATCH(L429,'07-تموز'!$L$2:$L$500,0))),"محذوف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IF(L430="","",IF($AO$1=1,IFERROR(MATCH(L430,'05-أيار'!$L$2:$L$501,0),0),0))</f>
        <v/>
      </c>
      <c r="W430" t="str">
        <f t="shared" si="131"/>
        <v/>
      </c>
      <c r="X430" s="38" t="str">
        <f>IF(L430="","",IF(V430&gt;0,INDEX('05-أيار'!$P$2:$P$501,V430),IF($AO$1=1,0,"")))</f>
        <v/>
      </c>
      <c r="Y430" s="38" t="str">
        <f t="shared" si="132"/>
        <v/>
      </c>
      <c r="Z430" s="39" t="str">
        <f>IF(L430="","",IF(V430&gt;0,INDEX('05-أيار'!$Q$2:$Q$501,V430),IF($AO$1=1,0,"")))</f>
        <v/>
      </c>
      <c r="AA430" s="39" t="str">
        <f t="shared" si="133"/>
        <v/>
      </c>
      <c r="AB430" s="40" t="str">
        <f>IF(OR(L430="",V430=0),"",IF(AND(N(I430)&gt;0,N(INDEX('05-أيار'!$I$2:$I$501,V430))&gt;0,INDEX('05-أيار'!$F$2:$F$501,V430)=F430),N(I430)/N(INDEX('05-أيار'!$I$2:$I$501,V430))-1,""))</f>
        <v/>
      </c>
      <c r="AC430" t="str">
        <f>IF(L430="","",IF(AND($AO$2=1,ISNA(MATCH(L430,'07-تموز'!$L$2:$L$500,0))),"محذوف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IF(L431="","",IF($AO$1=1,IFERROR(MATCH(L431,'05-أيار'!$L$2:$L$501,0),0),0))</f>
        <v/>
      </c>
      <c r="W431" t="str">
        <f t="shared" si="131"/>
        <v/>
      </c>
      <c r="X431" s="38" t="str">
        <f>IF(L431="","",IF(V431&gt;0,INDEX('05-أيار'!$P$2:$P$501,V431),IF($AO$1=1,0,"")))</f>
        <v/>
      </c>
      <c r="Y431" s="38" t="str">
        <f t="shared" si="132"/>
        <v/>
      </c>
      <c r="Z431" s="39" t="str">
        <f>IF(L431="","",IF(V431&gt;0,INDEX('05-أيار'!$Q$2:$Q$501,V431),IF($AO$1=1,0,"")))</f>
        <v/>
      </c>
      <c r="AA431" s="39" t="str">
        <f t="shared" si="133"/>
        <v/>
      </c>
      <c r="AB431" s="40" t="str">
        <f>IF(OR(L431="",V431=0),"",IF(AND(N(I431)&gt;0,N(INDEX('05-أيار'!$I$2:$I$501,V431))&gt;0,INDEX('05-أيار'!$F$2:$F$501,V431)=F431),N(I431)/N(INDEX('05-أيار'!$I$2:$I$501,V431))-1,""))</f>
        <v/>
      </c>
      <c r="AC431" t="str">
        <f>IF(L431="","",IF(AND($AO$2=1,ISNA(MATCH(L431,'07-تموز'!$L$2:$L$500,0))),"محذوف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IF(L432="","",IF($AO$1=1,IFERROR(MATCH(L432,'05-أيار'!$L$2:$L$501,0),0),0))</f>
        <v/>
      </c>
      <c r="W432" t="str">
        <f t="shared" si="131"/>
        <v/>
      </c>
      <c r="X432" s="38" t="str">
        <f>IF(L432="","",IF(V432&gt;0,INDEX('05-أيار'!$P$2:$P$501,V432),IF($AO$1=1,0,"")))</f>
        <v/>
      </c>
      <c r="Y432" s="38" t="str">
        <f t="shared" si="132"/>
        <v/>
      </c>
      <c r="Z432" s="39" t="str">
        <f>IF(L432="","",IF(V432&gt;0,INDEX('05-أيار'!$Q$2:$Q$501,V432),IF($AO$1=1,0,"")))</f>
        <v/>
      </c>
      <c r="AA432" s="39" t="str">
        <f t="shared" si="133"/>
        <v/>
      </c>
      <c r="AB432" s="40" t="str">
        <f>IF(OR(L432="",V432=0),"",IF(AND(N(I432)&gt;0,N(INDEX('05-أيار'!$I$2:$I$501,V432))&gt;0,INDEX('05-أيار'!$F$2:$F$501,V432)=F432),N(I432)/N(INDEX('05-أيار'!$I$2:$I$501,V432))-1,""))</f>
        <v/>
      </c>
      <c r="AC432" t="str">
        <f>IF(L432="","",IF(AND($AO$2=1,ISNA(MATCH(L432,'07-تموز'!$L$2:$L$500,0))),"محذوف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IF(L433="","",IF($AO$1=1,IFERROR(MATCH(L433,'05-أيار'!$L$2:$L$501,0),0),0))</f>
        <v/>
      </c>
      <c r="W433" t="str">
        <f t="shared" si="131"/>
        <v/>
      </c>
      <c r="X433" s="38" t="str">
        <f>IF(L433="","",IF(V433&gt;0,INDEX('05-أيار'!$P$2:$P$501,V433),IF($AO$1=1,0,"")))</f>
        <v/>
      </c>
      <c r="Y433" s="38" t="str">
        <f t="shared" si="132"/>
        <v/>
      </c>
      <c r="Z433" s="39" t="str">
        <f>IF(L433="","",IF(V433&gt;0,INDEX('05-أيار'!$Q$2:$Q$501,V433),IF($AO$1=1,0,"")))</f>
        <v/>
      </c>
      <c r="AA433" s="39" t="str">
        <f t="shared" si="133"/>
        <v/>
      </c>
      <c r="AB433" s="40" t="str">
        <f>IF(OR(L433="",V433=0),"",IF(AND(N(I433)&gt;0,N(INDEX('05-أيار'!$I$2:$I$501,V433))&gt;0,INDEX('05-أيار'!$F$2:$F$501,V433)=F433),N(I433)/N(INDEX('05-أيار'!$I$2:$I$501,V433))-1,""))</f>
        <v/>
      </c>
      <c r="AC433" t="str">
        <f>IF(L433="","",IF(AND($AO$2=1,ISNA(MATCH(L433,'07-تموز'!$L$2:$L$500,0))),"محذوف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IF(L434="","",IF($AO$1=1,IFERROR(MATCH(L434,'05-أيار'!$L$2:$L$501,0),0),0))</f>
        <v/>
      </c>
      <c r="W434" t="str">
        <f t="shared" si="131"/>
        <v/>
      </c>
      <c r="X434" s="38" t="str">
        <f>IF(L434="","",IF(V434&gt;0,INDEX('05-أيار'!$P$2:$P$501,V434),IF($AO$1=1,0,"")))</f>
        <v/>
      </c>
      <c r="Y434" s="38" t="str">
        <f t="shared" si="132"/>
        <v/>
      </c>
      <c r="Z434" s="39" t="str">
        <f>IF(L434="","",IF(V434&gt;0,INDEX('05-أيار'!$Q$2:$Q$501,V434),IF($AO$1=1,0,"")))</f>
        <v/>
      </c>
      <c r="AA434" s="39" t="str">
        <f t="shared" si="133"/>
        <v/>
      </c>
      <c r="AB434" s="40" t="str">
        <f>IF(OR(L434="",V434=0),"",IF(AND(N(I434)&gt;0,N(INDEX('05-أيار'!$I$2:$I$501,V434))&gt;0,INDEX('05-أيار'!$F$2:$F$501,V434)=F434),N(I434)/N(INDEX('05-أيار'!$I$2:$I$501,V434))-1,""))</f>
        <v/>
      </c>
      <c r="AC434" t="str">
        <f>IF(L434="","",IF(AND($AO$2=1,ISNA(MATCH(L434,'07-تموز'!$L$2:$L$500,0))),"محذوف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IF(L435="","",IF($AO$1=1,IFERROR(MATCH(L435,'05-أيار'!$L$2:$L$501,0),0),0))</f>
        <v/>
      </c>
      <c r="W435" t="str">
        <f t="shared" si="131"/>
        <v/>
      </c>
      <c r="X435" s="38" t="str">
        <f>IF(L435="","",IF(V435&gt;0,INDEX('05-أيار'!$P$2:$P$501,V435),IF($AO$1=1,0,"")))</f>
        <v/>
      </c>
      <c r="Y435" s="38" t="str">
        <f t="shared" si="132"/>
        <v/>
      </c>
      <c r="Z435" s="39" t="str">
        <f>IF(L435="","",IF(V435&gt;0,INDEX('05-أيار'!$Q$2:$Q$501,V435),IF($AO$1=1,0,"")))</f>
        <v/>
      </c>
      <c r="AA435" s="39" t="str">
        <f t="shared" si="133"/>
        <v/>
      </c>
      <c r="AB435" s="40" t="str">
        <f>IF(OR(L435="",V435=0),"",IF(AND(N(I435)&gt;0,N(INDEX('05-أيار'!$I$2:$I$501,V435))&gt;0,INDEX('05-أيار'!$F$2:$F$501,V435)=F435),N(I435)/N(INDEX('05-أيار'!$I$2:$I$501,V435))-1,""))</f>
        <v/>
      </c>
      <c r="AC435" t="str">
        <f>IF(L435="","",IF(AND($AO$2=1,ISNA(MATCH(L435,'07-تموز'!$L$2:$L$500,0))),"محذوف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IF(L436="","",IF($AO$1=1,IFERROR(MATCH(L436,'05-أيار'!$L$2:$L$501,0),0),0))</f>
        <v/>
      </c>
      <c r="W436" t="str">
        <f t="shared" si="131"/>
        <v/>
      </c>
      <c r="X436" s="38" t="str">
        <f>IF(L436="","",IF(V436&gt;0,INDEX('05-أيار'!$P$2:$P$501,V436),IF($AO$1=1,0,"")))</f>
        <v/>
      </c>
      <c r="Y436" s="38" t="str">
        <f t="shared" si="132"/>
        <v/>
      </c>
      <c r="Z436" s="39" t="str">
        <f>IF(L436="","",IF(V436&gt;0,INDEX('05-أيار'!$Q$2:$Q$501,V436),IF($AO$1=1,0,"")))</f>
        <v/>
      </c>
      <c r="AA436" s="39" t="str">
        <f t="shared" si="133"/>
        <v/>
      </c>
      <c r="AB436" s="40" t="str">
        <f>IF(OR(L436="",V436=0),"",IF(AND(N(I436)&gt;0,N(INDEX('05-أيار'!$I$2:$I$501,V436))&gt;0,INDEX('05-أيار'!$F$2:$F$501,V436)=F436),N(I436)/N(INDEX('05-أيار'!$I$2:$I$501,V436))-1,""))</f>
        <v/>
      </c>
      <c r="AC436" t="str">
        <f>IF(L436="","",IF(AND($AO$2=1,ISNA(MATCH(L436,'07-تموز'!$L$2:$L$500,0))),"محذوف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IF(L437="","",IF($AO$1=1,IFERROR(MATCH(L437,'05-أيار'!$L$2:$L$501,0),0),0))</f>
        <v/>
      </c>
      <c r="W437" t="str">
        <f t="shared" si="131"/>
        <v/>
      </c>
      <c r="X437" s="38" t="str">
        <f>IF(L437="","",IF(V437&gt;0,INDEX('05-أيار'!$P$2:$P$501,V437),IF($AO$1=1,0,"")))</f>
        <v/>
      </c>
      <c r="Y437" s="38" t="str">
        <f t="shared" si="132"/>
        <v/>
      </c>
      <c r="Z437" s="39" t="str">
        <f>IF(L437="","",IF(V437&gt;0,INDEX('05-أيار'!$Q$2:$Q$501,V437),IF($AO$1=1,0,"")))</f>
        <v/>
      </c>
      <c r="AA437" s="39" t="str">
        <f t="shared" si="133"/>
        <v/>
      </c>
      <c r="AB437" s="40" t="str">
        <f>IF(OR(L437="",V437=0),"",IF(AND(N(I437)&gt;0,N(INDEX('05-أيار'!$I$2:$I$501,V437))&gt;0,INDEX('05-أيار'!$F$2:$F$501,V437)=F437),N(I437)/N(INDEX('05-أيار'!$I$2:$I$501,V437))-1,""))</f>
        <v/>
      </c>
      <c r="AC437" t="str">
        <f>IF(L437="","",IF(AND($AO$2=1,ISNA(MATCH(L437,'07-تموز'!$L$2:$L$500,0))),"محذوف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IF(L438="","",IF($AO$1=1,IFERROR(MATCH(L438,'05-أيار'!$L$2:$L$501,0),0),0))</f>
        <v/>
      </c>
      <c r="W438" t="str">
        <f t="shared" si="131"/>
        <v/>
      </c>
      <c r="X438" s="38" t="str">
        <f>IF(L438="","",IF(V438&gt;0,INDEX('05-أيار'!$P$2:$P$501,V438),IF($AO$1=1,0,"")))</f>
        <v/>
      </c>
      <c r="Y438" s="38" t="str">
        <f t="shared" si="132"/>
        <v/>
      </c>
      <c r="Z438" s="39" t="str">
        <f>IF(L438="","",IF(V438&gt;0,INDEX('05-أيار'!$Q$2:$Q$501,V438),IF($AO$1=1,0,"")))</f>
        <v/>
      </c>
      <c r="AA438" s="39" t="str">
        <f t="shared" si="133"/>
        <v/>
      </c>
      <c r="AB438" s="40" t="str">
        <f>IF(OR(L438="",V438=0),"",IF(AND(N(I438)&gt;0,N(INDEX('05-أيار'!$I$2:$I$501,V438))&gt;0,INDEX('05-أيار'!$F$2:$F$501,V438)=F438),N(I438)/N(INDEX('05-أيار'!$I$2:$I$501,V438))-1,""))</f>
        <v/>
      </c>
      <c r="AC438" t="str">
        <f>IF(L438="","",IF(AND($AO$2=1,ISNA(MATCH(L438,'07-تموز'!$L$2:$L$500,0))),"محذوف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IF(L439="","",IF($AO$1=1,IFERROR(MATCH(L439,'05-أيار'!$L$2:$L$501,0),0),0))</f>
        <v/>
      </c>
      <c r="W439" t="str">
        <f t="shared" si="131"/>
        <v/>
      </c>
      <c r="X439" s="38" t="str">
        <f>IF(L439="","",IF(V439&gt;0,INDEX('05-أيار'!$P$2:$P$501,V439),IF($AO$1=1,0,"")))</f>
        <v/>
      </c>
      <c r="Y439" s="38" t="str">
        <f t="shared" si="132"/>
        <v/>
      </c>
      <c r="Z439" s="39" t="str">
        <f>IF(L439="","",IF(V439&gt;0,INDEX('05-أيار'!$Q$2:$Q$501,V439),IF($AO$1=1,0,"")))</f>
        <v/>
      </c>
      <c r="AA439" s="39" t="str">
        <f t="shared" si="133"/>
        <v/>
      </c>
      <c r="AB439" s="40" t="str">
        <f>IF(OR(L439="",V439=0),"",IF(AND(N(I439)&gt;0,N(INDEX('05-أيار'!$I$2:$I$501,V439))&gt;0,INDEX('05-أيار'!$F$2:$F$501,V439)=F439),N(I439)/N(INDEX('05-أيار'!$I$2:$I$501,V439))-1,""))</f>
        <v/>
      </c>
      <c r="AC439" t="str">
        <f>IF(L439="","",IF(AND($AO$2=1,ISNA(MATCH(L439,'07-تموز'!$L$2:$L$500,0))),"محذوف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IF(L440="","",IF($AO$1=1,IFERROR(MATCH(L440,'05-أيار'!$L$2:$L$501,0),0),0))</f>
        <v/>
      </c>
      <c r="W440" t="str">
        <f t="shared" si="131"/>
        <v/>
      </c>
      <c r="X440" s="38" t="str">
        <f>IF(L440="","",IF(V440&gt;0,INDEX('05-أيار'!$P$2:$P$501,V440),IF($AO$1=1,0,"")))</f>
        <v/>
      </c>
      <c r="Y440" s="38" t="str">
        <f t="shared" si="132"/>
        <v/>
      </c>
      <c r="Z440" s="39" t="str">
        <f>IF(L440="","",IF(V440&gt;0,INDEX('05-أيار'!$Q$2:$Q$501,V440),IF($AO$1=1,0,"")))</f>
        <v/>
      </c>
      <c r="AA440" s="39" t="str">
        <f t="shared" si="133"/>
        <v/>
      </c>
      <c r="AB440" s="40" t="str">
        <f>IF(OR(L440="",V440=0),"",IF(AND(N(I440)&gt;0,N(INDEX('05-أيار'!$I$2:$I$501,V440))&gt;0,INDEX('05-أيار'!$F$2:$F$501,V440)=F440),N(I440)/N(INDEX('05-أيار'!$I$2:$I$501,V440))-1,""))</f>
        <v/>
      </c>
      <c r="AC440" t="str">
        <f>IF(L440="","",IF(AND($AO$2=1,ISNA(MATCH(L440,'07-تموز'!$L$2:$L$500,0))),"محذوف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IF(L441="","",IF($AO$1=1,IFERROR(MATCH(L441,'05-أيار'!$L$2:$L$501,0),0),0))</f>
        <v/>
      </c>
      <c r="W441" t="str">
        <f t="shared" si="131"/>
        <v/>
      </c>
      <c r="X441" s="38" t="str">
        <f>IF(L441="","",IF(V441&gt;0,INDEX('05-أيار'!$P$2:$P$501,V441),IF($AO$1=1,0,"")))</f>
        <v/>
      </c>
      <c r="Y441" s="38" t="str">
        <f t="shared" si="132"/>
        <v/>
      </c>
      <c r="Z441" s="39" t="str">
        <f>IF(L441="","",IF(V441&gt;0,INDEX('05-أيار'!$Q$2:$Q$501,V441),IF($AO$1=1,0,"")))</f>
        <v/>
      </c>
      <c r="AA441" s="39" t="str">
        <f t="shared" si="133"/>
        <v/>
      </c>
      <c r="AB441" s="40" t="str">
        <f>IF(OR(L441="",V441=0),"",IF(AND(N(I441)&gt;0,N(INDEX('05-أيار'!$I$2:$I$501,V441))&gt;0,INDEX('05-أيار'!$F$2:$F$501,V441)=F441),N(I441)/N(INDEX('05-أيار'!$I$2:$I$501,V441))-1,""))</f>
        <v/>
      </c>
      <c r="AC441" t="str">
        <f>IF(L441="","",IF(AND($AO$2=1,ISNA(MATCH(L441,'07-تموز'!$L$2:$L$500,0))),"محذوف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IF(L442="","",IF($AO$1=1,IFERROR(MATCH(L442,'05-أيار'!$L$2:$L$501,0),0),0))</f>
        <v/>
      </c>
      <c r="W442" t="str">
        <f t="shared" si="131"/>
        <v/>
      </c>
      <c r="X442" s="38" t="str">
        <f>IF(L442="","",IF(V442&gt;0,INDEX('05-أيار'!$P$2:$P$501,V442),IF($AO$1=1,0,"")))</f>
        <v/>
      </c>
      <c r="Y442" s="38" t="str">
        <f t="shared" si="132"/>
        <v/>
      </c>
      <c r="Z442" s="39" t="str">
        <f>IF(L442="","",IF(V442&gt;0,INDEX('05-أيار'!$Q$2:$Q$501,V442),IF($AO$1=1,0,"")))</f>
        <v/>
      </c>
      <c r="AA442" s="39" t="str">
        <f t="shared" si="133"/>
        <v/>
      </c>
      <c r="AB442" s="40" t="str">
        <f>IF(OR(L442="",V442=0),"",IF(AND(N(I442)&gt;0,N(INDEX('05-أيار'!$I$2:$I$501,V442))&gt;0,INDEX('05-أيار'!$F$2:$F$501,V442)=F442),N(I442)/N(INDEX('05-أيار'!$I$2:$I$501,V442))-1,""))</f>
        <v/>
      </c>
      <c r="AC442" t="str">
        <f>IF(L442="","",IF(AND($AO$2=1,ISNA(MATCH(L442,'07-تموز'!$L$2:$L$500,0))),"محذوف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IF(L443="","",IF($AO$1=1,IFERROR(MATCH(L443,'05-أيار'!$L$2:$L$501,0),0),0))</f>
        <v/>
      </c>
      <c r="W443" t="str">
        <f t="shared" si="131"/>
        <v/>
      </c>
      <c r="X443" s="38" t="str">
        <f>IF(L443="","",IF(V443&gt;0,INDEX('05-أيار'!$P$2:$P$501,V443),IF($AO$1=1,0,"")))</f>
        <v/>
      </c>
      <c r="Y443" s="38" t="str">
        <f t="shared" si="132"/>
        <v/>
      </c>
      <c r="Z443" s="39" t="str">
        <f>IF(L443="","",IF(V443&gt;0,INDEX('05-أيار'!$Q$2:$Q$501,V443),IF($AO$1=1,0,"")))</f>
        <v/>
      </c>
      <c r="AA443" s="39" t="str">
        <f t="shared" si="133"/>
        <v/>
      </c>
      <c r="AB443" s="40" t="str">
        <f>IF(OR(L443="",V443=0),"",IF(AND(N(I443)&gt;0,N(INDEX('05-أيار'!$I$2:$I$501,V443))&gt;0,INDEX('05-أيار'!$F$2:$F$501,V443)=F443),N(I443)/N(INDEX('05-أيار'!$I$2:$I$501,V443))-1,""))</f>
        <v/>
      </c>
      <c r="AC443" t="str">
        <f>IF(L443="","",IF(AND($AO$2=1,ISNA(MATCH(L443,'07-تموز'!$L$2:$L$500,0))),"محذوف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IF(L444="","",IF($AO$1=1,IFERROR(MATCH(L444,'05-أيار'!$L$2:$L$501,0),0),0))</f>
        <v/>
      </c>
      <c r="W444" t="str">
        <f t="shared" si="131"/>
        <v/>
      </c>
      <c r="X444" s="38" t="str">
        <f>IF(L444="","",IF(V444&gt;0,INDEX('05-أيار'!$P$2:$P$501,V444),IF($AO$1=1,0,"")))</f>
        <v/>
      </c>
      <c r="Y444" s="38" t="str">
        <f t="shared" si="132"/>
        <v/>
      </c>
      <c r="Z444" s="39" t="str">
        <f>IF(L444="","",IF(V444&gt;0,INDEX('05-أيار'!$Q$2:$Q$501,V444),IF($AO$1=1,0,"")))</f>
        <v/>
      </c>
      <c r="AA444" s="39" t="str">
        <f t="shared" si="133"/>
        <v/>
      </c>
      <c r="AB444" s="40" t="str">
        <f>IF(OR(L444="",V444=0),"",IF(AND(N(I444)&gt;0,N(INDEX('05-أيار'!$I$2:$I$501,V444))&gt;0,INDEX('05-أيار'!$F$2:$F$501,V444)=F444),N(I444)/N(INDEX('05-أيار'!$I$2:$I$501,V444))-1,""))</f>
        <v/>
      </c>
      <c r="AC444" t="str">
        <f>IF(L444="","",IF(AND($AO$2=1,ISNA(MATCH(L444,'07-تموز'!$L$2:$L$500,0))),"محذوف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IF(L445="","",IF($AO$1=1,IFERROR(MATCH(L445,'05-أيار'!$L$2:$L$501,0),0),0))</f>
        <v/>
      </c>
      <c r="W445" t="str">
        <f t="shared" si="131"/>
        <v/>
      </c>
      <c r="X445" s="38" t="str">
        <f>IF(L445="","",IF(V445&gt;0,INDEX('05-أيار'!$P$2:$P$501,V445),IF($AO$1=1,0,"")))</f>
        <v/>
      </c>
      <c r="Y445" s="38" t="str">
        <f t="shared" si="132"/>
        <v/>
      </c>
      <c r="Z445" s="39" t="str">
        <f>IF(L445="","",IF(V445&gt;0,INDEX('05-أيار'!$Q$2:$Q$501,V445),IF($AO$1=1,0,"")))</f>
        <v/>
      </c>
      <c r="AA445" s="39" t="str">
        <f t="shared" si="133"/>
        <v/>
      </c>
      <c r="AB445" s="40" t="str">
        <f>IF(OR(L445="",V445=0),"",IF(AND(N(I445)&gt;0,N(INDEX('05-أيار'!$I$2:$I$501,V445))&gt;0,INDEX('05-أيار'!$F$2:$F$501,V445)=F445),N(I445)/N(INDEX('05-أيار'!$I$2:$I$501,V445))-1,""))</f>
        <v/>
      </c>
      <c r="AC445" t="str">
        <f>IF(L445="","",IF(AND($AO$2=1,ISNA(MATCH(L445,'07-تموز'!$L$2:$L$500,0))),"محذوف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IF(L446="","",IF($AO$1=1,IFERROR(MATCH(L446,'05-أيار'!$L$2:$L$501,0),0),0))</f>
        <v/>
      </c>
      <c r="W446" t="str">
        <f t="shared" si="131"/>
        <v/>
      </c>
      <c r="X446" s="38" t="str">
        <f>IF(L446="","",IF(V446&gt;0,INDEX('05-أيار'!$P$2:$P$501,V446),IF($AO$1=1,0,"")))</f>
        <v/>
      </c>
      <c r="Y446" s="38" t="str">
        <f t="shared" si="132"/>
        <v/>
      </c>
      <c r="Z446" s="39" t="str">
        <f>IF(L446="","",IF(V446&gt;0,INDEX('05-أيار'!$Q$2:$Q$501,V446),IF($AO$1=1,0,"")))</f>
        <v/>
      </c>
      <c r="AA446" s="39" t="str">
        <f t="shared" si="133"/>
        <v/>
      </c>
      <c r="AB446" s="40" t="str">
        <f>IF(OR(L446="",V446=0),"",IF(AND(N(I446)&gt;0,N(INDEX('05-أيار'!$I$2:$I$501,V446))&gt;0,INDEX('05-أيار'!$F$2:$F$501,V446)=F446),N(I446)/N(INDEX('05-أيار'!$I$2:$I$501,V446))-1,""))</f>
        <v/>
      </c>
      <c r="AC446" t="str">
        <f>IF(L446="","",IF(AND($AO$2=1,ISNA(MATCH(L446,'07-تموز'!$L$2:$L$500,0))),"محذوف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IF(L447="","",IF($AO$1=1,IFERROR(MATCH(L447,'05-أيار'!$L$2:$L$501,0),0),0))</f>
        <v/>
      </c>
      <c r="W447" t="str">
        <f t="shared" si="131"/>
        <v/>
      </c>
      <c r="X447" s="38" t="str">
        <f>IF(L447="","",IF(V447&gt;0,INDEX('05-أيار'!$P$2:$P$501,V447),IF($AO$1=1,0,"")))</f>
        <v/>
      </c>
      <c r="Y447" s="38" t="str">
        <f t="shared" si="132"/>
        <v/>
      </c>
      <c r="Z447" s="39" t="str">
        <f>IF(L447="","",IF(V447&gt;0,INDEX('05-أيار'!$Q$2:$Q$501,V447),IF($AO$1=1,0,"")))</f>
        <v/>
      </c>
      <c r="AA447" s="39" t="str">
        <f t="shared" si="133"/>
        <v/>
      </c>
      <c r="AB447" s="40" t="str">
        <f>IF(OR(L447="",V447=0),"",IF(AND(N(I447)&gt;0,N(INDEX('05-أيار'!$I$2:$I$501,V447))&gt;0,INDEX('05-أيار'!$F$2:$F$501,V447)=F447),N(I447)/N(INDEX('05-أيار'!$I$2:$I$501,V447))-1,""))</f>
        <v/>
      </c>
      <c r="AC447" t="str">
        <f>IF(L447="","",IF(AND($AO$2=1,ISNA(MATCH(L447,'07-تموز'!$L$2:$L$500,0))),"محذوف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ref="K448:K499" si="140">IF(L448="","",IF(U448&lt;&gt;"","⚠",""))</f>
        <v/>
      </c>
      <c r="L448" t="str">
        <f t="shared" ref="L448:L499" si="141">IF(A448="","",TRIM(A448))</f>
        <v/>
      </c>
      <c r="M448" s="36" t="str">
        <f t="shared" ref="M448:M499" si="142">IF(L448="","",IF(ISNUMBER(SEARCH("دولار",F448)),1,IF(ISNUMBER(SEARCH("ليرة",F448)),IF($AO$3&gt;0,1/$AO$3,0),0)))</f>
        <v/>
      </c>
      <c r="N448" s="37" t="str">
        <f t="shared" ref="N448:N499" si="143">IF(L448="","",N(I448)*M448)</f>
        <v/>
      </c>
      <c r="O448" s="37" t="str">
        <f t="shared" ref="O448:O499" si="144">IF(L448="","",M448*CHOOSE($AO$4,N(C448),N(D448),N(E448)))</f>
        <v/>
      </c>
      <c r="P448" s="38" t="str">
        <f t="shared" ref="P448:P499" si="145">IF(L448="","",MAX(N(B448),0))</f>
        <v/>
      </c>
      <c r="Q448" s="39" t="str">
        <f t="shared" ref="Q448:Q499" si="146">IF(L448="","",P448*N448)</f>
        <v/>
      </c>
      <c r="R448" s="39" t="str">
        <f t="shared" ref="R448:R499" si="147">IF(L448="","",P448*O448)</f>
        <v/>
      </c>
      <c r="S448" t="str">
        <f t="shared" ref="S448:S499" si="148">IF(L448="","",IF(AND(P448&gt;0,N448&gt;0,O448&gt;0),1,0))</f>
        <v/>
      </c>
      <c r="T448" s="39" t="str">
        <f t="shared" ref="T448:T499" si="149">IF(L448="","",S448*(R448-Q448))</f>
        <v/>
      </c>
      <c r="U448" t="str">
        <f t="shared" ref="U448:U499" si="150">IF(L448="","",MID(IF(OR(NOT(ISNUMBER(B448)),NOT(ISNUMBER(C448)),NOT(ISNUMBER(D448)),NOT(ISNUMBER(E448)),NOT(ISNUMBER(I448)),AND(NOT(ISNUMBER(SEARCH("دولار",F448))),NOT(ISNUMBER(SEARCH("ليرة",F448)))))," | بيانات غير صالحة","")&amp;IF(N(B448)&lt;0," | كمية سالبة","")&amp;IF(AND(N(B448)&gt;0,N(I448)=0)," | شراء صفر","")&amp;IF(AND(N(B448)&gt;0,TRIM(H448)=$AO$5,OR(N(C448)=0,N(D448)=0,N(E448)=0))," | بيع صفر","")&amp;IF(AND(N448&gt;0,O448&gt;0,O448&lt;N448)," | بيع أقل من الشراء","")&amp;IF(OR(AND(ISNUMBER(SEARCH("ليرة",F448)),OR(AND(N(I448)&gt;0,N(I448)&lt;$AO$6),AND(N(C448)&gt;0,N(C448)&lt;$AO$6),AND(N(D448)&gt;0,N(D448)&lt;$AO$6),AND(N(E448)&gt;0,N(E448)&lt;$AO$6))),AND(ISNUMBER(SEARCH("دولار",F448)),MAX(N(I448),N(C448),N(D448),N(E448))&gt;$AO$7))," | عملة/سعر مشكوك","")&amp;IF(AND(COUNTIF(C448:E448,"&gt;0")&gt;=2,MAX(N(C448),N(D448),N(E448))&gt;$AO$8*MIN(IF(N(C448)&gt;0,N(C448),1E+99),IF(N(D448)&gt;0,N(D448),1E+99),IF(N(E448)&gt;0,N(E448),1E+99)))," | تباين أسعار البيع","")&amp;IF(OR(TRIM(H448)="All",TRIM(H448)="")," | بلا تصنيف",""),4,300))</f>
        <v/>
      </c>
      <c r="V448" t="str">
        <f>IF(L448="","",IF($AO$1=1,IFERROR(MATCH(L448,'05-أيار'!$L$2:$L$501,0),0),0))</f>
        <v/>
      </c>
      <c r="W448" t="str">
        <f t="shared" ref="W448:W499" si="151">IF(L448="","",IF(AND($AO$1=1,V448=0),"جديد",""))</f>
        <v/>
      </c>
      <c r="X448" s="38" t="str">
        <f>IF(L448="","",IF(V448&gt;0,INDEX('05-أيار'!$P$2:$P$501,V448),IF($AO$1=1,0,"")))</f>
        <v/>
      </c>
      <c r="Y448" s="38" t="str">
        <f t="shared" ref="Y448:Y499" si="152">IF(OR(L448="",X448=""),"",P448-X448)</f>
        <v/>
      </c>
      <c r="Z448" s="39" t="str">
        <f>IF(L448="","",IF(V448&gt;0,INDEX('05-أيار'!$Q$2:$Q$501,V448),IF($AO$1=1,0,"")))</f>
        <v/>
      </c>
      <c r="AA448" s="39" t="str">
        <f t="shared" ref="AA448:AA499" si="153">IF(OR(L448="",Z448=""),"",Q448-Z448)</f>
        <v/>
      </c>
      <c r="AB448" s="40" t="str">
        <f>IF(OR(L448="",V448=0),"",IF(AND(N(I448)&gt;0,N(INDEX('05-أيار'!$I$2:$I$501,V448))&gt;0,INDEX('05-أيار'!$F$2:$F$501,V448)=F448),N(I448)/N(INDEX('05-أيار'!$I$2:$I$501,V448))-1,""))</f>
        <v/>
      </c>
      <c r="AC448" t="str">
        <f>IF(L448="","",IF(AND($AO$2=1,ISNA(MATCH(L448,'07-تموز'!$L$2:$L$500,0))),"محذوف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ref="AG448:AG499" si="154">IF(AA448="","",ABS(AA448)+ROW()/1000000000)</f>
        <v/>
      </c>
      <c r="AH448" s="39" t="str">
        <f t="shared" ref="AH448:AH499" si="155">IF(L448="","",IF(AND(P448&gt;0,N448&gt;0,N(C448)&gt;0),P448*(M448*N(C448)-N448),0))</f>
        <v/>
      </c>
      <c r="AI448" s="39" t="str">
        <f t="shared" ref="AI448:AI499" si="156">IF(L448="","",IF(AND(P448&gt;0,N448&gt;0,N(D448)&gt;0),P448*(M448*N(D448)-N448),0))</f>
        <v/>
      </c>
      <c r="AJ448" s="39" t="str">
        <f t="shared" ref="AJ448:AJ499" si="157">IF(L448="","",IF(AND(P448&gt;0,N448&gt;0,N(E448)&gt;0),P448*(M448*N(E448)-N448),0))</f>
        <v/>
      </c>
      <c r="AK448" t="str">
        <f t="shared" ref="AK448:AK499" si="158">IF(L448="","",Q448+ROW()/1000000000)</f>
        <v/>
      </c>
      <c r="AL448" t="str">
        <f t="shared" ref="AL448:AL499" si="159">IF(L448="","",T448+ROW()/1000000000)</f>
        <v/>
      </c>
    </row>
    <row r="449" spans="11:38" ht="15">
      <c r="K449" t="str">
        <f t="shared" si="140"/>
        <v/>
      </c>
      <c r="L449" t="str">
        <f t="shared" si="141"/>
        <v/>
      </c>
      <c r="M449" s="36" t="str">
        <f t="shared" si="142"/>
        <v/>
      </c>
      <c r="N449" s="37" t="str">
        <f t="shared" si="143"/>
        <v/>
      </c>
      <c r="O449" s="37" t="str">
        <f t="shared" si="144"/>
        <v/>
      </c>
      <c r="P449" s="38" t="str">
        <f t="shared" si="145"/>
        <v/>
      </c>
      <c r="Q449" s="39" t="str">
        <f t="shared" si="146"/>
        <v/>
      </c>
      <c r="R449" s="39" t="str">
        <f t="shared" si="147"/>
        <v/>
      </c>
      <c r="S449" t="str">
        <f t="shared" si="148"/>
        <v/>
      </c>
      <c r="T449" s="39" t="str">
        <f t="shared" si="149"/>
        <v/>
      </c>
      <c r="U449" t="str">
        <f t="shared" si="150"/>
        <v/>
      </c>
      <c r="V449" t="str">
        <f>IF(L449="","",IF($AO$1=1,IFERROR(MATCH(L449,'05-أيار'!$L$2:$L$501,0),0),0))</f>
        <v/>
      </c>
      <c r="W449" t="str">
        <f t="shared" si="151"/>
        <v/>
      </c>
      <c r="X449" s="38" t="str">
        <f>IF(L449="","",IF(V449&gt;0,INDEX('05-أيار'!$P$2:$P$501,V449),IF($AO$1=1,0,"")))</f>
        <v/>
      </c>
      <c r="Y449" s="38" t="str">
        <f t="shared" si="152"/>
        <v/>
      </c>
      <c r="Z449" s="39" t="str">
        <f>IF(L449="","",IF(V449&gt;0,INDEX('05-أيار'!$Q$2:$Q$501,V449),IF($AO$1=1,0,"")))</f>
        <v/>
      </c>
      <c r="AA449" s="39" t="str">
        <f t="shared" si="153"/>
        <v/>
      </c>
      <c r="AB449" s="40" t="str">
        <f>IF(OR(L449="",V449=0),"",IF(AND(N(I449)&gt;0,N(INDEX('05-أيار'!$I$2:$I$501,V449))&gt;0,INDEX('05-أيار'!$F$2:$F$501,V449)=F449),N(I449)/N(INDEX('05-أيار'!$I$2:$I$501,V449))-1,""))</f>
        <v/>
      </c>
      <c r="AC449" t="str">
        <f>IF(L449="","",IF(AND($AO$2=1,ISNA(MATCH(L449,'07-تموز'!$L$2:$L$500,0))),"محذوف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54"/>
        <v/>
      </c>
      <c r="AH449" s="39" t="str">
        <f t="shared" si="155"/>
        <v/>
      </c>
      <c r="AI449" s="39" t="str">
        <f t="shared" si="156"/>
        <v/>
      </c>
      <c r="AJ449" s="39" t="str">
        <f t="shared" si="157"/>
        <v/>
      </c>
      <c r="AK449" t="str">
        <f t="shared" si="158"/>
        <v/>
      </c>
      <c r="AL449" t="str">
        <f t="shared" si="159"/>
        <v/>
      </c>
    </row>
    <row r="450" spans="11:38" ht="15">
      <c r="K450" t="str">
        <f t="shared" si="140"/>
        <v/>
      </c>
      <c r="L450" t="str">
        <f t="shared" si="141"/>
        <v/>
      </c>
      <c r="M450" s="36" t="str">
        <f t="shared" si="142"/>
        <v/>
      </c>
      <c r="N450" s="37" t="str">
        <f t="shared" si="143"/>
        <v/>
      </c>
      <c r="O450" s="37" t="str">
        <f t="shared" si="144"/>
        <v/>
      </c>
      <c r="P450" s="38" t="str">
        <f t="shared" si="145"/>
        <v/>
      </c>
      <c r="Q450" s="39" t="str">
        <f t="shared" si="146"/>
        <v/>
      </c>
      <c r="R450" s="39" t="str">
        <f t="shared" si="147"/>
        <v/>
      </c>
      <c r="S450" t="str">
        <f t="shared" si="148"/>
        <v/>
      </c>
      <c r="T450" s="39" t="str">
        <f t="shared" si="149"/>
        <v/>
      </c>
      <c r="U450" t="str">
        <f t="shared" si="150"/>
        <v/>
      </c>
      <c r="V450" t="str">
        <f>IF(L450="","",IF($AO$1=1,IFERROR(MATCH(L450,'05-أيار'!$L$2:$L$501,0),0),0))</f>
        <v/>
      </c>
      <c r="W450" t="str">
        <f t="shared" si="151"/>
        <v/>
      </c>
      <c r="X450" s="38" t="str">
        <f>IF(L450="","",IF(V450&gt;0,INDEX('05-أيار'!$P$2:$P$501,V450),IF($AO$1=1,0,"")))</f>
        <v/>
      </c>
      <c r="Y450" s="38" t="str">
        <f t="shared" si="152"/>
        <v/>
      </c>
      <c r="Z450" s="39" t="str">
        <f>IF(L450="","",IF(V450&gt;0,INDEX('05-أيار'!$Q$2:$Q$501,V450),IF($AO$1=1,0,"")))</f>
        <v/>
      </c>
      <c r="AA450" s="39" t="str">
        <f t="shared" si="153"/>
        <v/>
      </c>
      <c r="AB450" s="40" t="str">
        <f>IF(OR(L450="",V450=0),"",IF(AND(N(I450)&gt;0,N(INDEX('05-أيار'!$I$2:$I$501,V450))&gt;0,INDEX('05-أيار'!$F$2:$F$501,V450)=F450),N(I450)/N(INDEX('05-أيار'!$I$2:$I$501,V450))-1,""))</f>
        <v/>
      </c>
      <c r="AC450" t="str">
        <f>IF(L450="","",IF(AND($AO$2=1,ISNA(MATCH(L450,'07-تموز'!$L$2:$L$500,0))),"محذوف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si="154"/>
        <v/>
      </c>
      <c r="AH450" s="39" t="str">
        <f t="shared" si="155"/>
        <v/>
      </c>
      <c r="AI450" s="39" t="str">
        <f t="shared" si="156"/>
        <v/>
      </c>
      <c r="AJ450" s="39" t="str">
        <f t="shared" si="157"/>
        <v/>
      </c>
      <c r="AK450" t="str">
        <f t="shared" si="158"/>
        <v/>
      </c>
      <c r="AL450" t="str">
        <f t="shared" si="159"/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IF(L451="","",IF($AO$1=1,IFERROR(MATCH(L451,'05-أيار'!$L$2:$L$501,0),0),0))</f>
        <v/>
      </c>
      <c r="W451" t="str">
        <f t="shared" si="151"/>
        <v/>
      </c>
      <c r="X451" s="38" t="str">
        <f>IF(L451="","",IF(V451&gt;0,INDEX('05-أيار'!$P$2:$P$501,V451),IF($AO$1=1,0,"")))</f>
        <v/>
      </c>
      <c r="Y451" s="38" t="str">
        <f t="shared" si="152"/>
        <v/>
      </c>
      <c r="Z451" s="39" t="str">
        <f>IF(L451="","",IF(V451&gt;0,INDEX('05-أيار'!$Q$2:$Q$501,V451),IF($AO$1=1,0,"")))</f>
        <v/>
      </c>
      <c r="AA451" s="39" t="str">
        <f t="shared" si="153"/>
        <v/>
      </c>
      <c r="AB451" s="40" t="str">
        <f>IF(OR(L451="",V451=0),"",IF(AND(N(I451)&gt;0,N(INDEX('05-أيار'!$I$2:$I$501,V451))&gt;0,INDEX('05-أيار'!$F$2:$F$501,V451)=F451),N(I451)/N(INDEX('05-أيار'!$I$2:$I$501,V451))-1,""))</f>
        <v/>
      </c>
      <c r="AC451" t="str">
        <f>IF(L451="","",IF(AND($AO$2=1,ISNA(MATCH(L451,'07-تموز'!$L$2:$L$500,0))),"محذوف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IF(L452="","",IF($AO$1=1,IFERROR(MATCH(L452,'05-أيار'!$L$2:$L$501,0),0),0))</f>
        <v/>
      </c>
      <c r="W452" t="str">
        <f t="shared" si="151"/>
        <v/>
      </c>
      <c r="X452" s="38" t="str">
        <f>IF(L452="","",IF(V452&gt;0,INDEX('05-أيار'!$P$2:$P$501,V452),IF($AO$1=1,0,"")))</f>
        <v/>
      </c>
      <c r="Y452" s="38" t="str">
        <f t="shared" si="152"/>
        <v/>
      </c>
      <c r="Z452" s="39" t="str">
        <f>IF(L452="","",IF(V452&gt;0,INDEX('05-أيار'!$Q$2:$Q$501,V452),IF($AO$1=1,0,"")))</f>
        <v/>
      </c>
      <c r="AA452" s="39" t="str">
        <f t="shared" si="153"/>
        <v/>
      </c>
      <c r="AB452" s="40" t="str">
        <f>IF(OR(L452="",V452=0),"",IF(AND(N(I452)&gt;0,N(INDEX('05-أيار'!$I$2:$I$501,V452))&gt;0,INDEX('05-أيار'!$F$2:$F$501,V452)=F452),N(I452)/N(INDEX('05-أيار'!$I$2:$I$501,V452))-1,""))</f>
        <v/>
      </c>
      <c r="AC452" t="str">
        <f>IF(L452="","",IF(AND($AO$2=1,ISNA(MATCH(L452,'07-تموز'!$L$2:$L$500,0))),"محذوف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IF(L453="","",IF($AO$1=1,IFERROR(MATCH(L453,'05-أيار'!$L$2:$L$501,0),0),0))</f>
        <v/>
      </c>
      <c r="W453" t="str">
        <f t="shared" si="151"/>
        <v/>
      </c>
      <c r="X453" s="38" t="str">
        <f>IF(L453="","",IF(V453&gt;0,INDEX('05-أيار'!$P$2:$P$501,V453),IF($AO$1=1,0,"")))</f>
        <v/>
      </c>
      <c r="Y453" s="38" t="str">
        <f t="shared" si="152"/>
        <v/>
      </c>
      <c r="Z453" s="39" t="str">
        <f>IF(L453="","",IF(V453&gt;0,INDEX('05-أيار'!$Q$2:$Q$501,V453),IF($AO$1=1,0,"")))</f>
        <v/>
      </c>
      <c r="AA453" s="39" t="str">
        <f t="shared" si="153"/>
        <v/>
      </c>
      <c r="AB453" s="40" t="str">
        <f>IF(OR(L453="",V453=0),"",IF(AND(N(I453)&gt;0,N(INDEX('05-أيار'!$I$2:$I$501,V453))&gt;0,INDEX('05-أيار'!$F$2:$F$501,V453)=F453),N(I453)/N(INDEX('05-أيار'!$I$2:$I$501,V453))-1,""))</f>
        <v/>
      </c>
      <c r="AC453" t="str">
        <f>IF(L453="","",IF(AND($AO$2=1,ISNA(MATCH(L453,'07-تموز'!$L$2:$L$500,0))),"محذوف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IF(L454="","",IF($AO$1=1,IFERROR(MATCH(L454,'05-أيار'!$L$2:$L$501,0),0),0))</f>
        <v/>
      </c>
      <c r="W454" t="str">
        <f t="shared" si="151"/>
        <v/>
      </c>
      <c r="X454" s="38" t="str">
        <f>IF(L454="","",IF(V454&gt;0,INDEX('05-أيار'!$P$2:$P$501,V454),IF($AO$1=1,0,"")))</f>
        <v/>
      </c>
      <c r="Y454" s="38" t="str">
        <f t="shared" si="152"/>
        <v/>
      </c>
      <c r="Z454" s="39" t="str">
        <f>IF(L454="","",IF(V454&gt;0,INDEX('05-أيار'!$Q$2:$Q$501,V454),IF($AO$1=1,0,"")))</f>
        <v/>
      </c>
      <c r="AA454" s="39" t="str">
        <f t="shared" si="153"/>
        <v/>
      </c>
      <c r="AB454" s="40" t="str">
        <f>IF(OR(L454="",V454=0),"",IF(AND(N(I454)&gt;0,N(INDEX('05-أيار'!$I$2:$I$501,V454))&gt;0,INDEX('05-أيار'!$F$2:$F$501,V454)=F454),N(I454)/N(INDEX('05-أيار'!$I$2:$I$501,V454))-1,""))</f>
        <v/>
      </c>
      <c r="AC454" t="str">
        <f>IF(L454="","",IF(AND($AO$2=1,ISNA(MATCH(L454,'07-تموز'!$L$2:$L$500,0))),"محذوف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IF(L455="","",IF($AO$1=1,IFERROR(MATCH(L455,'05-أيار'!$L$2:$L$501,0),0),0))</f>
        <v/>
      </c>
      <c r="W455" t="str">
        <f t="shared" si="151"/>
        <v/>
      </c>
      <c r="X455" s="38" t="str">
        <f>IF(L455="","",IF(V455&gt;0,INDEX('05-أيار'!$P$2:$P$501,V455),IF($AO$1=1,0,"")))</f>
        <v/>
      </c>
      <c r="Y455" s="38" t="str">
        <f t="shared" si="152"/>
        <v/>
      </c>
      <c r="Z455" s="39" t="str">
        <f>IF(L455="","",IF(V455&gt;0,INDEX('05-أيار'!$Q$2:$Q$501,V455),IF($AO$1=1,0,"")))</f>
        <v/>
      </c>
      <c r="AA455" s="39" t="str">
        <f t="shared" si="153"/>
        <v/>
      </c>
      <c r="AB455" s="40" t="str">
        <f>IF(OR(L455="",V455=0),"",IF(AND(N(I455)&gt;0,N(INDEX('05-أيار'!$I$2:$I$501,V455))&gt;0,INDEX('05-أيار'!$F$2:$F$501,V455)=F455),N(I455)/N(INDEX('05-أيار'!$I$2:$I$501,V455))-1,""))</f>
        <v/>
      </c>
      <c r="AC455" t="str">
        <f>IF(L455="","",IF(AND($AO$2=1,ISNA(MATCH(L455,'07-تموز'!$L$2:$L$500,0))),"محذوف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IF(L456="","",IF($AO$1=1,IFERROR(MATCH(L456,'05-أيار'!$L$2:$L$501,0),0),0))</f>
        <v/>
      </c>
      <c r="W456" t="str">
        <f t="shared" si="151"/>
        <v/>
      </c>
      <c r="X456" s="38" t="str">
        <f>IF(L456="","",IF(V456&gt;0,INDEX('05-أيار'!$P$2:$P$501,V456),IF($AO$1=1,0,"")))</f>
        <v/>
      </c>
      <c r="Y456" s="38" t="str">
        <f t="shared" si="152"/>
        <v/>
      </c>
      <c r="Z456" s="39" t="str">
        <f>IF(L456="","",IF(V456&gt;0,INDEX('05-أيار'!$Q$2:$Q$501,V456),IF($AO$1=1,0,"")))</f>
        <v/>
      </c>
      <c r="AA456" s="39" t="str">
        <f t="shared" si="153"/>
        <v/>
      </c>
      <c r="AB456" s="40" t="str">
        <f>IF(OR(L456="",V456=0),"",IF(AND(N(I456)&gt;0,N(INDEX('05-أيار'!$I$2:$I$501,V456))&gt;0,INDEX('05-أيار'!$F$2:$F$501,V456)=F456),N(I456)/N(INDEX('05-أيار'!$I$2:$I$501,V456))-1,""))</f>
        <v/>
      </c>
      <c r="AC456" t="str">
        <f>IF(L456="","",IF(AND($AO$2=1,ISNA(MATCH(L456,'07-تموز'!$L$2:$L$500,0))),"محذوف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IF(L457="","",IF($AO$1=1,IFERROR(MATCH(L457,'05-أيار'!$L$2:$L$501,0),0),0))</f>
        <v/>
      </c>
      <c r="W457" t="str">
        <f t="shared" si="151"/>
        <v/>
      </c>
      <c r="X457" s="38" t="str">
        <f>IF(L457="","",IF(V457&gt;0,INDEX('05-أيار'!$P$2:$P$501,V457),IF($AO$1=1,0,"")))</f>
        <v/>
      </c>
      <c r="Y457" s="38" t="str">
        <f t="shared" si="152"/>
        <v/>
      </c>
      <c r="Z457" s="39" t="str">
        <f>IF(L457="","",IF(V457&gt;0,INDEX('05-أيار'!$Q$2:$Q$501,V457),IF($AO$1=1,0,"")))</f>
        <v/>
      </c>
      <c r="AA457" s="39" t="str">
        <f t="shared" si="153"/>
        <v/>
      </c>
      <c r="AB457" s="40" t="str">
        <f>IF(OR(L457="",V457=0),"",IF(AND(N(I457)&gt;0,N(INDEX('05-أيار'!$I$2:$I$501,V457))&gt;0,INDEX('05-أيار'!$F$2:$F$501,V457)=F457),N(I457)/N(INDEX('05-أيار'!$I$2:$I$501,V457))-1,""))</f>
        <v/>
      </c>
      <c r="AC457" t="str">
        <f>IF(L457="","",IF(AND($AO$2=1,ISNA(MATCH(L457,'07-تموز'!$L$2:$L$500,0))),"محذوف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IF(L458="","",IF($AO$1=1,IFERROR(MATCH(L458,'05-أيار'!$L$2:$L$501,0),0),0))</f>
        <v/>
      </c>
      <c r="W458" t="str">
        <f t="shared" si="151"/>
        <v/>
      </c>
      <c r="X458" s="38" t="str">
        <f>IF(L458="","",IF(V458&gt;0,INDEX('05-أيار'!$P$2:$P$501,V458),IF($AO$1=1,0,"")))</f>
        <v/>
      </c>
      <c r="Y458" s="38" t="str">
        <f t="shared" si="152"/>
        <v/>
      </c>
      <c r="Z458" s="39" t="str">
        <f>IF(L458="","",IF(V458&gt;0,INDEX('05-أيار'!$Q$2:$Q$501,V458),IF($AO$1=1,0,"")))</f>
        <v/>
      </c>
      <c r="AA458" s="39" t="str">
        <f t="shared" si="153"/>
        <v/>
      </c>
      <c r="AB458" s="40" t="str">
        <f>IF(OR(L458="",V458=0),"",IF(AND(N(I458)&gt;0,N(INDEX('05-أيار'!$I$2:$I$501,V458))&gt;0,INDEX('05-أيار'!$F$2:$F$501,V458)=F458),N(I458)/N(INDEX('05-أيار'!$I$2:$I$501,V458))-1,""))</f>
        <v/>
      </c>
      <c r="AC458" t="str">
        <f>IF(L458="","",IF(AND($AO$2=1,ISNA(MATCH(L458,'07-تموز'!$L$2:$L$500,0))),"محذوف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IF(L459="","",IF($AO$1=1,IFERROR(MATCH(L459,'05-أيار'!$L$2:$L$501,0),0),0))</f>
        <v/>
      </c>
      <c r="W459" t="str">
        <f t="shared" si="151"/>
        <v/>
      </c>
      <c r="X459" s="38" t="str">
        <f>IF(L459="","",IF(V459&gt;0,INDEX('05-أيار'!$P$2:$P$501,V459),IF($AO$1=1,0,"")))</f>
        <v/>
      </c>
      <c r="Y459" s="38" t="str">
        <f t="shared" si="152"/>
        <v/>
      </c>
      <c r="Z459" s="39" t="str">
        <f>IF(L459="","",IF(V459&gt;0,INDEX('05-أيار'!$Q$2:$Q$501,V459),IF($AO$1=1,0,"")))</f>
        <v/>
      </c>
      <c r="AA459" s="39" t="str">
        <f t="shared" si="153"/>
        <v/>
      </c>
      <c r="AB459" s="40" t="str">
        <f>IF(OR(L459="",V459=0),"",IF(AND(N(I459)&gt;0,N(INDEX('05-أيار'!$I$2:$I$501,V459))&gt;0,INDEX('05-أيار'!$F$2:$F$501,V459)=F459),N(I459)/N(INDEX('05-أيار'!$I$2:$I$501,V459))-1,""))</f>
        <v/>
      </c>
      <c r="AC459" t="str">
        <f>IF(L459="","",IF(AND($AO$2=1,ISNA(MATCH(L459,'07-تموز'!$L$2:$L$500,0))),"محذوف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IF(L460="","",IF($AO$1=1,IFERROR(MATCH(L460,'05-أيار'!$L$2:$L$501,0),0),0))</f>
        <v/>
      </c>
      <c r="W460" t="str">
        <f t="shared" si="151"/>
        <v/>
      </c>
      <c r="X460" s="38" t="str">
        <f>IF(L460="","",IF(V460&gt;0,INDEX('05-أيار'!$P$2:$P$501,V460),IF($AO$1=1,0,"")))</f>
        <v/>
      </c>
      <c r="Y460" s="38" t="str">
        <f t="shared" si="152"/>
        <v/>
      </c>
      <c r="Z460" s="39" t="str">
        <f>IF(L460="","",IF(V460&gt;0,INDEX('05-أيار'!$Q$2:$Q$501,V460),IF($AO$1=1,0,"")))</f>
        <v/>
      </c>
      <c r="AA460" s="39" t="str">
        <f t="shared" si="153"/>
        <v/>
      </c>
      <c r="AB460" s="40" t="str">
        <f>IF(OR(L460="",V460=0),"",IF(AND(N(I460)&gt;0,N(INDEX('05-أيار'!$I$2:$I$501,V460))&gt;0,INDEX('05-أيار'!$F$2:$F$501,V460)=F460),N(I460)/N(INDEX('05-أيار'!$I$2:$I$501,V460))-1,""))</f>
        <v/>
      </c>
      <c r="AC460" t="str">
        <f>IF(L460="","",IF(AND($AO$2=1,ISNA(MATCH(L460,'07-تموز'!$L$2:$L$500,0))),"محذوف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IF(L461="","",IF($AO$1=1,IFERROR(MATCH(L461,'05-أيار'!$L$2:$L$501,0),0),0))</f>
        <v/>
      </c>
      <c r="W461" t="str">
        <f t="shared" si="151"/>
        <v/>
      </c>
      <c r="X461" s="38" t="str">
        <f>IF(L461="","",IF(V461&gt;0,INDEX('05-أيار'!$P$2:$P$501,V461),IF($AO$1=1,0,"")))</f>
        <v/>
      </c>
      <c r="Y461" s="38" t="str">
        <f t="shared" si="152"/>
        <v/>
      </c>
      <c r="Z461" s="39" t="str">
        <f>IF(L461="","",IF(V461&gt;0,INDEX('05-أيار'!$Q$2:$Q$501,V461),IF($AO$1=1,0,"")))</f>
        <v/>
      </c>
      <c r="AA461" s="39" t="str">
        <f t="shared" si="153"/>
        <v/>
      </c>
      <c r="AB461" s="40" t="str">
        <f>IF(OR(L461="",V461=0),"",IF(AND(N(I461)&gt;0,N(INDEX('05-أيار'!$I$2:$I$501,V461))&gt;0,INDEX('05-أيار'!$F$2:$F$501,V461)=F461),N(I461)/N(INDEX('05-أيار'!$I$2:$I$501,V461))-1,""))</f>
        <v/>
      </c>
      <c r="AC461" t="str">
        <f>IF(L461="","",IF(AND($AO$2=1,ISNA(MATCH(L461,'07-تموز'!$L$2:$L$500,0))),"محذوف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IF(L462="","",IF($AO$1=1,IFERROR(MATCH(L462,'05-أيار'!$L$2:$L$501,0),0),0))</f>
        <v/>
      </c>
      <c r="W462" t="str">
        <f t="shared" si="151"/>
        <v/>
      </c>
      <c r="X462" s="38" t="str">
        <f>IF(L462="","",IF(V462&gt;0,INDEX('05-أيار'!$P$2:$P$501,V462),IF($AO$1=1,0,"")))</f>
        <v/>
      </c>
      <c r="Y462" s="38" t="str">
        <f t="shared" si="152"/>
        <v/>
      </c>
      <c r="Z462" s="39" t="str">
        <f>IF(L462="","",IF(V462&gt;0,INDEX('05-أيار'!$Q$2:$Q$501,V462),IF($AO$1=1,0,"")))</f>
        <v/>
      </c>
      <c r="AA462" s="39" t="str">
        <f t="shared" si="153"/>
        <v/>
      </c>
      <c r="AB462" s="40" t="str">
        <f>IF(OR(L462="",V462=0),"",IF(AND(N(I462)&gt;0,N(INDEX('05-أيار'!$I$2:$I$501,V462))&gt;0,INDEX('05-أيار'!$F$2:$F$501,V462)=F462),N(I462)/N(INDEX('05-أيار'!$I$2:$I$501,V462))-1,""))</f>
        <v/>
      </c>
      <c r="AC462" t="str">
        <f>IF(L462="","",IF(AND($AO$2=1,ISNA(MATCH(L462,'07-تموز'!$L$2:$L$500,0))),"محذوف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IF(L463="","",IF($AO$1=1,IFERROR(MATCH(L463,'05-أيار'!$L$2:$L$501,0),0),0))</f>
        <v/>
      </c>
      <c r="W463" t="str">
        <f t="shared" si="151"/>
        <v/>
      </c>
      <c r="X463" s="38" t="str">
        <f>IF(L463="","",IF(V463&gt;0,INDEX('05-أيار'!$P$2:$P$501,V463),IF($AO$1=1,0,"")))</f>
        <v/>
      </c>
      <c r="Y463" s="38" t="str">
        <f t="shared" si="152"/>
        <v/>
      </c>
      <c r="Z463" s="39" t="str">
        <f>IF(L463="","",IF(V463&gt;0,INDEX('05-أيار'!$Q$2:$Q$501,V463),IF($AO$1=1,0,"")))</f>
        <v/>
      </c>
      <c r="AA463" s="39" t="str">
        <f t="shared" si="153"/>
        <v/>
      </c>
      <c r="AB463" s="40" t="str">
        <f>IF(OR(L463="",V463=0),"",IF(AND(N(I463)&gt;0,N(INDEX('05-أيار'!$I$2:$I$501,V463))&gt;0,INDEX('05-أيار'!$F$2:$F$501,V463)=F463),N(I463)/N(INDEX('05-أيار'!$I$2:$I$501,V463))-1,""))</f>
        <v/>
      </c>
      <c r="AC463" t="str">
        <f>IF(L463="","",IF(AND($AO$2=1,ISNA(MATCH(L463,'07-تموز'!$L$2:$L$500,0))),"محذوف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IF(L464="","",IF($AO$1=1,IFERROR(MATCH(L464,'05-أيار'!$L$2:$L$501,0),0),0))</f>
        <v/>
      </c>
      <c r="W464" t="str">
        <f t="shared" si="151"/>
        <v/>
      </c>
      <c r="X464" s="38" t="str">
        <f>IF(L464="","",IF(V464&gt;0,INDEX('05-أيار'!$P$2:$P$501,V464),IF($AO$1=1,0,"")))</f>
        <v/>
      </c>
      <c r="Y464" s="38" t="str">
        <f t="shared" si="152"/>
        <v/>
      </c>
      <c r="Z464" s="39" t="str">
        <f>IF(L464="","",IF(V464&gt;0,INDEX('05-أيار'!$Q$2:$Q$501,V464),IF($AO$1=1,0,"")))</f>
        <v/>
      </c>
      <c r="AA464" s="39" t="str">
        <f t="shared" si="153"/>
        <v/>
      </c>
      <c r="AB464" s="40" t="str">
        <f>IF(OR(L464="",V464=0),"",IF(AND(N(I464)&gt;0,N(INDEX('05-أيار'!$I$2:$I$501,V464))&gt;0,INDEX('05-أيار'!$F$2:$F$501,V464)=F464),N(I464)/N(INDEX('05-أيار'!$I$2:$I$501,V464))-1,""))</f>
        <v/>
      </c>
      <c r="AC464" t="str">
        <f>IF(L464="","",IF(AND($AO$2=1,ISNA(MATCH(L464,'07-تموز'!$L$2:$L$500,0))),"محذوف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IF(L465="","",IF($AO$1=1,IFERROR(MATCH(L465,'05-أيار'!$L$2:$L$501,0),0),0))</f>
        <v/>
      </c>
      <c r="W465" t="str">
        <f t="shared" si="151"/>
        <v/>
      </c>
      <c r="X465" s="38" t="str">
        <f>IF(L465="","",IF(V465&gt;0,INDEX('05-أيار'!$P$2:$P$501,V465),IF($AO$1=1,0,"")))</f>
        <v/>
      </c>
      <c r="Y465" s="38" t="str">
        <f t="shared" si="152"/>
        <v/>
      </c>
      <c r="Z465" s="39" t="str">
        <f>IF(L465="","",IF(V465&gt;0,INDEX('05-أيار'!$Q$2:$Q$501,V465),IF($AO$1=1,0,"")))</f>
        <v/>
      </c>
      <c r="AA465" s="39" t="str">
        <f t="shared" si="153"/>
        <v/>
      </c>
      <c r="AB465" s="40" t="str">
        <f>IF(OR(L465="",V465=0),"",IF(AND(N(I465)&gt;0,N(INDEX('05-أيار'!$I$2:$I$501,V465))&gt;0,INDEX('05-أيار'!$F$2:$F$501,V465)=F465),N(I465)/N(INDEX('05-أيار'!$I$2:$I$501,V465))-1,""))</f>
        <v/>
      </c>
      <c r="AC465" t="str">
        <f>IF(L465="","",IF(AND($AO$2=1,ISNA(MATCH(L465,'07-تموز'!$L$2:$L$500,0))),"محذوف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IF(L466="","",IF($AO$1=1,IFERROR(MATCH(L466,'05-أيار'!$L$2:$L$501,0),0),0))</f>
        <v/>
      </c>
      <c r="W466" t="str">
        <f t="shared" si="151"/>
        <v/>
      </c>
      <c r="X466" s="38" t="str">
        <f>IF(L466="","",IF(V466&gt;0,INDEX('05-أيار'!$P$2:$P$501,V466),IF($AO$1=1,0,"")))</f>
        <v/>
      </c>
      <c r="Y466" s="38" t="str">
        <f t="shared" si="152"/>
        <v/>
      </c>
      <c r="Z466" s="39" t="str">
        <f>IF(L466="","",IF(V466&gt;0,INDEX('05-أيار'!$Q$2:$Q$501,V466),IF($AO$1=1,0,"")))</f>
        <v/>
      </c>
      <c r="AA466" s="39" t="str">
        <f t="shared" si="153"/>
        <v/>
      </c>
      <c r="AB466" s="40" t="str">
        <f>IF(OR(L466="",V466=0),"",IF(AND(N(I466)&gt;0,N(INDEX('05-أيار'!$I$2:$I$501,V466))&gt;0,INDEX('05-أيار'!$F$2:$F$501,V466)=F466),N(I466)/N(INDEX('05-أيار'!$I$2:$I$501,V466))-1,""))</f>
        <v/>
      </c>
      <c r="AC466" t="str">
        <f>IF(L466="","",IF(AND($AO$2=1,ISNA(MATCH(L466,'07-تموز'!$L$2:$L$500,0))),"محذوف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IF(L467="","",IF($AO$1=1,IFERROR(MATCH(L467,'05-أيار'!$L$2:$L$501,0),0),0))</f>
        <v/>
      </c>
      <c r="W467" t="str">
        <f t="shared" si="151"/>
        <v/>
      </c>
      <c r="X467" s="38" t="str">
        <f>IF(L467="","",IF(V467&gt;0,INDEX('05-أيار'!$P$2:$P$501,V467),IF($AO$1=1,0,"")))</f>
        <v/>
      </c>
      <c r="Y467" s="38" t="str">
        <f t="shared" si="152"/>
        <v/>
      </c>
      <c r="Z467" s="39" t="str">
        <f>IF(L467="","",IF(V467&gt;0,INDEX('05-أيار'!$Q$2:$Q$501,V467),IF($AO$1=1,0,"")))</f>
        <v/>
      </c>
      <c r="AA467" s="39" t="str">
        <f t="shared" si="153"/>
        <v/>
      </c>
      <c r="AB467" s="40" t="str">
        <f>IF(OR(L467="",V467=0),"",IF(AND(N(I467)&gt;0,N(INDEX('05-أيار'!$I$2:$I$501,V467))&gt;0,INDEX('05-أيار'!$F$2:$F$501,V467)=F467),N(I467)/N(INDEX('05-أيار'!$I$2:$I$501,V467))-1,""))</f>
        <v/>
      </c>
      <c r="AC467" t="str">
        <f>IF(L467="","",IF(AND($AO$2=1,ISNA(MATCH(L467,'07-تموز'!$L$2:$L$500,0))),"محذوف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IF(L468="","",IF($AO$1=1,IFERROR(MATCH(L468,'05-أيار'!$L$2:$L$501,0),0),0))</f>
        <v/>
      </c>
      <c r="W468" t="str">
        <f t="shared" si="151"/>
        <v/>
      </c>
      <c r="X468" s="38" t="str">
        <f>IF(L468="","",IF(V468&gt;0,INDEX('05-أيار'!$P$2:$P$501,V468),IF($AO$1=1,0,"")))</f>
        <v/>
      </c>
      <c r="Y468" s="38" t="str">
        <f t="shared" si="152"/>
        <v/>
      </c>
      <c r="Z468" s="39" t="str">
        <f>IF(L468="","",IF(V468&gt;0,INDEX('05-أيار'!$Q$2:$Q$501,V468),IF($AO$1=1,0,"")))</f>
        <v/>
      </c>
      <c r="AA468" s="39" t="str">
        <f t="shared" si="153"/>
        <v/>
      </c>
      <c r="AB468" s="40" t="str">
        <f>IF(OR(L468="",V468=0),"",IF(AND(N(I468)&gt;0,N(INDEX('05-أيار'!$I$2:$I$501,V468))&gt;0,INDEX('05-أيار'!$F$2:$F$501,V468)=F468),N(I468)/N(INDEX('05-أيار'!$I$2:$I$501,V468))-1,""))</f>
        <v/>
      </c>
      <c r="AC468" t="str">
        <f>IF(L468="","",IF(AND($AO$2=1,ISNA(MATCH(L468,'07-تموز'!$L$2:$L$500,0))),"محذوف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IF(L469="","",IF($AO$1=1,IFERROR(MATCH(L469,'05-أيار'!$L$2:$L$501,0),0),0))</f>
        <v/>
      </c>
      <c r="W469" t="str">
        <f t="shared" si="151"/>
        <v/>
      </c>
      <c r="X469" s="38" t="str">
        <f>IF(L469="","",IF(V469&gt;0,INDEX('05-أيار'!$P$2:$P$501,V469),IF($AO$1=1,0,"")))</f>
        <v/>
      </c>
      <c r="Y469" s="38" t="str">
        <f t="shared" si="152"/>
        <v/>
      </c>
      <c r="Z469" s="39" t="str">
        <f>IF(L469="","",IF(V469&gt;0,INDEX('05-أيار'!$Q$2:$Q$501,V469),IF($AO$1=1,0,"")))</f>
        <v/>
      </c>
      <c r="AA469" s="39" t="str">
        <f t="shared" si="153"/>
        <v/>
      </c>
      <c r="AB469" s="40" t="str">
        <f>IF(OR(L469="",V469=0),"",IF(AND(N(I469)&gt;0,N(INDEX('05-أيار'!$I$2:$I$501,V469))&gt;0,INDEX('05-أيار'!$F$2:$F$501,V469)=F469),N(I469)/N(INDEX('05-أيار'!$I$2:$I$501,V469))-1,""))</f>
        <v/>
      </c>
      <c r="AC469" t="str">
        <f>IF(L469="","",IF(AND($AO$2=1,ISNA(MATCH(L469,'07-تموز'!$L$2:$L$500,0))),"محذوف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IF(L470="","",IF($AO$1=1,IFERROR(MATCH(L470,'05-أيار'!$L$2:$L$501,0),0),0))</f>
        <v/>
      </c>
      <c r="W470" t="str">
        <f t="shared" si="151"/>
        <v/>
      </c>
      <c r="X470" s="38" t="str">
        <f>IF(L470="","",IF(V470&gt;0,INDEX('05-أيار'!$P$2:$P$501,V470),IF($AO$1=1,0,"")))</f>
        <v/>
      </c>
      <c r="Y470" s="38" t="str">
        <f t="shared" si="152"/>
        <v/>
      </c>
      <c r="Z470" s="39" t="str">
        <f>IF(L470="","",IF(V470&gt;0,INDEX('05-أيار'!$Q$2:$Q$501,V470),IF($AO$1=1,0,"")))</f>
        <v/>
      </c>
      <c r="AA470" s="39" t="str">
        <f t="shared" si="153"/>
        <v/>
      </c>
      <c r="AB470" s="40" t="str">
        <f>IF(OR(L470="",V470=0),"",IF(AND(N(I470)&gt;0,N(INDEX('05-أيار'!$I$2:$I$501,V470))&gt;0,INDEX('05-أيار'!$F$2:$F$501,V470)=F470),N(I470)/N(INDEX('05-أيار'!$I$2:$I$501,V470))-1,""))</f>
        <v/>
      </c>
      <c r="AC470" t="str">
        <f>IF(L470="","",IF(AND($AO$2=1,ISNA(MATCH(L470,'07-تموز'!$L$2:$L$500,0))),"محذوف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IF(L471="","",IF($AO$1=1,IFERROR(MATCH(L471,'05-أيار'!$L$2:$L$501,0),0),0))</f>
        <v/>
      </c>
      <c r="W471" t="str">
        <f t="shared" si="151"/>
        <v/>
      </c>
      <c r="X471" s="38" t="str">
        <f>IF(L471="","",IF(V471&gt;0,INDEX('05-أيار'!$P$2:$P$501,V471),IF($AO$1=1,0,"")))</f>
        <v/>
      </c>
      <c r="Y471" s="38" t="str">
        <f t="shared" si="152"/>
        <v/>
      </c>
      <c r="Z471" s="39" t="str">
        <f>IF(L471="","",IF(V471&gt;0,INDEX('05-أيار'!$Q$2:$Q$501,V471),IF($AO$1=1,0,"")))</f>
        <v/>
      </c>
      <c r="AA471" s="39" t="str">
        <f t="shared" si="153"/>
        <v/>
      </c>
      <c r="AB471" s="40" t="str">
        <f>IF(OR(L471="",V471=0),"",IF(AND(N(I471)&gt;0,N(INDEX('05-أيار'!$I$2:$I$501,V471))&gt;0,INDEX('05-أيار'!$F$2:$F$501,V471)=F471),N(I471)/N(INDEX('05-أيار'!$I$2:$I$501,V471))-1,""))</f>
        <v/>
      </c>
      <c r="AC471" t="str">
        <f>IF(L471="","",IF(AND($AO$2=1,ISNA(MATCH(L471,'07-تموز'!$L$2:$L$500,0))),"محذوف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IF(L472="","",IF($AO$1=1,IFERROR(MATCH(L472,'05-أيار'!$L$2:$L$501,0),0),0))</f>
        <v/>
      </c>
      <c r="W472" t="str">
        <f t="shared" si="151"/>
        <v/>
      </c>
      <c r="X472" s="38" t="str">
        <f>IF(L472="","",IF(V472&gt;0,INDEX('05-أيار'!$P$2:$P$501,V472),IF($AO$1=1,0,"")))</f>
        <v/>
      </c>
      <c r="Y472" s="38" t="str">
        <f t="shared" si="152"/>
        <v/>
      </c>
      <c r="Z472" s="39" t="str">
        <f>IF(L472="","",IF(V472&gt;0,INDEX('05-أيار'!$Q$2:$Q$501,V472),IF($AO$1=1,0,"")))</f>
        <v/>
      </c>
      <c r="AA472" s="39" t="str">
        <f t="shared" si="153"/>
        <v/>
      </c>
      <c r="AB472" s="40" t="str">
        <f>IF(OR(L472="",V472=0),"",IF(AND(N(I472)&gt;0,N(INDEX('05-أيار'!$I$2:$I$501,V472))&gt;0,INDEX('05-أيار'!$F$2:$F$501,V472)=F472),N(I472)/N(INDEX('05-أيار'!$I$2:$I$501,V472))-1,""))</f>
        <v/>
      </c>
      <c r="AC472" t="str">
        <f>IF(L472="","",IF(AND($AO$2=1,ISNA(MATCH(L472,'07-تموز'!$L$2:$L$500,0))),"محذوف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IF(L473="","",IF($AO$1=1,IFERROR(MATCH(L473,'05-أيار'!$L$2:$L$501,0),0),0))</f>
        <v/>
      </c>
      <c r="W473" t="str">
        <f t="shared" si="151"/>
        <v/>
      </c>
      <c r="X473" s="38" t="str">
        <f>IF(L473="","",IF(V473&gt;0,INDEX('05-أيار'!$P$2:$P$501,V473),IF($AO$1=1,0,"")))</f>
        <v/>
      </c>
      <c r="Y473" s="38" t="str">
        <f t="shared" si="152"/>
        <v/>
      </c>
      <c r="Z473" s="39" t="str">
        <f>IF(L473="","",IF(V473&gt;0,INDEX('05-أيار'!$Q$2:$Q$501,V473),IF($AO$1=1,0,"")))</f>
        <v/>
      </c>
      <c r="AA473" s="39" t="str">
        <f t="shared" si="153"/>
        <v/>
      </c>
      <c r="AB473" s="40" t="str">
        <f>IF(OR(L473="",V473=0),"",IF(AND(N(I473)&gt;0,N(INDEX('05-أيار'!$I$2:$I$501,V473))&gt;0,INDEX('05-أيار'!$F$2:$F$501,V473)=F473),N(I473)/N(INDEX('05-أيار'!$I$2:$I$501,V473))-1,""))</f>
        <v/>
      </c>
      <c r="AC473" t="str">
        <f>IF(L473="","",IF(AND($AO$2=1,ISNA(MATCH(L473,'07-تموز'!$L$2:$L$500,0))),"محذوف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IF(L474="","",IF($AO$1=1,IFERROR(MATCH(L474,'05-أيار'!$L$2:$L$501,0),0),0))</f>
        <v/>
      </c>
      <c r="W474" t="str">
        <f t="shared" si="151"/>
        <v/>
      </c>
      <c r="X474" s="38" t="str">
        <f>IF(L474="","",IF(V474&gt;0,INDEX('05-أيار'!$P$2:$P$501,V474),IF($AO$1=1,0,"")))</f>
        <v/>
      </c>
      <c r="Y474" s="38" t="str">
        <f t="shared" si="152"/>
        <v/>
      </c>
      <c r="Z474" s="39" t="str">
        <f>IF(L474="","",IF(V474&gt;0,INDEX('05-أيار'!$Q$2:$Q$501,V474),IF($AO$1=1,0,"")))</f>
        <v/>
      </c>
      <c r="AA474" s="39" t="str">
        <f t="shared" si="153"/>
        <v/>
      </c>
      <c r="AB474" s="40" t="str">
        <f>IF(OR(L474="",V474=0),"",IF(AND(N(I474)&gt;0,N(INDEX('05-أيار'!$I$2:$I$501,V474))&gt;0,INDEX('05-أيار'!$F$2:$F$501,V474)=F474),N(I474)/N(INDEX('05-أيار'!$I$2:$I$501,V474))-1,""))</f>
        <v/>
      </c>
      <c r="AC474" t="str">
        <f>IF(L474="","",IF(AND($AO$2=1,ISNA(MATCH(L474,'07-تموز'!$L$2:$L$500,0))),"محذوف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IF(L475="","",IF($AO$1=1,IFERROR(MATCH(L475,'05-أيار'!$L$2:$L$501,0),0),0))</f>
        <v/>
      </c>
      <c r="W475" t="str">
        <f t="shared" si="151"/>
        <v/>
      </c>
      <c r="X475" s="38" t="str">
        <f>IF(L475="","",IF(V475&gt;0,INDEX('05-أيار'!$P$2:$P$501,V475),IF($AO$1=1,0,"")))</f>
        <v/>
      </c>
      <c r="Y475" s="38" t="str">
        <f t="shared" si="152"/>
        <v/>
      </c>
      <c r="Z475" s="39" t="str">
        <f>IF(L475="","",IF(V475&gt;0,INDEX('05-أيار'!$Q$2:$Q$501,V475),IF($AO$1=1,0,"")))</f>
        <v/>
      </c>
      <c r="AA475" s="39" t="str">
        <f t="shared" si="153"/>
        <v/>
      </c>
      <c r="AB475" s="40" t="str">
        <f>IF(OR(L475="",V475=0),"",IF(AND(N(I475)&gt;0,N(INDEX('05-أيار'!$I$2:$I$501,V475))&gt;0,INDEX('05-أيار'!$F$2:$F$501,V475)=F475),N(I475)/N(INDEX('05-أيار'!$I$2:$I$501,V475))-1,""))</f>
        <v/>
      </c>
      <c r="AC475" t="str">
        <f>IF(L475="","",IF(AND($AO$2=1,ISNA(MATCH(L475,'07-تموز'!$L$2:$L$500,0))),"محذوف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IF(L476="","",IF($AO$1=1,IFERROR(MATCH(L476,'05-أيار'!$L$2:$L$501,0),0),0))</f>
        <v/>
      </c>
      <c r="W476" t="str">
        <f t="shared" si="151"/>
        <v/>
      </c>
      <c r="X476" s="38" t="str">
        <f>IF(L476="","",IF(V476&gt;0,INDEX('05-أيار'!$P$2:$P$501,V476),IF($AO$1=1,0,"")))</f>
        <v/>
      </c>
      <c r="Y476" s="38" t="str">
        <f t="shared" si="152"/>
        <v/>
      </c>
      <c r="Z476" s="39" t="str">
        <f>IF(L476="","",IF(V476&gt;0,INDEX('05-أيار'!$Q$2:$Q$501,V476),IF($AO$1=1,0,"")))</f>
        <v/>
      </c>
      <c r="AA476" s="39" t="str">
        <f t="shared" si="153"/>
        <v/>
      </c>
      <c r="AB476" s="40" t="str">
        <f>IF(OR(L476="",V476=0),"",IF(AND(N(I476)&gt;0,N(INDEX('05-أيار'!$I$2:$I$501,V476))&gt;0,INDEX('05-أيار'!$F$2:$F$501,V476)=F476),N(I476)/N(INDEX('05-أيار'!$I$2:$I$501,V476))-1,""))</f>
        <v/>
      </c>
      <c r="AC476" t="str">
        <f>IF(L476="","",IF(AND($AO$2=1,ISNA(MATCH(L476,'07-تموز'!$L$2:$L$500,0))),"محذوف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IF(L477="","",IF($AO$1=1,IFERROR(MATCH(L477,'05-أيار'!$L$2:$L$501,0),0),0))</f>
        <v/>
      </c>
      <c r="W477" t="str">
        <f t="shared" si="151"/>
        <v/>
      </c>
      <c r="X477" s="38" t="str">
        <f>IF(L477="","",IF(V477&gt;0,INDEX('05-أيار'!$P$2:$P$501,V477),IF($AO$1=1,0,"")))</f>
        <v/>
      </c>
      <c r="Y477" s="38" t="str">
        <f t="shared" si="152"/>
        <v/>
      </c>
      <c r="Z477" s="39" t="str">
        <f>IF(L477="","",IF(V477&gt;0,INDEX('05-أيار'!$Q$2:$Q$501,V477),IF($AO$1=1,0,"")))</f>
        <v/>
      </c>
      <c r="AA477" s="39" t="str">
        <f t="shared" si="153"/>
        <v/>
      </c>
      <c r="AB477" s="40" t="str">
        <f>IF(OR(L477="",V477=0),"",IF(AND(N(I477)&gt;0,N(INDEX('05-أيار'!$I$2:$I$501,V477))&gt;0,INDEX('05-أيار'!$F$2:$F$501,V477)=F477),N(I477)/N(INDEX('05-أيار'!$I$2:$I$501,V477))-1,""))</f>
        <v/>
      </c>
      <c r="AC477" t="str">
        <f>IF(L477="","",IF(AND($AO$2=1,ISNA(MATCH(L477,'07-تموز'!$L$2:$L$500,0))),"محذوف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IF(L478="","",IF($AO$1=1,IFERROR(MATCH(L478,'05-أيار'!$L$2:$L$501,0),0),0))</f>
        <v/>
      </c>
      <c r="W478" t="str">
        <f t="shared" si="151"/>
        <v/>
      </c>
      <c r="X478" s="38" t="str">
        <f>IF(L478="","",IF(V478&gt;0,INDEX('05-أيار'!$P$2:$P$501,V478),IF($AO$1=1,0,"")))</f>
        <v/>
      </c>
      <c r="Y478" s="38" t="str">
        <f t="shared" si="152"/>
        <v/>
      </c>
      <c r="Z478" s="39" t="str">
        <f>IF(L478="","",IF(V478&gt;0,INDEX('05-أيار'!$Q$2:$Q$501,V478),IF($AO$1=1,0,"")))</f>
        <v/>
      </c>
      <c r="AA478" s="39" t="str">
        <f t="shared" si="153"/>
        <v/>
      </c>
      <c r="AB478" s="40" t="str">
        <f>IF(OR(L478="",V478=0),"",IF(AND(N(I478)&gt;0,N(INDEX('05-أيار'!$I$2:$I$501,V478))&gt;0,INDEX('05-أيار'!$F$2:$F$501,V478)=F478),N(I478)/N(INDEX('05-أيار'!$I$2:$I$501,V478))-1,""))</f>
        <v/>
      </c>
      <c r="AC478" t="str">
        <f>IF(L478="","",IF(AND($AO$2=1,ISNA(MATCH(L478,'07-تموز'!$L$2:$L$500,0))),"محذوف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IF(L479="","",IF($AO$1=1,IFERROR(MATCH(L479,'05-أيار'!$L$2:$L$501,0),0),0))</f>
        <v/>
      </c>
      <c r="W479" t="str">
        <f t="shared" si="151"/>
        <v/>
      </c>
      <c r="X479" s="38" t="str">
        <f>IF(L479="","",IF(V479&gt;0,INDEX('05-أيار'!$P$2:$P$501,V479),IF($AO$1=1,0,"")))</f>
        <v/>
      </c>
      <c r="Y479" s="38" t="str">
        <f t="shared" si="152"/>
        <v/>
      </c>
      <c r="Z479" s="39" t="str">
        <f>IF(L479="","",IF(V479&gt;0,INDEX('05-أيار'!$Q$2:$Q$501,V479),IF($AO$1=1,0,"")))</f>
        <v/>
      </c>
      <c r="AA479" s="39" t="str">
        <f t="shared" si="153"/>
        <v/>
      </c>
      <c r="AB479" s="40" t="str">
        <f>IF(OR(L479="",V479=0),"",IF(AND(N(I479)&gt;0,N(INDEX('05-أيار'!$I$2:$I$501,V479))&gt;0,INDEX('05-أيار'!$F$2:$F$501,V479)=F479),N(I479)/N(INDEX('05-أيار'!$I$2:$I$501,V479))-1,""))</f>
        <v/>
      </c>
      <c r="AC479" t="str">
        <f>IF(L479="","",IF(AND($AO$2=1,ISNA(MATCH(L479,'07-تموز'!$L$2:$L$500,0))),"محذوف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IF(L480="","",IF($AO$1=1,IFERROR(MATCH(L480,'05-أيار'!$L$2:$L$501,0),0),0))</f>
        <v/>
      </c>
      <c r="W480" t="str">
        <f t="shared" si="151"/>
        <v/>
      </c>
      <c r="X480" s="38" t="str">
        <f>IF(L480="","",IF(V480&gt;0,INDEX('05-أيار'!$P$2:$P$501,V480),IF($AO$1=1,0,"")))</f>
        <v/>
      </c>
      <c r="Y480" s="38" t="str">
        <f t="shared" si="152"/>
        <v/>
      </c>
      <c r="Z480" s="39" t="str">
        <f>IF(L480="","",IF(V480&gt;0,INDEX('05-أيار'!$Q$2:$Q$501,V480),IF($AO$1=1,0,"")))</f>
        <v/>
      </c>
      <c r="AA480" s="39" t="str">
        <f t="shared" si="153"/>
        <v/>
      </c>
      <c r="AB480" s="40" t="str">
        <f>IF(OR(L480="",V480=0),"",IF(AND(N(I480)&gt;0,N(INDEX('05-أيار'!$I$2:$I$501,V480))&gt;0,INDEX('05-أيار'!$F$2:$F$501,V480)=F480),N(I480)/N(INDEX('05-أيار'!$I$2:$I$501,V480))-1,""))</f>
        <v/>
      </c>
      <c r="AC480" t="str">
        <f>IF(L480="","",IF(AND($AO$2=1,ISNA(MATCH(L480,'07-تموز'!$L$2:$L$500,0))),"محذوف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IF(L481="","",IF($AO$1=1,IFERROR(MATCH(L481,'05-أيار'!$L$2:$L$501,0),0),0))</f>
        <v/>
      </c>
      <c r="W481" t="str">
        <f t="shared" si="151"/>
        <v/>
      </c>
      <c r="X481" s="38" t="str">
        <f>IF(L481="","",IF(V481&gt;0,INDEX('05-أيار'!$P$2:$P$501,V481),IF($AO$1=1,0,"")))</f>
        <v/>
      </c>
      <c r="Y481" s="38" t="str">
        <f t="shared" si="152"/>
        <v/>
      </c>
      <c r="Z481" s="39" t="str">
        <f>IF(L481="","",IF(V481&gt;0,INDEX('05-أيار'!$Q$2:$Q$501,V481),IF($AO$1=1,0,"")))</f>
        <v/>
      </c>
      <c r="AA481" s="39" t="str">
        <f t="shared" si="153"/>
        <v/>
      </c>
      <c r="AB481" s="40" t="str">
        <f>IF(OR(L481="",V481=0),"",IF(AND(N(I481)&gt;0,N(INDEX('05-أيار'!$I$2:$I$501,V481))&gt;0,INDEX('05-أيار'!$F$2:$F$501,V481)=F481),N(I481)/N(INDEX('05-أيار'!$I$2:$I$501,V481))-1,""))</f>
        <v/>
      </c>
      <c r="AC481" t="str">
        <f>IF(L481="","",IF(AND($AO$2=1,ISNA(MATCH(L481,'07-تموز'!$L$2:$L$500,0))),"محذوف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IF(L482="","",IF($AO$1=1,IFERROR(MATCH(L482,'05-أيار'!$L$2:$L$501,0),0),0))</f>
        <v/>
      </c>
      <c r="W482" t="str">
        <f t="shared" si="151"/>
        <v/>
      </c>
      <c r="X482" s="38" t="str">
        <f>IF(L482="","",IF(V482&gt;0,INDEX('05-أيار'!$P$2:$P$501,V482),IF($AO$1=1,0,"")))</f>
        <v/>
      </c>
      <c r="Y482" s="38" t="str">
        <f t="shared" si="152"/>
        <v/>
      </c>
      <c r="Z482" s="39" t="str">
        <f>IF(L482="","",IF(V482&gt;0,INDEX('05-أيار'!$Q$2:$Q$501,V482),IF($AO$1=1,0,"")))</f>
        <v/>
      </c>
      <c r="AA482" s="39" t="str">
        <f t="shared" si="153"/>
        <v/>
      </c>
      <c r="AB482" s="40" t="str">
        <f>IF(OR(L482="",V482=0),"",IF(AND(N(I482)&gt;0,N(INDEX('05-أيار'!$I$2:$I$501,V482))&gt;0,INDEX('05-أيار'!$F$2:$F$501,V482)=F482),N(I482)/N(INDEX('05-أيار'!$I$2:$I$501,V482))-1,""))</f>
        <v/>
      </c>
      <c r="AC482" t="str">
        <f>IF(L482="","",IF(AND($AO$2=1,ISNA(MATCH(L482,'07-تموز'!$L$2:$L$500,0))),"محذوف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IF(L483="","",IF($AO$1=1,IFERROR(MATCH(L483,'05-أيار'!$L$2:$L$501,0),0),0))</f>
        <v/>
      </c>
      <c r="W483" t="str">
        <f t="shared" si="151"/>
        <v/>
      </c>
      <c r="X483" s="38" t="str">
        <f>IF(L483="","",IF(V483&gt;0,INDEX('05-أيار'!$P$2:$P$501,V483),IF($AO$1=1,0,"")))</f>
        <v/>
      </c>
      <c r="Y483" s="38" t="str">
        <f t="shared" si="152"/>
        <v/>
      </c>
      <c r="Z483" s="39" t="str">
        <f>IF(L483="","",IF(V483&gt;0,INDEX('05-أيار'!$Q$2:$Q$501,V483),IF($AO$1=1,0,"")))</f>
        <v/>
      </c>
      <c r="AA483" s="39" t="str">
        <f t="shared" si="153"/>
        <v/>
      </c>
      <c r="AB483" s="40" t="str">
        <f>IF(OR(L483="",V483=0),"",IF(AND(N(I483)&gt;0,N(INDEX('05-أيار'!$I$2:$I$501,V483))&gt;0,INDEX('05-أيار'!$F$2:$F$501,V483)=F483),N(I483)/N(INDEX('05-أيار'!$I$2:$I$501,V483))-1,""))</f>
        <v/>
      </c>
      <c r="AC483" t="str">
        <f>IF(L483="","",IF(AND($AO$2=1,ISNA(MATCH(L483,'07-تموز'!$L$2:$L$500,0))),"محذوف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IF(L484="","",IF($AO$1=1,IFERROR(MATCH(L484,'05-أيار'!$L$2:$L$501,0),0),0))</f>
        <v/>
      </c>
      <c r="W484" t="str">
        <f t="shared" si="151"/>
        <v/>
      </c>
      <c r="X484" s="38" t="str">
        <f>IF(L484="","",IF(V484&gt;0,INDEX('05-أيار'!$P$2:$P$501,V484),IF($AO$1=1,0,"")))</f>
        <v/>
      </c>
      <c r="Y484" s="38" t="str">
        <f t="shared" si="152"/>
        <v/>
      </c>
      <c r="Z484" s="39" t="str">
        <f>IF(L484="","",IF(V484&gt;0,INDEX('05-أيار'!$Q$2:$Q$501,V484),IF($AO$1=1,0,"")))</f>
        <v/>
      </c>
      <c r="AA484" s="39" t="str">
        <f t="shared" si="153"/>
        <v/>
      </c>
      <c r="AB484" s="40" t="str">
        <f>IF(OR(L484="",V484=0),"",IF(AND(N(I484)&gt;0,N(INDEX('05-أيار'!$I$2:$I$501,V484))&gt;0,INDEX('05-أيار'!$F$2:$F$501,V484)=F484),N(I484)/N(INDEX('05-أيار'!$I$2:$I$501,V484))-1,""))</f>
        <v/>
      </c>
      <c r="AC484" t="str">
        <f>IF(L484="","",IF(AND($AO$2=1,ISNA(MATCH(L484,'07-تموز'!$L$2:$L$500,0))),"محذوف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IF(L485="","",IF($AO$1=1,IFERROR(MATCH(L485,'05-أيار'!$L$2:$L$501,0),0),0))</f>
        <v/>
      </c>
      <c r="W485" t="str">
        <f t="shared" si="151"/>
        <v/>
      </c>
      <c r="X485" s="38" t="str">
        <f>IF(L485="","",IF(V485&gt;0,INDEX('05-أيار'!$P$2:$P$501,V485),IF($AO$1=1,0,"")))</f>
        <v/>
      </c>
      <c r="Y485" s="38" t="str">
        <f t="shared" si="152"/>
        <v/>
      </c>
      <c r="Z485" s="39" t="str">
        <f>IF(L485="","",IF(V485&gt;0,INDEX('05-أيار'!$Q$2:$Q$501,V485),IF($AO$1=1,0,"")))</f>
        <v/>
      </c>
      <c r="AA485" s="39" t="str">
        <f t="shared" si="153"/>
        <v/>
      </c>
      <c r="AB485" s="40" t="str">
        <f>IF(OR(L485="",V485=0),"",IF(AND(N(I485)&gt;0,N(INDEX('05-أيار'!$I$2:$I$501,V485))&gt;0,INDEX('05-أيار'!$F$2:$F$501,V485)=F485),N(I485)/N(INDEX('05-أيار'!$I$2:$I$501,V485))-1,""))</f>
        <v/>
      </c>
      <c r="AC485" t="str">
        <f>IF(L485="","",IF(AND($AO$2=1,ISNA(MATCH(L485,'07-تموز'!$L$2:$L$500,0))),"محذوف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IF(L486="","",IF($AO$1=1,IFERROR(MATCH(L486,'05-أيار'!$L$2:$L$501,0),0),0))</f>
        <v/>
      </c>
      <c r="W486" t="str">
        <f t="shared" si="151"/>
        <v/>
      </c>
      <c r="X486" s="38" t="str">
        <f>IF(L486="","",IF(V486&gt;0,INDEX('05-أيار'!$P$2:$P$501,V486),IF($AO$1=1,0,"")))</f>
        <v/>
      </c>
      <c r="Y486" s="38" t="str">
        <f t="shared" si="152"/>
        <v/>
      </c>
      <c r="Z486" s="39" t="str">
        <f>IF(L486="","",IF(V486&gt;0,INDEX('05-أيار'!$Q$2:$Q$501,V486),IF($AO$1=1,0,"")))</f>
        <v/>
      </c>
      <c r="AA486" s="39" t="str">
        <f t="shared" si="153"/>
        <v/>
      </c>
      <c r="AB486" s="40" t="str">
        <f>IF(OR(L486="",V486=0),"",IF(AND(N(I486)&gt;0,N(INDEX('05-أيار'!$I$2:$I$501,V486))&gt;0,INDEX('05-أيار'!$F$2:$F$501,V486)=F486),N(I486)/N(INDEX('05-أيار'!$I$2:$I$501,V486))-1,""))</f>
        <v/>
      </c>
      <c r="AC486" t="str">
        <f>IF(L486="","",IF(AND($AO$2=1,ISNA(MATCH(L486,'07-تموز'!$L$2:$L$500,0))),"محذوف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IF(L487="","",IF($AO$1=1,IFERROR(MATCH(L487,'05-أيار'!$L$2:$L$501,0),0),0))</f>
        <v/>
      </c>
      <c r="W487" t="str">
        <f t="shared" si="151"/>
        <v/>
      </c>
      <c r="X487" s="38" t="str">
        <f>IF(L487="","",IF(V487&gt;0,INDEX('05-أيار'!$P$2:$P$501,V487),IF($AO$1=1,0,"")))</f>
        <v/>
      </c>
      <c r="Y487" s="38" t="str">
        <f t="shared" si="152"/>
        <v/>
      </c>
      <c r="Z487" s="39" t="str">
        <f>IF(L487="","",IF(V487&gt;0,INDEX('05-أيار'!$Q$2:$Q$501,V487),IF($AO$1=1,0,"")))</f>
        <v/>
      </c>
      <c r="AA487" s="39" t="str">
        <f t="shared" si="153"/>
        <v/>
      </c>
      <c r="AB487" s="40" t="str">
        <f>IF(OR(L487="",V487=0),"",IF(AND(N(I487)&gt;0,N(INDEX('05-أيار'!$I$2:$I$501,V487))&gt;0,INDEX('05-أيار'!$F$2:$F$501,V487)=F487),N(I487)/N(INDEX('05-أيار'!$I$2:$I$501,V487))-1,""))</f>
        <v/>
      </c>
      <c r="AC487" t="str">
        <f>IF(L487="","",IF(AND($AO$2=1,ISNA(MATCH(L487,'07-تموز'!$L$2:$L$500,0))),"محذوف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IF(L488="","",IF($AO$1=1,IFERROR(MATCH(L488,'05-أيار'!$L$2:$L$501,0),0),0))</f>
        <v/>
      </c>
      <c r="W488" t="str">
        <f t="shared" si="151"/>
        <v/>
      </c>
      <c r="X488" s="38" t="str">
        <f>IF(L488="","",IF(V488&gt;0,INDEX('05-أيار'!$P$2:$P$501,V488),IF($AO$1=1,0,"")))</f>
        <v/>
      </c>
      <c r="Y488" s="38" t="str">
        <f t="shared" si="152"/>
        <v/>
      </c>
      <c r="Z488" s="39" t="str">
        <f>IF(L488="","",IF(V488&gt;0,INDEX('05-أيار'!$Q$2:$Q$501,V488),IF($AO$1=1,0,"")))</f>
        <v/>
      </c>
      <c r="AA488" s="39" t="str">
        <f t="shared" si="153"/>
        <v/>
      </c>
      <c r="AB488" s="40" t="str">
        <f>IF(OR(L488="",V488=0),"",IF(AND(N(I488)&gt;0,N(INDEX('05-أيار'!$I$2:$I$501,V488))&gt;0,INDEX('05-أيار'!$F$2:$F$501,V488)=F488),N(I488)/N(INDEX('05-أيار'!$I$2:$I$501,V488))-1,""))</f>
        <v/>
      </c>
      <c r="AC488" t="str">
        <f>IF(L488="","",IF(AND($AO$2=1,ISNA(MATCH(L488,'07-تموز'!$L$2:$L$500,0))),"محذوف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IF(L489="","",IF($AO$1=1,IFERROR(MATCH(L489,'05-أيار'!$L$2:$L$501,0),0),0))</f>
        <v/>
      </c>
      <c r="W489" t="str">
        <f t="shared" si="151"/>
        <v/>
      </c>
      <c r="X489" s="38" t="str">
        <f>IF(L489="","",IF(V489&gt;0,INDEX('05-أيار'!$P$2:$P$501,V489),IF($AO$1=1,0,"")))</f>
        <v/>
      </c>
      <c r="Y489" s="38" t="str">
        <f t="shared" si="152"/>
        <v/>
      </c>
      <c r="Z489" s="39" t="str">
        <f>IF(L489="","",IF(V489&gt;0,INDEX('05-أيار'!$Q$2:$Q$501,V489),IF($AO$1=1,0,"")))</f>
        <v/>
      </c>
      <c r="AA489" s="39" t="str">
        <f t="shared" si="153"/>
        <v/>
      </c>
      <c r="AB489" s="40" t="str">
        <f>IF(OR(L489="",V489=0),"",IF(AND(N(I489)&gt;0,N(INDEX('05-أيار'!$I$2:$I$501,V489))&gt;0,INDEX('05-أيار'!$F$2:$F$501,V489)=F489),N(I489)/N(INDEX('05-أيار'!$I$2:$I$501,V489))-1,""))</f>
        <v/>
      </c>
      <c r="AC489" t="str">
        <f>IF(L489="","",IF(AND($AO$2=1,ISNA(MATCH(L489,'07-تموز'!$L$2:$L$500,0))),"محذوف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IF(L490="","",IF($AO$1=1,IFERROR(MATCH(L490,'05-أيار'!$L$2:$L$501,0),0),0))</f>
        <v/>
      </c>
      <c r="W490" t="str">
        <f t="shared" si="151"/>
        <v/>
      </c>
      <c r="X490" s="38" t="str">
        <f>IF(L490="","",IF(V490&gt;0,INDEX('05-أيار'!$P$2:$P$501,V490),IF($AO$1=1,0,"")))</f>
        <v/>
      </c>
      <c r="Y490" s="38" t="str">
        <f t="shared" si="152"/>
        <v/>
      </c>
      <c r="Z490" s="39" t="str">
        <f>IF(L490="","",IF(V490&gt;0,INDEX('05-أيار'!$Q$2:$Q$501,V490),IF($AO$1=1,0,"")))</f>
        <v/>
      </c>
      <c r="AA490" s="39" t="str">
        <f t="shared" si="153"/>
        <v/>
      </c>
      <c r="AB490" s="40" t="str">
        <f>IF(OR(L490="",V490=0),"",IF(AND(N(I490)&gt;0,N(INDEX('05-أيار'!$I$2:$I$501,V490))&gt;0,INDEX('05-أيار'!$F$2:$F$501,V490)=F490),N(I490)/N(INDEX('05-أيار'!$I$2:$I$501,V490))-1,""))</f>
        <v/>
      </c>
      <c r="AC490" t="str">
        <f>IF(L490="","",IF(AND($AO$2=1,ISNA(MATCH(L490,'07-تموز'!$L$2:$L$500,0))),"محذوف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IF(L491="","",IF($AO$1=1,IFERROR(MATCH(L491,'05-أيار'!$L$2:$L$501,0),0),0))</f>
        <v/>
      </c>
      <c r="W491" t="str">
        <f t="shared" si="151"/>
        <v/>
      </c>
      <c r="X491" s="38" t="str">
        <f>IF(L491="","",IF(V491&gt;0,INDEX('05-أيار'!$P$2:$P$501,V491),IF($AO$1=1,0,"")))</f>
        <v/>
      </c>
      <c r="Y491" s="38" t="str">
        <f t="shared" si="152"/>
        <v/>
      </c>
      <c r="Z491" s="39" t="str">
        <f>IF(L491="","",IF(V491&gt;0,INDEX('05-أيار'!$Q$2:$Q$501,V491),IF($AO$1=1,0,"")))</f>
        <v/>
      </c>
      <c r="AA491" s="39" t="str">
        <f t="shared" si="153"/>
        <v/>
      </c>
      <c r="AB491" s="40" t="str">
        <f>IF(OR(L491="",V491=0),"",IF(AND(N(I491)&gt;0,N(INDEX('05-أيار'!$I$2:$I$501,V491))&gt;0,INDEX('05-أيار'!$F$2:$F$501,V491)=F491),N(I491)/N(INDEX('05-أيار'!$I$2:$I$501,V491))-1,""))</f>
        <v/>
      </c>
      <c r="AC491" t="str">
        <f>IF(L491="","",IF(AND($AO$2=1,ISNA(MATCH(L491,'07-تموز'!$L$2:$L$500,0))),"محذوف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IF(L492="","",IF($AO$1=1,IFERROR(MATCH(L492,'05-أيار'!$L$2:$L$501,0),0),0))</f>
        <v/>
      </c>
      <c r="W492" t="str">
        <f t="shared" si="151"/>
        <v/>
      </c>
      <c r="X492" s="38" t="str">
        <f>IF(L492="","",IF(V492&gt;0,INDEX('05-أيار'!$P$2:$P$501,V492),IF($AO$1=1,0,"")))</f>
        <v/>
      </c>
      <c r="Y492" s="38" t="str">
        <f t="shared" si="152"/>
        <v/>
      </c>
      <c r="Z492" s="39" t="str">
        <f>IF(L492="","",IF(V492&gt;0,INDEX('05-أيار'!$Q$2:$Q$501,V492),IF($AO$1=1,0,"")))</f>
        <v/>
      </c>
      <c r="AA492" s="39" t="str">
        <f t="shared" si="153"/>
        <v/>
      </c>
      <c r="AB492" s="40" t="str">
        <f>IF(OR(L492="",V492=0),"",IF(AND(N(I492)&gt;0,N(INDEX('05-أيار'!$I$2:$I$501,V492))&gt;0,INDEX('05-أيار'!$F$2:$F$501,V492)=F492),N(I492)/N(INDEX('05-أيار'!$I$2:$I$501,V492))-1,""))</f>
        <v/>
      </c>
      <c r="AC492" t="str">
        <f>IF(L492="","",IF(AND($AO$2=1,ISNA(MATCH(L492,'07-تموز'!$L$2:$L$500,0))),"محذوف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IF(L493="","",IF($AO$1=1,IFERROR(MATCH(L493,'05-أيار'!$L$2:$L$501,0),0),0))</f>
        <v/>
      </c>
      <c r="W493" t="str">
        <f t="shared" si="151"/>
        <v/>
      </c>
      <c r="X493" s="38" t="str">
        <f>IF(L493="","",IF(V493&gt;0,INDEX('05-أيار'!$P$2:$P$501,V493),IF($AO$1=1,0,"")))</f>
        <v/>
      </c>
      <c r="Y493" s="38" t="str">
        <f t="shared" si="152"/>
        <v/>
      </c>
      <c r="Z493" s="39" t="str">
        <f>IF(L493="","",IF(V493&gt;0,INDEX('05-أيار'!$Q$2:$Q$501,V493),IF($AO$1=1,0,"")))</f>
        <v/>
      </c>
      <c r="AA493" s="39" t="str">
        <f t="shared" si="153"/>
        <v/>
      </c>
      <c r="AB493" s="40" t="str">
        <f>IF(OR(L493="",V493=0),"",IF(AND(N(I493)&gt;0,N(INDEX('05-أيار'!$I$2:$I$501,V493))&gt;0,INDEX('05-أيار'!$F$2:$F$501,V493)=F493),N(I493)/N(INDEX('05-أيار'!$I$2:$I$501,V493))-1,""))</f>
        <v/>
      </c>
      <c r="AC493" t="str">
        <f>IF(L493="","",IF(AND($AO$2=1,ISNA(MATCH(L493,'07-تموز'!$L$2:$L$500,0))),"محذوف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IF(L494="","",IF($AO$1=1,IFERROR(MATCH(L494,'05-أيار'!$L$2:$L$501,0),0),0))</f>
        <v/>
      </c>
      <c r="W494" t="str">
        <f t="shared" si="151"/>
        <v/>
      </c>
      <c r="X494" s="38" t="str">
        <f>IF(L494="","",IF(V494&gt;0,INDEX('05-أيار'!$P$2:$P$501,V494),IF($AO$1=1,0,"")))</f>
        <v/>
      </c>
      <c r="Y494" s="38" t="str">
        <f t="shared" si="152"/>
        <v/>
      </c>
      <c r="Z494" s="39" t="str">
        <f>IF(L494="","",IF(V494&gt;0,INDEX('05-أيار'!$Q$2:$Q$501,V494),IF($AO$1=1,0,"")))</f>
        <v/>
      </c>
      <c r="AA494" s="39" t="str">
        <f t="shared" si="153"/>
        <v/>
      </c>
      <c r="AB494" s="40" t="str">
        <f>IF(OR(L494="",V494=0),"",IF(AND(N(I494)&gt;0,N(INDEX('05-أيار'!$I$2:$I$501,V494))&gt;0,INDEX('05-أيار'!$F$2:$F$501,V494)=F494),N(I494)/N(INDEX('05-أيار'!$I$2:$I$501,V494))-1,""))</f>
        <v/>
      </c>
      <c r="AC494" t="str">
        <f>IF(L494="","",IF(AND($AO$2=1,ISNA(MATCH(L494,'07-تموز'!$L$2:$L$500,0))),"محذوف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IF(L495="","",IF($AO$1=1,IFERROR(MATCH(L495,'05-أيار'!$L$2:$L$501,0),0),0))</f>
        <v/>
      </c>
      <c r="W495" t="str">
        <f t="shared" si="151"/>
        <v/>
      </c>
      <c r="X495" s="38" t="str">
        <f>IF(L495="","",IF(V495&gt;0,INDEX('05-أيار'!$P$2:$P$501,V495),IF($AO$1=1,0,"")))</f>
        <v/>
      </c>
      <c r="Y495" s="38" t="str">
        <f t="shared" si="152"/>
        <v/>
      </c>
      <c r="Z495" s="39" t="str">
        <f>IF(L495="","",IF(V495&gt;0,INDEX('05-أيار'!$Q$2:$Q$501,V495),IF($AO$1=1,0,"")))</f>
        <v/>
      </c>
      <c r="AA495" s="39" t="str">
        <f t="shared" si="153"/>
        <v/>
      </c>
      <c r="AB495" s="40" t="str">
        <f>IF(OR(L495="",V495=0),"",IF(AND(N(I495)&gt;0,N(INDEX('05-أيار'!$I$2:$I$501,V495))&gt;0,INDEX('05-أيار'!$F$2:$F$501,V495)=F495),N(I495)/N(INDEX('05-أيار'!$I$2:$I$501,V495))-1,""))</f>
        <v/>
      </c>
      <c r="AC495" t="str">
        <f>IF(L495="","",IF(AND($AO$2=1,ISNA(MATCH(L495,'07-تموز'!$L$2:$L$500,0))),"محذوف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IF(L496="","",IF($AO$1=1,IFERROR(MATCH(L496,'05-أيار'!$L$2:$L$501,0),0),0))</f>
        <v/>
      </c>
      <c r="W496" t="str">
        <f t="shared" si="151"/>
        <v/>
      </c>
      <c r="X496" s="38" t="str">
        <f>IF(L496="","",IF(V496&gt;0,INDEX('05-أيار'!$P$2:$P$501,V496),IF($AO$1=1,0,"")))</f>
        <v/>
      </c>
      <c r="Y496" s="38" t="str">
        <f t="shared" si="152"/>
        <v/>
      </c>
      <c r="Z496" s="39" t="str">
        <f>IF(L496="","",IF(V496&gt;0,INDEX('05-أيار'!$Q$2:$Q$501,V496),IF($AO$1=1,0,"")))</f>
        <v/>
      </c>
      <c r="AA496" s="39" t="str">
        <f t="shared" si="153"/>
        <v/>
      </c>
      <c r="AB496" s="40" t="str">
        <f>IF(OR(L496="",V496=0),"",IF(AND(N(I496)&gt;0,N(INDEX('05-أيار'!$I$2:$I$501,V496))&gt;0,INDEX('05-أيار'!$F$2:$F$501,V496)=F496),N(I496)/N(INDEX('05-أيار'!$I$2:$I$501,V496))-1,""))</f>
        <v/>
      </c>
      <c r="AC496" t="str">
        <f>IF(L496="","",IF(AND($AO$2=1,ISNA(MATCH(L496,'07-تموز'!$L$2:$L$500,0))),"محذوف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IF(L497="","",IF($AO$1=1,IFERROR(MATCH(L497,'05-أيار'!$L$2:$L$501,0),0),0))</f>
        <v/>
      </c>
      <c r="W497" t="str">
        <f t="shared" si="151"/>
        <v/>
      </c>
      <c r="X497" s="38" t="str">
        <f>IF(L497="","",IF(V497&gt;0,INDEX('05-أيار'!$P$2:$P$501,V497),IF($AO$1=1,0,"")))</f>
        <v/>
      </c>
      <c r="Y497" s="38" t="str">
        <f t="shared" si="152"/>
        <v/>
      </c>
      <c r="Z497" s="39" t="str">
        <f>IF(L497="","",IF(V497&gt;0,INDEX('05-أيار'!$Q$2:$Q$501,V497),IF($AO$1=1,0,"")))</f>
        <v/>
      </c>
      <c r="AA497" s="39" t="str">
        <f t="shared" si="153"/>
        <v/>
      </c>
      <c r="AB497" s="40" t="str">
        <f>IF(OR(L497="",V497=0),"",IF(AND(N(I497)&gt;0,N(INDEX('05-أيار'!$I$2:$I$501,V497))&gt;0,INDEX('05-أيار'!$F$2:$F$501,V497)=F497),N(I497)/N(INDEX('05-أيار'!$I$2:$I$501,V497))-1,""))</f>
        <v/>
      </c>
      <c r="AC497" t="str">
        <f>IF(L497="","",IF(AND($AO$2=1,ISNA(MATCH(L497,'07-تموز'!$L$2:$L$500,0))),"محذوف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IF(L498="","",IF($AO$1=1,IFERROR(MATCH(L498,'05-أيار'!$L$2:$L$501,0),0),0))</f>
        <v/>
      </c>
      <c r="W498" t="str">
        <f t="shared" si="151"/>
        <v/>
      </c>
      <c r="X498" s="38" t="str">
        <f>IF(L498="","",IF(V498&gt;0,INDEX('05-أيار'!$P$2:$P$501,V498),IF($AO$1=1,0,"")))</f>
        <v/>
      </c>
      <c r="Y498" s="38" t="str">
        <f t="shared" si="152"/>
        <v/>
      </c>
      <c r="Z498" s="39" t="str">
        <f>IF(L498="","",IF(V498&gt;0,INDEX('05-أيار'!$Q$2:$Q$501,V498),IF($AO$1=1,0,"")))</f>
        <v/>
      </c>
      <c r="AA498" s="39" t="str">
        <f t="shared" si="153"/>
        <v/>
      </c>
      <c r="AB498" s="40" t="str">
        <f>IF(OR(L498="",V498=0),"",IF(AND(N(I498)&gt;0,N(INDEX('05-أيار'!$I$2:$I$501,V498))&gt;0,INDEX('05-أيار'!$F$2:$F$501,V498)=F498),N(I498)/N(INDEX('05-أيار'!$I$2:$I$501,V498))-1,""))</f>
        <v/>
      </c>
      <c r="AC498" t="str">
        <f>IF(L498="","",IF(AND($AO$2=1,ISNA(MATCH(L498,'07-تموز'!$L$2:$L$500,0))),"محذوف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IF(L499="","",IF($AO$1=1,IFERROR(MATCH(L499,'05-أيار'!$L$2:$L$501,0),0),0))</f>
        <v/>
      </c>
      <c r="W499" t="str">
        <f t="shared" si="151"/>
        <v/>
      </c>
      <c r="X499" s="38" t="str">
        <f>IF(L499="","",IF(V499&gt;0,INDEX('05-أيار'!$P$2:$P$501,V499),IF($AO$1=1,0,"")))</f>
        <v/>
      </c>
      <c r="Y499" s="38" t="str">
        <f t="shared" si="152"/>
        <v/>
      </c>
      <c r="Z499" s="39" t="str">
        <f>IF(L499="","",IF(V499&gt;0,INDEX('05-أيار'!$Q$2:$Q$501,V499),IF($AO$1=1,0,"")))</f>
        <v/>
      </c>
      <c r="AA499" s="39" t="str">
        <f t="shared" si="153"/>
        <v/>
      </c>
      <c r="AB499" s="40" t="str">
        <f>IF(OR(L499="",V499=0),"",IF(AND(N(I499)&gt;0,N(INDEX('05-أيار'!$I$2:$I$501,V499))&gt;0,INDEX('05-أيار'!$F$2:$F$501,V499)=F499),N(I499)/N(INDEX('05-أيار'!$I$2:$I$501,V499))-1,""))</f>
        <v/>
      </c>
      <c r="AC499" t="str">
        <f>IF(L499="","",IF(AND($AO$2=1,ISNA(MATCH(L499,'07-تموز'!$L$2:$L$500,0))),"محذوف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</sheetData>
  <autoFilter ref="A1:AL499" xr:uid="{00000000-0009-0000-0000-00000B000000}"/>
  <conditionalFormatting sqref="K1">
    <cfRule type="expression" dxfId="34" priority="2">
      <formula>LEFT(K1,1)="⚠"</formula>
    </cfRule>
    <cfRule type="expression" dxfId="33" priority="3">
      <formula>LEFT(K1,1)="✓"</formula>
    </cfRule>
  </conditionalFormatting>
  <conditionalFormatting sqref="K2:U499">
    <cfRule type="expression" dxfId="32" priority="4">
      <formula>$U2&lt;&gt;""</formula>
    </cfRule>
  </conditionalFormatting>
  <conditionalFormatting sqref="W2:W499">
    <cfRule type="expression" dxfId="31" priority="5">
      <formula>$W2="جديد"</formula>
    </cfRule>
  </conditionalFormatting>
  <conditionalFormatting sqref="AC2:AC499">
    <cfRule type="expression" dxfId="3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D8C"/>
  </sheetPr>
  <dimension ref="A1:AO500"/>
  <sheetViews>
    <sheetView rightToLeft="1" zoomScaleNormal="10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A38" sqref="A38:XFD38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IF(COUNTA($A$2:$A$4999)=0,"الصق الجدول في A1",IF(COUNTA($A$2:$A$4999)&gt;500,"⚠ تجاوز 500 صنف",IF(COUNTIF($U$2:$U$500,"?*")=0,"✓ لا ملاحظات","⚠ "&amp;COUNTIF($U$2:$U$500,"?*")&amp;"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IF(COUNTA('06-حزيران'!$A$2:$A$499)&gt;0,1,0)</f>
        <v>1</v>
      </c>
    </row>
    <row r="2" spans="1:41" ht="15">
      <c r="A2" t="s">
        <v>388</v>
      </c>
      <c r="B2">
        <v>0</v>
      </c>
      <c r="C2">
        <v>6000</v>
      </c>
      <c r="D2">
        <v>6000</v>
      </c>
      <c r="E2">
        <v>6000</v>
      </c>
      <c r="F2" t="s">
        <v>389</v>
      </c>
      <c r="G2" t="s">
        <v>178</v>
      </c>
      <c r="H2" t="s">
        <v>12</v>
      </c>
      <c r="I2">
        <v>3250</v>
      </c>
      <c r="K2" t="str">
        <f t="shared" ref="K2:K64" si="0">IF(L2="","",IF(U2&lt;&gt;"","⚠",""))</f>
        <v/>
      </c>
      <c r="L2" t="str">
        <f t="shared" ref="L2:L64" si="1">IF(A2="","",TRIM(A2))</f>
        <v>مياه مقطرة 4 لتر</v>
      </c>
      <c r="M2" s="36">
        <f t="shared" ref="M2:M64" si="2">IF(L2="","",IF(ISNUMBER(SEARCH("دولار",F2)),1,IF(ISNUMBER(SEARCH("ليرة",F2)),IF($AO$3&gt;0,1/$AO$3,0),0)))</f>
        <v>7.5187969924812026E-5</v>
      </c>
      <c r="N2" s="37">
        <f t="shared" ref="N2:N64" si="3">IF(L2="","",N(I2)*M2)</f>
        <v>0.24436090225563908</v>
      </c>
      <c r="O2" s="37">
        <f t="shared" ref="O2:O64" si="4">IF(L2="","",M2*CHOOSE($AO$4,N(C2),N(D2),N(E2)))</f>
        <v>0.45112781954887216</v>
      </c>
      <c r="P2" s="38">
        <f t="shared" ref="P2:P64" si="5">IF(L2="","",MAX(N(B2),0))</f>
        <v>0</v>
      </c>
      <c r="Q2" s="39">
        <f t="shared" ref="Q2:Q64" si="6">IF(L2="","",P2*N2)</f>
        <v>0</v>
      </c>
      <c r="R2" s="39">
        <f t="shared" ref="R2:R64" si="7">IF(L2="","",P2*O2)</f>
        <v>0</v>
      </c>
      <c r="S2">
        <f t="shared" ref="S2:S64" si="8">IF(L2="","",IF(AND(P2&gt;0,N2&gt;0,O2&gt;0),1,0))</f>
        <v>0</v>
      </c>
      <c r="T2" s="39">
        <f t="shared" ref="T2:T64" si="9">IF(L2="","",S2*(R2-Q2))</f>
        <v>0</v>
      </c>
      <c r="U2" t="str">
        <f t="shared" ref="U2:U64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IF(L2="","",IF($AO$1=1,IFERROR(MATCH(L2,'06-حزيران'!$L$2:$L$499,0),0),0))</f>
        <v>121</v>
      </c>
      <c r="W2" t="str">
        <f t="shared" ref="W2:W64" si="11">IF(L2="","",IF(AND($AO$1=1,V2=0),"جديد",""))</f>
        <v/>
      </c>
      <c r="X2" s="38">
        <f>IF(L2="","",IF(V2&gt;0,INDEX('06-حزيران'!$P$2:$P$499,V2),IF($AO$1=1,0,"")))</f>
        <v>0</v>
      </c>
      <c r="Y2" s="38">
        <f t="shared" ref="Y2:Y64" si="12">IF(OR(L2="",X2=""),"",P2-X2)</f>
        <v>0</v>
      </c>
      <c r="Z2" s="39">
        <f>IF(L2="","",IF(V2&gt;0,INDEX('06-حزيران'!$Q$2:$Q$499,V2),IF($AO$1=1,0,"")))</f>
        <v>0</v>
      </c>
      <c r="AA2" s="39">
        <f t="shared" ref="AA2:AA64" si="13">IF(OR(L2="",Z2=""),"",Q2-Z2)</f>
        <v>0</v>
      </c>
      <c r="AB2" s="40">
        <f>IF(OR(L2="",V2=0),"",IF(AND(N(I2)&gt;0,N(INDEX('06-حزيران'!$I$2:$I$499,V2))&gt;0,INDEX('06-حزيران'!$F$2:$F$499,V2)=F2),N(I2)/N(INDEX('06-حزيران'!$I$2:$I$499,V2))-1,""))</f>
        <v>0</v>
      </c>
      <c r="AC2" t="str">
        <f>IF(L2="","",IF(AND($AO$2=1,ISNA(MATCH(L2,'08-آب'!$L$2:$L$501,0))),"محذوف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4" si="14">IF(AA2="","",ABS(AA2)+ROW()/1000000000)</f>
        <v>2.0000000000000001E-9</v>
      </c>
      <c r="AH2" s="39">
        <f t="shared" ref="AH2:AH64" si="15">IF(L2="","",IF(AND(P2&gt;0,N2&gt;0,N(C2)&gt;0),P2*(M2*N(C2)-N2),0))</f>
        <v>0</v>
      </c>
      <c r="AI2" s="39">
        <f t="shared" ref="AI2:AI64" si="16">IF(L2="","",IF(AND(P2&gt;0,N2&gt;0,N(D2)&gt;0),P2*(M2*N(D2)-N2),0))</f>
        <v>0</v>
      </c>
      <c r="AJ2" s="39">
        <f t="shared" ref="AJ2:AJ64" si="17">IF(L2="","",IF(AND(P2&gt;0,N2&gt;0,N(E2)&gt;0),P2*(M2*N(E2)-N2),0))</f>
        <v>0</v>
      </c>
      <c r="AK2">
        <f t="shared" ref="AK2:AK64" si="18">IF(L2="","",Q2+ROW()/1000000000)</f>
        <v>2.0000000000000001E-9</v>
      </c>
      <c r="AL2">
        <f t="shared" ref="AL2:AL64" si="19">IF(L2="","",T2+ROW()/1000000000)</f>
        <v>2.0000000000000001E-9</v>
      </c>
      <c r="AN2" s="3" t="s">
        <v>262</v>
      </c>
      <c r="AO2" s="35">
        <f>IF(COUNTA('08-آب'!$A$2:$A$501)&gt;0,1,0)</f>
        <v>1</v>
      </c>
    </row>
    <row r="3" spans="1:41" ht="15">
      <c r="A3" t="s">
        <v>390</v>
      </c>
      <c r="B3">
        <v>0</v>
      </c>
      <c r="C3">
        <v>1800</v>
      </c>
      <c r="D3">
        <v>1800</v>
      </c>
      <c r="E3">
        <v>1800</v>
      </c>
      <c r="F3" t="s">
        <v>389</v>
      </c>
      <c r="G3" t="s">
        <v>178</v>
      </c>
      <c r="H3" t="s">
        <v>12</v>
      </c>
      <c r="I3">
        <v>1700</v>
      </c>
      <c r="K3" t="str">
        <f t="shared" si="0"/>
        <v/>
      </c>
      <c r="L3" t="str">
        <f t="shared" si="1"/>
        <v>مياه مقطرة 1 لتر</v>
      </c>
      <c r="M3" s="36">
        <f t="shared" si="2"/>
        <v>7.5187969924812026E-5</v>
      </c>
      <c r="N3" s="37">
        <f t="shared" si="3"/>
        <v>0.12781954887218044</v>
      </c>
      <c r="O3" s="37">
        <f t="shared" si="4"/>
        <v>0.13533834586466165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IF(L3="","",IF($AO$1=1,IFERROR(MATCH(L3,'06-حزيران'!$L$2:$L$499,0),0),0))</f>
        <v>122</v>
      </c>
      <c r="W3" t="str">
        <f t="shared" si="11"/>
        <v/>
      </c>
      <c r="X3" s="38">
        <f>IF(L3="","",IF(V3&gt;0,INDEX('06-حزيران'!$P$2:$P$499,V3),IF($AO$1=1,0,"")))</f>
        <v>0</v>
      </c>
      <c r="Y3" s="38">
        <f t="shared" si="12"/>
        <v>0</v>
      </c>
      <c r="Z3" s="39">
        <f>IF(L3="","",IF(V3&gt;0,INDEX('06-حزيران'!$Q$2:$Q$499,V3),IF($AO$1=1,0,"")))</f>
        <v>0</v>
      </c>
      <c r="AA3" s="39">
        <f t="shared" si="13"/>
        <v>0</v>
      </c>
      <c r="AB3" s="40">
        <f>IF(OR(L3="",V3=0),"",IF(AND(N(I3)&gt;0,N(INDEX('06-حزيران'!$I$2:$I$499,V3))&gt;0,INDEX('06-حزيران'!$F$2:$F$499,V3)=F3),N(I3)/N(INDEX('06-حزيران'!$I$2:$I$499,V3))-1,""))</f>
        <v>0</v>
      </c>
      <c r="AC3" t="str">
        <f>IF(L3="","",IF(AND($AO$2=1,ISNA(MATCH(L3,'08-آب'!$L$2:$L$501,0))),"محذوف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التحكم'!$C$22</f>
        <v>13300</v>
      </c>
    </row>
    <row r="4" spans="1:41" ht="15">
      <c r="A4" t="s">
        <v>391</v>
      </c>
      <c r="B4">
        <v>12</v>
      </c>
      <c r="C4">
        <v>14000</v>
      </c>
      <c r="D4">
        <v>14000</v>
      </c>
      <c r="E4">
        <v>14000</v>
      </c>
      <c r="F4" t="s">
        <v>389</v>
      </c>
      <c r="G4" t="s">
        <v>178</v>
      </c>
      <c r="H4" t="s">
        <v>12</v>
      </c>
      <c r="I4">
        <v>10000</v>
      </c>
      <c r="K4" t="str">
        <f t="shared" si="0"/>
        <v/>
      </c>
      <c r="L4" t="str">
        <f t="shared" si="1"/>
        <v>مهسهس زفته - معجون</v>
      </c>
      <c r="M4" s="36">
        <f t="shared" si="2"/>
        <v>7.5187969924812026E-5</v>
      </c>
      <c r="N4" s="37">
        <f t="shared" si="3"/>
        <v>0.75187969924812026</v>
      </c>
      <c r="O4" s="37">
        <f t="shared" si="4"/>
        <v>1.0526315789473684</v>
      </c>
      <c r="P4" s="38">
        <f t="shared" si="5"/>
        <v>12</v>
      </c>
      <c r="Q4" s="39">
        <f t="shared" si="6"/>
        <v>9.0225563909774422</v>
      </c>
      <c r="R4" s="39">
        <f t="shared" si="7"/>
        <v>12.631578947368421</v>
      </c>
      <c r="S4">
        <f t="shared" si="8"/>
        <v>1</v>
      </c>
      <c r="T4" s="39">
        <f t="shared" si="9"/>
        <v>3.609022556390979</v>
      </c>
      <c r="U4" t="str">
        <f t="shared" si="10"/>
        <v/>
      </c>
      <c r="V4">
        <f>IF(L4="","",IF($AO$1=1,IFERROR(MATCH(L4,'06-حزيران'!$L$2:$L$499,0),0),0))</f>
        <v>123</v>
      </c>
      <c r="W4" t="str">
        <f t="shared" si="11"/>
        <v/>
      </c>
      <c r="X4" s="38">
        <f>IF(L4="","",IF(V4&gt;0,INDEX('06-حزيران'!$P$2:$P$499,V4),IF($AO$1=1,0,"")))</f>
        <v>0</v>
      </c>
      <c r="Y4" s="38">
        <f t="shared" si="12"/>
        <v>12</v>
      </c>
      <c r="Z4" s="39">
        <f>IF(L4="","",IF(V4&gt;0,INDEX('06-حزيران'!$Q$2:$Q$499,V4),IF($AO$1=1,0,"")))</f>
        <v>0</v>
      </c>
      <c r="AA4" s="39">
        <f t="shared" si="13"/>
        <v>9.0225563909774422</v>
      </c>
      <c r="AB4" s="40">
        <f>IF(OR(L4="",V4=0),"",IF(AND(N(I4)&gt;0,N(INDEX('06-حزيران'!$I$2:$I$499,V4))&gt;0,INDEX('06-حزيران'!$F$2:$F$499,V4)=F4),N(I4)/N(INDEX('06-حزيران'!$I$2:$I$499,V4))-1,""))</f>
        <v>0</v>
      </c>
      <c r="AC4" t="str">
        <f>IF(L4="","",IF(AND($AO$2=1,ISNA(MATCH(L4,'08-آب'!$L$2:$L$501,0))),"محذوف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9.0225563949774426</v>
      </c>
      <c r="AH4" s="39">
        <f t="shared" si="15"/>
        <v>3.6090225563909772</v>
      </c>
      <c r="AI4" s="39">
        <f t="shared" si="16"/>
        <v>3.6090225563909772</v>
      </c>
      <c r="AJ4" s="39">
        <f t="shared" si="17"/>
        <v>3.6090225563909772</v>
      </c>
      <c r="AK4">
        <f t="shared" si="18"/>
        <v>9.0225563949774426</v>
      </c>
      <c r="AL4">
        <f t="shared" si="19"/>
        <v>3.6090225603909789</v>
      </c>
      <c r="AN4" s="3" t="s">
        <v>263</v>
      </c>
      <c r="AO4" s="42">
        <f>'لوحة التحكم'!$D$7</f>
        <v>1</v>
      </c>
    </row>
    <row r="5" spans="1:41" ht="15">
      <c r="A5" t="s">
        <v>392</v>
      </c>
      <c r="B5">
        <v>5.15</v>
      </c>
      <c r="C5">
        <v>220000</v>
      </c>
      <c r="D5">
        <v>220000</v>
      </c>
      <c r="E5">
        <v>220000</v>
      </c>
      <c r="F5" t="s">
        <v>389</v>
      </c>
      <c r="G5" t="s">
        <v>178</v>
      </c>
      <c r="H5" t="s">
        <v>12</v>
      </c>
      <c r="I5">
        <v>108000</v>
      </c>
      <c r="K5" t="str">
        <f t="shared" si="0"/>
        <v/>
      </c>
      <c r="L5" t="str">
        <f t="shared" si="1"/>
        <v>مماسح مكتب َ</v>
      </c>
      <c r="M5" s="36">
        <f t="shared" si="2"/>
        <v>7.5187969924812026E-5</v>
      </c>
      <c r="N5" s="37">
        <f t="shared" si="3"/>
        <v>8.1203007518796984</v>
      </c>
      <c r="O5" s="37">
        <f t="shared" si="4"/>
        <v>16.541353383458645</v>
      </c>
      <c r="P5" s="38">
        <f t="shared" si="5"/>
        <v>5.15</v>
      </c>
      <c r="Q5" s="39">
        <f t="shared" si="6"/>
        <v>41.819548872180448</v>
      </c>
      <c r="R5" s="39">
        <f t="shared" si="7"/>
        <v>85.187969924812023</v>
      </c>
      <c r="S5">
        <f t="shared" si="8"/>
        <v>1</v>
      </c>
      <c r="T5" s="39">
        <f t="shared" si="9"/>
        <v>43.368421052631575</v>
      </c>
      <c r="U5" t="str">
        <f t="shared" si="10"/>
        <v/>
      </c>
      <c r="V5">
        <f>IF(L5="","",IF($AO$1=1,IFERROR(MATCH(L5,'06-حزيران'!$L$2:$L$499,0),0),0))</f>
        <v>124</v>
      </c>
      <c r="W5" t="str">
        <f t="shared" si="11"/>
        <v/>
      </c>
      <c r="X5" s="38">
        <f>IF(L5="","",IF(V5&gt;0,INDEX('06-حزيران'!$P$2:$P$499,V5),IF($AO$1=1,0,"")))</f>
        <v>6.4</v>
      </c>
      <c r="Y5" s="38">
        <f t="shared" si="12"/>
        <v>-1.25</v>
      </c>
      <c r="Z5" s="39">
        <f>IF(L5="","",IF(V5&gt;0,INDEX('06-حزيران'!$Q$2:$Q$499,V5),IF($AO$1=1,0,"")))</f>
        <v>52.363636363636367</v>
      </c>
      <c r="AA5" s="39">
        <f t="shared" si="13"/>
        <v>-10.544087491455919</v>
      </c>
      <c r="AB5" s="40">
        <f>IF(OR(L5="",V5=0),"",IF(AND(N(I5)&gt;0,N(INDEX('06-حزيران'!$I$2:$I$499,V5))&gt;0,INDEX('06-حزيران'!$F$2:$F$499,V5)=F5),N(I5)/N(INDEX('06-حزيران'!$I$2:$I$499,V5))-1,""))</f>
        <v>0</v>
      </c>
      <c r="AC5" t="str">
        <f>IF(L5="","",IF(AND($AO$2=1,ISNA(MATCH(L5,'08-آب'!$L$2:$L$501,0))),"محذوف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10.544087496455919</v>
      </c>
      <c r="AH5" s="39">
        <f t="shared" si="15"/>
        <v>43.368421052631582</v>
      </c>
      <c r="AI5" s="39">
        <f t="shared" si="16"/>
        <v>43.368421052631582</v>
      </c>
      <c r="AJ5" s="39">
        <f t="shared" si="17"/>
        <v>43.368421052631582</v>
      </c>
      <c r="AK5">
        <f t="shared" si="18"/>
        <v>41.819548877180445</v>
      </c>
      <c r="AL5">
        <f t="shared" si="19"/>
        <v>43.368421057631572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393</v>
      </c>
      <c r="B6">
        <v>0</v>
      </c>
      <c r="C6">
        <v>420000</v>
      </c>
      <c r="D6">
        <v>420000</v>
      </c>
      <c r="E6">
        <v>420000</v>
      </c>
      <c r="F6" t="s">
        <v>389</v>
      </c>
      <c r="G6" t="s">
        <v>178</v>
      </c>
      <c r="H6" t="s">
        <v>12</v>
      </c>
      <c r="I6">
        <v>360000</v>
      </c>
      <c r="K6" t="str">
        <f t="shared" si="0"/>
        <v/>
      </c>
      <c r="L6" t="str">
        <f t="shared" si="1"/>
        <v>مماسح قماش عائلة فايبر</v>
      </c>
      <c r="M6" s="36">
        <f t="shared" si="2"/>
        <v>7.5187969924812026E-5</v>
      </c>
      <c r="N6" s="37">
        <f t="shared" si="3"/>
        <v>27.06766917293233</v>
      </c>
      <c r="O6" s="37">
        <f t="shared" si="4"/>
        <v>31.578947368421051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IF(L6="","",IF($AO$1=1,IFERROR(MATCH(L6,'06-حزيران'!$L$2:$L$499,0),0),0))</f>
        <v>125</v>
      </c>
      <c r="W6" t="str">
        <f t="shared" si="11"/>
        <v/>
      </c>
      <c r="X6" s="38">
        <f>IF(L6="","",IF(V6&gt;0,INDEX('06-حزيران'!$P$2:$P$499,V6),IF($AO$1=1,0,"")))</f>
        <v>0</v>
      </c>
      <c r="Y6" s="38">
        <f t="shared" si="12"/>
        <v>0</v>
      </c>
      <c r="Z6" s="39">
        <f>IF(L6="","",IF(V6&gt;0,INDEX('06-حزيران'!$Q$2:$Q$499,V6),IF($AO$1=1,0,"")))</f>
        <v>0</v>
      </c>
      <c r="AA6" s="39">
        <f t="shared" si="13"/>
        <v>0</v>
      </c>
      <c r="AB6" s="40">
        <f>IF(OR(L6="",V6=0),"",IF(AND(N(I6)&gt;0,N(INDEX('06-حزيران'!$I$2:$I$499,V6))&gt;0,INDEX('06-حزيران'!$F$2:$F$499,V6)=F6),N(I6)/N(INDEX('06-حزيران'!$I$2:$I$499,V6))-1,""))</f>
        <v>0</v>
      </c>
      <c r="AC6" t="str">
        <f>IF(L6="","",IF(AND($AO$2=1,ISNA(MATCH(L6,'08-آب'!$L$2:$L$501,0))),"محذوف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6E-9</v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394</v>
      </c>
      <c r="B7">
        <v>0</v>
      </c>
      <c r="C7">
        <v>0</v>
      </c>
      <c r="D7">
        <v>0</v>
      </c>
      <c r="E7">
        <v>0</v>
      </c>
      <c r="F7" t="s">
        <v>389</v>
      </c>
      <c r="G7" t="s">
        <v>178</v>
      </c>
      <c r="H7" t="s">
        <v>12</v>
      </c>
      <c r="I7">
        <v>25000</v>
      </c>
      <c r="K7" t="str">
        <f t="shared" si="0"/>
        <v/>
      </c>
      <c r="L7" t="str">
        <f t="shared" si="1"/>
        <v>مماسح جلدية</v>
      </c>
      <c r="M7" s="36">
        <f t="shared" si="2"/>
        <v>7.5187969924812026E-5</v>
      </c>
      <c r="N7" s="37">
        <f t="shared" si="3"/>
        <v>1.8796992481203008</v>
      </c>
      <c r="O7" s="37">
        <f t="shared" si="4"/>
        <v>0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IF(L7="","",IF($AO$1=1,IFERROR(MATCH(L7,'06-حزيران'!$L$2:$L$499,0),0),0))</f>
        <v>126</v>
      </c>
      <c r="W7" t="str">
        <f t="shared" si="11"/>
        <v/>
      </c>
      <c r="X7" s="38">
        <f>IF(L7="","",IF(V7&gt;0,INDEX('06-حزيران'!$P$2:$P$499,V7),IF($AO$1=1,0,"")))</f>
        <v>0</v>
      </c>
      <c r="Y7" s="38">
        <f t="shared" si="12"/>
        <v>0</v>
      </c>
      <c r="Z7" s="39">
        <f>IF(L7="","",IF(V7&gt;0,INDEX('06-حزيران'!$Q$2:$Q$499,V7),IF($AO$1=1,0,"")))</f>
        <v>0</v>
      </c>
      <c r="AA7" s="39">
        <f t="shared" si="13"/>
        <v>0</v>
      </c>
      <c r="AB7" s="40">
        <f>IF(OR(L7="",V7=0),"",IF(AND(N(I7)&gt;0,N(INDEX('06-حزيران'!$I$2:$I$499,V7))&gt;0,INDEX('06-حزيران'!$F$2:$F$499,V7)=F7),N(I7)/N(INDEX('06-حزيران'!$I$2:$I$499,V7))-1,""))</f>
        <v>0</v>
      </c>
      <c r="AC7" t="str">
        <f>IF(L7="","",IF(AND($AO$2=1,ISNA(MATCH(L7,'08-آب'!$L$2:$L$501,0))),"محذوف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6.9999999999999998E-9</v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395</v>
      </c>
      <c r="B8">
        <v>27</v>
      </c>
      <c r="C8">
        <v>13000</v>
      </c>
      <c r="D8">
        <v>13000</v>
      </c>
      <c r="E8">
        <v>13000</v>
      </c>
      <c r="F8" t="s">
        <v>389</v>
      </c>
      <c r="G8" t="s">
        <v>178</v>
      </c>
      <c r="H8" t="s">
        <v>12</v>
      </c>
      <c r="I8">
        <v>5000</v>
      </c>
      <c r="K8" t="str">
        <f t="shared" si="0"/>
        <v/>
      </c>
      <c r="L8" t="str">
        <f t="shared" si="1"/>
        <v>مماسح بلور</v>
      </c>
      <c r="M8" s="36">
        <f t="shared" si="2"/>
        <v>7.5187969924812026E-5</v>
      </c>
      <c r="N8" s="37">
        <f t="shared" si="3"/>
        <v>0.37593984962406013</v>
      </c>
      <c r="O8" s="37">
        <f t="shared" si="4"/>
        <v>0.97744360902255634</v>
      </c>
      <c r="P8" s="38">
        <f t="shared" si="5"/>
        <v>27</v>
      </c>
      <c r="Q8" s="39">
        <f t="shared" si="6"/>
        <v>10.150375939849624</v>
      </c>
      <c r="R8" s="39">
        <f t="shared" si="7"/>
        <v>26.390977443609021</v>
      </c>
      <c r="S8">
        <f t="shared" si="8"/>
        <v>1</v>
      </c>
      <c r="T8" s="39">
        <f t="shared" si="9"/>
        <v>16.240601503759397</v>
      </c>
      <c r="U8" t="str">
        <f t="shared" si="10"/>
        <v/>
      </c>
      <c r="V8">
        <f>IF(L8="","",IF($AO$1=1,IFERROR(MATCH(L8,'06-حزيران'!$L$2:$L$499,0),0),0))</f>
        <v>127</v>
      </c>
      <c r="W8" t="str">
        <f t="shared" si="11"/>
        <v/>
      </c>
      <c r="X8" s="38">
        <f>IF(L8="","",IF(V8&gt;0,INDEX('06-حزيران'!$P$2:$P$499,V8),IF($AO$1=1,0,"")))</f>
        <v>27</v>
      </c>
      <c r="Y8" s="38">
        <f t="shared" si="12"/>
        <v>0</v>
      </c>
      <c r="Z8" s="39">
        <f>IF(L8="","",IF(V8&gt;0,INDEX('06-حزيران'!$Q$2:$Q$499,V8),IF($AO$1=1,0,"")))</f>
        <v>10.227272727272727</v>
      </c>
      <c r="AA8" s="39">
        <f t="shared" si="13"/>
        <v>-7.6896787423102353E-2</v>
      </c>
      <c r="AB8" s="40">
        <f>IF(OR(L8="",V8=0),"",IF(AND(N(I8)&gt;0,N(INDEX('06-حزيران'!$I$2:$I$499,V8))&gt;0,INDEX('06-حزيران'!$F$2:$F$499,V8)=F8),N(I8)/N(INDEX('06-حزيران'!$I$2:$I$499,V8))-1,""))</f>
        <v>0</v>
      </c>
      <c r="AC8" t="str">
        <f>IF(L8="","",IF(AND($AO$2=1,ISNA(MATCH(L8,'08-آب'!$L$2:$L$501,0))),"محذوف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7.6896795423102349E-2</v>
      </c>
      <c r="AH8" s="39">
        <f t="shared" si="15"/>
        <v>16.240601503759397</v>
      </c>
      <c r="AI8" s="39">
        <f t="shared" si="16"/>
        <v>16.240601503759397</v>
      </c>
      <c r="AJ8" s="39">
        <f t="shared" si="17"/>
        <v>16.240601503759397</v>
      </c>
      <c r="AK8">
        <f t="shared" si="18"/>
        <v>10.150375947849625</v>
      </c>
      <c r="AL8">
        <f t="shared" si="19"/>
        <v>16.240601511759397</v>
      </c>
      <c r="AN8" s="3" t="s">
        <v>266</v>
      </c>
      <c r="AO8" s="35">
        <f>'لوحة التحكم'!$C$11</f>
        <v>1.5</v>
      </c>
    </row>
    <row r="9" spans="1:41" ht="15">
      <c r="A9" t="s">
        <v>396</v>
      </c>
      <c r="B9">
        <v>9.42</v>
      </c>
      <c r="C9">
        <v>110000</v>
      </c>
      <c r="D9">
        <v>110000</v>
      </c>
      <c r="E9">
        <v>110000</v>
      </c>
      <c r="F9" t="s">
        <v>389</v>
      </c>
      <c r="G9" t="s">
        <v>178</v>
      </c>
      <c r="H9" t="s">
        <v>12</v>
      </c>
      <c r="I9">
        <v>72000</v>
      </c>
      <c r="K9" t="str">
        <f t="shared" si="0"/>
        <v/>
      </c>
      <c r="L9" t="str">
        <f t="shared" si="1"/>
        <v>مماسح ارضيات</v>
      </c>
      <c r="M9" s="36">
        <f t="shared" si="2"/>
        <v>7.5187969924812026E-5</v>
      </c>
      <c r="N9" s="37">
        <f t="shared" si="3"/>
        <v>5.4135338345864659</v>
      </c>
      <c r="O9" s="37">
        <f t="shared" si="4"/>
        <v>8.2706766917293226</v>
      </c>
      <c r="P9" s="38">
        <f t="shared" si="5"/>
        <v>9.42</v>
      </c>
      <c r="Q9" s="39">
        <f t="shared" si="6"/>
        <v>50.995488721804506</v>
      </c>
      <c r="R9" s="39">
        <f t="shared" si="7"/>
        <v>77.909774436090217</v>
      </c>
      <c r="S9">
        <f t="shared" si="8"/>
        <v>1</v>
      </c>
      <c r="T9" s="39">
        <f t="shared" si="9"/>
        <v>26.914285714285711</v>
      </c>
      <c r="U9" t="str">
        <f t="shared" si="10"/>
        <v/>
      </c>
      <c r="V9">
        <f>IF(L9="","",IF($AO$1=1,IFERROR(MATCH(L9,'06-حزيران'!$L$2:$L$499,0),0),0))</f>
        <v>128</v>
      </c>
      <c r="W9" t="str">
        <f t="shared" si="11"/>
        <v/>
      </c>
      <c r="X9" s="38">
        <f>IF(L9="","",IF(V9&gt;0,INDEX('06-حزيران'!$P$2:$P$499,V9),IF($AO$1=1,0,"")))</f>
        <v>15.25</v>
      </c>
      <c r="Y9" s="38">
        <f t="shared" si="12"/>
        <v>-5.83</v>
      </c>
      <c r="Z9" s="39">
        <f>IF(L9="","",IF(V9&gt;0,INDEX('06-حزيران'!$Q$2:$Q$499,V9),IF($AO$1=1,0,"")))</f>
        <v>83.181818181818173</v>
      </c>
      <c r="AA9" s="39">
        <f t="shared" si="13"/>
        <v>-32.186329460013667</v>
      </c>
      <c r="AB9" s="40">
        <f>IF(OR(L9="",V9=0),"",IF(AND(N(I9)&gt;0,N(INDEX('06-حزيران'!$I$2:$I$499,V9))&gt;0,INDEX('06-حزيران'!$F$2:$F$499,V9)=F9),N(I9)/N(INDEX('06-حزيران'!$I$2:$I$499,V9))-1,""))</f>
        <v>0</v>
      </c>
      <c r="AC9" t="str">
        <f>IF(L9="","",IF(AND($AO$2=1,ISNA(MATCH(L9,'08-آب'!$L$2:$L$501,0))),"محذوف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32.186329469013664</v>
      </c>
      <c r="AH9" s="39">
        <f t="shared" si="15"/>
        <v>26.914285714285711</v>
      </c>
      <c r="AI9" s="39">
        <f t="shared" si="16"/>
        <v>26.914285714285711</v>
      </c>
      <c r="AJ9" s="39">
        <f t="shared" si="17"/>
        <v>26.914285714285711</v>
      </c>
      <c r="AK9">
        <f t="shared" si="18"/>
        <v>50.995488730804503</v>
      </c>
      <c r="AL9">
        <f t="shared" si="19"/>
        <v>26.914285723285712</v>
      </c>
    </row>
    <row r="10" spans="1:41" ht="15">
      <c r="A10" t="s">
        <v>397</v>
      </c>
      <c r="B10">
        <v>0</v>
      </c>
      <c r="C10">
        <v>35000</v>
      </c>
      <c r="D10">
        <v>35000</v>
      </c>
      <c r="E10">
        <v>35000</v>
      </c>
      <c r="F10" t="s">
        <v>389</v>
      </c>
      <c r="G10" t="s">
        <v>178</v>
      </c>
      <c r="H10" t="s">
        <v>12</v>
      </c>
      <c r="I10">
        <v>28000</v>
      </c>
      <c r="K10" t="str">
        <f t="shared" si="0"/>
        <v/>
      </c>
      <c r="L10" t="str">
        <f t="shared" si="1"/>
        <v>ملمع سيارات 3 لتر</v>
      </c>
      <c r="M10" s="36">
        <f t="shared" si="2"/>
        <v>7.5187969924812026E-5</v>
      </c>
      <c r="N10" s="37">
        <f t="shared" si="3"/>
        <v>2.1052631578947367</v>
      </c>
      <c r="O10" s="37">
        <f t="shared" si="4"/>
        <v>2.6315789473684208</v>
      </c>
      <c r="P10" s="38">
        <f t="shared" si="5"/>
        <v>0</v>
      </c>
      <c r="Q10" s="39">
        <f t="shared" si="6"/>
        <v>0</v>
      </c>
      <c r="R10" s="39">
        <f t="shared" si="7"/>
        <v>0</v>
      </c>
      <c r="S10">
        <f t="shared" si="8"/>
        <v>0</v>
      </c>
      <c r="T10" s="39">
        <f t="shared" si="9"/>
        <v>0</v>
      </c>
      <c r="U10" t="str">
        <f t="shared" si="10"/>
        <v/>
      </c>
      <c r="V10">
        <f>IF(L10="","",IF($AO$1=1,IFERROR(MATCH(L10,'06-حزيران'!$L$2:$L$499,0),0),0))</f>
        <v>129</v>
      </c>
      <c r="W10" t="str">
        <f t="shared" si="11"/>
        <v/>
      </c>
      <c r="X10" s="38">
        <f>IF(L10="","",IF(V10&gt;0,INDEX('06-حزيران'!$P$2:$P$499,V10),IF($AO$1=1,0,"")))</f>
        <v>0</v>
      </c>
      <c r="Y10" s="38">
        <f t="shared" si="12"/>
        <v>0</v>
      </c>
      <c r="Z10" s="39">
        <f>IF(L10="","",IF(V10&gt;0,INDEX('06-حزيران'!$Q$2:$Q$499,V10),IF($AO$1=1,0,"")))</f>
        <v>0</v>
      </c>
      <c r="AA10" s="39">
        <f t="shared" si="13"/>
        <v>0</v>
      </c>
      <c r="AB10" s="40">
        <f>IF(OR(L10="",V10=0),"",IF(AND(N(I10)&gt;0,N(INDEX('06-حزيران'!$I$2:$I$499,V10))&gt;0,INDEX('06-حزيران'!$F$2:$F$499,V10)=F10),N(I10)/N(INDEX('06-حزيران'!$I$2:$I$499,V10))-1,""))</f>
        <v>0</v>
      </c>
      <c r="AC10" t="str">
        <f>IF(L10="","",IF(AND($AO$2=1,ISNA(MATCH(L10,'08-آب'!$L$2:$L$501,0))),"محذوف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1E-8</v>
      </c>
      <c r="AH10" s="39">
        <f t="shared" si="15"/>
        <v>0</v>
      </c>
      <c r="AI10" s="39">
        <f t="shared" si="16"/>
        <v>0</v>
      </c>
      <c r="AJ10" s="39">
        <f t="shared" si="17"/>
        <v>0</v>
      </c>
      <c r="AK10">
        <f t="shared" si="18"/>
        <v>1E-8</v>
      </c>
      <c r="AL10">
        <f t="shared" si="19"/>
        <v>1E-8</v>
      </c>
    </row>
    <row r="11" spans="1:41" ht="15">
      <c r="A11" t="s">
        <v>398</v>
      </c>
      <c r="B11">
        <v>8</v>
      </c>
      <c r="C11">
        <v>15000</v>
      </c>
      <c r="D11">
        <v>15000</v>
      </c>
      <c r="E11">
        <v>15000</v>
      </c>
      <c r="F11" t="s">
        <v>389</v>
      </c>
      <c r="G11" t="s">
        <v>178</v>
      </c>
      <c r="H11" t="s">
        <v>12</v>
      </c>
      <c r="I11">
        <v>8500</v>
      </c>
      <c r="K11" t="str">
        <f t="shared" si="0"/>
        <v/>
      </c>
      <c r="L11" t="str">
        <f t="shared" si="1"/>
        <v>ملمع سيارات / فرط</v>
      </c>
      <c r="M11" s="36">
        <f t="shared" si="2"/>
        <v>7.5187969924812026E-5</v>
      </c>
      <c r="N11" s="37">
        <f t="shared" si="3"/>
        <v>0.63909774436090228</v>
      </c>
      <c r="O11" s="37">
        <f t="shared" si="4"/>
        <v>1.1278195488721805</v>
      </c>
      <c r="P11" s="38">
        <f t="shared" si="5"/>
        <v>8</v>
      </c>
      <c r="Q11" s="39">
        <f t="shared" si="6"/>
        <v>5.1127819548872182</v>
      </c>
      <c r="R11" s="39">
        <f t="shared" si="7"/>
        <v>9.022556390977444</v>
      </c>
      <c r="S11">
        <f t="shared" si="8"/>
        <v>1</v>
      </c>
      <c r="T11" s="39">
        <f t="shared" si="9"/>
        <v>3.9097744360902258</v>
      </c>
      <c r="U11" t="str">
        <f t="shared" si="10"/>
        <v/>
      </c>
      <c r="V11">
        <f>IF(L11="","",IF($AO$1=1,IFERROR(MATCH(L11,'06-حزيران'!$L$2:$L$499,0),0),0))</f>
        <v>130</v>
      </c>
      <c r="W11" t="str">
        <f t="shared" si="11"/>
        <v/>
      </c>
      <c r="X11" s="38">
        <f>IF(L11="","",IF(V11&gt;0,INDEX('06-حزيران'!$P$2:$P$499,V11),IF($AO$1=1,0,"")))</f>
        <v>10</v>
      </c>
      <c r="Y11" s="38">
        <f t="shared" si="12"/>
        <v>-2</v>
      </c>
      <c r="Z11" s="39">
        <f>IF(L11="","",IF(V11&gt;0,INDEX('06-حزيران'!$Q$2:$Q$499,V11),IF($AO$1=1,0,"")))</f>
        <v>6.4393939393939394</v>
      </c>
      <c r="AA11" s="39">
        <f t="shared" si="13"/>
        <v>-1.3266119845067212</v>
      </c>
      <c r="AB11" s="40">
        <f>IF(OR(L11="",V11=0),"",IF(AND(N(I11)&gt;0,N(INDEX('06-حزيران'!$I$2:$I$499,V11))&gt;0,INDEX('06-حزيران'!$F$2:$F$499,V11)=F11),N(I11)/N(INDEX('06-حزيران'!$I$2:$I$499,V11))-1,""))</f>
        <v>0</v>
      </c>
      <c r="AC11" t="str">
        <f>IF(L11="","",IF(AND($AO$2=1,ISNA(MATCH(L11,'08-آب'!$L$2:$L$501,0))),"محذوف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1.3266119955067213</v>
      </c>
      <c r="AH11" s="39">
        <f t="shared" si="15"/>
        <v>3.9097744360902258</v>
      </c>
      <c r="AI11" s="39">
        <f t="shared" si="16"/>
        <v>3.9097744360902258</v>
      </c>
      <c r="AJ11" s="39">
        <f t="shared" si="17"/>
        <v>3.9097744360902258</v>
      </c>
      <c r="AK11">
        <f t="shared" si="18"/>
        <v>5.1127819658872182</v>
      </c>
      <c r="AL11">
        <f t="shared" si="19"/>
        <v>3.9097744470902258</v>
      </c>
    </row>
    <row r="12" spans="1:41" ht="15">
      <c r="A12" t="s">
        <v>267</v>
      </c>
      <c r="B12">
        <v>0</v>
      </c>
      <c r="C12">
        <v>0</v>
      </c>
      <c r="D12">
        <v>0</v>
      </c>
      <c r="E12">
        <v>0</v>
      </c>
      <c r="F12" t="s">
        <v>268</v>
      </c>
      <c r="G12" t="s">
        <v>178</v>
      </c>
      <c r="H12" t="s">
        <v>177</v>
      </c>
      <c r="I12">
        <v>175</v>
      </c>
      <c r="K12" t="str">
        <f t="shared" si="0"/>
        <v/>
      </c>
      <c r="L12" t="str">
        <f t="shared" si="1"/>
        <v>ملمع زجاج خام</v>
      </c>
      <c r="M12" s="36">
        <f t="shared" si="2"/>
        <v>1</v>
      </c>
      <c r="N12" s="37">
        <f t="shared" si="3"/>
        <v>175</v>
      </c>
      <c r="O12" s="37">
        <f t="shared" si="4"/>
        <v>0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IF(L12="","",IF($AO$1=1,IFERROR(MATCH(L12,'06-حزيران'!$L$2:$L$499,0),0),0))</f>
        <v>1</v>
      </c>
      <c r="W12" t="str">
        <f t="shared" si="11"/>
        <v/>
      </c>
      <c r="X12" s="38">
        <f>IF(L12="","",IF(V12&gt;0,INDEX('06-حزيران'!$P$2:$P$499,V12),IF($AO$1=1,0,"")))</f>
        <v>0</v>
      </c>
      <c r="Y12" s="38">
        <f t="shared" si="12"/>
        <v>0</v>
      </c>
      <c r="Z12" s="39">
        <f>IF(L12="","",IF(V12&gt;0,INDEX('06-حزيران'!$Q$2:$Q$499,V12),IF($AO$1=1,0,"")))</f>
        <v>0</v>
      </c>
      <c r="AA12" s="39">
        <f t="shared" si="13"/>
        <v>0</v>
      </c>
      <c r="AB12" s="40">
        <f>IF(OR(L12="",V12=0),"",IF(AND(N(I12)&gt;0,N(INDEX('06-حزيران'!$I$2:$I$499,V12))&gt;0,INDEX('06-حزيران'!$F$2:$F$499,V12)=F12),N(I12)/N(INDEX('06-حزيران'!$I$2:$I$499,V12))-1,""))</f>
        <v>0</v>
      </c>
      <c r="AC12" t="str">
        <f>IF(L12="","",IF(AND($AO$2=1,ISNA(MATCH(L12,'08-آب'!$L$2:$L$501,0))),"محذوف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1.2E-8</v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399</v>
      </c>
      <c r="B13">
        <v>0</v>
      </c>
      <c r="C13">
        <v>156000</v>
      </c>
      <c r="D13">
        <v>156000</v>
      </c>
      <c r="E13">
        <v>156000</v>
      </c>
      <c r="F13" t="s">
        <v>389</v>
      </c>
      <c r="G13" t="s">
        <v>178</v>
      </c>
      <c r="H13" t="s">
        <v>12</v>
      </c>
      <c r="I13">
        <v>120000</v>
      </c>
      <c r="K13" t="str">
        <f t="shared" si="0"/>
        <v/>
      </c>
      <c r="L13" t="str">
        <f t="shared" si="1"/>
        <v>ملمع زجاج الكرمل</v>
      </c>
      <c r="M13" s="36">
        <f t="shared" si="2"/>
        <v>7.5187969924812026E-5</v>
      </c>
      <c r="N13" s="37">
        <f t="shared" si="3"/>
        <v>9.022556390977444</v>
      </c>
      <c r="O13" s="37">
        <f t="shared" si="4"/>
        <v>11.729323308270676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IF(L13="","",IF($AO$1=1,IFERROR(MATCH(L13,'06-حزيران'!$L$2:$L$499,0),0),0))</f>
        <v>131</v>
      </c>
      <c r="W13" t="str">
        <f t="shared" si="11"/>
        <v/>
      </c>
      <c r="X13" s="38">
        <f>IF(L13="","",IF(V13&gt;0,INDEX('06-حزيران'!$P$2:$P$499,V13),IF($AO$1=1,0,"")))</f>
        <v>0</v>
      </c>
      <c r="Y13" s="38">
        <f t="shared" si="12"/>
        <v>0</v>
      </c>
      <c r="Z13" s="39">
        <f>IF(L13="","",IF(V13&gt;0,INDEX('06-حزيران'!$Q$2:$Q$499,V13),IF($AO$1=1,0,"")))</f>
        <v>0</v>
      </c>
      <c r="AA13" s="39">
        <f t="shared" si="13"/>
        <v>0</v>
      </c>
      <c r="AB13" s="40">
        <f>IF(OR(L13="",V13=0),"",IF(AND(N(I13)&gt;0,N(INDEX('06-حزيران'!$I$2:$I$499,V13))&gt;0,INDEX('06-حزيران'!$F$2:$F$499,V13)=F13),N(I13)/N(INDEX('06-حزيران'!$I$2:$I$499,V13))-1,""))</f>
        <v>0</v>
      </c>
      <c r="AC13" t="str">
        <f>IF(L13="","",IF(AND($AO$2=1,ISNA(MATCH(L13,'08-آب'!$L$2:$L$501,0))),"محذوف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1.3000000000000001E-8</v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400</v>
      </c>
      <c r="B14">
        <v>21</v>
      </c>
      <c r="C14">
        <v>30000</v>
      </c>
      <c r="D14">
        <v>30000</v>
      </c>
      <c r="E14">
        <v>30000</v>
      </c>
      <c r="F14" t="s">
        <v>389</v>
      </c>
      <c r="G14" t="s">
        <v>178</v>
      </c>
      <c r="H14" t="s">
        <v>12</v>
      </c>
      <c r="I14">
        <v>9500</v>
      </c>
      <c r="K14" t="str">
        <f t="shared" si="0"/>
        <v/>
      </c>
      <c r="L14" t="str">
        <f t="shared" si="1"/>
        <v>ملمع زجاج 3 لتر</v>
      </c>
      <c r="M14" s="36">
        <f t="shared" si="2"/>
        <v>7.5187969924812026E-5</v>
      </c>
      <c r="N14" s="37">
        <f t="shared" si="3"/>
        <v>0.7142857142857143</v>
      </c>
      <c r="O14" s="37">
        <f t="shared" si="4"/>
        <v>2.255639097744361</v>
      </c>
      <c r="P14" s="38">
        <f t="shared" si="5"/>
        <v>21</v>
      </c>
      <c r="Q14" s="39">
        <f t="shared" si="6"/>
        <v>15</v>
      </c>
      <c r="R14" s="39">
        <f t="shared" si="7"/>
        <v>47.368421052631582</v>
      </c>
      <c r="S14">
        <f t="shared" si="8"/>
        <v>1</v>
      </c>
      <c r="T14" s="39">
        <f t="shared" si="9"/>
        <v>32.368421052631582</v>
      </c>
      <c r="U14" t="str">
        <f t="shared" si="10"/>
        <v/>
      </c>
      <c r="V14">
        <f>IF(L14="","",IF($AO$1=1,IFERROR(MATCH(L14,'06-حزيران'!$L$2:$L$499,0),0),0))</f>
        <v>132</v>
      </c>
      <c r="W14" t="str">
        <f t="shared" si="11"/>
        <v/>
      </c>
      <c r="X14" s="38">
        <f>IF(L14="","",IF(V14&gt;0,INDEX('06-حزيران'!$P$2:$P$499,V14),IF($AO$1=1,0,"")))</f>
        <v>23</v>
      </c>
      <c r="Y14" s="38">
        <f t="shared" si="12"/>
        <v>-2</v>
      </c>
      <c r="Z14" s="39">
        <f>IF(L14="","",IF(V14&gt;0,INDEX('06-حزيران'!$Q$2:$Q$499,V14),IF($AO$1=1,0,"")))</f>
        <v>16.553030303030305</v>
      </c>
      <c r="AA14" s="39">
        <f t="shared" si="13"/>
        <v>-1.5530303030303045</v>
      </c>
      <c r="AB14" s="40">
        <f>IF(OR(L14="",V14=0),"",IF(AND(N(I14)&gt;0,N(INDEX('06-حزيران'!$I$2:$I$499,V14))&gt;0,INDEX('06-حزيران'!$F$2:$F$499,V14)=F14),N(I14)/N(INDEX('06-حزيران'!$I$2:$I$499,V14))-1,""))</f>
        <v>0</v>
      </c>
      <c r="AC14" t="str">
        <f>IF(L14="","",IF(AND($AO$2=1,ISNA(MATCH(L14,'08-آب'!$L$2:$L$501,0))),"محذوف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1.5530303170303046</v>
      </c>
      <c r="AH14" s="39">
        <f t="shared" si="15"/>
        <v>32.368421052631575</v>
      </c>
      <c r="AI14" s="39">
        <f t="shared" si="16"/>
        <v>32.368421052631575</v>
      </c>
      <c r="AJ14" s="39">
        <f t="shared" si="17"/>
        <v>32.368421052631575</v>
      </c>
      <c r="AK14">
        <f t="shared" si="18"/>
        <v>15.000000013999999</v>
      </c>
      <c r="AL14">
        <f t="shared" si="19"/>
        <v>32.368421066631583</v>
      </c>
    </row>
    <row r="15" spans="1:41" ht="15">
      <c r="A15" t="s">
        <v>401</v>
      </c>
      <c r="B15">
        <v>119.5</v>
      </c>
      <c r="C15">
        <v>10000</v>
      </c>
      <c r="D15">
        <v>10000</v>
      </c>
      <c r="E15">
        <v>10000</v>
      </c>
      <c r="F15" t="s">
        <v>389</v>
      </c>
      <c r="G15" t="s">
        <v>178</v>
      </c>
      <c r="H15" t="s">
        <v>12</v>
      </c>
      <c r="I15">
        <v>3000</v>
      </c>
      <c r="K15" t="str">
        <f t="shared" si="0"/>
        <v/>
      </c>
      <c r="L15" t="str">
        <f t="shared" si="1"/>
        <v>ملمع زجاج / فرط</v>
      </c>
      <c r="M15" s="36">
        <f t="shared" si="2"/>
        <v>7.5187969924812026E-5</v>
      </c>
      <c r="N15" s="37">
        <f t="shared" si="3"/>
        <v>0.22556390977443608</v>
      </c>
      <c r="O15" s="37">
        <f t="shared" si="4"/>
        <v>0.75187969924812026</v>
      </c>
      <c r="P15" s="38">
        <f t="shared" si="5"/>
        <v>119.5</v>
      </c>
      <c r="Q15" s="39">
        <f t="shared" si="6"/>
        <v>26.954887218045112</v>
      </c>
      <c r="R15" s="39">
        <f t="shared" si="7"/>
        <v>89.849624060150376</v>
      </c>
      <c r="S15">
        <f t="shared" si="8"/>
        <v>1</v>
      </c>
      <c r="T15" s="39">
        <f t="shared" si="9"/>
        <v>62.89473684210526</v>
      </c>
      <c r="U15" t="str">
        <f t="shared" si="10"/>
        <v/>
      </c>
      <c r="V15">
        <f>IF(L15="","",IF($AO$1=1,IFERROR(MATCH(L15,'06-حزيران'!$L$2:$L$499,0),0),0))</f>
        <v>133</v>
      </c>
      <c r="W15" t="str">
        <f t="shared" si="11"/>
        <v/>
      </c>
      <c r="X15" s="38">
        <f>IF(L15="","",IF(V15&gt;0,INDEX('06-حزيران'!$P$2:$P$499,V15),IF($AO$1=1,0,"")))</f>
        <v>245</v>
      </c>
      <c r="Y15" s="38">
        <f t="shared" si="12"/>
        <v>-125.5</v>
      </c>
      <c r="Z15" s="39">
        <f>IF(L15="","",IF(V15&gt;0,INDEX('06-حزيران'!$Q$2:$Q$499,V15),IF($AO$1=1,0,"")))</f>
        <v>55.68181818181818</v>
      </c>
      <c r="AA15" s="39">
        <f t="shared" si="13"/>
        <v>-28.726930963773068</v>
      </c>
      <c r="AB15" s="40">
        <f>IF(OR(L15="",V15=0),"",IF(AND(N(I15)&gt;0,N(INDEX('06-حزيران'!$I$2:$I$499,V15))&gt;0,INDEX('06-حزيران'!$F$2:$F$499,V15)=F15),N(I15)/N(INDEX('06-حزيران'!$I$2:$I$499,V15))-1,""))</f>
        <v>0</v>
      </c>
      <c r="AC15" t="str">
        <f>IF(L15="","",IF(AND($AO$2=1,ISNA(MATCH(L15,'08-آب'!$L$2:$L$501,0))),"محذوف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28.726930978773069</v>
      </c>
      <c r="AH15" s="39">
        <f t="shared" si="15"/>
        <v>62.89473684210526</v>
      </c>
      <c r="AI15" s="39">
        <f t="shared" si="16"/>
        <v>62.89473684210526</v>
      </c>
      <c r="AJ15" s="39">
        <f t="shared" si="17"/>
        <v>62.89473684210526</v>
      </c>
      <c r="AK15">
        <f t="shared" si="18"/>
        <v>26.954887233045113</v>
      </c>
      <c r="AL15">
        <f t="shared" si="19"/>
        <v>62.894736857105258</v>
      </c>
    </row>
    <row r="16" spans="1:41" ht="15">
      <c r="A16" t="s">
        <v>269</v>
      </c>
      <c r="B16">
        <v>0</v>
      </c>
      <c r="C16">
        <v>0</v>
      </c>
      <c r="D16">
        <v>0</v>
      </c>
      <c r="E16">
        <v>0</v>
      </c>
      <c r="F16" t="s">
        <v>268</v>
      </c>
      <c r="G16" t="s">
        <v>178</v>
      </c>
      <c r="H16" t="s">
        <v>177</v>
      </c>
      <c r="I16">
        <v>63</v>
      </c>
      <c r="K16" t="str">
        <f t="shared" si="0"/>
        <v/>
      </c>
      <c r="L16" t="str">
        <f t="shared" si="1"/>
        <v>ملمع دواليب خام</v>
      </c>
      <c r="M16" s="36">
        <f t="shared" si="2"/>
        <v>1</v>
      </c>
      <c r="N16" s="37">
        <f t="shared" si="3"/>
        <v>63</v>
      </c>
      <c r="O16" s="37">
        <f t="shared" si="4"/>
        <v>0</v>
      </c>
      <c r="P16" s="38">
        <f t="shared" si="5"/>
        <v>0</v>
      </c>
      <c r="Q16" s="39">
        <f t="shared" si="6"/>
        <v>0</v>
      </c>
      <c r="R16" s="39">
        <f t="shared" si="7"/>
        <v>0</v>
      </c>
      <c r="S16">
        <f t="shared" si="8"/>
        <v>0</v>
      </c>
      <c r="T16" s="39">
        <f t="shared" si="9"/>
        <v>0</v>
      </c>
      <c r="U16" t="str">
        <f t="shared" si="10"/>
        <v/>
      </c>
      <c r="V16">
        <f>IF(L16="","",IF($AO$1=1,IFERROR(MATCH(L16,'06-حزيران'!$L$2:$L$499,0),0),0))</f>
        <v>2</v>
      </c>
      <c r="W16" t="str">
        <f t="shared" si="11"/>
        <v/>
      </c>
      <c r="X16" s="38">
        <f>IF(L16="","",IF(V16&gt;0,INDEX('06-حزيران'!$P$2:$P$499,V16),IF($AO$1=1,0,"")))</f>
        <v>0</v>
      </c>
      <c r="Y16" s="38">
        <f t="shared" si="12"/>
        <v>0</v>
      </c>
      <c r="Z16" s="39">
        <f>IF(L16="","",IF(V16&gt;0,INDEX('06-حزيران'!$Q$2:$Q$499,V16),IF($AO$1=1,0,"")))</f>
        <v>0</v>
      </c>
      <c r="AA16" s="39">
        <f t="shared" si="13"/>
        <v>0</v>
      </c>
      <c r="AB16" s="40">
        <f>IF(OR(L16="",V16=0),"",IF(AND(N(I16)&gt;0,N(INDEX('06-حزيران'!$I$2:$I$499,V16))&gt;0,INDEX('06-حزيران'!$F$2:$F$499,V16)=F16),N(I16)/N(INDEX('06-حزيران'!$I$2:$I$499,V16))-1,""))</f>
        <v>0</v>
      </c>
      <c r="AC16" t="str">
        <f>IF(L16="","",IF(AND($AO$2=1,ISNA(MATCH(L16,'08-آب'!$L$2:$L$501,0))),"محذوف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1.6000000000000001E-8</v>
      </c>
      <c r="AH16" s="39">
        <f t="shared" si="15"/>
        <v>0</v>
      </c>
      <c r="AI16" s="39">
        <f t="shared" si="16"/>
        <v>0</v>
      </c>
      <c r="AJ16" s="39">
        <f t="shared" si="17"/>
        <v>0</v>
      </c>
      <c r="AK16">
        <f t="shared" si="18"/>
        <v>1.6000000000000001E-8</v>
      </c>
      <c r="AL16">
        <f t="shared" si="19"/>
        <v>1.6000000000000001E-8</v>
      </c>
    </row>
    <row r="17" spans="1:38" ht="15">
      <c r="A17" t="s">
        <v>402</v>
      </c>
      <c r="B17">
        <v>0</v>
      </c>
      <c r="C17">
        <v>408000</v>
      </c>
      <c r="D17">
        <v>408000</v>
      </c>
      <c r="E17">
        <v>408000</v>
      </c>
      <c r="F17" t="s">
        <v>389</v>
      </c>
      <c r="G17" t="s">
        <v>178</v>
      </c>
      <c r="H17" t="s">
        <v>12</v>
      </c>
      <c r="I17">
        <v>0</v>
      </c>
      <c r="K17" t="str">
        <f t="shared" si="0"/>
        <v/>
      </c>
      <c r="L17" t="str">
        <f t="shared" si="1"/>
        <v>ملطف جو ليتس</v>
      </c>
      <c r="M17" s="36">
        <f t="shared" si="2"/>
        <v>7.5187969924812026E-5</v>
      </c>
      <c r="N17" s="37">
        <f t="shared" si="3"/>
        <v>0</v>
      </c>
      <c r="O17" s="37">
        <f t="shared" si="4"/>
        <v>30.676691729323306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IF(L17="","",IF($AO$1=1,IFERROR(MATCH(L17,'06-حزيران'!$L$2:$L$499,0),0),0))</f>
        <v>134</v>
      </c>
      <c r="W17" t="str">
        <f t="shared" si="11"/>
        <v/>
      </c>
      <c r="X17" s="38">
        <f>IF(L17="","",IF(V17&gt;0,INDEX('06-حزيران'!$P$2:$P$499,V17),IF($AO$1=1,0,"")))</f>
        <v>0</v>
      </c>
      <c r="Y17" s="38">
        <f t="shared" si="12"/>
        <v>0</v>
      </c>
      <c r="Z17" s="39">
        <f>IF(L17="","",IF(V17&gt;0,INDEX('06-حزيران'!$Q$2:$Q$499,V17),IF($AO$1=1,0,"")))</f>
        <v>0</v>
      </c>
      <c r="AA17" s="39">
        <f t="shared" si="13"/>
        <v>0</v>
      </c>
      <c r="AB17" s="40" t="str">
        <f>IF(OR(L17="",V17=0),"",IF(AND(N(I17)&gt;0,N(INDEX('06-حزيران'!$I$2:$I$499,V17))&gt;0,INDEX('06-حزيران'!$F$2:$F$499,V17)=F17),N(I17)/N(INDEX('06-حزيران'!$I$2:$I$499,V17))-1,""))</f>
        <v/>
      </c>
      <c r="AC17" t="str">
        <f>IF(L17="","",IF(AND($AO$2=1,ISNA(MATCH(L17,'08-آب'!$L$2:$L$501,0))),"محذوف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1.7E-8</v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403</v>
      </c>
      <c r="B18">
        <v>0</v>
      </c>
      <c r="C18">
        <v>240000</v>
      </c>
      <c r="D18">
        <v>240000</v>
      </c>
      <c r="E18">
        <v>240000</v>
      </c>
      <c r="F18" t="s">
        <v>389</v>
      </c>
      <c r="G18" t="s">
        <v>178</v>
      </c>
      <c r="H18" t="s">
        <v>12</v>
      </c>
      <c r="I18">
        <v>139200</v>
      </c>
      <c r="K18" t="str">
        <f t="shared" si="0"/>
        <v/>
      </c>
      <c r="L18" t="str">
        <f t="shared" si="1"/>
        <v>ملطف جو</v>
      </c>
      <c r="M18" s="36">
        <f t="shared" si="2"/>
        <v>7.5187969924812026E-5</v>
      </c>
      <c r="N18" s="37">
        <f t="shared" si="3"/>
        <v>10.466165413533835</v>
      </c>
      <c r="O18" s="37">
        <f t="shared" si="4"/>
        <v>18.045112781954888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IF(L18="","",IF($AO$1=1,IFERROR(MATCH(L18,'06-حزيران'!$L$2:$L$499,0),0),0))</f>
        <v>135</v>
      </c>
      <c r="W18" t="str">
        <f t="shared" si="11"/>
        <v/>
      </c>
      <c r="X18" s="38">
        <f>IF(L18="","",IF(V18&gt;0,INDEX('06-حزيران'!$P$2:$P$499,V18),IF($AO$1=1,0,"")))</f>
        <v>0</v>
      </c>
      <c r="Y18" s="38">
        <f t="shared" si="12"/>
        <v>0</v>
      </c>
      <c r="Z18" s="39">
        <f>IF(L18="","",IF(V18&gt;0,INDEX('06-حزيران'!$Q$2:$Q$499,V18),IF($AO$1=1,0,"")))</f>
        <v>0</v>
      </c>
      <c r="AA18" s="39">
        <f t="shared" si="13"/>
        <v>0</v>
      </c>
      <c r="AB18" s="40">
        <f>IF(OR(L18="",V18=0),"",IF(AND(N(I18)&gt;0,N(INDEX('06-حزيران'!$I$2:$I$499,V18))&gt;0,INDEX('06-حزيران'!$F$2:$F$499,V18)=F18),N(I18)/N(INDEX('06-حزيران'!$I$2:$I$499,V18))-1,""))</f>
        <v>0</v>
      </c>
      <c r="AC18" t="str">
        <f>IF(L18="","",IF(AND($AO$2=1,ISNA(MATCH(L18,'08-آب'!$L$2:$L$501,0))),"محذوف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270</v>
      </c>
      <c r="B19">
        <v>93.04</v>
      </c>
      <c r="C19">
        <v>0</v>
      </c>
      <c r="D19">
        <v>0</v>
      </c>
      <c r="E19">
        <v>0</v>
      </c>
      <c r="F19" t="s">
        <v>268</v>
      </c>
      <c r="G19" t="s">
        <v>178</v>
      </c>
      <c r="H19" t="s">
        <v>176</v>
      </c>
      <c r="I19">
        <v>2.1</v>
      </c>
      <c r="K19" t="str">
        <f t="shared" si="0"/>
        <v/>
      </c>
      <c r="L19" t="str">
        <f t="shared" si="1"/>
        <v>ملح</v>
      </c>
      <c r="M19" s="36">
        <f t="shared" si="2"/>
        <v>1</v>
      </c>
      <c r="N19" s="37">
        <f t="shared" si="3"/>
        <v>2.1</v>
      </c>
      <c r="O19" s="37">
        <f t="shared" si="4"/>
        <v>0</v>
      </c>
      <c r="P19" s="38">
        <f t="shared" si="5"/>
        <v>93.04</v>
      </c>
      <c r="Q19" s="39">
        <f t="shared" si="6"/>
        <v>195.38400000000001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IF(L19="","",IF($AO$1=1,IFERROR(MATCH(L19,'06-حزيران'!$L$2:$L$499,0),0),0))</f>
        <v>3</v>
      </c>
      <c r="W19" t="str">
        <f t="shared" si="11"/>
        <v/>
      </c>
      <c r="X19" s="38">
        <f>IF(L19="","",IF(V19&gt;0,INDEX('06-حزيران'!$P$2:$P$499,V19),IF($AO$1=1,0,"")))</f>
        <v>138.04</v>
      </c>
      <c r="Y19" s="38">
        <f t="shared" si="12"/>
        <v>-44.999999999999986</v>
      </c>
      <c r="Z19" s="39">
        <f>IF(L19="","",IF(V19&gt;0,INDEX('06-حزيران'!$Q$2:$Q$499,V19),IF($AO$1=1,0,"")))</f>
        <v>289.88400000000001</v>
      </c>
      <c r="AA19" s="39">
        <f t="shared" si="13"/>
        <v>-94.5</v>
      </c>
      <c r="AB19" s="40">
        <f>IF(OR(L19="",V19=0),"",IF(AND(N(I19)&gt;0,N(INDEX('06-حزيران'!$I$2:$I$499,V19))&gt;0,INDEX('06-حزيران'!$F$2:$F$499,V19)=F19),N(I19)/N(INDEX('06-حزيران'!$I$2:$I$499,V19))-1,""))</f>
        <v>0</v>
      </c>
      <c r="AC19" t="str">
        <f>IF(L19="","",IF(AND($AO$2=1,ISNA(MATCH(L19,'08-آب'!$L$2:$L$501,0))),"محذوف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94.500000018999998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195.38400001900001</v>
      </c>
      <c r="AL19">
        <f t="shared" si="19"/>
        <v>1.9000000000000001E-8</v>
      </c>
    </row>
    <row r="20" spans="1:38" ht="15">
      <c r="A20" t="s">
        <v>404</v>
      </c>
      <c r="B20">
        <v>0.08</v>
      </c>
      <c r="C20">
        <v>156000</v>
      </c>
      <c r="D20">
        <v>156000</v>
      </c>
      <c r="E20">
        <v>156000</v>
      </c>
      <c r="F20" t="s">
        <v>389</v>
      </c>
      <c r="G20" t="s">
        <v>178</v>
      </c>
      <c r="H20" t="s">
        <v>12</v>
      </c>
      <c r="I20">
        <v>74400</v>
      </c>
      <c r="K20" t="str">
        <f t="shared" si="0"/>
        <v/>
      </c>
      <c r="L20" t="str">
        <f t="shared" si="1"/>
        <v>مكانس ناعمة كثيفة</v>
      </c>
      <c r="M20" s="36">
        <f t="shared" si="2"/>
        <v>7.5187969924812026E-5</v>
      </c>
      <c r="N20" s="37">
        <f t="shared" si="3"/>
        <v>5.5939849624060152</v>
      </c>
      <c r="O20" s="37">
        <f t="shared" si="4"/>
        <v>11.729323308270676</v>
      </c>
      <c r="P20" s="38">
        <f t="shared" si="5"/>
        <v>0.08</v>
      </c>
      <c r="Q20" s="39">
        <f t="shared" si="6"/>
        <v>0.4475187969924812</v>
      </c>
      <c r="R20" s="39">
        <f t="shared" si="7"/>
        <v>0.93834586466165404</v>
      </c>
      <c r="S20">
        <f t="shared" si="8"/>
        <v>1</v>
      </c>
      <c r="T20" s="39">
        <f t="shared" si="9"/>
        <v>0.49082706766917283</v>
      </c>
      <c r="U20" t="str">
        <f t="shared" si="10"/>
        <v/>
      </c>
      <c r="V20">
        <f>IF(L20="","",IF($AO$1=1,IFERROR(MATCH(L20,'06-حزيران'!$L$2:$L$499,0),0),0))</f>
        <v>136</v>
      </c>
      <c r="W20" t="str">
        <f t="shared" si="11"/>
        <v/>
      </c>
      <c r="X20" s="38">
        <f>IF(L20="","",IF(V20&gt;0,INDEX('06-حزيران'!$P$2:$P$499,V20),IF($AO$1=1,0,"")))</f>
        <v>0.42</v>
      </c>
      <c r="Y20" s="38">
        <f t="shared" si="12"/>
        <v>-0.33999999999999997</v>
      </c>
      <c r="Z20" s="39">
        <f>IF(L20="","",IF(V20&gt;0,INDEX('06-حزيران'!$Q$2:$Q$499,V20),IF($AO$1=1,0,"")))</f>
        <v>2.3672727272727272</v>
      </c>
      <c r="AA20" s="39">
        <f t="shared" si="13"/>
        <v>-1.919753930280246</v>
      </c>
      <c r="AB20" s="40">
        <f>IF(OR(L20="",V20=0),"",IF(AND(N(I20)&gt;0,N(INDEX('06-حزيران'!$I$2:$I$499,V20))&gt;0,INDEX('06-حزيران'!$F$2:$F$499,V20)=F20),N(I20)/N(INDEX('06-حزيران'!$I$2:$I$499,V20))-1,""))</f>
        <v>0</v>
      </c>
      <c r="AC20" t="str">
        <f>IF(L20="","",IF(AND($AO$2=1,ISNA(MATCH(L20,'08-آب'!$L$2:$L$501,0))),"محذوف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1.9197539502802461</v>
      </c>
      <c r="AH20" s="39">
        <f t="shared" si="15"/>
        <v>0.49082706766917283</v>
      </c>
      <c r="AI20" s="39">
        <f t="shared" si="16"/>
        <v>0.49082706766917283</v>
      </c>
      <c r="AJ20" s="39">
        <f t="shared" si="17"/>
        <v>0.49082706766917283</v>
      </c>
      <c r="AK20">
        <f t="shared" si="18"/>
        <v>0.44751881699248119</v>
      </c>
      <c r="AL20">
        <f t="shared" si="19"/>
        <v>0.49082708766917282</v>
      </c>
    </row>
    <row r="21" spans="1:38" ht="15">
      <c r="A21" t="s">
        <v>405</v>
      </c>
      <c r="B21">
        <v>6</v>
      </c>
      <c r="C21">
        <v>20000</v>
      </c>
      <c r="D21">
        <v>20000</v>
      </c>
      <c r="E21">
        <v>20000</v>
      </c>
      <c r="F21" t="s">
        <v>389</v>
      </c>
      <c r="G21" t="s">
        <v>178</v>
      </c>
      <c r="H21" t="s">
        <v>12</v>
      </c>
      <c r="I21">
        <v>8125</v>
      </c>
      <c r="K21" t="str">
        <f t="shared" si="0"/>
        <v/>
      </c>
      <c r="L21" t="str">
        <f t="shared" si="1"/>
        <v>مكانس خشنة</v>
      </c>
      <c r="M21" s="36">
        <f t="shared" si="2"/>
        <v>7.5187969924812026E-5</v>
      </c>
      <c r="N21" s="37">
        <f t="shared" si="3"/>
        <v>0.61090225563909772</v>
      </c>
      <c r="O21" s="37">
        <f t="shared" si="4"/>
        <v>1.5037593984962405</v>
      </c>
      <c r="P21" s="38">
        <f t="shared" si="5"/>
        <v>6</v>
      </c>
      <c r="Q21" s="39">
        <f t="shared" si="6"/>
        <v>3.6654135338345863</v>
      </c>
      <c r="R21" s="39">
        <f t="shared" si="7"/>
        <v>9.0225563909774422</v>
      </c>
      <c r="S21">
        <f t="shared" si="8"/>
        <v>1</v>
      </c>
      <c r="T21" s="39">
        <f t="shared" si="9"/>
        <v>5.3571428571428559</v>
      </c>
      <c r="U21" t="str">
        <f t="shared" si="10"/>
        <v/>
      </c>
      <c r="V21">
        <f>IF(L21="","",IF($AO$1=1,IFERROR(MATCH(L21,'06-حزيران'!$L$2:$L$499,0),0),0))</f>
        <v>137</v>
      </c>
      <c r="W21" t="str">
        <f t="shared" si="11"/>
        <v/>
      </c>
      <c r="X21" s="38">
        <f>IF(L21="","",IF(V21&gt;0,INDEX('06-حزيران'!$P$2:$P$499,V21),IF($AO$1=1,0,"")))</f>
        <v>6</v>
      </c>
      <c r="Y21" s="38">
        <f t="shared" si="12"/>
        <v>0</v>
      </c>
      <c r="Z21" s="39">
        <f>IF(L21="","",IF(V21&gt;0,INDEX('06-حزيران'!$Q$2:$Q$499,V21),IF($AO$1=1,0,"")))</f>
        <v>3.6931818181818179</v>
      </c>
      <c r="AA21" s="39">
        <f t="shared" si="13"/>
        <v>-2.7768284347231553E-2</v>
      </c>
      <c r="AB21" s="40">
        <f>IF(OR(L21="",V21=0),"",IF(AND(N(I21)&gt;0,N(INDEX('06-حزيران'!$I$2:$I$499,V21))&gt;0,INDEX('06-حزيران'!$F$2:$F$499,V21)=F21),N(I21)/N(INDEX('06-حزيران'!$I$2:$I$499,V21))-1,""))</f>
        <v>0</v>
      </c>
      <c r="AC21" t="str">
        <f>IF(L21="","",IF(AND($AO$2=1,ISNA(MATCH(L21,'08-آب'!$L$2:$L$501,0))),"محذوف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2.7768305347231553E-2</v>
      </c>
      <c r="AH21" s="39">
        <f t="shared" si="15"/>
        <v>5.3571428571428568</v>
      </c>
      <c r="AI21" s="39">
        <f t="shared" si="16"/>
        <v>5.3571428571428568</v>
      </c>
      <c r="AJ21" s="39">
        <f t="shared" si="17"/>
        <v>5.3571428571428568</v>
      </c>
      <c r="AK21">
        <f t="shared" si="18"/>
        <v>3.6654135548345863</v>
      </c>
      <c r="AL21">
        <f t="shared" si="19"/>
        <v>5.3571428781428558</v>
      </c>
    </row>
    <row r="22" spans="1:38" ht="15">
      <c r="A22" t="s">
        <v>271</v>
      </c>
      <c r="B22">
        <v>2</v>
      </c>
      <c r="C22">
        <v>0</v>
      </c>
      <c r="D22">
        <v>0</v>
      </c>
      <c r="E22">
        <v>0</v>
      </c>
      <c r="F22" t="s">
        <v>268</v>
      </c>
      <c r="G22" t="s">
        <v>178</v>
      </c>
      <c r="H22" t="s">
        <v>176</v>
      </c>
      <c r="I22">
        <v>3</v>
      </c>
      <c r="K22" t="str">
        <f t="shared" si="0"/>
        <v/>
      </c>
      <c r="L22" t="str">
        <f t="shared" si="1"/>
        <v>مقصب</v>
      </c>
      <c r="M22" s="36">
        <f t="shared" si="2"/>
        <v>1</v>
      </c>
      <c r="N22" s="37">
        <f t="shared" si="3"/>
        <v>3</v>
      </c>
      <c r="O22" s="37">
        <f t="shared" si="4"/>
        <v>0</v>
      </c>
      <c r="P22" s="38">
        <f t="shared" si="5"/>
        <v>2</v>
      </c>
      <c r="Q22" s="39">
        <f t="shared" si="6"/>
        <v>6</v>
      </c>
      <c r="R22" s="39">
        <f t="shared" si="7"/>
        <v>0</v>
      </c>
      <c r="S22">
        <f t="shared" si="8"/>
        <v>0</v>
      </c>
      <c r="T22" s="39">
        <f t="shared" si="9"/>
        <v>0</v>
      </c>
      <c r="U22" t="str">
        <f t="shared" si="10"/>
        <v/>
      </c>
      <c r="V22">
        <f>IF(L22="","",IF($AO$1=1,IFERROR(MATCH(L22,'06-حزيران'!$L$2:$L$499,0),0),0))</f>
        <v>4</v>
      </c>
      <c r="W22" t="str">
        <f t="shared" si="11"/>
        <v/>
      </c>
      <c r="X22" s="38">
        <f>IF(L22="","",IF(V22&gt;0,INDEX('06-حزيران'!$P$2:$P$499,V22),IF($AO$1=1,0,"")))</f>
        <v>2</v>
      </c>
      <c r="Y22" s="38">
        <f t="shared" si="12"/>
        <v>0</v>
      </c>
      <c r="Z22" s="39">
        <f>IF(L22="","",IF(V22&gt;0,INDEX('06-حزيران'!$Q$2:$Q$499,V22),IF($AO$1=1,0,"")))</f>
        <v>6</v>
      </c>
      <c r="AA22" s="39">
        <f t="shared" si="13"/>
        <v>0</v>
      </c>
      <c r="AB22" s="40">
        <f>IF(OR(L22="",V22=0),"",IF(AND(N(I22)&gt;0,N(INDEX('06-حزيران'!$I$2:$I$499,V22))&gt;0,INDEX('06-حزيران'!$F$2:$F$499,V22)=F22),N(I22)/N(INDEX('06-حزيران'!$I$2:$I$499,V22))-1,""))</f>
        <v>0</v>
      </c>
      <c r="AC22" t="str">
        <f>IF(L22="","",IF(AND($AO$2=1,ISNA(MATCH(L22,'08-آب'!$L$2:$L$501,0))),"محذوف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2.1999999999999998E-8</v>
      </c>
      <c r="AH22" s="39">
        <f t="shared" si="15"/>
        <v>0</v>
      </c>
      <c r="AI22" s="39">
        <f t="shared" si="16"/>
        <v>0</v>
      </c>
      <c r="AJ22" s="39">
        <f t="shared" si="17"/>
        <v>0</v>
      </c>
      <c r="AK22">
        <f t="shared" si="18"/>
        <v>6.000000022</v>
      </c>
      <c r="AL22">
        <f t="shared" si="19"/>
        <v>2.1999999999999998E-8</v>
      </c>
    </row>
    <row r="23" spans="1:38" ht="15">
      <c r="A23" t="s">
        <v>406</v>
      </c>
      <c r="B23">
        <v>0.5</v>
      </c>
      <c r="C23">
        <v>182000</v>
      </c>
      <c r="D23">
        <v>182000</v>
      </c>
      <c r="E23">
        <v>182000</v>
      </c>
      <c r="F23" t="s">
        <v>389</v>
      </c>
      <c r="G23" t="s">
        <v>178</v>
      </c>
      <c r="H23" t="s">
        <v>12</v>
      </c>
      <c r="I23">
        <v>168000</v>
      </c>
      <c r="K23" t="str">
        <f t="shared" si="0"/>
        <v/>
      </c>
      <c r="L23" t="str">
        <f t="shared" si="1"/>
        <v>معطر كرمل .</v>
      </c>
      <c r="M23" s="36">
        <f t="shared" si="2"/>
        <v>7.5187969924812026E-5</v>
      </c>
      <c r="N23" s="37">
        <f t="shared" si="3"/>
        <v>12.631578947368421</v>
      </c>
      <c r="O23" s="37">
        <f t="shared" si="4"/>
        <v>13.684210526315789</v>
      </c>
      <c r="P23" s="38">
        <f t="shared" si="5"/>
        <v>0.5</v>
      </c>
      <c r="Q23" s="39">
        <f t="shared" si="6"/>
        <v>6.3157894736842106</v>
      </c>
      <c r="R23" s="39">
        <f t="shared" si="7"/>
        <v>6.8421052631578947</v>
      </c>
      <c r="S23">
        <f t="shared" si="8"/>
        <v>1</v>
      </c>
      <c r="T23" s="39">
        <f t="shared" si="9"/>
        <v>0.52631578947368407</v>
      </c>
      <c r="U23" t="str">
        <f t="shared" si="10"/>
        <v/>
      </c>
      <c r="V23">
        <f>IF(L23="","",IF($AO$1=1,IFERROR(MATCH(L23,'06-حزيران'!$L$2:$L$499,0),0),0))</f>
        <v>138</v>
      </c>
      <c r="W23" t="str">
        <f t="shared" si="11"/>
        <v/>
      </c>
      <c r="X23" s="38">
        <f>IF(L23="","",IF(V23&gt;0,INDEX('06-حزيران'!$P$2:$P$499,V23),IF($AO$1=1,0,"")))</f>
        <v>0</v>
      </c>
      <c r="Y23" s="38">
        <f t="shared" si="12"/>
        <v>0.5</v>
      </c>
      <c r="Z23" s="39">
        <f>IF(L23="","",IF(V23&gt;0,INDEX('06-حزيران'!$Q$2:$Q$499,V23),IF($AO$1=1,0,"")))</f>
        <v>0</v>
      </c>
      <c r="AA23" s="39">
        <f t="shared" si="13"/>
        <v>6.3157894736842106</v>
      </c>
      <c r="AB23" s="40">
        <f>IF(OR(L23="",V23=0),"",IF(AND(N(I23)&gt;0,N(INDEX('06-حزيران'!$I$2:$I$499,V23))&gt;0,INDEX('06-حزيران'!$F$2:$F$499,V23)=F23),N(I23)/N(INDEX('06-حزيران'!$I$2:$I$499,V23))-1,""))</f>
        <v>0</v>
      </c>
      <c r="AC23" t="str">
        <f>IF(L23="","",IF(AND($AO$2=1,ISNA(MATCH(L23,'08-آب'!$L$2:$L$501,0))),"محذوف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6.3157894966842107</v>
      </c>
      <c r="AH23" s="39">
        <f t="shared" si="15"/>
        <v>0.52631578947368407</v>
      </c>
      <c r="AI23" s="39">
        <f t="shared" si="16"/>
        <v>0.52631578947368407</v>
      </c>
      <c r="AJ23" s="39">
        <f t="shared" si="17"/>
        <v>0.52631578947368407</v>
      </c>
      <c r="AK23">
        <f t="shared" si="18"/>
        <v>6.3157894966842107</v>
      </c>
      <c r="AL23">
        <f t="shared" si="19"/>
        <v>0.52631581247368409</v>
      </c>
    </row>
    <row r="24" spans="1:38" ht="15">
      <c r="A24" t="s">
        <v>272</v>
      </c>
      <c r="B24">
        <v>0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177</v>
      </c>
      <c r="I24">
        <v>44</v>
      </c>
      <c r="K24" t="str">
        <f t="shared" si="0"/>
        <v/>
      </c>
      <c r="L24" t="str">
        <f t="shared" si="1"/>
        <v>معطر فانيليا خام</v>
      </c>
      <c r="M24" s="36">
        <f t="shared" si="2"/>
        <v>1</v>
      </c>
      <c r="N24" s="37">
        <f t="shared" si="3"/>
        <v>44</v>
      </c>
      <c r="O24" s="37">
        <f t="shared" si="4"/>
        <v>0</v>
      </c>
      <c r="P24" s="38">
        <f t="shared" si="5"/>
        <v>0</v>
      </c>
      <c r="Q24" s="39">
        <f t="shared" si="6"/>
        <v>0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IF(L24="","",IF($AO$1=1,IFERROR(MATCH(L24,'06-حزيران'!$L$2:$L$499,0),0),0))</f>
        <v>5</v>
      </c>
      <c r="W24" t="str">
        <f t="shared" si="11"/>
        <v/>
      </c>
      <c r="X24" s="38">
        <f>IF(L24="","",IF(V24&gt;0,INDEX('06-حزيران'!$P$2:$P$499,V24),IF($AO$1=1,0,"")))</f>
        <v>0</v>
      </c>
      <c r="Y24" s="38">
        <f t="shared" si="12"/>
        <v>0</v>
      </c>
      <c r="Z24" s="39">
        <f>IF(L24="","",IF(V24&gt;0,INDEX('06-حزيران'!$Q$2:$Q$499,V24),IF($AO$1=1,0,"")))</f>
        <v>0</v>
      </c>
      <c r="AA24" s="39">
        <f t="shared" si="13"/>
        <v>0</v>
      </c>
      <c r="AB24" s="40">
        <f>IF(OR(L24="",V24=0),"",IF(AND(N(I24)&gt;0,N(INDEX('06-حزيران'!$I$2:$I$499,V24))&gt;0,INDEX('06-حزيران'!$F$2:$F$499,V24)=F24),N(I24)/N(INDEX('06-حزيران'!$I$2:$I$499,V24))-1,""))</f>
        <v>0</v>
      </c>
      <c r="AC24" t="str">
        <f>IF(L24="","",IF(AND($AO$2=1,ISNA(MATCH(L24,'08-آب'!$L$2:$L$501,0))),"محذوف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2.4E-8</v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2.4E-8</v>
      </c>
      <c r="AL24">
        <f t="shared" si="19"/>
        <v>2.4E-8</v>
      </c>
    </row>
    <row r="25" spans="1:38" ht="15">
      <c r="A25" t="s">
        <v>407</v>
      </c>
      <c r="B25">
        <v>0</v>
      </c>
      <c r="C25">
        <v>120000</v>
      </c>
      <c r="D25">
        <v>120000</v>
      </c>
      <c r="E25">
        <v>120000</v>
      </c>
      <c r="F25" t="s">
        <v>389</v>
      </c>
      <c r="G25" t="s">
        <v>178</v>
      </c>
      <c r="H25" t="s">
        <v>12</v>
      </c>
      <c r="I25">
        <v>117000</v>
      </c>
      <c r="K25" t="str">
        <f t="shared" si="0"/>
        <v/>
      </c>
      <c r="L25" t="str">
        <f t="shared" si="1"/>
        <v>معطر عافية</v>
      </c>
      <c r="M25" s="36">
        <f t="shared" si="2"/>
        <v>7.5187969924812026E-5</v>
      </c>
      <c r="N25" s="37">
        <f t="shared" si="3"/>
        <v>8.7969924812030076</v>
      </c>
      <c r="O25" s="37">
        <f t="shared" si="4"/>
        <v>9.022556390977444</v>
      </c>
      <c r="P25" s="38">
        <f t="shared" si="5"/>
        <v>0</v>
      </c>
      <c r="Q25" s="39">
        <f t="shared" si="6"/>
        <v>0</v>
      </c>
      <c r="R25" s="39">
        <f t="shared" si="7"/>
        <v>0</v>
      </c>
      <c r="S25">
        <f t="shared" si="8"/>
        <v>0</v>
      </c>
      <c r="T25" s="39">
        <f t="shared" si="9"/>
        <v>0</v>
      </c>
      <c r="U25" t="str">
        <f t="shared" si="10"/>
        <v/>
      </c>
      <c r="V25">
        <f>IF(L25="","",IF($AO$1=1,IFERROR(MATCH(L25,'06-حزيران'!$L$2:$L$499,0),0),0))</f>
        <v>139</v>
      </c>
      <c r="W25" t="str">
        <f t="shared" si="11"/>
        <v/>
      </c>
      <c r="X25" s="38">
        <f>IF(L25="","",IF(V25&gt;0,INDEX('06-حزيران'!$P$2:$P$499,V25),IF($AO$1=1,0,"")))</f>
        <v>0</v>
      </c>
      <c r="Y25" s="38">
        <f t="shared" si="12"/>
        <v>0</v>
      </c>
      <c r="Z25" s="39">
        <f>IF(L25="","",IF(V25&gt;0,INDEX('06-حزيران'!$Q$2:$Q$499,V25),IF($AO$1=1,0,"")))</f>
        <v>0</v>
      </c>
      <c r="AA25" s="39">
        <f t="shared" si="13"/>
        <v>0</v>
      </c>
      <c r="AB25" s="40">
        <f>IF(OR(L25="",V25=0),"",IF(AND(N(I25)&gt;0,N(INDEX('06-حزيران'!$I$2:$I$499,V25))&gt;0,INDEX('06-حزيران'!$F$2:$F$499,V25)=F25),N(I25)/N(INDEX('06-حزيران'!$I$2:$I$499,V25))-1,""))</f>
        <v>0</v>
      </c>
      <c r="AC25" t="str">
        <f>IF(L25="","",IF(AND($AO$2=1,ISNA(MATCH(L25,'08-آب'!$L$2:$L$501,0))),"محذوف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2.4999999999999999E-8</v>
      </c>
      <c r="AH25" s="39">
        <f t="shared" si="15"/>
        <v>0</v>
      </c>
      <c r="AI25" s="39">
        <f t="shared" si="16"/>
        <v>0</v>
      </c>
      <c r="AJ25" s="39">
        <f t="shared" si="17"/>
        <v>0</v>
      </c>
      <c r="AK25">
        <f t="shared" si="18"/>
        <v>2.4999999999999999E-8</v>
      </c>
      <c r="AL25">
        <f t="shared" si="19"/>
        <v>2.4999999999999999E-8</v>
      </c>
    </row>
    <row r="26" spans="1:38" ht="15">
      <c r="A26" t="s">
        <v>408</v>
      </c>
      <c r="B26">
        <v>0</v>
      </c>
      <c r="C26">
        <v>0</v>
      </c>
      <c r="D26">
        <v>0</v>
      </c>
      <c r="E26">
        <v>0</v>
      </c>
      <c r="F26" t="s">
        <v>389</v>
      </c>
      <c r="G26" t="s">
        <v>178</v>
      </c>
      <c r="H26" t="s">
        <v>12</v>
      </c>
      <c r="I26">
        <v>0</v>
      </c>
      <c r="K26" t="str">
        <f t="shared" si="0"/>
        <v/>
      </c>
      <c r="L26" t="str">
        <f t="shared" si="1"/>
        <v>معطر سيارات</v>
      </c>
      <c r="M26" s="36">
        <f t="shared" si="2"/>
        <v>7.5187969924812026E-5</v>
      </c>
      <c r="N26" s="37">
        <f t="shared" si="3"/>
        <v>0</v>
      </c>
      <c r="O26" s="37">
        <f t="shared" si="4"/>
        <v>0</v>
      </c>
      <c r="P26" s="38">
        <f t="shared" si="5"/>
        <v>0</v>
      </c>
      <c r="Q26" s="39">
        <f t="shared" si="6"/>
        <v>0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IF(L26="","",IF($AO$1=1,IFERROR(MATCH(L26,'06-حزيران'!$L$2:$L$499,0),0),0))</f>
        <v>140</v>
      </c>
      <c r="W26" t="str">
        <f t="shared" si="11"/>
        <v/>
      </c>
      <c r="X26" s="38">
        <f>IF(L26="","",IF(V26&gt;0,INDEX('06-حزيران'!$P$2:$P$499,V26),IF($AO$1=1,0,"")))</f>
        <v>0</v>
      </c>
      <c r="Y26" s="38">
        <f t="shared" si="12"/>
        <v>0</v>
      </c>
      <c r="Z26" s="39">
        <f>IF(L26="","",IF(V26&gt;0,INDEX('06-حزيران'!$Q$2:$Q$499,V26),IF($AO$1=1,0,"")))</f>
        <v>0</v>
      </c>
      <c r="AA26" s="39">
        <f t="shared" si="13"/>
        <v>0</v>
      </c>
      <c r="AB26" s="40" t="str">
        <f>IF(OR(L26="",V26=0),"",IF(AND(N(I26)&gt;0,N(INDEX('06-حزيران'!$I$2:$I$499,V26))&gt;0,INDEX('06-حزيران'!$F$2:$F$499,V26)=F26),N(I26)/N(INDEX('06-حزيران'!$I$2:$I$499,V26))-1,""))</f>
        <v/>
      </c>
      <c r="AC26" t="str">
        <f>IF(L26="","",IF(AND($AO$2=1,ISNA(MATCH(L26,'08-آب'!$L$2:$L$501,0))),"محذوف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2.6000000000000001E-8</v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2.6000000000000001E-8</v>
      </c>
      <c r="AL26">
        <f t="shared" si="19"/>
        <v>2.6000000000000001E-8</v>
      </c>
    </row>
    <row r="27" spans="1:38" ht="15">
      <c r="A27" t="s">
        <v>409</v>
      </c>
      <c r="B27">
        <v>0</v>
      </c>
      <c r="C27">
        <v>195000</v>
      </c>
      <c r="D27">
        <v>195000</v>
      </c>
      <c r="E27">
        <v>195000</v>
      </c>
      <c r="F27" t="s">
        <v>389</v>
      </c>
      <c r="G27" t="s">
        <v>178</v>
      </c>
      <c r="H27" t="s">
        <v>12</v>
      </c>
      <c r="I27">
        <v>0</v>
      </c>
      <c r="K27" t="str">
        <f t="shared" si="0"/>
        <v/>
      </c>
      <c r="L27" t="str">
        <f t="shared" si="1"/>
        <v>معطر رينزو</v>
      </c>
      <c r="M27" s="36">
        <f t="shared" si="2"/>
        <v>7.5187969924812026E-5</v>
      </c>
      <c r="N27" s="37">
        <f t="shared" si="3"/>
        <v>0</v>
      </c>
      <c r="O27" s="37">
        <f t="shared" si="4"/>
        <v>14.661654135338345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IF(L27="","",IF($AO$1=1,IFERROR(MATCH(L27,'06-حزيران'!$L$2:$L$499,0),0),0))</f>
        <v>141</v>
      </c>
      <c r="W27" t="str">
        <f t="shared" si="11"/>
        <v/>
      </c>
      <c r="X27" s="38">
        <f>IF(L27="","",IF(V27&gt;0,INDEX('06-حزيران'!$P$2:$P$499,V27),IF($AO$1=1,0,"")))</f>
        <v>0</v>
      </c>
      <c r="Y27" s="38">
        <f t="shared" si="12"/>
        <v>0</v>
      </c>
      <c r="Z27" s="39">
        <f>IF(L27="","",IF(V27&gt;0,INDEX('06-حزيران'!$Q$2:$Q$499,V27),IF($AO$1=1,0,"")))</f>
        <v>0</v>
      </c>
      <c r="AA27" s="39">
        <f t="shared" si="13"/>
        <v>0</v>
      </c>
      <c r="AB27" s="40" t="str">
        <f>IF(OR(L27="",V27=0),"",IF(AND(N(I27)&gt;0,N(INDEX('06-حزيران'!$I$2:$I$499,V27))&gt;0,INDEX('06-حزيران'!$F$2:$F$499,V27)=F27),N(I27)/N(INDEX('06-حزيران'!$I$2:$I$499,V27))-1,""))</f>
        <v/>
      </c>
      <c r="AC27" t="str">
        <f>IF(L27="","",IF(AND($AO$2=1,ISNA(MATCH(L27,'08-آب'!$L$2:$L$501,0))),"محذوف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273</v>
      </c>
      <c r="B28">
        <v>0</v>
      </c>
      <c r="C28">
        <v>0</v>
      </c>
      <c r="D28">
        <v>0</v>
      </c>
      <c r="E28">
        <v>0</v>
      </c>
      <c r="F28" t="s">
        <v>268</v>
      </c>
      <c r="G28" t="s">
        <v>178</v>
      </c>
      <c r="H28" t="s">
        <v>177</v>
      </c>
      <c r="I28">
        <v>215</v>
      </c>
      <c r="K28" t="str">
        <f t="shared" si="0"/>
        <v/>
      </c>
      <c r="L28" t="str">
        <f t="shared" si="1"/>
        <v>معطر ارضيات نسيم المحيط خام</v>
      </c>
      <c r="M28" s="36">
        <f t="shared" si="2"/>
        <v>1</v>
      </c>
      <c r="N28" s="37">
        <f t="shared" si="3"/>
        <v>215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IF(L28="","",IF($AO$1=1,IFERROR(MATCH(L28,'06-حزيران'!$L$2:$L$499,0),0),0))</f>
        <v>6</v>
      </c>
      <c r="W28" t="str">
        <f t="shared" si="11"/>
        <v/>
      </c>
      <c r="X28" s="38">
        <f>IF(L28="","",IF(V28&gt;0,INDEX('06-حزيران'!$P$2:$P$499,V28),IF($AO$1=1,0,"")))</f>
        <v>0</v>
      </c>
      <c r="Y28" s="38">
        <f t="shared" si="12"/>
        <v>0</v>
      </c>
      <c r="Z28" s="39">
        <f>IF(L28="","",IF(V28&gt;0,INDEX('06-حزيران'!$Q$2:$Q$499,V28),IF($AO$1=1,0,"")))</f>
        <v>0</v>
      </c>
      <c r="AA28" s="39">
        <f t="shared" si="13"/>
        <v>0</v>
      </c>
      <c r="AB28" s="40">
        <f>IF(OR(L28="",V28=0),"",IF(AND(N(I28)&gt;0,N(INDEX('06-حزيران'!$I$2:$I$499,V28))&gt;0,INDEX('06-حزيران'!$F$2:$F$499,V28)=F28),N(I28)/N(INDEX('06-حزيران'!$I$2:$I$499,V28))-1,""))</f>
        <v>0</v>
      </c>
      <c r="AC28" t="str">
        <f>IF(L28="","",IF(AND($AO$2=1,ISNA(MATCH(L28,'08-آب'!$L$2:$L$501,0))),"محذوف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274</v>
      </c>
      <c r="B29">
        <v>0</v>
      </c>
      <c r="C29">
        <v>0</v>
      </c>
      <c r="D29">
        <v>0</v>
      </c>
      <c r="E29">
        <v>0</v>
      </c>
      <c r="F29" t="s">
        <v>268</v>
      </c>
      <c r="G29" t="s">
        <v>178</v>
      </c>
      <c r="H29" t="s">
        <v>177</v>
      </c>
      <c r="I29">
        <v>205</v>
      </c>
      <c r="K29" t="str">
        <f t="shared" si="0"/>
        <v/>
      </c>
      <c r="L29" t="str">
        <f t="shared" si="1"/>
        <v>معطر ارضيات ليلك خام</v>
      </c>
      <c r="M29" s="36">
        <f t="shared" si="2"/>
        <v>1</v>
      </c>
      <c r="N29" s="37">
        <f t="shared" si="3"/>
        <v>205</v>
      </c>
      <c r="O29" s="37">
        <f t="shared" si="4"/>
        <v>0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IF(L29="","",IF($AO$1=1,IFERROR(MATCH(L29,'06-حزيران'!$L$2:$L$499,0),0),0))</f>
        <v>7</v>
      </c>
      <c r="W29" t="str">
        <f t="shared" si="11"/>
        <v/>
      </c>
      <c r="X29" s="38">
        <f>IF(L29="","",IF(V29&gt;0,INDEX('06-حزيران'!$P$2:$P$499,V29),IF($AO$1=1,0,"")))</f>
        <v>0</v>
      </c>
      <c r="Y29" s="38">
        <f t="shared" si="12"/>
        <v>0</v>
      </c>
      <c r="Z29" s="39">
        <f>IF(L29="","",IF(V29&gt;0,INDEX('06-حزيران'!$Q$2:$Q$499,V29),IF($AO$1=1,0,"")))</f>
        <v>0</v>
      </c>
      <c r="AA29" s="39">
        <f t="shared" si="13"/>
        <v>0</v>
      </c>
      <c r="AB29" s="40">
        <f>IF(OR(L29="",V29=0),"",IF(AND(N(I29)&gt;0,N(INDEX('06-حزيران'!$I$2:$I$499,V29))&gt;0,INDEX('06-حزيران'!$F$2:$F$499,V29)=F29),N(I29)/N(INDEX('06-حزيران'!$I$2:$I$499,V29))-1,""))</f>
        <v>0</v>
      </c>
      <c r="AC29" t="str">
        <f>IF(L29="","",IF(AND($AO$2=1,ISNA(MATCH(L29,'08-آب'!$L$2:$L$501,0))),"محذوف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275</v>
      </c>
      <c r="B30">
        <v>0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177</v>
      </c>
      <c r="I30">
        <v>205</v>
      </c>
      <c r="K30" t="str">
        <f t="shared" si="0"/>
        <v/>
      </c>
      <c r="L30" t="str">
        <f t="shared" si="1"/>
        <v>معطر ارضيات زهرة التوليب خام</v>
      </c>
      <c r="M30" s="36">
        <f t="shared" si="2"/>
        <v>1</v>
      </c>
      <c r="N30" s="37">
        <f t="shared" si="3"/>
        <v>205</v>
      </c>
      <c r="O30" s="37">
        <f t="shared" si="4"/>
        <v>0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IF(L30="","",IF($AO$1=1,IFERROR(MATCH(L30,'06-حزيران'!$L$2:$L$499,0),0),0))</f>
        <v>8</v>
      </c>
      <c r="W30" t="str">
        <f t="shared" si="11"/>
        <v/>
      </c>
      <c r="X30" s="38">
        <f>IF(L30="","",IF(V30&gt;0,INDEX('06-حزيران'!$P$2:$P$499,V30),IF($AO$1=1,0,"")))</f>
        <v>0</v>
      </c>
      <c r="Y30" s="38">
        <f t="shared" si="12"/>
        <v>0</v>
      </c>
      <c r="Z30" s="39">
        <f>IF(L30="","",IF(V30&gt;0,INDEX('06-حزيران'!$Q$2:$Q$499,V30),IF($AO$1=1,0,"")))</f>
        <v>0</v>
      </c>
      <c r="AA30" s="39">
        <f t="shared" si="13"/>
        <v>0</v>
      </c>
      <c r="AB30" s="40">
        <f>IF(OR(L30="",V30=0),"",IF(AND(N(I30)&gt;0,N(INDEX('06-حزيران'!$I$2:$I$499,V30))&gt;0,INDEX('06-حزيران'!$F$2:$F$499,V30)=F30),N(I30)/N(INDEX('06-حزيران'!$I$2:$I$499,V30))-1,""))</f>
        <v>0</v>
      </c>
      <c r="AC30" t="str">
        <f>IF(L30="","",IF(AND($AO$2=1,ISNA(MATCH(L30,'08-آب'!$L$2:$L$501,0))),"محذوف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276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180</v>
      </c>
      <c r="K31" t="str">
        <f t="shared" si="0"/>
        <v/>
      </c>
      <c r="L31" t="str">
        <f t="shared" si="1"/>
        <v>معطر ارضيات رائحة الورود خام</v>
      </c>
      <c r="M31" s="36">
        <f t="shared" si="2"/>
        <v>1</v>
      </c>
      <c r="N31" s="37">
        <f t="shared" si="3"/>
        <v>180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IF(L31="","",IF($AO$1=1,IFERROR(MATCH(L31,'06-حزيران'!$L$2:$L$499,0),0),0))</f>
        <v>9</v>
      </c>
      <c r="W31" t="str">
        <f t="shared" si="11"/>
        <v/>
      </c>
      <c r="X31" s="38">
        <f>IF(L31="","",IF(V31&gt;0,INDEX('06-حزيران'!$P$2:$P$499,V31),IF($AO$1=1,0,"")))</f>
        <v>0</v>
      </c>
      <c r="Y31" s="38">
        <f t="shared" si="12"/>
        <v>0</v>
      </c>
      <c r="Z31" s="39">
        <f>IF(L31="","",IF(V31&gt;0,INDEX('06-حزيران'!$Q$2:$Q$499,V31),IF($AO$1=1,0,"")))</f>
        <v>0</v>
      </c>
      <c r="AA31" s="39">
        <f t="shared" si="13"/>
        <v>0</v>
      </c>
      <c r="AB31" s="40">
        <f>IF(OR(L31="",V31=0),"",IF(AND(N(I31)&gt;0,N(INDEX('06-حزيران'!$I$2:$I$499,V31))&gt;0,INDEX('06-حزيران'!$F$2:$F$499,V31)=F31),N(I31)/N(INDEX('06-حزيران'!$I$2:$I$499,V31))-1,""))</f>
        <v>0</v>
      </c>
      <c r="AC31" t="str">
        <f>IF(L31="","",IF(AND($AO$2=1,ISNA(MATCH(L31,'08-آب'!$L$2:$L$501,0))),"محذوف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277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150</v>
      </c>
      <c r="K32" t="str">
        <f t="shared" si="0"/>
        <v/>
      </c>
      <c r="L32" t="str">
        <f t="shared" si="1"/>
        <v>معطر ارضيات ببوري خام</v>
      </c>
      <c r="M32" s="36">
        <f t="shared" si="2"/>
        <v>1</v>
      </c>
      <c r="N32" s="37">
        <f t="shared" si="3"/>
        <v>150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IF(L32="","",IF($AO$1=1,IFERROR(MATCH(L32,'06-حزيران'!$L$2:$L$499,0),0),0))</f>
        <v>10</v>
      </c>
      <c r="W32" t="str">
        <f t="shared" si="11"/>
        <v/>
      </c>
      <c r="X32" s="38">
        <f>IF(L32="","",IF(V32&gt;0,INDEX('06-حزيران'!$P$2:$P$499,V32),IF($AO$1=1,0,"")))</f>
        <v>0</v>
      </c>
      <c r="Y32" s="38">
        <f t="shared" si="12"/>
        <v>0</v>
      </c>
      <c r="Z32" s="39">
        <f>IF(L32="","",IF(V32&gt;0,INDEX('06-حزيران'!$Q$2:$Q$499,V32),IF($AO$1=1,0,"")))</f>
        <v>0</v>
      </c>
      <c r="AA32" s="39">
        <f t="shared" si="13"/>
        <v>0</v>
      </c>
      <c r="AB32" s="40">
        <f>IF(OR(L32="",V32=0),"",IF(AND(N(I32)&gt;0,N(INDEX('06-حزيران'!$I$2:$I$499,V32))&gt;0,INDEX('06-حزيران'!$F$2:$F$499,V32)=F32),N(I32)/N(INDEX('06-حزيران'!$I$2:$I$499,V32))-1,""))</f>
        <v>0</v>
      </c>
      <c r="AC32" t="str">
        <f>IF(L32="","",IF(AND($AO$2=1,ISNA(MATCH(L32,'08-آب'!$L$2:$L$501,0))),"محذوف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278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160</v>
      </c>
      <c r="K33" t="str">
        <f t="shared" si="0"/>
        <v/>
      </c>
      <c r="L33" t="str">
        <f t="shared" si="1"/>
        <v>معطر ارضيات الليمون المنعش خام</v>
      </c>
      <c r="M33" s="36">
        <f t="shared" si="2"/>
        <v>1</v>
      </c>
      <c r="N33" s="37">
        <f t="shared" si="3"/>
        <v>160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IF(L33="","",IF($AO$1=1,IFERROR(MATCH(L33,'06-حزيران'!$L$2:$L$499,0),0),0))</f>
        <v>11</v>
      </c>
      <c r="W33" t="str">
        <f t="shared" si="11"/>
        <v/>
      </c>
      <c r="X33" s="38">
        <f>IF(L33="","",IF(V33&gt;0,INDEX('06-حزيران'!$P$2:$P$499,V33),IF($AO$1=1,0,"")))</f>
        <v>0</v>
      </c>
      <c r="Y33" s="38">
        <f t="shared" si="12"/>
        <v>0</v>
      </c>
      <c r="Z33" s="39">
        <f>IF(L33="","",IF(V33&gt;0,INDEX('06-حزيران'!$Q$2:$Q$499,V33),IF($AO$1=1,0,"")))</f>
        <v>0</v>
      </c>
      <c r="AA33" s="39">
        <f t="shared" si="13"/>
        <v>0</v>
      </c>
      <c r="AB33" s="40">
        <f>IF(OR(L33="",V33=0),"",IF(AND(N(I33)&gt;0,N(INDEX('06-حزيران'!$I$2:$I$499,V33))&gt;0,INDEX('06-حزيران'!$F$2:$F$499,V33)=F33),N(I33)/N(INDEX('06-حزيران'!$I$2:$I$499,V33))-1,""))</f>
        <v>0</v>
      </c>
      <c r="AC33" t="str">
        <f>IF(L33="","",IF(AND($AO$2=1,ISNA(MATCH(L33,'08-آب'!$L$2:$L$501,0))),"محذوف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3.2999999999999998E-8</v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279</v>
      </c>
      <c r="B34">
        <v>0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177</v>
      </c>
      <c r="I34">
        <v>215</v>
      </c>
      <c r="K34" t="str">
        <f t="shared" si="0"/>
        <v/>
      </c>
      <c r="L34" t="str">
        <f t="shared" si="1"/>
        <v>معطر ارضيات العود خام</v>
      </c>
      <c r="M34" s="36">
        <f t="shared" si="2"/>
        <v>1</v>
      </c>
      <c r="N34" s="37">
        <f t="shared" si="3"/>
        <v>215</v>
      </c>
      <c r="O34" s="37">
        <f t="shared" si="4"/>
        <v>0</v>
      </c>
      <c r="P34" s="38">
        <f t="shared" si="5"/>
        <v>0</v>
      </c>
      <c r="Q34" s="39">
        <f t="shared" si="6"/>
        <v>0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IF(L34="","",IF($AO$1=1,IFERROR(MATCH(L34,'06-حزيران'!$L$2:$L$499,0),0),0))</f>
        <v>12</v>
      </c>
      <c r="W34" t="str">
        <f t="shared" si="11"/>
        <v/>
      </c>
      <c r="X34" s="38">
        <f>IF(L34="","",IF(V34&gt;0,INDEX('06-حزيران'!$P$2:$P$499,V34),IF($AO$1=1,0,"")))</f>
        <v>0</v>
      </c>
      <c r="Y34" s="38">
        <f t="shared" si="12"/>
        <v>0</v>
      </c>
      <c r="Z34" s="39">
        <f>IF(L34="","",IF(V34&gt;0,INDEX('06-حزيران'!$Q$2:$Q$499,V34),IF($AO$1=1,0,"")))</f>
        <v>0</v>
      </c>
      <c r="AA34" s="39">
        <f t="shared" si="13"/>
        <v>0</v>
      </c>
      <c r="AB34" s="40">
        <f>IF(OR(L34="",V34=0),"",IF(AND(N(I34)&gt;0,N(INDEX('06-حزيران'!$I$2:$I$499,V34))&gt;0,INDEX('06-حزيران'!$F$2:$F$499,V34)=F34),N(I34)/N(INDEX('06-حزيران'!$I$2:$I$499,V34))-1,""))</f>
        <v>0</v>
      </c>
      <c r="AC34" t="str">
        <f>IF(L34="","",IF(AND($AO$2=1,ISNA(MATCH(L34,'08-آب'!$L$2:$L$501,0))),"محذوف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3.4E-8</v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3.4E-8</v>
      </c>
      <c r="AL34">
        <f t="shared" si="19"/>
        <v>3.4E-8</v>
      </c>
    </row>
    <row r="35" spans="1:38" ht="15">
      <c r="A35" t="s">
        <v>280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215</v>
      </c>
      <c r="K35" t="str">
        <f t="shared" si="0"/>
        <v/>
      </c>
      <c r="L35" t="str">
        <f t="shared" si="1"/>
        <v>معطر ارضيات ازهار النرجس خام</v>
      </c>
      <c r="M35" s="36">
        <f t="shared" si="2"/>
        <v>1</v>
      </c>
      <c r="N35" s="37">
        <f t="shared" si="3"/>
        <v>215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IF(L35="","",IF($AO$1=1,IFERROR(MATCH(L35,'06-حزيران'!$L$2:$L$499,0),0),0))</f>
        <v>13</v>
      </c>
      <c r="W35" t="str">
        <f t="shared" si="11"/>
        <v/>
      </c>
      <c r="X35" s="38">
        <f>IF(L35="","",IF(V35&gt;0,INDEX('06-حزيران'!$P$2:$P$499,V35),IF($AO$1=1,0,"")))</f>
        <v>0</v>
      </c>
      <c r="Y35" s="38">
        <f t="shared" si="12"/>
        <v>0</v>
      </c>
      <c r="Z35" s="39">
        <f>IF(L35="","",IF(V35&gt;0,INDEX('06-حزيران'!$Q$2:$Q$499,V35),IF($AO$1=1,0,"")))</f>
        <v>0</v>
      </c>
      <c r="AA35" s="39">
        <f t="shared" si="13"/>
        <v>0</v>
      </c>
      <c r="AB35" s="40">
        <f>IF(OR(L35="",V35=0),"",IF(AND(N(I35)&gt;0,N(INDEX('06-حزيران'!$I$2:$I$499,V35))&gt;0,INDEX('06-حزيران'!$F$2:$F$499,V35)=F35),N(I35)/N(INDEX('06-حزيران'!$I$2:$I$499,V35))-1,""))</f>
        <v>0</v>
      </c>
      <c r="AC35" t="str">
        <f>IF(L35="","",IF(AND($AO$2=1,ISNA(MATCH(L35,'08-آب'!$L$2:$L$501,0))),"محذوف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410</v>
      </c>
      <c r="B36">
        <v>3413</v>
      </c>
      <c r="C36">
        <v>8000</v>
      </c>
      <c r="D36">
        <v>8000</v>
      </c>
      <c r="E36">
        <v>8000</v>
      </c>
      <c r="F36" t="s">
        <v>389</v>
      </c>
      <c r="G36" t="s">
        <v>178</v>
      </c>
      <c r="H36" t="s">
        <v>12</v>
      </c>
      <c r="I36">
        <v>3200</v>
      </c>
      <c r="K36" t="str">
        <f t="shared" si="0"/>
        <v/>
      </c>
      <c r="L36" t="str">
        <f t="shared" si="1"/>
        <v>معطر super / فرط</v>
      </c>
      <c r="M36" s="36">
        <f t="shared" si="2"/>
        <v>7.5187969924812026E-5</v>
      </c>
      <c r="N36" s="37">
        <f t="shared" si="3"/>
        <v>0.24060150375939848</v>
      </c>
      <c r="O36" s="37">
        <f t="shared" si="4"/>
        <v>0.60150375939849621</v>
      </c>
      <c r="P36" s="38">
        <f t="shared" si="5"/>
        <v>3413</v>
      </c>
      <c r="Q36" s="39">
        <f t="shared" si="6"/>
        <v>821.17293233082705</v>
      </c>
      <c r="R36" s="39">
        <f t="shared" si="7"/>
        <v>2052.9323308270677</v>
      </c>
      <c r="S36">
        <f t="shared" si="8"/>
        <v>1</v>
      </c>
      <c r="T36" s="39">
        <f t="shared" si="9"/>
        <v>1231.7593984962407</v>
      </c>
      <c r="U36" t="str">
        <f t="shared" si="10"/>
        <v/>
      </c>
      <c r="V36">
        <f>IF(L36="","",IF($AO$1=1,IFERROR(MATCH(L36,'06-حزيران'!$L$2:$L$499,0),0),0))</f>
        <v>142</v>
      </c>
      <c r="W36" t="str">
        <f t="shared" si="11"/>
        <v/>
      </c>
      <c r="X36" s="38">
        <f>IF(L36="","",IF(V36&gt;0,INDEX('06-حزيران'!$P$2:$P$499,V36),IF($AO$1=1,0,"")))</f>
        <v>4315</v>
      </c>
      <c r="Y36" s="38">
        <f t="shared" si="12"/>
        <v>-902</v>
      </c>
      <c r="Z36" s="39">
        <f>IF(L36="","",IF(V36&gt;0,INDEX('06-حزيران'!$Q$2:$Q$499,V36),IF($AO$1=1,0,"")))</f>
        <v>1046.060606060606</v>
      </c>
      <c r="AA36" s="39">
        <f t="shared" si="13"/>
        <v>-224.88767372977895</v>
      </c>
      <c r="AB36" s="40">
        <f>IF(OR(L36="",V36=0),"",IF(AND(N(I36)&gt;0,N(INDEX('06-حزيران'!$I$2:$I$499,V36))&gt;0,INDEX('06-حزيران'!$F$2:$F$499,V36)=F36),N(I36)/N(INDEX('06-حزيران'!$I$2:$I$499,V36))-1,""))</f>
        <v>0</v>
      </c>
      <c r="AC36" t="str">
        <f>IF(L36="","",IF(AND($AO$2=1,ISNA(MATCH(L36,'08-آب'!$L$2:$L$501,0))),"محذوف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224.88767376577894</v>
      </c>
      <c r="AH36" s="39">
        <f t="shared" si="15"/>
        <v>1231.7593984962405</v>
      </c>
      <c r="AI36" s="39">
        <f t="shared" si="16"/>
        <v>1231.7593984962405</v>
      </c>
      <c r="AJ36" s="39">
        <f t="shared" si="17"/>
        <v>1231.7593984962405</v>
      </c>
      <c r="AK36">
        <f t="shared" si="18"/>
        <v>821.17293236682701</v>
      </c>
      <c r="AL36">
        <f t="shared" si="19"/>
        <v>1231.7593985322408</v>
      </c>
    </row>
    <row r="37" spans="1:38" ht="15">
      <c r="A37" t="s">
        <v>411</v>
      </c>
      <c r="B37">
        <v>267</v>
      </c>
      <c r="C37">
        <v>29000</v>
      </c>
      <c r="D37">
        <v>29000</v>
      </c>
      <c r="E37">
        <v>29000</v>
      </c>
      <c r="F37" t="s">
        <v>389</v>
      </c>
      <c r="G37" t="s">
        <v>178</v>
      </c>
      <c r="H37" t="s">
        <v>12</v>
      </c>
      <c r="I37">
        <v>12700</v>
      </c>
      <c r="K37" t="str">
        <f t="shared" si="0"/>
        <v/>
      </c>
      <c r="L37" t="str">
        <f t="shared" si="1"/>
        <v>معطر super / عبوة 3 لتر</v>
      </c>
      <c r="M37" s="36">
        <f t="shared" si="2"/>
        <v>7.5187969924812026E-5</v>
      </c>
      <c r="N37" s="37">
        <f t="shared" si="3"/>
        <v>0.95488721804511278</v>
      </c>
      <c r="O37" s="37">
        <f t="shared" si="4"/>
        <v>2.1804511278195489</v>
      </c>
      <c r="P37" s="38">
        <f t="shared" si="5"/>
        <v>267</v>
      </c>
      <c r="Q37" s="39">
        <f t="shared" si="6"/>
        <v>254.95488721804512</v>
      </c>
      <c r="R37" s="39">
        <f t="shared" si="7"/>
        <v>582.18045112781954</v>
      </c>
      <c r="S37">
        <f t="shared" si="8"/>
        <v>1</v>
      </c>
      <c r="T37" s="39">
        <f t="shared" si="9"/>
        <v>327.22556390977445</v>
      </c>
      <c r="U37" t="str">
        <f t="shared" si="10"/>
        <v/>
      </c>
      <c r="V37">
        <f>IF(L37="","",IF($AO$1=1,IFERROR(MATCH(L37,'06-حزيران'!$L$2:$L$499,0),0),0))</f>
        <v>143</v>
      </c>
      <c r="W37" t="str">
        <f t="shared" si="11"/>
        <v/>
      </c>
      <c r="X37" s="38">
        <f>IF(L37="","",IF(V37&gt;0,INDEX('06-حزيران'!$P$2:$P$499,V37),IF($AO$1=1,0,"")))</f>
        <v>43</v>
      </c>
      <c r="Y37" s="38">
        <f t="shared" si="12"/>
        <v>224</v>
      </c>
      <c r="Z37" s="39">
        <f>IF(L37="","",IF(V37&gt;0,INDEX('06-حزيران'!$Q$2:$Q$499,V37),IF($AO$1=1,0,"")))</f>
        <v>41.371212121212125</v>
      </c>
      <c r="AA37" s="39">
        <f t="shared" si="13"/>
        <v>213.58367509683299</v>
      </c>
      <c r="AB37" s="40">
        <f>IF(OR(L37="",V37=0),"",IF(AND(N(I37)&gt;0,N(INDEX('06-حزيران'!$I$2:$I$499,V37))&gt;0,INDEX('06-حزيران'!$F$2:$F$499,V37)=F37),N(I37)/N(INDEX('06-حزيران'!$I$2:$I$499,V37))-1,""))</f>
        <v>0</v>
      </c>
      <c r="AC37" t="str">
        <f>IF(L37="","",IF(AND($AO$2=1,ISNA(MATCH(L37,'08-آب'!$L$2:$L$501,0))),"محذوف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213.583675133833</v>
      </c>
      <c r="AH37" s="39">
        <f t="shared" si="15"/>
        <v>327.22556390977439</v>
      </c>
      <c r="AI37" s="39">
        <f t="shared" si="16"/>
        <v>327.22556390977439</v>
      </c>
      <c r="AJ37" s="39">
        <f t="shared" si="17"/>
        <v>327.22556390977439</v>
      </c>
      <c r="AK37">
        <f t="shared" si="18"/>
        <v>254.95488725504512</v>
      </c>
      <c r="AL37">
        <f t="shared" si="19"/>
        <v>327.22556394677446</v>
      </c>
    </row>
    <row r="38" spans="1:38" ht="15">
      <c r="A38" t="s">
        <v>412</v>
      </c>
      <c r="B38">
        <v>0</v>
      </c>
      <c r="C38">
        <v>180000</v>
      </c>
      <c r="D38">
        <v>180000</v>
      </c>
      <c r="E38">
        <v>180000</v>
      </c>
      <c r="F38" t="s">
        <v>389</v>
      </c>
      <c r="G38" t="s">
        <v>178</v>
      </c>
      <c r="H38" t="s">
        <v>12</v>
      </c>
      <c r="I38">
        <v>105000</v>
      </c>
      <c r="K38" t="str">
        <f t="shared" si="0"/>
        <v/>
      </c>
      <c r="L38" t="str">
        <f t="shared" si="1"/>
        <v>مساحات / نشافات</v>
      </c>
      <c r="M38" s="36">
        <f t="shared" si="2"/>
        <v>7.5187969924812026E-5</v>
      </c>
      <c r="N38" s="37">
        <f t="shared" si="3"/>
        <v>7.8947368421052628</v>
      </c>
      <c r="O38" s="37">
        <f t="shared" si="4"/>
        <v>13.533834586466165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IF(L38="","",IF($AO$1=1,IFERROR(MATCH(L38,'06-حزيران'!$L$2:$L$499,0),0),0))</f>
        <v>144</v>
      </c>
      <c r="W38" t="str">
        <f t="shared" si="11"/>
        <v/>
      </c>
      <c r="X38" s="38">
        <f>IF(L38="","",IF(V38&gt;0,INDEX('06-حزيران'!$P$2:$P$499,V38),IF($AO$1=1,0,"")))</f>
        <v>0</v>
      </c>
      <c r="Y38" s="38">
        <f t="shared" si="12"/>
        <v>0</v>
      </c>
      <c r="Z38" s="39">
        <f>IF(L38="","",IF(V38&gt;0,INDEX('06-حزيران'!$Q$2:$Q$499,V38),IF($AO$1=1,0,"")))</f>
        <v>0</v>
      </c>
      <c r="AA38" s="39">
        <f t="shared" si="13"/>
        <v>0</v>
      </c>
      <c r="AB38" s="40">
        <f>IF(OR(L38="",V38=0),"",IF(AND(N(I38)&gt;0,N(INDEX('06-حزيران'!$I$2:$I$499,V38))&gt;0,INDEX('06-حزيران'!$F$2:$F$499,V38)=F38),N(I38)/N(INDEX('06-حزيران'!$I$2:$I$499,V38))-1,""))</f>
        <v>0</v>
      </c>
      <c r="AC38" t="str">
        <f>IF(L38="","",IF(AND($AO$2=1,ISNA(MATCH(L38,'08-آب'!$L$2:$L$501,0))),"محذوف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413</v>
      </c>
      <c r="B39">
        <v>0</v>
      </c>
      <c r="C39">
        <v>0</v>
      </c>
      <c r="D39">
        <v>0</v>
      </c>
      <c r="E39">
        <v>0</v>
      </c>
      <c r="F39" t="s">
        <v>389</v>
      </c>
      <c r="G39" t="s">
        <v>178</v>
      </c>
      <c r="H39" t="s">
        <v>12</v>
      </c>
      <c r="I39">
        <v>0</v>
      </c>
      <c r="K39" t="str">
        <f t="shared" si="0"/>
        <v/>
      </c>
      <c r="L39" t="str">
        <f t="shared" si="1"/>
        <v>محارم مكتب</v>
      </c>
      <c r="M39" s="36">
        <f t="shared" si="2"/>
        <v>7.5187969924812026E-5</v>
      </c>
      <c r="N39" s="37">
        <f t="shared" si="3"/>
        <v>0</v>
      </c>
      <c r="O39" s="37">
        <f t="shared" si="4"/>
        <v>0</v>
      </c>
      <c r="P39" s="38">
        <f t="shared" si="5"/>
        <v>0</v>
      </c>
      <c r="Q39" s="39">
        <f t="shared" si="6"/>
        <v>0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IF(L39="","",IF($AO$1=1,IFERROR(MATCH(L39,'06-حزيران'!$L$2:$L$499,0),0),0))</f>
        <v>145</v>
      </c>
      <c r="W39" t="str">
        <f t="shared" si="11"/>
        <v/>
      </c>
      <c r="X39" s="38">
        <f>IF(L39="","",IF(V39&gt;0,INDEX('06-حزيران'!$P$2:$P$499,V39),IF($AO$1=1,0,"")))</f>
        <v>0</v>
      </c>
      <c r="Y39" s="38">
        <f t="shared" si="12"/>
        <v>0</v>
      </c>
      <c r="Z39" s="39">
        <f>IF(L39="","",IF(V39&gt;0,INDEX('06-حزيران'!$Q$2:$Q$499,V39),IF($AO$1=1,0,"")))</f>
        <v>0</v>
      </c>
      <c r="AA39" s="39">
        <f t="shared" si="13"/>
        <v>0</v>
      </c>
      <c r="AB39" s="40" t="str">
        <f>IF(OR(L39="",V39=0),"",IF(AND(N(I39)&gt;0,N(INDEX('06-حزيران'!$I$2:$I$499,V39))&gt;0,INDEX('06-حزيران'!$F$2:$F$499,V39)=F39),N(I39)/N(INDEX('06-حزيران'!$I$2:$I$499,V39))-1,""))</f>
        <v/>
      </c>
      <c r="AC39" t="str">
        <f>IF(L39="","",IF(AND($AO$2=1,ISNA(MATCH(L39,'08-آب'!$L$2:$L$501,0))),"محذوف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3.8999999999999998E-8</v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3.8999999999999998E-8</v>
      </c>
      <c r="AL39">
        <f t="shared" si="19"/>
        <v>3.8999999999999998E-8</v>
      </c>
    </row>
    <row r="40" spans="1:38" ht="15">
      <c r="A40" t="s">
        <v>414</v>
      </c>
      <c r="B40">
        <v>5</v>
      </c>
      <c r="C40">
        <v>110000</v>
      </c>
      <c r="D40">
        <v>110000</v>
      </c>
      <c r="E40">
        <v>110000</v>
      </c>
      <c r="F40" t="s">
        <v>389</v>
      </c>
      <c r="G40" t="s">
        <v>178</v>
      </c>
      <c r="H40" t="s">
        <v>12</v>
      </c>
      <c r="I40">
        <v>90000</v>
      </c>
      <c r="K40" t="str">
        <f t="shared" si="0"/>
        <v/>
      </c>
      <c r="L40" t="str">
        <f t="shared" si="1"/>
        <v>محارم تواليت</v>
      </c>
      <c r="M40" s="36">
        <f t="shared" si="2"/>
        <v>7.5187969924812026E-5</v>
      </c>
      <c r="N40" s="37">
        <f t="shared" si="3"/>
        <v>6.7669172932330826</v>
      </c>
      <c r="O40" s="37">
        <f t="shared" si="4"/>
        <v>8.2706766917293226</v>
      </c>
      <c r="P40" s="38">
        <f t="shared" si="5"/>
        <v>5</v>
      </c>
      <c r="Q40" s="39">
        <f t="shared" si="6"/>
        <v>33.834586466165412</v>
      </c>
      <c r="R40" s="39">
        <f t="shared" si="7"/>
        <v>41.353383458646611</v>
      </c>
      <c r="S40">
        <f t="shared" si="8"/>
        <v>1</v>
      </c>
      <c r="T40" s="39">
        <f t="shared" si="9"/>
        <v>7.5187969924811995</v>
      </c>
      <c r="U40" t="str">
        <f t="shared" si="10"/>
        <v/>
      </c>
      <c r="V40">
        <f>IF(L40="","",IF($AO$1=1,IFERROR(MATCH(L40,'06-حزيران'!$L$2:$L$499,0),0),0))</f>
        <v>146</v>
      </c>
      <c r="W40" t="str">
        <f t="shared" si="11"/>
        <v/>
      </c>
      <c r="X40" s="38">
        <f>IF(L40="","",IF(V40&gt;0,INDEX('06-حزيران'!$P$2:$P$499,V40),IF($AO$1=1,0,"")))</f>
        <v>5</v>
      </c>
      <c r="Y40" s="38">
        <f t="shared" si="12"/>
        <v>0</v>
      </c>
      <c r="Z40" s="39">
        <f>IF(L40="","",IF(V40&gt;0,INDEX('06-حزيران'!$Q$2:$Q$499,V40),IF($AO$1=1,0,"")))</f>
        <v>34.090909090909093</v>
      </c>
      <c r="AA40" s="39">
        <f t="shared" si="13"/>
        <v>-0.25632262474368162</v>
      </c>
      <c r="AB40" s="40">
        <f>IF(OR(L40="",V40=0),"",IF(AND(N(I40)&gt;0,N(INDEX('06-حزيران'!$I$2:$I$499,V40))&gt;0,INDEX('06-حزيران'!$F$2:$F$499,V40)=F40),N(I40)/N(INDEX('06-حزيران'!$I$2:$I$499,V40))-1,""))</f>
        <v>0</v>
      </c>
      <c r="AC40" t="str">
        <f>IF(L40="","",IF(AND($AO$2=1,ISNA(MATCH(L40,'08-آب'!$L$2:$L$501,0))),"محذوف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0.25632266474368159</v>
      </c>
      <c r="AH40" s="39">
        <f t="shared" si="15"/>
        <v>7.5187969924812004</v>
      </c>
      <c r="AI40" s="39">
        <f t="shared" si="16"/>
        <v>7.5187969924812004</v>
      </c>
      <c r="AJ40" s="39">
        <f t="shared" si="17"/>
        <v>7.5187969924812004</v>
      </c>
      <c r="AK40">
        <f t="shared" si="18"/>
        <v>33.834586506165415</v>
      </c>
      <c r="AL40">
        <f t="shared" si="19"/>
        <v>7.5187970324811992</v>
      </c>
    </row>
    <row r="41" spans="1:38" ht="15">
      <c r="A41" t="s">
        <v>415</v>
      </c>
      <c r="B41">
        <v>0</v>
      </c>
      <c r="C41">
        <v>0</v>
      </c>
      <c r="D41">
        <v>0</v>
      </c>
      <c r="E41">
        <v>0</v>
      </c>
      <c r="F41" t="s">
        <v>389</v>
      </c>
      <c r="G41" t="s">
        <v>178</v>
      </c>
      <c r="H41" t="s">
        <v>12</v>
      </c>
      <c r="I41">
        <v>0</v>
      </c>
      <c r="K41" t="str">
        <f t="shared" si="0"/>
        <v/>
      </c>
      <c r="L41" t="str">
        <f t="shared" si="1"/>
        <v>محارم تنشيف</v>
      </c>
      <c r="M41" s="36">
        <f t="shared" si="2"/>
        <v>7.5187969924812026E-5</v>
      </c>
      <c r="N41" s="37">
        <f t="shared" si="3"/>
        <v>0</v>
      </c>
      <c r="O41" s="37">
        <f t="shared" si="4"/>
        <v>0</v>
      </c>
      <c r="P41" s="38">
        <f t="shared" si="5"/>
        <v>0</v>
      </c>
      <c r="Q41" s="39">
        <f t="shared" si="6"/>
        <v>0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IF(L41="","",IF($AO$1=1,IFERROR(MATCH(L41,'06-حزيران'!$L$2:$L$499,0),0),0))</f>
        <v>147</v>
      </c>
      <c r="W41" t="str">
        <f t="shared" si="11"/>
        <v/>
      </c>
      <c r="X41" s="38">
        <f>IF(L41="","",IF(V41&gt;0,INDEX('06-حزيران'!$P$2:$P$499,V41),IF($AO$1=1,0,"")))</f>
        <v>0</v>
      </c>
      <c r="Y41" s="38">
        <f t="shared" si="12"/>
        <v>0</v>
      </c>
      <c r="Z41" s="39">
        <f>IF(L41="","",IF(V41&gt;0,INDEX('06-حزيران'!$Q$2:$Q$499,V41),IF($AO$1=1,0,"")))</f>
        <v>0</v>
      </c>
      <c r="AA41" s="39">
        <f t="shared" si="13"/>
        <v>0</v>
      </c>
      <c r="AB41" s="40" t="str">
        <f>IF(OR(L41="",V41=0),"",IF(AND(N(I41)&gt;0,N(INDEX('06-حزيران'!$I$2:$I$499,V41))&gt;0,INDEX('06-حزيران'!$F$2:$F$499,V41)=F41),N(I41)/N(INDEX('06-حزيران'!$I$2:$I$499,V41))-1,""))</f>
        <v/>
      </c>
      <c r="AC41" t="str">
        <f>IF(L41="","",IF(AND($AO$2=1,ISNA(MATCH(L41,'08-آب'!$L$2:$L$501,0))),"محذوف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4.1000000000000003E-8</v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4.1000000000000003E-8</v>
      </c>
      <c r="AL41">
        <f t="shared" si="19"/>
        <v>4.1000000000000003E-8</v>
      </c>
    </row>
    <row r="42" spans="1:38" ht="15">
      <c r="A42" t="s">
        <v>416</v>
      </c>
      <c r="B42">
        <v>0</v>
      </c>
      <c r="C42">
        <v>110000</v>
      </c>
      <c r="D42">
        <v>110000</v>
      </c>
      <c r="E42">
        <v>110000</v>
      </c>
      <c r="F42" t="s">
        <v>389</v>
      </c>
      <c r="G42" t="s">
        <v>178</v>
      </c>
      <c r="H42" t="s">
        <v>12</v>
      </c>
      <c r="I42">
        <v>100000</v>
      </c>
      <c r="K42" t="str">
        <f t="shared" si="0"/>
        <v/>
      </c>
      <c r="L42" t="str">
        <f t="shared" si="1"/>
        <v>محارم الكرزة</v>
      </c>
      <c r="M42" s="36">
        <f t="shared" si="2"/>
        <v>7.5187969924812026E-5</v>
      </c>
      <c r="N42" s="37">
        <f t="shared" si="3"/>
        <v>7.518796992481203</v>
      </c>
      <c r="O42" s="37">
        <f t="shared" si="4"/>
        <v>8.2706766917293226</v>
      </c>
      <c r="P42" s="38">
        <f t="shared" si="5"/>
        <v>0</v>
      </c>
      <c r="Q42" s="39">
        <f t="shared" si="6"/>
        <v>0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IF(L42="","",IF($AO$1=1,IFERROR(MATCH(L42,'06-حزيران'!$L$2:$L$499,0),0),0))</f>
        <v>148</v>
      </c>
      <c r="W42" t="str">
        <f t="shared" si="11"/>
        <v/>
      </c>
      <c r="X42" s="38">
        <f>IF(L42="","",IF(V42&gt;0,INDEX('06-حزيران'!$P$2:$P$499,V42),IF($AO$1=1,0,"")))</f>
        <v>0</v>
      </c>
      <c r="Y42" s="38">
        <f t="shared" si="12"/>
        <v>0</v>
      </c>
      <c r="Z42" s="39">
        <f>IF(L42="","",IF(V42&gt;0,INDEX('06-حزيران'!$Q$2:$Q$499,V42),IF($AO$1=1,0,"")))</f>
        <v>0</v>
      </c>
      <c r="AA42" s="39">
        <f t="shared" si="13"/>
        <v>0</v>
      </c>
      <c r="AB42" s="40">
        <f>IF(OR(L42="",V42=0),"",IF(AND(N(I42)&gt;0,N(INDEX('06-حزيران'!$I$2:$I$499,V42))&gt;0,INDEX('06-حزيران'!$F$2:$F$499,V42)=F42),N(I42)/N(INDEX('06-حزيران'!$I$2:$I$499,V42))-1,""))</f>
        <v>0</v>
      </c>
      <c r="AC42" t="str">
        <f>IF(L42="","",IF(AND($AO$2=1,ISNA(MATCH(L42,'08-آب'!$L$2:$L$501,0))),"محذوف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4.1999999999999999E-8</v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4.1999999999999999E-8</v>
      </c>
      <c r="AL42">
        <f t="shared" si="19"/>
        <v>4.1999999999999999E-8</v>
      </c>
    </row>
    <row r="43" spans="1:38" ht="15">
      <c r="A43" t="s">
        <v>281</v>
      </c>
      <c r="B43">
        <v>44.5</v>
      </c>
      <c r="C43">
        <v>0</v>
      </c>
      <c r="D43">
        <v>0</v>
      </c>
      <c r="E43">
        <v>0</v>
      </c>
      <c r="F43" t="s">
        <v>268</v>
      </c>
      <c r="G43" t="s">
        <v>178</v>
      </c>
      <c r="H43" t="s">
        <v>176</v>
      </c>
      <c r="I43">
        <v>4.4000000000000004</v>
      </c>
      <c r="K43" t="str">
        <f t="shared" si="0"/>
        <v/>
      </c>
      <c r="L43" t="str">
        <f t="shared" si="1"/>
        <v>مجمد</v>
      </c>
      <c r="M43" s="36">
        <f t="shared" si="2"/>
        <v>1</v>
      </c>
      <c r="N43" s="37">
        <f t="shared" si="3"/>
        <v>4.4000000000000004</v>
      </c>
      <c r="O43" s="37">
        <f t="shared" si="4"/>
        <v>0</v>
      </c>
      <c r="P43" s="38">
        <f t="shared" si="5"/>
        <v>44.5</v>
      </c>
      <c r="Q43" s="39">
        <f t="shared" si="6"/>
        <v>195.8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IF(L43="","",IF($AO$1=1,IFERROR(MATCH(L43,'06-حزيران'!$L$2:$L$499,0),0),0))</f>
        <v>14</v>
      </c>
      <c r="W43" t="str">
        <f t="shared" si="11"/>
        <v/>
      </c>
      <c r="X43" s="38">
        <f>IF(L43="","",IF(V43&gt;0,INDEX('06-حزيران'!$P$2:$P$499,V43),IF($AO$1=1,0,"")))</f>
        <v>69.5</v>
      </c>
      <c r="Y43" s="38">
        <f t="shared" si="12"/>
        <v>-25</v>
      </c>
      <c r="Z43" s="39">
        <f>IF(L43="","",IF(V43&gt;0,INDEX('06-حزيران'!$Q$2:$Q$499,V43),IF($AO$1=1,0,"")))</f>
        <v>305.8</v>
      </c>
      <c r="AA43" s="39">
        <f t="shared" si="13"/>
        <v>-110</v>
      </c>
      <c r="AB43" s="40">
        <f>IF(OR(L43="",V43=0),"",IF(AND(N(I43)&gt;0,N(INDEX('06-حزيران'!$I$2:$I$499,V43))&gt;0,INDEX('06-حزيران'!$F$2:$F$499,V43)=F43),N(I43)/N(INDEX('06-حزيران'!$I$2:$I$499,V43))-1,""))</f>
        <v>0</v>
      </c>
      <c r="AC43" t="str">
        <f>IF(L43="","",IF(AND($AO$2=1,ISNA(MATCH(L43,'08-آب'!$L$2:$L$501,0))),"محذوف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110.000000043</v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195.80000004300001</v>
      </c>
      <c r="AL43">
        <f t="shared" si="19"/>
        <v>4.3000000000000001E-8</v>
      </c>
    </row>
    <row r="44" spans="1:38" ht="15">
      <c r="A44" t="s">
        <v>417</v>
      </c>
      <c r="B44">
        <v>0</v>
      </c>
      <c r="C44">
        <v>336000</v>
      </c>
      <c r="D44">
        <v>336000</v>
      </c>
      <c r="E44">
        <v>336000</v>
      </c>
      <c r="F44" t="s">
        <v>389</v>
      </c>
      <c r="G44" t="s">
        <v>178</v>
      </c>
      <c r="H44" t="s">
        <v>12</v>
      </c>
      <c r="I44">
        <v>307000</v>
      </c>
      <c r="K44" t="str">
        <f t="shared" si="0"/>
        <v/>
      </c>
      <c r="L44" t="str">
        <f t="shared" si="1"/>
        <v>مبيد حشري بار بار</v>
      </c>
      <c r="M44" s="36">
        <f t="shared" si="2"/>
        <v>7.5187969924812026E-5</v>
      </c>
      <c r="N44" s="37">
        <f t="shared" si="3"/>
        <v>23.082706766917291</v>
      </c>
      <c r="O44" s="37">
        <f t="shared" si="4"/>
        <v>25.263157894736842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IF(L44="","",IF($AO$1=1,IFERROR(MATCH(L44,'06-حزيران'!$L$2:$L$499,0),0),0))</f>
        <v>149</v>
      </c>
      <c r="W44" t="str">
        <f t="shared" si="11"/>
        <v/>
      </c>
      <c r="X44" s="38">
        <f>IF(L44="","",IF(V44&gt;0,INDEX('06-حزيران'!$P$2:$P$499,V44),IF($AO$1=1,0,"")))</f>
        <v>0</v>
      </c>
      <c r="Y44" s="38">
        <f t="shared" si="12"/>
        <v>0</v>
      </c>
      <c r="Z44" s="39">
        <f>IF(L44="","",IF(V44&gt;0,INDEX('06-حزيران'!$Q$2:$Q$499,V44),IF($AO$1=1,0,"")))</f>
        <v>0</v>
      </c>
      <c r="AA44" s="39">
        <f t="shared" si="13"/>
        <v>0</v>
      </c>
      <c r="AB44" s="40">
        <f>IF(OR(L44="",V44=0),"",IF(AND(N(I44)&gt;0,N(INDEX('06-حزيران'!$I$2:$I$499,V44))&gt;0,INDEX('06-حزيران'!$F$2:$F$499,V44)=F44),N(I44)/N(INDEX('06-حزيران'!$I$2:$I$499,V44))-1,""))</f>
        <v>0</v>
      </c>
      <c r="AC44" t="str">
        <f>IF(L44="","",IF(AND($AO$2=1,ISNA(MATCH(L44,'08-آب'!$L$2:$L$501,0))),"محذوف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4.3999999999999997E-8</v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282</v>
      </c>
      <c r="B45">
        <v>0</v>
      </c>
      <c r="C45">
        <v>0</v>
      </c>
      <c r="D45">
        <v>0</v>
      </c>
      <c r="E45">
        <v>0</v>
      </c>
      <c r="F45" t="s">
        <v>268</v>
      </c>
      <c r="G45" t="s">
        <v>178</v>
      </c>
      <c r="H45" t="s">
        <v>176</v>
      </c>
      <c r="I45">
        <v>7</v>
      </c>
      <c r="K45" t="str">
        <f t="shared" si="0"/>
        <v/>
      </c>
      <c r="L45" t="str">
        <f t="shared" si="1"/>
        <v>مانع رغوة مائي</v>
      </c>
      <c r="M45" s="36">
        <f t="shared" si="2"/>
        <v>1</v>
      </c>
      <c r="N45" s="37">
        <f t="shared" si="3"/>
        <v>7</v>
      </c>
      <c r="O45" s="37">
        <f t="shared" si="4"/>
        <v>0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IF(L45="","",IF($AO$1=1,IFERROR(MATCH(L45,'06-حزيران'!$L$2:$L$499,0),0),0))</f>
        <v>15</v>
      </c>
      <c r="W45" t="str">
        <f t="shared" si="11"/>
        <v/>
      </c>
      <c r="X45" s="38">
        <f>IF(L45="","",IF(V45&gt;0,INDEX('06-حزيران'!$P$2:$P$499,V45),IF($AO$1=1,0,"")))</f>
        <v>0</v>
      </c>
      <c r="Y45" s="38">
        <f t="shared" si="12"/>
        <v>0</v>
      </c>
      <c r="Z45" s="39">
        <f>IF(L45="","",IF(V45&gt;0,INDEX('06-حزيران'!$Q$2:$Q$499,V45),IF($AO$1=1,0,"")))</f>
        <v>0</v>
      </c>
      <c r="AA45" s="39">
        <f t="shared" si="13"/>
        <v>0</v>
      </c>
      <c r="AB45" s="40">
        <f>IF(OR(L45="",V45=0),"",IF(AND(N(I45)&gt;0,N(INDEX('06-حزيران'!$I$2:$I$499,V45))&gt;0,INDEX('06-حزيران'!$F$2:$F$499,V45)=F45),N(I45)/N(INDEX('06-حزيران'!$I$2:$I$499,V45))-1,""))</f>
        <v>0</v>
      </c>
      <c r="AC45" t="str">
        <f>IF(L45="","",IF(AND($AO$2=1,ISNA(MATCH(L45,'08-آب'!$L$2:$L$501,0))),"محذوف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283</v>
      </c>
      <c r="B46">
        <v>0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6</v>
      </c>
      <c r="K46" t="str">
        <f t="shared" si="0"/>
        <v/>
      </c>
      <c r="L46" t="str">
        <f t="shared" si="1"/>
        <v>مانع رغوة سيليكون</v>
      </c>
      <c r="M46" s="36">
        <f t="shared" si="2"/>
        <v>1</v>
      </c>
      <c r="N46" s="37">
        <f t="shared" si="3"/>
        <v>6</v>
      </c>
      <c r="O46" s="37">
        <f t="shared" si="4"/>
        <v>0</v>
      </c>
      <c r="P46" s="38">
        <f t="shared" si="5"/>
        <v>0</v>
      </c>
      <c r="Q46" s="39">
        <f t="shared" si="6"/>
        <v>0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IF(L46="","",IF($AO$1=1,IFERROR(MATCH(L46,'06-حزيران'!$L$2:$L$499,0),0),0))</f>
        <v>16</v>
      </c>
      <c r="W46" t="str">
        <f t="shared" si="11"/>
        <v/>
      </c>
      <c r="X46" s="38">
        <f>IF(L46="","",IF(V46&gt;0,INDEX('06-حزيران'!$P$2:$P$499,V46),IF($AO$1=1,0,"")))</f>
        <v>0</v>
      </c>
      <c r="Y46" s="38">
        <f t="shared" si="12"/>
        <v>0</v>
      </c>
      <c r="Z46" s="39">
        <f>IF(L46="","",IF(V46&gt;0,INDEX('06-حزيران'!$Q$2:$Q$499,V46),IF($AO$1=1,0,"")))</f>
        <v>0</v>
      </c>
      <c r="AA46" s="39">
        <f t="shared" si="13"/>
        <v>0</v>
      </c>
      <c r="AB46" s="40">
        <f>IF(OR(L46="",V46=0),"",IF(AND(N(I46)&gt;0,N(INDEX('06-حزيران'!$I$2:$I$499,V46))&gt;0,INDEX('06-حزيران'!$F$2:$F$499,V46)=F46),N(I46)/N(INDEX('06-حزيران'!$I$2:$I$499,V46))-1,""))</f>
        <v>0</v>
      </c>
      <c r="AC46" t="str">
        <f>IF(L46="","",IF(AND($AO$2=1,ISNA(MATCH(L46,'08-آب'!$L$2:$L$501,0))),"محذوف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4.6000000000000002E-8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4.6000000000000002E-8</v>
      </c>
      <c r="AL46">
        <f t="shared" si="19"/>
        <v>4.6000000000000002E-8</v>
      </c>
    </row>
    <row r="47" spans="1:38" ht="15">
      <c r="A47" t="s">
        <v>284</v>
      </c>
      <c r="B47">
        <v>36592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4.0000000000000001E-3</v>
      </c>
      <c r="K47" t="str">
        <f t="shared" si="0"/>
        <v/>
      </c>
      <c r="L47" t="str">
        <f t="shared" si="1"/>
        <v>ماء مقطرة</v>
      </c>
      <c r="M47" s="36">
        <f t="shared" si="2"/>
        <v>1</v>
      </c>
      <c r="N47" s="37">
        <f t="shared" si="3"/>
        <v>4.0000000000000001E-3</v>
      </c>
      <c r="O47" s="37">
        <f t="shared" si="4"/>
        <v>0</v>
      </c>
      <c r="P47" s="38">
        <f t="shared" si="5"/>
        <v>36592</v>
      </c>
      <c r="Q47" s="39">
        <f t="shared" si="6"/>
        <v>146.36799999999999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IF(L47="","",IF($AO$1=1,IFERROR(MATCH(L47,'06-حزيران'!$L$2:$L$499,0),0),0))</f>
        <v>17</v>
      </c>
      <c r="W47" t="str">
        <f t="shared" si="11"/>
        <v/>
      </c>
      <c r="X47" s="38">
        <f>IF(L47="","",IF(V47&gt;0,INDEX('06-حزيران'!$P$2:$P$499,V47),IF($AO$1=1,0,"")))</f>
        <v>30402</v>
      </c>
      <c r="Y47" s="38">
        <f t="shared" si="12"/>
        <v>6190</v>
      </c>
      <c r="Z47" s="39">
        <f>IF(L47="","",IF(V47&gt;0,INDEX('06-حزيران'!$Q$2:$Q$499,V47),IF($AO$1=1,0,"")))</f>
        <v>121.608</v>
      </c>
      <c r="AA47" s="39">
        <f t="shared" si="13"/>
        <v>24.759999999999991</v>
      </c>
      <c r="AB47" s="40">
        <f>IF(OR(L47="",V47=0),"",IF(AND(N(I47)&gt;0,N(INDEX('06-حزيران'!$I$2:$I$499,V47))&gt;0,INDEX('06-حزيران'!$F$2:$F$499,V47)=F47),N(I47)/N(INDEX('06-حزيران'!$I$2:$I$499,V47))-1,""))</f>
        <v>0</v>
      </c>
      <c r="AC47" t="str">
        <f>IF(L47="","",IF(AND($AO$2=1,ISNA(MATCH(L47,'08-آب'!$L$2:$L$501,0))),"محذوف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24.760000046999991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146.36800004699998</v>
      </c>
      <c r="AL47">
        <f t="shared" si="19"/>
        <v>4.6999999999999997E-8</v>
      </c>
    </row>
    <row r="48" spans="1:38" ht="15">
      <c r="A48" t="s">
        <v>285</v>
      </c>
      <c r="B48">
        <v>975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177</v>
      </c>
      <c r="I48">
        <v>2.4E-2</v>
      </c>
      <c r="K48" t="str">
        <f t="shared" si="0"/>
        <v/>
      </c>
      <c r="L48" t="str">
        <f t="shared" si="1"/>
        <v>ماء مالح خام</v>
      </c>
      <c r="M48" s="36">
        <f t="shared" si="2"/>
        <v>1</v>
      </c>
      <c r="N48" s="37">
        <f t="shared" si="3"/>
        <v>2.4E-2</v>
      </c>
      <c r="O48" s="37">
        <f t="shared" si="4"/>
        <v>0</v>
      </c>
      <c r="P48" s="38">
        <f t="shared" si="5"/>
        <v>975</v>
      </c>
      <c r="Q48" s="39">
        <f t="shared" si="6"/>
        <v>23.400000000000002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IF(L48="","",IF($AO$1=1,IFERROR(MATCH(L48,'06-حزيران'!$L$2:$L$499,0),0),0))</f>
        <v>18</v>
      </c>
      <c r="W48" t="str">
        <f t="shared" si="11"/>
        <v/>
      </c>
      <c r="X48" s="38">
        <f>IF(L48="","",IF(V48&gt;0,INDEX('06-حزيران'!$P$2:$P$499,V48),IF($AO$1=1,0,"")))</f>
        <v>625</v>
      </c>
      <c r="Y48" s="38">
        <f t="shared" si="12"/>
        <v>350</v>
      </c>
      <c r="Z48" s="39">
        <f>IF(L48="","",IF(V48&gt;0,INDEX('06-حزيران'!$Q$2:$Q$499,V48),IF($AO$1=1,0,"")))</f>
        <v>15</v>
      </c>
      <c r="AA48" s="39">
        <f t="shared" si="13"/>
        <v>8.4000000000000021</v>
      </c>
      <c r="AB48" s="40">
        <f>IF(OR(L48="",V48=0),"",IF(AND(N(I48)&gt;0,N(INDEX('06-حزيران'!$I$2:$I$499,V48))&gt;0,INDEX('06-حزيران'!$F$2:$F$499,V48)=F48),N(I48)/N(INDEX('06-حزيران'!$I$2:$I$499,V48))-1,""))</f>
        <v>0</v>
      </c>
      <c r="AC48" t="str">
        <f>IF(L48="","",IF(AND($AO$2=1,ISNA(MATCH(L48,'08-آب'!$L$2:$L$501,0))),"محذوف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8.4000000480000026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23.400000048000003</v>
      </c>
      <c r="AL48">
        <f t="shared" si="19"/>
        <v>4.8E-8</v>
      </c>
    </row>
    <row r="49" spans="1:38" ht="15">
      <c r="A49" t="s">
        <v>286</v>
      </c>
      <c r="B49">
        <v>3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3</v>
      </c>
      <c r="K49" t="str">
        <f t="shared" si="0"/>
        <v/>
      </c>
      <c r="L49" t="str">
        <f t="shared" si="1"/>
        <v>ماء بلسم</v>
      </c>
      <c r="M49" s="36">
        <f t="shared" si="2"/>
        <v>1</v>
      </c>
      <c r="N49" s="37">
        <f t="shared" si="3"/>
        <v>3</v>
      </c>
      <c r="O49" s="37">
        <f t="shared" si="4"/>
        <v>0</v>
      </c>
      <c r="P49" s="38">
        <f t="shared" si="5"/>
        <v>3</v>
      </c>
      <c r="Q49" s="39">
        <f t="shared" si="6"/>
        <v>9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IF(L49="","",IF($AO$1=1,IFERROR(MATCH(L49,'06-حزيران'!$L$2:$L$499,0),0),0))</f>
        <v>19</v>
      </c>
      <c r="W49" t="str">
        <f t="shared" si="11"/>
        <v/>
      </c>
      <c r="X49" s="38">
        <f>IF(L49="","",IF(V49&gt;0,INDEX('06-حزيران'!$P$2:$P$499,V49),IF($AO$1=1,0,"")))</f>
        <v>3</v>
      </c>
      <c r="Y49" s="38">
        <f t="shared" si="12"/>
        <v>0</v>
      </c>
      <c r="Z49" s="39">
        <f>IF(L49="","",IF(V49&gt;0,INDEX('06-حزيران'!$Q$2:$Q$499,V49),IF($AO$1=1,0,"")))</f>
        <v>9</v>
      </c>
      <c r="AA49" s="39">
        <f t="shared" si="13"/>
        <v>0</v>
      </c>
      <c r="AB49" s="40">
        <f>IF(OR(L49="",V49=0),"",IF(AND(N(I49)&gt;0,N(INDEX('06-حزيران'!$I$2:$I$499,V49))&gt;0,INDEX('06-حزيران'!$F$2:$F$499,V49)=F49),N(I49)/N(INDEX('06-حزيران'!$I$2:$I$499,V49))-1,""))</f>
        <v>0</v>
      </c>
      <c r="AC49" t="str">
        <f>IF(L49="","",IF(AND($AO$2=1,ISNA(MATCH(L49,'08-آب'!$L$2:$L$501,0))),"محذوف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4.9000000000000002E-8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9.0000000490000005</v>
      </c>
      <c r="AL49">
        <f t="shared" si="19"/>
        <v>4.9000000000000002E-8</v>
      </c>
    </row>
    <row r="50" spans="1:38" ht="15">
      <c r="A50" t="s">
        <v>418</v>
      </c>
      <c r="B50">
        <v>0.67</v>
      </c>
      <c r="C50">
        <v>216000</v>
      </c>
      <c r="D50">
        <v>216000</v>
      </c>
      <c r="E50">
        <v>216000</v>
      </c>
      <c r="F50" t="s">
        <v>389</v>
      </c>
      <c r="G50" t="s">
        <v>178</v>
      </c>
      <c r="H50" t="s">
        <v>12</v>
      </c>
      <c r="I50">
        <v>156000</v>
      </c>
      <c r="K50" t="str">
        <f t="shared" si="0"/>
        <v/>
      </c>
      <c r="L50" t="str">
        <f t="shared" si="1"/>
        <v>ليف جلي ثلاثية</v>
      </c>
      <c r="M50" s="36">
        <f t="shared" si="2"/>
        <v>7.5187969924812026E-5</v>
      </c>
      <c r="N50" s="37">
        <f t="shared" si="3"/>
        <v>11.729323308270676</v>
      </c>
      <c r="O50" s="37">
        <f t="shared" si="4"/>
        <v>16.240601503759397</v>
      </c>
      <c r="P50" s="38">
        <f t="shared" si="5"/>
        <v>0.67</v>
      </c>
      <c r="Q50" s="39">
        <f t="shared" si="6"/>
        <v>7.8586466165413533</v>
      </c>
      <c r="R50" s="39">
        <f t="shared" si="7"/>
        <v>10.881203007518797</v>
      </c>
      <c r="S50">
        <f t="shared" si="8"/>
        <v>1</v>
      </c>
      <c r="T50" s="39">
        <f t="shared" si="9"/>
        <v>3.022556390977444</v>
      </c>
      <c r="U50" t="str">
        <f t="shared" si="10"/>
        <v/>
      </c>
      <c r="V50">
        <f>IF(L50="","",IF($AO$1=1,IFERROR(MATCH(L50,'06-حزيران'!$L$2:$L$499,0),0),0))</f>
        <v>150</v>
      </c>
      <c r="W50" t="str">
        <f t="shared" si="11"/>
        <v/>
      </c>
      <c r="X50" s="38">
        <f>IF(L50="","",IF(V50&gt;0,INDEX('06-حزيران'!$P$2:$P$499,V50),IF($AO$1=1,0,"")))</f>
        <v>0.5</v>
      </c>
      <c r="Y50" s="38">
        <f t="shared" si="12"/>
        <v>0.17000000000000004</v>
      </c>
      <c r="Z50" s="39">
        <f>IF(L50="","",IF(V50&gt;0,INDEX('06-حزيران'!$Q$2:$Q$499,V50),IF($AO$1=1,0,"")))</f>
        <v>5.9090909090909092</v>
      </c>
      <c r="AA50" s="39">
        <f t="shared" si="13"/>
        <v>1.9495557074504442</v>
      </c>
      <c r="AB50" s="40">
        <f>IF(OR(L50="",V50=0),"",IF(AND(N(I50)&gt;0,N(INDEX('06-حزيران'!$I$2:$I$499,V50))&gt;0,INDEX('06-حزيران'!$F$2:$F$499,V50)=F50),N(I50)/N(INDEX('06-حزيران'!$I$2:$I$499,V50))-1,""))</f>
        <v>0</v>
      </c>
      <c r="AC50" t="str">
        <f>IF(L50="","",IF(AND($AO$2=1,ISNA(MATCH(L50,'08-آب'!$L$2:$L$501,0))),"محذوف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1.9495557574504441</v>
      </c>
      <c r="AH50" s="39">
        <f t="shared" si="15"/>
        <v>3.0225563909774431</v>
      </c>
      <c r="AI50" s="39">
        <f t="shared" si="16"/>
        <v>3.0225563909774431</v>
      </c>
      <c r="AJ50" s="39">
        <f t="shared" si="17"/>
        <v>3.0225563909774431</v>
      </c>
      <c r="AK50">
        <f t="shared" si="18"/>
        <v>7.858646666541353</v>
      </c>
      <c r="AL50">
        <f t="shared" si="19"/>
        <v>3.0225564409774441</v>
      </c>
    </row>
    <row r="51" spans="1:38" ht="15">
      <c r="A51" t="s">
        <v>419</v>
      </c>
      <c r="B51">
        <v>6</v>
      </c>
      <c r="C51">
        <v>100000</v>
      </c>
      <c r="D51">
        <v>100000</v>
      </c>
      <c r="E51">
        <v>100000</v>
      </c>
      <c r="F51" t="s">
        <v>389</v>
      </c>
      <c r="G51" t="s">
        <v>178</v>
      </c>
      <c r="H51" t="s">
        <v>12</v>
      </c>
      <c r="I51">
        <v>90000</v>
      </c>
      <c r="K51" t="str">
        <f t="shared" si="0"/>
        <v/>
      </c>
      <c r="L51" t="str">
        <f t="shared" si="1"/>
        <v>ليف اسفنج</v>
      </c>
      <c r="M51" s="36">
        <f t="shared" si="2"/>
        <v>7.5187969924812026E-5</v>
      </c>
      <c r="N51" s="37">
        <f t="shared" si="3"/>
        <v>6.7669172932330826</v>
      </c>
      <c r="O51" s="37">
        <f t="shared" si="4"/>
        <v>7.518796992481203</v>
      </c>
      <c r="P51" s="38">
        <f t="shared" si="5"/>
        <v>6</v>
      </c>
      <c r="Q51" s="39">
        <f t="shared" si="6"/>
        <v>40.601503759398497</v>
      </c>
      <c r="R51" s="39">
        <f t="shared" si="7"/>
        <v>45.112781954887218</v>
      </c>
      <c r="S51">
        <f t="shared" si="8"/>
        <v>1</v>
      </c>
      <c r="T51" s="39">
        <f t="shared" si="9"/>
        <v>4.5112781954887211</v>
      </c>
      <c r="U51" t="str">
        <f t="shared" si="10"/>
        <v/>
      </c>
      <c r="V51">
        <f>IF(L51="","",IF($AO$1=1,IFERROR(MATCH(L51,'06-حزيران'!$L$2:$L$499,0),0),0))</f>
        <v>151</v>
      </c>
      <c r="W51" t="str">
        <f t="shared" si="11"/>
        <v/>
      </c>
      <c r="X51" s="38">
        <f>IF(L51="","",IF(V51&gt;0,INDEX('06-حزيران'!$P$2:$P$499,V51),IF($AO$1=1,0,"")))</f>
        <v>2</v>
      </c>
      <c r="Y51" s="38">
        <f t="shared" si="12"/>
        <v>4</v>
      </c>
      <c r="Z51" s="39">
        <f>IF(L51="","",IF(V51&gt;0,INDEX('06-حزيران'!$Q$2:$Q$499,V51),IF($AO$1=1,0,"")))</f>
        <v>13.636363636363637</v>
      </c>
      <c r="AA51" s="39">
        <f t="shared" si="13"/>
        <v>26.96514012303486</v>
      </c>
      <c r="AB51" s="40">
        <f>IF(OR(L51="",V51=0),"",IF(AND(N(I51)&gt;0,N(INDEX('06-حزيران'!$I$2:$I$499,V51))&gt;0,INDEX('06-حزيران'!$F$2:$F$499,V51)=F51),N(I51)/N(INDEX('06-حزيران'!$I$2:$I$499,V51))-1,""))</f>
        <v>0</v>
      </c>
      <c r="AC51" t="str">
        <f>IF(L51="","",IF(AND($AO$2=1,ISNA(MATCH(L51,'08-آب'!$L$2:$L$501,0))),"محذوف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26.965140174034861</v>
      </c>
      <c r="AH51" s="39">
        <f t="shared" si="15"/>
        <v>4.5112781954887229</v>
      </c>
      <c r="AI51" s="39">
        <f t="shared" si="16"/>
        <v>4.5112781954887229</v>
      </c>
      <c r="AJ51" s="39">
        <f t="shared" si="17"/>
        <v>4.5112781954887229</v>
      </c>
      <c r="AK51">
        <f t="shared" si="18"/>
        <v>40.601503810398498</v>
      </c>
      <c r="AL51">
        <f t="shared" si="19"/>
        <v>4.5112782464887209</v>
      </c>
    </row>
    <row r="52" spans="1:38" ht="15">
      <c r="A52" t="s">
        <v>420</v>
      </c>
      <c r="B52">
        <v>0</v>
      </c>
      <c r="C52">
        <v>170000</v>
      </c>
      <c r="D52">
        <v>170000</v>
      </c>
      <c r="E52">
        <v>170000</v>
      </c>
      <c r="F52" t="s">
        <v>389</v>
      </c>
      <c r="G52" t="s">
        <v>178</v>
      </c>
      <c r="H52" t="s">
        <v>12</v>
      </c>
      <c r="I52">
        <v>82000</v>
      </c>
      <c r="K52" t="str">
        <f t="shared" si="0"/>
        <v/>
      </c>
      <c r="L52" t="str">
        <f t="shared" si="1"/>
        <v>لوح صابون مسك</v>
      </c>
      <c r="M52" s="36">
        <f t="shared" si="2"/>
        <v>7.5187969924812026E-5</v>
      </c>
      <c r="N52" s="37">
        <f t="shared" si="3"/>
        <v>6.1654135338345863</v>
      </c>
      <c r="O52" s="37">
        <f t="shared" si="4"/>
        <v>12.781954887218044</v>
      </c>
      <c r="P52" s="38">
        <f t="shared" si="5"/>
        <v>0</v>
      </c>
      <c r="Q52" s="39">
        <f t="shared" si="6"/>
        <v>0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IF(L52="","",IF($AO$1=1,IFERROR(MATCH(L52,'06-حزيران'!$L$2:$L$499,0),0),0))</f>
        <v>152</v>
      </c>
      <c r="W52" t="str">
        <f t="shared" si="11"/>
        <v/>
      </c>
      <c r="X52" s="38">
        <f>IF(L52="","",IF(V52&gt;0,INDEX('06-حزيران'!$P$2:$P$499,V52),IF($AO$1=1,0,"")))</f>
        <v>0</v>
      </c>
      <c r="Y52" s="38">
        <f t="shared" si="12"/>
        <v>0</v>
      </c>
      <c r="Z52" s="39">
        <f>IF(L52="","",IF(V52&gt;0,INDEX('06-حزيران'!$Q$2:$Q$499,V52),IF($AO$1=1,0,"")))</f>
        <v>0</v>
      </c>
      <c r="AA52" s="39">
        <f t="shared" si="13"/>
        <v>0</v>
      </c>
      <c r="AB52" s="40">
        <f>IF(OR(L52="",V52=0),"",IF(AND(N(I52)&gt;0,N(INDEX('06-حزيران'!$I$2:$I$499,V52))&gt;0,INDEX('06-حزيران'!$F$2:$F$499,V52)=F52),N(I52)/N(INDEX('06-حزيران'!$I$2:$I$499,V52))-1,""))</f>
        <v>0</v>
      </c>
      <c r="AC52" t="str">
        <f>IF(L52="","",IF(AND($AO$2=1,ISNA(MATCH(L52,'08-آب'!$L$2:$L$501,0))),"محذوف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5.2000000000000002E-8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5.2000000000000002E-8</v>
      </c>
      <c r="AL52">
        <f t="shared" si="19"/>
        <v>5.2000000000000002E-8</v>
      </c>
    </row>
    <row r="53" spans="1:38" ht="15">
      <c r="A53" t="s">
        <v>421</v>
      </c>
      <c r="B53">
        <v>0</v>
      </c>
      <c r="C53">
        <v>0</v>
      </c>
      <c r="D53">
        <v>0</v>
      </c>
      <c r="E53">
        <v>0</v>
      </c>
      <c r="F53" t="s">
        <v>389</v>
      </c>
      <c r="G53" t="s">
        <v>178</v>
      </c>
      <c r="H53" t="s">
        <v>176</v>
      </c>
      <c r="I53">
        <v>275</v>
      </c>
      <c r="K53" t="str">
        <f t="shared" si="0"/>
        <v/>
      </c>
      <c r="L53" t="str">
        <f t="shared" si="1"/>
        <v>لصاقة طابعة</v>
      </c>
      <c r="M53" s="36">
        <f t="shared" si="2"/>
        <v>7.5187969924812026E-5</v>
      </c>
      <c r="N53" s="37">
        <f t="shared" si="3"/>
        <v>2.0676691729323307E-2</v>
      </c>
      <c r="O53" s="37">
        <f t="shared" si="4"/>
        <v>0</v>
      </c>
      <c r="P53" s="38">
        <f t="shared" si="5"/>
        <v>0</v>
      </c>
      <c r="Q53" s="39">
        <f t="shared" si="6"/>
        <v>0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IF(L53="","",IF($AO$1=1,IFERROR(MATCH(L53,'06-حزيران'!$L$2:$L$499,0),0),0))</f>
        <v>153</v>
      </c>
      <c r="W53" t="str">
        <f t="shared" si="11"/>
        <v/>
      </c>
      <c r="X53" s="38">
        <f>IF(L53="","",IF(V53&gt;0,INDEX('06-حزيران'!$P$2:$P$499,V53),IF($AO$1=1,0,"")))</f>
        <v>0</v>
      </c>
      <c r="Y53" s="38">
        <f t="shared" si="12"/>
        <v>0</v>
      </c>
      <c r="Z53" s="39">
        <f>IF(L53="","",IF(V53&gt;0,INDEX('06-حزيران'!$Q$2:$Q$499,V53),IF($AO$1=1,0,"")))</f>
        <v>0</v>
      </c>
      <c r="AA53" s="39">
        <f t="shared" si="13"/>
        <v>0</v>
      </c>
      <c r="AB53" s="40">
        <f>IF(OR(L53="",V53=0),"",IF(AND(N(I53)&gt;0,N(INDEX('06-حزيران'!$I$2:$I$499,V53))&gt;0,INDEX('06-حزيران'!$F$2:$F$499,V53)=F53),N(I53)/N(INDEX('06-حزيران'!$I$2:$I$499,V53))-1,""))</f>
        <v>0</v>
      </c>
      <c r="AC53" t="str">
        <f>IF(L53="","",IF(AND($AO$2=1,ISNA(MATCH(L53,'08-آب'!$L$2:$L$501,0))),"محذوف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5.2999999999999998E-8</v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5.2999999999999998E-8</v>
      </c>
      <c r="AL53">
        <f t="shared" si="19"/>
        <v>5.2999999999999998E-8</v>
      </c>
    </row>
    <row r="54" spans="1:38" ht="15">
      <c r="A54" t="s">
        <v>287</v>
      </c>
      <c r="B54">
        <v>0</v>
      </c>
      <c r="C54">
        <v>0</v>
      </c>
      <c r="D54">
        <v>0</v>
      </c>
      <c r="E54">
        <v>0</v>
      </c>
      <c r="F54" t="s">
        <v>268</v>
      </c>
      <c r="G54" t="s">
        <v>178</v>
      </c>
      <c r="H54" t="s">
        <v>176</v>
      </c>
      <c r="I54">
        <v>3.5</v>
      </c>
      <c r="K54" t="str">
        <f t="shared" si="0"/>
        <v/>
      </c>
      <c r="L54" t="str">
        <f t="shared" si="1"/>
        <v>لانيت 16 ماليزي</v>
      </c>
      <c r="M54" s="36">
        <f t="shared" si="2"/>
        <v>1</v>
      </c>
      <c r="N54" s="37">
        <f t="shared" si="3"/>
        <v>3.5</v>
      </c>
      <c r="O54" s="37">
        <f t="shared" si="4"/>
        <v>0</v>
      </c>
      <c r="P54" s="38">
        <f t="shared" si="5"/>
        <v>0</v>
      </c>
      <c r="Q54" s="39">
        <f t="shared" si="6"/>
        <v>0</v>
      </c>
      <c r="R54" s="39">
        <f t="shared" si="7"/>
        <v>0</v>
      </c>
      <c r="S54">
        <f t="shared" si="8"/>
        <v>0</v>
      </c>
      <c r="T54" s="39">
        <f t="shared" si="9"/>
        <v>0</v>
      </c>
      <c r="U54" t="str">
        <f t="shared" si="10"/>
        <v/>
      </c>
      <c r="V54">
        <f>IF(L54="","",IF($AO$1=1,IFERROR(MATCH(L54,'06-حزيران'!$L$2:$L$499,0),0),0))</f>
        <v>20</v>
      </c>
      <c r="W54" t="str">
        <f t="shared" si="11"/>
        <v/>
      </c>
      <c r="X54" s="38">
        <f>IF(L54="","",IF(V54&gt;0,INDEX('06-حزيران'!$P$2:$P$499,V54),IF($AO$1=1,0,"")))</f>
        <v>0</v>
      </c>
      <c r="Y54" s="38">
        <f t="shared" si="12"/>
        <v>0</v>
      </c>
      <c r="Z54" s="39">
        <f>IF(L54="","",IF(V54&gt;0,INDEX('06-حزيران'!$Q$2:$Q$499,V54),IF($AO$1=1,0,"")))</f>
        <v>0</v>
      </c>
      <c r="AA54" s="39">
        <f t="shared" si="13"/>
        <v>0</v>
      </c>
      <c r="AB54" s="40">
        <f>IF(OR(L54="",V54=0),"",IF(AND(N(I54)&gt;0,N(INDEX('06-حزيران'!$I$2:$I$499,V54))&gt;0,INDEX('06-حزيران'!$F$2:$F$499,V54)=F54),N(I54)/N(INDEX('06-حزيران'!$I$2:$I$499,V54))-1,""))</f>
        <v>0</v>
      </c>
      <c r="AC54" t="str">
        <f>IF(L54="","",IF(AND($AO$2=1,ISNA(MATCH(L54,'08-آب'!$L$2:$L$501,0))),"محذوف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5.4E-8</v>
      </c>
      <c r="AH54" s="39">
        <f t="shared" si="15"/>
        <v>0</v>
      </c>
      <c r="AI54" s="39">
        <f t="shared" si="16"/>
        <v>0</v>
      </c>
      <c r="AJ54" s="39">
        <f t="shared" si="17"/>
        <v>0</v>
      </c>
      <c r="AK54">
        <f t="shared" si="18"/>
        <v>5.4E-8</v>
      </c>
      <c r="AL54">
        <f t="shared" si="19"/>
        <v>5.4E-8</v>
      </c>
    </row>
    <row r="55" spans="1:38" ht="15">
      <c r="A55" t="s">
        <v>422</v>
      </c>
      <c r="B55">
        <v>0</v>
      </c>
      <c r="C55">
        <v>0</v>
      </c>
      <c r="D55">
        <v>0</v>
      </c>
      <c r="E55">
        <v>0</v>
      </c>
      <c r="F55" t="s">
        <v>389</v>
      </c>
      <c r="G55" t="s">
        <v>178</v>
      </c>
      <c r="H55" t="s">
        <v>12</v>
      </c>
      <c r="I55">
        <v>0</v>
      </c>
      <c r="K55" t="str">
        <f t="shared" si="0"/>
        <v/>
      </c>
      <c r="L55" t="str">
        <f t="shared" si="1"/>
        <v>لاصق</v>
      </c>
      <c r="M55" s="36">
        <f t="shared" si="2"/>
        <v>7.5187969924812026E-5</v>
      </c>
      <c r="N55" s="37">
        <f t="shared" si="3"/>
        <v>0</v>
      </c>
      <c r="O55" s="37">
        <f t="shared" si="4"/>
        <v>0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IF(L55="","",IF($AO$1=1,IFERROR(MATCH(L55,'06-حزيران'!$L$2:$L$499,0),0),0))</f>
        <v>154</v>
      </c>
      <c r="W55" t="str">
        <f t="shared" si="11"/>
        <v/>
      </c>
      <c r="X55" s="38">
        <f>IF(L55="","",IF(V55&gt;0,INDEX('06-حزيران'!$P$2:$P$499,V55),IF($AO$1=1,0,"")))</f>
        <v>0</v>
      </c>
      <c r="Y55" s="38">
        <f t="shared" si="12"/>
        <v>0</v>
      </c>
      <c r="Z55" s="39">
        <f>IF(L55="","",IF(V55&gt;0,INDEX('06-حزيران'!$Q$2:$Q$499,V55),IF($AO$1=1,0,"")))</f>
        <v>0</v>
      </c>
      <c r="AA55" s="39">
        <f t="shared" si="13"/>
        <v>0</v>
      </c>
      <c r="AB55" s="40" t="str">
        <f>IF(OR(L55="",V55=0),"",IF(AND(N(I55)&gt;0,N(INDEX('06-حزيران'!$I$2:$I$499,V55))&gt;0,INDEX('06-حزيران'!$F$2:$F$499,V55)=F55),N(I55)/N(INDEX('06-حزيران'!$I$2:$I$499,V55))-1,""))</f>
        <v/>
      </c>
      <c r="AC55" t="str">
        <f>IF(L55="","",IF(AND($AO$2=1,ISNA(MATCH(L55,'08-آب'!$L$2:$L$501,0))),"محذوف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5.5000000000000003E-8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423</v>
      </c>
      <c r="B56">
        <v>2</v>
      </c>
      <c r="C56">
        <v>30000</v>
      </c>
      <c r="D56">
        <v>30000</v>
      </c>
      <c r="E56">
        <v>30000</v>
      </c>
      <c r="F56" t="s">
        <v>389</v>
      </c>
      <c r="G56" t="s">
        <v>178</v>
      </c>
      <c r="H56" t="s">
        <v>12</v>
      </c>
      <c r="I56">
        <v>20000</v>
      </c>
      <c r="K56" t="str">
        <f t="shared" si="0"/>
        <v/>
      </c>
      <c r="L56" t="str">
        <f t="shared" si="1"/>
        <v>كياس نايلون</v>
      </c>
      <c r="M56" s="36">
        <f t="shared" si="2"/>
        <v>7.5187969924812026E-5</v>
      </c>
      <c r="N56" s="37">
        <f t="shared" si="3"/>
        <v>1.5037593984962405</v>
      </c>
      <c r="O56" s="37">
        <f t="shared" si="4"/>
        <v>2.255639097744361</v>
      </c>
      <c r="P56" s="38">
        <f t="shared" si="5"/>
        <v>2</v>
      </c>
      <c r="Q56" s="39">
        <f t="shared" si="6"/>
        <v>3.007518796992481</v>
      </c>
      <c r="R56" s="39">
        <f t="shared" si="7"/>
        <v>4.511278195488722</v>
      </c>
      <c r="S56">
        <f t="shared" si="8"/>
        <v>1</v>
      </c>
      <c r="T56" s="39">
        <f t="shared" si="9"/>
        <v>1.503759398496241</v>
      </c>
      <c r="U56" t="str">
        <f t="shared" si="10"/>
        <v/>
      </c>
      <c r="V56">
        <f>IF(L56="","",IF($AO$1=1,IFERROR(MATCH(L56,'06-حزيران'!$L$2:$L$499,0),0),0))</f>
        <v>155</v>
      </c>
      <c r="W56" t="str">
        <f t="shared" si="11"/>
        <v/>
      </c>
      <c r="X56" s="38">
        <f>IF(L56="","",IF(V56&gt;0,INDEX('06-حزيران'!$P$2:$P$499,V56),IF($AO$1=1,0,"")))</f>
        <v>1</v>
      </c>
      <c r="Y56" s="38">
        <f t="shared" si="12"/>
        <v>1</v>
      </c>
      <c r="Z56" s="39">
        <f>IF(L56="","",IF(V56&gt;0,INDEX('06-حزيران'!$Q$2:$Q$499,V56),IF($AO$1=1,0,"")))</f>
        <v>1.5151515151515151</v>
      </c>
      <c r="AA56" s="39">
        <f t="shared" si="13"/>
        <v>1.4923672818409659</v>
      </c>
      <c r="AB56" s="40">
        <f>IF(OR(L56="",V56=0),"",IF(AND(N(I56)&gt;0,N(INDEX('06-حزيران'!$I$2:$I$499,V56))&gt;0,INDEX('06-حزيران'!$F$2:$F$499,V56)=F56),N(I56)/N(INDEX('06-حزيران'!$I$2:$I$499,V56))-1,""))</f>
        <v>0</v>
      </c>
      <c r="AC56" t="str">
        <f>IF(L56="","",IF(AND($AO$2=1,ISNA(MATCH(L56,'08-آب'!$L$2:$L$501,0))),"محذوف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1.4923673378409659</v>
      </c>
      <c r="AH56" s="39">
        <f t="shared" si="15"/>
        <v>1.503759398496241</v>
      </c>
      <c r="AI56" s="39">
        <f t="shared" si="16"/>
        <v>1.503759398496241</v>
      </c>
      <c r="AJ56" s="39">
        <f t="shared" si="17"/>
        <v>1.503759398496241</v>
      </c>
      <c r="AK56">
        <f t="shared" si="18"/>
        <v>3.0075188529924812</v>
      </c>
      <c r="AL56">
        <f t="shared" si="19"/>
        <v>1.5037594544962409</v>
      </c>
    </row>
    <row r="57" spans="1:38" ht="15">
      <c r="A57" t="s">
        <v>424</v>
      </c>
      <c r="B57">
        <v>0</v>
      </c>
      <c r="C57">
        <v>0</v>
      </c>
      <c r="D57">
        <v>0</v>
      </c>
      <c r="E57">
        <v>0</v>
      </c>
      <c r="F57" t="s">
        <v>389</v>
      </c>
      <c r="G57" t="s">
        <v>178</v>
      </c>
      <c r="H57" t="s">
        <v>12</v>
      </c>
      <c r="I57">
        <v>22500</v>
      </c>
      <c r="K57" t="str">
        <f t="shared" si="0"/>
        <v/>
      </c>
      <c r="L57" t="str">
        <f t="shared" si="1"/>
        <v>كياس قمامة</v>
      </c>
      <c r="M57" s="36">
        <f t="shared" si="2"/>
        <v>7.5187969924812026E-5</v>
      </c>
      <c r="N57" s="37">
        <f t="shared" si="3"/>
        <v>1.6917293233082706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IF(L57="","",IF($AO$1=1,IFERROR(MATCH(L57,'06-حزيران'!$L$2:$L$499,0),0),0))</f>
        <v>156</v>
      </c>
      <c r="W57" t="str">
        <f t="shared" si="11"/>
        <v/>
      </c>
      <c r="X57" s="38">
        <f>IF(L57="","",IF(V57&gt;0,INDEX('06-حزيران'!$P$2:$P$499,V57),IF($AO$1=1,0,"")))</f>
        <v>0</v>
      </c>
      <c r="Y57" s="38">
        <f t="shared" si="12"/>
        <v>0</v>
      </c>
      <c r="Z57" s="39">
        <f>IF(L57="","",IF(V57&gt;0,INDEX('06-حزيران'!$Q$2:$Q$499,V57),IF($AO$1=1,0,"")))</f>
        <v>0</v>
      </c>
      <c r="AA57" s="39">
        <f t="shared" si="13"/>
        <v>0</v>
      </c>
      <c r="AB57" s="40">
        <f>IF(OR(L57="",V57=0),"",IF(AND(N(I57)&gt;0,N(INDEX('06-حزيران'!$I$2:$I$499,V57))&gt;0,INDEX('06-حزيران'!$F$2:$F$499,V57)=F57),N(I57)/N(INDEX('06-حزيران'!$I$2:$I$499,V57))-1,""))</f>
        <v>0</v>
      </c>
      <c r="AC57" t="str">
        <f>IF(L57="","",IF(AND($AO$2=1,ISNA(MATCH(L57,'08-آب'!$L$2:$L$501,0))),"محذوف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288</v>
      </c>
      <c r="B58">
        <v>26.76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18.75</v>
      </c>
      <c r="K58" t="str">
        <f t="shared" si="0"/>
        <v/>
      </c>
      <c r="L58" t="str">
        <f t="shared" si="1"/>
        <v>كوستيك-قطرونة</v>
      </c>
      <c r="M58" s="36">
        <f t="shared" si="2"/>
        <v>1</v>
      </c>
      <c r="N58" s="37">
        <f t="shared" si="3"/>
        <v>18.75</v>
      </c>
      <c r="O58" s="37">
        <f t="shared" si="4"/>
        <v>0</v>
      </c>
      <c r="P58" s="38">
        <f t="shared" si="5"/>
        <v>26.76</v>
      </c>
      <c r="Q58" s="39">
        <f t="shared" si="6"/>
        <v>501.75000000000006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IF(L58="","",IF($AO$1=1,IFERROR(MATCH(L58,'06-حزيران'!$L$2:$L$499,0),0),0))</f>
        <v>21</v>
      </c>
      <c r="W58" t="str">
        <f t="shared" si="11"/>
        <v/>
      </c>
      <c r="X58" s="38">
        <f>IF(L58="","",IF(V58&gt;0,INDEX('06-حزيران'!$P$2:$P$499,V58),IF($AO$1=1,0,"")))</f>
        <v>28.03</v>
      </c>
      <c r="Y58" s="38">
        <f t="shared" si="12"/>
        <v>-1.2699999999999996</v>
      </c>
      <c r="Z58" s="39">
        <f>IF(L58="","",IF(V58&gt;0,INDEX('06-حزيران'!$Q$2:$Q$499,V58),IF($AO$1=1,0,"")))</f>
        <v>525.5625</v>
      </c>
      <c r="AA58" s="39">
        <f t="shared" si="13"/>
        <v>-23.812499999999943</v>
      </c>
      <c r="AB58" s="40">
        <f>IF(OR(L58="",V58=0),"",IF(AND(N(I58)&gt;0,N(INDEX('06-حزيران'!$I$2:$I$499,V58))&gt;0,INDEX('06-حزيران'!$F$2:$F$499,V58)=F58),N(I58)/N(INDEX('06-حزيران'!$I$2:$I$499,V58))-1,""))</f>
        <v>0</v>
      </c>
      <c r="AC58" t="str">
        <f>IF(L58="","",IF(AND($AO$2=1,ISNA(MATCH(L58,'08-آب'!$L$2:$L$501,0))),"محذوف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23.812500057999944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501.75000005800007</v>
      </c>
      <c r="AL58">
        <f t="shared" si="19"/>
        <v>5.8000000000000003E-8</v>
      </c>
    </row>
    <row r="59" spans="1:38" ht="15">
      <c r="A59" t="s">
        <v>289</v>
      </c>
      <c r="B59">
        <v>0</v>
      </c>
      <c r="C59">
        <v>0</v>
      </c>
      <c r="D59">
        <v>0</v>
      </c>
      <c r="E59">
        <v>0</v>
      </c>
      <c r="F59" t="s">
        <v>268</v>
      </c>
      <c r="G59" t="s">
        <v>178</v>
      </c>
      <c r="H59" t="s">
        <v>176</v>
      </c>
      <c r="I59">
        <v>2.25</v>
      </c>
      <c r="K59" t="str">
        <f t="shared" si="0"/>
        <v/>
      </c>
      <c r="L59" t="str">
        <f t="shared" si="1"/>
        <v>كمبرلان</v>
      </c>
      <c r="M59" s="36">
        <f t="shared" si="2"/>
        <v>1</v>
      </c>
      <c r="N59" s="37">
        <f t="shared" si="3"/>
        <v>2.25</v>
      </c>
      <c r="O59" s="37">
        <f t="shared" si="4"/>
        <v>0</v>
      </c>
      <c r="P59" s="38">
        <f t="shared" si="5"/>
        <v>0</v>
      </c>
      <c r="Q59" s="39">
        <f t="shared" si="6"/>
        <v>0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IF(L59="","",IF($AO$1=1,IFERROR(MATCH(L59,'06-حزيران'!$L$2:$L$499,0),0),0))</f>
        <v>22</v>
      </c>
      <c r="W59" t="str">
        <f t="shared" si="11"/>
        <v/>
      </c>
      <c r="X59" s="38">
        <f>IF(L59="","",IF(V59&gt;0,INDEX('06-حزيران'!$P$2:$P$499,V59),IF($AO$1=1,0,"")))</f>
        <v>0</v>
      </c>
      <c r="Y59" s="38">
        <f t="shared" si="12"/>
        <v>0</v>
      </c>
      <c r="Z59" s="39">
        <f>IF(L59="","",IF(V59&gt;0,INDEX('06-حزيران'!$Q$2:$Q$499,V59),IF($AO$1=1,0,"")))</f>
        <v>0</v>
      </c>
      <c r="AA59" s="39">
        <f t="shared" si="13"/>
        <v>0</v>
      </c>
      <c r="AB59" s="40">
        <f>IF(OR(L59="",V59=0),"",IF(AND(N(I59)&gt;0,N(INDEX('06-حزيران'!$I$2:$I$499,V59))&gt;0,INDEX('06-حزيران'!$F$2:$F$499,V59)=F59),N(I59)/N(INDEX('06-حزيران'!$I$2:$I$499,V59))-1,""))</f>
        <v>0</v>
      </c>
      <c r="AC59" t="str">
        <f>IF(L59="","",IF(AND($AO$2=1,ISNA(MATCH(L59,'08-آب'!$L$2:$L$501,0))),"محذوف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5.8999999999999999E-8</v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5.8999999999999999E-8</v>
      </c>
      <c r="AL59">
        <f t="shared" si="19"/>
        <v>5.8999999999999999E-8</v>
      </c>
    </row>
    <row r="60" spans="1:38" ht="15">
      <c r="A60" t="s">
        <v>425</v>
      </c>
      <c r="B60">
        <v>138</v>
      </c>
      <c r="C60">
        <v>13000</v>
      </c>
      <c r="D60">
        <v>13000</v>
      </c>
      <c r="E60">
        <v>13000</v>
      </c>
      <c r="F60" t="s">
        <v>389</v>
      </c>
      <c r="G60" t="s">
        <v>178</v>
      </c>
      <c r="H60" t="s">
        <v>12</v>
      </c>
      <c r="I60">
        <v>11000</v>
      </c>
      <c r="K60" t="str">
        <f t="shared" si="0"/>
        <v/>
      </c>
      <c r="L60" t="str">
        <f t="shared" si="1"/>
        <v>كمامات</v>
      </c>
      <c r="M60" s="36">
        <f t="shared" si="2"/>
        <v>7.5187969924812026E-5</v>
      </c>
      <c r="N60" s="37">
        <f t="shared" si="3"/>
        <v>0.82706766917293228</v>
      </c>
      <c r="O60" s="37">
        <f t="shared" si="4"/>
        <v>0.97744360902255634</v>
      </c>
      <c r="P60" s="38">
        <f t="shared" si="5"/>
        <v>138</v>
      </c>
      <c r="Q60" s="39">
        <f t="shared" si="6"/>
        <v>114.13533834586465</v>
      </c>
      <c r="R60" s="39">
        <f t="shared" si="7"/>
        <v>134.88721804511277</v>
      </c>
      <c r="S60">
        <f t="shared" si="8"/>
        <v>1</v>
      </c>
      <c r="T60" s="39">
        <f t="shared" si="9"/>
        <v>20.751879699248121</v>
      </c>
      <c r="U60" t="str">
        <f t="shared" si="10"/>
        <v/>
      </c>
      <c r="V60">
        <f>IF(L60="","",IF($AO$1=1,IFERROR(MATCH(L60,'06-حزيران'!$L$2:$L$499,0),0),0))</f>
        <v>157</v>
      </c>
      <c r="W60" t="str">
        <f t="shared" si="11"/>
        <v/>
      </c>
      <c r="X60" s="38">
        <f>IF(L60="","",IF(V60&gt;0,INDEX('06-حزيران'!$P$2:$P$499,V60),IF($AO$1=1,0,"")))</f>
        <v>0</v>
      </c>
      <c r="Y60" s="38">
        <f t="shared" si="12"/>
        <v>138</v>
      </c>
      <c r="Z60" s="39">
        <f>IF(L60="","",IF(V60&gt;0,INDEX('06-حزيران'!$Q$2:$Q$499,V60),IF($AO$1=1,0,"")))</f>
        <v>0</v>
      </c>
      <c r="AA60" s="39">
        <f t="shared" si="13"/>
        <v>114.13533834586465</v>
      </c>
      <c r="AB60" s="40">
        <f>IF(OR(L60="",V60=0),"",IF(AND(N(I60)&gt;0,N(INDEX('06-حزيران'!$I$2:$I$499,V60))&gt;0,INDEX('06-حزيران'!$F$2:$F$499,V60)=F60),N(I60)/N(INDEX('06-حزيران'!$I$2:$I$499,V60))-1,""))</f>
        <v>0</v>
      </c>
      <c r="AC60" t="str">
        <f>IF(L60="","",IF(AND($AO$2=1,ISNA(MATCH(L60,'08-آب'!$L$2:$L$501,0))),"محذوف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114.13533840586466</v>
      </c>
      <c r="AH60" s="39">
        <f t="shared" si="15"/>
        <v>20.751879699248118</v>
      </c>
      <c r="AI60" s="39">
        <f t="shared" si="16"/>
        <v>20.751879699248118</v>
      </c>
      <c r="AJ60" s="39">
        <f t="shared" si="17"/>
        <v>20.751879699248118</v>
      </c>
      <c r="AK60">
        <f t="shared" si="18"/>
        <v>114.13533840586466</v>
      </c>
      <c r="AL60">
        <f t="shared" si="19"/>
        <v>20.751879759248123</v>
      </c>
    </row>
    <row r="61" spans="1:38" ht="15">
      <c r="A61" t="s">
        <v>290</v>
      </c>
      <c r="B61">
        <v>0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17.8</v>
      </c>
      <c r="K61" t="str">
        <f t="shared" si="0"/>
        <v/>
      </c>
      <c r="L61" t="str">
        <f t="shared" si="1"/>
        <v>كليمازول</v>
      </c>
      <c r="M61" s="36">
        <f t="shared" si="2"/>
        <v>1</v>
      </c>
      <c r="N61" s="37">
        <f t="shared" si="3"/>
        <v>17.8</v>
      </c>
      <c r="O61" s="37">
        <f t="shared" si="4"/>
        <v>0</v>
      </c>
      <c r="P61" s="38">
        <f t="shared" si="5"/>
        <v>0</v>
      </c>
      <c r="Q61" s="39">
        <f t="shared" si="6"/>
        <v>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IF(L61="","",IF($AO$1=1,IFERROR(MATCH(L61,'06-حزيران'!$L$2:$L$499,0),0),0))</f>
        <v>23</v>
      </c>
      <c r="W61" t="str">
        <f t="shared" si="11"/>
        <v/>
      </c>
      <c r="X61" s="38">
        <f>IF(L61="","",IF(V61&gt;0,INDEX('06-حزيران'!$P$2:$P$499,V61),IF($AO$1=1,0,"")))</f>
        <v>0</v>
      </c>
      <c r="Y61" s="38">
        <f t="shared" si="12"/>
        <v>0</v>
      </c>
      <c r="Z61" s="39">
        <f>IF(L61="","",IF(V61&gt;0,INDEX('06-حزيران'!$Q$2:$Q$499,V61),IF($AO$1=1,0,"")))</f>
        <v>0</v>
      </c>
      <c r="AA61" s="39">
        <f t="shared" si="13"/>
        <v>0</v>
      </c>
      <c r="AB61" s="40">
        <f>IF(OR(L61="",V61=0),"",IF(AND(N(I61)&gt;0,N(INDEX('06-حزيران'!$I$2:$I$499,V61))&gt;0,INDEX('06-حزيران'!$F$2:$F$499,V61)=F61),N(I61)/N(INDEX('06-حزيران'!$I$2:$I$499,V61))-1,""))</f>
        <v>0</v>
      </c>
      <c r="AC61" t="str">
        <f>IF(L61="","",IF(AND($AO$2=1,ISNA(MATCH(L61,'08-آب'!$L$2:$L$501,0))),"محذوف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6.1000000000000004E-8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6.1000000000000004E-8</v>
      </c>
      <c r="AL61">
        <f t="shared" si="19"/>
        <v>6.1000000000000004E-8</v>
      </c>
    </row>
    <row r="62" spans="1:38" ht="15">
      <c r="A62" t="s">
        <v>291</v>
      </c>
      <c r="B62">
        <v>1807</v>
      </c>
      <c r="C62">
        <v>0.35</v>
      </c>
      <c r="D62">
        <v>0.35</v>
      </c>
      <c r="E62">
        <v>0.35</v>
      </c>
      <c r="F62" t="s">
        <v>268</v>
      </c>
      <c r="G62" t="s">
        <v>178</v>
      </c>
      <c r="H62" t="s">
        <v>176</v>
      </c>
      <c r="I62">
        <v>0.21</v>
      </c>
      <c r="K62" t="str">
        <f t="shared" si="0"/>
        <v/>
      </c>
      <c r="L62" t="str">
        <f t="shared" si="1"/>
        <v>كلور خام</v>
      </c>
      <c r="M62" s="36">
        <f t="shared" si="2"/>
        <v>1</v>
      </c>
      <c r="N62" s="37">
        <f t="shared" si="3"/>
        <v>0.21</v>
      </c>
      <c r="O62" s="37">
        <f t="shared" si="4"/>
        <v>0.35</v>
      </c>
      <c r="P62" s="38">
        <f t="shared" si="5"/>
        <v>1807</v>
      </c>
      <c r="Q62" s="39">
        <f t="shared" si="6"/>
        <v>379.46999999999997</v>
      </c>
      <c r="R62" s="39">
        <f t="shared" si="7"/>
        <v>632.44999999999993</v>
      </c>
      <c r="S62">
        <f t="shared" si="8"/>
        <v>1</v>
      </c>
      <c r="T62" s="39">
        <f t="shared" si="9"/>
        <v>252.97999999999996</v>
      </c>
      <c r="U62" t="str">
        <f t="shared" si="10"/>
        <v/>
      </c>
      <c r="V62">
        <f>IF(L62="","",IF($AO$1=1,IFERROR(MATCH(L62,'06-حزيران'!$L$2:$L$499,0),0),0))</f>
        <v>24</v>
      </c>
      <c r="W62" t="str">
        <f t="shared" si="11"/>
        <v/>
      </c>
      <c r="X62" s="38">
        <f>IF(L62="","",IF(V62&gt;0,INDEX('06-حزيران'!$P$2:$P$499,V62),IF($AO$1=1,0,"")))</f>
        <v>272</v>
      </c>
      <c r="Y62" s="38">
        <f t="shared" si="12"/>
        <v>1535</v>
      </c>
      <c r="Z62" s="39">
        <f>IF(L62="","",IF(V62&gt;0,INDEX('06-حزيران'!$Q$2:$Q$499,V62),IF($AO$1=1,0,"")))</f>
        <v>57.12</v>
      </c>
      <c r="AA62" s="39">
        <f t="shared" si="13"/>
        <v>322.34999999999997</v>
      </c>
      <c r="AB62" s="40">
        <f>IF(OR(L62="",V62=0),"",IF(AND(N(I62)&gt;0,N(INDEX('06-حزيران'!$I$2:$I$499,V62))&gt;0,INDEX('06-حزيران'!$F$2:$F$499,V62)=F62),N(I62)/N(INDEX('06-حزيران'!$I$2:$I$499,V62))-1,""))</f>
        <v>0</v>
      </c>
      <c r="AC62" t="str">
        <f>IF(L62="","",IF(AND($AO$2=1,ISNA(MATCH(L62,'08-آب'!$L$2:$L$501,0))),"محذوف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322.35000006199999</v>
      </c>
      <c r="AH62" s="39">
        <f t="shared" si="15"/>
        <v>252.97999999999996</v>
      </c>
      <c r="AI62" s="39">
        <f t="shared" si="16"/>
        <v>252.97999999999996</v>
      </c>
      <c r="AJ62" s="39">
        <f t="shared" si="17"/>
        <v>252.97999999999996</v>
      </c>
      <c r="AK62">
        <f t="shared" si="18"/>
        <v>379.470000062</v>
      </c>
      <c r="AL62">
        <f t="shared" si="19"/>
        <v>252.98000006199996</v>
      </c>
    </row>
    <row r="63" spans="1:38" ht="15">
      <c r="A63" t="s">
        <v>426</v>
      </c>
      <c r="B63">
        <v>31</v>
      </c>
      <c r="C63">
        <v>16000</v>
      </c>
      <c r="D63">
        <v>16000</v>
      </c>
      <c r="E63">
        <v>16000</v>
      </c>
      <c r="F63" t="s">
        <v>389</v>
      </c>
      <c r="G63" t="s">
        <v>178</v>
      </c>
      <c r="H63" t="s">
        <v>12</v>
      </c>
      <c r="I63">
        <v>5700</v>
      </c>
      <c r="K63" t="str">
        <f t="shared" si="0"/>
        <v/>
      </c>
      <c r="L63" t="str">
        <f t="shared" si="1"/>
        <v>كلور 4 لتر</v>
      </c>
      <c r="M63" s="36">
        <f t="shared" si="2"/>
        <v>7.5187969924812026E-5</v>
      </c>
      <c r="N63" s="37">
        <f t="shared" si="3"/>
        <v>0.42857142857142855</v>
      </c>
      <c r="O63" s="37">
        <f t="shared" si="4"/>
        <v>1.2030075187969924</v>
      </c>
      <c r="P63" s="38">
        <f t="shared" si="5"/>
        <v>31</v>
      </c>
      <c r="Q63" s="39">
        <f t="shared" si="6"/>
        <v>13.285714285714285</v>
      </c>
      <c r="R63" s="39">
        <f t="shared" si="7"/>
        <v>37.293233082706763</v>
      </c>
      <c r="S63">
        <f t="shared" si="8"/>
        <v>1</v>
      </c>
      <c r="T63" s="39">
        <f t="shared" si="9"/>
        <v>24.007518796992478</v>
      </c>
      <c r="U63" t="str">
        <f t="shared" si="10"/>
        <v/>
      </c>
      <c r="V63">
        <f>IF(L63="","",IF($AO$1=1,IFERROR(MATCH(L63,'06-حزيران'!$L$2:$L$499,0),0),0))</f>
        <v>158</v>
      </c>
      <c r="W63" t="str">
        <f t="shared" si="11"/>
        <v/>
      </c>
      <c r="X63" s="38">
        <f>IF(L63="","",IF(V63&gt;0,INDEX('06-حزيران'!$P$2:$P$499,V63),IF($AO$1=1,0,"")))</f>
        <v>67</v>
      </c>
      <c r="Y63" s="38">
        <f t="shared" si="12"/>
        <v>-36</v>
      </c>
      <c r="Z63" s="39">
        <f>IF(L63="","",IF(V63&gt;0,INDEX('06-حزيران'!$Q$2:$Q$499,V63),IF($AO$1=1,0,"")))</f>
        <v>28.931818181818183</v>
      </c>
      <c r="AA63" s="39">
        <f t="shared" si="13"/>
        <v>-15.646103896103899</v>
      </c>
      <c r="AB63" s="40">
        <f>IF(OR(L63="",V63=0),"",IF(AND(N(I63)&gt;0,N(INDEX('06-حزيران'!$I$2:$I$499,V63))&gt;0,INDEX('06-حزيران'!$F$2:$F$499,V63)=F63),N(I63)/N(INDEX('06-حزيران'!$I$2:$I$499,V63))-1,""))</f>
        <v>0</v>
      </c>
      <c r="AC63" t="str">
        <f>IF(L63="","",IF(AND($AO$2=1,ISNA(MATCH(L63,'08-آب'!$L$2:$L$501,0))),"محذوف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15.646103959103899</v>
      </c>
      <c r="AH63" s="39">
        <f t="shared" si="15"/>
        <v>24.007518796992478</v>
      </c>
      <c r="AI63" s="39">
        <f t="shared" si="16"/>
        <v>24.007518796992478</v>
      </c>
      <c r="AJ63" s="39">
        <f t="shared" si="17"/>
        <v>24.007518796992478</v>
      </c>
      <c r="AK63">
        <f t="shared" si="18"/>
        <v>13.285714348714285</v>
      </c>
      <c r="AL63">
        <f t="shared" si="19"/>
        <v>24.00751885999248</v>
      </c>
    </row>
    <row r="64" spans="1:38" ht="15">
      <c r="A64" t="s">
        <v>427</v>
      </c>
      <c r="B64">
        <v>113</v>
      </c>
      <c r="C64">
        <v>50000</v>
      </c>
      <c r="D64">
        <v>50000</v>
      </c>
      <c r="E64">
        <v>50000</v>
      </c>
      <c r="F64" t="s">
        <v>389</v>
      </c>
      <c r="G64" t="s">
        <v>178</v>
      </c>
      <c r="H64" t="s">
        <v>12</v>
      </c>
      <c r="I64">
        <v>38400</v>
      </c>
      <c r="K64" t="str">
        <f t="shared" si="0"/>
        <v/>
      </c>
      <c r="L64" t="str">
        <f t="shared" si="1"/>
        <v>كلور 1 لتر</v>
      </c>
      <c r="M64" s="36">
        <f t="shared" si="2"/>
        <v>7.5187969924812026E-5</v>
      </c>
      <c r="N64" s="37">
        <f t="shared" si="3"/>
        <v>2.8872180451127818</v>
      </c>
      <c r="O64" s="37">
        <f t="shared" si="4"/>
        <v>3.7593984962406015</v>
      </c>
      <c r="P64" s="38">
        <f t="shared" si="5"/>
        <v>113</v>
      </c>
      <c r="Q64" s="39">
        <f t="shared" si="6"/>
        <v>326.25563909774434</v>
      </c>
      <c r="R64" s="39">
        <f t="shared" si="7"/>
        <v>424.81203007518798</v>
      </c>
      <c r="S64">
        <f t="shared" si="8"/>
        <v>1</v>
      </c>
      <c r="T64" s="39">
        <f t="shared" si="9"/>
        <v>98.556390977443641</v>
      </c>
      <c r="U64" t="str">
        <f t="shared" si="10"/>
        <v/>
      </c>
      <c r="V64">
        <f>IF(L64="","",IF($AO$1=1,IFERROR(MATCH(L64,'06-حزيران'!$L$2:$L$499,0),0),0))</f>
        <v>159</v>
      </c>
      <c r="W64" t="str">
        <f t="shared" si="11"/>
        <v/>
      </c>
      <c r="X64" s="38">
        <f>IF(L64="","",IF(V64&gt;0,INDEX('06-حزيران'!$P$2:$P$499,V64),IF($AO$1=1,0,"")))</f>
        <v>114</v>
      </c>
      <c r="Y64" s="38">
        <f t="shared" si="12"/>
        <v>-1</v>
      </c>
      <c r="Z64" s="39">
        <f>IF(L64="","",IF(V64&gt;0,INDEX('06-حزيران'!$Q$2:$Q$499,V64),IF($AO$1=1,0,"")))</f>
        <v>331.63636363636363</v>
      </c>
      <c r="AA64" s="39">
        <f t="shared" si="13"/>
        <v>-5.3807245386192903</v>
      </c>
      <c r="AB64" s="40">
        <f>IF(OR(L64="",V64=0),"",IF(AND(N(I64)&gt;0,N(INDEX('06-حزيران'!$I$2:$I$499,V64))&gt;0,INDEX('06-حزيران'!$F$2:$F$499,V64)=F64),N(I64)/N(INDEX('06-حزيران'!$I$2:$I$499,V64))-1,""))</f>
        <v>0</v>
      </c>
      <c r="AC64" t="str">
        <f>IF(L64="","",IF(AND($AO$2=1,ISNA(MATCH(L64,'08-آب'!$L$2:$L$501,0))),"محذوف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5.3807246026192903</v>
      </c>
      <c r="AH64" s="39">
        <f t="shared" si="15"/>
        <v>98.556390977443627</v>
      </c>
      <c r="AI64" s="39">
        <f t="shared" si="16"/>
        <v>98.556390977443627</v>
      </c>
      <c r="AJ64" s="39">
        <f t="shared" si="17"/>
        <v>98.556390977443627</v>
      </c>
      <c r="AK64">
        <f t="shared" si="18"/>
        <v>326.25563916174434</v>
      </c>
      <c r="AL64">
        <f t="shared" si="19"/>
        <v>98.556391041443646</v>
      </c>
    </row>
    <row r="65" spans="1:38" ht="15">
      <c r="A65" t="s">
        <v>428</v>
      </c>
      <c r="B65">
        <v>776</v>
      </c>
      <c r="C65">
        <v>4500</v>
      </c>
      <c r="D65">
        <v>4500</v>
      </c>
      <c r="E65">
        <v>4500</v>
      </c>
      <c r="F65" t="s">
        <v>389</v>
      </c>
      <c r="G65" t="s">
        <v>178</v>
      </c>
      <c r="H65" t="s">
        <v>12</v>
      </c>
      <c r="I65">
        <v>680</v>
      </c>
      <c r="K65" t="str">
        <f t="shared" ref="K65:K128" si="20">IF(L65="","",IF(U65&lt;&gt;"","⚠",""))</f>
        <v/>
      </c>
      <c r="L65" t="str">
        <f t="shared" ref="L65:L128" si="21">IF(A65="","",TRIM(A65))</f>
        <v>كلور / فرط</v>
      </c>
      <c r="M65" s="36">
        <f t="shared" ref="M65:M128" si="22">IF(L65="","",IF(ISNUMBER(SEARCH("دولار",F65)),1,IF(ISNUMBER(SEARCH("ليرة",F65)),IF($AO$3&gt;0,1/$AO$3,0),0)))</f>
        <v>7.5187969924812026E-5</v>
      </c>
      <c r="N65" s="37">
        <f t="shared" ref="N65:N128" si="23">IF(L65="","",N(I65)*M65)</f>
        <v>5.1127819548872175E-2</v>
      </c>
      <c r="O65" s="37">
        <f t="shared" ref="O65:O128" si="24">IF(L65="","",M65*CHOOSE($AO$4,N(C65),N(D65),N(E65)))</f>
        <v>0.33834586466165412</v>
      </c>
      <c r="P65" s="38">
        <f t="shared" ref="P65:P128" si="25">IF(L65="","",MAX(N(B65),0))</f>
        <v>776</v>
      </c>
      <c r="Q65" s="39">
        <f t="shared" ref="Q65:Q128" si="26">IF(L65="","",P65*N65)</f>
        <v>39.675187969924806</v>
      </c>
      <c r="R65" s="39">
        <f t="shared" ref="R65:R128" si="27">IF(L65="","",P65*O65)</f>
        <v>262.55639097744358</v>
      </c>
      <c r="S65">
        <f t="shared" ref="S65:S128" si="28">IF(L65="","",IF(AND(P65&gt;0,N65&gt;0,O65&gt;0),1,0))</f>
        <v>1</v>
      </c>
      <c r="T65" s="39">
        <f t="shared" ref="T65:T128" si="29">IF(L65="","",S65*(R65-Q65))</f>
        <v>222.88120300751876</v>
      </c>
      <c r="U65" t="str">
        <f t="shared" ref="U65:U128" si="30">IF(L65="","",MID(IF(OR(NOT(ISNUMBER(B65)),NOT(ISNUMBER(C65)),NOT(ISNUMBER(D65)),NOT(ISNUMBER(E65)),NOT(ISNUMBER(I65)),AND(NOT(ISNUMBER(SEARCH("دولار",F65))),NOT(ISNUMBER(SEARCH("ليرة",F65)))))," | بيانات غير صالحة","")&amp;IF(N(B65)&lt;0," | كمية سالبة","")&amp;IF(AND(N(B65)&gt;0,N(I65)=0)," | شراء صفر","")&amp;IF(AND(N(B65)&gt;0,TRIM(H65)=$AO$5,OR(N(C65)=0,N(D65)=0,N(E65)=0))," | بيع صفر","")&amp;IF(AND(N65&gt;0,O65&gt;0,O65&lt;N65)," | بيع أقل من الشراء","")&amp;IF(OR(AND(ISNUMBER(SEARCH("ليرة",F65)),OR(AND(N(I65)&gt;0,N(I65)&lt;$AO$6),AND(N(C65)&gt;0,N(C65)&lt;$AO$6),AND(N(D65)&gt;0,N(D65)&lt;$AO$6),AND(N(E65)&gt;0,N(E65)&lt;$AO$6))),AND(ISNUMBER(SEARCH("دولار",F65)),MAX(N(I65),N(C65),N(D65),N(E65))&gt;$AO$7))," | عملة/سعر مشكوك","")&amp;IF(AND(COUNTIF(C65:E65,"&gt;0")&gt;=2,MAX(N(C65),N(D65),N(E65))&gt;$AO$8*MIN(IF(N(C65)&gt;0,N(C65),1E+99),IF(N(D65)&gt;0,N(D65),1E+99),IF(N(E65)&gt;0,N(E65),1E+99)))," | تباين أسعار البيع","")&amp;IF(OR(TRIM(H65)="All",TRIM(H65)="")," | بلا تصنيف",""),4,300))</f>
        <v/>
      </c>
      <c r="V65">
        <f>IF(L65="","",IF($AO$1=1,IFERROR(MATCH(L65,'06-حزيران'!$L$2:$L$499,0),0),0))</f>
        <v>160</v>
      </c>
      <c r="W65" t="str">
        <f t="shared" ref="W65:W128" si="31">IF(L65="","",IF(AND($AO$1=1,V65=0),"جديد",""))</f>
        <v/>
      </c>
      <c r="X65" s="38">
        <f>IF(L65="","",IF(V65&gt;0,INDEX('06-حزيران'!$P$2:$P$499,V65),IF($AO$1=1,0,"")))</f>
        <v>71</v>
      </c>
      <c r="Y65" s="38">
        <f t="shared" ref="Y65:Y128" si="32">IF(OR(L65="",X65=""),"",P65-X65)</f>
        <v>705</v>
      </c>
      <c r="Z65" s="39">
        <f>IF(L65="","",IF(V65&gt;0,INDEX('06-حزيران'!$Q$2:$Q$499,V65),IF($AO$1=1,0,"")))</f>
        <v>3.6575757575757573</v>
      </c>
      <c r="AA65" s="39">
        <f t="shared" ref="AA65:AA128" si="33">IF(OR(L65="",Z65=""),"",Q65-Z65)</f>
        <v>36.01761221234905</v>
      </c>
      <c r="AB65" s="40">
        <f>IF(OR(L65="",V65=0),"",IF(AND(N(I65)&gt;0,N(INDEX('06-حزيران'!$I$2:$I$499,V65))&gt;0,INDEX('06-حزيران'!$F$2:$F$499,V65)=F65),N(I65)/N(INDEX('06-حزيران'!$I$2:$I$499,V65))-1,""))</f>
        <v>0</v>
      </c>
      <c r="AC65" t="str">
        <f>IF(L65="","",IF(AND($AO$2=1,ISNA(MATCH(L65,'08-آب'!$L$2:$L$501,0))),"محذوف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ref="AG65:AG128" si="34">IF(AA65="","",ABS(AA65)+ROW()/1000000000)</f>
        <v>36.017612277349052</v>
      </c>
      <c r="AH65" s="39">
        <f t="shared" ref="AH65:AH128" si="35">IF(L65="","",IF(AND(P65&gt;0,N65&gt;0,N(C65)&gt;0),P65*(M65*N(C65)-N65),0))</f>
        <v>222.88120300751876</v>
      </c>
      <c r="AI65" s="39">
        <f t="shared" ref="AI65:AI128" si="36">IF(L65="","",IF(AND(P65&gt;0,N65&gt;0,N(D65)&gt;0),P65*(M65*N(D65)-N65),0))</f>
        <v>222.88120300751876</v>
      </c>
      <c r="AJ65" s="39">
        <f t="shared" ref="AJ65:AJ128" si="37">IF(L65="","",IF(AND(P65&gt;0,N65&gt;0,N(E65)&gt;0),P65*(M65*N(E65)-N65),0))</f>
        <v>222.88120300751876</v>
      </c>
      <c r="AK65">
        <f t="shared" ref="AK65:AK128" si="38">IF(L65="","",Q65+ROW()/1000000000)</f>
        <v>39.675188034924808</v>
      </c>
      <c r="AL65">
        <f t="shared" ref="AL65:AL128" si="39">IF(L65="","",T65+ROW()/1000000000)</f>
        <v>222.88120307251876</v>
      </c>
    </row>
    <row r="66" spans="1:38" ht="15">
      <c r="A66" t="s">
        <v>429</v>
      </c>
      <c r="B66">
        <v>0</v>
      </c>
      <c r="C66">
        <v>370000</v>
      </c>
      <c r="D66">
        <v>370000</v>
      </c>
      <c r="E66">
        <v>330000</v>
      </c>
      <c r="F66" t="s">
        <v>389</v>
      </c>
      <c r="G66" t="s">
        <v>178</v>
      </c>
      <c r="H66" t="s">
        <v>12</v>
      </c>
      <c r="I66">
        <v>320000</v>
      </c>
      <c r="K66" t="str">
        <f t="shared" si="20"/>
        <v/>
      </c>
      <c r="L66" t="str">
        <f t="shared" si="21"/>
        <v>كفوف نايلون</v>
      </c>
      <c r="M66" s="36">
        <f t="shared" si="22"/>
        <v>7.5187969924812026E-5</v>
      </c>
      <c r="N66" s="37">
        <f t="shared" si="23"/>
        <v>24.060150375939848</v>
      </c>
      <c r="O66" s="37">
        <f t="shared" si="24"/>
        <v>27.819548872180448</v>
      </c>
      <c r="P66" s="38">
        <f t="shared" si="25"/>
        <v>0</v>
      </c>
      <c r="Q66" s="39">
        <f t="shared" si="26"/>
        <v>0</v>
      </c>
      <c r="R66" s="39">
        <f t="shared" si="27"/>
        <v>0</v>
      </c>
      <c r="S66">
        <f t="shared" si="28"/>
        <v>0</v>
      </c>
      <c r="T66" s="39">
        <f t="shared" si="29"/>
        <v>0</v>
      </c>
      <c r="U66" t="str">
        <f t="shared" si="30"/>
        <v/>
      </c>
      <c r="V66">
        <f>IF(L66="","",IF($AO$1=1,IFERROR(MATCH(L66,'06-حزيران'!$L$2:$L$499,0),0),0))</f>
        <v>161</v>
      </c>
      <c r="W66" t="str">
        <f t="shared" si="31"/>
        <v/>
      </c>
      <c r="X66" s="38">
        <f>IF(L66="","",IF(V66&gt;0,INDEX('06-حزيران'!$P$2:$P$499,V66),IF($AO$1=1,0,"")))</f>
        <v>0</v>
      </c>
      <c r="Y66" s="38">
        <f t="shared" si="32"/>
        <v>0</v>
      </c>
      <c r="Z66" s="39">
        <f>IF(L66="","",IF(V66&gt;0,INDEX('06-حزيران'!$Q$2:$Q$499,V66),IF($AO$1=1,0,"")))</f>
        <v>0</v>
      </c>
      <c r="AA66" s="39">
        <f t="shared" si="33"/>
        <v>0</v>
      </c>
      <c r="AB66" s="40">
        <f>IF(OR(L66="",V66=0),"",IF(AND(N(I66)&gt;0,N(INDEX('06-حزيران'!$I$2:$I$499,V66))&gt;0,INDEX('06-حزيران'!$F$2:$F$499,V66)=F66),N(I66)/N(INDEX('06-حزيران'!$I$2:$I$499,V66))-1,""))</f>
        <v>0</v>
      </c>
      <c r="AC66" t="str">
        <f>IF(L66="","",IF(AND($AO$2=1,ISNA(MATCH(L66,'08-آب'!$L$2:$L$501,0))),"محذوف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si="34"/>
        <v>6.5999999999999995E-8</v>
      </c>
      <c r="AH66" s="39">
        <f t="shared" si="35"/>
        <v>0</v>
      </c>
      <c r="AI66" s="39">
        <f t="shared" si="36"/>
        <v>0</v>
      </c>
      <c r="AJ66" s="39">
        <f t="shared" si="37"/>
        <v>0</v>
      </c>
      <c r="AK66">
        <f t="shared" si="38"/>
        <v>6.5999999999999995E-8</v>
      </c>
      <c r="AL66">
        <f t="shared" si="39"/>
        <v>6.5999999999999995E-8</v>
      </c>
    </row>
    <row r="67" spans="1:38" ht="15">
      <c r="A67" t="s">
        <v>430</v>
      </c>
      <c r="B67">
        <v>2.42</v>
      </c>
      <c r="C67">
        <v>576000</v>
      </c>
      <c r="D67">
        <v>576000</v>
      </c>
      <c r="E67">
        <v>576000</v>
      </c>
      <c r="F67" t="s">
        <v>389</v>
      </c>
      <c r="G67" t="s">
        <v>178</v>
      </c>
      <c r="H67" t="s">
        <v>12</v>
      </c>
      <c r="I67">
        <v>300000</v>
      </c>
      <c r="K67" t="str">
        <f t="shared" si="20"/>
        <v/>
      </c>
      <c r="L67" t="str">
        <f t="shared" si="21"/>
        <v>كفوف طبية</v>
      </c>
      <c r="M67" s="36">
        <f t="shared" si="22"/>
        <v>7.5187969924812026E-5</v>
      </c>
      <c r="N67" s="37">
        <f t="shared" si="23"/>
        <v>22.556390977443609</v>
      </c>
      <c r="O67" s="37">
        <f t="shared" si="24"/>
        <v>43.308270676691727</v>
      </c>
      <c r="P67" s="38">
        <f t="shared" si="25"/>
        <v>2.42</v>
      </c>
      <c r="Q67" s="39">
        <f t="shared" si="26"/>
        <v>54.586466165413533</v>
      </c>
      <c r="R67" s="39">
        <f t="shared" si="27"/>
        <v>104.80601503759398</v>
      </c>
      <c r="S67">
        <f t="shared" si="28"/>
        <v>1</v>
      </c>
      <c r="T67" s="39">
        <f t="shared" si="29"/>
        <v>50.219548872180447</v>
      </c>
      <c r="U67" t="str">
        <f t="shared" si="30"/>
        <v/>
      </c>
      <c r="V67">
        <f>IF(L67="","",IF($AO$1=1,IFERROR(MATCH(L67,'06-حزيران'!$L$2:$L$499,0),0),0))</f>
        <v>162</v>
      </c>
      <c r="W67" t="str">
        <f t="shared" si="31"/>
        <v/>
      </c>
      <c r="X67" s="38">
        <f>IF(L67="","",IF(V67&gt;0,INDEX('06-حزيران'!$P$2:$P$499,V67),IF($AO$1=1,0,"")))</f>
        <v>2.42</v>
      </c>
      <c r="Y67" s="38">
        <f t="shared" si="32"/>
        <v>0</v>
      </c>
      <c r="Z67" s="39">
        <f>IF(L67="","",IF(V67&gt;0,INDEX('06-حزيران'!$Q$2:$Q$499,V67),IF($AO$1=1,0,"")))</f>
        <v>55</v>
      </c>
      <c r="AA67" s="39">
        <f t="shared" si="33"/>
        <v>-0.41353383458646675</v>
      </c>
      <c r="AB67" s="40">
        <f>IF(OR(L67="",V67=0),"",IF(AND(N(I67)&gt;0,N(INDEX('06-حزيران'!$I$2:$I$499,V67))&gt;0,INDEX('06-حزيران'!$F$2:$F$499,V67)=F67),N(I67)/N(INDEX('06-حزيران'!$I$2:$I$499,V67))-1,""))</f>
        <v>0</v>
      </c>
      <c r="AC67" t="str">
        <f>IF(L67="","",IF(AND($AO$2=1,ISNA(MATCH(L67,'08-آب'!$L$2:$L$501,0))),"محذوف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0.41353390158646675</v>
      </c>
      <c r="AH67" s="39">
        <f t="shared" si="35"/>
        <v>50.219548872180447</v>
      </c>
      <c r="AI67" s="39">
        <f t="shared" si="36"/>
        <v>50.219548872180447</v>
      </c>
      <c r="AJ67" s="39">
        <f t="shared" si="37"/>
        <v>50.219548872180447</v>
      </c>
      <c r="AK67">
        <f t="shared" si="38"/>
        <v>54.586466232413535</v>
      </c>
      <c r="AL67">
        <f t="shared" si="39"/>
        <v>50.219548939180449</v>
      </c>
    </row>
    <row r="68" spans="1:38" ht="15">
      <c r="A68" t="s">
        <v>431</v>
      </c>
      <c r="B68">
        <v>0.42</v>
      </c>
      <c r="C68">
        <v>300000</v>
      </c>
      <c r="D68">
        <v>300000</v>
      </c>
      <c r="E68">
        <v>300000</v>
      </c>
      <c r="F68" t="s">
        <v>389</v>
      </c>
      <c r="G68" t="s">
        <v>178</v>
      </c>
      <c r="H68" t="s">
        <v>12</v>
      </c>
      <c r="I68">
        <v>152000</v>
      </c>
      <c r="K68" t="str">
        <f t="shared" si="20"/>
        <v/>
      </c>
      <c r="L68" t="str">
        <f t="shared" si="21"/>
        <v>كفوف صناعية</v>
      </c>
      <c r="M68" s="36">
        <f t="shared" si="22"/>
        <v>7.5187969924812026E-5</v>
      </c>
      <c r="N68" s="37">
        <f t="shared" si="23"/>
        <v>11.428571428571429</v>
      </c>
      <c r="O68" s="37">
        <f t="shared" si="24"/>
        <v>22.556390977443609</v>
      </c>
      <c r="P68" s="38">
        <f t="shared" si="25"/>
        <v>0.42</v>
      </c>
      <c r="Q68" s="39">
        <f t="shared" si="26"/>
        <v>4.8</v>
      </c>
      <c r="R68" s="39">
        <f t="shared" si="27"/>
        <v>9.473684210526315</v>
      </c>
      <c r="S68">
        <f t="shared" si="28"/>
        <v>1</v>
      </c>
      <c r="T68" s="39">
        <f t="shared" si="29"/>
        <v>4.6736842105263152</v>
      </c>
      <c r="U68" t="str">
        <f t="shared" si="30"/>
        <v/>
      </c>
      <c r="V68">
        <f>IF(L68="","",IF($AO$1=1,IFERROR(MATCH(L68,'06-حزيران'!$L$2:$L$499,0),0),0))</f>
        <v>163</v>
      </c>
      <c r="W68" t="str">
        <f t="shared" si="31"/>
        <v/>
      </c>
      <c r="X68" s="38">
        <f>IF(L68="","",IF(V68&gt;0,INDEX('06-حزيران'!$P$2:$P$499,V68),IF($AO$1=1,0,"")))</f>
        <v>0.17</v>
      </c>
      <c r="Y68" s="38">
        <f t="shared" si="32"/>
        <v>0.24999999999999997</v>
      </c>
      <c r="Z68" s="39">
        <f>IF(L68="","",IF(V68&gt;0,INDEX('06-حزيران'!$Q$2:$Q$499,V68),IF($AO$1=1,0,"")))</f>
        <v>1.9575757575757577</v>
      </c>
      <c r="AA68" s="39">
        <f t="shared" si="33"/>
        <v>2.8424242424242419</v>
      </c>
      <c r="AB68" s="40">
        <f>IF(OR(L68="",V68=0),"",IF(AND(N(I68)&gt;0,N(INDEX('06-حزيران'!$I$2:$I$499,V68))&gt;0,INDEX('06-حزيران'!$F$2:$F$499,V68)=F68),N(I68)/N(INDEX('06-حزيران'!$I$2:$I$499,V68))-1,""))</f>
        <v>0</v>
      </c>
      <c r="AC68" t="str">
        <f>IF(L68="","",IF(AND($AO$2=1,ISNA(MATCH(L68,'08-آب'!$L$2:$L$501,0))),"محذوف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2.8424243104242417</v>
      </c>
      <c r="AH68" s="39">
        <f t="shared" si="35"/>
        <v>4.6736842105263152</v>
      </c>
      <c r="AI68" s="39">
        <f t="shared" si="36"/>
        <v>4.6736842105263152</v>
      </c>
      <c r="AJ68" s="39">
        <f t="shared" si="37"/>
        <v>4.6736842105263152</v>
      </c>
      <c r="AK68">
        <f t="shared" si="38"/>
        <v>4.8000000680000001</v>
      </c>
      <c r="AL68">
        <f t="shared" si="39"/>
        <v>4.6736842785263155</v>
      </c>
    </row>
    <row r="69" spans="1:38" ht="15">
      <c r="A69" t="s">
        <v>432</v>
      </c>
      <c r="B69">
        <v>0</v>
      </c>
      <c r="C69">
        <v>25000</v>
      </c>
      <c r="D69">
        <v>25000</v>
      </c>
      <c r="E69">
        <v>25000</v>
      </c>
      <c r="F69" t="s">
        <v>389</v>
      </c>
      <c r="G69" t="s">
        <v>178</v>
      </c>
      <c r="H69" t="s">
        <v>12</v>
      </c>
      <c r="I69">
        <v>0</v>
      </c>
      <c r="K69" t="str">
        <f t="shared" si="20"/>
        <v/>
      </c>
      <c r="L69" t="str">
        <f t="shared" si="21"/>
        <v>كفوف جلي</v>
      </c>
      <c r="M69" s="36">
        <f t="shared" si="22"/>
        <v>7.5187969924812026E-5</v>
      </c>
      <c r="N69" s="37">
        <f t="shared" si="23"/>
        <v>0</v>
      </c>
      <c r="O69" s="37">
        <f t="shared" si="24"/>
        <v>1.8796992481203008</v>
      </c>
      <c r="P69" s="38">
        <f t="shared" si="25"/>
        <v>0</v>
      </c>
      <c r="Q69" s="39">
        <f t="shared" si="26"/>
        <v>0</v>
      </c>
      <c r="R69" s="39">
        <f t="shared" si="27"/>
        <v>0</v>
      </c>
      <c r="S69">
        <f t="shared" si="28"/>
        <v>0</v>
      </c>
      <c r="T69" s="39">
        <f t="shared" si="29"/>
        <v>0</v>
      </c>
      <c r="U69" t="str">
        <f t="shared" si="30"/>
        <v/>
      </c>
      <c r="V69">
        <f>IF(L69="","",IF($AO$1=1,IFERROR(MATCH(L69,'06-حزيران'!$L$2:$L$499,0),0),0))</f>
        <v>164</v>
      </c>
      <c r="W69" t="str">
        <f t="shared" si="31"/>
        <v/>
      </c>
      <c r="X69" s="38">
        <f>IF(L69="","",IF(V69&gt;0,INDEX('06-حزيران'!$P$2:$P$499,V69),IF($AO$1=1,0,"")))</f>
        <v>0</v>
      </c>
      <c r="Y69" s="38">
        <f t="shared" si="32"/>
        <v>0</v>
      </c>
      <c r="Z69" s="39">
        <f>IF(L69="","",IF(V69&gt;0,INDEX('06-حزيران'!$Q$2:$Q$499,V69),IF($AO$1=1,0,"")))</f>
        <v>0</v>
      </c>
      <c r="AA69" s="39">
        <f t="shared" si="33"/>
        <v>0</v>
      </c>
      <c r="AB69" s="40" t="str">
        <f>IF(OR(L69="",V69=0),"",IF(AND(N(I69)&gt;0,N(INDEX('06-حزيران'!$I$2:$I$499,V69))&gt;0,INDEX('06-حزيران'!$F$2:$F$499,V69)=F69),N(I69)/N(INDEX('06-حزيران'!$I$2:$I$499,V69))-1,""))</f>
        <v/>
      </c>
      <c r="AC69" t="str">
        <f>IF(L69="","",IF(AND($AO$2=1,ISNA(MATCH(L69,'08-آب'!$L$2:$L$501,0))),"محذوف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6.8999999999999996E-8</v>
      </c>
      <c r="AH69" s="39">
        <f t="shared" si="35"/>
        <v>0</v>
      </c>
      <c r="AI69" s="39">
        <f t="shared" si="36"/>
        <v>0</v>
      </c>
      <c r="AJ69" s="39">
        <f t="shared" si="37"/>
        <v>0</v>
      </c>
      <c r="AK69">
        <f t="shared" si="38"/>
        <v>6.8999999999999996E-8</v>
      </c>
      <c r="AL69">
        <f t="shared" si="39"/>
        <v>6.8999999999999996E-8</v>
      </c>
    </row>
    <row r="70" spans="1:38" ht="15">
      <c r="A70" t="s">
        <v>433</v>
      </c>
      <c r="B70">
        <v>4</v>
      </c>
      <c r="C70">
        <v>0</v>
      </c>
      <c r="D70">
        <v>0</v>
      </c>
      <c r="E70">
        <v>0</v>
      </c>
      <c r="F70" t="s">
        <v>389</v>
      </c>
      <c r="G70" t="s">
        <v>178</v>
      </c>
      <c r="H70" t="s">
        <v>176</v>
      </c>
      <c r="I70">
        <v>10000</v>
      </c>
      <c r="K70" t="str">
        <f t="shared" si="20"/>
        <v/>
      </c>
      <c r="L70" t="str">
        <f t="shared" si="21"/>
        <v>كريك بلاستيك</v>
      </c>
      <c r="M70" s="36">
        <f t="shared" si="22"/>
        <v>7.5187969924812026E-5</v>
      </c>
      <c r="N70" s="37">
        <f t="shared" si="23"/>
        <v>0.75187969924812026</v>
      </c>
      <c r="O70" s="37">
        <f t="shared" si="24"/>
        <v>0</v>
      </c>
      <c r="P70" s="38">
        <f t="shared" si="25"/>
        <v>4</v>
      </c>
      <c r="Q70" s="39">
        <f t="shared" si="26"/>
        <v>3.007518796992481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IF(L70="","",IF($AO$1=1,IFERROR(MATCH(L70,'06-حزيران'!$L$2:$L$499,0),0),0))</f>
        <v>165</v>
      </c>
      <c r="W70" t="str">
        <f t="shared" si="31"/>
        <v/>
      </c>
      <c r="X70" s="38">
        <f>IF(L70="","",IF(V70&gt;0,INDEX('06-حزيران'!$P$2:$P$499,V70),IF($AO$1=1,0,"")))</f>
        <v>1</v>
      </c>
      <c r="Y70" s="38">
        <f t="shared" si="32"/>
        <v>3</v>
      </c>
      <c r="Z70" s="39">
        <f>IF(L70="","",IF(V70&gt;0,INDEX('06-حزيران'!$Q$2:$Q$499,V70),IF($AO$1=1,0,"")))</f>
        <v>0.75757575757575757</v>
      </c>
      <c r="AA70" s="39">
        <f t="shared" si="33"/>
        <v>2.2499430394167232</v>
      </c>
      <c r="AB70" s="40">
        <f>IF(OR(L70="",V70=0),"",IF(AND(N(I70)&gt;0,N(INDEX('06-حزيران'!$I$2:$I$499,V70))&gt;0,INDEX('06-حزيران'!$F$2:$F$499,V70)=F70),N(I70)/N(INDEX('06-حزيران'!$I$2:$I$499,V70))-1,""))</f>
        <v>0</v>
      </c>
      <c r="AC70" t="str">
        <f>IF(L70="","",IF(AND($AO$2=1,ISNA(MATCH(L70,'08-آب'!$L$2:$L$501,0))),"محذوف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2.2499431094167233</v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3.0075188669924811</v>
      </c>
      <c r="AL70">
        <f t="shared" si="39"/>
        <v>7.0000000000000005E-8</v>
      </c>
    </row>
    <row r="71" spans="1:38" ht="15">
      <c r="A71" t="s">
        <v>292</v>
      </c>
      <c r="B71">
        <v>24</v>
      </c>
      <c r="C71">
        <v>0</v>
      </c>
      <c r="D71">
        <v>0</v>
      </c>
      <c r="E71">
        <v>0</v>
      </c>
      <c r="F71" t="s">
        <v>268</v>
      </c>
      <c r="G71" t="s">
        <v>178</v>
      </c>
      <c r="H71" t="s">
        <v>176</v>
      </c>
      <c r="I71">
        <v>1.8</v>
      </c>
      <c r="K71" t="str">
        <f t="shared" si="20"/>
        <v/>
      </c>
      <c r="L71" t="str">
        <f t="shared" si="21"/>
        <v>كحول (ايثانول)</v>
      </c>
      <c r="M71" s="36">
        <f t="shared" si="22"/>
        <v>1</v>
      </c>
      <c r="N71" s="37">
        <f t="shared" si="23"/>
        <v>1.8</v>
      </c>
      <c r="O71" s="37">
        <f t="shared" si="24"/>
        <v>0</v>
      </c>
      <c r="P71" s="38">
        <f t="shared" si="25"/>
        <v>24</v>
      </c>
      <c r="Q71" s="39">
        <f t="shared" si="26"/>
        <v>43.2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IF(L71="","",IF($AO$1=1,IFERROR(MATCH(L71,'06-حزيران'!$L$2:$L$499,0),0),0))</f>
        <v>25</v>
      </c>
      <c r="W71" t="str">
        <f t="shared" si="31"/>
        <v/>
      </c>
      <c r="X71" s="38">
        <f>IF(L71="","",IF(V71&gt;0,INDEX('06-حزيران'!$P$2:$P$499,V71),IF($AO$1=1,0,"")))</f>
        <v>25</v>
      </c>
      <c r="Y71" s="38">
        <f t="shared" si="32"/>
        <v>-1</v>
      </c>
      <c r="Z71" s="39">
        <f>IF(L71="","",IF(V71&gt;0,INDEX('06-حزيران'!$Q$2:$Q$499,V71),IF($AO$1=1,0,"")))</f>
        <v>45</v>
      </c>
      <c r="AA71" s="39">
        <f t="shared" si="33"/>
        <v>-1.7999999999999972</v>
      </c>
      <c r="AB71" s="40">
        <f>IF(OR(L71="",V71=0),"",IF(AND(N(I71)&gt;0,N(INDEX('06-حزيران'!$I$2:$I$499,V71))&gt;0,INDEX('06-حزيران'!$F$2:$F$499,V71)=F71),N(I71)/N(INDEX('06-حزيران'!$I$2:$I$499,V71))-1,""))</f>
        <v>0</v>
      </c>
      <c r="AC71" t="str">
        <f>IF(L71="","",IF(AND($AO$2=1,ISNA(MATCH(L71,'08-آب'!$L$2:$L$501,0))),"محذوف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1.8000000709999973</v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43.200000071000005</v>
      </c>
      <c r="AL71">
        <f t="shared" si="39"/>
        <v>7.1E-8</v>
      </c>
    </row>
    <row r="72" spans="1:38" ht="15">
      <c r="A72" t="s">
        <v>434</v>
      </c>
      <c r="B72">
        <v>13</v>
      </c>
      <c r="C72">
        <v>10000</v>
      </c>
      <c r="D72">
        <v>10000</v>
      </c>
      <c r="E72">
        <v>10000</v>
      </c>
      <c r="F72" t="s">
        <v>389</v>
      </c>
      <c r="G72" t="s">
        <v>178</v>
      </c>
      <c r="H72" t="s">
        <v>12</v>
      </c>
      <c r="I72">
        <v>8000</v>
      </c>
      <c r="K72" t="str">
        <f t="shared" si="20"/>
        <v/>
      </c>
      <c r="L72" t="str">
        <f t="shared" si="21"/>
        <v>كاسات شاي صغيرة 17 *6</v>
      </c>
      <c r="M72" s="36">
        <f t="shared" si="22"/>
        <v>7.5187969924812026E-5</v>
      </c>
      <c r="N72" s="37">
        <f t="shared" si="23"/>
        <v>0.60150375939849621</v>
      </c>
      <c r="O72" s="37">
        <f t="shared" si="24"/>
        <v>0.75187969924812026</v>
      </c>
      <c r="P72" s="38">
        <f t="shared" si="25"/>
        <v>13</v>
      </c>
      <c r="Q72" s="39">
        <f t="shared" si="26"/>
        <v>7.8195488721804507</v>
      </c>
      <c r="R72" s="39">
        <f t="shared" si="27"/>
        <v>9.7744360902255636</v>
      </c>
      <c r="S72">
        <f t="shared" si="28"/>
        <v>1</v>
      </c>
      <c r="T72" s="39">
        <f t="shared" si="29"/>
        <v>1.9548872180451129</v>
      </c>
      <c r="U72" t="str">
        <f t="shared" si="30"/>
        <v/>
      </c>
      <c r="V72">
        <f>IF(L72="","",IF($AO$1=1,IFERROR(MATCH(L72,'06-حزيران'!$L$2:$L$499,0),0),0))</f>
        <v>166</v>
      </c>
      <c r="W72" t="str">
        <f t="shared" si="31"/>
        <v/>
      </c>
      <c r="X72" s="38">
        <f>IF(L72="","",IF(V72&gt;0,INDEX('06-حزيران'!$P$2:$P$499,V72),IF($AO$1=1,0,"")))</f>
        <v>13</v>
      </c>
      <c r="Y72" s="38">
        <f t="shared" si="32"/>
        <v>0</v>
      </c>
      <c r="Z72" s="39">
        <f>IF(L72="","",IF(V72&gt;0,INDEX('06-حزيران'!$Q$2:$Q$499,V72),IF($AO$1=1,0,"")))</f>
        <v>7.8787878787878789</v>
      </c>
      <c r="AA72" s="39">
        <f t="shared" si="33"/>
        <v>-5.9239006607428202E-2</v>
      </c>
      <c r="AB72" s="40">
        <f>IF(OR(L72="",V72=0),"",IF(AND(N(I72)&gt;0,N(INDEX('06-حزيران'!$I$2:$I$499,V72))&gt;0,INDEX('06-حزيران'!$F$2:$F$499,V72)=F72),N(I72)/N(INDEX('06-حزيران'!$I$2:$I$499,V72))-1,""))</f>
        <v>0</v>
      </c>
      <c r="AC72" t="str">
        <f>IF(L72="","",IF(AND($AO$2=1,ISNA(MATCH(L72,'08-آب'!$L$2:$L$501,0))),"محذوف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5.9239078607428199E-2</v>
      </c>
      <c r="AH72" s="39">
        <f t="shared" si="35"/>
        <v>1.9548872180451127</v>
      </c>
      <c r="AI72" s="39">
        <f t="shared" si="36"/>
        <v>1.9548872180451127</v>
      </c>
      <c r="AJ72" s="39">
        <f t="shared" si="37"/>
        <v>1.9548872180451127</v>
      </c>
      <c r="AK72">
        <f t="shared" si="38"/>
        <v>7.8195489441804504</v>
      </c>
      <c r="AL72">
        <f t="shared" si="39"/>
        <v>1.9548872900451129</v>
      </c>
    </row>
    <row r="73" spans="1:38" ht="15">
      <c r="A73" t="s">
        <v>293</v>
      </c>
      <c r="B73">
        <v>0</v>
      </c>
      <c r="C73">
        <v>0</v>
      </c>
      <c r="D73">
        <v>0</v>
      </c>
      <c r="E73">
        <v>0</v>
      </c>
      <c r="F73" t="s">
        <v>268</v>
      </c>
      <c r="G73" t="s">
        <v>178</v>
      </c>
      <c r="H73" t="s">
        <v>177</v>
      </c>
      <c r="I73">
        <v>25.4</v>
      </c>
      <c r="K73" t="str">
        <f t="shared" si="20"/>
        <v/>
      </c>
      <c r="L73" t="str">
        <f t="shared" si="21"/>
        <v>قاشط سيارات خام</v>
      </c>
      <c r="M73" s="36">
        <f t="shared" si="22"/>
        <v>1</v>
      </c>
      <c r="N73" s="37">
        <f t="shared" si="23"/>
        <v>25.4</v>
      </c>
      <c r="O73" s="37">
        <f t="shared" si="24"/>
        <v>0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IF(L73="","",IF($AO$1=1,IFERROR(MATCH(L73,'06-حزيران'!$L$2:$L$499,0),0),0))</f>
        <v>26</v>
      </c>
      <c r="W73" t="str">
        <f t="shared" si="31"/>
        <v/>
      </c>
      <c r="X73" s="38">
        <f>IF(L73="","",IF(V73&gt;0,INDEX('06-حزيران'!$P$2:$P$499,V73),IF($AO$1=1,0,"")))</f>
        <v>0</v>
      </c>
      <c r="Y73" s="38">
        <f t="shared" si="32"/>
        <v>0</v>
      </c>
      <c r="Z73" s="39">
        <f>IF(L73="","",IF(V73&gt;0,INDEX('06-حزيران'!$Q$2:$Q$499,V73),IF($AO$1=1,0,"")))</f>
        <v>0</v>
      </c>
      <c r="AA73" s="39">
        <f t="shared" si="33"/>
        <v>0</v>
      </c>
      <c r="AB73" s="40">
        <f>IF(OR(L73="",V73=0),"",IF(AND(N(I73)&gt;0,N(INDEX('06-حزيران'!$I$2:$I$499,V73))&gt;0,INDEX('06-حزيران'!$F$2:$F$499,V73)=F73),N(I73)/N(INDEX('06-حزيران'!$I$2:$I$499,V73))-1,""))</f>
        <v>0</v>
      </c>
      <c r="AC73" t="str">
        <f>IF(L73="","",IF(AND($AO$2=1,ISNA(MATCH(L73,'08-آب'!$L$2:$L$501,0))),"محذوف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435</v>
      </c>
      <c r="B74">
        <v>0</v>
      </c>
      <c r="C74">
        <v>7000</v>
      </c>
      <c r="D74">
        <v>7000</v>
      </c>
      <c r="E74">
        <v>7000</v>
      </c>
      <c r="F74" t="s">
        <v>389</v>
      </c>
      <c r="G74" t="s">
        <v>178</v>
      </c>
      <c r="H74" t="s">
        <v>12</v>
      </c>
      <c r="I74">
        <v>0</v>
      </c>
      <c r="K74" t="str">
        <f t="shared" si="20"/>
        <v/>
      </c>
      <c r="L74" t="str">
        <f t="shared" si="21"/>
        <v>قاشط سيارات / فرط</v>
      </c>
      <c r="M74" s="36">
        <f t="shared" si="22"/>
        <v>7.5187969924812026E-5</v>
      </c>
      <c r="N74" s="37">
        <f t="shared" si="23"/>
        <v>0</v>
      </c>
      <c r="O74" s="37">
        <f t="shared" si="24"/>
        <v>0.52631578947368418</v>
      </c>
      <c r="P74" s="38">
        <f t="shared" si="25"/>
        <v>0</v>
      </c>
      <c r="Q74" s="39">
        <f t="shared" si="26"/>
        <v>0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IF(L74="","",IF($AO$1=1,IFERROR(MATCH(L74,'06-حزيران'!$L$2:$L$499,0),0),0))</f>
        <v>167</v>
      </c>
      <c r="W74" t="str">
        <f t="shared" si="31"/>
        <v/>
      </c>
      <c r="X74" s="38">
        <f>IF(L74="","",IF(V74&gt;0,INDEX('06-حزيران'!$P$2:$P$499,V74),IF($AO$1=1,0,"")))</f>
        <v>0</v>
      </c>
      <c r="Y74" s="38">
        <f t="shared" si="32"/>
        <v>0</v>
      </c>
      <c r="Z74" s="39">
        <f>IF(L74="","",IF(V74&gt;0,INDEX('06-حزيران'!$Q$2:$Q$499,V74),IF($AO$1=1,0,"")))</f>
        <v>0</v>
      </c>
      <c r="AA74" s="39">
        <f t="shared" si="33"/>
        <v>0</v>
      </c>
      <c r="AB74" s="40" t="str">
        <f>IF(OR(L74="",V74=0),"",IF(AND(N(I74)&gt;0,N(INDEX('06-حزيران'!$I$2:$I$499,V74))&gt;0,INDEX('06-حزيران'!$F$2:$F$499,V74)=F74),N(I74)/N(INDEX('06-حزيران'!$I$2:$I$499,V74))-1,""))</f>
        <v/>
      </c>
      <c r="AC74" t="str">
        <f>IF(L74="","",IF(AND($AO$2=1,ISNA(MATCH(L74,'08-آب'!$L$2:$L$501,0))),"محذوف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7.4000000000000001E-8</v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7.4000000000000001E-8</v>
      </c>
      <c r="AL74">
        <f t="shared" si="39"/>
        <v>7.4000000000000001E-8</v>
      </c>
    </row>
    <row r="75" spans="1:38" ht="15">
      <c r="A75" t="s">
        <v>294</v>
      </c>
      <c r="B75">
        <v>0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177</v>
      </c>
      <c r="I75">
        <v>414</v>
      </c>
      <c r="K75" t="str">
        <f t="shared" si="20"/>
        <v/>
      </c>
      <c r="L75" t="str">
        <f t="shared" si="21"/>
        <v>قاشط خام</v>
      </c>
      <c r="M75" s="36">
        <f t="shared" si="22"/>
        <v>1</v>
      </c>
      <c r="N75" s="37">
        <f t="shared" si="23"/>
        <v>414</v>
      </c>
      <c r="O75" s="37">
        <f t="shared" si="24"/>
        <v>0</v>
      </c>
      <c r="P75" s="38">
        <f t="shared" si="25"/>
        <v>0</v>
      </c>
      <c r="Q75" s="39">
        <f t="shared" si="26"/>
        <v>0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IF(L75="","",IF($AO$1=1,IFERROR(MATCH(L75,'06-حزيران'!$L$2:$L$499,0),0),0))</f>
        <v>27</v>
      </c>
      <c r="W75" t="str">
        <f t="shared" si="31"/>
        <v/>
      </c>
      <c r="X75" s="38">
        <f>IF(L75="","",IF(V75&gt;0,INDEX('06-حزيران'!$P$2:$P$499,V75),IF($AO$1=1,0,"")))</f>
        <v>0</v>
      </c>
      <c r="Y75" s="38">
        <f t="shared" si="32"/>
        <v>0</v>
      </c>
      <c r="Z75" s="39">
        <f>IF(L75="","",IF(V75&gt;0,INDEX('06-حزيران'!$Q$2:$Q$499,V75),IF($AO$1=1,0,"")))</f>
        <v>0</v>
      </c>
      <c r="AA75" s="39">
        <f t="shared" si="33"/>
        <v>0</v>
      </c>
      <c r="AB75" s="40">
        <f>IF(OR(L75="",V75=0),"",IF(AND(N(I75)&gt;0,N(INDEX('06-حزيران'!$I$2:$I$499,V75))&gt;0,INDEX('06-حزيران'!$F$2:$F$499,V75)=F75),N(I75)/N(INDEX('06-حزيران'!$I$2:$I$499,V75))-1,""))</f>
        <v>0</v>
      </c>
      <c r="AC75" t="str">
        <f>IF(L75="","",IF(AND($AO$2=1,ISNA(MATCH(L75,'08-آب'!$L$2:$L$501,0))),"محذوف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7.4999999999999997E-8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7.4999999999999997E-8</v>
      </c>
      <c r="AL75">
        <f t="shared" si="39"/>
        <v>7.4999999999999997E-8</v>
      </c>
    </row>
    <row r="76" spans="1:38" ht="15">
      <c r="A76" t="s">
        <v>436</v>
      </c>
      <c r="B76">
        <v>760.5</v>
      </c>
      <c r="C76">
        <v>13000</v>
      </c>
      <c r="D76">
        <v>13000</v>
      </c>
      <c r="E76">
        <v>13000</v>
      </c>
      <c r="F76" t="s">
        <v>389</v>
      </c>
      <c r="G76" t="s">
        <v>178</v>
      </c>
      <c r="H76" t="s">
        <v>12</v>
      </c>
      <c r="I76">
        <v>7200</v>
      </c>
      <c r="K76" t="str">
        <f t="shared" si="20"/>
        <v/>
      </c>
      <c r="L76" t="str">
        <f t="shared" si="21"/>
        <v>قاشط المينيوم - ساندي / فرط</v>
      </c>
      <c r="M76" s="36">
        <f t="shared" si="22"/>
        <v>7.5187969924812026E-5</v>
      </c>
      <c r="N76" s="37">
        <f t="shared" si="23"/>
        <v>0.54135338345864659</v>
      </c>
      <c r="O76" s="37">
        <f t="shared" si="24"/>
        <v>0.97744360902255634</v>
      </c>
      <c r="P76" s="38">
        <f t="shared" si="25"/>
        <v>760.5</v>
      </c>
      <c r="Q76" s="39">
        <f t="shared" si="26"/>
        <v>411.69924812030075</v>
      </c>
      <c r="R76" s="39">
        <f t="shared" si="27"/>
        <v>743.3458646616541</v>
      </c>
      <c r="S76">
        <f t="shared" si="28"/>
        <v>1</v>
      </c>
      <c r="T76" s="39">
        <f t="shared" si="29"/>
        <v>331.64661654135335</v>
      </c>
      <c r="U76" t="str">
        <f t="shared" si="30"/>
        <v/>
      </c>
      <c r="V76">
        <f>IF(L76="","",IF($AO$1=1,IFERROR(MATCH(L76,'06-حزيران'!$L$2:$L$499,0),0),0))</f>
        <v>168</v>
      </c>
      <c r="W76" t="str">
        <f t="shared" si="31"/>
        <v/>
      </c>
      <c r="X76" s="38">
        <f>IF(L76="","",IF(V76&gt;0,INDEX('06-حزيران'!$P$2:$P$499,V76),IF($AO$1=1,0,"")))</f>
        <v>761.5</v>
      </c>
      <c r="Y76" s="38">
        <f t="shared" si="32"/>
        <v>-1</v>
      </c>
      <c r="Z76" s="39">
        <f>IF(L76="","",IF(V76&gt;0,INDEX('06-حزيران'!$Q$2:$Q$499,V76),IF($AO$1=1,0,"")))</f>
        <v>415.36363636363632</v>
      </c>
      <c r="AA76" s="39">
        <f t="shared" si="33"/>
        <v>-3.6643882433355657</v>
      </c>
      <c r="AB76" s="40">
        <f>IF(OR(L76="",V76=0),"",IF(AND(N(I76)&gt;0,N(INDEX('06-حزيران'!$I$2:$I$499,V76))&gt;0,INDEX('06-حزيران'!$F$2:$F$499,V76)=F76),N(I76)/N(INDEX('06-حزيران'!$I$2:$I$499,V76))-1,""))</f>
        <v>0</v>
      </c>
      <c r="AC76" t="str">
        <f>IF(L76="","",IF(AND($AO$2=1,ISNA(MATCH(L76,'08-آب'!$L$2:$L$501,0))),"محذوف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3.6643883193355657</v>
      </c>
      <c r="AH76" s="39">
        <f t="shared" si="35"/>
        <v>331.64661654135335</v>
      </c>
      <c r="AI76" s="39">
        <f t="shared" si="36"/>
        <v>331.64661654135335</v>
      </c>
      <c r="AJ76" s="39">
        <f t="shared" si="37"/>
        <v>331.64661654135335</v>
      </c>
      <c r="AK76">
        <f t="shared" si="38"/>
        <v>411.69924819630074</v>
      </c>
      <c r="AL76">
        <f t="shared" si="39"/>
        <v>331.64661661735335</v>
      </c>
    </row>
    <row r="77" spans="1:38" ht="15">
      <c r="A77" t="s">
        <v>437</v>
      </c>
      <c r="B77">
        <v>59</v>
      </c>
      <c r="C77">
        <v>40000</v>
      </c>
      <c r="D77">
        <v>40000</v>
      </c>
      <c r="E77">
        <v>40000</v>
      </c>
      <c r="F77" t="s">
        <v>389</v>
      </c>
      <c r="G77" t="s">
        <v>178</v>
      </c>
      <c r="H77" t="s">
        <v>12</v>
      </c>
      <c r="I77">
        <v>25000</v>
      </c>
      <c r="K77" t="str">
        <f t="shared" si="20"/>
        <v/>
      </c>
      <c r="L77" t="str">
        <f t="shared" si="21"/>
        <v>قاشط المينيوم 3 لتر</v>
      </c>
      <c r="M77" s="36">
        <f t="shared" si="22"/>
        <v>7.5187969924812026E-5</v>
      </c>
      <c r="N77" s="37">
        <f t="shared" si="23"/>
        <v>1.8796992481203008</v>
      </c>
      <c r="O77" s="37">
        <f t="shared" si="24"/>
        <v>3.007518796992481</v>
      </c>
      <c r="P77" s="38">
        <f t="shared" si="25"/>
        <v>59</v>
      </c>
      <c r="Q77" s="39">
        <f t="shared" si="26"/>
        <v>110.90225563909775</v>
      </c>
      <c r="R77" s="39">
        <f t="shared" si="27"/>
        <v>177.44360902255639</v>
      </c>
      <c r="S77">
        <f t="shared" si="28"/>
        <v>1</v>
      </c>
      <c r="T77" s="39">
        <f t="shared" si="29"/>
        <v>66.541353383458642</v>
      </c>
      <c r="U77" t="str">
        <f t="shared" si="30"/>
        <v/>
      </c>
      <c r="V77">
        <f>IF(L77="","",IF($AO$1=1,IFERROR(MATCH(L77,'06-حزيران'!$L$2:$L$499,0),0),0))</f>
        <v>169</v>
      </c>
      <c r="W77" t="str">
        <f t="shared" si="31"/>
        <v/>
      </c>
      <c r="X77" s="38">
        <f>IF(L77="","",IF(V77&gt;0,INDEX('06-حزيران'!$P$2:$P$499,V77),IF($AO$1=1,0,"")))</f>
        <v>134</v>
      </c>
      <c r="Y77" s="38">
        <f t="shared" si="32"/>
        <v>-75</v>
      </c>
      <c r="Z77" s="39">
        <f>IF(L77="","",IF(V77&gt;0,INDEX('06-حزيران'!$Q$2:$Q$499,V77),IF($AO$1=1,0,"")))</f>
        <v>253.78787878787881</v>
      </c>
      <c r="AA77" s="39">
        <f t="shared" si="33"/>
        <v>-142.88562314878106</v>
      </c>
      <c r="AB77" s="40">
        <f>IF(OR(L77="",V77=0),"",IF(AND(N(I77)&gt;0,N(INDEX('06-حزيران'!$I$2:$I$499,V77))&gt;0,INDEX('06-حزيران'!$F$2:$F$499,V77)=F77),N(I77)/N(INDEX('06-حزيران'!$I$2:$I$499,V77))-1,""))</f>
        <v>0</v>
      </c>
      <c r="AC77" t="str">
        <f>IF(L77="","",IF(AND($AO$2=1,ISNA(MATCH(L77,'08-آب'!$L$2:$L$501,0))),"محذوف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142.88562322578107</v>
      </c>
      <c r="AH77" s="39">
        <f t="shared" si="35"/>
        <v>66.541353383458642</v>
      </c>
      <c r="AI77" s="39">
        <f t="shared" si="36"/>
        <v>66.541353383458642</v>
      </c>
      <c r="AJ77" s="39">
        <f t="shared" si="37"/>
        <v>66.541353383458642</v>
      </c>
      <c r="AK77">
        <f t="shared" si="38"/>
        <v>110.90225571609774</v>
      </c>
      <c r="AL77">
        <f t="shared" si="39"/>
        <v>66.541353460458637</v>
      </c>
    </row>
    <row r="78" spans="1:38" ht="15">
      <c r="A78" t="s">
        <v>295</v>
      </c>
      <c r="B78">
        <v>1.36</v>
      </c>
      <c r="C78">
        <v>0</v>
      </c>
      <c r="D78">
        <v>0</v>
      </c>
      <c r="E78">
        <v>0</v>
      </c>
      <c r="F78" t="s">
        <v>268</v>
      </c>
      <c r="G78" t="s">
        <v>178</v>
      </c>
      <c r="H78" t="s">
        <v>176</v>
      </c>
      <c r="I78">
        <v>28.8</v>
      </c>
      <c r="K78" t="str">
        <f t="shared" si="20"/>
        <v/>
      </c>
      <c r="L78" t="str">
        <f t="shared" si="21"/>
        <v>فورمول ( سم )</v>
      </c>
      <c r="M78" s="36">
        <f t="shared" si="22"/>
        <v>1</v>
      </c>
      <c r="N78" s="37">
        <f t="shared" si="23"/>
        <v>28.8</v>
      </c>
      <c r="O78" s="37">
        <f t="shared" si="24"/>
        <v>0</v>
      </c>
      <c r="P78" s="38">
        <f t="shared" si="25"/>
        <v>1.36</v>
      </c>
      <c r="Q78" s="39">
        <f t="shared" si="26"/>
        <v>39.168000000000006</v>
      </c>
      <c r="R78" s="39">
        <f t="shared" si="27"/>
        <v>0</v>
      </c>
      <c r="S78">
        <f t="shared" si="28"/>
        <v>0</v>
      </c>
      <c r="T78" s="39">
        <f t="shared" si="29"/>
        <v>0</v>
      </c>
      <c r="U78" t="str">
        <f t="shared" si="30"/>
        <v/>
      </c>
      <c r="V78">
        <f>IF(L78="","",IF($AO$1=1,IFERROR(MATCH(L78,'06-حزيران'!$L$2:$L$499,0),0),0))</f>
        <v>28</v>
      </c>
      <c r="W78" t="str">
        <f t="shared" si="31"/>
        <v/>
      </c>
      <c r="X78" s="38">
        <f>IF(L78="","",IF(V78&gt;0,INDEX('06-حزيران'!$P$2:$P$499,V78),IF($AO$1=1,0,"")))</f>
        <v>1.73</v>
      </c>
      <c r="Y78" s="38">
        <f t="shared" si="32"/>
        <v>-0.36999999999999988</v>
      </c>
      <c r="Z78" s="39">
        <f>IF(L78="","",IF(V78&gt;0,INDEX('06-حزيران'!$Q$2:$Q$499,V78),IF($AO$1=1,0,"")))</f>
        <v>49.823999999999998</v>
      </c>
      <c r="AA78" s="39">
        <f t="shared" si="33"/>
        <v>-10.655999999999992</v>
      </c>
      <c r="AB78" s="40">
        <f>IF(OR(L78="",V78=0),"",IF(AND(N(I78)&gt;0,N(INDEX('06-حزيران'!$I$2:$I$499,V78))&gt;0,INDEX('06-حزيران'!$F$2:$F$499,V78)=F78),N(I78)/N(INDEX('06-حزيران'!$I$2:$I$499,V78))-1,""))</f>
        <v>0</v>
      </c>
      <c r="AC78" t="str">
        <f>IF(L78="","",IF(AND($AO$2=1,ISNA(MATCH(L78,'08-آب'!$L$2:$L$501,0))),"محذوف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10.656000077999991</v>
      </c>
      <c r="AH78" s="39">
        <f t="shared" si="35"/>
        <v>0</v>
      </c>
      <c r="AI78" s="39">
        <f t="shared" si="36"/>
        <v>0</v>
      </c>
      <c r="AJ78" s="39">
        <f t="shared" si="37"/>
        <v>0</v>
      </c>
      <c r="AK78">
        <f t="shared" si="38"/>
        <v>39.168000078000006</v>
      </c>
      <c r="AL78">
        <f t="shared" si="39"/>
        <v>7.7999999999999997E-8</v>
      </c>
    </row>
    <row r="79" spans="1:38" ht="15">
      <c r="A79" t="s">
        <v>438</v>
      </c>
      <c r="B79">
        <v>108</v>
      </c>
      <c r="C79">
        <v>18000</v>
      </c>
      <c r="D79">
        <v>18000</v>
      </c>
      <c r="E79">
        <v>18000</v>
      </c>
      <c r="F79" t="s">
        <v>389</v>
      </c>
      <c r="G79" t="s">
        <v>178</v>
      </c>
      <c r="H79" t="s">
        <v>12</v>
      </c>
      <c r="I79">
        <v>6250</v>
      </c>
      <c r="K79" t="str">
        <f t="shared" si="20"/>
        <v/>
      </c>
      <c r="L79" t="str">
        <f t="shared" si="21"/>
        <v>فلاش 4 لتر</v>
      </c>
      <c r="M79" s="36">
        <f t="shared" si="22"/>
        <v>7.5187969924812026E-5</v>
      </c>
      <c r="N79" s="37">
        <f t="shared" si="23"/>
        <v>0.46992481203007519</v>
      </c>
      <c r="O79" s="37">
        <f t="shared" si="24"/>
        <v>1.3533834586466165</v>
      </c>
      <c r="P79" s="38">
        <f t="shared" si="25"/>
        <v>108</v>
      </c>
      <c r="Q79" s="39">
        <f t="shared" si="26"/>
        <v>50.751879699248121</v>
      </c>
      <c r="R79" s="39">
        <f t="shared" si="27"/>
        <v>146.16541353383457</v>
      </c>
      <c r="S79">
        <f t="shared" si="28"/>
        <v>1</v>
      </c>
      <c r="T79" s="39">
        <f t="shared" si="29"/>
        <v>95.413533834586445</v>
      </c>
      <c r="U79" t="str">
        <f t="shared" si="30"/>
        <v/>
      </c>
      <c r="V79">
        <f>IF(L79="","",IF($AO$1=1,IFERROR(MATCH(L79,'06-حزيران'!$L$2:$L$499,0),0),0))</f>
        <v>170</v>
      </c>
      <c r="W79" t="str">
        <f t="shared" si="31"/>
        <v/>
      </c>
      <c r="X79" s="38">
        <f>IF(L79="","",IF(V79&gt;0,INDEX('06-حزيران'!$P$2:$P$499,V79),IF($AO$1=1,0,"")))</f>
        <v>124</v>
      </c>
      <c r="Y79" s="38">
        <f t="shared" si="32"/>
        <v>-16</v>
      </c>
      <c r="Z79" s="39">
        <f>IF(L79="","",IF(V79&gt;0,INDEX('06-حزيران'!$Q$2:$Q$499,V79),IF($AO$1=1,0,"")))</f>
        <v>58.712121212121218</v>
      </c>
      <c r="AA79" s="39">
        <f t="shared" si="33"/>
        <v>-7.9602415128730968</v>
      </c>
      <c r="AB79" s="40">
        <f>IF(OR(L79="",V79=0),"",IF(AND(N(I79)&gt;0,N(INDEX('06-حزيران'!$I$2:$I$499,V79))&gt;0,INDEX('06-حزيران'!$F$2:$F$499,V79)=F79),N(I79)/N(INDEX('06-حزيران'!$I$2:$I$499,V79))-1,""))</f>
        <v>0</v>
      </c>
      <c r="AC79" t="str">
        <f>IF(L79="","",IF(AND($AO$2=1,ISNA(MATCH(L79,'08-آب'!$L$2:$L$501,0))),"محذوف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7.9602415918730971</v>
      </c>
      <c r="AH79" s="39">
        <f t="shared" si="35"/>
        <v>95.41353383458646</v>
      </c>
      <c r="AI79" s="39">
        <f t="shared" si="36"/>
        <v>95.41353383458646</v>
      </c>
      <c r="AJ79" s="39">
        <f t="shared" si="37"/>
        <v>95.41353383458646</v>
      </c>
      <c r="AK79">
        <f t="shared" si="38"/>
        <v>50.751879778248124</v>
      </c>
      <c r="AL79">
        <f t="shared" si="39"/>
        <v>95.413533913586448</v>
      </c>
    </row>
    <row r="80" spans="1:38" ht="15">
      <c r="A80" t="s">
        <v>439</v>
      </c>
      <c r="B80">
        <v>86</v>
      </c>
      <c r="C80">
        <v>5000</v>
      </c>
      <c r="D80">
        <v>5000</v>
      </c>
      <c r="E80">
        <v>5000</v>
      </c>
      <c r="F80" t="s">
        <v>389</v>
      </c>
      <c r="G80" t="s">
        <v>178</v>
      </c>
      <c r="H80" t="s">
        <v>12</v>
      </c>
      <c r="I80">
        <v>1080</v>
      </c>
      <c r="K80" t="str">
        <f t="shared" si="20"/>
        <v/>
      </c>
      <c r="L80" t="str">
        <f t="shared" si="21"/>
        <v>فلاش / فرط</v>
      </c>
      <c r="M80" s="36">
        <f t="shared" si="22"/>
        <v>7.5187969924812026E-5</v>
      </c>
      <c r="N80" s="37">
        <f t="shared" si="23"/>
        <v>8.1203007518796985E-2</v>
      </c>
      <c r="O80" s="37">
        <f t="shared" si="24"/>
        <v>0.37593984962406013</v>
      </c>
      <c r="P80" s="38">
        <f t="shared" si="25"/>
        <v>86</v>
      </c>
      <c r="Q80" s="39">
        <f t="shared" si="26"/>
        <v>6.9834586466165405</v>
      </c>
      <c r="R80" s="39">
        <f t="shared" si="27"/>
        <v>32.330827067669169</v>
      </c>
      <c r="S80">
        <f t="shared" si="28"/>
        <v>1</v>
      </c>
      <c r="T80" s="39">
        <f t="shared" si="29"/>
        <v>25.347368421052629</v>
      </c>
      <c r="U80" t="str">
        <f t="shared" si="30"/>
        <v/>
      </c>
      <c r="V80">
        <f>IF(L80="","",IF($AO$1=1,IFERROR(MATCH(L80,'06-حزيران'!$L$2:$L$499,0),0),0))</f>
        <v>171</v>
      </c>
      <c r="W80" t="str">
        <f t="shared" si="31"/>
        <v/>
      </c>
      <c r="X80" s="38">
        <f>IF(L80="","",IF(V80&gt;0,INDEX('06-حزيران'!$P$2:$P$499,V80),IF($AO$1=1,0,"")))</f>
        <v>321</v>
      </c>
      <c r="Y80" s="38">
        <f t="shared" si="32"/>
        <v>-235</v>
      </c>
      <c r="Z80" s="39">
        <f>IF(L80="","",IF(V80&gt;0,INDEX('06-حزيران'!$Q$2:$Q$499,V80),IF($AO$1=1,0,"")))</f>
        <v>26.263636363636362</v>
      </c>
      <c r="AA80" s="39">
        <f t="shared" si="33"/>
        <v>-19.280177717019821</v>
      </c>
      <c r="AB80" s="40">
        <f>IF(OR(L80="",V80=0),"",IF(AND(N(I80)&gt;0,N(INDEX('06-حزيران'!$I$2:$I$499,V80))&gt;0,INDEX('06-حزيران'!$F$2:$F$499,V80)=F80),N(I80)/N(INDEX('06-حزيران'!$I$2:$I$499,V80))-1,""))</f>
        <v>0</v>
      </c>
      <c r="AC80" t="str">
        <f>IF(L80="","",IF(AND($AO$2=1,ISNA(MATCH(L80,'08-آب'!$L$2:$L$501,0))),"محذوف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19.280177797019821</v>
      </c>
      <c r="AH80" s="39">
        <f t="shared" si="35"/>
        <v>25.347368421052629</v>
      </c>
      <c r="AI80" s="39">
        <f t="shared" si="36"/>
        <v>25.347368421052629</v>
      </c>
      <c r="AJ80" s="39">
        <f t="shared" si="37"/>
        <v>25.347368421052629</v>
      </c>
      <c r="AK80">
        <f t="shared" si="38"/>
        <v>6.9834587266165409</v>
      </c>
      <c r="AL80">
        <f t="shared" si="39"/>
        <v>25.347368501052628</v>
      </c>
    </row>
    <row r="81" spans="1:38" ht="15">
      <c r="A81" t="s">
        <v>440</v>
      </c>
      <c r="B81">
        <v>0</v>
      </c>
      <c r="C81">
        <v>0</v>
      </c>
      <c r="D81">
        <v>0</v>
      </c>
      <c r="E81">
        <v>0</v>
      </c>
      <c r="F81" t="s">
        <v>389</v>
      </c>
      <c r="G81" t="s">
        <v>178</v>
      </c>
      <c r="H81" t="s">
        <v>12</v>
      </c>
      <c r="I81">
        <v>0</v>
      </c>
      <c r="K81" t="str">
        <f t="shared" si="20"/>
        <v/>
      </c>
      <c r="L81" t="str">
        <f t="shared" si="21"/>
        <v>فرشاية بسط</v>
      </c>
      <c r="M81" s="36">
        <f t="shared" si="22"/>
        <v>7.5187969924812026E-5</v>
      </c>
      <c r="N81" s="37">
        <f t="shared" si="23"/>
        <v>0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IF(L81="","",IF($AO$1=1,IFERROR(MATCH(L81,'06-حزيران'!$L$2:$L$499,0),0),0))</f>
        <v>172</v>
      </c>
      <c r="W81" t="str">
        <f t="shared" si="31"/>
        <v/>
      </c>
      <c r="X81" s="38">
        <f>IF(L81="","",IF(V81&gt;0,INDEX('06-حزيران'!$P$2:$P$499,V81),IF($AO$1=1,0,"")))</f>
        <v>0</v>
      </c>
      <c r="Y81" s="38">
        <f t="shared" si="32"/>
        <v>0</v>
      </c>
      <c r="Z81" s="39">
        <f>IF(L81="","",IF(V81&gt;0,INDEX('06-حزيران'!$Q$2:$Q$499,V81),IF($AO$1=1,0,"")))</f>
        <v>0</v>
      </c>
      <c r="AA81" s="39">
        <f t="shared" si="33"/>
        <v>0</v>
      </c>
      <c r="AB81" s="40" t="str">
        <f>IF(OR(L81="",V81=0),"",IF(AND(N(I81)&gt;0,N(INDEX('06-حزيران'!$I$2:$I$499,V81))&gt;0,INDEX('06-حزيران'!$F$2:$F$499,V81)=F81),N(I81)/N(INDEX('06-حزيران'!$I$2:$I$499,V81))-1,""))</f>
        <v/>
      </c>
      <c r="AC81" t="str">
        <f>IF(L81="","",IF(AND($AO$2=1,ISNA(MATCH(L81,'08-آب'!$L$2:$L$501,0))),"محذوف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441</v>
      </c>
      <c r="B82">
        <v>0</v>
      </c>
      <c r="C82">
        <v>0</v>
      </c>
      <c r="D82">
        <v>0</v>
      </c>
      <c r="E82">
        <v>0</v>
      </c>
      <c r="F82" t="s">
        <v>389</v>
      </c>
      <c r="G82" t="s">
        <v>178</v>
      </c>
      <c r="H82" t="s">
        <v>12</v>
      </c>
      <c r="I82">
        <v>0</v>
      </c>
      <c r="K82" t="str">
        <f t="shared" si="20"/>
        <v/>
      </c>
      <c r="L82" t="str">
        <f t="shared" si="21"/>
        <v>فرشاة حمام</v>
      </c>
      <c r="M82" s="36">
        <f t="shared" si="22"/>
        <v>7.5187969924812026E-5</v>
      </c>
      <c r="N82" s="37">
        <f t="shared" si="23"/>
        <v>0</v>
      </c>
      <c r="O82" s="37">
        <f t="shared" si="24"/>
        <v>0</v>
      </c>
      <c r="P82" s="38">
        <f t="shared" si="25"/>
        <v>0</v>
      </c>
      <c r="Q82" s="39">
        <f t="shared" si="26"/>
        <v>0</v>
      </c>
      <c r="R82" s="39">
        <f t="shared" si="27"/>
        <v>0</v>
      </c>
      <c r="S82">
        <f t="shared" si="28"/>
        <v>0</v>
      </c>
      <c r="T82" s="39">
        <f t="shared" si="29"/>
        <v>0</v>
      </c>
      <c r="U82" t="str">
        <f t="shared" si="30"/>
        <v/>
      </c>
      <c r="V82">
        <f>IF(L82="","",IF($AO$1=1,IFERROR(MATCH(L82,'06-حزيران'!$L$2:$L$499,0),0),0))</f>
        <v>173</v>
      </c>
      <c r="W82" t="str">
        <f t="shared" si="31"/>
        <v/>
      </c>
      <c r="X82" s="38">
        <f>IF(L82="","",IF(V82&gt;0,INDEX('06-حزيران'!$P$2:$P$499,V82),IF($AO$1=1,0,"")))</f>
        <v>0</v>
      </c>
      <c r="Y82" s="38">
        <f t="shared" si="32"/>
        <v>0</v>
      </c>
      <c r="Z82" s="39">
        <f>IF(L82="","",IF(V82&gt;0,INDEX('06-حزيران'!$Q$2:$Q$499,V82),IF($AO$1=1,0,"")))</f>
        <v>0</v>
      </c>
      <c r="AA82" s="39">
        <f t="shared" si="33"/>
        <v>0</v>
      </c>
      <c r="AB82" s="40" t="str">
        <f>IF(OR(L82="",V82=0),"",IF(AND(N(I82)&gt;0,N(INDEX('06-حزيران'!$I$2:$I$499,V82))&gt;0,INDEX('06-حزيران'!$F$2:$F$499,V82)=F82),N(I82)/N(INDEX('06-حزيران'!$I$2:$I$499,V82))-1,""))</f>
        <v/>
      </c>
      <c r="AC82" t="str">
        <f>IF(L82="","",IF(AND($AO$2=1,ISNA(MATCH(L82,'08-آب'!$L$2:$L$501,0))),"محذوف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8.2000000000000006E-8</v>
      </c>
      <c r="AH82" s="39">
        <f t="shared" si="35"/>
        <v>0</v>
      </c>
      <c r="AI82" s="39">
        <f t="shared" si="36"/>
        <v>0</v>
      </c>
      <c r="AJ82" s="39">
        <f t="shared" si="37"/>
        <v>0</v>
      </c>
      <c r="AK82">
        <f t="shared" si="38"/>
        <v>8.2000000000000006E-8</v>
      </c>
      <c r="AL82">
        <f t="shared" si="39"/>
        <v>8.2000000000000006E-8</v>
      </c>
    </row>
    <row r="83" spans="1:38" ht="15">
      <c r="A83" t="s">
        <v>442</v>
      </c>
      <c r="B83">
        <v>0</v>
      </c>
      <c r="C83">
        <v>32000</v>
      </c>
      <c r="D83">
        <v>32000</v>
      </c>
      <c r="E83">
        <v>32000</v>
      </c>
      <c r="F83" t="s">
        <v>389</v>
      </c>
      <c r="G83" t="s">
        <v>178</v>
      </c>
      <c r="H83" t="s">
        <v>176</v>
      </c>
      <c r="I83">
        <v>21000</v>
      </c>
      <c r="K83" t="str">
        <f t="shared" si="20"/>
        <v/>
      </c>
      <c r="L83" t="str">
        <f t="shared" si="21"/>
        <v>فازلين</v>
      </c>
      <c r="M83" s="36">
        <f t="shared" si="22"/>
        <v>7.5187969924812026E-5</v>
      </c>
      <c r="N83" s="37">
        <f t="shared" si="23"/>
        <v>1.5789473684210527</v>
      </c>
      <c r="O83" s="37">
        <f t="shared" si="24"/>
        <v>2.4060150375939848</v>
      </c>
      <c r="P83" s="38">
        <f t="shared" si="25"/>
        <v>0</v>
      </c>
      <c r="Q83" s="39">
        <f t="shared" si="26"/>
        <v>0</v>
      </c>
      <c r="R83" s="39">
        <f t="shared" si="27"/>
        <v>0</v>
      </c>
      <c r="S83">
        <f t="shared" si="28"/>
        <v>0</v>
      </c>
      <c r="T83" s="39">
        <f t="shared" si="29"/>
        <v>0</v>
      </c>
      <c r="U83" t="str">
        <f t="shared" si="30"/>
        <v/>
      </c>
      <c r="V83">
        <f>IF(L83="","",IF($AO$1=1,IFERROR(MATCH(L83,'06-حزيران'!$L$2:$L$499,0),0),0))</f>
        <v>174</v>
      </c>
      <c r="W83" t="str">
        <f t="shared" si="31"/>
        <v/>
      </c>
      <c r="X83" s="38">
        <f>IF(L83="","",IF(V83&gt;0,INDEX('06-حزيران'!$P$2:$P$499,V83),IF($AO$1=1,0,"")))</f>
        <v>0</v>
      </c>
      <c r="Y83" s="38">
        <f t="shared" si="32"/>
        <v>0</v>
      </c>
      <c r="Z83" s="39">
        <f>IF(L83="","",IF(V83&gt;0,INDEX('06-حزيران'!$Q$2:$Q$499,V83),IF($AO$1=1,0,"")))</f>
        <v>0</v>
      </c>
      <c r="AA83" s="39">
        <f t="shared" si="33"/>
        <v>0</v>
      </c>
      <c r="AB83" s="40">
        <f>IF(OR(L83="",V83=0),"",IF(AND(N(I83)&gt;0,N(INDEX('06-حزيران'!$I$2:$I$499,V83))&gt;0,INDEX('06-حزيران'!$F$2:$F$499,V83)=F83),N(I83)/N(INDEX('06-حزيران'!$I$2:$I$499,V83))-1,""))</f>
        <v>0</v>
      </c>
      <c r="AC83" t="str">
        <f>IF(L83="","",IF(AND($AO$2=1,ISNA(MATCH(L83,'08-آب'!$L$2:$L$501,0))),"محذوف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8.3000000000000002E-8</v>
      </c>
      <c r="AH83" s="39">
        <f t="shared" si="35"/>
        <v>0</v>
      </c>
      <c r="AI83" s="39">
        <f t="shared" si="36"/>
        <v>0</v>
      </c>
      <c r="AJ83" s="39">
        <f t="shared" si="37"/>
        <v>0</v>
      </c>
      <c r="AK83">
        <f t="shared" si="38"/>
        <v>8.3000000000000002E-8</v>
      </c>
      <c r="AL83">
        <f t="shared" si="39"/>
        <v>8.3000000000000002E-8</v>
      </c>
    </row>
    <row r="84" spans="1:38" ht="15">
      <c r="A84" t="s">
        <v>443</v>
      </c>
      <c r="B84">
        <v>1</v>
      </c>
      <c r="C84">
        <v>5000</v>
      </c>
      <c r="D84">
        <v>5000</v>
      </c>
      <c r="E84">
        <v>5000</v>
      </c>
      <c r="F84" t="s">
        <v>389</v>
      </c>
      <c r="G84" t="s">
        <v>178</v>
      </c>
      <c r="H84" t="s">
        <v>12</v>
      </c>
      <c r="I84">
        <v>4500</v>
      </c>
      <c r="K84" t="str">
        <f t="shared" si="20"/>
        <v/>
      </c>
      <c r="L84" t="str">
        <f t="shared" si="21"/>
        <v>فاربن مزيل شعر</v>
      </c>
      <c r="M84" s="36">
        <f t="shared" si="22"/>
        <v>7.5187969924812026E-5</v>
      </c>
      <c r="N84" s="37">
        <f t="shared" si="23"/>
        <v>0.33834586466165412</v>
      </c>
      <c r="O84" s="37">
        <f t="shared" si="24"/>
        <v>0.37593984962406013</v>
      </c>
      <c r="P84" s="38">
        <f t="shared" si="25"/>
        <v>1</v>
      </c>
      <c r="Q84" s="39">
        <f t="shared" si="26"/>
        <v>0.33834586466165412</v>
      </c>
      <c r="R84" s="39">
        <f t="shared" si="27"/>
        <v>0.37593984962406013</v>
      </c>
      <c r="S84">
        <f t="shared" si="28"/>
        <v>1</v>
      </c>
      <c r="T84" s="39">
        <f t="shared" si="29"/>
        <v>3.7593984962406013E-2</v>
      </c>
      <c r="U84" t="str">
        <f t="shared" si="30"/>
        <v/>
      </c>
      <c r="V84">
        <f>IF(L84="","",IF($AO$1=1,IFERROR(MATCH(L84,'06-حزيران'!$L$2:$L$499,0),0),0))</f>
        <v>175</v>
      </c>
      <c r="W84" t="str">
        <f t="shared" si="31"/>
        <v/>
      </c>
      <c r="X84" s="38">
        <f>IF(L84="","",IF(V84&gt;0,INDEX('06-حزيران'!$P$2:$P$499,V84),IF($AO$1=1,0,"")))</f>
        <v>1</v>
      </c>
      <c r="Y84" s="38">
        <f t="shared" si="32"/>
        <v>0</v>
      </c>
      <c r="Z84" s="39">
        <f>IF(L84="","",IF(V84&gt;0,INDEX('06-حزيران'!$Q$2:$Q$499,V84),IF($AO$1=1,0,"")))</f>
        <v>0.34090909090909088</v>
      </c>
      <c r="AA84" s="39">
        <f t="shared" si="33"/>
        <v>-2.5632262474367673E-3</v>
      </c>
      <c r="AB84" s="40">
        <f>IF(OR(L84="",V84=0),"",IF(AND(N(I84)&gt;0,N(INDEX('06-حزيران'!$I$2:$I$499,V84))&gt;0,INDEX('06-حزيران'!$F$2:$F$499,V84)=F84),N(I84)/N(INDEX('06-حزيران'!$I$2:$I$499,V84))-1,""))</f>
        <v>0</v>
      </c>
      <c r="AC84" t="str">
        <f>IF(L84="","",IF(AND($AO$2=1,ISNA(MATCH(L84,'08-آب'!$L$2:$L$501,0))),"محذوف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2.5633102474367673E-3</v>
      </c>
      <c r="AH84" s="39">
        <f t="shared" si="35"/>
        <v>3.7593984962406013E-2</v>
      </c>
      <c r="AI84" s="39">
        <f t="shared" si="36"/>
        <v>3.7593984962406013E-2</v>
      </c>
      <c r="AJ84" s="39">
        <f t="shared" si="37"/>
        <v>3.7593984962406013E-2</v>
      </c>
      <c r="AK84">
        <f t="shared" si="38"/>
        <v>0.33834594866165413</v>
      </c>
      <c r="AL84">
        <f t="shared" si="39"/>
        <v>3.759406896240601E-2</v>
      </c>
    </row>
    <row r="85" spans="1:38" ht="15">
      <c r="A85" t="s">
        <v>296</v>
      </c>
      <c r="B85">
        <v>79.400000000000006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176</v>
      </c>
      <c r="I85">
        <v>3</v>
      </c>
      <c r="K85" t="str">
        <f t="shared" si="20"/>
        <v/>
      </c>
      <c r="L85" t="str">
        <f t="shared" si="21"/>
        <v>فاتي كحول</v>
      </c>
      <c r="M85" s="36">
        <f t="shared" si="22"/>
        <v>1</v>
      </c>
      <c r="N85" s="37">
        <f t="shared" si="23"/>
        <v>3</v>
      </c>
      <c r="O85" s="37">
        <f t="shared" si="24"/>
        <v>0</v>
      </c>
      <c r="P85" s="38">
        <f t="shared" si="25"/>
        <v>79.400000000000006</v>
      </c>
      <c r="Q85" s="39">
        <f t="shared" si="26"/>
        <v>238.20000000000002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IF(L85="","",IF($AO$1=1,IFERROR(MATCH(L85,'06-حزيران'!$L$2:$L$499,0),0),0))</f>
        <v>29</v>
      </c>
      <c r="W85" t="str">
        <f t="shared" si="31"/>
        <v/>
      </c>
      <c r="X85" s="38">
        <f>IF(L85="","",IF(V85&gt;0,INDEX('06-حزيران'!$P$2:$P$499,V85),IF($AO$1=1,0,"")))</f>
        <v>251.4</v>
      </c>
      <c r="Y85" s="38">
        <f t="shared" si="32"/>
        <v>-172</v>
      </c>
      <c r="Z85" s="39">
        <f>IF(L85="","",IF(V85&gt;0,INDEX('06-حزيران'!$Q$2:$Q$499,V85),IF($AO$1=1,0,"")))</f>
        <v>754.2</v>
      </c>
      <c r="AA85" s="39">
        <f t="shared" si="33"/>
        <v>-516</v>
      </c>
      <c r="AB85" s="40">
        <f>IF(OR(L85="",V85=0),"",IF(AND(N(I85)&gt;0,N(INDEX('06-حزيران'!$I$2:$I$499,V85))&gt;0,INDEX('06-حزيران'!$F$2:$F$499,V85)=F85),N(I85)/N(INDEX('06-حزيران'!$I$2:$I$499,V85))-1,""))</f>
        <v>0</v>
      </c>
      <c r="AC85" t="str">
        <f>IF(L85="","",IF(AND($AO$2=1,ISNA(MATCH(L85,'08-آب'!$L$2:$L$501,0))),"محذوف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516.00000008500001</v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238.20000008500003</v>
      </c>
      <c r="AL85">
        <f t="shared" si="39"/>
        <v>8.4999999999999994E-8</v>
      </c>
    </row>
    <row r="86" spans="1:38" ht="15">
      <c r="A86" t="s">
        <v>297</v>
      </c>
      <c r="B86">
        <v>100</v>
      </c>
      <c r="C86">
        <v>0</v>
      </c>
      <c r="D86">
        <v>0</v>
      </c>
      <c r="E86">
        <v>0</v>
      </c>
      <c r="F86" t="s">
        <v>268</v>
      </c>
      <c r="G86" t="s">
        <v>178</v>
      </c>
      <c r="H86" t="s">
        <v>176</v>
      </c>
      <c r="I86">
        <v>2.2000000000000002</v>
      </c>
      <c r="K86" t="str">
        <f t="shared" si="20"/>
        <v/>
      </c>
      <c r="L86" t="str">
        <f t="shared" si="21"/>
        <v>غليسيرين</v>
      </c>
      <c r="M86" s="36">
        <f t="shared" si="22"/>
        <v>1</v>
      </c>
      <c r="N86" s="37">
        <f t="shared" si="23"/>
        <v>2.2000000000000002</v>
      </c>
      <c r="O86" s="37">
        <f t="shared" si="24"/>
        <v>0</v>
      </c>
      <c r="P86" s="38">
        <f t="shared" si="25"/>
        <v>100</v>
      </c>
      <c r="Q86" s="39">
        <f t="shared" si="26"/>
        <v>220.00000000000003</v>
      </c>
      <c r="R86" s="39">
        <f t="shared" si="27"/>
        <v>0</v>
      </c>
      <c r="S86">
        <f t="shared" si="28"/>
        <v>0</v>
      </c>
      <c r="T86" s="39">
        <f t="shared" si="29"/>
        <v>0</v>
      </c>
      <c r="U86" t="str">
        <f t="shared" si="30"/>
        <v/>
      </c>
      <c r="V86">
        <f>IF(L86="","",IF($AO$1=1,IFERROR(MATCH(L86,'06-حزيران'!$L$2:$L$499,0),0),0))</f>
        <v>30</v>
      </c>
      <c r="W86" t="str">
        <f t="shared" si="31"/>
        <v/>
      </c>
      <c r="X86" s="38">
        <f>IF(L86="","",IF(V86&gt;0,INDEX('06-حزيران'!$P$2:$P$499,V86),IF($AO$1=1,0,"")))</f>
        <v>0</v>
      </c>
      <c r="Y86" s="38">
        <f t="shared" si="32"/>
        <v>100</v>
      </c>
      <c r="Z86" s="39">
        <f>IF(L86="","",IF(V86&gt;0,INDEX('06-حزيران'!$Q$2:$Q$499,V86),IF($AO$1=1,0,"")))</f>
        <v>0</v>
      </c>
      <c r="AA86" s="39">
        <f t="shared" si="33"/>
        <v>220.00000000000003</v>
      </c>
      <c r="AB86" s="40">
        <f>IF(OR(L86="",V86=0),"",IF(AND(N(I86)&gt;0,N(INDEX('06-حزيران'!$I$2:$I$499,V86))&gt;0,INDEX('06-حزيران'!$F$2:$F$499,V86)=F86),N(I86)/N(INDEX('06-حزيران'!$I$2:$I$499,V86))-1,""))</f>
        <v>0</v>
      </c>
      <c r="AC86" t="str">
        <f>IF(L86="","",IF(AND($AO$2=1,ISNA(MATCH(L86,'08-آب'!$L$2:$L$501,0))),"محذوف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220.00000008600003</v>
      </c>
      <c r="AH86" s="39">
        <f t="shared" si="35"/>
        <v>0</v>
      </c>
      <c r="AI86" s="39">
        <f t="shared" si="36"/>
        <v>0</v>
      </c>
      <c r="AJ86" s="39">
        <f t="shared" si="37"/>
        <v>0</v>
      </c>
      <c r="AK86">
        <f t="shared" si="38"/>
        <v>220.00000008600003</v>
      </c>
      <c r="AL86">
        <f t="shared" si="39"/>
        <v>8.6000000000000002E-8</v>
      </c>
    </row>
    <row r="87" spans="1:38" ht="15">
      <c r="A87" t="s">
        <v>298</v>
      </c>
      <c r="B87">
        <v>3</v>
      </c>
      <c r="C87">
        <v>0</v>
      </c>
      <c r="D87">
        <v>0</v>
      </c>
      <c r="E87">
        <v>0</v>
      </c>
      <c r="F87" t="s">
        <v>268</v>
      </c>
      <c r="G87" t="s">
        <v>178</v>
      </c>
      <c r="H87" t="s">
        <v>176</v>
      </c>
      <c r="I87">
        <v>4.5</v>
      </c>
      <c r="K87" t="str">
        <f t="shared" si="20"/>
        <v/>
      </c>
      <c r="L87" t="str">
        <f t="shared" si="21"/>
        <v>غطا عبوة 3لتر</v>
      </c>
      <c r="M87" s="36">
        <f t="shared" si="22"/>
        <v>1</v>
      </c>
      <c r="N87" s="37">
        <f t="shared" si="23"/>
        <v>4.5</v>
      </c>
      <c r="O87" s="37">
        <f t="shared" si="24"/>
        <v>0</v>
      </c>
      <c r="P87" s="38">
        <f t="shared" si="25"/>
        <v>3</v>
      </c>
      <c r="Q87" s="39">
        <f t="shared" si="26"/>
        <v>13.5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IF(L87="","",IF($AO$1=1,IFERROR(MATCH(L87,'06-حزيران'!$L$2:$L$499,0),0),0))</f>
        <v>31</v>
      </c>
      <c r="W87" t="str">
        <f t="shared" si="31"/>
        <v/>
      </c>
      <c r="X87" s="38">
        <f>IF(L87="","",IF(V87&gt;0,INDEX('06-حزيران'!$P$2:$P$499,V87),IF($AO$1=1,0,"")))</f>
        <v>3</v>
      </c>
      <c r="Y87" s="38">
        <f t="shared" si="32"/>
        <v>0</v>
      </c>
      <c r="Z87" s="39">
        <f>IF(L87="","",IF(V87&gt;0,INDEX('06-حزيران'!$Q$2:$Q$499,V87),IF($AO$1=1,0,"")))</f>
        <v>13.5</v>
      </c>
      <c r="AA87" s="39">
        <f t="shared" si="33"/>
        <v>0</v>
      </c>
      <c r="AB87" s="40">
        <f>IF(OR(L87="",V87=0),"",IF(AND(N(I87)&gt;0,N(INDEX('06-حزيران'!$I$2:$I$499,V87))&gt;0,INDEX('06-حزيران'!$F$2:$F$499,V87)=F87),N(I87)/N(INDEX('06-حزيران'!$I$2:$I$499,V87))-1,""))</f>
        <v>0</v>
      </c>
      <c r="AC87" t="str">
        <f>IF(L87="","",IF(AND($AO$2=1,ISNA(MATCH(L87,'08-آب'!$L$2:$L$501,0))),"محذوف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8.6999999999999998E-8</v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13.500000087</v>
      </c>
      <c r="AL87">
        <f t="shared" si="39"/>
        <v>8.6999999999999998E-8</v>
      </c>
    </row>
    <row r="88" spans="1:38" ht="15">
      <c r="A88" t="s">
        <v>299</v>
      </c>
      <c r="B88">
        <v>0</v>
      </c>
      <c r="C88">
        <v>0</v>
      </c>
      <c r="D88">
        <v>0</v>
      </c>
      <c r="E88">
        <v>0</v>
      </c>
      <c r="F88" t="s">
        <v>268</v>
      </c>
      <c r="G88" t="s">
        <v>178</v>
      </c>
      <c r="H88" t="s">
        <v>177</v>
      </c>
      <c r="I88">
        <v>165</v>
      </c>
      <c r="K88" t="str">
        <f t="shared" si="20"/>
        <v/>
      </c>
      <c r="L88" t="str">
        <f t="shared" si="21"/>
        <v>عملاق خام</v>
      </c>
      <c r="M88" s="36">
        <f t="shared" si="22"/>
        <v>1</v>
      </c>
      <c r="N88" s="37">
        <f t="shared" si="23"/>
        <v>165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IF(L88="","",IF($AO$1=1,IFERROR(MATCH(L88,'06-حزيران'!$L$2:$L$499,0),0),0))</f>
        <v>32</v>
      </c>
      <c r="W88" t="str">
        <f t="shared" si="31"/>
        <v/>
      </c>
      <c r="X88" s="38">
        <f>IF(L88="","",IF(V88&gt;0,INDEX('06-حزيران'!$P$2:$P$499,V88),IF($AO$1=1,0,"")))</f>
        <v>0</v>
      </c>
      <c r="Y88" s="38">
        <f t="shared" si="32"/>
        <v>0</v>
      </c>
      <c r="Z88" s="39">
        <f>IF(L88="","",IF(V88&gt;0,INDEX('06-حزيران'!$Q$2:$Q$499,V88),IF($AO$1=1,0,"")))</f>
        <v>0</v>
      </c>
      <c r="AA88" s="39">
        <f t="shared" si="33"/>
        <v>0</v>
      </c>
      <c r="AB88" s="40">
        <f>IF(OR(L88="",V88=0),"",IF(AND(N(I88)&gt;0,N(INDEX('06-حزيران'!$I$2:$I$499,V88))&gt;0,INDEX('06-حزيران'!$F$2:$F$499,V88)=F88),N(I88)/N(INDEX('06-حزيران'!$I$2:$I$499,V88))-1,""))</f>
        <v>0</v>
      </c>
      <c r="AC88" t="str">
        <f>IF(L88="","",IF(AND($AO$2=1,ISNA(MATCH(L88,'08-آب'!$L$2:$L$501,0))),"محذوف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444</v>
      </c>
      <c r="B89">
        <v>0</v>
      </c>
      <c r="C89">
        <v>0</v>
      </c>
      <c r="D89">
        <v>0</v>
      </c>
      <c r="E89">
        <v>0</v>
      </c>
      <c r="F89" t="s">
        <v>389</v>
      </c>
      <c r="G89" t="s">
        <v>178</v>
      </c>
      <c r="H89" t="s">
        <v>12</v>
      </c>
      <c r="I89">
        <v>0</v>
      </c>
      <c r="K89" t="str">
        <f t="shared" si="20"/>
        <v/>
      </c>
      <c r="L89" t="str">
        <f t="shared" si="21"/>
        <v>عملاق 3 لتر</v>
      </c>
      <c r="M89" s="36">
        <f t="shared" si="22"/>
        <v>7.5187969924812026E-5</v>
      </c>
      <c r="N89" s="37">
        <f t="shared" si="23"/>
        <v>0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IF(L89="","",IF($AO$1=1,IFERROR(MATCH(L89,'06-حزيران'!$L$2:$L$499,0),0),0))</f>
        <v>176</v>
      </c>
      <c r="W89" t="str">
        <f t="shared" si="31"/>
        <v/>
      </c>
      <c r="X89" s="38">
        <f>IF(L89="","",IF(V89&gt;0,INDEX('06-حزيران'!$P$2:$P$499,V89),IF($AO$1=1,0,"")))</f>
        <v>0</v>
      </c>
      <c r="Y89" s="38">
        <f t="shared" si="32"/>
        <v>0</v>
      </c>
      <c r="Z89" s="39">
        <f>IF(L89="","",IF(V89&gt;0,INDEX('06-حزيران'!$Q$2:$Q$499,V89),IF($AO$1=1,0,"")))</f>
        <v>0</v>
      </c>
      <c r="AA89" s="39">
        <f t="shared" si="33"/>
        <v>0</v>
      </c>
      <c r="AB89" s="40" t="str">
        <f>IF(OR(L89="",V89=0),"",IF(AND(N(I89)&gt;0,N(INDEX('06-حزيران'!$I$2:$I$499,V89))&gt;0,INDEX('06-حزيران'!$F$2:$F$499,V89)=F89),N(I89)/N(INDEX('06-حزيران'!$I$2:$I$499,V89))-1,""))</f>
        <v/>
      </c>
      <c r="AC89" t="str">
        <f>IF(L89="","",IF(AND($AO$2=1,ISNA(MATCH(L89,'08-آب'!$L$2:$L$501,0))),"محذوف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8.9000000000000003E-8</v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445</v>
      </c>
      <c r="B90">
        <v>36.5</v>
      </c>
      <c r="C90">
        <v>13000</v>
      </c>
      <c r="D90">
        <v>13000</v>
      </c>
      <c r="E90">
        <v>13000</v>
      </c>
      <c r="F90" t="s">
        <v>389</v>
      </c>
      <c r="G90" t="s">
        <v>178</v>
      </c>
      <c r="H90" t="s">
        <v>12</v>
      </c>
      <c r="I90">
        <v>9000</v>
      </c>
      <c r="K90" t="str">
        <f t="shared" si="20"/>
        <v/>
      </c>
      <c r="L90" t="str">
        <f t="shared" si="21"/>
        <v>عملاق</v>
      </c>
      <c r="M90" s="36">
        <f t="shared" si="22"/>
        <v>7.5187969924812026E-5</v>
      </c>
      <c r="N90" s="37">
        <f t="shared" si="23"/>
        <v>0.67669172932330823</v>
      </c>
      <c r="O90" s="37">
        <f t="shared" si="24"/>
        <v>0.97744360902255634</v>
      </c>
      <c r="P90" s="38">
        <f t="shared" si="25"/>
        <v>36.5</v>
      </c>
      <c r="Q90" s="39">
        <f t="shared" si="26"/>
        <v>24.699248120300751</v>
      </c>
      <c r="R90" s="39">
        <f t="shared" si="27"/>
        <v>35.676691729323309</v>
      </c>
      <c r="S90">
        <f t="shared" si="28"/>
        <v>1</v>
      </c>
      <c r="T90" s="39">
        <f t="shared" si="29"/>
        <v>10.977443609022558</v>
      </c>
      <c r="U90" t="str">
        <f t="shared" si="30"/>
        <v/>
      </c>
      <c r="V90">
        <f>IF(L90="","",IF($AO$1=1,IFERROR(MATCH(L90,'06-حزيران'!$L$2:$L$499,0),0),0))</f>
        <v>177</v>
      </c>
      <c r="W90" t="str">
        <f t="shared" si="31"/>
        <v/>
      </c>
      <c r="X90" s="38">
        <f>IF(L90="","",IF(V90&gt;0,INDEX('06-حزيران'!$P$2:$P$499,V90),IF($AO$1=1,0,"")))</f>
        <v>45</v>
      </c>
      <c r="Y90" s="38">
        <f t="shared" si="32"/>
        <v>-8.5</v>
      </c>
      <c r="Z90" s="39">
        <f>IF(L90="","",IF(V90&gt;0,INDEX('06-حزيران'!$Q$2:$Q$499,V90),IF($AO$1=1,0,"")))</f>
        <v>30.68181818181818</v>
      </c>
      <c r="AA90" s="39">
        <f t="shared" si="33"/>
        <v>-5.9825700615174284</v>
      </c>
      <c r="AB90" s="40">
        <f>IF(OR(L90="",V90=0),"",IF(AND(N(I90)&gt;0,N(INDEX('06-حزيران'!$I$2:$I$499,V90))&gt;0,INDEX('06-حزيران'!$F$2:$F$499,V90)=F90),N(I90)/N(INDEX('06-حزيران'!$I$2:$I$499,V90))-1,""))</f>
        <v>0</v>
      </c>
      <c r="AC90" t="str">
        <f>IF(L90="","",IF(AND($AO$2=1,ISNA(MATCH(L90,'08-آب'!$L$2:$L$501,0))),"محذوف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5.9825701515174288</v>
      </c>
      <c r="AH90" s="39">
        <f t="shared" si="35"/>
        <v>10.977443609022556</v>
      </c>
      <c r="AI90" s="39">
        <f t="shared" si="36"/>
        <v>10.977443609022556</v>
      </c>
      <c r="AJ90" s="39">
        <f t="shared" si="37"/>
        <v>10.977443609022556</v>
      </c>
      <c r="AK90">
        <f t="shared" si="38"/>
        <v>24.699248210300752</v>
      </c>
      <c r="AL90">
        <f t="shared" si="39"/>
        <v>10.977443699022558</v>
      </c>
    </row>
    <row r="91" spans="1:38" ht="15">
      <c r="A91" t="s">
        <v>300</v>
      </c>
      <c r="B91">
        <v>0.59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176</v>
      </c>
      <c r="I91">
        <v>312.5</v>
      </c>
      <c r="K91" t="str">
        <f t="shared" si="20"/>
        <v/>
      </c>
      <c r="L91" t="str">
        <f t="shared" si="21"/>
        <v>عطر-نسيم-المحيط ocean-breeze - 327993</v>
      </c>
      <c r="M91" s="36">
        <f t="shared" si="22"/>
        <v>1</v>
      </c>
      <c r="N91" s="37">
        <f t="shared" si="23"/>
        <v>312.5</v>
      </c>
      <c r="O91" s="37">
        <f t="shared" si="24"/>
        <v>0</v>
      </c>
      <c r="P91" s="38">
        <f t="shared" si="25"/>
        <v>0.59</v>
      </c>
      <c r="Q91" s="39">
        <f t="shared" si="26"/>
        <v>184.375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IF(L91="","",IF($AO$1=1,IFERROR(MATCH(L91,'06-حزيران'!$L$2:$L$499,0),0),0))</f>
        <v>33</v>
      </c>
      <c r="W91" t="str">
        <f t="shared" si="31"/>
        <v/>
      </c>
      <c r="X91" s="38">
        <f>IF(L91="","",IF(V91&gt;0,INDEX('06-حزيران'!$P$2:$P$499,V91),IF($AO$1=1,0,"")))</f>
        <v>0.59</v>
      </c>
      <c r="Y91" s="38">
        <f t="shared" si="32"/>
        <v>0</v>
      </c>
      <c r="Z91" s="39">
        <f>IF(L91="","",IF(V91&gt;0,INDEX('06-حزيران'!$Q$2:$Q$499,V91),IF($AO$1=1,0,"")))</f>
        <v>184.375</v>
      </c>
      <c r="AA91" s="39">
        <f t="shared" si="33"/>
        <v>0</v>
      </c>
      <c r="AB91" s="40">
        <f>IF(OR(L91="",V91=0),"",IF(AND(N(I91)&gt;0,N(INDEX('06-حزيران'!$I$2:$I$499,V91))&gt;0,INDEX('06-حزيران'!$F$2:$F$499,V91)=F91),N(I91)/N(INDEX('06-حزيران'!$I$2:$I$499,V91))-1,""))</f>
        <v>0</v>
      </c>
      <c r="AC91" t="str">
        <f>IF(L91="","",IF(AND($AO$2=1,ISNA(MATCH(L91,'08-آب'!$L$2:$L$501,0))),"محذوف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9.0999999999999994E-8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184.375000091</v>
      </c>
      <c r="AL91">
        <f t="shared" si="39"/>
        <v>9.0999999999999994E-8</v>
      </c>
    </row>
    <row r="92" spans="1:38" ht="15">
      <c r="A92" t="s">
        <v>301</v>
      </c>
      <c r="B92">
        <v>0.52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175</v>
      </c>
      <c r="K92" t="str">
        <f t="shared" si="20"/>
        <v/>
      </c>
      <c r="L92" t="str">
        <f t="shared" si="21"/>
        <v>عطر-ليمون shiny-star - 485764</v>
      </c>
      <c r="M92" s="36">
        <f t="shared" si="22"/>
        <v>1</v>
      </c>
      <c r="N92" s="37">
        <f t="shared" si="23"/>
        <v>175</v>
      </c>
      <c r="O92" s="37">
        <f t="shared" si="24"/>
        <v>0</v>
      </c>
      <c r="P92" s="38">
        <f t="shared" si="25"/>
        <v>0.52</v>
      </c>
      <c r="Q92" s="39">
        <f t="shared" si="26"/>
        <v>91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IF(L92="","",IF($AO$1=1,IFERROR(MATCH(L92,'06-حزيران'!$L$2:$L$499,0),0),0))</f>
        <v>34</v>
      </c>
      <c r="W92" t="str">
        <f t="shared" si="31"/>
        <v/>
      </c>
      <c r="X92" s="38">
        <f>IF(L92="","",IF(V92&gt;0,INDEX('06-حزيران'!$P$2:$P$499,V92),IF($AO$1=1,0,"")))</f>
        <v>0.52</v>
      </c>
      <c r="Y92" s="38">
        <f t="shared" si="32"/>
        <v>0</v>
      </c>
      <c r="Z92" s="39">
        <f>IF(L92="","",IF(V92&gt;0,INDEX('06-حزيران'!$Q$2:$Q$499,V92),IF($AO$1=1,0,"")))</f>
        <v>91</v>
      </c>
      <c r="AA92" s="39">
        <f t="shared" si="33"/>
        <v>0</v>
      </c>
      <c r="AB92" s="40">
        <f>IF(OR(L92="",V92=0),"",IF(AND(N(I92)&gt;0,N(INDEX('06-حزيران'!$I$2:$I$499,V92))&gt;0,INDEX('06-حزيران'!$F$2:$F$499,V92)=F92),N(I92)/N(INDEX('06-حزيران'!$I$2:$I$499,V92))-1,""))</f>
        <v>0</v>
      </c>
      <c r="AC92" t="str">
        <f>IF(L92="","",IF(AND($AO$2=1,ISNA(MATCH(L92,'08-آب'!$L$2:$L$501,0))),"محذوف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9.2000000000000003E-8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91.000000091999993</v>
      </c>
      <c r="AL92">
        <f t="shared" si="39"/>
        <v>9.2000000000000003E-8</v>
      </c>
    </row>
    <row r="93" spans="1:38" ht="15">
      <c r="A93" t="s">
        <v>302</v>
      </c>
      <c r="B93">
        <v>0.36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175</v>
      </c>
      <c r="K93" t="str">
        <f t="shared" si="20"/>
        <v/>
      </c>
      <c r="L93" t="str">
        <f t="shared" si="21"/>
        <v>عطر-ليمون citrus lemon new - 321639</v>
      </c>
      <c r="M93" s="36">
        <f t="shared" si="22"/>
        <v>1</v>
      </c>
      <c r="N93" s="37">
        <f t="shared" si="23"/>
        <v>175</v>
      </c>
      <c r="O93" s="37">
        <f t="shared" si="24"/>
        <v>0</v>
      </c>
      <c r="P93" s="38">
        <f t="shared" si="25"/>
        <v>0.36</v>
      </c>
      <c r="Q93" s="39">
        <f t="shared" si="26"/>
        <v>63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IF(L93="","",IF($AO$1=1,IFERROR(MATCH(L93,'06-حزيران'!$L$2:$L$499,0),0),0))</f>
        <v>35</v>
      </c>
      <c r="W93" t="str">
        <f t="shared" si="31"/>
        <v/>
      </c>
      <c r="X93" s="38">
        <f>IF(L93="","",IF(V93&gt;0,INDEX('06-حزيران'!$P$2:$P$499,V93),IF($AO$1=1,0,"")))</f>
        <v>0.36</v>
      </c>
      <c r="Y93" s="38">
        <f t="shared" si="32"/>
        <v>0</v>
      </c>
      <c r="Z93" s="39">
        <f>IF(L93="","",IF(V93&gt;0,INDEX('06-حزيران'!$Q$2:$Q$499,V93),IF($AO$1=1,0,"")))</f>
        <v>63</v>
      </c>
      <c r="AA93" s="39">
        <f t="shared" si="33"/>
        <v>0</v>
      </c>
      <c r="AB93" s="40">
        <f>IF(OR(L93="",V93=0),"",IF(AND(N(I93)&gt;0,N(INDEX('06-حزيران'!$I$2:$I$499,V93))&gt;0,INDEX('06-حزيران'!$F$2:$F$499,V93)=F93),N(I93)/N(INDEX('06-حزيران'!$I$2:$I$499,V93))-1,""))</f>
        <v>0</v>
      </c>
      <c r="AC93" t="str">
        <f>IF(L93="","",IF(AND($AO$2=1,ISNA(MATCH(L93,'08-آب'!$L$2:$L$501,0))),"محذوف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9.2999999999999999E-8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63.000000092999997</v>
      </c>
      <c r="AL93">
        <f t="shared" si="39"/>
        <v>9.2999999999999999E-8</v>
      </c>
    </row>
    <row r="94" spans="1:38" ht="15">
      <c r="A94" t="s">
        <v>303</v>
      </c>
      <c r="B94">
        <v>0.74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176</v>
      </c>
      <c r="I94">
        <v>312.5</v>
      </c>
      <c r="K94" t="str">
        <f t="shared" si="20"/>
        <v/>
      </c>
      <c r="L94" t="str">
        <f t="shared" si="21"/>
        <v>عطر-ليلك ariel-sensation - 318728</v>
      </c>
      <c r="M94" s="36">
        <f t="shared" si="22"/>
        <v>1</v>
      </c>
      <c r="N94" s="37">
        <f t="shared" si="23"/>
        <v>312.5</v>
      </c>
      <c r="O94" s="37">
        <f t="shared" si="24"/>
        <v>0</v>
      </c>
      <c r="P94" s="38">
        <f t="shared" si="25"/>
        <v>0.74</v>
      </c>
      <c r="Q94" s="39">
        <f t="shared" si="26"/>
        <v>231.25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IF(L94="","",IF($AO$1=1,IFERROR(MATCH(L94,'06-حزيران'!$L$2:$L$499,0),0),0))</f>
        <v>36</v>
      </c>
      <c r="W94" t="str">
        <f t="shared" si="31"/>
        <v/>
      </c>
      <c r="X94" s="38">
        <f>IF(L94="","",IF(V94&gt;0,INDEX('06-حزيران'!$P$2:$P$499,V94),IF($AO$1=1,0,"")))</f>
        <v>0.74</v>
      </c>
      <c r="Y94" s="38">
        <f t="shared" si="32"/>
        <v>0</v>
      </c>
      <c r="Z94" s="39">
        <f>IF(L94="","",IF(V94&gt;0,INDEX('06-حزيران'!$Q$2:$Q$499,V94),IF($AO$1=1,0,"")))</f>
        <v>231.25</v>
      </c>
      <c r="AA94" s="39">
        <f t="shared" si="33"/>
        <v>0</v>
      </c>
      <c r="AB94" s="40">
        <f>IF(OR(L94="",V94=0),"",IF(AND(N(I94)&gt;0,N(INDEX('06-حزيران'!$I$2:$I$499,V94))&gt;0,INDEX('06-حزيران'!$F$2:$F$499,V94)=F94),N(I94)/N(INDEX('06-حزيران'!$I$2:$I$499,V94))-1,""))</f>
        <v>0</v>
      </c>
      <c r="AC94" t="str">
        <f>IF(L94="","",IF(AND($AO$2=1,ISNA(MATCH(L94,'08-آب'!$L$2:$L$501,0))),"محذوف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9.3999999999999995E-8</v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231.250000094</v>
      </c>
      <c r="AL94">
        <f t="shared" si="39"/>
        <v>9.3999999999999995E-8</v>
      </c>
    </row>
    <row r="95" spans="1:38" ht="15">
      <c r="A95" t="s">
        <v>304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176</v>
      </c>
      <c r="I95">
        <v>312.5</v>
      </c>
      <c r="K95" t="str">
        <f t="shared" si="20"/>
        <v/>
      </c>
      <c r="L95" t="str">
        <f t="shared" si="21"/>
        <v>عطر-فريز</v>
      </c>
      <c r="M95" s="36">
        <f t="shared" si="22"/>
        <v>1</v>
      </c>
      <c r="N95" s="37">
        <f t="shared" si="23"/>
        <v>312.5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IF(L95="","",IF($AO$1=1,IFERROR(MATCH(L95,'06-حزيران'!$L$2:$L$499,0),0),0))</f>
        <v>37</v>
      </c>
      <c r="W95" t="str">
        <f t="shared" si="31"/>
        <v/>
      </c>
      <c r="X95" s="38">
        <f>IF(L95="","",IF(V95&gt;0,INDEX('06-حزيران'!$P$2:$P$499,V95),IF($AO$1=1,0,"")))</f>
        <v>0</v>
      </c>
      <c r="Y95" s="38">
        <f t="shared" si="32"/>
        <v>0</v>
      </c>
      <c r="Z95" s="39">
        <f>IF(L95="","",IF(V95&gt;0,INDEX('06-حزيران'!$Q$2:$Q$499,V95),IF($AO$1=1,0,"")))</f>
        <v>0</v>
      </c>
      <c r="AA95" s="39">
        <f t="shared" si="33"/>
        <v>0</v>
      </c>
      <c r="AB95" s="40">
        <f>IF(OR(L95="",V95=0),"",IF(AND(N(I95)&gt;0,N(INDEX('06-حزيران'!$I$2:$I$499,V95))&gt;0,INDEX('06-حزيران'!$F$2:$F$499,V95)=F95),N(I95)/N(INDEX('06-حزيران'!$I$2:$I$499,V95))-1,""))</f>
        <v>0</v>
      </c>
      <c r="AC95" t="str">
        <f>IF(L95="","",IF(AND($AO$2=1,ISNA(MATCH(L95,'08-آب'!$L$2:$L$501,0))),"محذوف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9.5000000000000004E-8</v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305</v>
      </c>
      <c r="B96">
        <v>2.5499999999999998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176</v>
      </c>
      <c r="I96">
        <v>900</v>
      </c>
      <c r="K96" t="str">
        <f t="shared" si="20"/>
        <v/>
      </c>
      <c r="L96" t="str">
        <f t="shared" si="21"/>
        <v>عطر-سلطان</v>
      </c>
      <c r="M96" s="36">
        <f t="shared" si="22"/>
        <v>1</v>
      </c>
      <c r="N96" s="37">
        <f t="shared" si="23"/>
        <v>900</v>
      </c>
      <c r="O96" s="37">
        <f t="shared" si="24"/>
        <v>0</v>
      </c>
      <c r="P96" s="38">
        <f t="shared" si="25"/>
        <v>2.5499999999999998</v>
      </c>
      <c r="Q96" s="39">
        <f t="shared" si="26"/>
        <v>2295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IF(L96="","",IF($AO$1=1,IFERROR(MATCH(L96,'06-حزيران'!$L$2:$L$499,0),0),0))</f>
        <v>38</v>
      </c>
      <c r="W96" t="str">
        <f t="shared" si="31"/>
        <v/>
      </c>
      <c r="X96" s="38">
        <f>IF(L96="","",IF(V96&gt;0,INDEX('06-حزيران'!$P$2:$P$499,V96),IF($AO$1=1,0,"")))</f>
        <v>2.59</v>
      </c>
      <c r="Y96" s="38">
        <f t="shared" si="32"/>
        <v>-4.0000000000000036E-2</v>
      </c>
      <c r="Z96" s="39">
        <f>IF(L96="","",IF(V96&gt;0,INDEX('06-حزيران'!$Q$2:$Q$499,V96),IF($AO$1=1,0,"")))</f>
        <v>2331</v>
      </c>
      <c r="AA96" s="39">
        <f t="shared" si="33"/>
        <v>-36</v>
      </c>
      <c r="AB96" s="40">
        <f>IF(OR(L96="",V96=0),"",IF(AND(N(I96)&gt;0,N(INDEX('06-حزيران'!$I$2:$I$499,V96))&gt;0,INDEX('06-حزيران'!$F$2:$F$499,V96)=F96),N(I96)/N(INDEX('06-حزيران'!$I$2:$I$499,V96))-1,""))</f>
        <v>0</v>
      </c>
      <c r="AC96" t="str">
        <f>IF(L96="","",IF(AND($AO$2=1,ISNA(MATCH(L96,'08-آب'!$L$2:$L$501,0))),"محذوف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36.000000096000001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2295.0000000959999</v>
      </c>
      <c r="AL96">
        <f t="shared" si="39"/>
        <v>9.5999999999999999E-8</v>
      </c>
    </row>
    <row r="97" spans="1:38" ht="15">
      <c r="A97" t="s">
        <v>306</v>
      </c>
      <c r="B97">
        <v>0.53</v>
      </c>
      <c r="C97">
        <v>0</v>
      </c>
      <c r="D97">
        <v>0</v>
      </c>
      <c r="E97">
        <v>0</v>
      </c>
      <c r="F97" t="s">
        <v>268</v>
      </c>
      <c r="G97" t="s">
        <v>178</v>
      </c>
      <c r="H97" t="s">
        <v>176</v>
      </c>
      <c r="I97">
        <v>225</v>
      </c>
      <c r="K97" t="str">
        <f t="shared" si="20"/>
        <v/>
      </c>
      <c r="L97" t="str">
        <f t="shared" si="21"/>
        <v>عطر-زهور lovely-petals - 485718</v>
      </c>
      <c r="M97" s="36">
        <f t="shared" si="22"/>
        <v>1</v>
      </c>
      <c r="N97" s="37">
        <f t="shared" si="23"/>
        <v>225</v>
      </c>
      <c r="O97" s="37">
        <f t="shared" si="24"/>
        <v>0</v>
      </c>
      <c r="P97" s="38">
        <f t="shared" si="25"/>
        <v>0.53</v>
      </c>
      <c r="Q97" s="39">
        <f t="shared" si="26"/>
        <v>119.25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IF(L97="","",IF($AO$1=1,IFERROR(MATCH(L97,'06-حزيران'!$L$2:$L$499,0),0),0))</f>
        <v>39</v>
      </c>
      <c r="W97" t="str">
        <f t="shared" si="31"/>
        <v/>
      </c>
      <c r="X97" s="38">
        <f>IF(L97="","",IF(V97&gt;0,INDEX('06-حزيران'!$P$2:$P$499,V97),IF($AO$1=1,0,"")))</f>
        <v>0.53</v>
      </c>
      <c r="Y97" s="38">
        <f t="shared" si="32"/>
        <v>0</v>
      </c>
      <c r="Z97" s="39">
        <f>IF(L97="","",IF(V97&gt;0,INDEX('06-حزيران'!$Q$2:$Q$499,V97),IF($AO$1=1,0,"")))</f>
        <v>119.25</v>
      </c>
      <c r="AA97" s="39">
        <f t="shared" si="33"/>
        <v>0</v>
      </c>
      <c r="AB97" s="40">
        <f>IF(OR(L97="",V97=0),"",IF(AND(N(I97)&gt;0,N(INDEX('06-حزيران'!$I$2:$I$499,V97))&gt;0,INDEX('06-حزيران'!$F$2:$F$499,V97)=F97),N(I97)/N(INDEX('06-حزيران'!$I$2:$I$499,V97))-1,""))</f>
        <v>0</v>
      </c>
      <c r="AC97" t="str">
        <f>IF(L97="","",IF(AND($AO$2=1,ISNA(MATCH(L97,'08-آب'!$L$2:$L$501,0))),"محذوف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9.6999999999999995E-8</v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119.250000097</v>
      </c>
      <c r="AL97">
        <f t="shared" si="39"/>
        <v>9.6999999999999995E-8</v>
      </c>
    </row>
    <row r="98" spans="1:38" ht="15">
      <c r="A98" t="s">
        <v>307</v>
      </c>
      <c r="B98">
        <v>0.62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312.5</v>
      </c>
      <c r="K98" t="str">
        <f t="shared" si="20"/>
        <v/>
      </c>
      <c r="L98" t="str">
        <f t="shared" si="21"/>
        <v>عطر-رمان apple grandada - 322730</v>
      </c>
      <c r="M98" s="36">
        <f t="shared" si="22"/>
        <v>1</v>
      </c>
      <c r="N98" s="37">
        <f t="shared" si="23"/>
        <v>312.5</v>
      </c>
      <c r="O98" s="37">
        <f t="shared" si="24"/>
        <v>0</v>
      </c>
      <c r="P98" s="38">
        <f t="shared" si="25"/>
        <v>0.62</v>
      </c>
      <c r="Q98" s="39">
        <f t="shared" si="26"/>
        <v>193.75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IF(L98="","",IF($AO$1=1,IFERROR(MATCH(L98,'06-حزيران'!$L$2:$L$499,0),0),0))</f>
        <v>40</v>
      </c>
      <c r="W98" t="str">
        <f t="shared" si="31"/>
        <v/>
      </c>
      <c r="X98" s="38">
        <f>IF(L98="","",IF(V98&gt;0,INDEX('06-حزيران'!$P$2:$P$499,V98),IF($AO$1=1,0,"")))</f>
        <v>0.66</v>
      </c>
      <c r="Y98" s="38">
        <f t="shared" si="32"/>
        <v>-4.0000000000000036E-2</v>
      </c>
      <c r="Z98" s="39">
        <f>IF(L98="","",IF(V98&gt;0,INDEX('06-حزيران'!$Q$2:$Q$499,V98),IF($AO$1=1,0,"")))</f>
        <v>206.25</v>
      </c>
      <c r="AA98" s="39">
        <f t="shared" si="33"/>
        <v>-12.5</v>
      </c>
      <c r="AB98" s="40">
        <f>IF(OR(L98="",V98=0),"",IF(AND(N(I98)&gt;0,N(INDEX('06-حزيران'!$I$2:$I$499,V98))&gt;0,INDEX('06-حزيران'!$F$2:$F$499,V98)=F98),N(I98)/N(INDEX('06-حزيران'!$I$2:$I$499,V98))-1,""))</f>
        <v>0</v>
      </c>
      <c r="AC98" t="str">
        <f>IF(L98="","",IF(AND($AO$2=1,ISNA(MATCH(L98,'08-آب'!$L$2:$L$501,0))),"محذوف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12.500000097999999</v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193.75000009799999</v>
      </c>
      <c r="AL98">
        <f t="shared" si="39"/>
        <v>9.8000000000000004E-8</v>
      </c>
    </row>
    <row r="99" spans="1:38" ht="15">
      <c r="A99" t="s">
        <v>308</v>
      </c>
      <c r="B99">
        <v>0.6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287.5</v>
      </c>
      <c r="K99" t="str">
        <f t="shared" si="20"/>
        <v/>
      </c>
      <c r="L99" t="str">
        <f t="shared" si="21"/>
        <v>عطر-توليب fresh-scent-amour - 485833</v>
      </c>
      <c r="M99" s="36">
        <f t="shared" si="22"/>
        <v>1</v>
      </c>
      <c r="N99" s="37">
        <f t="shared" si="23"/>
        <v>287.5</v>
      </c>
      <c r="O99" s="37">
        <f t="shared" si="24"/>
        <v>0</v>
      </c>
      <c r="P99" s="38">
        <f t="shared" si="25"/>
        <v>0.6</v>
      </c>
      <c r="Q99" s="39">
        <f t="shared" si="26"/>
        <v>172.5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IF(L99="","",IF($AO$1=1,IFERROR(MATCH(L99,'06-حزيران'!$L$2:$L$499,0),0),0))</f>
        <v>41</v>
      </c>
      <c r="W99" t="str">
        <f t="shared" si="31"/>
        <v/>
      </c>
      <c r="X99" s="38">
        <f>IF(L99="","",IF(V99&gt;0,INDEX('06-حزيران'!$P$2:$P$499,V99),IF($AO$1=1,0,"")))</f>
        <v>0.6</v>
      </c>
      <c r="Y99" s="38">
        <f t="shared" si="32"/>
        <v>0</v>
      </c>
      <c r="Z99" s="39">
        <f>IF(L99="","",IF(V99&gt;0,INDEX('06-حزيران'!$Q$2:$Q$499,V99),IF($AO$1=1,0,"")))</f>
        <v>172.5</v>
      </c>
      <c r="AA99" s="39">
        <f t="shared" si="33"/>
        <v>0</v>
      </c>
      <c r="AB99" s="40">
        <f>IF(OR(L99="",V99=0),"",IF(AND(N(I99)&gt;0,N(INDEX('06-حزيران'!$I$2:$I$499,V99))&gt;0,INDEX('06-حزيران'!$F$2:$F$499,V99)=F99),N(I99)/N(INDEX('06-حزيران'!$I$2:$I$499,V99))-1,""))</f>
        <v>0</v>
      </c>
      <c r="AC99" t="str">
        <f>IF(L99="","",IF(AND($AO$2=1,ISNA(MATCH(L99,'08-آب'!$L$2:$L$501,0))),"محذوف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172.500000099</v>
      </c>
      <c r="AL99">
        <f t="shared" si="39"/>
        <v>9.9E-8</v>
      </c>
    </row>
    <row r="100" spans="1:38" ht="15">
      <c r="A100" t="s">
        <v>309</v>
      </c>
      <c r="B100">
        <v>0.47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300</v>
      </c>
      <c r="K100" t="str">
        <f t="shared" si="20"/>
        <v/>
      </c>
      <c r="L100" t="str">
        <f t="shared" si="21"/>
        <v>عطر-تفاح apple - 317691</v>
      </c>
      <c r="M100" s="36">
        <f t="shared" si="22"/>
        <v>1</v>
      </c>
      <c r="N100" s="37">
        <f t="shared" si="23"/>
        <v>300</v>
      </c>
      <c r="O100" s="37">
        <f t="shared" si="24"/>
        <v>0</v>
      </c>
      <c r="P100" s="38">
        <f t="shared" si="25"/>
        <v>0.47</v>
      </c>
      <c r="Q100" s="39">
        <f t="shared" si="26"/>
        <v>141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IF(L100="","",IF($AO$1=1,IFERROR(MATCH(L100,'06-حزيران'!$L$2:$L$499,0),0),0))</f>
        <v>42</v>
      </c>
      <c r="W100" t="str">
        <f t="shared" si="31"/>
        <v/>
      </c>
      <c r="X100" s="38">
        <f>IF(L100="","",IF(V100&gt;0,INDEX('06-حزيران'!$P$2:$P$499,V100),IF($AO$1=1,0,"")))</f>
        <v>0.47</v>
      </c>
      <c r="Y100" s="38">
        <f t="shared" si="32"/>
        <v>0</v>
      </c>
      <c r="Z100" s="39">
        <f>IF(L100="","",IF(V100&gt;0,INDEX('06-حزيران'!$Q$2:$Q$499,V100),IF($AO$1=1,0,"")))</f>
        <v>141</v>
      </c>
      <c r="AA100" s="39">
        <f t="shared" si="33"/>
        <v>0</v>
      </c>
      <c r="AB100" s="40">
        <f>IF(OR(L100="",V100=0),"",IF(AND(N(I100)&gt;0,N(INDEX('06-حزيران'!$I$2:$I$499,V100))&gt;0,INDEX('06-حزيران'!$F$2:$F$499,V100)=F100),N(I100)/N(INDEX('06-حزيران'!$I$2:$I$499,V100))-1,""))</f>
        <v>0</v>
      </c>
      <c r="AC100" t="str">
        <f>IF(L100="","",IF(AND($AO$2=1,ISNA(MATCH(L100,'08-آب'!$L$2:$L$501,0))),"محذوف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141.00000009999999</v>
      </c>
      <c r="AL100">
        <f t="shared" si="39"/>
        <v>9.9999999999999995E-8</v>
      </c>
    </row>
    <row r="101" spans="1:38" ht="15">
      <c r="A101" t="s">
        <v>310</v>
      </c>
      <c r="B101">
        <v>0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14.5</v>
      </c>
      <c r="K101" t="str">
        <f t="shared" si="20"/>
        <v/>
      </c>
      <c r="L101" t="str">
        <f t="shared" si="21"/>
        <v>عطر-برنس</v>
      </c>
      <c r="M101" s="36">
        <f t="shared" si="22"/>
        <v>1</v>
      </c>
      <c r="N101" s="37">
        <f t="shared" si="23"/>
        <v>14.5</v>
      </c>
      <c r="O101" s="37">
        <f t="shared" si="24"/>
        <v>0</v>
      </c>
      <c r="P101" s="38">
        <f t="shared" si="25"/>
        <v>0</v>
      </c>
      <c r="Q101" s="39">
        <f t="shared" si="26"/>
        <v>0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IF(L101="","",IF($AO$1=1,IFERROR(MATCH(L101,'06-حزيران'!$L$2:$L$499,0),0),0))</f>
        <v>43</v>
      </c>
      <c r="W101" t="str">
        <f t="shared" si="31"/>
        <v/>
      </c>
      <c r="X101" s="38">
        <f>IF(L101="","",IF(V101&gt;0,INDEX('06-حزيران'!$P$2:$P$499,V101),IF($AO$1=1,0,"")))</f>
        <v>0</v>
      </c>
      <c r="Y101" s="38">
        <f t="shared" si="32"/>
        <v>0</v>
      </c>
      <c r="Z101" s="39">
        <f>IF(L101="","",IF(V101&gt;0,INDEX('06-حزيران'!$Q$2:$Q$499,V101),IF($AO$1=1,0,"")))</f>
        <v>0</v>
      </c>
      <c r="AA101" s="39">
        <f t="shared" si="33"/>
        <v>0</v>
      </c>
      <c r="AB101" s="40">
        <f>IF(OR(L101="",V101=0),"",IF(AND(N(I101)&gt;0,N(INDEX('06-حزيران'!$I$2:$I$499,V101))&gt;0,INDEX('06-حزيران'!$F$2:$F$499,V101)=F101),N(I101)/N(INDEX('06-حزيران'!$I$2:$I$499,V101))-1,""))</f>
        <v>0</v>
      </c>
      <c r="AC101" t="str">
        <f>IF(L101="","",IF(AND($AO$2=1,ISNA(MATCH(L101,'08-آب'!$L$2:$L$501,0))),"محذوف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1.01E-7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1.01E-7</v>
      </c>
      <c r="AL101">
        <f t="shared" si="39"/>
        <v>1.01E-7</v>
      </c>
    </row>
    <row r="102" spans="1:38" ht="15">
      <c r="A102" t="s">
        <v>311</v>
      </c>
      <c r="B102">
        <v>20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150</v>
      </c>
      <c r="K102" t="str">
        <f t="shared" si="20"/>
        <v/>
      </c>
      <c r="L102" t="str">
        <f t="shared" si="21"/>
        <v>عطر-ببوري ultimate-mixture - 485797</v>
      </c>
      <c r="M102" s="36">
        <f t="shared" si="22"/>
        <v>1</v>
      </c>
      <c r="N102" s="37">
        <f t="shared" si="23"/>
        <v>150</v>
      </c>
      <c r="O102" s="37">
        <f t="shared" si="24"/>
        <v>0</v>
      </c>
      <c r="P102" s="38">
        <f t="shared" si="25"/>
        <v>20</v>
      </c>
      <c r="Q102" s="39">
        <f t="shared" si="26"/>
        <v>3000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IF(L102="","",IF($AO$1=1,IFERROR(MATCH(L102,'06-حزيران'!$L$2:$L$499,0),0),0))</f>
        <v>44</v>
      </c>
      <c r="W102" t="str">
        <f t="shared" si="31"/>
        <v/>
      </c>
      <c r="X102" s="38">
        <f>IF(L102="","",IF(V102&gt;0,INDEX('06-حزيران'!$P$2:$P$499,V102),IF($AO$1=1,0,"")))</f>
        <v>20</v>
      </c>
      <c r="Y102" s="38">
        <f t="shared" si="32"/>
        <v>0</v>
      </c>
      <c r="Z102" s="39">
        <f>IF(L102="","",IF(V102&gt;0,INDEX('06-حزيران'!$Q$2:$Q$499,V102),IF($AO$1=1,0,"")))</f>
        <v>3000</v>
      </c>
      <c r="AA102" s="39">
        <f t="shared" si="33"/>
        <v>0</v>
      </c>
      <c r="AB102" s="40">
        <f>IF(OR(L102="",V102=0),"",IF(AND(N(I102)&gt;0,N(INDEX('06-حزيران'!$I$2:$I$499,V102))&gt;0,INDEX('06-حزيران'!$F$2:$F$499,V102)=F102),N(I102)/N(INDEX('06-حزيران'!$I$2:$I$499,V102))-1,""))</f>
        <v>0</v>
      </c>
      <c r="AC102" t="str">
        <f>IF(L102="","",IF(AND($AO$2=1,ISNA(MATCH(L102,'08-آب'!$L$2:$L$501,0))),"محذوف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3000.0000001019998</v>
      </c>
      <c r="AL102">
        <f t="shared" si="39"/>
        <v>1.02E-7</v>
      </c>
    </row>
    <row r="103" spans="1:38" ht="15">
      <c r="A103" t="s">
        <v>312</v>
      </c>
      <c r="B103">
        <v>21.4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312.5</v>
      </c>
      <c r="K103" t="str">
        <f t="shared" si="20"/>
        <v/>
      </c>
      <c r="L103" t="str">
        <f t="shared" si="21"/>
        <v>عطر-ازهار-الربيع spring - 318643</v>
      </c>
      <c r="M103" s="36">
        <f t="shared" si="22"/>
        <v>1</v>
      </c>
      <c r="N103" s="37">
        <f t="shared" si="23"/>
        <v>312.5</v>
      </c>
      <c r="O103" s="37">
        <f t="shared" si="24"/>
        <v>0</v>
      </c>
      <c r="P103" s="38">
        <f t="shared" si="25"/>
        <v>21.4</v>
      </c>
      <c r="Q103" s="39">
        <f t="shared" si="26"/>
        <v>6687.5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IF(L103="","",IF($AO$1=1,IFERROR(MATCH(L103,'06-حزيران'!$L$2:$L$499,0),0),0))</f>
        <v>45</v>
      </c>
      <c r="W103" t="str">
        <f t="shared" si="31"/>
        <v/>
      </c>
      <c r="X103" s="38">
        <f>IF(L103="","",IF(V103&gt;0,INDEX('06-حزيران'!$P$2:$P$499,V103),IF($AO$1=1,0,"")))</f>
        <v>21.4</v>
      </c>
      <c r="Y103" s="38">
        <f t="shared" si="32"/>
        <v>0</v>
      </c>
      <c r="Z103" s="39">
        <f>IF(L103="","",IF(V103&gt;0,INDEX('06-حزيران'!$Q$2:$Q$499,V103),IF($AO$1=1,0,"")))</f>
        <v>6687.5</v>
      </c>
      <c r="AA103" s="39">
        <f t="shared" si="33"/>
        <v>0</v>
      </c>
      <c r="AB103" s="40">
        <f>IF(OR(L103="",V103=0),"",IF(AND(N(I103)&gt;0,N(INDEX('06-حزيران'!$I$2:$I$499,V103))&gt;0,INDEX('06-حزيران'!$F$2:$F$499,V103)=F103),N(I103)/N(INDEX('06-حزيران'!$I$2:$I$499,V103))-1,""))</f>
        <v>0</v>
      </c>
      <c r="AC103" t="str">
        <f>IF(L103="","",IF(AND($AO$2=1,ISNA(MATCH(L103,'08-آب'!$L$2:$L$501,0))),"محذوف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1.03E-7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6687.5000001030003</v>
      </c>
      <c r="AL103">
        <f t="shared" si="39"/>
        <v>1.03E-7</v>
      </c>
    </row>
    <row r="104" spans="1:38" ht="15">
      <c r="A104" t="s">
        <v>313</v>
      </c>
      <c r="B104">
        <v>0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15</v>
      </c>
      <c r="K104" t="str">
        <f t="shared" si="20"/>
        <v/>
      </c>
      <c r="L104" t="str">
        <f t="shared" si="21"/>
        <v>عطر هامول</v>
      </c>
      <c r="M104" s="36">
        <f t="shared" si="22"/>
        <v>1</v>
      </c>
      <c r="N104" s="37">
        <f t="shared" si="23"/>
        <v>15</v>
      </c>
      <c r="O104" s="37">
        <f t="shared" si="24"/>
        <v>0</v>
      </c>
      <c r="P104" s="38">
        <f t="shared" si="25"/>
        <v>0</v>
      </c>
      <c r="Q104" s="39">
        <f t="shared" si="26"/>
        <v>0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IF(L104="","",IF($AO$1=1,IFERROR(MATCH(L104,'06-حزيران'!$L$2:$L$499,0),0),0))</f>
        <v>46</v>
      </c>
      <c r="W104" t="str">
        <f t="shared" si="31"/>
        <v/>
      </c>
      <c r="X104" s="38">
        <f>IF(L104="","",IF(V104&gt;0,INDEX('06-حزيران'!$P$2:$P$499,V104),IF($AO$1=1,0,"")))</f>
        <v>0</v>
      </c>
      <c r="Y104" s="38">
        <f t="shared" si="32"/>
        <v>0</v>
      </c>
      <c r="Z104" s="39">
        <f>IF(L104="","",IF(V104&gt;0,INDEX('06-حزيران'!$Q$2:$Q$499,V104),IF($AO$1=1,0,"")))</f>
        <v>0</v>
      </c>
      <c r="AA104" s="39">
        <f t="shared" si="33"/>
        <v>0</v>
      </c>
      <c r="AB104" s="40">
        <f>IF(OR(L104="",V104=0),"",IF(AND(N(I104)&gt;0,N(INDEX('06-حزيران'!$I$2:$I$499,V104))&gt;0,INDEX('06-حزيران'!$F$2:$F$499,V104)=F104),N(I104)/N(INDEX('06-حزيران'!$I$2:$I$499,V104))-1,""))</f>
        <v>0</v>
      </c>
      <c r="AC104" t="str">
        <f>IF(L104="","",IF(AND($AO$2=1,ISNA(MATCH(L104,'08-آب'!$L$2:$L$501,0))),"محذوف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1.04E-7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1.04E-7</v>
      </c>
      <c r="AL104">
        <f t="shared" si="39"/>
        <v>1.04E-7</v>
      </c>
    </row>
    <row r="105" spans="1:38" ht="15">
      <c r="A105" t="s">
        <v>314</v>
      </c>
      <c r="B105">
        <v>2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16</v>
      </c>
      <c r="K105" t="str">
        <f t="shared" si="20"/>
        <v/>
      </c>
      <c r="L105" t="str">
        <f t="shared" si="21"/>
        <v>عطر مسك احمر</v>
      </c>
      <c r="M105" s="36">
        <f t="shared" si="22"/>
        <v>1</v>
      </c>
      <c r="N105" s="37">
        <f t="shared" si="23"/>
        <v>16</v>
      </c>
      <c r="O105" s="37">
        <f t="shared" si="24"/>
        <v>0</v>
      </c>
      <c r="P105" s="38">
        <f t="shared" si="25"/>
        <v>2</v>
      </c>
      <c r="Q105" s="39">
        <f t="shared" si="26"/>
        <v>32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IF(L105="","",IF($AO$1=1,IFERROR(MATCH(L105,'06-حزيران'!$L$2:$L$499,0),0),0))</f>
        <v>47</v>
      </c>
      <c r="W105" t="str">
        <f t="shared" si="31"/>
        <v/>
      </c>
      <c r="X105" s="38">
        <f>IF(L105="","",IF(V105&gt;0,INDEX('06-حزيران'!$P$2:$P$499,V105),IF($AO$1=1,0,"")))</f>
        <v>2</v>
      </c>
      <c r="Y105" s="38">
        <f t="shared" si="32"/>
        <v>0</v>
      </c>
      <c r="Z105" s="39">
        <f>IF(L105="","",IF(V105&gt;0,INDEX('06-حزيران'!$Q$2:$Q$499,V105),IF($AO$1=1,0,"")))</f>
        <v>32</v>
      </c>
      <c r="AA105" s="39">
        <f t="shared" si="33"/>
        <v>0</v>
      </c>
      <c r="AB105" s="40">
        <f>IF(OR(L105="",V105=0),"",IF(AND(N(I105)&gt;0,N(INDEX('06-حزيران'!$I$2:$I$499,V105))&gt;0,INDEX('06-حزيران'!$F$2:$F$499,V105)=F105),N(I105)/N(INDEX('06-حزيران'!$I$2:$I$499,V105))-1,""))</f>
        <v>0</v>
      </c>
      <c r="AC105" t="str">
        <f>IF(L105="","",IF(AND($AO$2=1,ISNA(MATCH(L105,'08-آب'!$L$2:$L$501,0))),"محذوف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32.000000104999998</v>
      </c>
      <c r="AL105">
        <f t="shared" si="39"/>
        <v>1.05E-7</v>
      </c>
    </row>
    <row r="106" spans="1:38" ht="15">
      <c r="A106" t="s">
        <v>315</v>
      </c>
      <c r="B106">
        <v>3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15.5</v>
      </c>
      <c r="K106" t="str">
        <f t="shared" si="20"/>
        <v/>
      </c>
      <c r="L106" t="str">
        <f t="shared" si="21"/>
        <v>عطر مسك</v>
      </c>
      <c r="M106" s="36">
        <f t="shared" si="22"/>
        <v>1</v>
      </c>
      <c r="N106" s="37">
        <f t="shared" si="23"/>
        <v>15.5</v>
      </c>
      <c r="O106" s="37">
        <f t="shared" si="24"/>
        <v>0</v>
      </c>
      <c r="P106" s="38">
        <f t="shared" si="25"/>
        <v>3</v>
      </c>
      <c r="Q106" s="39">
        <f t="shared" si="26"/>
        <v>46.5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IF(L106="","",IF($AO$1=1,IFERROR(MATCH(L106,'06-حزيران'!$L$2:$L$499,0),0),0))</f>
        <v>48</v>
      </c>
      <c r="W106" t="str">
        <f t="shared" si="31"/>
        <v/>
      </c>
      <c r="X106" s="38">
        <f>IF(L106="","",IF(V106&gt;0,INDEX('06-حزيران'!$P$2:$P$499,V106),IF($AO$1=1,0,"")))</f>
        <v>3</v>
      </c>
      <c r="Y106" s="38">
        <f t="shared" si="32"/>
        <v>0</v>
      </c>
      <c r="Z106" s="39">
        <f>IF(L106="","",IF(V106&gt;0,INDEX('06-حزيران'!$Q$2:$Q$499,V106),IF($AO$1=1,0,"")))</f>
        <v>46.5</v>
      </c>
      <c r="AA106" s="39">
        <f t="shared" si="33"/>
        <v>0</v>
      </c>
      <c r="AB106" s="40">
        <f>IF(OR(L106="",V106=0),"",IF(AND(N(I106)&gt;0,N(INDEX('06-حزيران'!$I$2:$I$499,V106))&gt;0,INDEX('06-حزيران'!$F$2:$F$499,V106)=F106),N(I106)/N(INDEX('06-حزيران'!$I$2:$I$499,V106))-1,""))</f>
        <v>0</v>
      </c>
      <c r="AC106" t="str">
        <f>IF(L106="","",IF(AND($AO$2=1,ISNA(MATCH(L106,'08-آب'!$L$2:$L$501,0))),"محذوف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46.500000106000002</v>
      </c>
      <c r="AL106">
        <f t="shared" si="39"/>
        <v>1.06E-7</v>
      </c>
    </row>
    <row r="107" spans="1:38" ht="15">
      <c r="A107" t="s">
        <v>316</v>
      </c>
      <c r="B107">
        <v>0.38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225</v>
      </c>
      <c r="K107" t="str">
        <f t="shared" si="20"/>
        <v/>
      </c>
      <c r="L107" t="str">
        <f t="shared" si="21"/>
        <v>عطر ليمون ماكسي</v>
      </c>
      <c r="M107" s="36">
        <f t="shared" si="22"/>
        <v>1</v>
      </c>
      <c r="N107" s="37">
        <f t="shared" si="23"/>
        <v>225</v>
      </c>
      <c r="O107" s="37">
        <f t="shared" si="24"/>
        <v>0</v>
      </c>
      <c r="P107" s="38">
        <f t="shared" si="25"/>
        <v>0.38</v>
      </c>
      <c r="Q107" s="39">
        <f t="shared" si="26"/>
        <v>85.5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IF(L107="","",IF($AO$1=1,IFERROR(MATCH(L107,'06-حزيران'!$L$2:$L$499,0),0),0))</f>
        <v>49</v>
      </c>
      <c r="W107" t="str">
        <f t="shared" si="31"/>
        <v/>
      </c>
      <c r="X107" s="38">
        <f>IF(L107="","",IF(V107&gt;0,INDEX('06-حزيران'!$P$2:$P$499,V107),IF($AO$1=1,0,"")))</f>
        <v>0.46</v>
      </c>
      <c r="Y107" s="38">
        <f t="shared" si="32"/>
        <v>-8.0000000000000016E-2</v>
      </c>
      <c r="Z107" s="39">
        <f>IF(L107="","",IF(V107&gt;0,INDEX('06-حزيران'!$Q$2:$Q$499,V107),IF($AO$1=1,0,"")))</f>
        <v>103.5</v>
      </c>
      <c r="AA107" s="39">
        <f t="shared" si="33"/>
        <v>-18</v>
      </c>
      <c r="AB107" s="40">
        <f>IF(OR(L107="",V107=0),"",IF(AND(N(I107)&gt;0,N(INDEX('06-حزيران'!$I$2:$I$499,V107))&gt;0,INDEX('06-حزيران'!$F$2:$F$499,V107)=F107),N(I107)/N(INDEX('06-حزيران'!$I$2:$I$499,V107))-1,""))</f>
        <v>0</v>
      </c>
      <c r="AC107" t="str">
        <f>IF(L107="","",IF(AND($AO$2=1,ISNA(MATCH(L107,'08-آب'!$L$2:$L$501,0))),"محذوف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18.000000107000002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85.500000107000005</v>
      </c>
      <c r="AL107">
        <f t="shared" si="39"/>
        <v>1.0700000000000001E-7</v>
      </c>
    </row>
    <row r="108" spans="1:38" ht="15">
      <c r="A108" t="s">
        <v>317</v>
      </c>
      <c r="B108">
        <v>1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16</v>
      </c>
      <c r="K108" t="str">
        <f t="shared" si="20"/>
        <v/>
      </c>
      <c r="L108" t="str">
        <f t="shared" si="21"/>
        <v>عطر عسل</v>
      </c>
      <c r="M108" s="36">
        <f t="shared" si="22"/>
        <v>1</v>
      </c>
      <c r="N108" s="37">
        <f t="shared" si="23"/>
        <v>16</v>
      </c>
      <c r="O108" s="37">
        <f t="shared" si="24"/>
        <v>0</v>
      </c>
      <c r="P108" s="38">
        <f t="shared" si="25"/>
        <v>1</v>
      </c>
      <c r="Q108" s="39">
        <f t="shared" si="26"/>
        <v>16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IF(L108="","",IF($AO$1=1,IFERROR(MATCH(L108,'06-حزيران'!$L$2:$L$499,0),0),0))</f>
        <v>50</v>
      </c>
      <c r="W108" t="str">
        <f t="shared" si="31"/>
        <v/>
      </c>
      <c r="X108" s="38">
        <f>IF(L108="","",IF(V108&gt;0,INDEX('06-حزيران'!$P$2:$P$499,V108),IF($AO$1=1,0,"")))</f>
        <v>1</v>
      </c>
      <c r="Y108" s="38">
        <f t="shared" si="32"/>
        <v>0</v>
      </c>
      <c r="Z108" s="39">
        <f>IF(L108="","",IF(V108&gt;0,INDEX('06-حزيران'!$Q$2:$Q$499,V108),IF($AO$1=1,0,"")))</f>
        <v>16</v>
      </c>
      <c r="AA108" s="39">
        <f t="shared" si="33"/>
        <v>0</v>
      </c>
      <c r="AB108" s="40">
        <f>IF(OR(L108="",V108=0),"",IF(AND(N(I108)&gt;0,N(INDEX('06-حزيران'!$I$2:$I$499,V108))&gt;0,INDEX('06-حزيران'!$F$2:$F$499,V108)=F108),N(I108)/N(INDEX('06-حزيران'!$I$2:$I$499,V108))-1,""))</f>
        <v>0</v>
      </c>
      <c r="AC108" t="str">
        <f>IF(L108="","",IF(AND($AO$2=1,ISNA(MATCH(L108,'08-آب'!$L$2:$L$501,0))),"محذوف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16.000000107999998</v>
      </c>
      <c r="AL108">
        <f t="shared" si="39"/>
        <v>1.08E-7</v>
      </c>
    </row>
    <row r="109" spans="1:38" ht="15">
      <c r="A109" t="s">
        <v>505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10</v>
      </c>
      <c r="K109" t="str">
        <f t="shared" si="20"/>
        <v/>
      </c>
      <c r="L109" t="str">
        <f t="shared" si="21"/>
        <v>عطر صنوبر</v>
      </c>
      <c r="M109" s="36">
        <f t="shared" si="22"/>
        <v>1</v>
      </c>
      <c r="N109" s="37">
        <f t="shared" si="23"/>
        <v>10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IF(L109="","",IF($AO$1=1,IFERROR(MATCH(L109,'06-حزيران'!$L$2:$L$499,0),0),0))</f>
        <v>0</v>
      </c>
      <c r="W109" t="str">
        <f t="shared" si="31"/>
        <v>جديد</v>
      </c>
      <c r="X109" s="38">
        <f>IF(L109="","",IF(V109&gt;0,INDEX('06-حزيران'!$P$2:$P$499,V109),IF($AO$1=1,0,"")))</f>
        <v>0</v>
      </c>
      <c r="Y109" s="38">
        <f t="shared" si="32"/>
        <v>0</v>
      </c>
      <c r="Z109" s="39">
        <f>IF(L109="","",IF(V109&gt;0,INDEX('06-حزيران'!$Q$2:$Q$499,V109),IF($AO$1=1,0,"")))</f>
        <v>0</v>
      </c>
      <c r="AA109" s="39">
        <f t="shared" si="33"/>
        <v>0</v>
      </c>
      <c r="AB109" s="40" t="str">
        <f>IF(OR(L109="",V109=0),"",IF(AND(N(I109)&gt;0,N(INDEX('06-حزيران'!$I$2:$I$499,V109))&gt;0,INDEX('06-حزيران'!$F$2:$F$499,V109)=F109),N(I109)/N(INDEX('06-حزيران'!$I$2:$I$499,V109))-1,""))</f>
        <v/>
      </c>
      <c r="AC109" t="str">
        <f>IF(L109="","",IF(AND($AO$2=1,ISNA(MATCH(L109,'08-آب'!$L$2:$L$501,0))),"محذوف لاحقاً",""))</f>
        <v/>
      </c>
      <c r="AD109">
        <f>IF(W109="جديد",COUNTIF(W$2:W109,"جديد"),"")</f>
        <v>1</v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1.09E-7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318</v>
      </c>
      <c r="B110">
        <v>0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13</v>
      </c>
      <c r="K110" t="str">
        <f t="shared" si="20"/>
        <v/>
      </c>
      <c r="L110" t="str">
        <f t="shared" si="21"/>
        <v>عطر جوز الهند</v>
      </c>
      <c r="M110" s="36">
        <f t="shared" si="22"/>
        <v>1</v>
      </c>
      <c r="N110" s="37">
        <f t="shared" si="23"/>
        <v>13</v>
      </c>
      <c r="O110" s="37">
        <f t="shared" si="24"/>
        <v>0</v>
      </c>
      <c r="P110" s="38">
        <f t="shared" si="25"/>
        <v>0</v>
      </c>
      <c r="Q110" s="39">
        <f t="shared" si="26"/>
        <v>0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IF(L110="","",IF($AO$1=1,IFERROR(MATCH(L110,'06-حزيران'!$L$2:$L$499,0),0),0))</f>
        <v>51</v>
      </c>
      <c r="W110" t="str">
        <f t="shared" si="31"/>
        <v/>
      </c>
      <c r="X110" s="38">
        <f>IF(L110="","",IF(V110&gt;0,INDEX('06-حزيران'!$P$2:$P$499,V110),IF($AO$1=1,0,"")))</f>
        <v>0</v>
      </c>
      <c r="Y110" s="38">
        <f t="shared" si="32"/>
        <v>0</v>
      </c>
      <c r="Z110" s="39">
        <f>IF(L110="","",IF(V110&gt;0,INDEX('06-حزيران'!$Q$2:$Q$499,V110),IF($AO$1=1,0,"")))</f>
        <v>0</v>
      </c>
      <c r="AA110" s="39">
        <f t="shared" si="33"/>
        <v>0</v>
      </c>
      <c r="AB110" s="40">
        <f>IF(OR(L110="",V110=0),"",IF(AND(N(I110)&gt;0,N(INDEX('06-حزيران'!$I$2:$I$499,V110))&gt;0,INDEX('06-حزيران'!$F$2:$F$499,V110)=F110),N(I110)/N(INDEX('06-حزيران'!$I$2:$I$499,V110))-1,""))</f>
        <v>0</v>
      </c>
      <c r="AC110" t="str">
        <f>IF(L110="","",IF(AND($AO$2=1,ISNA(MATCH(L110,'08-آب'!$L$2:$L$501,0))),"محذوف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1.1000000000000001E-7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1.1000000000000001E-7</v>
      </c>
      <c r="AL110">
        <f t="shared" si="39"/>
        <v>1.1000000000000001E-7</v>
      </c>
    </row>
    <row r="111" spans="1:38" ht="15">
      <c r="A111" t="s">
        <v>319</v>
      </c>
      <c r="B111">
        <v>22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18</v>
      </c>
      <c r="K111" t="str">
        <f t="shared" si="20"/>
        <v/>
      </c>
      <c r="L111" t="str">
        <f t="shared" si="21"/>
        <v>عطر بيشبه بيدون السلطان - 87287252-750</v>
      </c>
      <c r="M111" s="36">
        <f t="shared" si="22"/>
        <v>1</v>
      </c>
      <c r="N111" s="37">
        <f t="shared" si="23"/>
        <v>18</v>
      </c>
      <c r="O111" s="37">
        <f t="shared" si="24"/>
        <v>0</v>
      </c>
      <c r="P111" s="38">
        <f t="shared" si="25"/>
        <v>22</v>
      </c>
      <c r="Q111" s="39">
        <f t="shared" si="26"/>
        <v>396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IF(L111="","",IF($AO$1=1,IFERROR(MATCH(L111,'06-حزيران'!$L$2:$L$499,0),0),0))</f>
        <v>52</v>
      </c>
      <c r="W111" t="str">
        <f t="shared" si="31"/>
        <v/>
      </c>
      <c r="X111" s="38">
        <f>IF(L111="","",IF(V111&gt;0,INDEX('06-حزيران'!$P$2:$P$499,V111),IF($AO$1=1,0,"")))</f>
        <v>22</v>
      </c>
      <c r="Y111" s="38">
        <f t="shared" si="32"/>
        <v>0</v>
      </c>
      <c r="Z111" s="39">
        <f>IF(L111="","",IF(V111&gt;0,INDEX('06-حزيران'!$Q$2:$Q$499,V111),IF($AO$1=1,0,"")))</f>
        <v>396</v>
      </c>
      <c r="AA111" s="39">
        <f t="shared" si="33"/>
        <v>0</v>
      </c>
      <c r="AB111" s="40">
        <f>IF(OR(L111="",V111=0),"",IF(AND(N(I111)&gt;0,N(INDEX('06-حزيران'!$I$2:$I$499,V111))&gt;0,INDEX('06-حزيران'!$F$2:$F$499,V111)=F111),N(I111)/N(INDEX('06-حزيران'!$I$2:$I$499,V111))-1,""))</f>
        <v>0</v>
      </c>
      <c r="AC111" t="str">
        <f>IF(L111="","",IF(AND($AO$2=1,ISNA(MATCH(L111,'08-آب'!$L$2:$L$501,0))),"محذوف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396.00000011100002</v>
      </c>
      <c r="AL111">
        <f t="shared" si="39"/>
        <v>1.11E-7</v>
      </c>
    </row>
    <row r="112" spans="1:38" ht="15">
      <c r="A112" t="s">
        <v>320</v>
      </c>
      <c r="B112">
        <v>0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15</v>
      </c>
      <c r="K112" t="str">
        <f t="shared" si="20"/>
        <v/>
      </c>
      <c r="L112" t="str">
        <f t="shared" si="21"/>
        <v>عطر بانتين</v>
      </c>
      <c r="M112" s="36">
        <f t="shared" si="22"/>
        <v>1</v>
      </c>
      <c r="N112" s="37">
        <f t="shared" si="23"/>
        <v>15</v>
      </c>
      <c r="O112" s="37">
        <f t="shared" si="24"/>
        <v>0</v>
      </c>
      <c r="P112" s="38">
        <f t="shared" si="25"/>
        <v>0</v>
      </c>
      <c r="Q112" s="39">
        <f t="shared" si="26"/>
        <v>0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IF(L112="","",IF($AO$1=1,IFERROR(MATCH(L112,'06-حزيران'!$L$2:$L$499,0),0),0))</f>
        <v>53</v>
      </c>
      <c r="W112" t="str">
        <f t="shared" si="31"/>
        <v/>
      </c>
      <c r="X112" s="38">
        <f>IF(L112="","",IF(V112&gt;0,INDEX('06-حزيران'!$P$2:$P$499,V112),IF($AO$1=1,0,"")))</f>
        <v>0</v>
      </c>
      <c r="Y112" s="38">
        <f t="shared" si="32"/>
        <v>0</v>
      </c>
      <c r="Z112" s="39">
        <f>IF(L112="","",IF(V112&gt;0,INDEX('06-حزيران'!$Q$2:$Q$499,V112),IF($AO$1=1,0,"")))</f>
        <v>0</v>
      </c>
      <c r="AA112" s="39">
        <f t="shared" si="33"/>
        <v>0</v>
      </c>
      <c r="AB112" s="40">
        <f>IF(OR(L112="",V112=0),"",IF(AND(N(I112)&gt;0,N(INDEX('06-حزيران'!$I$2:$I$499,V112))&gt;0,INDEX('06-حزيران'!$F$2:$F$499,V112)=F112),N(I112)/N(INDEX('06-حزيران'!$I$2:$I$499,V112))-1,""))</f>
        <v>0</v>
      </c>
      <c r="AC112" t="str">
        <f>IF(L112="","",IF(AND($AO$2=1,ISNA(MATCH(L112,'08-آب'!$L$2:$L$501,0))),"محذوف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1.12E-7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1.12E-7</v>
      </c>
      <c r="AL112">
        <f t="shared" si="39"/>
        <v>1.12E-7</v>
      </c>
    </row>
    <row r="113" spans="1:38" ht="15">
      <c r="A113" t="s">
        <v>321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13.2</v>
      </c>
      <c r="K113" t="str">
        <f t="shared" si="20"/>
        <v/>
      </c>
      <c r="L113" t="str">
        <f t="shared" si="21"/>
        <v>عطر اوليفا</v>
      </c>
      <c r="M113" s="36">
        <f t="shared" si="22"/>
        <v>1</v>
      </c>
      <c r="N113" s="37">
        <f t="shared" si="23"/>
        <v>13.2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IF(L113="","",IF($AO$1=1,IFERROR(MATCH(L113,'06-حزيران'!$L$2:$L$499,0),0),0))</f>
        <v>54</v>
      </c>
      <c r="W113" t="str">
        <f t="shared" si="31"/>
        <v/>
      </c>
      <c r="X113" s="38">
        <f>IF(L113="","",IF(V113&gt;0,INDEX('06-حزيران'!$P$2:$P$499,V113),IF($AO$1=1,0,"")))</f>
        <v>0</v>
      </c>
      <c r="Y113" s="38">
        <f t="shared" si="32"/>
        <v>0</v>
      </c>
      <c r="Z113" s="39">
        <f>IF(L113="","",IF(V113&gt;0,INDEX('06-حزيران'!$Q$2:$Q$499,V113),IF($AO$1=1,0,"")))</f>
        <v>0</v>
      </c>
      <c r="AA113" s="39">
        <f t="shared" si="33"/>
        <v>0</v>
      </c>
      <c r="AB113" s="40">
        <f>IF(OR(L113="",V113=0),"",IF(AND(N(I113)&gt;0,N(INDEX('06-حزيران'!$I$2:$I$499,V113))&gt;0,INDEX('06-حزيران'!$F$2:$F$499,V113)=F113),N(I113)/N(INDEX('06-حزيران'!$I$2:$I$499,V113))-1,""))</f>
        <v>0</v>
      </c>
      <c r="AC113" t="str">
        <f>IF(L113="","",IF(AND($AO$2=1,ISNA(MATCH(L113,'08-آب'!$L$2:$L$501,0))),"محذوف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322</v>
      </c>
      <c r="B114">
        <v>2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425</v>
      </c>
      <c r="K114" t="str">
        <f t="shared" si="20"/>
        <v/>
      </c>
      <c r="L114" t="str">
        <f t="shared" si="21"/>
        <v>عطر ramani-kodi-000110</v>
      </c>
      <c r="M114" s="36">
        <f t="shared" si="22"/>
        <v>1</v>
      </c>
      <c r="N114" s="37">
        <f t="shared" si="23"/>
        <v>425</v>
      </c>
      <c r="O114" s="37">
        <f t="shared" si="24"/>
        <v>0</v>
      </c>
      <c r="P114" s="38">
        <f t="shared" si="25"/>
        <v>2</v>
      </c>
      <c r="Q114" s="39">
        <f t="shared" si="26"/>
        <v>850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IF(L114="","",IF($AO$1=1,IFERROR(MATCH(L114,'06-حزيران'!$L$2:$L$499,0),0),0))</f>
        <v>55</v>
      </c>
      <c r="W114" t="str">
        <f t="shared" si="31"/>
        <v/>
      </c>
      <c r="X114" s="38">
        <f>IF(L114="","",IF(V114&gt;0,INDEX('06-حزيران'!$P$2:$P$499,V114),IF($AO$1=1,0,"")))</f>
        <v>2</v>
      </c>
      <c r="Y114" s="38">
        <f t="shared" si="32"/>
        <v>0</v>
      </c>
      <c r="Z114" s="39">
        <f>IF(L114="","",IF(V114&gt;0,INDEX('06-حزيران'!$Q$2:$Q$499,V114),IF($AO$1=1,0,"")))</f>
        <v>850</v>
      </c>
      <c r="AA114" s="39">
        <f t="shared" si="33"/>
        <v>0</v>
      </c>
      <c r="AB114" s="40">
        <f>IF(OR(L114="",V114=0),"",IF(AND(N(I114)&gt;0,N(INDEX('06-حزيران'!$I$2:$I$499,V114))&gt;0,INDEX('06-حزيران'!$F$2:$F$499,V114)=F114),N(I114)/N(INDEX('06-حزيران'!$I$2:$I$499,V114))-1,""))</f>
        <v>0</v>
      </c>
      <c r="AC114" t="str">
        <f>IF(L114="","",IF(AND($AO$2=1,ISNA(MATCH(L114,'08-آب'!$L$2:$L$501,0))),"محذوف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1.14E-7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850.00000011400004</v>
      </c>
      <c r="AL114">
        <f t="shared" si="39"/>
        <v>1.14E-7</v>
      </c>
    </row>
    <row r="115" spans="1:38" ht="15">
      <c r="A115" t="s">
        <v>323</v>
      </c>
      <c r="B115">
        <v>50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22</v>
      </c>
      <c r="K115" t="str">
        <f t="shared" si="20"/>
        <v/>
      </c>
      <c r="L115" t="str">
        <f t="shared" si="21"/>
        <v>عطر magic sprel - 6168581</v>
      </c>
      <c r="M115" s="36">
        <f t="shared" si="22"/>
        <v>1</v>
      </c>
      <c r="N115" s="37">
        <f t="shared" si="23"/>
        <v>22</v>
      </c>
      <c r="O115" s="37">
        <f t="shared" si="24"/>
        <v>0</v>
      </c>
      <c r="P115" s="38">
        <f t="shared" si="25"/>
        <v>50</v>
      </c>
      <c r="Q115" s="39">
        <f t="shared" si="26"/>
        <v>1100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IF(L115="","",IF($AO$1=1,IFERROR(MATCH(L115,'06-حزيران'!$L$2:$L$499,0),0),0))</f>
        <v>56</v>
      </c>
      <c r="W115" t="str">
        <f t="shared" si="31"/>
        <v/>
      </c>
      <c r="X115" s="38">
        <f>IF(L115="","",IF(V115&gt;0,INDEX('06-حزيران'!$P$2:$P$499,V115),IF($AO$1=1,0,"")))</f>
        <v>50</v>
      </c>
      <c r="Y115" s="38">
        <f t="shared" si="32"/>
        <v>0</v>
      </c>
      <c r="Z115" s="39">
        <f>IF(L115="","",IF(V115&gt;0,INDEX('06-حزيران'!$Q$2:$Q$499,V115),IF($AO$1=1,0,"")))</f>
        <v>1100</v>
      </c>
      <c r="AA115" s="39">
        <f t="shared" si="33"/>
        <v>0</v>
      </c>
      <c r="AB115" s="40">
        <f>IF(OR(L115="",V115=0),"",IF(AND(N(I115)&gt;0,N(INDEX('06-حزيران'!$I$2:$I$499,V115))&gt;0,INDEX('06-حزيران'!$F$2:$F$499,V115)=F115),N(I115)/N(INDEX('06-حزيران'!$I$2:$I$499,V115))-1,""))</f>
        <v>0</v>
      </c>
      <c r="AC115" t="str">
        <f>IF(L115="","",IF(AND($AO$2=1,ISNA(MATCH(L115,'08-آب'!$L$2:$L$501,0))),"محذوف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1.15E-7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1100.0000001149999</v>
      </c>
      <c r="AL115">
        <f t="shared" si="39"/>
        <v>1.15E-7</v>
      </c>
    </row>
    <row r="116" spans="1:38" ht="15">
      <c r="A116" t="s">
        <v>324</v>
      </c>
      <c r="B116">
        <v>4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425</v>
      </c>
      <c r="K116" t="str">
        <f t="shared" si="20"/>
        <v/>
      </c>
      <c r="L116" t="str">
        <f t="shared" si="21"/>
        <v>عطر kavien-clein-eforia-000020</v>
      </c>
      <c r="M116" s="36">
        <f t="shared" si="22"/>
        <v>1</v>
      </c>
      <c r="N116" s="37">
        <f t="shared" si="23"/>
        <v>425</v>
      </c>
      <c r="O116" s="37">
        <f t="shared" si="24"/>
        <v>0</v>
      </c>
      <c r="P116" s="38">
        <f t="shared" si="25"/>
        <v>4</v>
      </c>
      <c r="Q116" s="39">
        <f t="shared" si="26"/>
        <v>1700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IF(L116="","",IF($AO$1=1,IFERROR(MATCH(L116,'06-حزيران'!$L$2:$L$499,0),0),0))</f>
        <v>57</v>
      </c>
      <c r="W116" t="str">
        <f t="shared" si="31"/>
        <v/>
      </c>
      <c r="X116" s="38">
        <f>IF(L116="","",IF(V116&gt;0,INDEX('06-حزيران'!$P$2:$P$499,V116),IF($AO$1=1,0,"")))</f>
        <v>4</v>
      </c>
      <c r="Y116" s="38">
        <f t="shared" si="32"/>
        <v>0</v>
      </c>
      <c r="Z116" s="39">
        <f>IF(L116="","",IF(V116&gt;0,INDEX('06-حزيران'!$Q$2:$Q$499,V116),IF($AO$1=1,0,"")))</f>
        <v>1700</v>
      </c>
      <c r="AA116" s="39">
        <f t="shared" si="33"/>
        <v>0</v>
      </c>
      <c r="AB116" s="40">
        <f>IF(OR(L116="",V116=0),"",IF(AND(N(I116)&gt;0,N(INDEX('06-حزيران'!$I$2:$I$499,V116))&gt;0,INDEX('06-حزيران'!$F$2:$F$499,V116)=F116),N(I116)/N(INDEX('06-حزيران'!$I$2:$I$499,V116))-1,""))</f>
        <v>0</v>
      </c>
      <c r="AC116" t="str">
        <f>IF(L116="","",IF(AND($AO$2=1,ISNA(MATCH(L116,'08-آب'!$L$2:$L$501,0))),"محذوف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1.1600000000000001E-7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1700.0000001159999</v>
      </c>
      <c r="AL116">
        <f t="shared" si="39"/>
        <v>1.1600000000000001E-7</v>
      </c>
    </row>
    <row r="117" spans="1:38" ht="15">
      <c r="A117" t="s">
        <v>325</v>
      </c>
      <c r="B117">
        <v>1.44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400</v>
      </c>
      <c r="K117" t="str">
        <f t="shared" si="20"/>
        <v/>
      </c>
      <c r="L117" t="str">
        <f t="shared" si="21"/>
        <v>عطر energy-000400</v>
      </c>
      <c r="M117" s="36">
        <f t="shared" si="22"/>
        <v>1</v>
      </c>
      <c r="N117" s="37">
        <f t="shared" si="23"/>
        <v>400</v>
      </c>
      <c r="O117" s="37">
        <f t="shared" si="24"/>
        <v>0</v>
      </c>
      <c r="P117" s="38">
        <f t="shared" si="25"/>
        <v>1.44</v>
      </c>
      <c r="Q117" s="39">
        <f t="shared" si="26"/>
        <v>576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IF(L117="","",IF($AO$1=1,IFERROR(MATCH(L117,'06-حزيران'!$L$2:$L$499,0),0),0))</f>
        <v>58</v>
      </c>
      <c r="W117" t="str">
        <f t="shared" si="31"/>
        <v/>
      </c>
      <c r="X117" s="38">
        <f>IF(L117="","",IF(V117&gt;0,INDEX('06-حزيران'!$P$2:$P$499,V117),IF($AO$1=1,0,"")))</f>
        <v>1.44</v>
      </c>
      <c r="Y117" s="38">
        <f t="shared" si="32"/>
        <v>0</v>
      </c>
      <c r="Z117" s="39">
        <f>IF(L117="","",IF(V117&gt;0,INDEX('06-حزيران'!$Q$2:$Q$499,V117),IF($AO$1=1,0,"")))</f>
        <v>576</v>
      </c>
      <c r="AA117" s="39">
        <f t="shared" si="33"/>
        <v>0</v>
      </c>
      <c r="AB117" s="40">
        <f>IF(OR(L117="",V117=0),"",IF(AND(N(I117)&gt;0,N(INDEX('06-حزيران'!$I$2:$I$499,V117))&gt;0,INDEX('06-حزيران'!$F$2:$F$499,V117)=F117),N(I117)/N(INDEX('06-حزيران'!$I$2:$I$499,V117))-1,""))</f>
        <v>0</v>
      </c>
      <c r="AC117" t="str">
        <f>IF(L117="","",IF(AND($AO$2=1,ISNA(MATCH(L117,'08-آب'!$L$2:$L$501,0))),"محذوف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1.17E-7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576.00000011700001</v>
      </c>
      <c r="AL117">
        <f t="shared" si="39"/>
        <v>1.17E-7</v>
      </c>
    </row>
    <row r="118" spans="1:38" ht="15">
      <c r="A118" t="s">
        <v>326</v>
      </c>
      <c r="B118">
        <v>105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24</v>
      </c>
      <c r="K118" t="str">
        <f t="shared" si="20"/>
        <v/>
      </c>
      <c r="L118" t="str">
        <f t="shared" si="21"/>
        <v>عطر Blue APC - 0001198620</v>
      </c>
      <c r="M118" s="36">
        <f t="shared" si="22"/>
        <v>1</v>
      </c>
      <c r="N118" s="37">
        <f t="shared" si="23"/>
        <v>24</v>
      </c>
      <c r="O118" s="37">
        <f t="shared" si="24"/>
        <v>0</v>
      </c>
      <c r="P118" s="38">
        <f t="shared" si="25"/>
        <v>105</v>
      </c>
      <c r="Q118" s="39">
        <f t="shared" si="26"/>
        <v>2520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IF(L118="","",IF($AO$1=1,IFERROR(MATCH(L118,'06-حزيران'!$L$2:$L$499,0),0),0))</f>
        <v>59</v>
      </c>
      <c r="W118" t="str">
        <f t="shared" si="31"/>
        <v/>
      </c>
      <c r="X118" s="38">
        <f>IF(L118="","",IF(V118&gt;0,INDEX('06-حزيران'!$P$2:$P$499,V118),IF($AO$1=1,0,"")))</f>
        <v>105</v>
      </c>
      <c r="Y118" s="38">
        <f t="shared" si="32"/>
        <v>0</v>
      </c>
      <c r="Z118" s="39">
        <f>IF(L118="","",IF(V118&gt;0,INDEX('06-حزيران'!$Q$2:$Q$499,V118),IF($AO$1=1,0,"")))</f>
        <v>2520</v>
      </c>
      <c r="AA118" s="39">
        <f t="shared" si="33"/>
        <v>0</v>
      </c>
      <c r="AB118" s="40">
        <f>IF(OR(L118="",V118=0),"",IF(AND(N(I118)&gt;0,N(INDEX('06-حزيران'!$I$2:$I$499,V118))&gt;0,INDEX('06-حزيران'!$F$2:$F$499,V118)=F118),N(I118)/N(INDEX('06-حزيران'!$I$2:$I$499,V118))-1,""))</f>
        <v>0</v>
      </c>
      <c r="AC118" t="str">
        <f>IF(L118="","",IF(AND($AO$2=1,ISNA(MATCH(L118,'08-آب'!$L$2:$L$501,0))),"محذوف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1.18E-7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2520.0000001180001</v>
      </c>
      <c r="AL118">
        <f t="shared" si="39"/>
        <v>1.18E-7</v>
      </c>
    </row>
    <row r="119" spans="1:38" ht="15">
      <c r="A119" t="s">
        <v>327</v>
      </c>
      <c r="B119">
        <v>4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450</v>
      </c>
      <c r="K119" t="str">
        <f t="shared" si="20"/>
        <v/>
      </c>
      <c r="L119" t="str">
        <f t="shared" si="21"/>
        <v>عطر billionair-000250</v>
      </c>
      <c r="M119" s="36">
        <f t="shared" si="22"/>
        <v>1</v>
      </c>
      <c r="N119" s="37">
        <f t="shared" si="23"/>
        <v>450</v>
      </c>
      <c r="O119" s="37">
        <f t="shared" si="24"/>
        <v>0</v>
      </c>
      <c r="P119" s="38">
        <f t="shared" si="25"/>
        <v>4</v>
      </c>
      <c r="Q119" s="39">
        <f t="shared" si="26"/>
        <v>1800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IF(L119="","",IF($AO$1=1,IFERROR(MATCH(L119,'06-حزيران'!$L$2:$L$499,0),0),0))</f>
        <v>60</v>
      </c>
      <c r="W119" t="str">
        <f t="shared" si="31"/>
        <v/>
      </c>
      <c r="X119" s="38">
        <f>IF(L119="","",IF(V119&gt;0,INDEX('06-حزيران'!$P$2:$P$499,V119),IF($AO$1=1,0,"")))</f>
        <v>4</v>
      </c>
      <c r="Y119" s="38">
        <f t="shared" si="32"/>
        <v>0</v>
      </c>
      <c r="Z119" s="39">
        <f>IF(L119="","",IF(V119&gt;0,INDEX('06-حزيران'!$Q$2:$Q$499,V119),IF($AO$1=1,0,"")))</f>
        <v>1800</v>
      </c>
      <c r="AA119" s="39">
        <f t="shared" si="33"/>
        <v>0</v>
      </c>
      <c r="AB119" s="40">
        <f>IF(OR(L119="",V119=0),"",IF(AND(N(I119)&gt;0,N(INDEX('06-حزيران'!$I$2:$I$499,V119))&gt;0,INDEX('06-حزيران'!$F$2:$F$499,V119)=F119),N(I119)/N(INDEX('06-حزيران'!$I$2:$I$499,V119))-1,""))</f>
        <v>0</v>
      </c>
      <c r="AC119" t="str">
        <f>IF(L119="","",IF(AND($AO$2=1,ISNA(MATCH(L119,'08-آب'!$L$2:$L$501,0))),"محذوف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1800.0000001190001</v>
      </c>
      <c r="AL119">
        <f t="shared" si="39"/>
        <v>1.1899999999999999E-7</v>
      </c>
    </row>
    <row r="120" spans="1:38" ht="15">
      <c r="A120" t="s">
        <v>328</v>
      </c>
      <c r="B120">
        <v>2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187.5</v>
      </c>
      <c r="K120" t="str">
        <f t="shared" si="20"/>
        <v/>
      </c>
      <c r="L120" t="str">
        <f t="shared" si="21"/>
        <v>عطر be-apple-000320</v>
      </c>
      <c r="M120" s="36">
        <f t="shared" si="22"/>
        <v>1</v>
      </c>
      <c r="N120" s="37">
        <f t="shared" si="23"/>
        <v>187.5</v>
      </c>
      <c r="O120" s="37">
        <f t="shared" si="24"/>
        <v>0</v>
      </c>
      <c r="P120" s="38">
        <f t="shared" si="25"/>
        <v>2</v>
      </c>
      <c r="Q120" s="39">
        <f t="shared" si="26"/>
        <v>375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IF(L120="","",IF($AO$1=1,IFERROR(MATCH(L120,'06-حزيران'!$L$2:$L$499,0),0),0))</f>
        <v>61</v>
      </c>
      <c r="W120" t="str">
        <f t="shared" si="31"/>
        <v/>
      </c>
      <c r="X120" s="38">
        <f>IF(L120="","",IF(V120&gt;0,INDEX('06-حزيران'!$P$2:$P$499,V120),IF($AO$1=1,0,"")))</f>
        <v>2</v>
      </c>
      <c r="Y120" s="38">
        <f t="shared" si="32"/>
        <v>0</v>
      </c>
      <c r="Z120" s="39">
        <f>IF(L120="","",IF(V120&gt;0,INDEX('06-حزيران'!$Q$2:$Q$499,V120),IF($AO$1=1,0,"")))</f>
        <v>375</v>
      </c>
      <c r="AA120" s="39">
        <f t="shared" si="33"/>
        <v>0</v>
      </c>
      <c r="AB120" s="40">
        <f>IF(OR(L120="",V120=0),"",IF(AND(N(I120)&gt;0,N(INDEX('06-حزيران'!$I$2:$I$499,V120))&gt;0,INDEX('06-حزيران'!$F$2:$F$499,V120)=F120),N(I120)/N(INDEX('06-حزيران'!$I$2:$I$499,V120))-1,""))</f>
        <v>0</v>
      </c>
      <c r="AC120" t="str">
        <f>IF(L120="","",IF(AND($AO$2=1,ISNA(MATCH(L120,'08-آب'!$L$2:$L$501,0))),"محذوف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375.00000011999998</v>
      </c>
      <c r="AL120">
        <f t="shared" si="39"/>
        <v>1.1999999999999999E-7</v>
      </c>
    </row>
    <row r="121" spans="1:38" ht="15">
      <c r="A121" t="s">
        <v>446</v>
      </c>
      <c r="B121">
        <v>0.4</v>
      </c>
      <c r="C121">
        <v>250000</v>
      </c>
      <c r="D121">
        <v>250000</v>
      </c>
      <c r="E121">
        <v>250000</v>
      </c>
      <c r="F121" t="s">
        <v>389</v>
      </c>
      <c r="G121" t="s">
        <v>178</v>
      </c>
      <c r="H121" t="s">
        <v>12</v>
      </c>
      <c r="I121">
        <v>200000</v>
      </c>
      <c r="K121" t="str">
        <f t="shared" si="20"/>
        <v/>
      </c>
      <c r="L121" t="str">
        <f t="shared" si="21"/>
        <v>عصايات</v>
      </c>
      <c r="M121" s="36">
        <f t="shared" si="22"/>
        <v>7.5187969924812026E-5</v>
      </c>
      <c r="N121" s="37">
        <f t="shared" si="23"/>
        <v>15.037593984962406</v>
      </c>
      <c r="O121" s="37">
        <f t="shared" si="24"/>
        <v>18.796992481203006</v>
      </c>
      <c r="P121" s="38">
        <f t="shared" si="25"/>
        <v>0.4</v>
      </c>
      <c r="Q121" s="39">
        <f t="shared" si="26"/>
        <v>6.015037593984963</v>
      </c>
      <c r="R121" s="39">
        <f t="shared" si="27"/>
        <v>7.518796992481203</v>
      </c>
      <c r="S121">
        <f t="shared" si="28"/>
        <v>1</v>
      </c>
      <c r="T121" s="39">
        <f t="shared" si="29"/>
        <v>1.5037593984962401</v>
      </c>
      <c r="U121" t="str">
        <f t="shared" si="30"/>
        <v/>
      </c>
      <c r="V121">
        <f>IF(L121="","",IF($AO$1=1,IFERROR(MATCH(L121,'06-حزيران'!$L$2:$L$499,0),0),0))</f>
        <v>178</v>
      </c>
      <c r="W121" t="str">
        <f t="shared" si="31"/>
        <v/>
      </c>
      <c r="X121" s="38">
        <f>IF(L121="","",IF(V121&gt;0,INDEX('06-حزيران'!$P$2:$P$499,V121),IF($AO$1=1,0,"")))</f>
        <v>0</v>
      </c>
      <c r="Y121" s="38">
        <f t="shared" si="32"/>
        <v>0.4</v>
      </c>
      <c r="Z121" s="39">
        <f>IF(L121="","",IF(V121&gt;0,INDEX('06-حزيران'!$Q$2:$Q$499,V121),IF($AO$1=1,0,"")))</f>
        <v>0</v>
      </c>
      <c r="AA121" s="39">
        <f t="shared" si="33"/>
        <v>6.015037593984963</v>
      </c>
      <c r="AB121" s="40">
        <f>IF(OR(L121="",V121=0),"",IF(AND(N(I121)&gt;0,N(INDEX('06-حزيران'!$I$2:$I$499,V121))&gt;0,INDEX('06-حزيران'!$F$2:$F$499,V121)=F121),N(I121)/N(INDEX('06-حزيران'!$I$2:$I$499,V121))-1,""))</f>
        <v>0</v>
      </c>
      <c r="AC121" t="str">
        <f>IF(L121="","",IF(AND($AO$2=1,ISNA(MATCH(L121,'08-آب'!$L$2:$L$501,0))),"محذوف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6.0150377149849632</v>
      </c>
      <c r="AH121" s="39">
        <f t="shared" si="35"/>
        <v>1.5037593984962401</v>
      </c>
      <c r="AI121" s="39">
        <f t="shared" si="36"/>
        <v>1.5037593984962401</v>
      </c>
      <c r="AJ121" s="39">
        <f t="shared" si="37"/>
        <v>1.5037593984962401</v>
      </c>
      <c r="AK121">
        <f t="shared" si="38"/>
        <v>6.0150377149849632</v>
      </c>
      <c r="AL121">
        <f t="shared" si="39"/>
        <v>1.5037595194962401</v>
      </c>
    </row>
    <row r="122" spans="1:38" ht="15">
      <c r="A122" t="s">
        <v>329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0.8</v>
      </c>
      <c r="K122" t="str">
        <f t="shared" si="20"/>
        <v/>
      </c>
      <c r="L122" t="str">
        <f t="shared" si="21"/>
        <v>عبوة 1 لتر</v>
      </c>
      <c r="M122" s="36">
        <f t="shared" si="22"/>
        <v>1</v>
      </c>
      <c r="N122" s="37">
        <f t="shared" si="23"/>
        <v>0.8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IF(L122="","",IF($AO$1=1,IFERROR(MATCH(L122,'06-حزيران'!$L$2:$L$499,0),0),0))</f>
        <v>62</v>
      </c>
      <c r="W122" t="str">
        <f t="shared" si="31"/>
        <v/>
      </c>
      <c r="X122" s="38">
        <f>IF(L122="","",IF(V122&gt;0,INDEX('06-حزيران'!$P$2:$P$499,V122),IF($AO$1=1,0,"")))</f>
        <v>0</v>
      </c>
      <c r="Y122" s="38">
        <f t="shared" si="32"/>
        <v>0</v>
      </c>
      <c r="Z122" s="39">
        <f>IF(L122="","",IF(V122&gt;0,INDEX('06-حزيران'!$Q$2:$Q$499,V122),IF($AO$1=1,0,"")))</f>
        <v>0</v>
      </c>
      <c r="AA122" s="39">
        <f t="shared" si="33"/>
        <v>0</v>
      </c>
      <c r="AB122" s="40">
        <f>IF(OR(L122="",V122=0),"",IF(AND(N(I122)&gt;0,N(INDEX('06-حزيران'!$I$2:$I$499,V122))&gt;0,INDEX('06-حزيران'!$F$2:$F$499,V122)=F122),N(I122)/N(INDEX('06-حزيران'!$I$2:$I$499,V122))-1,""))</f>
        <v>0</v>
      </c>
      <c r="AC122" t="str">
        <f>IF(L122="","",IF(AND($AO$2=1,ISNA(MATCH(L122,'08-آب'!$L$2:$L$501,0))),"محذوف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447</v>
      </c>
      <c r="B123">
        <v>18.03</v>
      </c>
      <c r="C123">
        <v>90000</v>
      </c>
      <c r="D123">
        <v>90000</v>
      </c>
      <c r="E123">
        <v>90000</v>
      </c>
      <c r="F123" t="s">
        <v>389</v>
      </c>
      <c r="G123" t="s">
        <v>178</v>
      </c>
      <c r="H123" t="s">
        <v>176</v>
      </c>
      <c r="I123">
        <v>84000</v>
      </c>
      <c r="K123" t="str">
        <f t="shared" si="20"/>
        <v/>
      </c>
      <c r="L123" t="str">
        <f t="shared" si="21"/>
        <v>عبوات كلور + فلاش فارغة</v>
      </c>
      <c r="M123" s="36">
        <f t="shared" si="22"/>
        <v>7.5187969924812026E-5</v>
      </c>
      <c r="N123" s="37">
        <f t="shared" si="23"/>
        <v>6.3157894736842106</v>
      </c>
      <c r="O123" s="37">
        <f t="shared" si="24"/>
        <v>6.7669172932330826</v>
      </c>
      <c r="P123" s="38">
        <f t="shared" si="25"/>
        <v>18.03</v>
      </c>
      <c r="Q123" s="39">
        <f t="shared" si="26"/>
        <v>113.87368421052632</v>
      </c>
      <c r="R123" s="39">
        <f t="shared" si="27"/>
        <v>122.00751879699249</v>
      </c>
      <c r="S123">
        <f t="shared" si="28"/>
        <v>1</v>
      </c>
      <c r="T123" s="39">
        <f t="shared" si="29"/>
        <v>8.1338345864661648</v>
      </c>
      <c r="U123" t="str">
        <f t="shared" si="30"/>
        <v/>
      </c>
      <c r="V123">
        <f>IF(L123="","",IF($AO$1=1,IFERROR(MATCH(L123,'06-حزيران'!$L$2:$L$499,0),0),0))</f>
        <v>179</v>
      </c>
      <c r="W123" t="str">
        <f t="shared" si="31"/>
        <v/>
      </c>
      <c r="X123" s="38">
        <f>IF(L123="","",IF(V123&gt;0,INDEX('06-حزيران'!$P$2:$P$499,V123),IF($AO$1=1,0,"")))</f>
        <v>19.87</v>
      </c>
      <c r="Y123" s="38">
        <f t="shared" si="32"/>
        <v>-1.8399999999999999</v>
      </c>
      <c r="Z123" s="39">
        <f>IF(L123="","",IF(V123&gt;0,INDEX('06-حزيران'!$Q$2:$Q$499,V123),IF($AO$1=1,0,"")))</f>
        <v>126.44545454545455</v>
      </c>
      <c r="AA123" s="39">
        <f t="shared" si="33"/>
        <v>-12.571770334928232</v>
      </c>
      <c r="AB123" s="40">
        <f>IF(OR(L123="",V123=0),"",IF(AND(N(I123)&gt;0,N(INDEX('06-حزيران'!$I$2:$I$499,V123))&gt;0,INDEX('06-حزيران'!$F$2:$F$499,V123)=F123),N(I123)/N(INDEX('06-حزيران'!$I$2:$I$499,V123))-1,""))</f>
        <v>0</v>
      </c>
      <c r="AC123" t="str">
        <f>IF(L123="","",IF(AND($AO$2=1,ISNA(MATCH(L123,'08-آب'!$L$2:$L$501,0))),"محذوف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12.571770457928231</v>
      </c>
      <c r="AH123" s="39">
        <f t="shared" si="35"/>
        <v>8.1338345864661612</v>
      </c>
      <c r="AI123" s="39">
        <f t="shared" si="36"/>
        <v>8.1338345864661612</v>
      </c>
      <c r="AJ123" s="39">
        <f t="shared" si="37"/>
        <v>8.1338345864661612</v>
      </c>
      <c r="AK123">
        <f t="shared" si="38"/>
        <v>113.87368433352633</v>
      </c>
      <c r="AL123">
        <f t="shared" si="39"/>
        <v>8.1338347094661643</v>
      </c>
    </row>
    <row r="124" spans="1:38" ht="15">
      <c r="A124" t="s">
        <v>448</v>
      </c>
      <c r="B124">
        <v>30.82</v>
      </c>
      <c r="C124">
        <v>135000</v>
      </c>
      <c r="D124">
        <v>135000</v>
      </c>
      <c r="E124">
        <v>135000</v>
      </c>
      <c r="F124" t="s">
        <v>389</v>
      </c>
      <c r="G124" t="s">
        <v>178</v>
      </c>
      <c r="H124" t="s">
        <v>176</v>
      </c>
      <c r="I124">
        <v>126000</v>
      </c>
      <c r="K124" t="str">
        <f t="shared" si="20"/>
        <v/>
      </c>
      <c r="L124" t="str">
        <f t="shared" si="21"/>
        <v>عبوات شفافة 3 لتر</v>
      </c>
      <c r="M124" s="36">
        <f t="shared" si="22"/>
        <v>7.5187969924812026E-5</v>
      </c>
      <c r="N124" s="37">
        <f t="shared" si="23"/>
        <v>9.473684210526315</v>
      </c>
      <c r="O124" s="37">
        <f t="shared" si="24"/>
        <v>10.150375939849624</v>
      </c>
      <c r="P124" s="38">
        <f t="shared" si="25"/>
        <v>30.82</v>
      </c>
      <c r="Q124" s="39">
        <f t="shared" si="26"/>
        <v>291.97894736842102</v>
      </c>
      <c r="R124" s="39">
        <f t="shared" si="27"/>
        <v>312.83458646616543</v>
      </c>
      <c r="S124">
        <f t="shared" si="28"/>
        <v>1</v>
      </c>
      <c r="T124" s="39">
        <f t="shared" si="29"/>
        <v>20.855639097744415</v>
      </c>
      <c r="U124" t="str">
        <f t="shared" si="30"/>
        <v/>
      </c>
      <c r="V124">
        <f>IF(L124="","",IF($AO$1=1,IFERROR(MATCH(L124,'06-حزيران'!$L$2:$L$499,0),0),0))</f>
        <v>180</v>
      </c>
      <c r="W124" t="str">
        <f t="shared" si="31"/>
        <v/>
      </c>
      <c r="X124" s="38">
        <f>IF(L124="","",IF(V124&gt;0,INDEX('06-حزيران'!$P$2:$P$499,V124),IF($AO$1=1,0,"")))</f>
        <v>11.16</v>
      </c>
      <c r="Y124" s="38">
        <f t="shared" si="32"/>
        <v>19.66</v>
      </c>
      <c r="Z124" s="39">
        <f>IF(L124="","",IF(V124&gt;0,INDEX('06-حزيران'!$Q$2:$Q$499,V124),IF($AO$1=1,0,"")))</f>
        <v>106.52727272727272</v>
      </c>
      <c r="AA124" s="39">
        <f t="shared" si="33"/>
        <v>185.45167464114832</v>
      </c>
      <c r="AB124" s="40">
        <f>IF(OR(L124="",V124=0),"",IF(AND(N(I124)&gt;0,N(INDEX('06-حزيران'!$I$2:$I$499,V124))&gt;0,INDEX('06-حزيران'!$F$2:$F$499,V124)=F124),N(I124)/N(INDEX('06-حزيران'!$I$2:$I$499,V124))-1,""))</f>
        <v>0</v>
      </c>
      <c r="AC124" t="str">
        <f>IF(L124="","",IF(AND($AO$2=1,ISNA(MATCH(L124,'08-آب'!$L$2:$L$501,0))),"محذوف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185.45167476514831</v>
      </c>
      <c r="AH124" s="39">
        <f t="shared" si="35"/>
        <v>20.85563909774439</v>
      </c>
      <c r="AI124" s="39">
        <f t="shared" si="36"/>
        <v>20.85563909774439</v>
      </c>
      <c r="AJ124" s="39">
        <f t="shared" si="37"/>
        <v>20.85563909774439</v>
      </c>
      <c r="AK124">
        <f t="shared" si="38"/>
        <v>291.97894749242101</v>
      </c>
      <c r="AL124">
        <f t="shared" si="39"/>
        <v>20.855639221744415</v>
      </c>
    </row>
    <row r="125" spans="1:38" ht="15">
      <c r="A125" t="s">
        <v>449</v>
      </c>
      <c r="B125">
        <v>93.75</v>
      </c>
      <c r="C125">
        <v>128000</v>
      </c>
      <c r="D125">
        <v>128000</v>
      </c>
      <c r="E125">
        <v>128000</v>
      </c>
      <c r="F125" t="s">
        <v>389</v>
      </c>
      <c r="G125" t="s">
        <v>178</v>
      </c>
      <c r="H125" t="s">
        <v>176</v>
      </c>
      <c r="I125">
        <v>96000</v>
      </c>
      <c r="K125" t="str">
        <f t="shared" si="20"/>
        <v/>
      </c>
      <c r="L125" t="str">
        <f t="shared" si="21"/>
        <v>عبوات حليبي</v>
      </c>
      <c r="M125" s="36">
        <f t="shared" si="22"/>
        <v>7.5187969924812026E-5</v>
      </c>
      <c r="N125" s="37">
        <f t="shared" si="23"/>
        <v>7.2180451127819545</v>
      </c>
      <c r="O125" s="37">
        <f t="shared" si="24"/>
        <v>9.6240601503759393</v>
      </c>
      <c r="P125" s="38">
        <f t="shared" si="25"/>
        <v>93.75</v>
      </c>
      <c r="Q125" s="39">
        <f t="shared" si="26"/>
        <v>676.69172932330821</v>
      </c>
      <c r="R125" s="39">
        <f t="shared" si="27"/>
        <v>902.25563909774428</v>
      </c>
      <c r="S125">
        <f t="shared" si="28"/>
        <v>1</v>
      </c>
      <c r="T125" s="39">
        <f t="shared" si="29"/>
        <v>225.56390977443607</v>
      </c>
      <c r="U125" t="str">
        <f t="shared" si="30"/>
        <v/>
      </c>
      <c r="V125">
        <f>IF(L125="","",IF($AO$1=1,IFERROR(MATCH(L125,'06-حزيران'!$L$2:$L$499,0),0),0))</f>
        <v>181</v>
      </c>
      <c r="W125" t="str">
        <f t="shared" si="31"/>
        <v/>
      </c>
      <c r="X125" s="38">
        <f>IF(L125="","",IF(V125&gt;0,INDEX('06-حزيران'!$P$2:$P$499,V125),IF($AO$1=1,0,"")))</f>
        <v>93.75</v>
      </c>
      <c r="Y125" s="38">
        <f t="shared" si="32"/>
        <v>0</v>
      </c>
      <c r="Z125" s="39">
        <f>IF(L125="","",IF(V125&gt;0,INDEX('06-حزيران'!$Q$2:$Q$499,V125),IF($AO$1=1,0,"")))</f>
        <v>681.81818181818176</v>
      </c>
      <c r="AA125" s="39">
        <f t="shared" si="33"/>
        <v>-5.126452494873547</v>
      </c>
      <c r="AB125" s="40">
        <f>IF(OR(L125="",V125=0),"",IF(AND(N(I125)&gt;0,N(INDEX('06-حزيران'!$I$2:$I$499,V125))&gt;0,INDEX('06-حزيران'!$F$2:$F$499,V125)=F125),N(I125)/N(INDEX('06-حزيران'!$I$2:$I$499,V125))-1,""))</f>
        <v>0</v>
      </c>
      <c r="AC125" t="str">
        <f>IF(L125="","",IF(AND($AO$2=1,ISNA(MATCH(L125,'08-آب'!$L$2:$L$501,0))),"محذوف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5.1264526198735467</v>
      </c>
      <c r="AH125" s="39">
        <f t="shared" si="35"/>
        <v>225.56390977443607</v>
      </c>
      <c r="AI125" s="39">
        <f t="shared" si="36"/>
        <v>225.56390977443607</v>
      </c>
      <c r="AJ125" s="39">
        <f t="shared" si="37"/>
        <v>225.56390977443607</v>
      </c>
      <c r="AK125">
        <f t="shared" si="38"/>
        <v>676.69172944830825</v>
      </c>
      <c r="AL125">
        <f t="shared" si="39"/>
        <v>225.56390989943608</v>
      </c>
    </row>
    <row r="126" spans="1:38" ht="15">
      <c r="A126" t="s">
        <v>450</v>
      </c>
      <c r="B126">
        <v>80</v>
      </c>
      <c r="C126">
        <v>18000</v>
      </c>
      <c r="D126">
        <v>18000</v>
      </c>
      <c r="E126">
        <v>18000</v>
      </c>
      <c r="F126" t="s">
        <v>389</v>
      </c>
      <c r="G126" t="s">
        <v>178</v>
      </c>
      <c r="H126" t="s">
        <v>12</v>
      </c>
      <c r="I126">
        <v>15000</v>
      </c>
      <c r="K126" t="str">
        <f t="shared" si="20"/>
        <v/>
      </c>
      <c r="L126" t="str">
        <f t="shared" si="21"/>
        <v>طواقي راس</v>
      </c>
      <c r="M126" s="36">
        <f t="shared" si="22"/>
        <v>7.5187969924812026E-5</v>
      </c>
      <c r="N126" s="37">
        <f t="shared" si="23"/>
        <v>1.1278195488721805</v>
      </c>
      <c r="O126" s="37">
        <f t="shared" si="24"/>
        <v>1.3533834586466165</v>
      </c>
      <c r="P126" s="38">
        <f t="shared" si="25"/>
        <v>80</v>
      </c>
      <c r="Q126" s="39">
        <f t="shared" si="26"/>
        <v>90.225563909774436</v>
      </c>
      <c r="R126" s="39">
        <f t="shared" si="27"/>
        <v>108.27067669172932</v>
      </c>
      <c r="S126">
        <f t="shared" si="28"/>
        <v>1</v>
      </c>
      <c r="T126" s="39">
        <f t="shared" si="29"/>
        <v>18.045112781954884</v>
      </c>
      <c r="U126" t="str">
        <f t="shared" si="30"/>
        <v/>
      </c>
      <c r="V126">
        <f>IF(L126="","",IF($AO$1=1,IFERROR(MATCH(L126,'06-حزيران'!$L$2:$L$499,0),0),0))</f>
        <v>182</v>
      </c>
      <c r="W126" t="str">
        <f t="shared" si="31"/>
        <v/>
      </c>
      <c r="X126" s="38">
        <f>IF(L126="","",IF(V126&gt;0,INDEX('06-حزيران'!$P$2:$P$499,V126),IF($AO$1=1,0,"")))</f>
        <v>80</v>
      </c>
      <c r="Y126" s="38">
        <f t="shared" si="32"/>
        <v>0</v>
      </c>
      <c r="Z126" s="39">
        <f>IF(L126="","",IF(V126&gt;0,INDEX('06-حزيران'!$Q$2:$Q$499,V126),IF($AO$1=1,0,"")))</f>
        <v>90.909090909090921</v>
      </c>
      <c r="AA126" s="39">
        <f t="shared" si="33"/>
        <v>-0.68352699931648431</v>
      </c>
      <c r="AB126" s="40">
        <f>IF(OR(L126="",V126=0),"",IF(AND(N(I126)&gt;0,N(INDEX('06-حزيران'!$I$2:$I$499,V126))&gt;0,INDEX('06-حزيران'!$F$2:$F$499,V126)=F126),N(I126)/N(INDEX('06-حزيران'!$I$2:$I$499,V126))-1,""))</f>
        <v>0</v>
      </c>
      <c r="AC126" t="str">
        <f>IF(L126="","",IF(AND($AO$2=1,ISNA(MATCH(L126,'08-آب'!$L$2:$L$501,0))),"محذوف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0.6835271253164843</v>
      </c>
      <c r="AH126" s="39">
        <f t="shared" si="35"/>
        <v>18.045112781954877</v>
      </c>
      <c r="AI126" s="39">
        <f t="shared" si="36"/>
        <v>18.045112781954877</v>
      </c>
      <c r="AJ126" s="39">
        <f t="shared" si="37"/>
        <v>18.045112781954877</v>
      </c>
      <c r="AK126">
        <f t="shared" si="38"/>
        <v>90.22556403577444</v>
      </c>
      <c r="AL126">
        <f t="shared" si="39"/>
        <v>18.045112907954884</v>
      </c>
    </row>
    <row r="127" spans="1:38" ht="15">
      <c r="A127" t="s">
        <v>330</v>
      </c>
      <c r="B127">
        <v>0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177</v>
      </c>
      <c r="I127">
        <v>0</v>
      </c>
      <c r="K127" t="str">
        <f t="shared" si="20"/>
        <v/>
      </c>
      <c r="L127" t="str">
        <f t="shared" si="21"/>
        <v>طبخة رابع مخصصة</v>
      </c>
      <c r="M127" s="36">
        <f t="shared" si="22"/>
        <v>1</v>
      </c>
      <c r="N127" s="37">
        <f t="shared" si="23"/>
        <v>0</v>
      </c>
      <c r="O127" s="37">
        <f t="shared" si="24"/>
        <v>0</v>
      </c>
      <c r="P127" s="38">
        <f t="shared" si="25"/>
        <v>0</v>
      </c>
      <c r="Q127" s="39">
        <f t="shared" si="26"/>
        <v>0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IF(L127="","",IF($AO$1=1,IFERROR(MATCH(L127,'06-حزيران'!$L$2:$L$499,0),0),0))</f>
        <v>63</v>
      </c>
      <c r="W127" t="str">
        <f t="shared" si="31"/>
        <v/>
      </c>
      <c r="X127" s="38">
        <f>IF(L127="","",IF(V127&gt;0,INDEX('06-حزيران'!$P$2:$P$499,V127),IF($AO$1=1,0,"")))</f>
        <v>0</v>
      </c>
      <c r="Y127" s="38">
        <f t="shared" si="32"/>
        <v>0</v>
      </c>
      <c r="Z127" s="39">
        <f>IF(L127="","",IF(V127&gt;0,INDEX('06-حزيران'!$Q$2:$Q$499,V127),IF($AO$1=1,0,"")))</f>
        <v>0</v>
      </c>
      <c r="AA127" s="39">
        <f t="shared" si="33"/>
        <v>0</v>
      </c>
      <c r="AB127" s="40" t="str">
        <f>IF(OR(L127="",V127=0),"",IF(AND(N(I127)&gt;0,N(INDEX('06-حزيران'!$I$2:$I$499,V127))&gt;0,INDEX('06-حزيران'!$F$2:$F$499,V127)=F127),N(I127)/N(INDEX('06-حزيران'!$I$2:$I$499,V127))-1,""))</f>
        <v/>
      </c>
      <c r="AC127" t="str">
        <f>IF(L127="","",IF(AND($AO$2=1,ISNA(MATCH(L127,'08-آب'!$L$2:$L$501,0))),"محذوف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1.2700000000000001E-7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1.2700000000000001E-7</v>
      </c>
      <c r="AL127">
        <f t="shared" si="39"/>
        <v>1.2700000000000001E-7</v>
      </c>
    </row>
    <row r="128" spans="1:38" ht="15">
      <c r="A128" t="s">
        <v>331</v>
      </c>
      <c r="B128">
        <v>0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177</v>
      </c>
      <c r="I128">
        <v>0</v>
      </c>
      <c r="K128" t="str">
        <f t="shared" si="20"/>
        <v/>
      </c>
      <c r="L128" t="str">
        <f t="shared" si="21"/>
        <v>طبخة رابع تنتح طبختين</v>
      </c>
      <c r="M128" s="36">
        <f t="shared" si="22"/>
        <v>1</v>
      </c>
      <c r="N128" s="37">
        <f t="shared" si="23"/>
        <v>0</v>
      </c>
      <c r="O128" s="37">
        <f t="shared" si="24"/>
        <v>0</v>
      </c>
      <c r="P128" s="38">
        <f t="shared" si="25"/>
        <v>0</v>
      </c>
      <c r="Q128" s="39">
        <f t="shared" si="26"/>
        <v>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IF(L128="","",IF($AO$1=1,IFERROR(MATCH(L128,'06-حزيران'!$L$2:$L$499,0),0),0))</f>
        <v>64</v>
      </c>
      <c r="W128" t="str">
        <f t="shared" si="31"/>
        <v/>
      </c>
      <c r="X128" s="38">
        <f>IF(L128="","",IF(V128&gt;0,INDEX('06-حزيران'!$P$2:$P$499,V128),IF($AO$1=1,0,"")))</f>
        <v>0</v>
      </c>
      <c r="Y128" s="38">
        <f t="shared" si="32"/>
        <v>0</v>
      </c>
      <c r="Z128" s="39">
        <f>IF(L128="","",IF(V128&gt;0,INDEX('06-حزيران'!$Q$2:$Q$499,V128),IF($AO$1=1,0,"")))</f>
        <v>0</v>
      </c>
      <c r="AA128" s="39">
        <f t="shared" si="33"/>
        <v>0</v>
      </c>
      <c r="AB128" s="40" t="str">
        <f>IF(OR(L128="",V128=0),"",IF(AND(N(I128)&gt;0,N(INDEX('06-حزيران'!$I$2:$I$499,V128))&gt;0,INDEX('06-حزيران'!$F$2:$F$499,V128)=F128),N(I128)/N(INDEX('06-حزيران'!$I$2:$I$499,V128))-1,""))</f>
        <v/>
      </c>
      <c r="AC128" t="str">
        <f>IF(L128="","",IF(AND($AO$2=1,ISNA(MATCH(L128,'08-آب'!$L$2:$L$501,0))),"محذوف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1.2800000000000001E-7</v>
      </c>
      <c r="AL128">
        <f t="shared" si="39"/>
        <v>1.2800000000000001E-7</v>
      </c>
    </row>
    <row r="129" spans="1:38" ht="15">
      <c r="A129" t="s">
        <v>332</v>
      </c>
      <c r="B129">
        <v>0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177</v>
      </c>
      <c r="I129">
        <v>642</v>
      </c>
      <c r="K129" t="str">
        <f t="shared" ref="K129:K192" si="40">IF(L129="","",IF(U129&lt;&gt;"","⚠",""))</f>
        <v/>
      </c>
      <c r="L129" t="str">
        <f t="shared" ref="L129:L192" si="41">IF(A129="","",TRIM(A129))</f>
        <v>طبخة اول تنتج طبختين</v>
      </c>
      <c r="M129" s="36">
        <f t="shared" ref="M129:M192" si="42">IF(L129="","",IF(ISNUMBER(SEARCH("دولار",F129)),1,IF(ISNUMBER(SEARCH("ليرة",F129)),IF($AO$3&gt;0,1/$AO$3,0),0)))</f>
        <v>1</v>
      </c>
      <c r="N129" s="37">
        <f t="shared" ref="N129:N192" si="43">IF(L129="","",N(I129)*M129)</f>
        <v>642</v>
      </c>
      <c r="O129" s="37">
        <f t="shared" ref="O129:O192" si="44">IF(L129="","",M129*CHOOSE($AO$4,N(C129),N(D129),N(E129)))</f>
        <v>0</v>
      </c>
      <c r="P129" s="38">
        <f t="shared" ref="P129:P192" si="45">IF(L129="","",MAX(N(B129),0))</f>
        <v>0</v>
      </c>
      <c r="Q129" s="39">
        <f t="shared" ref="Q129:Q192" si="46">IF(L129="","",P129*N129)</f>
        <v>0</v>
      </c>
      <c r="R129" s="39">
        <f t="shared" ref="R129:R192" si="47">IF(L129="","",P129*O129)</f>
        <v>0</v>
      </c>
      <c r="S129">
        <f t="shared" ref="S129:S192" si="48">IF(L129="","",IF(AND(P129&gt;0,N129&gt;0,O129&gt;0),1,0))</f>
        <v>0</v>
      </c>
      <c r="T129" s="39">
        <f t="shared" ref="T129:T192" si="49">IF(L129="","",S129*(R129-Q129))</f>
        <v>0</v>
      </c>
      <c r="U129" t="str">
        <f t="shared" ref="U129:U192" si="50">IF(L129="","",MID(IF(OR(NOT(ISNUMBER(B129)),NOT(ISNUMBER(C129)),NOT(ISNUMBER(D129)),NOT(ISNUMBER(E129)),NOT(ISNUMBER(I129)),AND(NOT(ISNUMBER(SEARCH("دولار",F129))),NOT(ISNUMBER(SEARCH("ليرة",F129)))))," | بيانات غير صالحة","")&amp;IF(N(B129)&lt;0," | كمية سالبة","")&amp;IF(AND(N(B129)&gt;0,N(I129)=0)," | شراء صفر","")&amp;IF(AND(N(B129)&gt;0,TRIM(H129)=$AO$5,OR(N(C129)=0,N(D129)=0,N(E129)=0))," | بيع صفر","")&amp;IF(AND(N129&gt;0,O129&gt;0,O129&lt;N129)," | بيع أقل من الشراء","")&amp;IF(OR(AND(ISNUMBER(SEARCH("ليرة",F129)),OR(AND(N(I129)&gt;0,N(I129)&lt;$AO$6),AND(N(C129)&gt;0,N(C129)&lt;$AO$6),AND(N(D129)&gt;0,N(D129)&lt;$AO$6),AND(N(E129)&gt;0,N(E129)&lt;$AO$6))),AND(ISNUMBER(SEARCH("دولار",F129)),MAX(N(I129),N(C129),N(D129),N(E129))&gt;$AO$7))," | عملة/سعر مشكوك","")&amp;IF(AND(COUNTIF(C129:E129,"&gt;0")&gt;=2,MAX(N(C129),N(D129),N(E129))&gt;$AO$8*MIN(IF(N(C129)&gt;0,N(C129),1E+99),IF(N(D129)&gt;0,N(D129),1E+99),IF(N(E129)&gt;0,N(E129),1E+99)))," | تباين أسعار البيع","")&amp;IF(OR(TRIM(H129)="All",TRIM(H129)="")," | بلا تصنيف",""),4,300))</f>
        <v/>
      </c>
      <c r="V129">
        <f>IF(L129="","",IF($AO$1=1,IFERROR(MATCH(L129,'06-حزيران'!$L$2:$L$499,0),0),0))</f>
        <v>65</v>
      </c>
      <c r="W129" t="str">
        <f t="shared" ref="W129:W192" si="51">IF(L129="","",IF(AND($AO$1=1,V129=0),"جديد",""))</f>
        <v/>
      </c>
      <c r="X129" s="38">
        <f>IF(L129="","",IF(V129&gt;0,INDEX('06-حزيران'!$P$2:$P$499,V129),IF($AO$1=1,0,"")))</f>
        <v>0</v>
      </c>
      <c r="Y129" s="38">
        <f t="shared" ref="Y129:Y192" si="52">IF(OR(L129="",X129=""),"",P129-X129)</f>
        <v>0</v>
      </c>
      <c r="Z129" s="39">
        <f>IF(L129="","",IF(V129&gt;0,INDEX('06-حزيران'!$Q$2:$Q$499,V129),IF($AO$1=1,0,"")))</f>
        <v>0</v>
      </c>
      <c r="AA129" s="39">
        <f t="shared" ref="AA129:AA192" si="53">IF(OR(L129="",Z129=""),"",Q129-Z129)</f>
        <v>0</v>
      </c>
      <c r="AB129" s="40">
        <f>IF(OR(L129="",V129=0),"",IF(AND(N(I129)&gt;0,N(INDEX('06-حزيران'!$I$2:$I$499,V129))&gt;0,INDEX('06-حزيران'!$F$2:$F$499,V129)=F129),N(I129)/N(INDEX('06-حزيران'!$I$2:$I$499,V129))-1,""))</f>
        <v>0</v>
      </c>
      <c r="AC129" t="str">
        <f>IF(L129="","",IF(AND($AO$2=1,ISNA(MATCH(L129,'08-آب'!$L$2:$L$501,0))),"محذوف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ref="AG129:AG192" si="54">IF(AA129="","",ABS(AA129)+ROW()/1000000000)</f>
        <v>1.29E-7</v>
      </c>
      <c r="AH129" s="39">
        <f t="shared" ref="AH129:AH192" si="55">IF(L129="","",IF(AND(P129&gt;0,N129&gt;0,N(C129)&gt;0),P129*(M129*N(C129)-N129),0))</f>
        <v>0</v>
      </c>
      <c r="AI129" s="39">
        <f t="shared" ref="AI129:AI192" si="56">IF(L129="","",IF(AND(P129&gt;0,N129&gt;0,N(D129)&gt;0),P129*(M129*N(D129)-N129),0))</f>
        <v>0</v>
      </c>
      <c r="AJ129" s="39">
        <f t="shared" ref="AJ129:AJ192" si="57">IF(L129="","",IF(AND(P129&gt;0,N129&gt;0,N(E129)&gt;0),P129*(M129*N(E129)-N129),0))</f>
        <v>0</v>
      </c>
      <c r="AK129">
        <f t="shared" ref="AK129:AK192" si="58">IF(L129="","",Q129+ROW()/1000000000)</f>
        <v>1.29E-7</v>
      </c>
      <c r="AL129">
        <f t="shared" ref="AL129:AL192" si="59">IF(L129="","",T129+ROW()/1000000000)</f>
        <v>1.29E-7</v>
      </c>
    </row>
    <row r="130" spans="1:38" ht="15">
      <c r="A130" t="s">
        <v>506</v>
      </c>
      <c r="B130">
        <v>0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0</v>
      </c>
      <c r="K130" t="str">
        <f t="shared" si="40"/>
        <v/>
      </c>
      <c r="L130" t="str">
        <f t="shared" si="41"/>
        <v>طبخة الاندومي</v>
      </c>
      <c r="M130" s="36">
        <f t="shared" si="42"/>
        <v>1</v>
      </c>
      <c r="N130" s="37">
        <f t="shared" si="43"/>
        <v>0</v>
      </c>
      <c r="O130" s="37">
        <f t="shared" si="44"/>
        <v>0</v>
      </c>
      <c r="P130" s="38">
        <f t="shared" si="45"/>
        <v>0</v>
      </c>
      <c r="Q130" s="39">
        <f t="shared" si="46"/>
        <v>0</v>
      </c>
      <c r="R130" s="39">
        <f t="shared" si="47"/>
        <v>0</v>
      </c>
      <c r="S130">
        <f t="shared" si="48"/>
        <v>0</v>
      </c>
      <c r="T130" s="39">
        <f t="shared" si="49"/>
        <v>0</v>
      </c>
      <c r="U130" t="str">
        <f t="shared" si="50"/>
        <v/>
      </c>
      <c r="V130">
        <f>IF(L130="","",IF($AO$1=1,IFERROR(MATCH(L130,'06-حزيران'!$L$2:$L$499,0),0),0))</f>
        <v>0</v>
      </c>
      <c r="W130" t="str">
        <f t="shared" si="51"/>
        <v>جديد</v>
      </c>
      <c r="X130" s="38">
        <f>IF(L130="","",IF(V130&gt;0,INDEX('06-حزيران'!$P$2:$P$499,V130),IF($AO$1=1,0,"")))</f>
        <v>0</v>
      </c>
      <c r="Y130" s="38">
        <f t="shared" si="52"/>
        <v>0</v>
      </c>
      <c r="Z130" s="39">
        <f>IF(L130="","",IF(V130&gt;0,INDEX('06-حزيران'!$Q$2:$Q$499,V130),IF($AO$1=1,0,"")))</f>
        <v>0</v>
      </c>
      <c r="AA130" s="39">
        <f t="shared" si="53"/>
        <v>0</v>
      </c>
      <c r="AB130" s="40" t="str">
        <f>IF(OR(L130="",V130=0),"",IF(AND(N(I130)&gt;0,N(INDEX('06-حزيران'!$I$2:$I$499,V130))&gt;0,INDEX('06-حزيران'!$F$2:$F$499,V130)=F130),N(I130)/N(INDEX('06-حزيران'!$I$2:$I$499,V130))-1,""))</f>
        <v/>
      </c>
      <c r="AC130" t="str">
        <f>IF(L130="","",IF(AND($AO$2=1,ISNA(MATCH(L130,'08-آب'!$L$2:$L$501,0))),"محذوف لاحقاً",""))</f>
        <v/>
      </c>
      <c r="AD130">
        <f>IF(W130="جديد",COUNTIF(W$2:W130,"جديد"),"")</f>
        <v>2</v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si="54"/>
        <v>1.3E-7</v>
      </c>
      <c r="AH130" s="39">
        <f t="shared" si="55"/>
        <v>0</v>
      </c>
      <c r="AI130" s="39">
        <f t="shared" si="56"/>
        <v>0</v>
      </c>
      <c r="AJ130" s="39">
        <f t="shared" si="57"/>
        <v>0</v>
      </c>
      <c r="AK130">
        <f t="shared" si="58"/>
        <v>1.3E-7</v>
      </c>
      <c r="AL130">
        <f t="shared" si="59"/>
        <v>1.3E-7</v>
      </c>
    </row>
    <row r="131" spans="1:38" ht="15">
      <c r="A131" t="s">
        <v>333</v>
      </c>
      <c r="B131">
        <v>17</v>
      </c>
      <c r="C131">
        <v>8.5</v>
      </c>
      <c r="D131">
        <v>8.5</v>
      </c>
      <c r="E131">
        <v>8.5</v>
      </c>
      <c r="F131" t="s">
        <v>268</v>
      </c>
      <c r="G131" t="s">
        <v>178</v>
      </c>
      <c r="H131" t="s">
        <v>176</v>
      </c>
      <c r="I131">
        <v>8</v>
      </c>
      <c r="K131" t="str">
        <f t="shared" si="40"/>
        <v/>
      </c>
      <c r="L131" t="str">
        <f t="shared" si="41"/>
        <v>طبالي خشب</v>
      </c>
      <c r="M131" s="36">
        <f t="shared" si="42"/>
        <v>1</v>
      </c>
      <c r="N131" s="37">
        <f t="shared" si="43"/>
        <v>8</v>
      </c>
      <c r="O131" s="37">
        <f t="shared" si="44"/>
        <v>8.5</v>
      </c>
      <c r="P131" s="38">
        <f t="shared" si="45"/>
        <v>17</v>
      </c>
      <c r="Q131" s="39">
        <f t="shared" si="46"/>
        <v>136</v>
      </c>
      <c r="R131" s="39">
        <f t="shared" si="47"/>
        <v>144.5</v>
      </c>
      <c r="S131">
        <f t="shared" si="48"/>
        <v>1</v>
      </c>
      <c r="T131" s="39">
        <f t="shared" si="49"/>
        <v>8.5</v>
      </c>
      <c r="U131" t="str">
        <f t="shared" si="50"/>
        <v/>
      </c>
      <c r="V131">
        <f>IF(L131="","",IF($AO$1=1,IFERROR(MATCH(L131,'06-حزيران'!$L$2:$L$499,0),0),0))</f>
        <v>66</v>
      </c>
      <c r="W131" t="str">
        <f t="shared" si="51"/>
        <v/>
      </c>
      <c r="X131" s="38">
        <f>IF(L131="","",IF(V131&gt;0,INDEX('06-حزيران'!$P$2:$P$499,V131),IF($AO$1=1,0,"")))</f>
        <v>17</v>
      </c>
      <c r="Y131" s="38">
        <f t="shared" si="52"/>
        <v>0</v>
      </c>
      <c r="Z131" s="39">
        <f>IF(L131="","",IF(V131&gt;0,INDEX('06-حزيران'!$Q$2:$Q$499,V131),IF($AO$1=1,0,"")))</f>
        <v>136</v>
      </c>
      <c r="AA131" s="39">
        <f t="shared" si="53"/>
        <v>0</v>
      </c>
      <c r="AB131" s="40">
        <f>IF(OR(L131="",V131=0),"",IF(AND(N(I131)&gt;0,N(INDEX('06-حزيران'!$I$2:$I$499,V131))&gt;0,INDEX('06-حزيران'!$F$2:$F$499,V131)=F131),N(I131)/N(INDEX('06-حزيران'!$I$2:$I$499,V131))-1,""))</f>
        <v>0</v>
      </c>
      <c r="AC131" t="str">
        <f>IF(L131="","",IF(AND($AO$2=1,ISNA(MATCH(L131,'08-آب'!$L$2:$L$501,0))),"محذوف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1.31E-7</v>
      </c>
      <c r="AH131" s="39">
        <f t="shared" si="55"/>
        <v>8.5</v>
      </c>
      <c r="AI131" s="39">
        <f t="shared" si="56"/>
        <v>8.5</v>
      </c>
      <c r="AJ131" s="39">
        <f t="shared" si="57"/>
        <v>8.5</v>
      </c>
      <c r="AK131">
        <f t="shared" si="58"/>
        <v>136.00000013100001</v>
      </c>
      <c r="AL131">
        <f t="shared" si="59"/>
        <v>8.5000001310000002</v>
      </c>
    </row>
    <row r="132" spans="1:38" ht="15">
      <c r="A132" t="s">
        <v>334</v>
      </c>
      <c r="B132">
        <v>0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0.6</v>
      </c>
      <c r="K132" t="str">
        <f t="shared" si="40"/>
        <v/>
      </c>
      <c r="L132" t="str">
        <f t="shared" si="41"/>
        <v>صودا أش</v>
      </c>
      <c r="M132" s="36">
        <f t="shared" si="42"/>
        <v>1</v>
      </c>
      <c r="N132" s="37">
        <f t="shared" si="43"/>
        <v>0.6</v>
      </c>
      <c r="O132" s="37">
        <f t="shared" si="44"/>
        <v>0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IF(L132="","",IF($AO$1=1,IFERROR(MATCH(L132,'06-حزيران'!$L$2:$L$499,0),0),0))</f>
        <v>67</v>
      </c>
      <c r="W132" t="str">
        <f t="shared" si="51"/>
        <v/>
      </c>
      <c r="X132" s="38">
        <f>IF(L132="","",IF(V132&gt;0,INDEX('06-حزيران'!$P$2:$P$499,V132),IF($AO$1=1,0,"")))</f>
        <v>0</v>
      </c>
      <c r="Y132" s="38">
        <f t="shared" si="52"/>
        <v>0</v>
      </c>
      <c r="Z132" s="39">
        <f>IF(L132="","",IF(V132&gt;0,INDEX('06-حزيران'!$Q$2:$Q$499,V132),IF($AO$1=1,0,"")))</f>
        <v>0</v>
      </c>
      <c r="AA132" s="39">
        <f t="shared" si="53"/>
        <v>0</v>
      </c>
      <c r="AB132" s="40">
        <f>IF(OR(L132="",V132=0),"",IF(AND(N(I132)&gt;0,N(INDEX('06-حزيران'!$I$2:$I$499,V132))&gt;0,INDEX('06-حزيران'!$F$2:$F$499,V132)=F132),N(I132)/N(INDEX('06-حزيران'!$I$2:$I$499,V132))-1,""))</f>
        <v>0</v>
      </c>
      <c r="AC132" t="str">
        <f>IF(L132="","",IF(AND($AO$2=1,ISNA(MATCH(L132,'08-آب'!$L$2:$L$501,0))),"محذوف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335</v>
      </c>
      <c r="B133">
        <v>1.36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9.17</v>
      </c>
      <c r="K133" t="str">
        <f t="shared" si="40"/>
        <v/>
      </c>
      <c r="L133" t="str">
        <f t="shared" si="41"/>
        <v>صبغة</v>
      </c>
      <c r="M133" s="36">
        <f t="shared" si="42"/>
        <v>1</v>
      </c>
      <c r="N133" s="37">
        <f t="shared" si="43"/>
        <v>9.17</v>
      </c>
      <c r="O133" s="37">
        <f t="shared" si="44"/>
        <v>0</v>
      </c>
      <c r="P133" s="38">
        <f t="shared" si="45"/>
        <v>1.36</v>
      </c>
      <c r="Q133" s="39">
        <f t="shared" si="46"/>
        <v>12.471200000000001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IF(L133="","",IF($AO$1=1,IFERROR(MATCH(L133,'06-حزيران'!$L$2:$L$499,0),0),0))</f>
        <v>68</v>
      </c>
      <c r="W133" t="str">
        <f t="shared" si="51"/>
        <v/>
      </c>
      <c r="X133" s="38">
        <f>IF(L133="","",IF(V133&gt;0,INDEX('06-حزيران'!$P$2:$P$499,V133),IF($AO$1=1,0,"")))</f>
        <v>1.45</v>
      </c>
      <c r="Y133" s="38">
        <f t="shared" si="52"/>
        <v>-8.9999999999999858E-2</v>
      </c>
      <c r="Z133" s="39">
        <f>IF(L133="","",IF(V133&gt;0,INDEX('06-حزيران'!$Q$2:$Q$499,V133),IF($AO$1=1,0,"")))</f>
        <v>13.2965</v>
      </c>
      <c r="AA133" s="39">
        <f t="shared" si="53"/>
        <v>-0.82529999999999859</v>
      </c>
      <c r="AB133" s="40">
        <f>IF(OR(L133="",V133=0),"",IF(AND(N(I133)&gt;0,N(INDEX('06-حزيران'!$I$2:$I$499,V133))&gt;0,INDEX('06-حزيران'!$F$2:$F$499,V133)=F133),N(I133)/N(INDEX('06-حزيران'!$I$2:$I$499,V133))-1,""))</f>
        <v>0</v>
      </c>
      <c r="AC133" t="str">
        <f>IF(L133="","",IF(AND($AO$2=1,ISNA(MATCH(L133,'08-آب'!$L$2:$L$501,0))),"محذوف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0.8253001329999986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12.471200133000002</v>
      </c>
      <c r="AL133">
        <f t="shared" si="59"/>
        <v>1.3300000000000001E-7</v>
      </c>
    </row>
    <row r="134" spans="1:38" ht="15">
      <c r="A134" t="s">
        <v>451</v>
      </c>
      <c r="B134">
        <v>0</v>
      </c>
      <c r="C134">
        <v>0</v>
      </c>
      <c r="D134">
        <v>0</v>
      </c>
      <c r="E134">
        <v>0</v>
      </c>
      <c r="F134" t="s">
        <v>389</v>
      </c>
      <c r="G134" t="s">
        <v>178</v>
      </c>
      <c r="H134" t="s">
        <v>12</v>
      </c>
      <c r="I134">
        <v>170000</v>
      </c>
      <c r="K134" t="str">
        <f t="shared" si="40"/>
        <v/>
      </c>
      <c r="L134" t="str">
        <f t="shared" si="41"/>
        <v>صابون كرمل</v>
      </c>
      <c r="M134" s="36">
        <f t="shared" si="42"/>
        <v>7.5187969924812026E-5</v>
      </c>
      <c r="N134" s="37">
        <f t="shared" si="43"/>
        <v>12.781954887218044</v>
      </c>
      <c r="O134" s="37">
        <f t="shared" si="44"/>
        <v>0</v>
      </c>
      <c r="P134" s="38">
        <f t="shared" si="45"/>
        <v>0</v>
      </c>
      <c r="Q134" s="39">
        <f t="shared" si="46"/>
        <v>0</v>
      </c>
      <c r="R134" s="39">
        <f t="shared" si="47"/>
        <v>0</v>
      </c>
      <c r="S134">
        <f t="shared" si="48"/>
        <v>0</v>
      </c>
      <c r="T134" s="39">
        <f t="shared" si="49"/>
        <v>0</v>
      </c>
      <c r="U134" t="str">
        <f t="shared" si="50"/>
        <v/>
      </c>
      <c r="V134">
        <f>IF(L134="","",IF($AO$1=1,IFERROR(MATCH(L134,'06-حزيران'!$L$2:$L$499,0),0),0))</f>
        <v>183</v>
      </c>
      <c r="W134" t="str">
        <f t="shared" si="51"/>
        <v/>
      </c>
      <c r="X134" s="38">
        <f>IF(L134="","",IF(V134&gt;0,INDEX('06-حزيران'!$P$2:$P$499,V134),IF($AO$1=1,0,"")))</f>
        <v>0</v>
      </c>
      <c r="Y134" s="38">
        <f t="shared" si="52"/>
        <v>0</v>
      </c>
      <c r="Z134" s="39">
        <f>IF(L134="","",IF(V134&gt;0,INDEX('06-حزيران'!$Q$2:$Q$499,V134),IF($AO$1=1,0,"")))</f>
        <v>0</v>
      </c>
      <c r="AA134" s="39">
        <f t="shared" si="53"/>
        <v>0</v>
      </c>
      <c r="AB134" s="40">
        <f>IF(OR(L134="",V134=0),"",IF(AND(N(I134)&gt;0,N(INDEX('06-حزيران'!$I$2:$I$499,V134))&gt;0,INDEX('06-حزيران'!$F$2:$F$499,V134)=F134),N(I134)/N(INDEX('06-حزيران'!$I$2:$I$499,V134))-1,""))</f>
        <v>0</v>
      </c>
      <c r="AC134" t="str">
        <f>IF(L134="","",IF(AND($AO$2=1,ISNA(MATCH(L134,'08-آب'!$L$2:$L$501,0))),"محذوف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1.3400000000000001E-7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1.3400000000000001E-7</v>
      </c>
      <c r="AL134">
        <f t="shared" si="59"/>
        <v>1.3400000000000001E-7</v>
      </c>
    </row>
    <row r="135" spans="1:38" ht="15">
      <c r="A135" t="s">
        <v>336</v>
      </c>
      <c r="B135">
        <v>0</v>
      </c>
      <c r="C135">
        <v>0</v>
      </c>
      <c r="D135">
        <v>0</v>
      </c>
      <c r="E135">
        <v>0</v>
      </c>
      <c r="F135" t="s">
        <v>268</v>
      </c>
      <c r="G135" t="s">
        <v>178</v>
      </c>
      <c r="H135" t="s">
        <v>177</v>
      </c>
      <c r="I135">
        <v>423</v>
      </c>
      <c r="K135" t="str">
        <f t="shared" si="40"/>
        <v/>
      </c>
      <c r="L135" t="str">
        <f t="shared" si="41"/>
        <v>صابون سادة خام</v>
      </c>
      <c r="M135" s="36">
        <f t="shared" si="42"/>
        <v>1</v>
      </c>
      <c r="N135" s="37">
        <f t="shared" si="43"/>
        <v>423</v>
      </c>
      <c r="O135" s="37">
        <f t="shared" si="44"/>
        <v>0</v>
      </c>
      <c r="P135" s="38">
        <f t="shared" si="45"/>
        <v>0</v>
      </c>
      <c r="Q135" s="39">
        <f t="shared" si="46"/>
        <v>0</v>
      </c>
      <c r="R135" s="39">
        <f t="shared" si="47"/>
        <v>0</v>
      </c>
      <c r="S135">
        <f t="shared" si="48"/>
        <v>0</v>
      </c>
      <c r="T135" s="39">
        <f t="shared" si="49"/>
        <v>0</v>
      </c>
      <c r="U135" t="str">
        <f t="shared" si="50"/>
        <v/>
      </c>
      <c r="V135">
        <f>IF(L135="","",IF($AO$1=1,IFERROR(MATCH(L135,'06-حزيران'!$L$2:$L$499,0),0),0))</f>
        <v>69</v>
      </c>
      <c r="W135" t="str">
        <f t="shared" si="51"/>
        <v/>
      </c>
      <c r="X135" s="38">
        <f>IF(L135="","",IF(V135&gt;0,INDEX('06-حزيران'!$P$2:$P$499,V135),IF($AO$1=1,0,"")))</f>
        <v>0</v>
      </c>
      <c r="Y135" s="38">
        <f t="shared" si="52"/>
        <v>0</v>
      </c>
      <c r="Z135" s="39">
        <f>IF(L135="","",IF(V135&gt;0,INDEX('06-حزيران'!$Q$2:$Q$499,V135),IF($AO$1=1,0,"")))</f>
        <v>0</v>
      </c>
      <c r="AA135" s="39">
        <f t="shared" si="53"/>
        <v>0</v>
      </c>
      <c r="AB135" s="40">
        <f>IF(OR(L135="",V135=0),"",IF(AND(N(I135)&gt;0,N(INDEX('06-حزيران'!$I$2:$I$499,V135))&gt;0,INDEX('06-حزيران'!$F$2:$F$499,V135)=F135),N(I135)/N(INDEX('06-حزيران'!$I$2:$I$499,V135))-1,""))</f>
        <v>0</v>
      </c>
      <c r="AC135" t="str">
        <f>IF(L135="","",IF(AND($AO$2=1,ISNA(MATCH(L135,'08-آب'!$L$2:$L$501,0))),"محذوف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1.35E-7</v>
      </c>
      <c r="AH135" s="39">
        <f t="shared" si="55"/>
        <v>0</v>
      </c>
      <c r="AI135" s="39">
        <f t="shared" si="56"/>
        <v>0</v>
      </c>
      <c r="AJ135" s="39">
        <f t="shared" si="57"/>
        <v>0</v>
      </c>
      <c r="AK135">
        <f t="shared" si="58"/>
        <v>1.35E-7</v>
      </c>
      <c r="AL135">
        <f t="shared" si="59"/>
        <v>1.35E-7</v>
      </c>
    </row>
    <row r="136" spans="1:38" ht="15">
      <c r="A136" t="s">
        <v>337</v>
      </c>
      <c r="B136">
        <v>0</v>
      </c>
      <c r="C136">
        <v>0</v>
      </c>
      <c r="D136">
        <v>0</v>
      </c>
      <c r="E136">
        <v>0</v>
      </c>
      <c r="F136" t="s">
        <v>268</v>
      </c>
      <c r="G136" t="s">
        <v>178</v>
      </c>
      <c r="H136" t="s">
        <v>177</v>
      </c>
      <c r="I136">
        <v>448</v>
      </c>
      <c r="K136" t="str">
        <f t="shared" si="40"/>
        <v/>
      </c>
      <c r="L136" t="str">
        <f t="shared" si="41"/>
        <v>صابون سائل ماء الذهب خام</v>
      </c>
      <c r="M136" s="36">
        <f t="shared" si="42"/>
        <v>1</v>
      </c>
      <c r="N136" s="37">
        <f t="shared" si="43"/>
        <v>448</v>
      </c>
      <c r="O136" s="37">
        <f t="shared" si="44"/>
        <v>0</v>
      </c>
      <c r="P136" s="38">
        <f t="shared" si="45"/>
        <v>0</v>
      </c>
      <c r="Q136" s="39">
        <f t="shared" si="46"/>
        <v>0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IF(L136="","",IF($AO$1=1,IFERROR(MATCH(L136,'06-حزيران'!$L$2:$L$499,0),0),0))</f>
        <v>70</v>
      </c>
      <c r="W136" t="str">
        <f t="shared" si="51"/>
        <v/>
      </c>
      <c r="X136" s="38">
        <f>IF(L136="","",IF(V136&gt;0,INDEX('06-حزيران'!$P$2:$P$499,V136),IF($AO$1=1,0,"")))</f>
        <v>0</v>
      </c>
      <c r="Y136" s="38">
        <f t="shared" si="52"/>
        <v>0</v>
      </c>
      <c r="Z136" s="39">
        <f>IF(L136="","",IF(V136&gt;0,INDEX('06-حزيران'!$Q$2:$Q$499,V136),IF($AO$1=1,0,"")))</f>
        <v>0</v>
      </c>
      <c r="AA136" s="39">
        <f t="shared" si="53"/>
        <v>0</v>
      </c>
      <c r="AB136" s="40">
        <f>IF(OR(L136="",V136=0),"",IF(AND(N(I136)&gt;0,N(INDEX('06-حزيران'!$I$2:$I$499,V136))&gt;0,INDEX('06-حزيران'!$F$2:$F$499,V136)=F136),N(I136)/N(INDEX('06-حزيران'!$I$2:$I$499,V136))-1,""))</f>
        <v>0</v>
      </c>
      <c r="AC136" t="str">
        <f>IF(L136="","",IF(AND($AO$2=1,ISNA(MATCH(L136,'08-آب'!$L$2:$L$501,0))),"محذوف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1.36E-7</v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1.36E-7</v>
      </c>
      <c r="AL136">
        <f t="shared" si="59"/>
        <v>1.36E-7</v>
      </c>
    </row>
    <row r="137" spans="1:38" ht="15">
      <c r="A137" t="s">
        <v>338</v>
      </c>
      <c r="B137">
        <v>0</v>
      </c>
      <c r="C137">
        <v>0</v>
      </c>
      <c r="D137">
        <v>0</v>
      </c>
      <c r="E137">
        <v>0</v>
      </c>
      <c r="F137" t="s">
        <v>268</v>
      </c>
      <c r="G137" t="s">
        <v>178</v>
      </c>
      <c r="H137" t="s">
        <v>177</v>
      </c>
      <c r="I137">
        <v>448</v>
      </c>
      <c r="K137" t="str">
        <f t="shared" si="40"/>
        <v/>
      </c>
      <c r="L137" t="str">
        <f t="shared" si="41"/>
        <v>صابون سائل لافندر خام</v>
      </c>
      <c r="M137" s="36">
        <f t="shared" si="42"/>
        <v>1</v>
      </c>
      <c r="N137" s="37">
        <f t="shared" si="43"/>
        <v>448</v>
      </c>
      <c r="O137" s="37">
        <f t="shared" si="44"/>
        <v>0</v>
      </c>
      <c r="P137" s="38">
        <f t="shared" si="45"/>
        <v>0</v>
      </c>
      <c r="Q137" s="39">
        <f t="shared" si="46"/>
        <v>0</v>
      </c>
      <c r="R137" s="39">
        <f t="shared" si="47"/>
        <v>0</v>
      </c>
      <c r="S137">
        <f t="shared" si="48"/>
        <v>0</v>
      </c>
      <c r="T137" s="39">
        <f t="shared" si="49"/>
        <v>0</v>
      </c>
      <c r="U137" t="str">
        <f t="shared" si="50"/>
        <v/>
      </c>
      <c r="V137">
        <f>IF(L137="","",IF($AO$1=1,IFERROR(MATCH(L137,'06-حزيران'!$L$2:$L$499,0),0),0))</f>
        <v>71</v>
      </c>
      <c r="W137" t="str">
        <f t="shared" si="51"/>
        <v/>
      </c>
      <c r="X137" s="38">
        <f>IF(L137="","",IF(V137&gt;0,INDEX('06-حزيران'!$P$2:$P$499,V137),IF($AO$1=1,0,"")))</f>
        <v>0</v>
      </c>
      <c r="Y137" s="38">
        <f t="shared" si="52"/>
        <v>0</v>
      </c>
      <c r="Z137" s="39">
        <f>IF(L137="","",IF(V137&gt;0,INDEX('06-حزيران'!$Q$2:$Q$499,V137),IF($AO$1=1,0,"")))</f>
        <v>0</v>
      </c>
      <c r="AA137" s="39">
        <f t="shared" si="53"/>
        <v>0</v>
      </c>
      <c r="AB137" s="40">
        <f>IF(OR(L137="",V137=0),"",IF(AND(N(I137)&gt;0,N(INDEX('06-حزيران'!$I$2:$I$499,V137))&gt;0,INDEX('06-حزيران'!$F$2:$F$499,V137)=F137),N(I137)/N(INDEX('06-حزيران'!$I$2:$I$499,V137))-1,""))</f>
        <v>0</v>
      </c>
      <c r="AC137" t="str">
        <f>IF(L137="","",IF(AND($AO$2=1,ISNA(MATCH(L137,'08-آب'!$L$2:$L$501,0))),"محذوف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1.37E-7</v>
      </c>
      <c r="AH137" s="39">
        <f t="shared" si="55"/>
        <v>0</v>
      </c>
      <c r="AI137" s="39">
        <f t="shared" si="56"/>
        <v>0</v>
      </c>
      <c r="AJ137" s="39">
        <f t="shared" si="57"/>
        <v>0</v>
      </c>
      <c r="AK137">
        <f t="shared" si="58"/>
        <v>1.37E-7</v>
      </c>
      <c r="AL137">
        <f t="shared" si="59"/>
        <v>1.37E-7</v>
      </c>
    </row>
    <row r="138" spans="1:38" ht="15">
      <c r="A138" t="s">
        <v>339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177</v>
      </c>
      <c r="I138">
        <v>448</v>
      </c>
      <c r="K138" t="str">
        <f t="shared" si="40"/>
        <v/>
      </c>
      <c r="L138" t="str">
        <f t="shared" si="41"/>
        <v>صابون سائل عود خام</v>
      </c>
      <c r="M138" s="36">
        <f t="shared" si="42"/>
        <v>1</v>
      </c>
      <c r="N138" s="37">
        <f t="shared" si="43"/>
        <v>448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IF(L138="","",IF($AO$1=1,IFERROR(MATCH(L138,'06-حزيران'!$L$2:$L$499,0),0),0))</f>
        <v>72</v>
      </c>
      <c r="W138" t="str">
        <f t="shared" si="51"/>
        <v/>
      </c>
      <c r="X138" s="38">
        <f>IF(L138="","",IF(V138&gt;0,INDEX('06-حزيران'!$P$2:$P$499,V138),IF($AO$1=1,0,"")))</f>
        <v>0</v>
      </c>
      <c r="Y138" s="38">
        <f t="shared" si="52"/>
        <v>0</v>
      </c>
      <c r="Z138" s="39">
        <f>IF(L138="","",IF(V138&gt;0,INDEX('06-حزيران'!$Q$2:$Q$499,V138),IF($AO$1=1,0,"")))</f>
        <v>0</v>
      </c>
      <c r="AA138" s="39">
        <f t="shared" si="53"/>
        <v>0</v>
      </c>
      <c r="AB138" s="40">
        <f>IF(OR(L138="",V138=0),"",IF(AND(N(I138)&gt;0,N(INDEX('06-حزيران'!$I$2:$I$499,V138))&gt;0,INDEX('06-حزيران'!$F$2:$F$499,V138)=F138),N(I138)/N(INDEX('06-حزيران'!$I$2:$I$499,V138))-1,""))</f>
        <v>0</v>
      </c>
      <c r="AC138" t="str">
        <f>IF(L138="","",IF(AND($AO$2=1,ISNA(MATCH(L138,'08-آب'!$L$2:$L$501,0))),"محذوف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452</v>
      </c>
      <c r="B139">
        <v>0</v>
      </c>
      <c r="C139">
        <v>0</v>
      </c>
      <c r="D139">
        <v>0</v>
      </c>
      <c r="E139">
        <v>0</v>
      </c>
      <c r="F139" t="s">
        <v>389</v>
      </c>
      <c r="G139" t="s">
        <v>178</v>
      </c>
      <c r="H139" t="s">
        <v>12</v>
      </c>
      <c r="I139">
        <v>0</v>
      </c>
      <c r="K139" t="str">
        <f t="shared" si="40"/>
        <v/>
      </c>
      <c r="L139" t="str">
        <f t="shared" si="41"/>
        <v>صابون سائل</v>
      </c>
      <c r="M139" s="36">
        <f t="shared" si="42"/>
        <v>7.5187969924812026E-5</v>
      </c>
      <c r="N139" s="37">
        <f t="shared" si="43"/>
        <v>0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IF(L139="","",IF($AO$1=1,IFERROR(MATCH(L139,'06-حزيران'!$L$2:$L$499,0),0),0))</f>
        <v>184</v>
      </c>
      <c r="W139" t="str">
        <f t="shared" si="51"/>
        <v/>
      </c>
      <c r="X139" s="38">
        <f>IF(L139="","",IF(V139&gt;0,INDEX('06-حزيران'!$P$2:$P$499,V139),IF($AO$1=1,0,"")))</f>
        <v>0</v>
      </c>
      <c r="Y139" s="38">
        <f t="shared" si="52"/>
        <v>0</v>
      </c>
      <c r="Z139" s="39">
        <f>IF(L139="","",IF(V139&gt;0,INDEX('06-حزيران'!$Q$2:$Q$499,V139),IF($AO$1=1,0,"")))</f>
        <v>0</v>
      </c>
      <c r="AA139" s="39">
        <f t="shared" si="53"/>
        <v>0</v>
      </c>
      <c r="AB139" s="40" t="str">
        <f>IF(OR(L139="",V139=0),"",IF(AND(N(I139)&gt;0,N(INDEX('06-حزيران'!$I$2:$I$499,V139))&gt;0,INDEX('06-حزيران'!$F$2:$F$499,V139)=F139),N(I139)/N(INDEX('06-حزيران'!$I$2:$I$499,V139))-1,""))</f>
        <v/>
      </c>
      <c r="AC139" t="str">
        <f>IF(L139="","",IF(AND($AO$2=1,ISNA(MATCH(L139,'08-آب'!$L$2:$L$501,0))),"محذوف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1.3899999999999999E-7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453</v>
      </c>
      <c r="B140">
        <v>2196.5</v>
      </c>
      <c r="C140">
        <v>10000</v>
      </c>
      <c r="D140">
        <v>10000</v>
      </c>
      <c r="E140">
        <v>10000</v>
      </c>
      <c r="F140" t="s">
        <v>389</v>
      </c>
      <c r="G140" t="s">
        <v>178</v>
      </c>
      <c r="H140" t="s">
        <v>12</v>
      </c>
      <c r="I140">
        <v>6500</v>
      </c>
      <c r="K140" t="str">
        <f t="shared" si="40"/>
        <v/>
      </c>
      <c r="L140" t="str">
        <f t="shared" si="41"/>
        <v>صابون super / فرط</v>
      </c>
      <c r="M140" s="36">
        <f t="shared" si="42"/>
        <v>7.5187969924812026E-5</v>
      </c>
      <c r="N140" s="37">
        <f t="shared" si="43"/>
        <v>0.48872180451127817</v>
      </c>
      <c r="O140" s="37">
        <f t="shared" si="44"/>
        <v>0.75187969924812026</v>
      </c>
      <c r="P140" s="38">
        <f t="shared" si="45"/>
        <v>2196.5</v>
      </c>
      <c r="Q140" s="39">
        <f t="shared" si="46"/>
        <v>1073.4774436090224</v>
      </c>
      <c r="R140" s="39">
        <f t="shared" si="47"/>
        <v>1651.5037593984962</v>
      </c>
      <c r="S140">
        <f t="shared" si="48"/>
        <v>1</v>
      </c>
      <c r="T140" s="39">
        <f t="shared" si="49"/>
        <v>578.02631578947376</v>
      </c>
      <c r="U140" t="str">
        <f t="shared" si="50"/>
        <v/>
      </c>
      <c r="V140">
        <f>IF(L140="","",IF($AO$1=1,IFERROR(MATCH(L140,'06-حزيران'!$L$2:$L$499,0),0),0))</f>
        <v>185</v>
      </c>
      <c r="W140" t="str">
        <f t="shared" si="51"/>
        <v/>
      </c>
      <c r="X140" s="38">
        <f>IF(L140="","",IF(V140&gt;0,INDEX('06-حزيران'!$P$2:$P$499,V140),IF($AO$1=1,0,"")))</f>
        <v>3521</v>
      </c>
      <c r="Y140" s="38">
        <f t="shared" si="52"/>
        <v>-1324.5</v>
      </c>
      <c r="Z140" s="39">
        <f>IF(L140="","",IF(V140&gt;0,INDEX('06-حزيران'!$Q$2:$Q$499,V140),IF($AO$1=1,0,"")))</f>
        <v>1733.8257575757575</v>
      </c>
      <c r="AA140" s="39">
        <f t="shared" si="53"/>
        <v>-660.34831396673508</v>
      </c>
      <c r="AB140" s="40">
        <f>IF(OR(L140="",V140=0),"",IF(AND(N(I140)&gt;0,N(INDEX('06-حزيران'!$I$2:$I$499,V140))&gt;0,INDEX('06-حزيران'!$F$2:$F$499,V140)=F140),N(I140)/N(INDEX('06-حزيران'!$I$2:$I$499,V140))-1,""))</f>
        <v>0</v>
      </c>
      <c r="AC140" t="str">
        <f>IF(L140="","",IF(AND($AO$2=1,ISNA(MATCH(L140,'08-آب'!$L$2:$L$501,0))),"محذوف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660.34831410673507</v>
      </c>
      <c r="AH140" s="39">
        <f t="shared" si="55"/>
        <v>578.02631578947364</v>
      </c>
      <c r="AI140" s="39">
        <f t="shared" si="56"/>
        <v>578.02631578947364</v>
      </c>
      <c r="AJ140" s="39">
        <f t="shared" si="57"/>
        <v>578.02631578947364</v>
      </c>
      <c r="AK140">
        <f t="shared" si="58"/>
        <v>1073.4774437490225</v>
      </c>
      <c r="AL140">
        <f t="shared" si="59"/>
        <v>578.02631592947375</v>
      </c>
    </row>
    <row r="141" spans="1:38" ht="15">
      <c r="A141" t="s">
        <v>454</v>
      </c>
      <c r="B141">
        <v>124</v>
      </c>
      <c r="C141">
        <v>33000</v>
      </c>
      <c r="D141">
        <v>33000</v>
      </c>
      <c r="E141">
        <v>33000</v>
      </c>
      <c r="F141" t="s">
        <v>389</v>
      </c>
      <c r="G141" t="s">
        <v>178</v>
      </c>
      <c r="H141" t="s">
        <v>12</v>
      </c>
      <c r="I141">
        <v>23000</v>
      </c>
      <c r="K141" t="str">
        <f t="shared" si="40"/>
        <v/>
      </c>
      <c r="L141" t="str">
        <f t="shared" si="41"/>
        <v>صابون super / عبوة 3 لتر</v>
      </c>
      <c r="M141" s="36">
        <f t="shared" si="42"/>
        <v>7.5187969924812026E-5</v>
      </c>
      <c r="N141" s="37">
        <f t="shared" si="43"/>
        <v>1.7293233082706767</v>
      </c>
      <c r="O141" s="37">
        <f t="shared" si="44"/>
        <v>2.481203007518797</v>
      </c>
      <c r="P141" s="38">
        <f t="shared" si="45"/>
        <v>124</v>
      </c>
      <c r="Q141" s="39">
        <f t="shared" si="46"/>
        <v>214.4360902255639</v>
      </c>
      <c r="R141" s="39">
        <f t="shared" si="47"/>
        <v>307.66917293233081</v>
      </c>
      <c r="S141">
        <f t="shared" si="48"/>
        <v>1</v>
      </c>
      <c r="T141" s="39">
        <f t="shared" si="49"/>
        <v>93.233082706766908</v>
      </c>
      <c r="U141" t="str">
        <f t="shared" si="50"/>
        <v/>
      </c>
      <c r="V141">
        <f>IF(L141="","",IF($AO$1=1,IFERROR(MATCH(L141,'06-حزيران'!$L$2:$L$499,0),0),0))</f>
        <v>186</v>
      </c>
      <c r="W141" t="str">
        <f t="shared" si="51"/>
        <v/>
      </c>
      <c r="X141" s="38">
        <f>IF(L141="","",IF(V141&gt;0,INDEX('06-حزيران'!$P$2:$P$499,V141),IF($AO$1=1,0,"")))</f>
        <v>138</v>
      </c>
      <c r="Y141" s="38">
        <f t="shared" si="52"/>
        <v>-14</v>
      </c>
      <c r="Z141" s="39">
        <f>IF(L141="","",IF(V141&gt;0,INDEX('06-حزيران'!$Q$2:$Q$499,V141),IF($AO$1=1,0,"")))</f>
        <v>240.45454545454547</v>
      </c>
      <c r="AA141" s="39">
        <f t="shared" si="53"/>
        <v>-26.018455228981566</v>
      </c>
      <c r="AB141" s="40">
        <f>IF(OR(L141="",V141=0),"",IF(AND(N(I141)&gt;0,N(INDEX('06-حزيران'!$I$2:$I$499,V141))&gt;0,INDEX('06-حزيران'!$F$2:$F$499,V141)=F141),N(I141)/N(INDEX('06-حزيران'!$I$2:$I$499,V141))-1,""))</f>
        <v>0</v>
      </c>
      <c r="AC141" t="str">
        <f>IF(L141="","",IF(AND($AO$2=1,ISNA(MATCH(L141,'08-آب'!$L$2:$L$501,0))),"محذوف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26.018455369981567</v>
      </c>
      <c r="AH141" s="39">
        <f t="shared" si="55"/>
        <v>93.233082706766908</v>
      </c>
      <c r="AI141" s="39">
        <f t="shared" si="56"/>
        <v>93.233082706766908</v>
      </c>
      <c r="AJ141" s="39">
        <f t="shared" si="57"/>
        <v>93.233082706766908</v>
      </c>
      <c r="AK141">
        <f t="shared" si="58"/>
        <v>214.43609036656389</v>
      </c>
      <c r="AL141">
        <f t="shared" si="59"/>
        <v>93.233082847766909</v>
      </c>
    </row>
    <row r="142" spans="1:38" ht="15">
      <c r="A142" t="s">
        <v>455</v>
      </c>
      <c r="B142">
        <v>0</v>
      </c>
      <c r="C142">
        <v>6000</v>
      </c>
      <c r="D142">
        <v>6000</v>
      </c>
      <c r="E142">
        <v>6000</v>
      </c>
      <c r="F142" t="s">
        <v>389</v>
      </c>
      <c r="G142" t="s">
        <v>178</v>
      </c>
      <c r="H142" t="s">
        <v>12</v>
      </c>
      <c r="I142">
        <v>3000</v>
      </c>
      <c r="K142" t="str">
        <f t="shared" si="40"/>
        <v/>
      </c>
      <c r="L142" t="str">
        <f t="shared" si="41"/>
        <v>شامبو سيارات</v>
      </c>
      <c r="M142" s="36">
        <f t="shared" si="42"/>
        <v>7.5187969924812026E-5</v>
      </c>
      <c r="N142" s="37">
        <f t="shared" si="43"/>
        <v>0.22556390977443608</v>
      </c>
      <c r="O142" s="37">
        <f t="shared" si="44"/>
        <v>0.45112781954887216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IF(L142="","",IF($AO$1=1,IFERROR(MATCH(L142,'06-حزيران'!$L$2:$L$499,0),0),0))</f>
        <v>187</v>
      </c>
      <c r="W142" t="str">
        <f t="shared" si="51"/>
        <v/>
      </c>
      <c r="X142" s="38">
        <f>IF(L142="","",IF(V142&gt;0,INDEX('06-حزيران'!$P$2:$P$499,V142),IF($AO$1=1,0,"")))</f>
        <v>0</v>
      </c>
      <c r="Y142" s="38">
        <f t="shared" si="52"/>
        <v>0</v>
      </c>
      <c r="Z142" s="39">
        <f>IF(L142="","",IF(V142&gt;0,INDEX('06-حزيران'!$Q$2:$Q$499,V142),IF($AO$1=1,0,"")))</f>
        <v>0</v>
      </c>
      <c r="AA142" s="39">
        <f t="shared" si="53"/>
        <v>0</v>
      </c>
      <c r="AB142" s="40">
        <f>IF(OR(L142="",V142=0),"",IF(AND(N(I142)&gt;0,N(INDEX('06-حزيران'!$I$2:$I$499,V142))&gt;0,INDEX('06-حزيران'!$F$2:$F$499,V142)=F142),N(I142)/N(INDEX('06-حزيران'!$I$2:$I$499,V142))-1,""))</f>
        <v>0</v>
      </c>
      <c r="AC142" t="str">
        <f>IF(L142="","",IF(AND($AO$2=1,ISNA(MATCH(L142,'08-آب'!$L$2:$L$501,0))),"محذوف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1.42E-7</v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340</v>
      </c>
      <c r="B143">
        <v>0</v>
      </c>
      <c r="C143">
        <v>0</v>
      </c>
      <c r="D143">
        <v>0</v>
      </c>
      <c r="E143">
        <v>0</v>
      </c>
      <c r="F143" t="s">
        <v>268</v>
      </c>
      <c r="G143" t="s">
        <v>178</v>
      </c>
      <c r="H143" t="s">
        <v>177</v>
      </c>
      <c r="I143">
        <v>618</v>
      </c>
      <c r="K143" t="str">
        <f t="shared" si="40"/>
        <v/>
      </c>
      <c r="L143" t="str">
        <f t="shared" si="41"/>
        <v>شامبو خام</v>
      </c>
      <c r="M143" s="36">
        <f t="shared" si="42"/>
        <v>1</v>
      </c>
      <c r="N143" s="37">
        <f t="shared" si="43"/>
        <v>618</v>
      </c>
      <c r="O143" s="37">
        <f t="shared" si="44"/>
        <v>0</v>
      </c>
      <c r="P143" s="38">
        <f t="shared" si="45"/>
        <v>0</v>
      </c>
      <c r="Q143" s="39">
        <f t="shared" si="46"/>
        <v>0</v>
      </c>
      <c r="R143" s="39">
        <f t="shared" si="47"/>
        <v>0</v>
      </c>
      <c r="S143">
        <f t="shared" si="48"/>
        <v>0</v>
      </c>
      <c r="T143" s="39">
        <f t="shared" si="49"/>
        <v>0</v>
      </c>
      <c r="U143" t="str">
        <f t="shared" si="50"/>
        <v/>
      </c>
      <c r="V143">
        <f>IF(L143="","",IF($AO$1=1,IFERROR(MATCH(L143,'06-حزيران'!$L$2:$L$499,0),0),0))</f>
        <v>73</v>
      </c>
      <c r="W143" t="str">
        <f t="shared" si="51"/>
        <v/>
      </c>
      <c r="X143" s="38">
        <f>IF(L143="","",IF(V143&gt;0,INDEX('06-حزيران'!$P$2:$P$499,V143),IF($AO$1=1,0,"")))</f>
        <v>0</v>
      </c>
      <c r="Y143" s="38">
        <f t="shared" si="52"/>
        <v>0</v>
      </c>
      <c r="Z143" s="39">
        <f>IF(L143="","",IF(V143&gt;0,INDEX('06-حزيران'!$Q$2:$Q$499,V143),IF($AO$1=1,0,"")))</f>
        <v>0</v>
      </c>
      <c r="AA143" s="39">
        <f t="shared" si="53"/>
        <v>0</v>
      </c>
      <c r="AB143" s="40">
        <f>IF(OR(L143="",V143=0),"",IF(AND(N(I143)&gt;0,N(INDEX('06-حزيران'!$I$2:$I$499,V143))&gt;0,INDEX('06-حزيران'!$F$2:$F$499,V143)=F143),N(I143)/N(INDEX('06-حزيران'!$I$2:$I$499,V143))-1,""))</f>
        <v>0</v>
      </c>
      <c r="AC143" t="str">
        <f>IF(L143="","",IF(AND($AO$2=1,ISNA(MATCH(L143,'08-آب'!$L$2:$L$501,0))),"محذوف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0</v>
      </c>
      <c r="AI143" s="39">
        <f t="shared" si="56"/>
        <v>0</v>
      </c>
      <c r="AJ143" s="39">
        <f t="shared" si="57"/>
        <v>0</v>
      </c>
      <c r="AK143">
        <f t="shared" si="58"/>
        <v>1.43E-7</v>
      </c>
      <c r="AL143">
        <f t="shared" si="59"/>
        <v>1.43E-7</v>
      </c>
    </row>
    <row r="144" spans="1:38" ht="15">
      <c r="A144" t="s">
        <v>456</v>
      </c>
      <c r="B144">
        <v>2.25</v>
      </c>
      <c r="C144">
        <v>480000</v>
      </c>
      <c r="D144">
        <v>480000</v>
      </c>
      <c r="E144">
        <v>480000</v>
      </c>
      <c r="F144" t="s">
        <v>389</v>
      </c>
      <c r="G144" t="s">
        <v>178</v>
      </c>
      <c r="H144" t="s">
        <v>12</v>
      </c>
      <c r="I144">
        <v>302400</v>
      </c>
      <c r="K144" t="str">
        <f t="shared" si="40"/>
        <v/>
      </c>
      <c r="L144" t="str">
        <f t="shared" si="41"/>
        <v>شامبو 3 لتر</v>
      </c>
      <c r="M144" s="36">
        <f t="shared" si="42"/>
        <v>7.5187969924812026E-5</v>
      </c>
      <c r="N144" s="37">
        <f t="shared" si="43"/>
        <v>22.736842105263158</v>
      </c>
      <c r="O144" s="37">
        <f t="shared" si="44"/>
        <v>36.090225563909776</v>
      </c>
      <c r="P144" s="38">
        <f t="shared" si="45"/>
        <v>2.25</v>
      </c>
      <c r="Q144" s="39">
        <f t="shared" si="46"/>
        <v>51.157894736842103</v>
      </c>
      <c r="R144" s="39">
        <f t="shared" si="47"/>
        <v>81.203007518796994</v>
      </c>
      <c r="S144">
        <f t="shared" si="48"/>
        <v>1</v>
      </c>
      <c r="T144" s="39">
        <f t="shared" si="49"/>
        <v>30.045112781954892</v>
      </c>
      <c r="U144" t="str">
        <f t="shared" si="50"/>
        <v/>
      </c>
      <c r="V144">
        <f>IF(L144="","",IF($AO$1=1,IFERROR(MATCH(L144,'06-حزيران'!$L$2:$L$499,0),0),0))</f>
        <v>188</v>
      </c>
      <c r="W144" t="str">
        <f t="shared" si="51"/>
        <v/>
      </c>
      <c r="X144" s="38">
        <f>IF(L144="","",IF(V144&gt;0,INDEX('06-حزيران'!$P$2:$P$499,V144),IF($AO$1=1,0,"")))</f>
        <v>1</v>
      </c>
      <c r="Y144" s="38">
        <f t="shared" si="52"/>
        <v>1.25</v>
      </c>
      <c r="Z144" s="39">
        <f>IF(L144="","",IF(V144&gt;0,INDEX('06-حزيران'!$Q$2:$Q$499,V144),IF($AO$1=1,0,"")))</f>
        <v>22.90909090909091</v>
      </c>
      <c r="AA144" s="39">
        <f t="shared" si="53"/>
        <v>28.248803827751193</v>
      </c>
      <c r="AB144" s="40">
        <f>IF(OR(L144="",V144=0),"",IF(AND(N(I144)&gt;0,N(INDEX('06-حزيران'!$I$2:$I$499,V144))&gt;0,INDEX('06-حزيران'!$F$2:$F$499,V144)=F144),N(I144)/N(INDEX('06-حزيران'!$I$2:$I$499,V144))-1,""))</f>
        <v>0</v>
      </c>
      <c r="AC144" t="str">
        <f>IF(L144="","",IF(AND($AO$2=1,ISNA(MATCH(L144,'08-آب'!$L$2:$L$501,0))),"محذوف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28.248803971751194</v>
      </c>
      <c r="AH144" s="39">
        <f t="shared" si="55"/>
        <v>30.045112781954892</v>
      </c>
      <c r="AI144" s="39">
        <f t="shared" si="56"/>
        <v>30.045112781954892</v>
      </c>
      <c r="AJ144" s="39">
        <f t="shared" si="57"/>
        <v>30.045112781954892</v>
      </c>
      <c r="AK144">
        <f t="shared" si="58"/>
        <v>51.1578948808421</v>
      </c>
      <c r="AL144">
        <f t="shared" si="59"/>
        <v>30.045112925954893</v>
      </c>
    </row>
    <row r="145" spans="1:38" ht="15">
      <c r="A145" t="s">
        <v>457</v>
      </c>
      <c r="B145">
        <v>785</v>
      </c>
      <c r="C145">
        <v>15000</v>
      </c>
      <c r="D145">
        <v>15000</v>
      </c>
      <c r="E145">
        <v>15000</v>
      </c>
      <c r="F145" t="s">
        <v>389</v>
      </c>
      <c r="G145" t="s">
        <v>178</v>
      </c>
      <c r="H145" t="s">
        <v>12</v>
      </c>
      <c r="I145">
        <v>7500</v>
      </c>
      <c r="K145" t="str">
        <f t="shared" si="40"/>
        <v/>
      </c>
      <c r="L145" t="str">
        <f t="shared" si="41"/>
        <v>شامبو</v>
      </c>
      <c r="M145" s="36">
        <f t="shared" si="42"/>
        <v>7.5187969924812026E-5</v>
      </c>
      <c r="N145" s="37">
        <f t="shared" si="43"/>
        <v>0.56390977443609025</v>
      </c>
      <c r="O145" s="37">
        <f t="shared" si="44"/>
        <v>1.1278195488721805</v>
      </c>
      <c r="P145" s="38">
        <f t="shared" si="45"/>
        <v>785</v>
      </c>
      <c r="Q145" s="39">
        <f t="shared" si="46"/>
        <v>442.66917293233087</v>
      </c>
      <c r="R145" s="39">
        <f t="shared" si="47"/>
        <v>885.33834586466173</v>
      </c>
      <c r="S145">
        <f t="shared" si="48"/>
        <v>1</v>
      </c>
      <c r="T145" s="39">
        <f t="shared" si="49"/>
        <v>442.66917293233087</v>
      </c>
      <c r="U145" t="str">
        <f t="shared" si="50"/>
        <v/>
      </c>
      <c r="V145">
        <f>IF(L145="","",IF($AO$1=1,IFERROR(MATCH(L145,'06-حزيران'!$L$2:$L$499,0),0),0))</f>
        <v>189</v>
      </c>
      <c r="W145" t="str">
        <f t="shared" si="51"/>
        <v/>
      </c>
      <c r="X145" s="38">
        <f>IF(L145="","",IF(V145&gt;0,INDEX('06-حزيران'!$P$2:$P$499,V145),IF($AO$1=1,0,"")))</f>
        <v>908</v>
      </c>
      <c r="Y145" s="38">
        <f t="shared" si="52"/>
        <v>-123</v>
      </c>
      <c r="Z145" s="39">
        <f>IF(L145="","",IF(V145&gt;0,INDEX('06-حزيران'!$Q$2:$Q$499,V145),IF($AO$1=1,0,"")))</f>
        <v>515.90909090909099</v>
      </c>
      <c r="AA145" s="39">
        <f t="shared" si="53"/>
        <v>-73.239917976760125</v>
      </c>
      <c r="AB145" s="40">
        <f>IF(OR(L145="",V145=0),"",IF(AND(N(I145)&gt;0,N(INDEX('06-حزيران'!$I$2:$I$499,V145))&gt;0,INDEX('06-حزيران'!$F$2:$F$499,V145)=F145),N(I145)/N(INDEX('06-حزيران'!$I$2:$I$499,V145))-1,""))</f>
        <v>0</v>
      </c>
      <c r="AC145" t="str">
        <f>IF(L145="","",IF(AND($AO$2=1,ISNA(MATCH(L145,'08-آب'!$L$2:$L$501,0))),"محذوف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73.239918121760127</v>
      </c>
      <c r="AH145" s="39">
        <f t="shared" si="55"/>
        <v>442.66917293233087</v>
      </c>
      <c r="AI145" s="39">
        <f t="shared" si="56"/>
        <v>442.66917293233087</v>
      </c>
      <c r="AJ145" s="39">
        <f t="shared" si="57"/>
        <v>442.66917293233087</v>
      </c>
      <c r="AK145">
        <f t="shared" si="58"/>
        <v>442.66917307733087</v>
      </c>
      <c r="AL145">
        <f t="shared" si="59"/>
        <v>442.66917307733087</v>
      </c>
    </row>
    <row r="146" spans="1:38" ht="15">
      <c r="A146" t="s">
        <v>341</v>
      </c>
      <c r="B146">
        <v>0</v>
      </c>
      <c r="C146">
        <v>0</v>
      </c>
      <c r="D146">
        <v>0</v>
      </c>
      <c r="E146">
        <v>0</v>
      </c>
      <c r="F146" t="s">
        <v>268</v>
      </c>
      <c r="G146" t="s">
        <v>178</v>
      </c>
      <c r="H146" t="s">
        <v>176</v>
      </c>
      <c r="I146">
        <v>0.55000000000000004</v>
      </c>
      <c r="K146" t="str">
        <f t="shared" si="40"/>
        <v/>
      </c>
      <c r="L146" t="str">
        <f t="shared" si="41"/>
        <v>سيليكات سائلة</v>
      </c>
      <c r="M146" s="36">
        <f t="shared" si="42"/>
        <v>1</v>
      </c>
      <c r="N146" s="37">
        <f t="shared" si="43"/>
        <v>0.55000000000000004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IF(L146="","",IF($AO$1=1,IFERROR(MATCH(L146,'06-حزيران'!$L$2:$L$499,0),0),0))</f>
        <v>74</v>
      </c>
      <c r="W146" t="str">
        <f t="shared" si="51"/>
        <v/>
      </c>
      <c r="X146" s="38">
        <f>IF(L146="","",IF(V146&gt;0,INDEX('06-حزيران'!$P$2:$P$499,V146),IF($AO$1=1,0,"")))</f>
        <v>0</v>
      </c>
      <c r="Y146" s="38">
        <f t="shared" si="52"/>
        <v>0</v>
      </c>
      <c r="Z146" s="39">
        <f>IF(L146="","",IF(V146&gt;0,INDEX('06-حزيران'!$Q$2:$Q$499,V146),IF($AO$1=1,0,"")))</f>
        <v>0</v>
      </c>
      <c r="AA146" s="39">
        <f t="shared" si="53"/>
        <v>0</v>
      </c>
      <c r="AB146" s="40">
        <f>IF(OR(L146="",V146=0),"",IF(AND(N(I146)&gt;0,N(INDEX('06-حزيران'!$I$2:$I$499,V146))&gt;0,INDEX('06-حزيران'!$F$2:$F$499,V146)=F146),N(I146)/N(INDEX('06-حزيران'!$I$2:$I$499,V146))-1,""))</f>
        <v>0</v>
      </c>
      <c r="AC146" t="str">
        <f>IF(L146="","",IF(AND($AO$2=1,ISNA(MATCH(L146,'08-آب'!$L$2:$L$501,0))),"محذوف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458</v>
      </c>
      <c r="B147">
        <v>7.9</v>
      </c>
      <c r="C147">
        <v>25000</v>
      </c>
      <c r="D147">
        <v>25000</v>
      </c>
      <c r="E147">
        <v>25000</v>
      </c>
      <c r="F147" t="s">
        <v>389</v>
      </c>
      <c r="G147" t="s">
        <v>178</v>
      </c>
      <c r="H147" t="s">
        <v>12</v>
      </c>
      <c r="I147">
        <v>17000</v>
      </c>
      <c r="K147" t="str">
        <f t="shared" si="40"/>
        <v/>
      </c>
      <c r="L147" t="str">
        <f t="shared" si="41"/>
        <v>سيف عائلاتي</v>
      </c>
      <c r="M147" s="36">
        <f t="shared" si="42"/>
        <v>7.5187969924812026E-5</v>
      </c>
      <c r="N147" s="37">
        <f t="shared" si="43"/>
        <v>1.2781954887218046</v>
      </c>
      <c r="O147" s="37">
        <f t="shared" si="44"/>
        <v>1.8796992481203008</v>
      </c>
      <c r="P147" s="38">
        <f t="shared" si="45"/>
        <v>7.9</v>
      </c>
      <c r="Q147" s="39">
        <f t="shared" si="46"/>
        <v>10.097744360902256</v>
      </c>
      <c r="R147" s="39">
        <f t="shared" si="47"/>
        <v>14.849624060150378</v>
      </c>
      <c r="S147">
        <f t="shared" si="48"/>
        <v>1</v>
      </c>
      <c r="T147" s="39">
        <f t="shared" si="49"/>
        <v>4.7518796992481214</v>
      </c>
      <c r="U147" t="str">
        <f t="shared" si="50"/>
        <v/>
      </c>
      <c r="V147">
        <f>IF(L147="","",IF($AO$1=1,IFERROR(MATCH(L147,'06-حزيران'!$L$2:$L$499,0),0),0))</f>
        <v>190</v>
      </c>
      <c r="W147" t="str">
        <f t="shared" si="51"/>
        <v/>
      </c>
      <c r="X147" s="38">
        <f>IF(L147="","",IF(V147&gt;0,INDEX('06-حزيران'!$P$2:$P$499,V147),IF($AO$1=1,0,"")))</f>
        <v>7.9</v>
      </c>
      <c r="Y147" s="38">
        <f t="shared" si="52"/>
        <v>0</v>
      </c>
      <c r="Z147" s="39">
        <f>IF(L147="","",IF(V147&gt;0,INDEX('06-حزيران'!$Q$2:$Q$499,V147),IF($AO$1=1,0,"")))</f>
        <v>10.174242424242424</v>
      </c>
      <c r="AA147" s="39">
        <f t="shared" si="53"/>
        <v>-7.6498063340167732E-2</v>
      </c>
      <c r="AB147" s="40">
        <f>IF(OR(L147="",V147=0),"",IF(AND(N(I147)&gt;0,N(INDEX('06-حزيران'!$I$2:$I$499,V147))&gt;0,INDEX('06-حزيران'!$F$2:$F$499,V147)=F147),N(I147)/N(INDEX('06-حزيران'!$I$2:$I$499,V147))-1,""))</f>
        <v>0</v>
      </c>
      <c r="AC147" t="str">
        <f>IF(L147="","",IF(AND($AO$2=1,ISNA(MATCH(L147,'08-آب'!$L$2:$L$501,0))),"محذوف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7.6498210340167738E-2</v>
      </c>
      <c r="AH147" s="39">
        <f t="shared" si="55"/>
        <v>4.7518796992481205</v>
      </c>
      <c r="AI147" s="39">
        <f t="shared" si="56"/>
        <v>4.7518796992481205</v>
      </c>
      <c r="AJ147" s="39">
        <f t="shared" si="57"/>
        <v>4.7518796992481205</v>
      </c>
      <c r="AK147">
        <f t="shared" si="58"/>
        <v>10.097744507902256</v>
      </c>
      <c r="AL147">
        <f t="shared" si="59"/>
        <v>4.7518798462481211</v>
      </c>
    </row>
    <row r="148" spans="1:38" ht="15">
      <c r="A148" t="s">
        <v>459</v>
      </c>
      <c r="B148">
        <v>67.599999999999994</v>
      </c>
      <c r="C148">
        <v>50000</v>
      </c>
      <c r="D148">
        <v>50000</v>
      </c>
      <c r="E148">
        <v>50000</v>
      </c>
      <c r="F148" t="s">
        <v>389</v>
      </c>
      <c r="G148" t="s">
        <v>178</v>
      </c>
      <c r="H148" t="s">
        <v>12</v>
      </c>
      <c r="I148">
        <v>35000</v>
      </c>
      <c r="K148" t="str">
        <f t="shared" si="40"/>
        <v/>
      </c>
      <c r="L148" t="str">
        <f t="shared" si="41"/>
        <v>سيف بريفيت</v>
      </c>
      <c r="M148" s="36">
        <f t="shared" si="42"/>
        <v>7.5187969924812026E-5</v>
      </c>
      <c r="N148" s="37">
        <f t="shared" si="43"/>
        <v>2.6315789473684208</v>
      </c>
      <c r="O148" s="37">
        <f t="shared" si="44"/>
        <v>3.7593984962406015</v>
      </c>
      <c r="P148" s="38">
        <f t="shared" si="45"/>
        <v>67.599999999999994</v>
      </c>
      <c r="Q148" s="39">
        <f t="shared" si="46"/>
        <v>177.89473684210523</v>
      </c>
      <c r="R148" s="39">
        <f t="shared" si="47"/>
        <v>254.13533834586465</v>
      </c>
      <c r="S148">
        <f t="shared" si="48"/>
        <v>1</v>
      </c>
      <c r="T148" s="39">
        <f t="shared" si="49"/>
        <v>76.240601503759422</v>
      </c>
      <c r="U148" t="str">
        <f t="shared" si="50"/>
        <v/>
      </c>
      <c r="V148">
        <f>IF(L148="","",IF($AO$1=1,IFERROR(MATCH(L148,'06-حزيران'!$L$2:$L$499,0),0),0))</f>
        <v>191</v>
      </c>
      <c r="W148" t="str">
        <f t="shared" si="51"/>
        <v/>
      </c>
      <c r="X148" s="38">
        <f>IF(L148="","",IF(V148&gt;0,INDEX('06-حزيران'!$P$2:$P$499,V148),IF($AO$1=1,0,"")))</f>
        <v>71.599999999999994</v>
      </c>
      <c r="Y148" s="38">
        <f t="shared" si="52"/>
        <v>-4</v>
      </c>
      <c r="Z148" s="39">
        <f>IF(L148="","",IF(V148&gt;0,INDEX('06-حزيران'!$Q$2:$Q$499,V148),IF($AO$1=1,0,"")))</f>
        <v>189.84848484848482</v>
      </c>
      <c r="AA148" s="39">
        <f t="shared" si="53"/>
        <v>-11.953748006379584</v>
      </c>
      <c r="AB148" s="40">
        <f>IF(OR(L148="",V148=0),"",IF(AND(N(I148)&gt;0,N(INDEX('06-حزيران'!$I$2:$I$499,V148))&gt;0,INDEX('06-حزيران'!$F$2:$F$499,V148)=F148),N(I148)/N(INDEX('06-حزيران'!$I$2:$I$499,V148))-1,""))</f>
        <v>0</v>
      </c>
      <c r="AC148" t="str">
        <f>IF(L148="","",IF(AND($AO$2=1,ISNA(MATCH(L148,'08-آب'!$L$2:$L$501,0))),"محذوف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11.953748154379584</v>
      </c>
      <c r="AH148" s="39">
        <f t="shared" si="55"/>
        <v>76.240601503759407</v>
      </c>
      <c r="AI148" s="39">
        <f t="shared" si="56"/>
        <v>76.240601503759407</v>
      </c>
      <c r="AJ148" s="39">
        <f t="shared" si="57"/>
        <v>76.240601503759407</v>
      </c>
      <c r="AK148">
        <f t="shared" si="58"/>
        <v>177.89473699010523</v>
      </c>
      <c r="AL148">
        <f t="shared" si="59"/>
        <v>76.24060165175942</v>
      </c>
    </row>
    <row r="149" spans="1:38" ht="15">
      <c r="A149" t="s">
        <v>460</v>
      </c>
      <c r="B149">
        <v>0</v>
      </c>
      <c r="C149">
        <v>19000</v>
      </c>
      <c r="D149">
        <v>19000</v>
      </c>
      <c r="E149">
        <v>19000</v>
      </c>
      <c r="F149" t="s">
        <v>389</v>
      </c>
      <c r="G149" t="s">
        <v>178</v>
      </c>
      <c r="H149" t="s">
        <v>12</v>
      </c>
      <c r="I149">
        <v>16000</v>
      </c>
      <c r="K149" t="str">
        <f t="shared" si="40"/>
        <v/>
      </c>
      <c r="L149" t="str">
        <f t="shared" si="41"/>
        <v>سيف برلنت</v>
      </c>
      <c r="M149" s="36">
        <f t="shared" si="42"/>
        <v>7.5187969924812026E-5</v>
      </c>
      <c r="N149" s="37">
        <f t="shared" si="43"/>
        <v>1.2030075187969924</v>
      </c>
      <c r="O149" s="37">
        <f t="shared" si="44"/>
        <v>1.4285714285714286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IF(L149="","",IF($AO$1=1,IFERROR(MATCH(L149,'06-حزيران'!$L$2:$L$499,0),0),0))</f>
        <v>192</v>
      </c>
      <c r="W149" t="str">
        <f t="shared" si="51"/>
        <v/>
      </c>
      <c r="X149" s="38">
        <f>IF(L149="","",IF(V149&gt;0,INDEX('06-حزيران'!$P$2:$P$499,V149),IF($AO$1=1,0,"")))</f>
        <v>0</v>
      </c>
      <c r="Y149" s="38">
        <f t="shared" si="52"/>
        <v>0</v>
      </c>
      <c r="Z149" s="39">
        <f>IF(L149="","",IF(V149&gt;0,INDEX('06-حزيران'!$Q$2:$Q$499,V149),IF($AO$1=1,0,"")))</f>
        <v>0</v>
      </c>
      <c r="AA149" s="39">
        <f t="shared" si="53"/>
        <v>0</v>
      </c>
      <c r="AB149" s="40">
        <f>IF(OR(L149="",V149=0),"",IF(AND(N(I149)&gt;0,N(INDEX('06-حزيران'!$I$2:$I$499,V149))&gt;0,INDEX('06-حزيران'!$F$2:$F$499,V149)=F149),N(I149)/N(INDEX('06-حزيران'!$I$2:$I$499,V149))-1,""))</f>
        <v>0</v>
      </c>
      <c r="AC149" t="str">
        <f>IF(L149="","",IF(AND($AO$2=1,ISNA(MATCH(L149,'08-آب'!$L$2:$L$501,0))),"محذوف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461</v>
      </c>
      <c r="B150">
        <v>14</v>
      </c>
      <c r="C150">
        <v>21000</v>
      </c>
      <c r="D150">
        <v>21000</v>
      </c>
      <c r="E150">
        <v>21000</v>
      </c>
      <c r="F150" t="s">
        <v>389</v>
      </c>
      <c r="G150" t="s">
        <v>178</v>
      </c>
      <c r="H150" t="s">
        <v>12</v>
      </c>
      <c r="I150">
        <v>9000</v>
      </c>
      <c r="K150" t="str">
        <f t="shared" si="40"/>
        <v/>
      </c>
      <c r="L150" t="str">
        <f t="shared" si="41"/>
        <v>سيف الكرار نخب اول</v>
      </c>
      <c r="M150" s="36">
        <f t="shared" si="42"/>
        <v>7.5187969924812026E-5</v>
      </c>
      <c r="N150" s="37">
        <f t="shared" si="43"/>
        <v>0.67669172932330823</v>
      </c>
      <c r="O150" s="37">
        <f t="shared" si="44"/>
        <v>1.5789473684210527</v>
      </c>
      <c r="P150" s="38">
        <f t="shared" si="45"/>
        <v>14</v>
      </c>
      <c r="Q150" s="39">
        <f t="shared" si="46"/>
        <v>9.473684210526315</v>
      </c>
      <c r="R150" s="39">
        <f t="shared" si="47"/>
        <v>22.105263157894736</v>
      </c>
      <c r="S150">
        <f t="shared" si="48"/>
        <v>1</v>
      </c>
      <c r="T150" s="39">
        <f t="shared" si="49"/>
        <v>12.631578947368421</v>
      </c>
      <c r="U150" t="str">
        <f t="shared" si="50"/>
        <v/>
      </c>
      <c r="V150">
        <f>IF(L150="","",IF($AO$1=1,IFERROR(MATCH(L150,'06-حزيران'!$L$2:$L$499,0),0),0))</f>
        <v>193</v>
      </c>
      <c r="W150" t="str">
        <f t="shared" si="51"/>
        <v/>
      </c>
      <c r="X150" s="38">
        <f>IF(L150="","",IF(V150&gt;0,INDEX('06-حزيران'!$P$2:$P$499,V150),IF($AO$1=1,0,"")))</f>
        <v>14</v>
      </c>
      <c r="Y150" s="38">
        <f t="shared" si="52"/>
        <v>0</v>
      </c>
      <c r="Z150" s="39">
        <f>IF(L150="","",IF(V150&gt;0,INDEX('06-حزيران'!$Q$2:$Q$499,V150),IF($AO$1=1,0,"")))</f>
        <v>9.545454545454545</v>
      </c>
      <c r="AA150" s="39">
        <f t="shared" si="53"/>
        <v>-7.1770334928229929E-2</v>
      </c>
      <c r="AB150" s="40">
        <f>IF(OR(L150="",V150=0),"",IF(AND(N(I150)&gt;0,N(INDEX('06-حزيران'!$I$2:$I$499,V150))&gt;0,INDEX('06-حزيران'!$F$2:$F$499,V150)=F150),N(I150)/N(INDEX('06-حزيران'!$I$2:$I$499,V150))-1,""))</f>
        <v>0</v>
      </c>
      <c r="AC150" t="str">
        <f>IF(L150="","",IF(AND($AO$2=1,ISNA(MATCH(L150,'08-آب'!$L$2:$L$501,0))),"محذوف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7.1770484928229933E-2</v>
      </c>
      <c r="AH150" s="39">
        <f t="shared" si="55"/>
        <v>12.631578947368421</v>
      </c>
      <c r="AI150" s="39">
        <f t="shared" si="56"/>
        <v>12.631578947368421</v>
      </c>
      <c r="AJ150" s="39">
        <f t="shared" si="57"/>
        <v>12.631578947368421</v>
      </c>
      <c r="AK150">
        <f t="shared" si="58"/>
        <v>9.473684360526315</v>
      </c>
      <c r="AL150">
        <f t="shared" si="59"/>
        <v>12.631579097368421</v>
      </c>
    </row>
    <row r="151" spans="1:38" ht="15">
      <c r="A151" t="s">
        <v>462</v>
      </c>
      <c r="B151">
        <v>4</v>
      </c>
      <c r="C151">
        <v>200000</v>
      </c>
      <c r="D151">
        <v>200000</v>
      </c>
      <c r="E151">
        <v>200000</v>
      </c>
      <c r="F151" t="s">
        <v>389</v>
      </c>
      <c r="G151" t="s">
        <v>178</v>
      </c>
      <c r="H151" t="s">
        <v>12</v>
      </c>
      <c r="I151">
        <v>150000</v>
      </c>
      <c r="K151" t="str">
        <f t="shared" si="40"/>
        <v/>
      </c>
      <c r="L151" t="str">
        <f t="shared" si="41"/>
        <v>سيف الكرار 2602</v>
      </c>
      <c r="M151" s="36">
        <f t="shared" si="42"/>
        <v>7.5187969924812026E-5</v>
      </c>
      <c r="N151" s="37">
        <f t="shared" si="43"/>
        <v>11.278195488721805</v>
      </c>
      <c r="O151" s="37">
        <f t="shared" si="44"/>
        <v>15.037593984962406</v>
      </c>
      <c r="P151" s="38">
        <f t="shared" si="45"/>
        <v>4</v>
      </c>
      <c r="Q151" s="39">
        <f t="shared" si="46"/>
        <v>45.112781954887218</v>
      </c>
      <c r="R151" s="39">
        <f t="shared" si="47"/>
        <v>60.150375939849624</v>
      </c>
      <c r="S151">
        <f t="shared" si="48"/>
        <v>1</v>
      </c>
      <c r="T151" s="39">
        <f t="shared" si="49"/>
        <v>15.037593984962406</v>
      </c>
      <c r="U151" t="str">
        <f t="shared" si="50"/>
        <v/>
      </c>
      <c r="V151">
        <f>IF(L151="","",IF($AO$1=1,IFERROR(MATCH(L151,'06-حزيران'!$L$2:$L$499,0),0),0))</f>
        <v>194</v>
      </c>
      <c r="W151" t="str">
        <f t="shared" si="51"/>
        <v/>
      </c>
      <c r="X151" s="38">
        <f>IF(L151="","",IF(V151&gt;0,INDEX('06-حزيران'!$P$2:$P$499,V151),IF($AO$1=1,0,"")))</f>
        <v>7</v>
      </c>
      <c r="Y151" s="38">
        <f t="shared" si="52"/>
        <v>-3</v>
      </c>
      <c r="Z151" s="39">
        <f>IF(L151="","",IF(V151&gt;0,INDEX('06-حزيران'!$Q$2:$Q$499,V151),IF($AO$1=1,0,"")))</f>
        <v>79.545454545454547</v>
      </c>
      <c r="AA151" s="39">
        <f t="shared" si="53"/>
        <v>-34.432672590567329</v>
      </c>
      <c r="AB151" s="40">
        <f>IF(OR(L151="",V151=0),"",IF(AND(N(I151)&gt;0,N(INDEX('06-حزيران'!$I$2:$I$499,V151))&gt;0,INDEX('06-حزيران'!$F$2:$F$499,V151)=F151),N(I151)/N(INDEX('06-حزيران'!$I$2:$I$499,V151))-1,""))</f>
        <v>0</v>
      </c>
      <c r="AC151" t="str">
        <f>IF(L151="","",IF(AND($AO$2=1,ISNA(MATCH(L151,'08-آب'!$L$2:$L$501,0))),"محذوف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34.43267274156733</v>
      </c>
      <c r="AH151" s="39">
        <f t="shared" si="55"/>
        <v>15.037593984962406</v>
      </c>
      <c r="AI151" s="39">
        <f t="shared" si="56"/>
        <v>15.037593984962406</v>
      </c>
      <c r="AJ151" s="39">
        <f t="shared" si="57"/>
        <v>15.037593984962406</v>
      </c>
      <c r="AK151">
        <f t="shared" si="58"/>
        <v>45.11278210588722</v>
      </c>
      <c r="AL151">
        <f t="shared" si="59"/>
        <v>15.037594135962406</v>
      </c>
    </row>
    <row r="152" spans="1:38" ht="15">
      <c r="A152" t="s">
        <v>463</v>
      </c>
      <c r="B152">
        <v>0</v>
      </c>
      <c r="C152">
        <v>30000</v>
      </c>
      <c r="D152">
        <v>30000</v>
      </c>
      <c r="E152">
        <v>30000</v>
      </c>
      <c r="F152" t="s">
        <v>389</v>
      </c>
      <c r="G152" t="s">
        <v>178</v>
      </c>
      <c r="H152" t="s">
        <v>12</v>
      </c>
      <c r="I152">
        <v>20000</v>
      </c>
      <c r="K152" t="str">
        <f t="shared" si="40"/>
        <v/>
      </c>
      <c r="L152" t="str">
        <f t="shared" si="41"/>
        <v>سلة غسيل</v>
      </c>
      <c r="M152" s="36">
        <f t="shared" si="42"/>
        <v>7.5187969924812026E-5</v>
      </c>
      <c r="N152" s="37">
        <f t="shared" si="43"/>
        <v>1.5037593984962405</v>
      </c>
      <c r="O152" s="37">
        <f t="shared" si="44"/>
        <v>2.255639097744361</v>
      </c>
      <c r="P152" s="38">
        <f t="shared" si="45"/>
        <v>0</v>
      </c>
      <c r="Q152" s="39">
        <f t="shared" si="46"/>
        <v>0</v>
      </c>
      <c r="R152" s="39">
        <f t="shared" si="47"/>
        <v>0</v>
      </c>
      <c r="S152">
        <f t="shared" si="48"/>
        <v>0</v>
      </c>
      <c r="T152" s="39">
        <f t="shared" si="49"/>
        <v>0</v>
      </c>
      <c r="U152" t="str">
        <f t="shared" si="50"/>
        <v/>
      </c>
      <c r="V152">
        <f>IF(L152="","",IF($AO$1=1,IFERROR(MATCH(L152,'06-حزيران'!$L$2:$L$499,0),0),0))</f>
        <v>195</v>
      </c>
      <c r="W152" t="str">
        <f t="shared" si="51"/>
        <v/>
      </c>
      <c r="X152" s="38">
        <f>IF(L152="","",IF(V152&gt;0,INDEX('06-حزيران'!$P$2:$P$499,V152),IF($AO$1=1,0,"")))</f>
        <v>0</v>
      </c>
      <c r="Y152" s="38">
        <f t="shared" si="52"/>
        <v>0</v>
      </c>
      <c r="Z152" s="39">
        <f>IF(L152="","",IF(V152&gt;0,INDEX('06-حزيران'!$Q$2:$Q$499,V152),IF($AO$1=1,0,"")))</f>
        <v>0</v>
      </c>
      <c r="AA152" s="39">
        <f t="shared" si="53"/>
        <v>0</v>
      </c>
      <c r="AB152" s="40">
        <f>IF(OR(L152="",V152=0),"",IF(AND(N(I152)&gt;0,N(INDEX('06-حزيران'!$I$2:$I$499,V152))&gt;0,INDEX('06-حزيران'!$F$2:$F$499,V152)=F152),N(I152)/N(INDEX('06-حزيران'!$I$2:$I$499,V152))-1,""))</f>
        <v>0</v>
      </c>
      <c r="AC152" t="str">
        <f>IF(L152="","",IF(AND($AO$2=1,ISNA(MATCH(L152,'08-آب'!$L$2:$L$501,0))),"محذوف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1.5200000000000001E-7</v>
      </c>
      <c r="AH152" s="39">
        <f t="shared" si="55"/>
        <v>0</v>
      </c>
      <c r="AI152" s="39">
        <f t="shared" si="56"/>
        <v>0</v>
      </c>
      <c r="AJ152" s="39">
        <f t="shared" si="57"/>
        <v>0</v>
      </c>
      <c r="AK152">
        <f t="shared" si="58"/>
        <v>1.5200000000000001E-7</v>
      </c>
      <c r="AL152">
        <f t="shared" si="59"/>
        <v>1.5200000000000001E-7</v>
      </c>
    </row>
    <row r="153" spans="1:38" ht="15">
      <c r="A153" t="s">
        <v>464</v>
      </c>
      <c r="B153">
        <v>2335</v>
      </c>
      <c r="C153">
        <v>4000</v>
      </c>
      <c r="D153">
        <v>4000</v>
      </c>
      <c r="E153">
        <v>4000</v>
      </c>
      <c r="F153" t="s">
        <v>389</v>
      </c>
      <c r="G153" t="s">
        <v>178</v>
      </c>
      <c r="H153" t="s">
        <v>12</v>
      </c>
      <c r="I153">
        <v>2500</v>
      </c>
      <c r="K153" t="str">
        <f t="shared" si="40"/>
        <v/>
      </c>
      <c r="L153" t="str">
        <f t="shared" si="41"/>
        <v>سائل مغسل</v>
      </c>
      <c r="M153" s="36">
        <f t="shared" si="42"/>
        <v>7.5187969924812026E-5</v>
      </c>
      <c r="N153" s="37">
        <f t="shared" si="43"/>
        <v>0.18796992481203006</v>
      </c>
      <c r="O153" s="37">
        <f t="shared" si="44"/>
        <v>0.3007518796992481</v>
      </c>
      <c r="P153" s="38">
        <f t="shared" si="45"/>
        <v>2335</v>
      </c>
      <c r="Q153" s="39">
        <f t="shared" si="46"/>
        <v>438.90977443609017</v>
      </c>
      <c r="R153" s="39">
        <f t="shared" si="47"/>
        <v>702.25563909774428</v>
      </c>
      <c r="S153">
        <f t="shared" si="48"/>
        <v>1</v>
      </c>
      <c r="T153" s="39">
        <f t="shared" si="49"/>
        <v>263.3458646616541</v>
      </c>
      <c r="U153" t="str">
        <f t="shared" si="50"/>
        <v/>
      </c>
      <c r="V153">
        <f>IF(L153="","",IF($AO$1=1,IFERROR(MATCH(L153,'06-حزيران'!$L$2:$L$499,0),0),0))</f>
        <v>196</v>
      </c>
      <c r="W153" t="str">
        <f t="shared" si="51"/>
        <v/>
      </c>
      <c r="X153" s="38">
        <f>IF(L153="","",IF(V153&gt;0,INDEX('06-حزيران'!$P$2:$P$499,V153),IF($AO$1=1,0,"")))</f>
        <v>2335</v>
      </c>
      <c r="Y153" s="38">
        <f t="shared" si="52"/>
        <v>0</v>
      </c>
      <c r="Z153" s="39">
        <f>IF(L153="","",IF(V153&gt;0,INDEX('06-حزيران'!$Q$2:$Q$499,V153),IF($AO$1=1,0,"")))</f>
        <v>442.2348484848485</v>
      </c>
      <c r="AA153" s="39">
        <f t="shared" si="53"/>
        <v>-3.3250740487583244</v>
      </c>
      <c r="AB153" s="40">
        <f>IF(OR(L153="",V153=0),"",IF(AND(N(I153)&gt;0,N(INDEX('06-حزيران'!$I$2:$I$499,V153))&gt;0,INDEX('06-حزيران'!$F$2:$F$499,V153)=F153),N(I153)/N(INDEX('06-حزيران'!$I$2:$I$499,V153))-1,""))</f>
        <v>0</v>
      </c>
      <c r="AC153" t="str">
        <f>IF(L153="","",IF(AND($AO$2=1,ISNA(MATCH(L153,'08-آب'!$L$2:$L$501,0))),"محذوف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3.3250742017583241</v>
      </c>
      <c r="AH153" s="39">
        <f t="shared" si="55"/>
        <v>263.3458646616541</v>
      </c>
      <c r="AI153" s="39">
        <f t="shared" si="56"/>
        <v>263.3458646616541</v>
      </c>
      <c r="AJ153" s="39">
        <f t="shared" si="57"/>
        <v>263.3458646616541</v>
      </c>
      <c r="AK153">
        <f t="shared" si="58"/>
        <v>438.90977458909015</v>
      </c>
      <c r="AL153">
        <f t="shared" si="59"/>
        <v>263.34586481465408</v>
      </c>
    </row>
    <row r="154" spans="1:38" ht="15">
      <c r="A154" t="s">
        <v>465</v>
      </c>
      <c r="B154">
        <v>29</v>
      </c>
      <c r="C154">
        <v>13000</v>
      </c>
      <c r="D154">
        <v>13000</v>
      </c>
      <c r="E154">
        <v>13000</v>
      </c>
      <c r="F154" t="s">
        <v>389</v>
      </c>
      <c r="G154" t="s">
        <v>178</v>
      </c>
      <c r="H154" t="s">
        <v>12</v>
      </c>
      <c r="I154">
        <v>12800</v>
      </c>
      <c r="K154" t="str">
        <f t="shared" si="40"/>
        <v/>
      </c>
      <c r="L154" t="str">
        <f t="shared" si="41"/>
        <v>سائل غسيل زهري</v>
      </c>
      <c r="M154" s="36">
        <f t="shared" si="42"/>
        <v>7.5187969924812026E-5</v>
      </c>
      <c r="N154" s="37">
        <f t="shared" si="43"/>
        <v>0.96240601503759393</v>
      </c>
      <c r="O154" s="37">
        <f t="shared" si="44"/>
        <v>0.97744360902255634</v>
      </c>
      <c r="P154" s="38">
        <f t="shared" si="45"/>
        <v>29</v>
      </c>
      <c r="Q154" s="39">
        <f t="shared" si="46"/>
        <v>27.909774436090224</v>
      </c>
      <c r="R154" s="39">
        <f t="shared" si="47"/>
        <v>28.345864661654133</v>
      </c>
      <c r="S154">
        <f t="shared" si="48"/>
        <v>1</v>
      </c>
      <c r="T154" s="39">
        <f t="shared" si="49"/>
        <v>0.43609022556390897</v>
      </c>
      <c r="U154" t="str">
        <f t="shared" si="50"/>
        <v/>
      </c>
      <c r="V154">
        <f>IF(L154="","",IF($AO$1=1,IFERROR(MATCH(L154,'06-حزيران'!$L$2:$L$499,0),0),0))</f>
        <v>197</v>
      </c>
      <c r="W154" t="str">
        <f t="shared" si="51"/>
        <v/>
      </c>
      <c r="X154" s="38">
        <f>IF(L154="","",IF(V154&gt;0,INDEX('06-حزيران'!$P$2:$P$499,V154),IF($AO$1=1,0,"")))</f>
        <v>29</v>
      </c>
      <c r="Y154" s="38">
        <f t="shared" si="52"/>
        <v>0</v>
      </c>
      <c r="Z154" s="39">
        <f>IF(L154="","",IF(V154&gt;0,INDEX('06-حزيران'!$Q$2:$Q$499,V154),IF($AO$1=1,0,"")))</f>
        <v>28.121212121212121</v>
      </c>
      <c r="AA154" s="39">
        <f t="shared" si="53"/>
        <v>-0.21143768512189709</v>
      </c>
      <c r="AB154" s="40">
        <f>IF(OR(L154="",V154=0),"",IF(AND(N(I154)&gt;0,N(INDEX('06-حزيران'!$I$2:$I$499,V154))&gt;0,INDEX('06-حزيران'!$F$2:$F$499,V154)=F154),N(I154)/N(INDEX('06-حزيران'!$I$2:$I$499,V154))-1,""))</f>
        <v>0</v>
      </c>
      <c r="AC154" t="str">
        <f>IF(L154="","",IF(AND($AO$2=1,ISNA(MATCH(L154,'08-آب'!$L$2:$L$501,0))),"محذوف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0.21143783912189709</v>
      </c>
      <c r="AH154" s="39">
        <f t="shared" si="55"/>
        <v>0.43609022556390975</v>
      </c>
      <c r="AI154" s="39">
        <f t="shared" si="56"/>
        <v>0.43609022556390975</v>
      </c>
      <c r="AJ154" s="39">
        <f t="shared" si="57"/>
        <v>0.43609022556390975</v>
      </c>
      <c r="AK154">
        <f t="shared" si="58"/>
        <v>27.909774590090223</v>
      </c>
      <c r="AL154">
        <f t="shared" si="59"/>
        <v>0.43609037956390895</v>
      </c>
    </row>
    <row r="155" spans="1:38" ht="15">
      <c r="A155" t="s">
        <v>342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918</v>
      </c>
      <c r="K155" t="str">
        <f t="shared" si="40"/>
        <v/>
      </c>
      <c r="L155" t="str">
        <f t="shared" si="41"/>
        <v>سائل غسيل اتوماتيك خام</v>
      </c>
      <c r="M155" s="36">
        <f t="shared" si="42"/>
        <v>1</v>
      </c>
      <c r="N155" s="37">
        <f t="shared" si="43"/>
        <v>918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IF(L155="","",IF($AO$1=1,IFERROR(MATCH(L155,'06-حزيران'!$L$2:$L$499,0),0),0))</f>
        <v>75</v>
      </c>
      <c r="W155" t="str">
        <f t="shared" si="51"/>
        <v/>
      </c>
      <c r="X155" s="38">
        <f>IF(L155="","",IF(V155&gt;0,INDEX('06-حزيران'!$P$2:$P$499,V155),IF($AO$1=1,0,"")))</f>
        <v>0</v>
      </c>
      <c r="Y155" s="38">
        <f t="shared" si="52"/>
        <v>0</v>
      </c>
      <c r="Z155" s="39">
        <f>IF(L155="","",IF(V155&gt;0,INDEX('06-حزيران'!$Q$2:$Q$499,V155),IF($AO$1=1,0,"")))</f>
        <v>0</v>
      </c>
      <c r="AA155" s="39">
        <f t="shared" si="53"/>
        <v>0</v>
      </c>
      <c r="AB155" s="40">
        <f>IF(OR(L155="",V155=0),"",IF(AND(N(I155)&gt;0,N(INDEX('06-حزيران'!$I$2:$I$499,V155))&gt;0,INDEX('06-حزيران'!$F$2:$F$499,V155)=F155),N(I155)/N(INDEX('06-حزيران'!$I$2:$I$499,V155))-1,""))</f>
        <v>0</v>
      </c>
      <c r="AC155" t="str">
        <f>IF(L155="","",IF(AND($AO$2=1,ISNA(MATCH(L155,'08-آب'!$L$2:$L$501,0))),"محذوف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466</v>
      </c>
      <c r="B156">
        <v>38</v>
      </c>
      <c r="C156">
        <v>58000</v>
      </c>
      <c r="D156">
        <v>58000</v>
      </c>
      <c r="E156">
        <v>58000</v>
      </c>
      <c r="F156" t="s">
        <v>389</v>
      </c>
      <c r="G156" t="s">
        <v>178</v>
      </c>
      <c r="H156" t="s">
        <v>12</v>
      </c>
      <c r="I156">
        <v>41500</v>
      </c>
      <c r="K156" t="str">
        <f t="shared" si="40"/>
        <v/>
      </c>
      <c r="L156" t="str">
        <f t="shared" si="41"/>
        <v>سائل غسيل اتوماتيك 3 لتر</v>
      </c>
      <c r="M156" s="36">
        <f t="shared" si="42"/>
        <v>7.5187969924812026E-5</v>
      </c>
      <c r="N156" s="37">
        <f t="shared" si="43"/>
        <v>3.1203007518796992</v>
      </c>
      <c r="O156" s="37">
        <f t="shared" si="44"/>
        <v>4.3609022556390977</v>
      </c>
      <c r="P156" s="38">
        <f t="shared" si="45"/>
        <v>38</v>
      </c>
      <c r="Q156" s="39">
        <f t="shared" si="46"/>
        <v>118.57142857142857</v>
      </c>
      <c r="R156" s="39">
        <f t="shared" si="47"/>
        <v>165.71428571428572</v>
      </c>
      <c r="S156">
        <f t="shared" si="48"/>
        <v>1</v>
      </c>
      <c r="T156" s="39">
        <f t="shared" si="49"/>
        <v>47.142857142857153</v>
      </c>
      <c r="U156" t="str">
        <f t="shared" si="50"/>
        <v/>
      </c>
      <c r="V156">
        <f>IF(L156="","",IF($AO$1=1,IFERROR(MATCH(L156,'06-حزيران'!$L$2:$L$499,0),0),0))</f>
        <v>198</v>
      </c>
      <c r="W156" t="str">
        <f t="shared" si="51"/>
        <v/>
      </c>
      <c r="X156" s="38">
        <f>IF(L156="","",IF(V156&gt;0,INDEX('06-حزيران'!$P$2:$P$499,V156),IF($AO$1=1,0,"")))</f>
        <v>34</v>
      </c>
      <c r="Y156" s="38">
        <f t="shared" si="52"/>
        <v>4</v>
      </c>
      <c r="Z156" s="39">
        <f>IF(L156="","",IF(V156&gt;0,INDEX('06-حزيران'!$Q$2:$Q$499,V156),IF($AO$1=1,0,"")))</f>
        <v>106.89393939393939</v>
      </c>
      <c r="AA156" s="39">
        <f t="shared" si="53"/>
        <v>11.677489177489178</v>
      </c>
      <c r="AB156" s="40">
        <f>IF(OR(L156="",V156=0),"",IF(AND(N(I156)&gt;0,N(INDEX('06-حزيران'!$I$2:$I$499,V156))&gt;0,INDEX('06-حزيران'!$F$2:$F$499,V156)=F156),N(I156)/N(INDEX('06-حزيران'!$I$2:$I$499,V156))-1,""))</f>
        <v>0</v>
      </c>
      <c r="AC156" t="str">
        <f>IF(L156="","",IF(AND($AO$2=1,ISNA(MATCH(L156,'08-آب'!$L$2:$L$501,0))),"محذوف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11.677489333489179</v>
      </c>
      <c r="AH156" s="39">
        <f t="shared" si="55"/>
        <v>47.142857142857139</v>
      </c>
      <c r="AI156" s="39">
        <f t="shared" si="56"/>
        <v>47.142857142857139</v>
      </c>
      <c r="AJ156" s="39">
        <f t="shared" si="57"/>
        <v>47.142857142857139</v>
      </c>
      <c r="AK156">
        <f t="shared" si="58"/>
        <v>118.57142872742857</v>
      </c>
      <c r="AL156">
        <f t="shared" si="59"/>
        <v>47.142857298857152</v>
      </c>
    </row>
    <row r="157" spans="1:38" ht="15">
      <c r="A157" t="s">
        <v>467</v>
      </c>
      <c r="B157">
        <v>104</v>
      </c>
      <c r="C157">
        <v>15000</v>
      </c>
      <c r="D157">
        <v>15000</v>
      </c>
      <c r="E157">
        <v>15000</v>
      </c>
      <c r="F157" t="s">
        <v>389</v>
      </c>
      <c r="G157" t="s">
        <v>178</v>
      </c>
      <c r="H157" t="s">
        <v>12</v>
      </c>
      <c r="I157">
        <v>12800</v>
      </c>
      <c r="K157" t="str">
        <f t="shared" si="40"/>
        <v/>
      </c>
      <c r="L157" t="str">
        <f t="shared" si="41"/>
        <v>سائل غسيل اتوماتيك / فرط</v>
      </c>
      <c r="M157" s="36">
        <f t="shared" si="42"/>
        <v>7.5187969924812026E-5</v>
      </c>
      <c r="N157" s="37">
        <f t="shared" si="43"/>
        <v>0.96240601503759393</v>
      </c>
      <c r="O157" s="37">
        <f t="shared" si="44"/>
        <v>1.1278195488721805</v>
      </c>
      <c r="P157" s="38">
        <f t="shared" si="45"/>
        <v>104</v>
      </c>
      <c r="Q157" s="39">
        <f t="shared" si="46"/>
        <v>100.09022556390977</v>
      </c>
      <c r="R157" s="39">
        <f t="shared" si="47"/>
        <v>117.29323308270678</v>
      </c>
      <c r="S157">
        <f t="shared" si="48"/>
        <v>1</v>
      </c>
      <c r="T157" s="39">
        <f t="shared" si="49"/>
        <v>17.203007518797008</v>
      </c>
      <c r="U157" t="str">
        <f t="shared" si="50"/>
        <v/>
      </c>
      <c r="V157">
        <f>IF(L157="","",IF($AO$1=1,IFERROR(MATCH(L157,'06-حزيران'!$L$2:$L$499,0),0),0))</f>
        <v>199</v>
      </c>
      <c r="W157" t="str">
        <f t="shared" si="51"/>
        <v/>
      </c>
      <c r="X157" s="38">
        <f>IF(L157="","",IF(V157&gt;0,INDEX('06-حزيران'!$P$2:$P$499,V157),IF($AO$1=1,0,"")))</f>
        <v>245</v>
      </c>
      <c r="Y157" s="38">
        <f t="shared" si="52"/>
        <v>-141</v>
      </c>
      <c r="Z157" s="39">
        <f>IF(L157="","",IF(V157&gt;0,INDEX('06-حزيران'!$Q$2:$Q$499,V157),IF($AO$1=1,0,"")))</f>
        <v>237.57575757575759</v>
      </c>
      <c r="AA157" s="39">
        <f t="shared" si="53"/>
        <v>-137.48553201184782</v>
      </c>
      <c r="AB157" s="40">
        <f>IF(OR(L157="",V157=0),"",IF(AND(N(I157)&gt;0,N(INDEX('06-حزيران'!$I$2:$I$499,V157))&gt;0,INDEX('06-حزيران'!$F$2:$F$499,V157)=F157),N(I157)/N(INDEX('06-حزيران'!$I$2:$I$499,V157))-1,""))</f>
        <v>0</v>
      </c>
      <c r="AC157" t="str">
        <f>IF(L157="","",IF(AND($AO$2=1,ISNA(MATCH(L157,'08-آب'!$L$2:$L$501,0))),"محذوف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137.48553216884781</v>
      </c>
      <c r="AH157" s="39">
        <f t="shared" si="55"/>
        <v>17.203007518797001</v>
      </c>
      <c r="AI157" s="39">
        <f t="shared" si="56"/>
        <v>17.203007518797001</v>
      </c>
      <c r="AJ157" s="39">
        <f t="shared" si="57"/>
        <v>17.203007518797001</v>
      </c>
      <c r="AK157">
        <f t="shared" si="58"/>
        <v>100.09022572090977</v>
      </c>
      <c r="AL157">
        <f t="shared" si="59"/>
        <v>17.203007675797007</v>
      </c>
    </row>
    <row r="158" spans="1:38" ht="15">
      <c r="A158" t="s">
        <v>468</v>
      </c>
      <c r="B158">
        <v>0</v>
      </c>
      <c r="C158">
        <v>12000</v>
      </c>
      <c r="D158">
        <v>12000</v>
      </c>
      <c r="E158">
        <v>12000</v>
      </c>
      <c r="F158" t="s">
        <v>389</v>
      </c>
      <c r="G158" t="s">
        <v>178</v>
      </c>
      <c r="H158" t="s">
        <v>12</v>
      </c>
      <c r="I158">
        <v>11000</v>
      </c>
      <c r="K158" t="str">
        <f t="shared" si="40"/>
        <v/>
      </c>
      <c r="L158" t="str">
        <f t="shared" si="41"/>
        <v>سائل جلي متعدد الاستعمالات كرمل</v>
      </c>
      <c r="M158" s="36">
        <f t="shared" si="42"/>
        <v>7.5187969924812026E-5</v>
      </c>
      <c r="N158" s="37">
        <f t="shared" si="43"/>
        <v>0.82706766917293228</v>
      </c>
      <c r="O158" s="37">
        <f t="shared" si="44"/>
        <v>0.90225563909774431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IF(L158="","",IF($AO$1=1,IFERROR(MATCH(L158,'06-حزيران'!$L$2:$L$499,0),0),0))</f>
        <v>200</v>
      </c>
      <c r="W158" t="str">
        <f t="shared" si="51"/>
        <v/>
      </c>
      <c r="X158" s="38">
        <f>IF(L158="","",IF(V158&gt;0,INDEX('06-حزيران'!$P$2:$P$499,V158),IF($AO$1=1,0,"")))</f>
        <v>0</v>
      </c>
      <c r="Y158" s="38">
        <f t="shared" si="52"/>
        <v>0</v>
      </c>
      <c r="Z158" s="39">
        <f>IF(L158="","",IF(V158&gt;0,INDEX('06-حزيران'!$Q$2:$Q$499,V158),IF($AO$1=1,0,"")))</f>
        <v>0</v>
      </c>
      <c r="AA158" s="39">
        <f t="shared" si="53"/>
        <v>0</v>
      </c>
      <c r="AB158" s="40">
        <f>IF(OR(L158="",V158=0),"",IF(AND(N(I158)&gt;0,N(INDEX('06-حزيران'!$I$2:$I$499,V158))&gt;0,INDEX('06-حزيران'!$F$2:$F$499,V158)=F158),N(I158)/N(INDEX('06-حزيران'!$I$2:$I$499,V158))-1,""))</f>
        <v>0</v>
      </c>
      <c r="AC158" t="str">
        <f>IF(L158="","",IF(AND($AO$2=1,ISNA(MATCH(L158,'08-آب'!$L$2:$L$501,0))),"محذوف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1.5800000000000001E-7</v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469</v>
      </c>
      <c r="B159">
        <v>4</v>
      </c>
      <c r="C159">
        <v>11000</v>
      </c>
      <c r="D159">
        <v>11000</v>
      </c>
      <c r="E159">
        <v>11000</v>
      </c>
      <c r="F159" t="s">
        <v>389</v>
      </c>
      <c r="G159" t="s">
        <v>178</v>
      </c>
      <c r="H159" t="s">
        <v>12</v>
      </c>
      <c r="I159">
        <v>9000</v>
      </c>
      <c r="K159" t="str">
        <f t="shared" si="40"/>
        <v/>
      </c>
      <c r="L159" t="str">
        <f t="shared" si="41"/>
        <v>سائل جلي متعدد الإستعمالات - غولدن هاوس 1 لتر</v>
      </c>
      <c r="M159" s="36">
        <f t="shared" si="42"/>
        <v>7.5187969924812026E-5</v>
      </c>
      <c r="N159" s="37">
        <f t="shared" si="43"/>
        <v>0.67669172932330823</v>
      </c>
      <c r="O159" s="37">
        <f t="shared" si="44"/>
        <v>0.82706766917293228</v>
      </c>
      <c r="P159" s="38">
        <f t="shared" si="45"/>
        <v>4</v>
      </c>
      <c r="Q159" s="39">
        <f t="shared" si="46"/>
        <v>2.7067669172932329</v>
      </c>
      <c r="R159" s="39">
        <f t="shared" si="47"/>
        <v>3.3082706766917291</v>
      </c>
      <c r="S159">
        <f t="shared" si="48"/>
        <v>1</v>
      </c>
      <c r="T159" s="39">
        <f t="shared" si="49"/>
        <v>0.60150375939849621</v>
      </c>
      <c r="U159" t="str">
        <f t="shared" si="50"/>
        <v/>
      </c>
      <c r="V159">
        <f>IF(L159="","",IF($AO$1=1,IFERROR(MATCH(L159,'06-حزيران'!$L$2:$L$499,0),0),0))</f>
        <v>201</v>
      </c>
      <c r="W159" t="str">
        <f t="shared" si="51"/>
        <v/>
      </c>
      <c r="X159" s="38">
        <f>IF(L159="","",IF(V159&gt;0,INDEX('06-حزيران'!$P$2:$P$499,V159),IF($AO$1=1,0,"")))</f>
        <v>4</v>
      </c>
      <c r="Y159" s="38">
        <f t="shared" si="52"/>
        <v>0</v>
      </c>
      <c r="Z159" s="39">
        <f>IF(L159="","",IF(V159&gt;0,INDEX('06-حزيران'!$Q$2:$Q$499,V159),IF($AO$1=1,0,"")))</f>
        <v>2.7272727272727271</v>
      </c>
      <c r="AA159" s="39">
        <f t="shared" si="53"/>
        <v>-2.0505809979494138E-2</v>
      </c>
      <c r="AB159" s="40">
        <f>IF(OR(L159="",V159=0),"",IF(AND(N(I159)&gt;0,N(INDEX('06-حزيران'!$I$2:$I$499,V159))&gt;0,INDEX('06-حزيران'!$F$2:$F$499,V159)=F159),N(I159)/N(INDEX('06-حزيران'!$I$2:$I$499,V159))-1,""))</f>
        <v>0</v>
      </c>
      <c r="AC159" t="str">
        <f>IF(L159="","",IF(AND($AO$2=1,ISNA(MATCH(L159,'08-آب'!$L$2:$L$501,0))),"محذوف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2.0505968979494138E-2</v>
      </c>
      <c r="AH159" s="39">
        <f t="shared" si="55"/>
        <v>0.60150375939849621</v>
      </c>
      <c r="AI159" s="39">
        <f t="shared" si="56"/>
        <v>0.60150375939849621</v>
      </c>
      <c r="AJ159" s="39">
        <f t="shared" si="57"/>
        <v>0.60150375939849621</v>
      </c>
      <c r="AK159">
        <f t="shared" si="58"/>
        <v>2.7067670762932328</v>
      </c>
      <c r="AL159">
        <f t="shared" si="59"/>
        <v>0.60150391839849626</v>
      </c>
    </row>
    <row r="160" spans="1:38" ht="15">
      <c r="A160" t="s">
        <v>343</v>
      </c>
      <c r="B160">
        <v>0</v>
      </c>
      <c r="C160">
        <v>0</v>
      </c>
      <c r="D160">
        <v>0</v>
      </c>
      <c r="E160">
        <v>0</v>
      </c>
      <c r="F160" t="s">
        <v>268</v>
      </c>
      <c r="G160" t="s">
        <v>178</v>
      </c>
      <c r="H160" t="s">
        <v>177</v>
      </c>
      <c r="I160">
        <v>191</v>
      </c>
      <c r="K160" t="str">
        <f t="shared" si="40"/>
        <v/>
      </c>
      <c r="L160" t="str">
        <f t="shared" si="41"/>
        <v>سائل جلي ليمون رابع خام</v>
      </c>
      <c r="M160" s="36">
        <f t="shared" si="42"/>
        <v>1</v>
      </c>
      <c r="N160" s="37">
        <f t="shared" si="43"/>
        <v>191</v>
      </c>
      <c r="O160" s="37">
        <f t="shared" si="44"/>
        <v>0</v>
      </c>
      <c r="P160" s="38">
        <f t="shared" si="45"/>
        <v>0</v>
      </c>
      <c r="Q160" s="39">
        <f t="shared" si="46"/>
        <v>0</v>
      </c>
      <c r="R160" s="39">
        <f t="shared" si="47"/>
        <v>0</v>
      </c>
      <c r="S160">
        <f t="shared" si="48"/>
        <v>0</v>
      </c>
      <c r="T160" s="39">
        <f t="shared" si="49"/>
        <v>0</v>
      </c>
      <c r="U160" t="str">
        <f t="shared" si="50"/>
        <v/>
      </c>
      <c r="V160">
        <f>IF(L160="","",IF($AO$1=1,IFERROR(MATCH(L160,'06-حزيران'!$L$2:$L$499,0),0),0))</f>
        <v>76</v>
      </c>
      <c r="W160" t="str">
        <f t="shared" si="51"/>
        <v/>
      </c>
      <c r="X160" s="38">
        <f>IF(L160="","",IF(V160&gt;0,INDEX('06-حزيران'!$P$2:$P$499,V160),IF($AO$1=1,0,"")))</f>
        <v>0</v>
      </c>
      <c r="Y160" s="38">
        <f t="shared" si="52"/>
        <v>0</v>
      </c>
      <c r="Z160" s="39">
        <f>IF(L160="","",IF(V160&gt;0,INDEX('06-حزيران'!$Q$2:$Q$499,V160),IF($AO$1=1,0,"")))</f>
        <v>0</v>
      </c>
      <c r="AA160" s="39">
        <f t="shared" si="53"/>
        <v>0</v>
      </c>
      <c r="AB160" s="40">
        <f>IF(OR(L160="",V160=0),"",IF(AND(N(I160)&gt;0,N(INDEX('06-حزيران'!$I$2:$I$499,V160))&gt;0,INDEX('06-حزيران'!$F$2:$F$499,V160)=F160),N(I160)/N(INDEX('06-حزيران'!$I$2:$I$499,V160))-1,""))</f>
        <v>0</v>
      </c>
      <c r="AC160" t="str">
        <f>IF(L160="","",IF(AND($AO$2=1,ISNA(MATCH(L160,'08-آب'!$L$2:$L$501,0))),"محذوف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1.6E-7</v>
      </c>
      <c r="AH160" s="39">
        <f t="shared" si="55"/>
        <v>0</v>
      </c>
      <c r="AI160" s="39">
        <f t="shared" si="56"/>
        <v>0</v>
      </c>
      <c r="AJ160" s="39">
        <f t="shared" si="57"/>
        <v>0</v>
      </c>
      <c r="AK160">
        <f t="shared" si="58"/>
        <v>1.6E-7</v>
      </c>
      <c r="AL160">
        <f t="shared" si="59"/>
        <v>1.6E-7</v>
      </c>
    </row>
    <row r="161" spans="1:38" ht="15">
      <c r="A161" t="s">
        <v>344</v>
      </c>
      <c r="B161">
        <v>0</v>
      </c>
      <c r="C161">
        <v>0</v>
      </c>
      <c r="D161">
        <v>0</v>
      </c>
      <c r="E161">
        <v>0</v>
      </c>
      <c r="F161" t="s">
        <v>268</v>
      </c>
      <c r="G161" t="s">
        <v>178</v>
      </c>
      <c r="H161" t="s">
        <v>177</v>
      </c>
      <c r="I161">
        <v>294</v>
      </c>
      <c r="K161" t="str">
        <f t="shared" si="40"/>
        <v/>
      </c>
      <c r="L161" t="str">
        <f t="shared" si="41"/>
        <v>سائل جلي ليمون ثاني خام</v>
      </c>
      <c r="M161" s="36">
        <f t="shared" si="42"/>
        <v>1</v>
      </c>
      <c r="N161" s="37">
        <f t="shared" si="43"/>
        <v>294</v>
      </c>
      <c r="O161" s="37">
        <f t="shared" si="44"/>
        <v>0</v>
      </c>
      <c r="P161" s="38">
        <f t="shared" si="45"/>
        <v>0</v>
      </c>
      <c r="Q161" s="39">
        <f t="shared" si="46"/>
        <v>0</v>
      </c>
      <c r="R161" s="39">
        <f t="shared" si="47"/>
        <v>0</v>
      </c>
      <c r="S161">
        <f t="shared" si="48"/>
        <v>0</v>
      </c>
      <c r="T161" s="39">
        <f t="shared" si="49"/>
        <v>0</v>
      </c>
      <c r="U161" t="str">
        <f t="shared" si="50"/>
        <v/>
      </c>
      <c r="V161">
        <f>IF(L161="","",IF($AO$1=1,IFERROR(MATCH(L161,'06-حزيران'!$L$2:$L$499,0),0),0))</f>
        <v>77</v>
      </c>
      <c r="W161" t="str">
        <f t="shared" si="51"/>
        <v/>
      </c>
      <c r="X161" s="38">
        <f>IF(L161="","",IF(V161&gt;0,INDEX('06-حزيران'!$P$2:$P$499,V161),IF($AO$1=1,0,"")))</f>
        <v>0</v>
      </c>
      <c r="Y161" s="38">
        <f t="shared" si="52"/>
        <v>0</v>
      </c>
      <c r="Z161" s="39">
        <f>IF(L161="","",IF(V161&gt;0,INDEX('06-حزيران'!$Q$2:$Q$499,V161),IF($AO$1=1,0,"")))</f>
        <v>0</v>
      </c>
      <c r="AA161" s="39">
        <f t="shared" si="53"/>
        <v>0</v>
      </c>
      <c r="AB161" s="40">
        <f>IF(OR(L161="",V161=0),"",IF(AND(N(I161)&gt;0,N(INDEX('06-حزيران'!$I$2:$I$499,V161))&gt;0,INDEX('06-حزيران'!$F$2:$F$499,V161)=F161),N(I161)/N(INDEX('06-حزيران'!$I$2:$I$499,V161))-1,""))</f>
        <v>0</v>
      </c>
      <c r="AC161" t="str">
        <f>IF(L161="","",IF(AND($AO$2=1,ISNA(MATCH(L161,'08-آب'!$L$2:$L$501,0))),"محذوف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1.61E-7</v>
      </c>
      <c r="AH161" s="39">
        <f t="shared" si="55"/>
        <v>0</v>
      </c>
      <c r="AI161" s="39">
        <f t="shared" si="56"/>
        <v>0</v>
      </c>
      <c r="AJ161" s="39">
        <f t="shared" si="57"/>
        <v>0</v>
      </c>
      <c r="AK161">
        <f t="shared" si="58"/>
        <v>1.61E-7</v>
      </c>
      <c r="AL161">
        <f t="shared" si="59"/>
        <v>1.61E-7</v>
      </c>
    </row>
    <row r="162" spans="1:38" ht="15">
      <c r="A162" t="s">
        <v>345</v>
      </c>
      <c r="B162">
        <v>0</v>
      </c>
      <c r="C162">
        <v>0</v>
      </c>
      <c r="D162">
        <v>0</v>
      </c>
      <c r="E162">
        <v>0</v>
      </c>
      <c r="F162" t="s">
        <v>268</v>
      </c>
      <c r="G162" t="s">
        <v>178</v>
      </c>
      <c r="H162" t="s">
        <v>177</v>
      </c>
      <c r="I162">
        <v>248</v>
      </c>
      <c r="K162" t="str">
        <f t="shared" si="40"/>
        <v/>
      </c>
      <c r="L162" t="str">
        <f t="shared" si="41"/>
        <v>سائل جلي ليمون ثالث خام</v>
      </c>
      <c r="M162" s="36">
        <f t="shared" si="42"/>
        <v>1</v>
      </c>
      <c r="N162" s="37">
        <f t="shared" si="43"/>
        <v>248</v>
      </c>
      <c r="O162" s="37">
        <f t="shared" si="44"/>
        <v>0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IF(L162="","",IF($AO$1=1,IFERROR(MATCH(L162,'06-حزيران'!$L$2:$L$499,0),0),0))</f>
        <v>78</v>
      </c>
      <c r="W162" t="str">
        <f t="shared" si="51"/>
        <v/>
      </c>
      <c r="X162" s="38">
        <f>IF(L162="","",IF(V162&gt;0,INDEX('06-حزيران'!$P$2:$P$499,V162),IF($AO$1=1,0,"")))</f>
        <v>0</v>
      </c>
      <c r="Y162" s="38">
        <f t="shared" si="52"/>
        <v>0</v>
      </c>
      <c r="Z162" s="39">
        <f>IF(L162="","",IF(V162&gt;0,INDEX('06-حزيران'!$Q$2:$Q$499,V162),IF($AO$1=1,0,"")))</f>
        <v>0</v>
      </c>
      <c r="AA162" s="39">
        <f t="shared" si="53"/>
        <v>0</v>
      </c>
      <c r="AB162" s="40">
        <f>IF(OR(L162="",V162=0),"",IF(AND(N(I162)&gt;0,N(INDEX('06-حزيران'!$I$2:$I$499,V162))&gt;0,INDEX('06-حزيران'!$F$2:$F$499,V162)=F162),N(I162)/N(INDEX('06-حزيران'!$I$2:$I$499,V162))-1,""))</f>
        <v>0</v>
      </c>
      <c r="AC162" t="str">
        <f>IF(L162="","",IF(AND($AO$2=1,ISNA(MATCH(L162,'08-آب'!$L$2:$L$501,0))),"محذوف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1.6199999999999999E-7</v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346</v>
      </c>
      <c r="B163">
        <v>0</v>
      </c>
      <c r="C163">
        <v>0</v>
      </c>
      <c r="D163">
        <v>0</v>
      </c>
      <c r="E163">
        <v>0</v>
      </c>
      <c r="F163" t="s">
        <v>268</v>
      </c>
      <c r="G163" t="s">
        <v>178</v>
      </c>
      <c r="H163" t="s">
        <v>177</v>
      </c>
      <c r="I163">
        <v>669</v>
      </c>
      <c r="K163" t="str">
        <f t="shared" si="40"/>
        <v/>
      </c>
      <c r="L163" t="str">
        <f t="shared" si="41"/>
        <v>سائل جلي ليمون اول خام</v>
      </c>
      <c r="M163" s="36">
        <f t="shared" si="42"/>
        <v>1</v>
      </c>
      <c r="N163" s="37">
        <f t="shared" si="43"/>
        <v>669</v>
      </c>
      <c r="O163" s="37">
        <f t="shared" si="44"/>
        <v>0</v>
      </c>
      <c r="P163" s="38">
        <f t="shared" si="45"/>
        <v>0</v>
      </c>
      <c r="Q163" s="39">
        <f t="shared" si="46"/>
        <v>0</v>
      </c>
      <c r="R163" s="39">
        <f t="shared" si="47"/>
        <v>0</v>
      </c>
      <c r="S163">
        <f t="shared" si="48"/>
        <v>0</v>
      </c>
      <c r="T163" s="39">
        <f t="shared" si="49"/>
        <v>0</v>
      </c>
      <c r="U163" t="str">
        <f t="shared" si="50"/>
        <v/>
      </c>
      <c r="V163">
        <f>IF(L163="","",IF($AO$1=1,IFERROR(MATCH(L163,'06-حزيران'!$L$2:$L$499,0),0),0))</f>
        <v>79</v>
      </c>
      <c r="W163" t="str">
        <f t="shared" si="51"/>
        <v/>
      </c>
      <c r="X163" s="38">
        <f>IF(L163="","",IF(V163&gt;0,INDEX('06-حزيران'!$P$2:$P$499,V163),IF($AO$1=1,0,"")))</f>
        <v>0</v>
      </c>
      <c r="Y163" s="38">
        <f t="shared" si="52"/>
        <v>0</v>
      </c>
      <c r="Z163" s="39">
        <f>IF(L163="","",IF(V163&gt;0,INDEX('06-حزيران'!$Q$2:$Q$499,V163),IF($AO$1=1,0,"")))</f>
        <v>0</v>
      </c>
      <c r="AA163" s="39">
        <f t="shared" si="53"/>
        <v>0</v>
      </c>
      <c r="AB163" s="40">
        <f>IF(OR(L163="",V163=0),"",IF(AND(N(I163)&gt;0,N(INDEX('06-حزيران'!$I$2:$I$499,V163))&gt;0,INDEX('06-حزيران'!$F$2:$F$499,V163)=F163),N(I163)/N(INDEX('06-حزيران'!$I$2:$I$499,V163))-1,""))</f>
        <v>0</v>
      </c>
      <c r="AC163" t="str">
        <f>IF(L163="","",IF(AND($AO$2=1,ISNA(MATCH(L163,'08-آب'!$L$2:$L$501,0))),"محذوف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1.6299999999999999E-7</v>
      </c>
      <c r="AH163" s="39">
        <f t="shared" si="55"/>
        <v>0</v>
      </c>
      <c r="AI163" s="39">
        <f t="shared" si="56"/>
        <v>0</v>
      </c>
      <c r="AJ163" s="39">
        <f t="shared" si="57"/>
        <v>0</v>
      </c>
      <c r="AK163">
        <f t="shared" si="58"/>
        <v>1.6299999999999999E-7</v>
      </c>
      <c r="AL163">
        <f t="shared" si="59"/>
        <v>1.6299999999999999E-7</v>
      </c>
    </row>
    <row r="164" spans="1:38" ht="15">
      <c r="A164" t="s">
        <v>347</v>
      </c>
      <c r="B164">
        <v>0</v>
      </c>
      <c r="C164">
        <v>0</v>
      </c>
      <c r="D164">
        <v>0</v>
      </c>
      <c r="E164">
        <v>0</v>
      </c>
      <c r="F164" t="s">
        <v>268</v>
      </c>
      <c r="G164" t="s">
        <v>178</v>
      </c>
      <c r="H164" t="s">
        <v>177</v>
      </c>
      <c r="I164">
        <v>191</v>
      </c>
      <c r="K164" t="str">
        <f t="shared" si="40"/>
        <v/>
      </c>
      <c r="L164" t="str">
        <f t="shared" si="41"/>
        <v>سائل جلي ليلك رابع خام</v>
      </c>
      <c r="M164" s="36">
        <f t="shared" si="42"/>
        <v>1</v>
      </c>
      <c r="N164" s="37">
        <f t="shared" si="43"/>
        <v>191</v>
      </c>
      <c r="O164" s="37">
        <f t="shared" si="44"/>
        <v>0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IF(L164="","",IF($AO$1=1,IFERROR(MATCH(L164,'06-حزيران'!$L$2:$L$499,0),0),0))</f>
        <v>80</v>
      </c>
      <c r="W164" t="str">
        <f t="shared" si="51"/>
        <v/>
      </c>
      <c r="X164" s="38">
        <f>IF(L164="","",IF(V164&gt;0,INDEX('06-حزيران'!$P$2:$P$499,V164),IF($AO$1=1,0,"")))</f>
        <v>0</v>
      </c>
      <c r="Y164" s="38">
        <f t="shared" si="52"/>
        <v>0</v>
      </c>
      <c r="Z164" s="39">
        <f>IF(L164="","",IF(V164&gt;0,INDEX('06-حزيران'!$Q$2:$Q$499,V164),IF($AO$1=1,0,"")))</f>
        <v>0</v>
      </c>
      <c r="AA164" s="39">
        <f t="shared" si="53"/>
        <v>0</v>
      </c>
      <c r="AB164" s="40">
        <f>IF(OR(L164="",V164=0),"",IF(AND(N(I164)&gt;0,N(INDEX('06-حزيران'!$I$2:$I$499,V164))&gt;0,INDEX('06-حزيران'!$F$2:$F$499,V164)=F164),N(I164)/N(INDEX('06-حزيران'!$I$2:$I$499,V164))-1,""))</f>
        <v>0</v>
      </c>
      <c r="AC164" t="str">
        <f>IF(L164="","",IF(AND($AO$2=1,ISNA(MATCH(L164,'08-آب'!$L$2:$L$501,0))),"محذوف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1.6400000000000001E-7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348</v>
      </c>
      <c r="B165">
        <v>0</v>
      </c>
      <c r="C165">
        <v>0</v>
      </c>
      <c r="D165">
        <v>0</v>
      </c>
      <c r="E165">
        <v>0</v>
      </c>
      <c r="F165" t="s">
        <v>268</v>
      </c>
      <c r="G165" t="s">
        <v>178</v>
      </c>
      <c r="H165" t="s">
        <v>177</v>
      </c>
      <c r="I165">
        <v>294</v>
      </c>
      <c r="K165" t="str">
        <f t="shared" si="40"/>
        <v/>
      </c>
      <c r="L165" t="str">
        <f t="shared" si="41"/>
        <v>سائل جلي ليلك ثاني خام</v>
      </c>
      <c r="M165" s="36">
        <f t="shared" si="42"/>
        <v>1</v>
      </c>
      <c r="N165" s="37">
        <f t="shared" si="43"/>
        <v>294</v>
      </c>
      <c r="O165" s="37">
        <f t="shared" si="44"/>
        <v>0</v>
      </c>
      <c r="P165" s="38">
        <f t="shared" si="45"/>
        <v>0</v>
      </c>
      <c r="Q165" s="39">
        <f t="shared" si="46"/>
        <v>0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IF(L165="","",IF($AO$1=1,IFERROR(MATCH(L165,'06-حزيران'!$L$2:$L$499,0),0),0))</f>
        <v>81</v>
      </c>
      <c r="W165" t="str">
        <f t="shared" si="51"/>
        <v/>
      </c>
      <c r="X165" s="38">
        <f>IF(L165="","",IF(V165&gt;0,INDEX('06-حزيران'!$P$2:$P$499,V165),IF($AO$1=1,0,"")))</f>
        <v>0</v>
      </c>
      <c r="Y165" s="38">
        <f t="shared" si="52"/>
        <v>0</v>
      </c>
      <c r="Z165" s="39">
        <f>IF(L165="","",IF(V165&gt;0,INDEX('06-حزيران'!$Q$2:$Q$499,V165),IF($AO$1=1,0,"")))</f>
        <v>0</v>
      </c>
      <c r="AA165" s="39">
        <f t="shared" si="53"/>
        <v>0</v>
      </c>
      <c r="AB165" s="40">
        <f>IF(OR(L165="",V165=0),"",IF(AND(N(I165)&gt;0,N(INDEX('06-حزيران'!$I$2:$I$499,V165))&gt;0,INDEX('06-حزيران'!$F$2:$F$499,V165)=F165),N(I165)/N(INDEX('06-حزيران'!$I$2:$I$499,V165))-1,""))</f>
        <v>0</v>
      </c>
      <c r="AC165" t="str">
        <f>IF(L165="","",IF(AND($AO$2=1,ISNA(MATCH(L165,'08-آب'!$L$2:$L$501,0))),"محذوف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1.6500000000000001E-7</v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1.6500000000000001E-7</v>
      </c>
      <c r="AL165">
        <f t="shared" si="59"/>
        <v>1.6500000000000001E-7</v>
      </c>
    </row>
    <row r="166" spans="1:38" ht="15">
      <c r="A166" t="s">
        <v>349</v>
      </c>
      <c r="B166">
        <v>0</v>
      </c>
      <c r="C166">
        <v>0</v>
      </c>
      <c r="D166">
        <v>0</v>
      </c>
      <c r="E166">
        <v>0</v>
      </c>
      <c r="F166" t="s">
        <v>268</v>
      </c>
      <c r="G166" t="s">
        <v>178</v>
      </c>
      <c r="H166" t="s">
        <v>177</v>
      </c>
      <c r="I166">
        <v>294</v>
      </c>
      <c r="K166" t="str">
        <f t="shared" si="40"/>
        <v/>
      </c>
      <c r="L166" t="str">
        <f t="shared" si="41"/>
        <v>سائل جلي ليلك ثالث خام</v>
      </c>
      <c r="M166" s="36">
        <f t="shared" si="42"/>
        <v>1</v>
      </c>
      <c r="N166" s="37">
        <f t="shared" si="43"/>
        <v>294</v>
      </c>
      <c r="O166" s="37">
        <f t="shared" si="44"/>
        <v>0</v>
      </c>
      <c r="P166" s="38">
        <f t="shared" si="45"/>
        <v>0</v>
      </c>
      <c r="Q166" s="39">
        <f t="shared" si="46"/>
        <v>0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IF(L166="","",IF($AO$1=1,IFERROR(MATCH(L166,'06-حزيران'!$L$2:$L$499,0),0),0))</f>
        <v>82</v>
      </c>
      <c r="W166" t="str">
        <f t="shared" si="51"/>
        <v/>
      </c>
      <c r="X166" s="38">
        <f>IF(L166="","",IF(V166&gt;0,INDEX('06-حزيران'!$P$2:$P$499,V166),IF($AO$1=1,0,"")))</f>
        <v>0</v>
      </c>
      <c r="Y166" s="38">
        <f t="shared" si="52"/>
        <v>0</v>
      </c>
      <c r="Z166" s="39">
        <f>IF(L166="","",IF(V166&gt;0,INDEX('06-حزيران'!$Q$2:$Q$499,V166),IF($AO$1=1,0,"")))</f>
        <v>0</v>
      </c>
      <c r="AA166" s="39">
        <f t="shared" si="53"/>
        <v>0</v>
      </c>
      <c r="AB166" s="40">
        <f>IF(OR(L166="",V166=0),"",IF(AND(N(I166)&gt;0,N(INDEX('06-حزيران'!$I$2:$I$499,V166))&gt;0,INDEX('06-حزيران'!$F$2:$F$499,V166)=F166),N(I166)/N(INDEX('06-حزيران'!$I$2:$I$499,V166))-1,""))</f>
        <v>0</v>
      </c>
      <c r="AC166" t="str">
        <f>IF(L166="","",IF(AND($AO$2=1,ISNA(MATCH(L166,'08-آب'!$L$2:$L$501,0))),"محذوف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1.66E-7</v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1.66E-7</v>
      </c>
      <c r="AL166">
        <f t="shared" si="59"/>
        <v>1.66E-7</v>
      </c>
    </row>
    <row r="167" spans="1:38" ht="15">
      <c r="A167" t="s">
        <v>350</v>
      </c>
      <c r="B167">
        <v>0</v>
      </c>
      <c r="C167">
        <v>0</v>
      </c>
      <c r="D167">
        <v>0</v>
      </c>
      <c r="E167">
        <v>0</v>
      </c>
      <c r="F167" t="s">
        <v>268</v>
      </c>
      <c r="G167" t="s">
        <v>178</v>
      </c>
      <c r="H167" t="s">
        <v>177</v>
      </c>
      <c r="I167">
        <v>669</v>
      </c>
      <c r="K167" t="str">
        <f t="shared" si="40"/>
        <v/>
      </c>
      <c r="L167" t="str">
        <f t="shared" si="41"/>
        <v>سائل جلي ليلك اول خام</v>
      </c>
      <c r="M167" s="36">
        <f t="shared" si="42"/>
        <v>1</v>
      </c>
      <c r="N167" s="37">
        <f t="shared" si="43"/>
        <v>669</v>
      </c>
      <c r="O167" s="37">
        <f t="shared" si="44"/>
        <v>0</v>
      </c>
      <c r="P167" s="38">
        <f t="shared" si="45"/>
        <v>0</v>
      </c>
      <c r="Q167" s="39">
        <f t="shared" si="46"/>
        <v>0</v>
      </c>
      <c r="R167" s="39">
        <f t="shared" si="47"/>
        <v>0</v>
      </c>
      <c r="S167">
        <f t="shared" si="48"/>
        <v>0</v>
      </c>
      <c r="T167" s="39">
        <f t="shared" si="49"/>
        <v>0</v>
      </c>
      <c r="U167" t="str">
        <f t="shared" si="50"/>
        <v/>
      </c>
      <c r="V167">
        <f>IF(L167="","",IF($AO$1=1,IFERROR(MATCH(L167,'06-حزيران'!$L$2:$L$499,0),0),0))</f>
        <v>83</v>
      </c>
      <c r="W167" t="str">
        <f t="shared" si="51"/>
        <v/>
      </c>
      <c r="X167" s="38">
        <f>IF(L167="","",IF(V167&gt;0,INDEX('06-حزيران'!$P$2:$P$499,V167),IF($AO$1=1,0,"")))</f>
        <v>0</v>
      </c>
      <c r="Y167" s="38">
        <f t="shared" si="52"/>
        <v>0</v>
      </c>
      <c r="Z167" s="39">
        <f>IF(L167="","",IF(V167&gt;0,INDEX('06-حزيران'!$Q$2:$Q$499,V167),IF($AO$1=1,0,"")))</f>
        <v>0</v>
      </c>
      <c r="AA167" s="39">
        <f t="shared" si="53"/>
        <v>0</v>
      </c>
      <c r="AB167" s="40">
        <f>IF(OR(L167="",V167=0),"",IF(AND(N(I167)&gt;0,N(INDEX('06-حزيران'!$I$2:$I$499,V167))&gt;0,INDEX('06-حزيران'!$F$2:$F$499,V167)=F167),N(I167)/N(INDEX('06-حزيران'!$I$2:$I$499,V167))-1,""))</f>
        <v>0</v>
      </c>
      <c r="AC167" t="str">
        <f>IF(L167="","",IF(AND($AO$2=1,ISNA(MATCH(L167,'08-آب'!$L$2:$L$501,0))),"محذوف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1.67E-7</v>
      </c>
      <c r="AH167" s="39">
        <f t="shared" si="55"/>
        <v>0</v>
      </c>
      <c r="AI167" s="39">
        <f t="shared" si="56"/>
        <v>0</v>
      </c>
      <c r="AJ167" s="39">
        <f t="shared" si="57"/>
        <v>0</v>
      </c>
      <c r="AK167">
        <f t="shared" si="58"/>
        <v>1.67E-7</v>
      </c>
      <c r="AL167">
        <f t="shared" si="59"/>
        <v>1.67E-7</v>
      </c>
    </row>
    <row r="168" spans="1:38" ht="15">
      <c r="A168" t="s">
        <v>351</v>
      </c>
      <c r="B168">
        <v>0</v>
      </c>
      <c r="C168">
        <v>0</v>
      </c>
      <c r="D168">
        <v>0</v>
      </c>
      <c r="E168">
        <v>0</v>
      </c>
      <c r="F168" t="s">
        <v>268</v>
      </c>
      <c r="G168" t="s">
        <v>178</v>
      </c>
      <c r="H168" t="s">
        <v>177</v>
      </c>
      <c r="I168">
        <v>191</v>
      </c>
      <c r="K168" t="str">
        <f t="shared" si="40"/>
        <v/>
      </c>
      <c r="L168" t="str">
        <f t="shared" si="41"/>
        <v>سائل جلي فريز رابع خام</v>
      </c>
      <c r="M168" s="36">
        <f t="shared" si="42"/>
        <v>1</v>
      </c>
      <c r="N168" s="37">
        <f t="shared" si="43"/>
        <v>191</v>
      </c>
      <c r="O168" s="37">
        <f t="shared" si="44"/>
        <v>0</v>
      </c>
      <c r="P168" s="38">
        <f t="shared" si="45"/>
        <v>0</v>
      </c>
      <c r="Q168" s="39">
        <f t="shared" si="46"/>
        <v>0</v>
      </c>
      <c r="R168" s="39">
        <f t="shared" si="47"/>
        <v>0</v>
      </c>
      <c r="S168">
        <f t="shared" si="48"/>
        <v>0</v>
      </c>
      <c r="T168" s="39">
        <f t="shared" si="49"/>
        <v>0</v>
      </c>
      <c r="U168" t="str">
        <f t="shared" si="50"/>
        <v/>
      </c>
      <c r="V168">
        <f>IF(L168="","",IF($AO$1=1,IFERROR(MATCH(L168,'06-حزيران'!$L$2:$L$499,0),0),0))</f>
        <v>84</v>
      </c>
      <c r="W168" t="str">
        <f t="shared" si="51"/>
        <v/>
      </c>
      <c r="X168" s="38">
        <f>IF(L168="","",IF(V168&gt;0,INDEX('06-حزيران'!$P$2:$P$499,V168),IF($AO$1=1,0,"")))</f>
        <v>0</v>
      </c>
      <c r="Y168" s="38">
        <f t="shared" si="52"/>
        <v>0</v>
      </c>
      <c r="Z168" s="39">
        <f>IF(L168="","",IF(V168&gt;0,INDEX('06-حزيران'!$Q$2:$Q$499,V168),IF($AO$1=1,0,"")))</f>
        <v>0</v>
      </c>
      <c r="AA168" s="39">
        <f t="shared" si="53"/>
        <v>0</v>
      </c>
      <c r="AB168" s="40">
        <f>IF(OR(L168="",V168=0),"",IF(AND(N(I168)&gt;0,N(INDEX('06-حزيران'!$I$2:$I$499,V168))&gt;0,INDEX('06-حزيران'!$F$2:$F$499,V168)=F168),N(I168)/N(INDEX('06-حزيران'!$I$2:$I$499,V168))-1,""))</f>
        <v>0</v>
      </c>
      <c r="AC168" t="str">
        <f>IF(L168="","",IF(AND($AO$2=1,ISNA(MATCH(L168,'08-آب'!$L$2:$L$501,0))),"محذوف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1.68E-7</v>
      </c>
      <c r="AH168" s="39">
        <f t="shared" si="55"/>
        <v>0</v>
      </c>
      <c r="AI168" s="39">
        <f t="shared" si="56"/>
        <v>0</v>
      </c>
      <c r="AJ168" s="39">
        <f t="shared" si="57"/>
        <v>0</v>
      </c>
      <c r="AK168">
        <f t="shared" si="58"/>
        <v>1.68E-7</v>
      </c>
      <c r="AL168">
        <f t="shared" si="59"/>
        <v>1.68E-7</v>
      </c>
    </row>
    <row r="169" spans="1:38" ht="15">
      <c r="A169" t="s">
        <v>352</v>
      </c>
      <c r="B169">
        <v>0</v>
      </c>
      <c r="C169">
        <v>0</v>
      </c>
      <c r="D169">
        <v>0</v>
      </c>
      <c r="E169">
        <v>0</v>
      </c>
      <c r="F169" t="s">
        <v>268</v>
      </c>
      <c r="G169" t="s">
        <v>178</v>
      </c>
      <c r="H169" t="s">
        <v>177</v>
      </c>
      <c r="I169">
        <v>294</v>
      </c>
      <c r="K169" t="str">
        <f t="shared" si="40"/>
        <v/>
      </c>
      <c r="L169" t="str">
        <f t="shared" si="41"/>
        <v>سائل جلي فريز ثاني خام</v>
      </c>
      <c r="M169" s="36">
        <f t="shared" si="42"/>
        <v>1</v>
      </c>
      <c r="N169" s="37">
        <f t="shared" si="43"/>
        <v>294</v>
      </c>
      <c r="O169" s="37">
        <f t="shared" si="44"/>
        <v>0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IF(L169="","",IF($AO$1=1,IFERROR(MATCH(L169,'06-حزيران'!$L$2:$L$499,0),0),0))</f>
        <v>85</v>
      </c>
      <c r="W169" t="str">
        <f t="shared" si="51"/>
        <v/>
      </c>
      <c r="X169" s="38">
        <f>IF(L169="","",IF(V169&gt;0,INDEX('06-حزيران'!$P$2:$P$499,V169),IF($AO$1=1,0,"")))</f>
        <v>0</v>
      </c>
      <c r="Y169" s="38">
        <f t="shared" si="52"/>
        <v>0</v>
      </c>
      <c r="Z169" s="39">
        <f>IF(L169="","",IF(V169&gt;0,INDEX('06-حزيران'!$Q$2:$Q$499,V169),IF($AO$1=1,0,"")))</f>
        <v>0</v>
      </c>
      <c r="AA169" s="39">
        <f t="shared" si="53"/>
        <v>0</v>
      </c>
      <c r="AB169" s="40">
        <f>IF(OR(L169="",V169=0),"",IF(AND(N(I169)&gt;0,N(INDEX('06-حزيران'!$I$2:$I$499,V169))&gt;0,INDEX('06-حزيران'!$F$2:$F$499,V169)=F169),N(I169)/N(INDEX('06-حزيران'!$I$2:$I$499,V169))-1,""))</f>
        <v>0</v>
      </c>
      <c r="AC169" t="str">
        <f>IF(L169="","",IF(AND($AO$2=1,ISNA(MATCH(L169,'08-آب'!$L$2:$L$501,0))),"محذوف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353</v>
      </c>
      <c r="B170">
        <v>0</v>
      </c>
      <c r="C170">
        <v>0</v>
      </c>
      <c r="D170">
        <v>0</v>
      </c>
      <c r="E170">
        <v>0</v>
      </c>
      <c r="F170" t="s">
        <v>268</v>
      </c>
      <c r="G170" t="s">
        <v>178</v>
      </c>
      <c r="H170" t="s">
        <v>177</v>
      </c>
      <c r="I170">
        <v>248</v>
      </c>
      <c r="K170" t="str">
        <f t="shared" si="40"/>
        <v/>
      </c>
      <c r="L170" t="str">
        <f t="shared" si="41"/>
        <v>سائل جلي فريز ثالث خام</v>
      </c>
      <c r="M170" s="36">
        <f t="shared" si="42"/>
        <v>1</v>
      </c>
      <c r="N170" s="37">
        <f t="shared" si="43"/>
        <v>248</v>
      </c>
      <c r="O170" s="37">
        <f t="shared" si="44"/>
        <v>0</v>
      </c>
      <c r="P170" s="38">
        <f t="shared" si="45"/>
        <v>0</v>
      </c>
      <c r="Q170" s="39">
        <f t="shared" si="46"/>
        <v>0</v>
      </c>
      <c r="R170" s="39">
        <f t="shared" si="47"/>
        <v>0</v>
      </c>
      <c r="S170">
        <f t="shared" si="48"/>
        <v>0</v>
      </c>
      <c r="T170" s="39">
        <f t="shared" si="49"/>
        <v>0</v>
      </c>
      <c r="U170" t="str">
        <f t="shared" si="50"/>
        <v/>
      </c>
      <c r="V170">
        <f>IF(L170="","",IF($AO$1=1,IFERROR(MATCH(L170,'06-حزيران'!$L$2:$L$499,0),0),0))</f>
        <v>86</v>
      </c>
      <c r="W170" t="str">
        <f t="shared" si="51"/>
        <v/>
      </c>
      <c r="X170" s="38">
        <f>IF(L170="","",IF(V170&gt;0,INDEX('06-حزيران'!$P$2:$P$499,V170),IF($AO$1=1,0,"")))</f>
        <v>0</v>
      </c>
      <c r="Y170" s="38">
        <f t="shared" si="52"/>
        <v>0</v>
      </c>
      <c r="Z170" s="39">
        <f>IF(L170="","",IF(V170&gt;0,INDEX('06-حزيران'!$Q$2:$Q$499,V170),IF($AO$1=1,0,"")))</f>
        <v>0</v>
      </c>
      <c r="AA170" s="39">
        <f t="shared" si="53"/>
        <v>0</v>
      </c>
      <c r="AB170" s="40">
        <f>IF(OR(L170="",V170=0),"",IF(AND(N(I170)&gt;0,N(INDEX('06-حزيران'!$I$2:$I$499,V170))&gt;0,INDEX('06-حزيران'!$F$2:$F$499,V170)=F170),N(I170)/N(INDEX('06-حزيران'!$I$2:$I$499,V170))-1,""))</f>
        <v>0</v>
      </c>
      <c r="AC170" t="str">
        <f>IF(L170="","",IF(AND($AO$2=1,ISNA(MATCH(L170,'08-آب'!$L$2:$L$501,0))),"محذوف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1.6999999999999999E-7</v>
      </c>
      <c r="AH170" s="39">
        <f t="shared" si="55"/>
        <v>0</v>
      </c>
      <c r="AI170" s="39">
        <f t="shared" si="56"/>
        <v>0</v>
      </c>
      <c r="AJ170" s="39">
        <f t="shared" si="57"/>
        <v>0</v>
      </c>
      <c r="AK170">
        <f t="shared" si="58"/>
        <v>1.6999999999999999E-7</v>
      </c>
      <c r="AL170">
        <f t="shared" si="59"/>
        <v>1.6999999999999999E-7</v>
      </c>
    </row>
    <row r="171" spans="1:38" ht="15">
      <c r="A171" t="s">
        <v>354</v>
      </c>
      <c r="B171">
        <v>0</v>
      </c>
      <c r="C171">
        <v>0</v>
      </c>
      <c r="D171">
        <v>0</v>
      </c>
      <c r="E171">
        <v>0</v>
      </c>
      <c r="F171" t="s">
        <v>268</v>
      </c>
      <c r="G171" t="s">
        <v>178</v>
      </c>
      <c r="H171" t="s">
        <v>177</v>
      </c>
      <c r="I171">
        <v>669</v>
      </c>
      <c r="K171" t="str">
        <f t="shared" si="40"/>
        <v/>
      </c>
      <c r="L171" t="str">
        <f t="shared" si="41"/>
        <v>سائل جلي فريز اول خام</v>
      </c>
      <c r="M171" s="36">
        <f t="shared" si="42"/>
        <v>1</v>
      </c>
      <c r="N171" s="37">
        <f t="shared" si="43"/>
        <v>669</v>
      </c>
      <c r="O171" s="37">
        <f t="shared" si="44"/>
        <v>0</v>
      </c>
      <c r="P171" s="38">
        <f t="shared" si="45"/>
        <v>0</v>
      </c>
      <c r="Q171" s="39">
        <f t="shared" si="46"/>
        <v>0</v>
      </c>
      <c r="R171" s="39">
        <f t="shared" si="47"/>
        <v>0</v>
      </c>
      <c r="S171">
        <f t="shared" si="48"/>
        <v>0</v>
      </c>
      <c r="T171" s="39">
        <f t="shared" si="49"/>
        <v>0</v>
      </c>
      <c r="U171" t="str">
        <f t="shared" si="50"/>
        <v/>
      </c>
      <c r="V171">
        <f>IF(L171="","",IF($AO$1=1,IFERROR(MATCH(L171,'06-حزيران'!$L$2:$L$499,0),0),0))</f>
        <v>87</v>
      </c>
      <c r="W171" t="str">
        <f t="shared" si="51"/>
        <v/>
      </c>
      <c r="X171" s="38">
        <f>IF(L171="","",IF(V171&gt;0,INDEX('06-حزيران'!$P$2:$P$499,V171),IF($AO$1=1,0,"")))</f>
        <v>0</v>
      </c>
      <c r="Y171" s="38">
        <f t="shared" si="52"/>
        <v>0</v>
      </c>
      <c r="Z171" s="39">
        <f>IF(L171="","",IF(V171&gt;0,INDEX('06-حزيران'!$Q$2:$Q$499,V171),IF($AO$1=1,0,"")))</f>
        <v>0</v>
      </c>
      <c r="AA171" s="39">
        <f t="shared" si="53"/>
        <v>0</v>
      </c>
      <c r="AB171" s="40">
        <f>IF(OR(L171="",V171=0),"",IF(AND(N(I171)&gt;0,N(INDEX('06-حزيران'!$I$2:$I$499,V171))&gt;0,INDEX('06-حزيران'!$F$2:$F$499,V171)=F171),N(I171)/N(INDEX('06-حزيران'!$I$2:$I$499,V171))-1,""))</f>
        <v>0</v>
      </c>
      <c r="AC171" t="str">
        <f>IF(L171="","",IF(AND($AO$2=1,ISNA(MATCH(L171,'08-آب'!$L$2:$L$501,0))),"محذوف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1.7100000000000001E-7</v>
      </c>
      <c r="AH171" s="39">
        <f t="shared" si="55"/>
        <v>0</v>
      </c>
      <c r="AI171" s="39">
        <f t="shared" si="56"/>
        <v>0</v>
      </c>
      <c r="AJ171" s="39">
        <f t="shared" si="57"/>
        <v>0</v>
      </c>
      <c r="AK171">
        <f t="shared" si="58"/>
        <v>1.7100000000000001E-7</v>
      </c>
      <c r="AL171">
        <f t="shared" si="59"/>
        <v>1.7100000000000001E-7</v>
      </c>
    </row>
    <row r="172" spans="1:38" ht="15">
      <c r="A172" t="s">
        <v>470</v>
      </c>
      <c r="B172">
        <v>0</v>
      </c>
      <c r="C172">
        <v>4000</v>
      </c>
      <c r="D172">
        <v>4000</v>
      </c>
      <c r="E172">
        <v>4000</v>
      </c>
      <c r="F172" t="s">
        <v>389</v>
      </c>
      <c r="G172" t="s">
        <v>178</v>
      </c>
      <c r="H172" t="s">
        <v>12</v>
      </c>
      <c r="I172">
        <v>2300</v>
      </c>
      <c r="K172" t="str">
        <f t="shared" si="40"/>
        <v/>
      </c>
      <c r="L172" t="str">
        <f t="shared" si="41"/>
        <v>سائل جلي شفاف مع عطر / فرط</v>
      </c>
      <c r="M172" s="36">
        <f t="shared" si="42"/>
        <v>7.5187969924812026E-5</v>
      </c>
      <c r="N172" s="37">
        <f t="shared" si="43"/>
        <v>0.17293233082706766</v>
      </c>
      <c r="O172" s="37">
        <f t="shared" si="44"/>
        <v>0.3007518796992481</v>
      </c>
      <c r="P172" s="38">
        <f t="shared" si="45"/>
        <v>0</v>
      </c>
      <c r="Q172" s="39">
        <f t="shared" si="46"/>
        <v>0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IF(L172="","",IF($AO$1=1,IFERROR(MATCH(L172,'06-حزيران'!$L$2:$L$499,0),0),0))</f>
        <v>202</v>
      </c>
      <c r="W172" t="str">
        <f t="shared" si="51"/>
        <v/>
      </c>
      <c r="X172" s="38">
        <f>IF(L172="","",IF(V172&gt;0,INDEX('06-حزيران'!$P$2:$P$499,V172),IF($AO$1=1,0,"")))</f>
        <v>0</v>
      </c>
      <c r="Y172" s="38">
        <f t="shared" si="52"/>
        <v>0</v>
      </c>
      <c r="Z172" s="39">
        <f>IF(L172="","",IF(V172&gt;0,INDEX('06-حزيران'!$Q$2:$Q$499,V172),IF($AO$1=1,0,"")))</f>
        <v>0</v>
      </c>
      <c r="AA172" s="39">
        <f t="shared" si="53"/>
        <v>0</v>
      </c>
      <c r="AB172" s="40">
        <f>IF(OR(L172="",V172=0),"",IF(AND(N(I172)&gt;0,N(INDEX('06-حزيران'!$I$2:$I$499,V172))&gt;0,INDEX('06-حزيران'!$F$2:$F$499,V172)=F172),N(I172)/N(INDEX('06-حزيران'!$I$2:$I$499,V172))-1,""))</f>
        <v>0</v>
      </c>
      <c r="AC172" t="str">
        <f>IF(L172="","",IF(AND($AO$2=1,ISNA(MATCH(L172,'08-آب'!$L$2:$L$501,0))),"محذوف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1.72E-7</v>
      </c>
      <c r="AL172">
        <f t="shared" si="59"/>
        <v>1.72E-7</v>
      </c>
    </row>
    <row r="173" spans="1:38" ht="15">
      <c r="A173" t="s">
        <v>355</v>
      </c>
      <c r="B173">
        <v>0</v>
      </c>
      <c r="C173">
        <v>0</v>
      </c>
      <c r="D173">
        <v>0</v>
      </c>
      <c r="E173">
        <v>0</v>
      </c>
      <c r="F173" t="s">
        <v>268</v>
      </c>
      <c r="G173" t="s">
        <v>178</v>
      </c>
      <c r="H173" t="s">
        <v>177</v>
      </c>
      <c r="I173">
        <v>185</v>
      </c>
      <c r="K173" t="str">
        <f t="shared" si="40"/>
        <v/>
      </c>
      <c r="L173" t="str">
        <f t="shared" si="41"/>
        <v>سائل جلي سادة رابع خام</v>
      </c>
      <c r="M173" s="36">
        <f t="shared" si="42"/>
        <v>1</v>
      </c>
      <c r="N173" s="37">
        <f t="shared" si="43"/>
        <v>185</v>
      </c>
      <c r="O173" s="37">
        <f t="shared" si="44"/>
        <v>0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IF(L173="","",IF($AO$1=1,IFERROR(MATCH(L173,'06-حزيران'!$L$2:$L$499,0),0),0))</f>
        <v>88</v>
      </c>
      <c r="W173" t="str">
        <f t="shared" si="51"/>
        <v/>
      </c>
      <c r="X173" s="38">
        <f>IF(L173="","",IF(V173&gt;0,INDEX('06-حزيران'!$P$2:$P$499,V173),IF($AO$1=1,0,"")))</f>
        <v>0</v>
      </c>
      <c r="Y173" s="38">
        <f t="shared" si="52"/>
        <v>0</v>
      </c>
      <c r="Z173" s="39">
        <f>IF(L173="","",IF(V173&gt;0,INDEX('06-حزيران'!$Q$2:$Q$499,V173),IF($AO$1=1,0,"")))</f>
        <v>0</v>
      </c>
      <c r="AA173" s="39">
        <f t="shared" si="53"/>
        <v>0</v>
      </c>
      <c r="AB173" s="40">
        <f>IF(OR(L173="",V173=0),"",IF(AND(N(I173)&gt;0,N(INDEX('06-حزيران'!$I$2:$I$499,V173))&gt;0,INDEX('06-حزيران'!$F$2:$F$499,V173)=F173),N(I173)/N(INDEX('06-حزيران'!$I$2:$I$499,V173))-1,""))</f>
        <v>0</v>
      </c>
      <c r="AC173" t="str">
        <f>IF(L173="","",IF(AND($AO$2=1,ISNA(MATCH(L173,'08-آب'!$L$2:$L$501,0))),"محذوف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1.73E-7</v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356</v>
      </c>
      <c r="B174">
        <v>0</v>
      </c>
      <c r="C174">
        <v>0</v>
      </c>
      <c r="D174">
        <v>0</v>
      </c>
      <c r="E174">
        <v>0</v>
      </c>
      <c r="F174" t="s">
        <v>268</v>
      </c>
      <c r="G174" t="s">
        <v>178</v>
      </c>
      <c r="H174" t="s">
        <v>177</v>
      </c>
      <c r="I174">
        <v>340</v>
      </c>
      <c r="K174" t="str">
        <f t="shared" si="40"/>
        <v/>
      </c>
      <c r="L174" t="str">
        <f t="shared" si="41"/>
        <v>سائل جلي سادة ثاني خام</v>
      </c>
      <c r="M174" s="36">
        <f t="shared" si="42"/>
        <v>1</v>
      </c>
      <c r="N174" s="37">
        <f t="shared" si="43"/>
        <v>340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IF(L174="","",IF($AO$1=1,IFERROR(MATCH(L174,'06-حزيران'!$L$2:$L$499,0),0),0))</f>
        <v>89</v>
      </c>
      <c r="W174" t="str">
        <f t="shared" si="51"/>
        <v/>
      </c>
      <c r="X174" s="38">
        <f>IF(L174="","",IF(V174&gt;0,INDEX('06-حزيران'!$P$2:$P$499,V174),IF($AO$1=1,0,"")))</f>
        <v>0</v>
      </c>
      <c r="Y174" s="38">
        <f t="shared" si="52"/>
        <v>0</v>
      </c>
      <c r="Z174" s="39">
        <f>IF(L174="","",IF(V174&gt;0,INDEX('06-حزيران'!$Q$2:$Q$499,V174),IF($AO$1=1,0,"")))</f>
        <v>0</v>
      </c>
      <c r="AA174" s="39">
        <f t="shared" si="53"/>
        <v>0</v>
      </c>
      <c r="AB174" s="40">
        <f>IF(OR(L174="",V174=0),"",IF(AND(N(I174)&gt;0,N(INDEX('06-حزيران'!$I$2:$I$499,V174))&gt;0,INDEX('06-حزيران'!$F$2:$F$499,V174)=F174),N(I174)/N(INDEX('06-حزيران'!$I$2:$I$499,V174))-1,""))</f>
        <v>0</v>
      </c>
      <c r="AC174" t="str">
        <f>IF(L174="","",IF(AND($AO$2=1,ISNA(MATCH(L174,'08-آب'!$L$2:$L$501,0))),"محذوف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1.74E-7</v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357</v>
      </c>
      <c r="B175">
        <v>0</v>
      </c>
      <c r="C175">
        <v>0</v>
      </c>
      <c r="D175">
        <v>0</v>
      </c>
      <c r="E175">
        <v>0</v>
      </c>
      <c r="F175" t="s">
        <v>268</v>
      </c>
      <c r="G175" t="s">
        <v>178</v>
      </c>
      <c r="H175" t="s">
        <v>177</v>
      </c>
      <c r="I175">
        <v>242</v>
      </c>
      <c r="K175" t="str">
        <f t="shared" si="40"/>
        <v/>
      </c>
      <c r="L175" t="str">
        <f t="shared" si="41"/>
        <v>سائل جلي سادة ثالث خام</v>
      </c>
      <c r="M175" s="36">
        <f t="shared" si="42"/>
        <v>1</v>
      </c>
      <c r="N175" s="37">
        <f t="shared" si="43"/>
        <v>242</v>
      </c>
      <c r="O175" s="37">
        <f t="shared" si="44"/>
        <v>0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IF(L175="","",IF($AO$1=1,IFERROR(MATCH(L175,'06-حزيران'!$L$2:$L$499,0),0),0))</f>
        <v>90</v>
      </c>
      <c r="W175" t="str">
        <f t="shared" si="51"/>
        <v/>
      </c>
      <c r="X175" s="38">
        <f>IF(L175="","",IF(V175&gt;0,INDEX('06-حزيران'!$P$2:$P$499,V175),IF($AO$1=1,0,"")))</f>
        <v>0</v>
      </c>
      <c r="Y175" s="38">
        <f t="shared" si="52"/>
        <v>0</v>
      </c>
      <c r="Z175" s="39">
        <f>IF(L175="","",IF(V175&gt;0,INDEX('06-حزيران'!$Q$2:$Q$499,V175),IF($AO$1=1,0,"")))</f>
        <v>0</v>
      </c>
      <c r="AA175" s="39">
        <f t="shared" si="53"/>
        <v>0</v>
      </c>
      <c r="AB175" s="40">
        <f>IF(OR(L175="",V175=0),"",IF(AND(N(I175)&gt;0,N(INDEX('06-حزيران'!$I$2:$I$499,V175))&gt;0,INDEX('06-حزيران'!$F$2:$F$499,V175)=F175),N(I175)/N(INDEX('06-حزيران'!$I$2:$I$499,V175))-1,""))</f>
        <v>0</v>
      </c>
      <c r="AC175" t="str">
        <f>IF(L175="","",IF(AND($AO$2=1,ISNA(MATCH(L175,'08-آب'!$L$2:$L$501,0))),"محذوف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1.7499999999999999E-7</v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358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0</v>
      </c>
      <c r="K176" t="str">
        <f t="shared" si="40"/>
        <v/>
      </c>
      <c r="L176" t="str">
        <f t="shared" si="41"/>
        <v>سائل جلي سادة اول خام 500 كغ</v>
      </c>
      <c r="M176" s="36">
        <f t="shared" si="42"/>
        <v>1</v>
      </c>
      <c r="N176" s="37">
        <f t="shared" si="43"/>
        <v>0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IF(L176="","",IF($AO$1=1,IFERROR(MATCH(L176,'06-حزيران'!$L$2:$L$499,0),0),0))</f>
        <v>91</v>
      </c>
      <c r="W176" t="str">
        <f t="shared" si="51"/>
        <v/>
      </c>
      <c r="X176" s="38">
        <f>IF(L176="","",IF(V176&gt;0,INDEX('06-حزيران'!$P$2:$P$499,V176),IF($AO$1=1,0,"")))</f>
        <v>0</v>
      </c>
      <c r="Y176" s="38">
        <f t="shared" si="52"/>
        <v>0</v>
      </c>
      <c r="Z176" s="39">
        <f>IF(L176="","",IF(V176&gt;0,INDEX('06-حزيران'!$Q$2:$Q$499,V176),IF($AO$1=1,0,"")))</f>
        <v>0</v>
      </c>
      <c r="AA176" s="39">
        <f t="shared" si="53"/>
        <v>0</v>
      </c>
      <c r="AB176" s="40" t="str">
        <f>IF(OR(L176="",V176=0),"",IF(AND(N(I176)&gt;0,N(INDEX('06-حزيران'!$I$2:$I$499,V176))&gt;0,INDEX('06-حزيران'!$F$2:$F$499,V176)=F176),N(I176)/N(INDEX('06-حزيران'!$I$2:$I$499,V176))-1,""))</f>
        <v/>
      </c>
      <c r="AC176" t="str">
        <f>IF(L176="","",IF(AND($AO$2=1,ISNA(MATCH(L176,'08-آب'!$L$2:$L$501,0))),"محذوف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359</v>
      </c>
      <c r="B177">
        <v>0</v>
      </c>
      <c r="C177">
        <v>0</v>
      </c>
      <c r="D177">
        <v>0</v>
      </c>
      <c r="E177">
        <v>0</v>
      </c>
      <c r="F177" t="s">
        <v>268</v>
      </c>
      <c r="G177" t="s">
        <v>178</v>
      </c>
      <c r="H177" t="s">
        <v>177</v>
      </c>
      <c r="I177">
        <v>657</v>
      </c>
      <c r="K177" t="str">
        <f t="shared" si="40"/>
        <v/>
      </c>
      <c r="L177" t="str">
        <f t="shared" si="41"/>
        <v>سائل جلي سادة اول خام</v>
      </c>
      <c r="M177" s="36">
        <f t="shared" si="42"/>
        <v>1</v>
      </c>
      <c r="N177" s="37">
        <f t="shared" si="43"/>
        <v>657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IF(L177="","",IF($AO$1=1,IFERROR(MATCH(L177,'06-حزيران'!$L$2:$L$499,0),0),0))</f>
        <v>92</v>
      </c>
      <c r="W177" t="str">
        <f t="shared" si="51"/>
        <v/>
      </c>
      <c r="X177" s="38">
        <f>IF(L177="","",IF(V177&gt;0,INDEX('06-حزيران'!$P$2:$P$499,V177),IF($AO$1=1,0,"")))</f>
        <v>0</v>
      </c>
      <c r="Y177" s="38">
        <f t="shared" si="52"/>
        <v>0</v>
      </c>
      <c r="Z177" s="39">
        <f>IF(L177="","",IF(V177&gt;0,INDEX('06-حزيران'!$Q$2:$Q$499,V177),IF($AO$1=1,0,"")))</f>
        <v>0</v>
      </c>
      <c r="AA177" s="39">
        <f t="shared" si="53"/>
        <v>0</v>
      </c>
      <c r="AB177" s="40">
        <f>IF(OR(L177="",V177=0),"",IF(AND(N(I177)&gt;0,N(INDEX('06-حزيران'!$I$2:$I$499,V177))&gt;0,INDEX('06-حزيران'!$F$2:$F$499,V177)=F177),N(I177)/N(INDEX('06-حزيران'!$I$2:$I$499,V177))-1,""))</f>
        <v>0</v>
      </c>
      <c r="AC177" t="str">
        <f>IF(L177="","",IF(AND($AO$2=1,ISNA(MATCH(L177,'08-آب'!$L$2:$L$501,0))),"محذوف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1.7700000000000001E-7</v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360</v>
      </c>
      <c r="B178">
        <v>0</v>
      </c>
      <c r="C178">
        <v>0</v>
      </c>
      <c r="D178">
        <v>0</v>
      </c>
      <c r="E178">
        <v>0</v>
      </c>
      <c r="F178" t="s">
        <v>268</v>
      </c>
      <c r="G178" t="s">
        <v>178</v>
      </c>
      <c r="H178" t="s">
        <v>177</v>
      </c>
      <c r="I178">
        <v>191</v>
      </c>
      <c r="K178" t="str">
        <f t="shared" si="40"/>
        <v/>
      </c>
      <c r="L178" t="str">
        <f t="shared" si="41"/>
        <v>سائل جلي تفاح رابع خام</v>
      </c>
      <c r="M178" s="36">
        <f t="shared" si="42"/>
        <v>1</v>
      </c>
      <c r="N178" s="37">
        <f t="shared" si="43"/>
        <v>191</v>
      </c>
      <c r="O178" s="37">
        <f t="shared" si="44"/>
        <v>0</v>
      </c>
      <c r="P178" s="38">
        <f t="shared" si="45"/>
        <v>0</v>
      </c>
      <c r="Q178" s="39">
        <f t="shared" si="46"/>
        <v>0</v>
      </c>
      <c r="R178" s="39">
        <f t="shared" si="47"/>
        <v>0</v>
      </c>
      <c r="S178">
        <f t="shared" si="48"/>
        <v>0</v>
      </c>
      <c r="T178" s="39">
        <f t="shared" si="49"/>
        <v>0</v>
      </c>
      <c r="U178" t="str">
        <f t="shared" si="50"/>
        <v/>
      </c>
      <c r="V178">
        <f>IF(L178="","",IF($AO$1=1,IFERROR(MATCH(L178,'06-حزيران'!$L$2:$L$499,0),0),0))</f>
        <v>93</v>
      </c>
      <c r="W178" t="str">
        <f t="shared" si="51"/>
        <v/>
      </c>
      <c r="X178" s="38">
        <f>IF(L178="","",IF(V178&gt;0,INDEX('06-حزيران'!$P$2:$P$499,V178),IF($AO$1=1,0,"")))</f>
        <v>0</v>
      </c>
      <c r="Y178" s="38">
        <f t="shared" si="52"/>
        <v>0</v>
      </c>
      <c r="Z178" s="39">
        <f>IF(L178="","",IF(V178&gt;0,INDEX('06-حزيران'!$Q$2:$Q$499,V178),IF($AO$1=1,0,"")))</f>
        <v>0</v>
      </c>
      <c r="AA178" s="39">
        <f t="shared" si="53"/>
        <v>0</v>
      </c>
      <c r="AB178" s="40">
        <f>IF(OR(L178="",V178=0),"",IF(AND(N(I178)&gt;0,N(INDEX('06-حزيران'!$I$2:$I$499,V178))&gt;0,INDEX('06-حزيران'!$F$2:$F$499,V178)=F178),N(I178)/N(INDEX('06-حزيران'!$I$2:$I$499,V178))-1,""))</f>
        <v>0</v>
      </c>
      <c r="AC178" t="str">
        <f>IF(L178="","",IF(AND($AO$2=1,ISNA(MATCH(L178,'08-آب'!$L$2:$L$501,0))),"محذوف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1.7800000000000001E-7</v>
      </c>
      <c r="AH178" s="39">
        <f t="shared" si="55"/>
        <v>0</v>
      </c>
      <c r="AI178" s="39">
        <f t="shared" si="56"/>
        <v>0</v>
      </c>
      <c r="AJ178" s="39">
        <f t="shared" si="57"/>
        <v>0</v>
      </c>
      <c r="AK178">
        <f t="shared" si="58"/>
        <v>1.7800000000000001E-7</v>
      </c>
      <c r="AL178">
        <f t="shared" si="59"/>
        <v>1.7800000000000001E-7</v>
      </c>
    </row>
    <row r="179" spans="1:38" ht="15">
      <c r="A179" t="s">
        <v>361</v>
      </c>
      <c r="B179">
        <v>0</v>
      </c>
      <c r="C179">
        <v>0</v>
      </c>
      <c r="D179">
        <v>0</v>
      </c>
      <c r="E179">
        <v>0</v>
      </c>
      <c r="F179" t="s">
        <v>268</v>
      </c>
      <c r="G179" t="s">
        <v>178</v>
      </c>
      <c r="H179" t="s">
        <v>177</v>
      </c>
      <c r="I179">
        <v>294</v>
      </c>
      <c r="K179" t="str">
        <f t="shared" si="40"/>
        <v/>
      </c>
      <c r="L179" t="str">
        <f t="shared" si="41"/>
        <v>سائل جلي تفاح ثاني خام</v>
      </c>
      <c r="M179" s="36">
        <f t="shared" si="42"/>
        <v>1</v>
      </c>
      <c r="N179" s="37">
        <f t="shared" si="43"/>
        <v>294</v>
      </c>
      <c r="O179" s="37">
        <f t="shared" si="44"/>
        <v>0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IF(L179="","",IF($AO$1=1,IFERROR(MATCH(L179,'06-حزيران'!$L$2:$L$499,0),0),0))</f>
        <v>94</v>
      </c>
      <c r="W179" t="str">
        <f t="shared" si="51"/>
        <v/>
      </c>
      <c r="X179" s="38">
        <f>IF(L179="","",IF(V179&gt;0,INDEX('06-حزيران'!$P$2:$P$499,V179),IF($AO$1=1,0,"")))</f>
        <v>0</v>
      </c>
      <c r="Y179" s="38">
        <f t="shared" si="52"/>
        <v>0</v>
      </c>
      <c r="Z179" s="39">
        <f>IF(L179="","",IF(V179&gt;0,INDEX('06-حزيران'!$Q$2:$Q$499,V179),IF($AO$1=1,0,"")))</f>
        <v>0</v>
      </c>
      <c r="AA179" s="39">
        <f t="shared" si="53"/>
        <v>0</v>
      </c>
      <c r="AB179" s="40">
        <f>IF(OR(L179="",V179=0),"",IF(AND(N(I179)&gt;0,N(INDEX('06-حزيران'!$I$2:$I$499,V179))&gt;0,INDEX('06-حزيران'!$F$2:$F$499,V179)=F179),N(I179)/N(INDEX('06-حزيران'!$I$2:$I$499,V179))-1,""))</f>
        <v>0</v>
      </c>
      <c r="AC179" t="str">
        <f>IF(L179="","",IF(AND($AO$2=1,ISNA(MATCH(L179,'08-آب'!$L$2:$L$501,0))),"محذوف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362</v>
      </c>
      <c r="B180">
        <v>0</v>
      </c>
      <c r="C180">
        <v>0</v>
      </c>
      <c r="D180">
        <v>0</v>
      </c>
      <c r="E180">
        <v>0</v>
      </c>
      <c r="F180" t="s">
        <v>268</v>
      </c>
      <c r="G180" t="s">
        <v>178</v>
      </c>
      <c r="H180" t="s">
        <v>177</v>
      </c>
      <c r="I180">
        <v>248</v>
      </c>
      <c r="K180" t="str">
        <f t="shared" si="40"/>
        <v/>
      </c>
      <c r="L180" t="str">
        <f t="shared" si="41"/>
        <v>سائل جلي تفاح ثالث خام</v>
      </c>
      <c r="M180" s="36">
        <f t="shared" si="42"/>
        <v>1</v>
      </c>
      <c r="N180" s="37">
        <f t="shared" si="43"/>
        <v>248</v>
      </c>
      <c r="O180" s="37">
        <f t="shared" si="44"/>
        <v>0</v>
      </c>
      <c r="P180" s="38">
        <f t="shared" si="45"/>
        <v>0</v>
      </c>
      <c r="Q180" s="39">
        <f t="shared" si="46"/>
        <v>0</v>
      </c>
      <c r="R180" s="39">
        <f t="shared" si="47"/>
        <v>0</v>
      </c>
      <c r="S180">
        <f t="shared" si="48"/>
        <v>0</v>
      </c>
      <c r="T180" s="39">
        <f t="shared" si="49"/>
        <v>0</v>
      </c>
      <c r="U180" t="str">
        <f t="shared" si="50"/>
        <v/>
      </c>
      <c r="V180">
        <f>IF(L180="","",IF($AO$1=1,IFERROR(MATCH(L180,'06-حزيران'!$L$2:$L$499,0),0),0))</f>
        <v>95</v>
      </c>
      <c r="W180" t="str">
        <f t="shared" si="51"/>
        <v/>
      </c>
      <c r="X180" s="38">
        <f>IF(L180="","",IF(V180&gt;0,INDEX('06-حزيران'!$P$2:$P$499,V180),IF($AO$1=1,0,"")))</f>
        <v>0</v>
      </c>
      <c r="Y180" s="38">
        <f t="shared" si="52"/>
        <v>0</v>
      </c>
      <c r="Z180" s="39">
        <f>IF(L180="","",IF(V180&gt;0,INDEX('06-حزيران'!$Q$2:$Q$499,V180),IF($AO$1=1,0,"")))</f>
        <v>0</v>
      </c>
      <c r="AA180" s="39">
        <f t="shared" si="53"/>
        <v>0</v>
      </c>
      <c r="AB180" s="40">
        <f>IF(OR(L180="",V180=0),"",IF(AND(N(I180)&gt;0,N(INDEX('06-حزيران'!$I$2:$I$499,V180))&gt;0,INDEX('06-حزيران'!$F$2:$F$499,V180)=F180),N(I180)/N(INDEX('06-حزيران'!$I$2:$I$499,V180))-1,""))</f>
        <v>0</v>
      </c>
      <c r="AC180" t="str">
        <f>IF(L180="","",IF(AND($AO$2=1,ISNA(MATCH(L180,'08-آب'!$L$2:$L$501,0))),"محذوف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1.8E-7</v>
      </c>
      <c r="AH180" s="39">
        <f t="shared" si="55"/>
        <v>0</v>
      </c>
      <c r="AI180" s="39">
        <f t="shared" si="56"/>
        <v>0</v>
      </c>
      <c r="AJ180" s="39">
        <f t="shared" si="57"/>
        <v>0</v>
      </c>
      <c r="AK180">
        <f t="shared" si="58"/>
        <v>1.8E-7</v>
      </c>
      <c r="AL180">
        <f t="shared" si="59"/>
        <v>1.8E-7</v>
      </c>
    </row>
    <row r="181" spans="1:38" ht="15">
      <c r="A181" t="s">
        <v>363</v>
      </c>
      <c r="B181">
        <v>0</v>
      </c>
      <c r="C181">
        <v>0</v>
      </c>
      <c r="D181">
        <v>0</v>
      </c>
      <c r="E181">
        <v>0</v>
      </c>
      <c r="F181" t="s">
        <v>268</v>
      </c>
      <c r="G181" t="s">
        <v>178</v>
      </c>
      <c r="H181" t="s">
        <v>177</v>
      </c>
      <c r="I181">
        <v>669</v>
      </c>
      <c r="K181" t="str">
        <f t="shared" si="40"/>
        <v/>
      </c>
      <c r="L181" t="str">
        <f t="shared" si="41"/>
        <v>سائل جلي تفاح اول خام</v>
      </c>
      <c r="M181" s="36">
        <f t="shared" si="42"/>
        <v>1</v>
      </c>
      <c r="N181" s="37">
        <f t="shared" si="43"/>
        <v>669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IF(L181="","",IF($AO$1=1,IFERROR(MATCH(L181,'06-حزيران'!$L$2:$L$499,0),0),0))</f>
        <v>96</v>
      </c>
      <c r="W181" t="str">
        <f t="shared" si="51"/>
        <v/>
      </c>
      <c r="X181" s="38">
        <f>IF(L181="","",IF(V181&gt;0,INDEX('06-حزيران'!$P$2:$P$499,V181),IF($AO$1=1,0,"")))</f>
        <v>0</v>
      </c>
      <c r="Y181" s="38">
        <f t="shared" si="52"/>
        <v>0</v>
      </c>
      <c r="Z181" s="39">
        <f>IF(L181="","",IF(V181&gt;0,INDEX('06-حزيران'!$Q$2:$Q$499,V181),IF($AO$1=1,0,"")))</f>
        <v>0</v>
      </c>
      <c r="AA181" s="39">
        <f t="shared" si="53"/>
        <v>0</v>
      </c>
      <c r="AB181" s="40">
        <f>IF(OR(L181="",V181=0),"",IF(AND(N(I181)&gt;0,N(INDEX('06-حزيران'!$I$2:$I$499,V181))&gt;0,INDEX('06-حزيران'!$F$2:$F$499,V181)=F181),N(I181)/N(INDEX('06-حزيران'!$I$2:$I$499,V181))-1,""))</f>
        <v>0</v>
      </c>
      <c r="AC181" t="str">
        <f>IF(L181="","",IF(AND($AO$2=1,ISNA(MATCH(L181,'08-آب'!$L$2:$L$501,0))),"محذوف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471</v>
      </c>
      <c r="B182">
        <v>6359.2</v>
      </c>
      <c r="C182">
        <v>6000</v>
      </c>
      <c r="D182">
        <v>6000</v>
      </c>
      <c r="E182">
        <v>6000</v>
      </c>
      <c r="F182" t="s">
        <v>389</v>
      </c>
      <c r="G182" t="s">
        <v>178</v>
      </c>
      <c r="H182" t="s">
        <v>12</v>
      </c>
      <c r="I182">
        <v>2980</v>
      </c>
      <c r="K182" t="str">
        <f t="shared" si="40"/>
        <v/>
      </c>
      <c r="L182" t="str">
        <f t="shared" si="41"/>
        <v>سائل جلي super / فرط 2604</v>
      </c>
      <c r="M182" s="36">
        <f t="shared" si="42"/>
        <v>7.5187969924812026E-5</v>
      </c>
      <c r="N182" s="37">
        <f t="shared" si="43"/>
        <v>0.22406015037593985</v>
      </c>
      <c r="O182" s="37">
        <f t="shared" si="44"/>
        <v>0.45112781954887216</v>
      </c>
      <c r="P182" s="38">
        <f t="shared" si="45"/>
        <v>6359.2</v>
      </c>
      <c r="Q182" s="39">
        <f t="shared" si="46"/>
        <v>1424.8433082706767</v>
      </c>
      <c r="R182" s="39">
        <f t="shared" si="47"/>
        <v>2868.8120300751875</v>
      </c>
      <c r="S182">
        <f t="shared" si="48"/>
        <v>1</v>
      </c>
      <c r="T182" s="39">
        <f t="shared" si="49"/>
        <v>1443.9687218045108</v>
      </c>
      <c r="U182" t="str">
        <f t="shared" si="50"/>
        <v/>
      </c>
      <c r="V182">
        <f>IF(L182="","",IF($AO$1=1,IFERROR(MATCH(L182,'06-حزيران'!$L$2:$L$499,0),0),0))</f>
        <v>203</v>
      </c>
      <c r="W182" t="str">
        <f t="shared" si="51"/>
        <v/>
      </c>
      <c r="X182" s="38">
        <f>IF(L182="","",IF(V182&gt;0,INDEX('06-حزيران'!$P$2:$P$499,V182),IF($AO$1=1,0,"")))</f>
        <v>4556.2</v>
      </c>
      <c r="Y182" s="38">
        <f t="shared" si="52"/>
        <v>1803</v>
      </c>
      <c r="Z182" s="39">
        <f>IF(L182="","",IF(V182&gt;0,INDEX('06-حزيران'!$Q$2:$Q$499,V182),IF($AO$1=1,0,"")))</f>
        <v>1028.5966666666666</v>
      </c>
      <c r="AA182" s="39">
        <f t="shared" si="53"/>
        <v>396.24664160401016</v>
      </c>
      <c r="AB182" s="40">
        <f>IF(OR(L182="",V182=0),"",IF(AND(N(I182)&gt;0,N(INDEX('06-حزيران'!$I$2:$I$499,V182))&gt;0,INDEX('06-حزيران'!$F$2:$F$499,V182)=F182),N(I182)/N(INDEX('06-حزيران'!$I$2:$I$499,V182))-1,""))</f>
        <v>0</v>
      </c>
      <c r="AC182" t="str">
        <f>IF(L182="","",IF(AND($AO$2=1,ISNA(MATCH(L182,'08-آب'!$L$2:$L$501,0))),"محذوف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396.24664178601017</v>
      </c>
      <c r="AH182" s="39">
        <f t="shared" si="55"/>
        <v>1443.968721804511</v>
      </c>
      <c r="AI182" s="39">
        <f t="shared" si="56"/>
        <v>1443.968721804511</v>
      </c>
      <c r="AJ182" s="39">
        <f t="shared" si="57"/>
        <v>1443.968721804511</v>
      </c>
      <c r="AK182">
        <f t="shared" si="58"/>
        <v>1424.8433084526766</v>
      </c>
      <c r="AL182">
        <f t="shared" si="59"/>
        <v>1443.9687219865107</v>
      </c>
    </row>
    <row r="183" spans="1:38" ht="15">
      <c r="A183" t="s">
        <v>472</v>
      </c>
      <c r="B183">
        <v>3756</v>
      </c>
      <c r="C183">
        <v>7000</v>
      </c>
      <c r="D183">
        <v>7000</v>
      </c>
      <c r="E183">
        <v>7000</v>
      </c>
      <c r="F183" t="s">
        <v>389</v>
      </c>
      <c r="G183" t="s">
        <v>178</v>
      </c>
      <c r="H183" t="s">
        <v>12</v>
      </c>
      <c r="I183">
        <v>4000</v>
      </c>
      <c r="K183" t="str">
        <f t="shared" si="40"/>
        <v/>
      </c>
      <c r="L183" t="str">
        <f t="shared" si="41"/>
        <v>سائل جلي super / فرط 2603</v>
      </c>
      <c r="M183" s="36">
        <f t="shared" si="42"/>
        <v>7.5187969924812026E-5</v>
      </c>
      <c r="N183" s="37">
        <f t="shared" si="43"/>
        <v>0.3007518796992481</v>
      </c>
      <c r="O183" s="37">
        <f t="shared" si="44"/>
        <v>0.52631578947368418</v>
      </c>
      <c r="P183" s="38">
        <f t="shared" si="45"/>
        <v>3756</v>
      </c>
      <c r="Q183" s="39">
        <f t="shared" si="46"/>
        <v>1129.624060150376</v>
      </c>
      <c r="R183" s="39">
        <f t="shared" si="47"/>
        <v>1976.8421052631577</v>
      </c>
      <c r="S183">
        <f t="shared" si="48"/>
        <v>1</v>
      </c>
      <c r="T183" s="39">
        <f t="shared" si="49"/>
        <v>847.21804511278174</v>
      </c>
      <c r="U183" t="str">
        <f t="shared" si="50"/>
        <v/>
      </c>
      <c r="V183">
        <f>IF(L183="","",IF($AO$1=1,IFERROR(MATCH(L183,'06-حزيران'!$L$2:$L$499,0),0),0))</f>
        <v>204</v>
      </c>
      <c r="W183" t="str">
        <f t="shared" si="51"/>
        <v/>
      </c>
      <c r="X183" s="38">
        <f>IF(L183="","",IF(V183&gt;0,INDEX('06-حزيران'!$P$2:$P$499,V183),IF($AO$1=1,0,"")))</f>
        <v>6424.07</v>
      </c>
      <c r="Y183" s="38">
        <f t="shared" si="52"/>
        <v>-2668.0699999999997</v>
      </c>
      <c r="Z183" s="39">
        <f>IF(L183="","",IF(V183&gt;0,INDEX('06-حزيران'!$Q$2:$Q$499,V183),IF($AO$1=1,0,"")))</f>
        <v>1946.6878787878788</v>
      </c>
      <c r="AA183" s="39">
        <f t="shared" si="53"/>
        <v>-817.06381863750289</v>
      </c>
      <c r="AB183" s="40">
        <f>IF(OR(L183="",V183=0),"",IF(AND(N(I183)&gt;0,N(INDEX('06-حزيران'!$I$2:$I$499,V183))&gt;0,INDEX('06-حزيران'!$F$2:$F$499,V183)=F183),N(I183)/N(INDEX('06-حزيران'!$I$2:$I$499,V183))-1,""))</f>
        <v>0</v>
      </c>
      <c r="AC183" t="str">
        <f>IF(L183="","",IF(AND($AO$2=1,ISNA(MATCH(L183,'08-آب'!$L$2:$L$501,0))),"محذوف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817.06381882050289</v>
      </c>
      <c r="AH183" s="39">
        <f t="shared" si="55"/>
        <v>847.21804511278185</v>
      </c>
      <c r="AI183" s="39">
        <f t="shared" si="56"/>
        <v>847.21804511278185</v>
      </c>
      <c r="AJ183" s="39">
        <f t="shared" si="57"/>
        <v>847.21804511278185</v>
      </c>
      <c r="AK183">
        <f t="shared" si="58"/>
        <v>1129.6240603333761</v>
      </c>
      <c r="AL183">
        <f t="shared" si="59"/>
        <v>847.21804529578174</v>
      </c>
    </row>
    <row r="184" spans="1:38" ht="15">
      <c r="A184" t="s">
        <v>473</v>
      </c>
      <c r="B184">
        <v>1934</v>
      </c>
      <c r="C184">
        <v>8000</v>
      </c>
      <c r="D184">
        <v>8000</v>
      </c>
      <c r="E184">
        <v>8000</v>
      </c>
      <c r="F184" t="s">
        <v>389</v>
      </c>
      <c r="G184" t="s">
        <v>178</v>
      </c>
      <c r="H184" t="s">
        <v>12</v>
      </c>
      <c r="I184">
        <v>5200</v>
      </c>
      <c r="K184" t="str">
        <f t="shared" si="40"/>
        <v/>
      </c>
      <c r="L184" t="str">
        <f t="shared" si="41"/>
        <v>سائل جلي super / فرط 2602</v>
      </c>
      <c r="M184" s="36">
        <f t="shared" si="42"/>
        <v>7.5187969924812026E-5</v>
      </c>
      <c r="N184" s="37">
        <f t="shared" si="43"/>
        <v>0.39097744360902253</v>
      </c>
      <c r="O184" s="37">
        <f t="shared" si="44"/>
        <v>0.60150375939849621</v>
      </c>
      <c r="P184" s="38">
        <f t="shared" si="45"/>
        <v>1934</v>
      </c>
      <c r="Q184" s="39">
        <f t="shared" si="46"/>
        <v>756.1503759398496</v>
      </c>
      <c r="R184" s="39">
        <f t="shared" si="47"/>
        <v>1163.3082706766916</v>
      </c>
      <c r="S184">
        <f t="shared" si="48"/>
        <v>1</v>
      </c>
      <c r="T184" s="39">
        <f t="shared" si="49"/>
        <v>407.15789473684197</v>
      </c>
      <c r="U184" t="str">
        <f t="shared" si="50"/>
        <v/>
      </c>
      <c r="V184">
        <f>IF(L184="","",IF($AO$1=1,IFERROR(MATCH(L184,'06-حزيران'!$L$2:$L$499,0),0),0))</f>
        <v>205</v>
      </c>
      <c r="W184" t="str">
        <f t="shared" si="51"/>
        <v/>
      </c>
      <c r="X184" s="38">
        <f>IF(L184="","",IF(V184&gt;0,INDEX('06-حزيران'!$P$2:$P$499,V184),IF($AO$1=1,0,"")))</f>
        <v>1942</v>
      </c>
      <c r="Y184" s="38">
        <f t="shared" si="52"/>
        <v>-8</v>
      </c>
      <c r="Z184" s="39">
        <f>IF(L184="","",IF(V184&gt;0,INDEX('06-حزيران'!$Q$2:$Q$499,V184),IF($AO$1=1,0,"")))</f>
        <v>765.030303030303</v>
      </c>
      <c r="AA184" s="39">
        <f t="shared" si="53"/>
        <v>-8.8799270904534069</v>
      </c>
      <c r="AB184" s="40">
        <f>IF(OR(L184="",V184=0),"",IF(AND(N(I184)&gt;0,N(INDEX('06-حزيران'!$I$2:$I$499,V184))&gt;0,INDEX('06-حزيران'!$F$2:$F$499,V184)=F184),N(I184)/N(INDEX('06-حزيران'!$I$2:$I$499,V184))-1,""))</f>
        <v>0</v>
      </c>
      <c r="AC184" t="str">
        <f>IF(L184="","",IF(AND($AO$2=1,ISNA(MATCH(L184,'08-آب'!$L$2:$L$501,0))),"محذوف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8.8799272744534061</v>
      </c>
      <c r="AH184" s="39">
        <f t="shared" si="55"/>
        <v>407.15789473684208</v>
      </c>
      <c r="AI184" s="39">
        <f t="shared" si="56"/>
        <v>407.15789473684208</v>
      </c>
      <c r="AJ184" s="39">
        <f t="shared" si="57"/>
        <v>407.15789473684208</v>
      </c>
      <c r="AK184">
        <f t="shared" si="58"/>
        <v>756.15037612384958</v>
      </c>
      <c r="AL184">
        <f t="shared" si="59"/>
        <v>407.15789492084195</v>
      </c>
    </row>
    <row r="185" spans="1:38" ht="15">
      <c r="A185" t="s">
        <v>474</v>
      </c>
      <c r="B185">
        <v>1566</v>
      </c>
      <c r="C185">
        <v>15000</v>
      </c>
      <c r="D185">
        <v>15000</v>
      </c>
      <c r="E185">
        <v>15000</v>
      </c>
      <c r="F185" t="s">
        <v>389</v>
      </c>
      <c r="G185" t="s">
        <v>178</v>
      </c>
      <c r="H185" t="s">
        <v>12</v>
      </c>
      <c r="I185">
        <v>11600</v>
      </c>
      <c r="K185" t="str">
        <f t="shared" si="40"/>
        <v/>
      </c>
      <c r="L185" t="str">
        <f t="shared" si="41"/>
        <v>سائل جلي super / فرط 2601</v>
      </c>
      <c r="M185" s="36">
        <f t="shared" si="42"/>
        <v>7.5187969924812026E-5</v>
      </c>
      <c r="N185" s="37">
        <f t="shared" si="43"/>
        <v>0.8721804511278195</v>
      </c>
      <c r="O185" s="37">
        <f t="shared" si="44"/>
        <v>1.1278195488721805</v>
      </c>
      <c r="P185" s="38">
        <f t="shared" si="45"/>
        <v>1566</v>
      </c>
      <c r="Q185" s="39">
        <f t="shared" si="46"/>
        <v>1365.8345864661653</v>
      </c>
      <c r="R185" s="39">
        <f t="shared" si="47"/>
        <v>1766.1654135338347</v>
      </c>
      <c r="S185">
        <f t="shared" si="48"/>
        <v>1</v>
      </c>
      <c r="T185" s="39">
        <f t="shared" si="49"/>
        <v>400.33082706766936</v>
      </c>
      <c r="U185" t="str">
        <f t="shared" si="50"/>
        <v/>
      </c>
      <c r="V185">
        <f>IF(L185="","",IF($AO$1=1,IFERROR(MATCH(L185,'06-حزيران'!$L$2:$L$499,0),0),0))</f>
        <v>206</v>
      </c>
      <c r="W185" t="str">
        <f t="shared" si="51"/>
        <v/>
      </c>
      <c r="X185" s="38">
        <f>IF(L185="","",IF(V185&gt;0,INDEX('06-حزيران'!$P$2:$P$499,V185),IF($AO$1=1,0,"")))</f>
        <v>2032</v>
      </c>
      <c r="Y185" s="38">
        <f t="shared" si="52"/>
        <v>-466</v>
      </c>
      <c r="Z185" s="39">
        <f>IF(L185="","",IF(V185&gt;0,INDEX('06-حزيران'!$Q$2:$Q$499,V185),IF($AO$1=1,0,"")))</f>
        <v>1785.6969696969697</v>
      </c>
      <c r="AA185" s="39">
        <f t="shared" si="53"/>
        <v>-419.86238323080443</v>
      </c>
      <c r="AB185" s="40">
        <f>IF(OR(L185="",V185=0),"",IF(AND(N(I185)&gt;0,N(INDEX('06-حزيران'!$I$2:$I$499,V185))&gt;0,INDEX('06-حزيران'!$F$2:$F$499,V185)=F185),N(I185)/N(INDEX('06-حزيران'!$I$2:$I$499,V185))-1,""))</f>
        <v>0</v>
      </c>
      <c r="AC185" t="str">
        <f>IF(L185="","",IF(AND($AO$2=1,ISNA(MATCH(L185,'08-آب'!$L$2:$L$501,0))),"محذوف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419.8623834158044</v>
      </c>
      <c r="AH185" s="39">
        <f t="shared" si="55"/>
        <v>400.3308270676693</v>
      </c>
      <c r="AI185" s="39">
        <f t="shared" si="56"/>
        <v>400.3308270676693</v>
      </c>
      <c r="AJ185" s="39">
        <f t="shared" si="57"/>
        <v>400.3308270676693</v>
      </c>
      <c r="AK185">
        <f t="shared" si="58"/>
        <v>1365.8345866511654</v>
      </c>
      <c r="AL185">
        <f t="shared" si="59"/>
        <v>400.33082725266934</v>
      </c>
    </row>
    <row r="186" spans="1:38" ht="15">
      <c r="A186" t="s">
        <v>475</v>
      </c>
      <c r="B186">
        <v>34</v>
      </c>
      <c r="C186">
        <v>22000</v>
      </c>
      <c r="D186">
        <v>22000</v>
      </c>
      <c r="E186">
        <v>22000</v>
      </c>
      <c r="F186" t="s">
        <v>389</v>
      </c>
      <c r="G186" t="s">
        <v>178</v>
      </c>
      <c r="H186" t="s">
        <v>12</v>
      </c>
      <c r="I186">
        <v>11940</v>
      </c>
      <c r="K186" t="str">
        <f t="shared" si="40"/>
        <v/>
      </c>
      <c r="L186" t="str">
        <f t="shared" si="41"/>
        <v>سائل جلي super / عبوة 3 لتر 2604</v>
      </c>
      <c r="M186" s="36">
        <f t="shared" si="42"/>
        <v>7.5187969924812026E-5</v>
      </c>
      <c r="N186" s="37">
        <f t="shared" si="43"/>
        <v>0.89774436090225562</v>
      </c>
      <c r="O186" s="37">
        <f t="shared" si="44"/>
        <v>1.6541353383458646</v>
      </c>
      <c r="P186" s="38">
        <f t="shared" si="45"/>
        <v>34</v>
      </c>
      <c r="Q186" s="39">
        <f t="shared" si="46"/>
        <v>30.52330827067669</v>
      </c>
      <c r="R186" s="39">
        <f t="shared" si="47"/>
        <v>56.240601503759393</v>
      </c>
      <c r="S186">
        <f t="shared" si="48"/>
        <v>1</v>
      </c>
      <c r="T186" s="39">
        <f t="shared" si="49"/>
        <v>25.717293233082703</v>
      </c>
      <c r="U186" t="str">
        <f t="shared" si="50"/>
        <v/>
      </c>
      <c r="V186">
        <f>IF(L186="","",IF($AO$1=1,IFERROR(MATCH(L186,'06-حزيران'!$L$2:$L$499,0),0),0))</f>
        <v>207</v>
      </c>
      <c r="W186" t="str">
        <f t="shared" si="51"/>
        <v/>
      </c>
      <c r="X186" s="38">
        <f>IF(L186="","",IF(V186&gt;0,INDEX('06-حزيران'!$P$2:$P$499,V186),IF($AO$1=1,0,"")))</f>
        <v>18</v>
      </c>
      <c r="Y186" s="38">
        <f t="shared" si="52"/>
        <v>16</v>
      </c>
      <c r="Z186" s="39">
        <f>IF(L186="","",IF(V186&gt;0,INDEX('06-حزيران'!$Q$2:$Q$499,V186),IF($AO$1=1,0,"")))</f>
        <v>16.281818181818181</v>
      </c>
      <c r="AA186" s="39">
        <f t="shared" si="53"/>
        <v>14.241490088858509</v>
      </c>
      <c r="AB186" s="40">
        <f>IF(OR(L186="",V186=0),"",IF(AND(N(I186)&gt;0,N(INDEX('06-حزيران'!$I$2:$I$499,V186))&gt;0,INDEX('06-حزيران'!$F$2:$F$499,V186)=F186),N(I186)/N(INDEX('06-حزيران'!$I$2:$I$499,V186))-1,""))</f>
        <v>0</v>
      </c>
      <c r="AC186" t="str">
        <f>IF(L186="","",IF(AND($AO$2=1,ISNA(MATCH(L186,'08-آب'!$L$2:$L$501,0))),"محذوف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14.241490274858508</v>
      </c>
      <c r="AH186" s="39">
        <f t="shared" si="55"/>
        <v>25.717293233082703</v>
      </c>
      <c r="AI186" s="39">
        <f t="shared" si="56"/>
        <v>25.717293233082703</v>
      </c>
      <c r="AJ186" s="39">
        <f t="shared" si="57"/>
        <v>25.717293233082703</v>
      </c>
      <c r="AK186">
        <f t="shared" si="58"/>
        <v>30.523308456676691</v>
      </c>
      <c r="AL186">
        <f t="shared" si="59"/>
        <v>25.717293419082704</v>
      </c>
    </row>
    <row r="187" spans="1:38" ht="15">
      <c r="A187" t="s">
        <v>476</v>
      </c>
      <c r="B187">
        <v>65</v>
      </c>
      <c r="C187">
        <v>25000</v>
      </c>
      <c r="D187">
        <v>25000</v>
      </c>
      <c r="E187">
        <v>25000</v>
      </c>
      <c r="F187" t="s">
        <v>389</v>
      </c>
      <c r="G187" t="s">
        <v>178</v>
      </c>
      <c r="H187" t="s">
        <v>12</v>
      </c>
      <c r="I187">
        <v>15000</v>
      </c>
      <c r="K187" t="str">
        <f t="shared" si="40"/>
        <v/>
      </c>
      <c r="L187" t="str">
        <f t="shared" si="41"/>
        <v>سائل جلي super / عبوة 3 لتر 2603</v>
      </c>
      <c r="M187" s="36">
        <f t="shared" si="42"/>
        <v>7.5187969924812026E-5</v>
      </c>
      <c r="N187" s="37">
        <f t="shared" si="43"/>
        <v>1.1278195488721805</v>
      </c>
      <c r="O187" s="37">
        <f t="shared" si="44"/>
        <v>1.8796992481203008</v>
      </c>
      <c r="P187" s="38">
        <f t="shared" si="45"/>
        <v>65</v>
      </c>
      <c r="Q187" s="39">
        <f t="shared" si="46"/>
        <v>73.308270676691734</v>
      </c>
      <c r="R187" s="39">
        <f t="shared" si="47"/>
        <v>122.18045112781955</v>
      </c>
      <c r="S187">
        <f t="shared" si="48"/>
        <v>1</v>
      </c>
      <c r="T187" s="39">
        <f t="shared" si="49"/>
        <v>48.872180451127818</v>
      </c>
      <c r="U187" t="str">
        <f t="shared" si="50"/>
        <v/>
      </c>
      <c r="V187">
        <f>IF(L187="","",IF($AO$1=1,IFERROR(MATCH(L187,'06-حزيران'!$L$2:$L$499,0),0),0))</f>
        <v>208</v>
      </c>
      <c r="W187" t="str">
        <f t="shared" si="51"/>
        <v/>
      </c>
      <c r="X187" s="38">
        <f>IF(L187="","",IF(V187&gt;0,INDEX('06-حزيران'!$P$2:$P$499,V187),IF($AO$1=1,0,"")))</f>
        <v>32</v>
      </c>
      <c r="Y187" s="38">
        <f t="shared" si="52"/>
        <v>33</v>
      </c>
      <c r="Z187" s="39">
        <f>IF(L187="","",IF(V187&gt;0,INDEX('06-حزيران'!$Q$2:$Q$499,V187),IF($AO$1=1,0,"")))</f>
        <v>36.363636363636367</v>
      </c>
      <c r="AA187" s="39">
        <f t="shared" si="53"/>
        <v>36.944634313055367</v>
      </c>
      <c r="AB187" s="40">
        <f>IF(OR(L187="",V187=0),"",IF(AND(N(I187)&gt;0,N(INDEX('06-حزيران'!$I$2:$I$499,V187))&gt;0,INDEX('06-حزيران'!$F$2:$F$499,V187)=F187),N(I187)/N(INDEX('06-حزيران'!$I$2:$I$499,V187))-1,""))</f>
        <v>0</v>
      </c>
      <c r="AC187" t="str">
        <f>IF(L187="","",IF(AND($AO$2=1,ISNA(MATCH(L187,'08-آب'!$L$2:$L$501,0))),"محذوف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36.944634500055365</v>
      </c>
      <c r="AH187" s="39">
        <f t="shared" si="55"/>
        <v>48.872180451127818</v>
      </c>
      <c r="AI187" s="39">
        <f t="shared" si="56"/>
        <v>48.872180451127818</v>
      </c>
      <c r="AJ187" s="39">
        <f t="shared" si="57"/>
        <v>48.872180451127818</v>
      </c>
      <c r="AK187">
        <f t="shared" si="58"/>
        <v>73.308270863691732</v>
      </c>
      <c r="AL187">
        <f t="shared" si="59"/>
        <v>48.872180638127816</v>
      </c>
    </row>
    <row r="188" spans="1:38" ht="15">
      <c r="A188" t="s">
        <v>477</v>
      </c>
      <c r="B188">
        <v>427</v>
      </c>
      <c r="C188">
        <v>27000</v>
      </c>
      <c r="D188">
        <v>27000</v>
      </c>
      <c r="E188">
        <v>27000</v>
      </c>
      <c r="F188" t="s">
        <v>389</v>
      </c>
      <c r="G188" t="s">
        <v>178</v>
      </c>
      <c r="H188" t="s">
        <v>12</v>
      </c>
      <c r="I188">
        <v>18600</v>
      </c>
      <c r="K188" t="str">
        <f t="shared" si="40"/>
        <v/>
      </c>
      <c r="L188" t="str">
        <f t="shared" si="41"/>
        <v>سائل جلي super / عبوة 3 لتر 2602</v>
      </c>
      <c r="M188" s="36">
        <f t="shared" si="42"/>
        <v>7.5187969924812026E-5</v>
      </c>
      <c r="N188" s="37">
        <f t="shared" si="43"/>
        <v>1.3984962406015038</v>
      </c>
      <c r="O188" s="37">
        <f t="shared" si="44"/>
        <v>2.0300751879699246</v>
      </c>
      <c r="P188" s="38">
        <f t="shared" si="45"/>
        <v>427</v>
      </c>
      <c r="Q188" s="39">
        <f t="shared" si="46"/>
        <v>597.15789473684208</v>
      </c>
      <c r="R188" s="39">
        <f t="shared" si="47"/>
        <v>866.8421052631578</v>
      </c>
      <c r="S188">
        <f t="shared" si="48"/>
        <v>1</v>
      </c>
      <c r="T188" s="39">
        <f t="shared" si="49"/>
        <v>269.68421052631572</v>
      </c>
      <c r="U188" t="str">
        <f t="shared" si="50"/>
        <v/>
      </c>
      <c r="V188">
        <f>IF(L188="","",IF($AO$1=1,IFERROR(MATCH(L188,'06-حزيران'!$L$2:$L$499,0),0),0))</f>
        <v>209</v>
      </c>
      <c r="W188" t="str">
        <f t="shared" si="51"/>
        <v/>
      </c>
      <c r="X188" s="38">
        <f>IF(L188="","",IF(V188&gt;0,INDEX('06-حزيران'!$P$2:$P$499,V188),IF($AO$1=1,0,"")))</f>
        <v>404</v>
      </c>
      <c r="Y188" s="38">
        <f t="shared" si="52"/>
        <v>23</v>
      </c>
      <c r="Z188" s="39">
        <f>IF(L188="","",IF(V188&gt;0,INDEX('06-حزيران'!$Q$2:$Q$499,V188),IF($AO$1=1,0,"")))</f>
        <v>569.27272727272725</v>
      </c>
      <c r="AA188" s="39">
        <f t="shared" si="53"/>
        <v>27.885167464114829</v>
      </c>
      <c r="AB188" s="40">
        <f>IF(OR(L188="",V188=0),"",IF(AND(N(I188)&gt;0,N(INDEX('06-حزيران'!$I$2:$I$499,V188))&gt;0,INDEX('06-حزيران'!$F$2:$F$499,V188)=F188),N(I188)/N(INDEX('06-حزيران'!$I$2:$I$499,V188))-1,""))</f>
        <v>0</v>
      </c>
      <c r="AC188" t="str">
        <f>IF(L188="","",IF(AND($AO$2=1,ISNA(MATCH(L188,'08-آب'!$L$2:$L$501,0))),"محذوف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27.885167652114831</v>
      </c>
      <c r="AH188" s="39">
        <f t="shared" si="55"/>
        <v>269.68421052631567</v>
      </c>
      <c r="AI188" s="39">
        <f t="shared" si="56"/>
        <v>269.68421052631567</v>
      </c>
      <c r="AJ188" s="39">
        <f t="shared" si="57"/>
        <v>269.68421052631567</v>
      </c>
      <c r="AK188">
        <f t="shared" si="58"/>
        <v>597.15789492484203</v>
      </c>
      <c r="AL188">
        <f t="shared" si="59"/>
        <v>269.68421071431572</v>
      </c>
    </row>
    <row r="189" spans="1:38" ht="15">
      <c r="A189" t="s">
        <v>478</v>
      </c>
      <c r="B189">
        <v>41</v>
      </c>
      <c r="C189">
        <v>48000</v>
      </c>
      <c r="D189">
        <v>48000</v>
      </c>
      <c r="E189">
        <v>48000</v>
      </c>
      <c r="F189" t="s">
        <v>389</v>
      </c>
      <c r="G189" t="s">
        <v>178</v>
      </c>
      <c r="H189" t="s">
        <v>12</v>
      </c>
      <c r="I189">
        <v>38000</v>
      </c>
      <c r="K189" t="str">
        <f t="shared" si="40"/>
        <v/>
      </c>
      <c r="L189" t="str">
        <f t="shared" si="41"/>
        <v>سائل جلي super / عبوة 3 لتر 2601</v>
      </c>
      <c r="M189" s="36">
        <f t="shared" si="42"/>
        <v>7.5187969924812026E-5</v>
      </c>
      <c r="N189" s="37">
        <f t="shared" si="43"/>
        <v>2.8571428571428572</v>
      </c>
      <c r="O189" s="37">
        <f t="shared" si="44"/>
        <v>3.6090225563909772</v>
      </c>
      <c r="P189" s="38">
        <f t="shared" si="45"/>
        <v>41</v>
      </c>
      <c r="Q189" s="39">
        <f t="shared" si="46"/>
        <v>117.14285714285714</v>
      </c>
      <c r="R189" s="39">
        <f t="shared" si="47"/>
        <v>147.96992481203006</v>
      </c>
      <c r="S189">
        <f t="shared" si="48"/>
        <v>1</v>
      </c>
      <c r="T189" s="39">
        <f t="shared" si="49"/>
        <v>30.827067669172919</v>
      </c>
      <c r="U189" t="str">
        <f t="shared" si="50"/>
        <v/>
      </c>
      <c r="V189">
        <f>IF(L189="","",IF($AO$1=1,IFERROR(MATCH(L189,'06-حزيران'!$L$2:$L$499,0),0),0))</f>
        <v>210</v>
      </c>
      <c r="W189" t="str">
        <f t="shared" si="51"/>
        <v/>
      </c>
      <c r="X189" s="38">
        <f>IF(L189="","",IF(V189&gt;0,INDEX('06-حزيران'!$P$2:$P$499,V189),IF($AO$1=1,0,"")))</f>
        <v>38</v>
      </c>
      <c r="Y189" s="38">
        <f t="shared" si="52"/>
        <v>3</v>
      </c>
      <c r="Z189" s="39">
        <f>IF(L189="","",IF(V189&gt;0,INDEX('06-حزيران'!$Q$2:$Q$499,V189),IF($AO$1=1,0,"")))</f>
        <v>109.39393939393941</v>
      </c>
      <c r="AA189" s="39">
        <f t="shared" si="53"/>
        <v>7.7489177489177337</v>
      </c>
      <c r="AB189" s="40">
        <f>IF(OR(L189="",V189=0),"",IF(AND(N(I189)&gt;0,N(INDEX('06-حزيران'!$I$2:$I$499,V189))&gt;0,INDEX('06-حزيران'!$F$2:$F$499,V189)=F189),N(I189)/N(INDEX('06-حزيران'!$I$2:$I$499,V189))-1,""))</f>
        <v>0</v>
      </c>
      <c r="AC189" t="str">
        <f>IF(L189="","",IF(AND($AO$2=1,ISNA(MATCH(L189,'08-آب'!$L$2:$L$501,0))),"محذوف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7.7489179379177333</v>
      </c>
      <c r="AH189" s="39">
        <f t="shared" si="55"/>
        <v>30.827067669172923</v>
      </c>
      <c r="AI189" s="39">
        <f t="shared" si="56"/>
        <v>30.827067669172923</v>
      </c>
      <c r="AJ189" s="39">
        <f t="shared" si="57"/>
        <v>30.827067669172923</v>
      </c>
      <c r="AK189">
        <f t="shared" si="58"/>
        <v>117.14285733185714</v>
      </c>
      <c r="AL189">
        <f t="shared" si="59"/>
        <v>30.827067858172921</v>
      </c>
    </row>
    <row r="190" spans="1:38" ht="15">
      <c r="A190" t="s">
        <v>479</v>
      </c>
      <c r="B190">
        <v>0</v>
      </c>
      <c r="C190">
        <v>270000</v>
      </c>
      <c r="D190">
        <v>270000</v>
      </c>
      <c r="E190">
        <v>270000</v>
      </c>
      <c r="F190" t="s">
        <v>389</v>
      </c>
      <c r="G190" t="s">
        <v>178</v>
      </c>
      <c r="H190" t="s">
        <v>12</v>
      </c>
      <c r="I190">
        <v>119500</v>
      </c>
      <c r="K190" t="str">
        <f t="shared" si="40"/>
        <v/>
      </c>
      <c r="L190" t="str">
        <f t="shared" si="41"/>
        <v>زيت صنوبر 3 لتر</v>
      </c>
      <c r="M190" s="36">
        <f t="shared" si="42"/>
        <v>7.5187969924812026E-5</v>
      </c>
      <c r="N190" s="37">
        <f t="shared" si="43"/>
        <v>8.9849624060150379</v>
      </c>
      <c r="O190" s="37">
        <f t="shared" si="44"/>
        <v>20.300751879699249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IF(L190="","",IF($AO$1=1,IFERROR(MATCH(L190,'06-حزيران'!$L$2:$L$499,0),0),0))</f>
        <v>211</v>
      </c>
      <c r="W190" t="str">
        <f t="shared" si="51"/>
        <v/>
      </c>
      <c r="X190" s="38">
        <f>IF(L190="","",IF(V190&gt;0,INDEX('06-حزيران'!$P$2:$P$499,V190),IF($AO$1=1,0,"")))</f>
        <v>0</v>
      </c>
      <c r="Y190" s="38">
        <f t="shared" si="52"/>
        <v>0</v>
      </c>
      <c r="Z190" s="39">
        <f>IF(L190="","",IF(V190&gt;0,INDEX('06-حزيران'!$Q$2:$Q$499,V190),IF($AO$1=1,0,"")))</f>
        <v>0</v>
      </c>
      <c r="AA190" s="39">
        <f t="shared" si="53"/>
        <v>0</v>
      </c>
      <c r="AB190" s="40">
        <f>IF(OR(L190="",V190=0),"",IF(AND(N(I190)&gt;0,N(INDEX('06-حزيران'!$I$2:$I$499,V190))&gt;0,INDEX('06-حزيران'!$F$2:$F$499,V190)=F190),N(I190)/N(INDEX('06-حزيران'!$I$2:$I$499,V190))-1,""))</f>
        <v>0</v>
      </c>
      <c r="AC190" t="str">
        <f>IF(L190="","",IF(AND($AO$2=1,ISNA(MATCH(L190,'08-آب'!$L$2:$L$501,0))),"محذوف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364</v>
      </c>
      <c r="B191">
        <v>11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176</v>
      </c>
      <c r="I191">
        <v>5</v>
      </c>
      <c r="K191" t="str">
        <f t="shared" si="40"/>
        <v/>
      </c>
      <c r="L191" t="str">
        <f t="shared" si="41"/>
        <v>زيت الصنوبر</v>
      </c>
      <c r="M191" s="36">
        <f t="shared" si="42"/>
        <v>1</v>
      </c>
      <c r="N191" s="37">
        <f t="shared" si="43"/>
        <v>5</v>
      </c>
      <c r="O191" s="37">
        <f t="shared" si="44"/>
        <v>0</v>
      </c>
      <c r="P191" s="38">
        <f t="shared" si="45"/>
        <v>11</v>
      </c>
      <c r="Q191" s="39">
        <f t="shared" si="46"/>
        <v>55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IF(L191="","",IF($AO$1=1,IFERROR(MATCH(L191,'06-حزيران'!$L$2:$L$499,0),0),0))</f>
        <v>97</v>
      </c>
      <c r="W191" t="str">
        <f t="shared" si="51"/>
        <v/>
      </c>
      <c r="X191" s="38">
        <f>IF(L191="","",IF(V191&gt;0,INDEX('06-حزيران'!$P$2:$P$499,V191),IF($AO$1=1,0,"")))</f>
        <v>24</v>
      </c>
      <c r="Y191" s="38">
        <f t="shared" si="52"/>
        <v>-13</v>
      </c>
      <c r="Z191" s="39">
        <f>IF(L191="","",IF(V191&gt;0,INDEX('06-حزيران'!$Q$2:$Q$499,V191),IF($AO$1=1,0,"")))</f>
        <v>120</v>
      </c>
      <c r="AA191" s="39">
        <f t="shared" si="53"/>
        <v>-65</v>
      </c>
      <c r="AB191" s="40">
        <f>IF(OR(L191="",V191=0),"",IF(AND(N(I191)&gt;0,N(INDEX('06-حزيران'!$I$2:$I$499,V191))&gt;0,INDEX('06-حزيران'!$F$2:$F$499,V191)=F191),N(I191)/N(INDEX('06-حزيران'!$I$2:$I$499,V191))-1,""))</f>
        <v>0</v>
      </c>
      <c r="AC191" t="str">
        <f>IF(L191="","",IF(AND($AO$2=1,ISNA(MATCH(L191,'08-آب'!$L$2:$L$501,0))),"محذوف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65.000000190999998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55.000000190999998</v>
      </c>
      <c r="AL191">
        <f t="shared" si="59"/>
        <v>1.91E-7</v>
      </c>
    </row>
    <row r="192" spans="1:38" ht="15">
      <c r="A192" t="s">
        <v>507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176</v>
      </c>
      <c r="I192">
        <v>100</v>
      </c>
      <c r="K192" t="str">
        <f t="shared" si="40"/>
        <v/>
      </c>
      <c r="L192" t="str">
        <f t="shared" si="41"/>
        <v>زنجارة</v>
      </c>
      <c r="M192" s="36">
        <f t="shared" si="42"/>
        <v>1</v>
      </c>
      <c r="N192" s="37">
        <f t="shared" si="43"/>
        <v>100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IF(L192="","",IF($AO$1=1,IFERROR(MATCH(L192,'06-حزيران'!$L$2:$L$499,0),0),0))</f>
        <v>0</v>
      </c>
      <c r="W192" t="str">
        <f t="shared" si="51"/>
        <v>جديد</v>
      </c>
      <c r="X192" s="38">
        <f>IF(L192="","",IF(V192&gt;0,INDEX('06-حزيران'!$P$2:$P$499,V192),IF($AO$1=1,0,"")))</f>
        <v>0</v>
      </c>
      <c r="Y192" s="38">
        <f t="shared" si="52"/>
        <v>0</v>
      </c>
      <c r="Z192" s="39">
        <f>IF(L192="","",IF(V192&gt;0,INDEX('06-حزيران'!$Q$2:$Q$499,V192),IF($AO$1=1,0,"")))</f>
        <v>0</v>
      </c>
      <c r="AA192" s="39">
        <f t="shared" si="53"/>
        <v>0</v>
      </c>
      <c r="AB192" s="40" t="str">
        <f>IF(OR(L192="",V192=0),"",IF(AND(N(I192)&gt;0,N(INDEX('06-حزيران'!$I$2:$I$499,V192))&gt;0,INDEX('06-حزيران'!$F$2:$F$499,V192)=F192),N(I192)/N(INDEX('06-حزيران'!$I$2:$I$499,V192))-1,""))</f>
        <v/>
      </c>
      <c r="AC192" t="str">
        <f>IF(L192="","",IF(AND($AO$2=1,ISNA(MATCH(L192,'08-آب'!$L$2:$L$501,0))),"محذوف لاحقاً",""))</f>
        <v/>
      </c>
      <c r="AD192">
        <f>IF(W192="جديد",COUNTIF(W$2:W192,"جديد"),"")</f>
        <v>3</v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365</v>
      </c>
      <c r="B193">
        <v>1731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176</v>
      </c>
      <c r="I193">
        <v>3</v>
      </c>
      <c r="K193" t="str">
        <f t="shared" ref="K193:K256" si="60">IF(L193="","",IF(U193&lt;&gt;"","⚠",""))</f>
        <v/>
      </c>
      <c r="L193" t="str">
        <f t="shared" ref="L193:L256" si="61">IF(A193="","",TRIM(A193))</f>
        <v>زفتة</v>
      </c>
      <c r="M193" s="36">
        <f t="shared" ref="M193:M256" si="62">IF(L193="","",IF(ISNUMBER(SEARCH("دولار",F193)),1,IF(ISNUMBER(SEARCH("ليرة",F193)),IF($AO$3&gt;0,1/$AO$3,0),0)))</f>
        <v>1</v>
      </c>
      <c r="N193" s="37">
        <f t="shared" ref="N193:N256" si="63">IF(L193="","",N(I193)*M193)</f>
        <v>3</v>
      </c>
      <c r="O193" s="37">
        <f t="shared" ref="O193:O256" si="64">IF(L193="","",M193*CHOOSE($AO$4,N(C193),N(D193),N(E193)))</f>
        <v>0</v>
      </c>
      <c r="P193" s="38">
        <f t="shared" ref="P193:P256" si="65">IF(L193="","",MAX(N(B193),0))</f>
        <v>1731</v>
      </c>
      <c r="Q193" s="39">
        <f t="shared" ref="Q193:Q256" si="66">IF(L193="","",P193*N193)</f>
        <v>5193</v>
      </c>
      <c r="R193" s="39">
        <f t="shared" ref="R193:R256" si="67">IF(L193="","",P193*O193)</f>
        <v>0</v>
      </c>
      <c r="S193">
        <f t="shared" ref="S193:S256" si="68">IF(L193="","",IF(AND(P193&gt;0,N193&gt;0,O193&gt;0),1,0))</f>
        <v>0</v>
      </c>
      <c r="T193" s="39">
        <f t="shared" ref="T193:T256" si="69">IF(L193="","",S193*(R193-Q193))</f>
        <v>0</v>
      </c>
      <c r="U193" t="str">
        <f t="shared" ref="U193:U256" si="70">IF(L193="","",MID(IF(OR(NOT(ISNUMBER(B193)),NOT(ISNUMBER(C193)),NOT(ISNUMBER(D193)),NOT(ISNUMBER(E193)),NOT(ISNUMBER(I193)),AND(NOT(ISNUMBER(SEARCH("دولار",F193))),NOT(ISNUMBER(SEARCH("ليرة",F193)))))," | بيانات غير صالحة","")&amp;IF(N(B193)&lt;0," | كمية سالبة","")&amp;IF(AND(N(B193)&gt;0,N(I193)=0)," | شراء صفر","")&amp;IF(AND(N(B193)&gt;0,TRIM(H193)=$AO$5,OR(N(C193)=0,N(D193)=0,N(E193)=0))," | بيع صفر","")&amp;IF(AND(N193&gt;0,O193&gt;0,O193&lt;N193)," | بيع أقل من الشراء","")&amp;IF(OR(AND(ISNUMBER(SEARCH("ليرة",F193)),OR(AND(N(I193)&gt;0,N(I193)&lt;$AO$6),AND(N(C193)&gt;0,N(C193)&lt;$AO$6),AND(N(D193)&gt;0,N(D193)&lt;$AO$6),AND(N(E193)&gt;0,N(E193)&lt;$AO$6))),AND(ISNUMBER(SEARCH("دولار",F193)),MAX(N(I193),N(C193),N(D193),N(E193))&gt;$AO$7))," | عملة/سعر مشكوك","")&amp;IF(AND(COUNTIF(C193:E193,"&gt;0")&gt;=2,MAX(N(C193),N(D193),N(E193))&gt;$AO$8*MIN(IF(N(C193)&gt;0,N(C193),1E+99),IF(N(D193)&gt;0,N(D193),1E+99),IF(N(E193)&gt;0,N(E193),1E+99)))," | تباين أسعار البيع","")&amp;IF(OR(TRIM(H193)="All",TRIM(H193)="")," | بلا تصنيف",""),4,300))</f>
        <v/>
      </c>
      <c r="V193">
        <f>IF(L193="","",IF($AO$1=1,IFERROR(MATCH(L193,'06-حزيران'!$L$2:$L$499,0),0),0))</f>
        <v>98</v>
      </c>
      <c r="W193" t="str">
        <f t="shared" ref="W193:W256" si="71">IF(L193="","",IF(AND($AO$1=1,V193=0),"جديد",""))</f>
        <v/>
      </c>
      <c r="X193" s="38">
        <f>IF(L193="","",IF(V193&gt;0,INDEX('06-حزيران'!$P$2:$P$499,V193),IF($AO$1=1,0,"")))</f>
        <v>576</v>
      </c>
      <c r="Y193" s="38">
        <f t="shared" ref="Y193:Y256" si="72">IF(OR(L193="",X193=""),"",P193-X193)</f>
        <v>1155</v>
      </c>
      <c r="Z193" s="39">
        <f>IF(L193="","",IF(V193&gt;0,INDEX('06-حزيران'!$Q$2:$Q$499,V193),IF($AO$1=1,0,"")))</f>
        <v>1728</v>
      </c>
      <c r="AA193" s="39">
        <f t="shared" ref="AA193:AA256" si="73">IF(OR(L193="",Z193=""),"",Q193-Z193)</f>
        <v>3465</v>
      </c>
      <c r="AB193" s="40">
        <f>IF(OR(L193="",V193=0),"",IF(AND(N(I193)&gt;0,N(INDEX('06-حزيران'!$I$2:$I$499,V193))&gt;0,INDEX('06-حزيران'!$F$2:$F$499,V193)=F193),N(I193)/N(INDEX('06-حزيران'!$I$2:$I$499,V193))-1,""))</f>
        <v>0</v>
      </c>
      <c r="AC193" t="str">
        <f>IF(L193="","",IF(AND($AO$2=1,ISNA(MATCH(L193,'08-آب'!$L$2:$L$501,0))),"محذوف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ref="AG193:AG256" si="74">IF(AA193="","",ABS(AA193)+ROW()/1000000000)</f>
        <v>3465.0000001929998</v>
      </c>
      <c r="AH193" s="39">
        <f t="shared" ref="AH193:AH256" si="75">IF(L193="","",IF(AND(P193&gt;0,N193&gt;0,N(C193)&gt;0),P193*(M193*N(C193)-N193),0))</f>
        <v>0</v>
      </c>
      <c r="AI193" s="39">
        <f t="shared" ref="AI193:AI256" si="76">IF(L193="","",IF(AND(P193&gt;0,N193&gt;0,N(D193)&gt;0),P193*(M193*N(D193)-N193),0))</f>
        <v>0</v>
      </c>
      <c r="AJ193" s="39">
        <f t="shared" ref="AJ193:AJ256" si="77">IF(L193="","",IF(AND(P193&gt;0,N193&gt;0,N(E193)&gt;0),P193*(M193*N(E193)-N193),0))</f>
        <v>0</v>
      </c>
      <c r="AK193">
        <f t="shared" ref="AK193:AK256" si="78">IF(L193="","",Q193+ROW()/1000000000)</f>
        <v>5193.0000001930002</v>
      </c>
      <c r="AL193">
        <f t="shared" ref="AL193:AL256" si="79">IF(L193="","",T193+ROW()/1000000000)</f>
        <v>1.9299999999999999E-7</v>
      </c>
    </row>
    <row r="194" spans="1:38" ht="15">
      <c r="A194" t="s">
        <v>480</v>
      </c>
      <c r="B194">
        <v>0.2</v>
      </c>
      <c r="C194">
        <v>1750000</v>
      </c>
      <c r="D194">
        <v>1750000</v>
      </c>
      <c r="E194">
        <v>1750000</v>
      </c>
      <c r="F194" t="s">
        <v>389</v>
      </c>
      <c r="G194" t="s">
        <v>178</v>
      </c>
      <c r="H194" t="s">
        <v>176</v>
      </c>
      <c r="I194">
        <v>812500</v>
      </c>
      <c r="K194" t="str">
        <f t="shared" si="60"/>
        <v/>
      </c>
      <c r="L194" t="str">
        <f t="shared" si="61"/>
        <v>ديتول خام</v>
      </c>
      <c r="M194" s="36">
        <f t="shared" si="62"/>
        <v>7.5187969924812026E-5</v>
      </c>
      <c r="N194" s="37">
        <f t="shared" si="63"/>
        <v>61.090225563909769</v>
      </c>
      <c r="O194" s="37">
        <f t="shared" si="64"/>
        <v>131.57894736842104</v>
      </c>
      <c r="P194" s="38">
        <f t="shared" si="65"/>
        <v>0.2</v>
      </c>
      <c r="Q194" s="39">
        <f t="shared" si="66"/>
        <v>12.218045112781954</v>
      </c>
      <c r="R194" s="39">
        <f t="shared" si="67"/>
        <v>26.315789473684209</v>
      </c>
      <c r="S194">
        <f t="shared" si="68"/>
        <v>1</v>
      </c>
      <c r="T194" s="39">
        <f t="shared" si="69"/>
        <v>14.097744360902254</v>
      </c>
      <c r="U194" t="str">
        <f t="shared" si="70"/>
        <v/>
      </c>
      <c r="V194">
        <f>IF(L194="","",IF($AO$1=1,IFERROR(MATCH(L194,'06-حزيران'!$L$2:$L$499,0),0),0))</f>
        <v>212</v>
      </c>
      <c r="W194" t="str">
        <f t="shared" si="71"/>
        <v/>
      </c>
      <c r="X194" s="38">
        <f>IF(L194="","",IF(V194&gt;0,INDEX('06-حزيران'!$P$2:$P$499,V194),IF($AO$1=1,0,"")))</f>
        <v>0</v>
      </c>
      <c r="Y194" s="38">
        <f t="shared" si="72"/>
        <v>0.2</v>
      </c>
      <c r="Z194" s="39">
        <f>IF(L194="","",IF(V194&gt;0,INDEX('06-حزيران'!$Q$2:$Q$499,V194),IF($AO$1=1,0,"")))</f>
        <v>0</v>
      </c>
      <c r="AA194" s="39">
        <f t="shared" si="73"/>
        <v>12.218045112781954</v>
      </c>
      <c r="AB194" s="40">
        <f>IF(OR(L194="",V194=0),"",IF(AND(N(I194)&gt;0,N(INDEX('06-حزيران'!$I$2:$I$499,V194))&gt;0,INDEX('06-حزيران'!$F$2:$F$499,V194)=F194),N(I194)/N(INDEX('06-حزيران'!$I$2:$I$499,V194))-1,""))</f>
        <v>124</v>
      </c>
      <c r="AC194" t="str">
        <f>IF(L194="","",IF(AND($AO$2=1,ISNA(MATCH(L194,'08-آب'!$L$2:$L$501,0))),"محذوف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si="74"/>
        <v>12.218045306781955</v>
      </c>
      <c r="AH194" s="39">
        <f t="shared" si="75"/>
        <v>14.097744360902254</v>
      </c>
      <c r="AI194" s="39">
        <f t="shared" si="76"/>
        <v>14.097744360902254</v>
      </c>
      <c r="AJ194" s="39">
        <f t="shared" si="77"/>
        <v>14.097744360902254</v>
      </c>
      <c r="AK194">
        <f t="shared" si="78"/>
        <v>12.218045306781955</v>
      </c>
      <c r="AL194">
        <f t="shared" si="79"/>
        <v>14.097744554902254</v>
      </c>
    </row>
    <row r="195" spans="1:38" ht="15">
      <c r="A195" t="s">
        <v>481</v>
      </c>
      <c r="B195">
        <v>0</v>
      </c>
      <c r="C195">
        <v>49000</v>
      </c>
      <c r="D195">
        <v>49000</v>
      </c>
      <c r="E195">
        <v>49000</v>
      </c>
      <c r="F195" t="s">
        <v>389</v>
      </c>
      <c r="G195" t="s">
        <v>178</v>
      </c>
      <c r="H195" t="s">
        <v>12</v>
      </c>
      <c r="I195">
        <v>24500</v>
      </c>
      <c r="K195" t="str">
        <f t="shared" si="60"/>
        <v/>
      </c>
      <c r="L195" t="str">
        <f t="shared" si="61"/>
        <v>ديتول 3 لتر</v>
      </c>
      <c r="M195" s="36">
        <f t="shared" si="62"/>
        <v>7.5187969924812026E-5</v>
      </c>
      <c r="N195" s="37">
        <f t="shared" si="63"/>
        <v>1.8421052631578947</v>
      </c>
      <c r="O195" s="37">
        <f t="shared" si="64"/>
        <v>3.6842105263157894</v>
      </c>
      <c r="P195" s="38">
        <f t="shared" si="65"/>
        <v>0</v>
      </c>
      <c r="Q195" s="39">
        <f t="shared" si="66"/>
        <v>0</v>
      </c>
      <c r="R195" s="39">
        <f t="shared" si="67"/>
        <v>0</v>
      </c>
      <c r="S195">
        <f t="shared" si="68"/>
        <v>0</v>
      </c>
      <c r="T195" s="39">
        <f t="shared" si="69"/>
        <v>0</v>
      </c>
      <c r="U195" t="str">
        <f t="shared" si="70"/>
        <v/>
      </c>
      <c r="V195">
        <f>IF(L195="","",IF($AO$1=1,IFERROR(MATCH(L195,'06-حزيران'!$L$2:$L$499,0),0),0))</f>
        <v>213</v>
      </c>
      <c r="W195" t="str">
        <f t="shared" si="71"/>
        <v/>
      </c>
      <c r="X195" s="38">
        <f>IF(L195="","",IF(V195&gt;0,INDEX('06-حزيران'!$P$2:$P$499,V195),IF($AO$1=1,0,"")))</f>
        <v>0</v>
      </c>
      <c r="Y195" s="38">
        <f t="shared" si="72"/>
        <v>0</v>
      </c>
      <c r="Z195" s="39">
        <f>IF(L195="","",IF(V195&gt;0,INDEX('06-حزيران'!$Q$2:$Q$499,V195),IF($AO$1=1,0,"")))</f>
        <v>0</v>
      </c>
      <c r="AA195" s="39">
        <f t="shared" si="73"/>
        <v>0</v>
      </c>
      <c r="AB195" s="40">
        <f>IF(OR(L195="",V195=0),"",IF(AND(N(I195)&gt;0,N(INDEX('06-حزيران'!$I$2:$I$499,V195))&gt;0,INDEX('06-حزيران'!$F$2:$F$499,V195)=F195),N(I195)/N(INDEX('06-حزيران'!$I$2:$I$499,V195))-1,""))</f>
        <v>0</v>
      </c>
      <c r="AC195" t="str">
        <f>IF(L195="","",IF(AND($AO$2=1,ISNA(MATCH(L195,'08-آب'!$L$2:$L$501,0))),"محذوف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1.9500000000000001E-7</v>
      </c>
      <c r="AH195" s="39">
        <f t="shared" si="75"/>
        <v>0</v>
      </c>
      <c r="AI195" s="39">
        <f t="shared" si="76"/>
        <v>0</v>
      </c>
      <c r="AJ195" s="39">
        <f t="shared" si="77"/>
        <v>0</v>
      </c>
      <c r="AK195">
        <f t="shared" si="78"/>
        <v>1.9500000000000001E-7</v>
      </c>
      <c r="AL195">
        <f t="shared" si="79"/>
        <v>1.9500000000000001E-7</v>
      </c>
    </row>
    <row r="196" spans="1:38" ht="15">
      <c r="A196" t="s">
        <v>482</v>
      </c>
      <c r="B196">
        <v>0</v>
      </c>
      <c r="C196">
        <v>14000</v>
      </c>
      <c r="D196">
        <v>14000</v>
      </c>
      <c r="E196">
        <v>14000</v>
      </c>
      <c r="F196" t="s">
        <v>389</v>
      </c>
      <c r="G196" t="s">
        <v>178</v>
      </c>
      <c r="H196" t="s">
        <v>12</v>
      </c>
      <c r="I196">
        <v>7000</v>
      </c>
      <c r="K196" t="str">
        <f t="shared" si="60"/>
        <v/>
      </c>
      <c r="L196" t="str">
        <f t="shared" si="61"/>
        <v>ديتول / فرط</v>
      </c>
      <c r="M196" s="36">
        <f t="shared" si="62"/>
        <v>7.5187969924812026E-5</v>
      </c>
      <c r="N196" s="37">
        <f t="shared" si="63"/>
        <v>0.52631578947368418</v>
      </c>
      <c r="O196" s="37">
        <f t="shared" si="64"/>
        <v>1.0526315789473684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IF(L196="","",IF($AO$1=1,IFERROR(MATCH(L196,'06-حزيران'!$L$2:$L$499,0),0),0))</f>
        <v>214</v>
      </c>
      <c r="W196" t="str">
        <f t="shared" si="71"/>
        <v/>
      </c>
      <c r="X196" s="38">
        <f>IF(L196="","",IF(V196&gt;0,INDEX('06-حزيران'!$P$2:$P$499,V196),IF($AO$1=1,0,"")))</f>
        <v>0</v>
      </c>
      <c r="Y196" s="38">
        <f t="shared" si="72"/>
        <v>0</v>
      </c>
      <c r="Z196" s="39">
        <f>IF(L196="","",IF(V196&gt;0,INDEX('06-حزيران'!$Q$2:$Q$499,V196),IF($AO$1=1,0,"")))</f>
        <v>0</v>
      </c>
      <c r="AA196" s="39">
        <f t="shared" si="73"/>
        <v>0</v>
      </c>
      <c r="AB196" s="40">
        <f>IF(OR(L196="",V196=0),"",IF(AND(N(I196)&gt;0,N(INDEX('06-حزيران'!$I$2:$I$499,V196))&gt;0,INDEX('06-حزيران'!$F$2:$F$499,V196)=F196),N(I196)/N(INDEX('06-حزيران'!$I$2:$I$499,V196))-1,""))</f>
        <v>0</v>
      </c>
      <c r="AC196" t="str">
        <f>IF(L196="","",IF(AND($AO$2=1,ISNA(MATCH(L196,'08-آب'!$L$2:$L$501,0))),"محذوف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366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176</v>
      </c>
      <c r="I197">
        <v>0</v>
      </c>
      <c r="K197" t="str">
        <f t="shared" si="60"/>
        <v/>
      </c>
      <c r="L197" t="str">
        <f t="shared" si="61"/>
        <v>ديباتيول فينب</v>
      </c>
      <c r="M197" s="36">
        <f t="shared" si="62"/>
        <v>1</v>
      </c>
      <c r="N197" s="37">
        <f t="shared" si="63"/>
        <v>0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IF(L197="","",IF($AO$1=1,IFERROR(MATCH(L197,'06-حزيران'!$L$2:$L$499,0),0),0))</f>
        <v>99</v>
      </c>
      <c r="W197" t="str">
        <f t="shared" si="71"/>
        <v/>
      </c>
      <c r="X197" s="38">
        <f>IF(L197="","",IF(V197&gt;0,INDEX('06-حزيران'!$P$2:$P$499,V197),IF($AO$1=1,0,"")))</f>
        <v>0</v>
      </c>
      <c r="Y197" s="38">
        <f t="shared" si="72"/>
        <v>0</v>
      </c>
      <c r="Z197" s="39">
        <f>IF(L197="","",IF(V197&gt;0,INDEX('06-حزيران'!$Q$2:$Q$499,V197),IF($AO$1=1,0,"")))</f>
        <v>0</v>
      </c>
      <c r="AA197" s="39">
        <f t="shared" si="73"/>
        <v>0</v>
      </c>
      <c r="AB197" s="40" t="str">
        <f>IF(OR(L197="",V197=0),"",IF(AND(N(I197)&gt;0,N(INDEX('06-حزيران'!$I$2:$I$499,V197))&gt;0,INDEX('06-حزيران'!$F$2:$F$499,V197)=F197),N(I197)/N(INDEX('06-حزيران'!$I$2:$I$499,V197))-1,""))</f>
        <v/>
      </c>
      <c r="AC197" t="str">
        <f>IF(L197="","",IF(AND($AO$2=1,ISNA(MATCH(L197,'08-آب'!$L$2:$L$501,0))),"محذوف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367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176</v>
      </c>
      <c r="I198">
        <v>0.66</v>
      </c>
      <c r="K198" t="str">
        <f t="shared" si="60"/>
        <v/>
      </c>
      <c r="L198" t="str">
        <f t="shared" si="61"/>
        <v>دواء غسيل نصف مصنع</v>
      </c>
      <c r="M198" s="36">
        <f t="shared" si="62"/>
        <v>1</v>
      </c>
      <c r="N198" s="37">
        <f t="shared" si="63"/>
        <v>0.66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IF(L198="","",IF($AO$1=1,IFERROR(MATCH(L198,'06-حزيران'!$L$2:$L$499,0),0),0))</f>
        <v>100</v>
      </c>
      <c r="W198" t="str">
        <f t="shared" si="71"/>
        <v/>
      </c>
      <c r="X198" s="38">
        <f>IF(L198="","",IF(V198&gt;0,INDEX('06-حزيران'!$P$2:$P$499,V198),IF($AO$1=1,0,"")))</f>
        <v>34</v>
      </c>
      <c r="Y198" s="38">
        <f t="shared" si="72"/>
        <v>-34</v>
      </c>
      <c r="Z198" s="39">
        <f>IF(L198="","",IF(V198&gt;0,INDEX('06-حزيران'!$Q$2:$Q$499,V198),IF($AO$1=1,0,"")))</f>
        <v>22.44</v>
      </c>
      <c r="AA198" s="39">
        <f t="shared" si="73"/>
        <v>-22.44</v>
      </c>
      <c r="AB198" s="40">
        <f>IF(OR(L198="",V198=0),"",IF(AND(N(I198)&gt;0,N(INDEX('06-حزيران'!$I$2:$I$499,V198))&gt;0,INDEX('06-حزيران'!$F$2:$F$499,V198)=F198),N(I198)/N(INDEX('06-حزيران'!$I$2:$I$499,V198))-1,""))</f>
        <v>0</v>
      </c>
      <c r="AC198" t="str">
        <f>IF(L198="","",IF(AND($AO$2=1,ISNA(MATCH(L198,'08-آب'!$L$2:$L$501,0))),"محذوف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22.440000198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483</v>
      </c>
      <c r="B199">
        <v>541</v>
      </c>
      <c r="C199">
        <v>11000</v>
      </c>
      <c r="D199">
        <v>11000</v>
      </c>
      <c r="E199">
        <v>11000</v>
      </c>
      <c r="F199" t="s">
        <v>389</v>
      </c>
      <c r="G199" t="s">
        <v>178</v>
      </c>
      <c r="H199" t="s">
        <v>12</v>
      </c>
      <c r="I199">
        <v>9000</v>
      </c>
      <c r="K199" t="str">
        <f t="shared" si="60"/>
        <v/>
      </c>
      <c r="L199" t="str">
        <f t="shared" si="61"/>
        <v>دواء غسيل بودرا</v>
      </c>
      <c r="M199" s="36">
        <f t="shared" si="62"/>
        <v>7.5187969924812026E-5</v>
      </c>
      <c r="N199" s="37">
        <f t="shared" si="63"/>
        <v>0.67669172932330823</v>
      </c>
      <c r="O199" s="37">
        <f t="shared" si="64"/>
        <v>0.82706766917293228</v>
      </c>
      <c r="P199" s="38">
        <f t="shared" si="65"/>
        <v>541</v>
      </c>
      <c r="Q199" s="39">
        <f t="shared" si="66"/>
        <v>366.09022556390977</v>
      </c>
      <c r="R199" s="39">
        <f t="shared" si="67"/>
        <v>447.44360902255636</v>
      </c>
      <c r="S199">
        <f t="shared" si="68"/>
        <v>1</v>
      </c>
      <c r="T199" s="39">
        <f t="shared" si="69"/>
        <v>81.35338345864659</v>
      </c>
      <c r="U199" t="str">
        <f t="shared" si="70"/>
        <v/>
      </c>
      <c r="V199">
        <f>IF(L199="","",IF($AO$1=1,IFERROR(MATCH(L199,'06-حزيران'!$L$2:$L$499,0),0),0))</f>
        <v>215</v>
      </c>
      <c r="W199" t="str">
        <f t="shared" si="71"/>
        <v/>
      </c>
      <c r="X199" s="38">
        <f>IF(L199="","",IF(V199&gt;0,INDEX('06-حزيران'!$P$2:$P$499,V199),IF($AO$1=1,0,"")))</f>
        <v>589</v>
      </c>
      <c r="Y199" s="38">
        <f t="shared" si="72"/>
        <v>-48</v>
      </c>
      <c r="Z199" s="39">
        <f>IF(L199="","",IF(V199&gt;0,INDEX('06-حزيران'!$Q$2:$Q$499,V199),IF($AO$1=1,0,"")))</f>
        <v>401.59090909090907</v>
      </c>
      <c r="AA199" s="39">
        <f t="shared" si="73"/>
        <v>-35.500683526999296</v>
      </c>
      <c r="AB199" s="40">
        <f>IF(OR(L199="",V199=0),"",IF(AND(N(I199)&gt;0,N(INDEX('06-حزيران'!$I$2:$I$499,V199))&gt;0,INDEX('06-حزيران'!$F$2:$F$499,V199)=F199),N(I199)/N(INDEX('06-حزيران'!$I$2:$I$499,V199))-1,""))</f>
        <v>0</v>
      </c>
      <c r="AC199" t="str">
        <f>IF(L199="","",IF(AND($AO$2=1,ISNA(MATCH(L199,'08-آب'!$L$2:$L$501,0))),"محذوف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35.500683725999295</v>
      </c>
      <c r="AH199" s="39">
        <f t="shared" si="75"/>
        <v>81.353383458646618</v>
      </c>
      <c r="AI199" s="39">
        <f t="shared" si="76"/>
        <v>81.353383458646618</v>
      </c>
      <c r="AJ199" s="39">
        <f t="shared" si="77"/>
        <v>81.353383458646618</v>
      </c>
      <c r="AK199">
        <f t="shared" si="78"/>
        <v>366.09022576290977</v>
      </c>
      <c r="AL199">
        <f t="shared" si="79"/>
        <v>81.353383657646589</v>
      </c>
    </row>
    <row r="200" spans="1:38" ht="15">
      <c r="A200" t="s">
        <v>484</v>
      </c>
      <c r="B200">
        <v>0</v>
      </c>
      <c r="C200">
        <v>200000</v>
      </c>
      <c r="D200">
        <v>200000</v>
      </c>
      <c r="E200">
        <v>200000</v>
      </c>
      <c r="F200" t="s">
        <v>389</v>
      </c>
      <c r="G200" t="s">
        <v>178</v>
      </c>
      <c r="H200" t="s">
        <v>12</v>
      </c>
      <c r="I200">
        <v>144000</v>
      </c>
      <c r="K200" t="str">
        <f t="shared" si="60"/>
        <v/>
      </c>
      <c r="L200" t="str">
        <f t="shared" si="61"/>
        <v>دوا غسيل نورا</v>
      </c>
      <c r="M200" s="36">
        <f t="shared" si="62"/>
        <v>7.5187969924812026E-5</v>
      </c>
      <c r="N200" s="37">
        <f t="shared" si="63"/>
        <v>10.827067669172932</v>
      </c>
      <c r="O200" s="37">
        <f t="shared" si="64"/>
        <v>15.037593984962406</v>
      </c>
      <c r="P200" s="38">
        <f t="shared" si="65"/>
        <v>0</v>
      </c>
      <c r="Q200" s="39">
        <f t="shared" si="66"/>
        <v>0</v>
      </c>
      <c r="R200" s="39">
        <f t="shared" si="67"/>
        <v>0</v>
      </c>
      <c r="S200">
        <f t="shared" si="68"/>
        <v>0</v>
      </c>
      <c r="T200" s="39">
        <f t="shared" si="69"/>
        <v>0</v>
      </c>
      <c r="U200" t="str">
        <f t="shared" si="70"/>
        <v/>
      </c>
      <c r="V200">
        <f>IF(L200="","",IF($AO$1=1,IFERROR(MATCH(L200,'06-حزيران'!$L$2:$L$499,0),0),0))</f>
        <v>216</v>
      </c>
      <c r="W200" t="str">
        <f t="shared" si="71"/>
        <v/>
      </c>
      <c r="X200" s="38">
        <f>IF(L200="","",IF(V200&gt;0,INDEX('06-حزيران'!$P$2:$P$499,V200),IF($AO$1=1,0,"")))</f>
        <v>0</v>
      </c>
      <c r="Y200" s="38">
        <f t="shared" si="72"/>
        <v>0</v>
      </c>
      <c r="Z200" s="39">
        <f>IF(L200="","",IF(V200&gt;0,INDEX('06-حزيران'!$Q$2:$Q$499,V200),IF($AO$1=1,0,"")))</f>
        <v>0</v>
      </c>
      <c r="AA200" s="39">
        <f t="shared" si="73"/>
        <v>0</v>
      </c>
      <c r="AB200" s="40">
        <f>IF(OR(L200="",V200=0),"",IF(AND(N(I200)&gt;0,N(INDEX('06-حزيران'!$I$2:$I$499,V200))&gt;0,INDEX('06-حزيران'!$F$2:$F$499,V200)=F200),N(I200)/N(INDEX('06-حزيران'!$I$2:$I$499,V200))-1,""))</f>
        <v>0</v>
      </c>
      <c r="AC200" t="str">
        <f>IF(L200="","",IF(AND($AO$2=1,ISNA(MATCH(L200,'08-آب'!$L$2:$L$501,0))),"محذوف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1.9999999999999999E-7</v>
      </c>
      <c r="AH200" s="39">
        <f t="shared" si="75"/>
        <v>0</v>
      </c>
      <c r="AI200" s="39">
        <f t="shared" si="76"/>
        <v>0</v>
      </c>
      <c r="AJ200" s="39">
        <f t="shared" si="77"/>
        <v>0</v>
      </c>
      <c r="AK200">
        <f t="shared" si="78"/>
        <v>1.9999999999999999E-7</v>
      </c>
      <c r="AL200">
        <f t="shared" si="79"/>
        <v>1.9999999999999999E-7</v>
      </c>
    </row>
    <row r="201" spans="1:38" ht="15">
      <c r="A201" t="s">
        <v>368</v>
      </c>
      <c r="B201">
        <v>0</v>
      </c>
      <c r="C201">
        <v>0</v>
      </c>
      <c r="D201">
        <v>0</v>
      </c>
      <c r="E201">
        <v>0</v>
      </c>
      <c r="F201" t="s">
        <v>268</v>
      </c>
      <c r="G201" t="s">
        <v>178</v>
      </c>
      <c r="H201" t="s">
        <v>177</v>
      </c>
      <c r="I201">
        <v>69</v>
      </c>
      <c r="K201" t="str">
        <f t="shared" si="60"/>
        <v/>
      </c>
      <c r="L201" t="str">
        <f t="shared" si="61"/>
        <v>دوا غسيل بودرا 60 كغ خام</v>
      </c>
      <c r="M201" s="36">
        <f t="shared" si="62"/>
        <v>1</v>
      </c>
      <c r="N201" s="37">
        <f t="shared" si="63"/>
        <v>69</v>
      </c>
      <c r="O201" s="37">
        <f t="shared" si="64"/>
        <v>0</v>
      </c>
      <c r="P201" s="38">
        <f t="shared" si="65"/>
        <v>0</v>
      </c>
      <c r="Q201" s="39">
        <f t="shared" si="66"/>
        <v>0</v>
      </c>
      <c r="R201" s="39">
        <f t="shared" si="67"/>
        <v>0</v>
      </c>
      <c r="S201">
        <f t="shared" si="68"/>
        <v>0</v>
      </c>
      <c r="T201" s="39">
        <f t="shared" si="69"/>
        <v>0</v>
      </c>
      <c r="U201" t="str">
        <f t="shared" si="70"/>
        <v/>
      </c>
      <c r="V201">
        <f>IF(L201="","",IF($AO$1=1,IFERROR(MATCH(L201,'06-حزيران'!$L$2:$L$499,0),0),0))</f>
        <v>101</v>
      </c>
      <c r="W201" t="str">
        <f t="shared" si="71"/>
        <v/>
      </c>
      <c r="X201" s="38">
        <f>IF(L201="","",IF(V201&gt;0,INDEX('06-حزيران'!$P$2:$P$499,V201),IF($AO$1=1,0,"")))</f>
        <v>0</v>
      </c>
      <c r="Y201" s="38">
        <f t="shared" si="72"/>
        <v>0</v>
      </c>
      <c r="Z201" s="39">
        <f>IF(L201="","",IF(V201&gt;0,INDEX('06-حزيران'!$Q$2:$Q$499,V201),IF($AO$1=1,0,"")))</f>
        <v>0</v>
      </c>
      <c r="AA201" s="39">
        <f t="shared" si="73"/>
        <v>0</v>
      </c>
      <c r="AB201" s="40">
        <f>IF(OR(L201="",V201=0),"",IF(AND(N(I201)&gt;0,N(INDEX('06-حزيران'!$I$2:$I$499,V201))&gt;0,INDEX('06-حزيران'!$F$2:$F$499,V201)=F201),N(I201)/N(INDEX('06-حزيران'!$I$2:$I$499,V201))-1,""))</f>
        <v>0</v>
      </c>
      <c r="AC201" t="str">
        <f>IF(L201="","",IF(AND($AO$2=1,ISNA(MATCH(L201,'08-آب'!$L$2:$L$501,0))),"محذوف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2.0100000000000001E-7</v>
      </c>
      <c r="AH201" s="39">
        <f t="shared" si="75"/>
        <v>0</v>
      </c>
      <c r="AI201" s="39">
        <f t="shared" si="76"/>
        <v>0</v>
      </c>
      <c r="AJ201" s="39">
        <f t="shared" si="77"/>
        <v>0</v>
      </c>
      <c r="AK201">
        <f t="shared" si="78"/>
        <v>2.0100000000000001E-7</v>
      </c>
      <c r="AL201">
        <f t="shared" si="79"/>
        <v>2.0100000000000001E-7</v>
      </c>
    </row>
    <row r="202" spans="1:38" ht="15">
      <c r="A202" t="s">
        <v>369</v>
      </c>
      <c r="B202">
        <v>0</v>
      </c>
      <c r="C202">
        <v>0</v>
      </c>
      <c r="D202">
        <v>0</v>
      </c>
      <c r="E202">
        <v>0</v>
      </c>
      <c r="F202" t="s">
        <v>268</v>
      </c>
      <c r="G202" t="s">
        <v>178</v>
      </c>
      <c r="H202" t="s">
        <v>177</v>
      </c>
      <c r="I202">
        <v>105.4</v>
      </c>
      <c r="K202" t="str">
        <f t="shared" si="60"/>
        <v/>
      </c>
      <c r="L202" t="str">
        <f t="shared" si="61"/>
        <v>دوا غسيل بودرا 170 كغ خام</v>
      </c>
      <c r="M202" s="36">
        <f t="shared" si="62"/>
        <v>1</v>
      </c>
      <c r="N202" s="37">
        <f t="shared" si="63"/>
        <v>105.4</v>
      </c>
      <c r="O202" s="37">
        <f t="shared" si="64"/>
        <v>0</v>
      </c>
      <c r="P202" s="38">
        <f t="shared" si="65"/>
        <v>0</v>
      </c>
      <c r="Q202" s="39">
        <f t="shared" si="66"/>
        <v>0</v>
      </c>
      <c r="R202" s="39">
        <f t="shared" si="67"/>
        <v>0</v>
      </c>
      <c r="S202">
        <f t="shared" si="68"/>
        <v>0</v>
      </c>
      <c r="T202" s="39">
        <f t="shared" si="69"/>
        <v>0</v>
      </c>
      <c r="U202" t="str">
        <f t="shared" si="70"/>
        <v/>
      </c>
      <c r="V202">
        <f>IF(L202="","",IF($AO$1=1,IFERROR(MATCH(L202,'06-حزيران'!$L$2:$L$499,0),0),0))</f>
        <v>102</v>
      </c>
      <c r="W202" t="str">
        <f t="shared" si="71"/>
        <v/>
      </c>
      <c r="X202" s="38">
        <f>IF(L202="","",IF(V202&gt;0,INDEX('06-حزيران'!$P$2:$P$499,V202),IF($AO$1=1,0,"")))</f>
        <v>0</v>
      </c>
      <c r="Y202" s="38">
        <f t="shared" si="72"/>
        <v>0</v>
      </c>
      <c r="Z202" s="39">
        <f>IF(L202="","",IF(V202&gt;0,INDEX('06-حزيران'!$Q$2:$Q$499,V202),IF($AO$1=1,0,"")))</f>
        <v>0</v>
      </c>
      <c r="AA202" s="39">
        <f t="shared" si="73"/>
        <v>0</v>
      </c>
      <c r="AB202" s="40">
        <f>IF(OR(L202="",V202=0),"",IF(AND(N(I202)&gt;0,N(INDEX('06-حزيران'!$I$2:$I$499,V202))&gt;0,INDEX('06-حزيران'!$F$2:$F$499,V202)=F202),N(I202)/N(INDEX('06-حزيران'!$I$2:$I$499,V202))-1,""))</f>
        <v>0</v>
      </c>
      <c r="AC202" t="str">
        <f>IF(L202="","",IF(AND($AO$2=1,ISNA(MATCH(L202,'08-آب'!$L$2:$L$501,0))),"محذوف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2.0200000000000001E-7</v>
      </c>
      <c r="AH202" s="39">
        <f t="shared" si="75"/>
        <v>0</v>
      </c>
      <c r="AI202" s="39">
        <f t="shared" si="76"/>
        <v>0</v>
      </c>
      <c r="AJ202" s="39">
        <f t="shared" si="77"/>
        <v>0</v>
      </c>
      <c r="AK202">
        <f t="shared" si="78"/>
        <v>2.0200000000000001E-7</v>
      </c>
      <c r="AL202">
        <f t="shared" si="79"/>
        <v>2.0200000000000001E-7</v>
      </c>
    </row>
    <row r="203" spans="1:38" ht="15">
      <c r="A203" t="s">
        <v>370</v>
      </c>
      <c r="B203">
        <v>0</v>
      </c>
      <c r="C203">
        <v>0</v>
      </c>
      <c r="D203">
        <v>0</v>
      </c>
      <c r="E203">
        <v>0</v>
      </c>
      <c r="F203" t="s">
        <v>268</v>
      </c>
      <c r="G203" t="s">
        <v>178</v>
      </c>
      <c r="H203" t="s">
        <v>177</v>
      </c>
      <c r="I203">
        <v>60.48</v>
      </c>
      <c r="K203" t="str">
        <f t="shared" si="60"/>
        <v/>
      </c>
      <c r="L203" t="str">
        <f t="shared" si="61"/>
        <v>دوا غسيل بودرا &amp;&amp; كغ خام</v>
      </c>
      <c r="M203" s="36">
        <f t="shared" si="62"/>
        <v>1</v>
      </c>
      <c r="N203" s="37">
        <f t="shared" si="63"/>
        <v>60.48</v>
      </c>
      <c r="O203" s="37">
        <f t="shared" si="64"/>
        <v>0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IF(L203="","",IF($AO$1=1,IFERROR(MATCH(L203,'06-حزيران'!$L$2:$L$499,0),0),0))</f>
        <v>103</v>
      </c>
      <c r="W203" t="str">
        <f t="shared" si="71"/>
        <v/>
      </c>
      <c r="X203" s="38">
        <f>IF(L203="","",IF(V203&gt;0,INDEX('06-حزيران'!$P$2:$P$499,V203),IF($AO$1=1,0,"")))</f>
        <v>0</v>
      </c>
      <c r="Y203" s="38">
        <f t="shared" si="72"/>
        <v>0</v>
      </c>
      <c r="Z203" s="39">
        <f>IF(L203="","",IF(V203&gt;0,INDEX('06-حزيران'!$Q$2:$Q$499,V203),IF($AO$1=1,0,"")))</f>
        <v>0</v>
      </c>
      <c r="AA203" s="39">
        <f t="shared" si="73"/>
        <v>0</v>
      </c>
      <c r="AB203" s="40">
        <f>IF(OR(L203="",V203=0),"",IF(AND(N(I203)&gt;0,N(INDEX('06-حزيران'!$I$2:$I$499,V203))&gt;0,INDEX('06-حزيران'!$F$2:$F$499,V203)=F203),N(I203)/N(INDEX('06-حزيران'!$I$2:$I$499,V203))-1,""))</f>
        <v>0</v>
      </c>
      <c r="AC203" t="str">
        <f>IF(L203="","",IF(AND($AO$2=1,ISNA(MATCH(L203,'08-آب'!$L$2:$L$501,0))),"محذوف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2.03E-7</v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485</v>
      </c>
      <c r="B204">
        <v>0</v>
      </c>
      <c r="C204">
        <v>13000</v>
      </c>
      <c r="D204">
        <v>13000</v>
      </c>
      <c r="E204">
        <v>13000</v>
      </c>
      <c r="F204" t="s">
        <v>389</v>
      </c>
      <c r="G204" t="s">
        <v>178</v>
      </c>
      <c r="H204" t="s">
        <v>12</v>
      </c>
      <c r="I204">
        <v>5500</v>
      </c>
      <c r="K204" t="str">
        <f t="shared" si="60"/>
        <v/>
      </c>
      <c r="L204" t="str">
        <f t="shared" si="61"/>
        <v>دفتر</v>
      </c>
      <c r="M204" s="36">
        <f t="shared" si="62"/>
        <v>7.5187969924812026E-5</v>
      </c>
      <c r="N204" s="37">
        <f t="shared" si="63"/>
        <v>0.41353383458646614</v>
      </c>
      <c r="O204" s="37">
        <f t="shared" si="64"/>
        <v>0.97744360902255634</v>
      </c>
      <c r="P204" s="38">
        <f t="shared" si="65"/>
        <v>0</v>
      </c>
      <c r="Q204" s="39">
        <f t="shared" si="66"/>
        <v>0</v>
      </c>
      <c r="R204" s="39">
        <f t="shared" si="67"/>
        <v>0</v>
      </c>
      <c r="S204">
        <f t="shared" si="68"/>
        <v>0</v>
      </c>
      <c r="T204" s="39">
        <f t="shared" si="69"/>
        <v>0</v>
      </c>
      <c r="U204" t="str">
        <f t="shared" si="70"/>
        <v/>
      </c>
      <c r="V204">
        <f>IF(L204="","",IF($AO$1=1,IFERROR(MATCH(L204,'06-حزيران'!$L$2:$L$499,0),0),0))</f>
        <v>217</v>
      </c>
      <c r="W204" t="str">
        <f t="shared" si="71"/>
        <v/>
      </c>
      <c r="X204" s="38">
        <f>IF(L204="","",IF(V204&gt;0,INDEX('06-حزيران'!$P$2:$P$499,V204),IF($AO$1=1,0,"")))</f>
        <v>0</v>
      </c>
      <c r="Y204" s="38">
        <f t="shared" si="72"/>
        <v>0</v>
      </c>
      <c r="Z204" s="39">
        <f>IF(L204="","",IF(V204&gt;0,INDEX('06-حزيران'!$Q$2:$Q$499,V204),IF($AO$1=1,0,"")))</f>
        <v>0</v>
      </c>
      <c r="AA204" s="39">
        <f t="shared" si="73"/>
        <v>0</v>
      </c>
      <c r="AB204" s="40">
        <f>IF(OR(L204="",V204=0),"",IF(AND(N(I204)&gt;0,N(INDEX('06-حزيران'!$I$2:$I$499,V204))&gt;0,INDEX('06-حزيران'!$F$2:$F$499,V204)=F204),N(I204)/N(INDEX('06-حزيران'!$I$2:$I$499,V204))-1,""))</f>
        <v>0</v>
      </c>
      <c r="AC204" t="str">
        <f>IF(L204="","",IF(AND($AO$2=1,ISNA(MATCH(L204,'08-آب'!$L$2:$L$501,0))),"محذوف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2.04E-7</v>
      </c>
      <c r="AH204" s="39">
        <f t="shared" si="75"/>
        <v>0</v>
      </c>
      <c r="AI204" s="39">
        <f t="shared" si="76"/>
        <v>0</v>
      </c>
      <c r="AJ204" s="39">
        <f t="shared" si="77"/>
        <v>0</v>
      </c>
      <c r="AK204">
        <f t="shared" si="78"/>
        <v>2.04E-7</v>
      </c>
      <c r="AL204">
        <f t="shared" si="79"/>
        <v>2.04E-7</v>
      </c>
    </row>
    <row r="205" spans="1:38" ht="15">
      <c r="A205" t="s">
        <v>486</v>
      </c>
      <c r="B205">
        <v>2</v>
      </c>
      <c r="C205">
        <v>0</v>
      </c>
      <c r="D205">
        <v>0</v>
      </c>
      <c r="E205">
        <v>0</v>
      </c>
      <c r="F205" t="s">
        <v>389</v>
      </c>
      <c r="G205" t="s">
        <v>178</v>
      </c>
      <c r="H205" t="s">
        <v>176</v>
      </c>
      <c r="I205">
        <v>28000</v>
      </c>
      <c r="K205" t="str">
        <f t="shared" si="60"/>
        <v/>
      </c>
      <c r="L205" t="str">
        <f t="shared" si="61"/>
        <v>دبجانة 50 كغ</v>
      </c>
      <c r="M205" s="36">
        <f t="shared" si="62"/>
        <v>7.5187969924812026E-5</v>
      </c>
      <c r="N205" s="37">
        <f t="shared" si="63"/>
        <v>2.1052631578947367</v>
      </c>
      <c r="O205" s="37">
        <f t="shared" si="64"/>
        <v>0</v>
      </c>
      <c r="P205" s="38">
        <f t="shared" si="65"/>
        <v>2</v>
      </c>
      <c r="Q205" s="39">
        <f t="shared" si="66"/>
        <v>4.2105263157894735</v>
      </c>
      <c r="R205" s="39">
        <f t="shared" si="67"/>
        <v>0</v>
      </c>
      <c r="S205">
        <f t="shared" si="68"/>
        <v>0</v>
      </c>
      <c r="T205" s="39">
        <f t="shared" si="69"/>
        <v>0</v>
      </c>
      <c r="U205" t="str">
        <f t="shared" si="70"/>
        <v/>
      </c>
      <c r="V205">
        <f>IF(L205="","",IF($AO$1=1,IFERROR(MATCH(L205,'06-حزيران'!$L$2:$L$499,0),0),0))</f>
        <v>218</v>
      </c>
      <c r="W205" t="str">
        <f t="shared" si="71"/>
        <v/>
      </c>
      <c r="X205" s="38">
        <f>IF(L205="","",IF(V205&gt;0,INDEX('06-حزيران'!$P$2:$P$499,V205),IF($AO$1=1,0,"")))</f>
        <v>0</v>
      </c>
      <c r="Y205" s="38">
        <f t="shared" si="72"/>
        <v>2</v>
      </c>
      <c r="Z205" s="39">
        <f>IF(L205="","",IF(V205&gt;0,INDEX('06-حزيران'!$Q$2:$Q$499,V205),IF($AO$1=1,0,"")))</f>
        <v>0</v>
      </c>
      <c r="AA205" s="39">
        <f t="shared" si="73"/>
        <v>4.2105263157894735</v>
      </c>
      <c r="AB205" s="40">
        <f>IF(OR(L205="",V205=0),"",IF(AND(N(I205)&gt;0,N(INDEX('06-حزيران'!$I$2:$I$499,V205))&gt;0,INDEX('06-حزيران'!$F$2:$F$499,V205)=F205),N(I205)/N(INDEX('06-حزيران'!$I$2:$I$499,V205))-1,""))</f>
        <v>0</v>
      </c>
      <c r="AC205" t="str">
        <f>IF(L205="","",IF(AND($AO$2=1,ISNA(MATCH(L205,'08-آب'!$L$2:$L$501,0))),"محذوف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4.2105265207894735</v>
      </c>
      <c r="AH205" s="39">
        <f t="shared" si="75"/>
        <v>0</v>
      </c>
      <c r="AI205" s="39">
        <f t="shared" si="76"/>
        <v>0</v>
      </c>
      <c r="AJ205" s="39">
        <f t="shared" si="77"/>
        <v>0</v>
      </c>
      <c r="AK205">
        <f t="shared" si="78"/>
        <v>4.2105265207894735</v>
      </c>
      <c r="AL205">
        <f t="shared" si="79"/>
        <v>2.05E-7</v>
      </c>
    </row>
    <row r="206" spans="1:38" ht="15">
      <c r="A206" t="s">
        <v>487</v>
      </c>
      <c r="B206">
        <v>0</v>
      </c>
      <c r="C206">
        <v>0</v>
      </c>
      <c r="D206">
        <v>0</v>
      </c>
      <c r="E206">
        <v>0</v>
      </c>
      <c r="F206" t="s">
        <v>389</v>
      </c>
      <c r="G206" t="s">
        <v>178</v>
      </c>
      <c r="H206" t="s">
        <v>12</v>
      </c>
      <c r="I206">
        <v>0</v>
      </c>
      <c r="K206" t="str">
        <f t="shared" si="60"/>
        <v/>
      </c>
      <c r="L206" t="str">
        <f t="shared" si="61"/>
        <v>خردة وبلاستيك</v>
      </c>
      <c r="M206" s="36">
        <f t="shared" si="62"/>
        <v>7.5187969924812026E-5</v>
      </c>
      <c r="N206" s="37">
        <f t="shared" si="63"/>
        <v>0</v>
      </c>
      <c r="O206" s="37">
        <f t="shared" si="64"/>
        <v>0</v>
      </c>
      <c r="P206" s="38">
        <f t="shared" si="65"/>
        <v>0</v>
      </c>
      <c r="Q206" s="39">
        <f t="shared" si="66"/>
        <v>0</v>
      </c>
      <c r="R206" s="39">
        <f t="shared" si="67"/>
        <v>0</v>
      </c>
      <c r="S206">
        <f t="shared" si="68"/>
        <v>0</v>
      </c>
      <c r="T206" s="39">
        <f t="shared" si="69"/>
        <v>0</v>
      </c>
      <c r="U206" t="str">
        <f t="shared" si="70"/>
        <v/>
      </c>
      <c r="V206">
        <f>IF(L206="","",IF($AO$1=1,IFERROR(MATCH(L206,'06-حزيران'!$L$2:$L$499,0),0),0))</f>
        <v>219</v>
      </c>
      <c r="W206" t="str">
        <f t="shared" si="71"/>
        <v/>
      </c>
      <c r="X206" s="38">
        <f>IF(L206="","",IF(V206&gt;0,INDEX('06-حزيران'!$P$2:$P$499,V206),IF($AO$1=1,0,"")))</f>
        <v>0</v>
      </c>
      <c r="Y206" s="38">
        <f t="shared" si="72"/>
        <v>0</v>
      </c>
      <c r="Z206" s="39">
        <f>IF(L206="","",IF(V206&gt;0,INDEX('06-حزيران'!$Q$2:$Q$499,V206),IF($AO$1=1,0,"")))</f>
        <v>0</v>
      </c>
      <c r="AA206" s="39">
        <f t="shared" si="73"/>
        <v>0</v>
      </c>
      <c r="AB206" s="40" t="str">
        <f>IF(OR(L206="",V206=0),"",IF(AND(N(I206)&gt;0,N(INDEX('06-حزيران'!$I$2:$I$499,V206))&gt;0,INDEX('06-حزيران'!$F$2:$F$499,V206)=F206),N(I206)/N(INDEX('06-حزيران'!$I$2:$I$499,V206))-1,""))</f>
        <v/>
      </c>
      <c r="AC206" t="str">
        <f>IF(L206="","",IF(AND($AO$2=1,ISNA(MATCH(L206,'08-آب'!$L$2:$L$501,0))),"محذوف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2.0599999999999999E-7</v>
      </c>
      <c r="AH206" s="39">
        <f t="shared" si="75"/>
        <v>0</v>
      </c>
      <c r="AI206" s="39">
        <f t="shared" si="76"/>
        <v>0</v>
      </c>
      <c r="AJ206" s="39">
        <f t="shared" si="77"/>
        <v>0</v>
      </c>
      <c r="AK206">
        <f t="shared" si="78"/>
        <v>2.0599999999999999E-7</v>
      </c>
      <c r="AL206">
        <f t="shared" si="79"/>
        <v>2.0599999999999999E-7</v>
      </c>
    </row>
    <row r="207" spans="1:38" ht="15">
      <c r="A207" t="s">
        <v>371</v>
      </c>
      <c r="B207">
        <v>1</v>
      </c>
      <c r="C207">
        <v>0</v>
      </c>
      <c r="D207">
        <v>0</v>
      </c>
      <c r="E207">
        <v>0</v>
      </c>
      <c r="F207" t="s">
        <v>268</v>
      </c>
      <c r="G207" t="s">
        <v>178</v>
      </c>
      <c r="H207" t="s">
        <v>176</v>
      </c>
      <c r="I207">
        <v>0.875</v>
      </c>
      <c r="K207" t="str">
        <f t="shared" si="60"/>
        <v/>
      </c>
      <c r="L207" t="str">
        <f t="shared" si="61"/>
        <v>حمض الليمون</v>
      </c>
      <c r="M207" s="36">
        <f t="shared" si="62"/>
        <v>1</v>
      </c>
      <c r="N207" s="37">
        <f t="shared" si="63"/>
        <v>0.875</v>
      </c>
      <c r="O207" s="37">
        <f t="shared" si="64"/>
        <v>0</v>
      </c>
      <c r="P207" s="38">
        <f t="shared" si="65"/>
        <v>1</v>
      </c>
      <c r="Q207" s="39">
        <f t="shared" si="66"/>
        <v>0.875</v>
      </c>
      <c r="R207" s="39">
        <f t="shared" si="67"/>
        <v>0</v>
      </c>
      <c r="S207">
        <f t="shared" si="68"/>
        <v>0</v>
      </c>
      <c r="T207" s="39">
        <f t="shared" si="69"/>
        <v>0</v>
      </c>
      <c r="U207" t="str">
        <f t="shared" si="70"/>
        <v/>
      </c>
      <c r="V207">
        <f>IF(L207="","",IF($AO$1=1,IFERROR(MATCH(L207,'06-حزيران'!$L$2:$L$499,0),0),0))</f>
        <v>104</v>
      </c>
      <c r="W207" t="str">
        <f t="shared" si="71"/>
        <v/>
      </c>
      <c r="X207" s="38">
        <f>IF(L207="","",IF(V207&gt;0,INDEX('06-حزيران'!$P$2:$P$499,V207),IF($AO$1=1,0,"")))</f>
        <v>1</v>
      </c>
      <c r="Y207" s="38">
        <f t="shared" si="72"/>
        <v>0</v>
      </c>
      <c r="Z207" s="39">
        <f>IF(L207="","",IF(V207&gt;0,INDEX('06-حزيران'!$Q$2:$Q$499,V207),IF($AO$1=1,0,"")))</f>
        <v>0.875</v>
      </c>
      <c r="AA207" s="39">
        <f t="shared" si="73"/>
        <v>0</v>
      </c>
      <c r="AB207" s="40">
        <f>IF(OR(L207="",V207=0),"",IF(AND(N(I207)&gt;0,N(INDEX('06-حزيران'!$I$2:$I$499,V207))&gt;0,INDEX('06-حزيران'!$F$2:$F$499,V207)=F207),N(I207)/N(INDEX('06-حزيران'!$I$2:$I$499,V207))-1,""))</f>
        <v>0</v>
      </c>
      <c r="AC207" t="str">
        <f>IF(L207="","",IF(AND($AO$2=1,ISNA(MATCH(L207,'08-آب'!$L$2:$L$501,0))),"محذوف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2.0699999999999999E-7</v>
      </c>
      <c r="AH207" s="39">
        <f t="shared" si="75"/>
        <v>0</v>
      </c>
      <c r="AI207" s="39">
        <f t="shared" si="76"/>
        <v>0</v>
      </c>
      <c r="AJ207" s="39">
        <f t="shared" si="77"/>
        <v>0</v>
      </c>
      <c r="AK207">
        <f t="shared" si="78"/>
        <v>0.87500020700000003</v>
      </c>
      <c r="AL207">
        <f t="shared" si="79"/>
        <v>2.0699999999999999E-7</v>
      </c>
    </row>
    <row r="208" spans="1:38" ht="15">
      <c r="A208" t="s">
        <v>372</v>
      </c>
      <c r="B208">
        <v>0</v>
      </c>
      <c r="C208">
        <v>0</v>
      </c>
      <c r="D208">
        <v>0</v>
      </c>
      <c r="E208">
        <v>0</v>
      </c>
      <c r="F208" t="s">
        <v>268</v>
      </c>
      <c r="G208" t="s">
        <v>178</v>
      </c>
      <c r="H208" t="s">
        <v>176</v>
      </c>
      <c r="I208">
        <v>0.65</v>
      </c>
      <c r="K208" t="str">
        <f t="shared" si="60"/>
        <v/>
      </c>
      <c r="L208" t="str">
        <f t="shared" si="61"/>
        <v>حمض الكبريت</v>
      </c>
      <c r="M208" s="36">
        <f t="shared" si="62"/>
        <v>1</v>
      </c>
      <c r="N208" s="37">
        <f t="shared" si="63"/>
        <v>0.65</v>
      </c>
      <c r="O208" s="37">
        <f t="shared" si="64"/>
        <v>0</v>
      </c>
      <c r="P208" s="38">
        <f t="shared" si="65"/>
        <v>0</v>
      </c>
      <c r="Q208" s="39">
        <f t="shared" si="66"/>
        <v>0</v>
      </c>
      <c r="R208" s="39">
        <f t="shared" si="67"/>
        <v>0</v>
      </c>
      <c r="S208">
        <f t="shared" si="68"/>
        <v>0</v>
      </c>
      <c r="T208" s="39">
        <f t="shared" si="69"/>
        <v>0</v>
      </c>
      <c r="U208" t="str">
        <f t="shared" si="70"/>
        <v/>
      </c>
      <c r="V208">
        <f>IF(L208="","",IF($AO$1=1,IFERROR(MATCH(L208,'06-حزيران'!$L$2:$L$499,0),0),0))</f>
        <v>105</v>
      </c>
      <c r="W208" t="str">
        <f t="shared" si="71"/>
        <v/>
      </c>
      <c r="X208" s="38">
        <f>IF(L208="","",IF(V208&gt;0,INDEX('06-حزيران'!$P$2:$P$499,V208),IF($AO$1=1,0,"")))</f>
        <v>0</v>
      </c>
      <c r="Y208" s="38">
        <f t="shared" si="72"/>
        <v>0</v>
      </c>
      <c r="Z208" s="39">
        <f>IF(L208="","",IF(V208&gt;0,INDEX('06-حزيران'!$Q$2:$Q$499,V208),IF($AO$1=1,0,"")))</f>
        <v>0</v>
      </c>
      <c r="AA208" s="39">
        <f t="shared" si="73"/>
        <v>0</v>
      </c>
      <c r="AB208" s="40">
        <f>IF(OR(L208="",V208=0),"",IF(AND(N(I208)&gt;0,N(INDEX('06-حزيران'!$I$2:$I$499,V208))&gt;0,INDEX('06-حزيران'!$F$2:$F$499,V208)=F208),N(I208)/N(INDEX('06-حزيران'!$I$2:$I$499,V208))-1,""))</f>
        <v>0</v>
      </c>
      <c r="AC208" t="str">
        <f>IF(L208="","",IF(AND($AO$2=1,ISNA(MATCH(L208,'08-آب'!$L$2:$L$501,0))),"محذوف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2.0800000000000001E-7</v>
      </c>
      <c r="AH208" s="39">
        <f t="shared" si="75"/>
        <v>0</v>
      </c>
      <c r="AI208" s="39">
        <f t="shared" si="76"/>
        <v>0</v>
      </c>
      <c r="AJ208" s="39">
        <f t="shared" si="77"/>
        <v>0</v>
      </c>
      <c r="AK208">
        <f t="shared" si="78"/>
        <v>2.0800000000000001E-7</v>
      </c>
      <c r="AL208">
        <f t="shared" si="79"/>
        <v>2.0800000000000001E-7</v>
      </c>
    </row>
    <row r="209" spans="1:38" ht="15">
      <c r="A209" t="s">
        <v>373</v>
      </c>
      <c r="B209">
        <v>1</v>
      </c>
      <c r="C209">
        <v>0</v>
      </c>
      <c r="D209">
        <v>0</v>
      </c>
      <c r="E209">
        <v>0</v>
      </c>
      <c r="F209" t="s">
        <v>268</v>
      </c>
      <c r="G209" t="s">
        <v>178</v>
      </c>
      <c r="H209" t="s">
        <v>176</v>
      </c>
      <c r="I209">
        <v>0.91600000000000004</v>
      </c>
      <c r="K209" t="str">
        <f t="shared" si="60"/>
        <v/>
      </c>
      <c r="L209" t="str">
        <f t="shared" si="61"/>
        <v>حمض الخل</v>
      </c>
      <c r="M209" s="36">
        <f t="shared" si="62"/>
        <v>1</v>
      </c>
      <c r="N209" s="37">
        <f t="shared" si="63"/>
        <v>0.91600000000000004</v>
      </c>
      <c r="O209" s="37">
        <f t="shared" si="64"/>
        <v>0</v>
      </c>
      <c r="P209" s="38">
        <f t="shared" si="65"/>
        <v>1</v>
      </c>
      <c r="Q209" s="39">
        <f t="shared" si="66"/>
        <v>0.91600000000000004</v>
      </c>
      <c r="R209" s="39">
        <f t="shared" si="67"/>
        <v>0</v>
      </c>
      <c r="S209">
        <f t="shared" si="68"/>
        <v>0</v>
      </c>
      <c r="T209" s="39">
        <f t="shared" si="69"/>
        <v>0</v>
      </c>
      <c r="U209" t="str">
        <f t="shared" si="70"/>
        <v/>
      </c>
      <c r="V209">
        <f>IF(L209="","",IF($AO$1=1,IFERROR(MATCH(L209,'06-حزيران'!$L$2:$L$499,0),0),0))</f>
        <v>106</v>
      </c>
      <c r="W209" t="str">
        <f t="shared" si="71"/>
        <v/>
      </c>
      <c r="X209" s="38">
        <f>IF(L209="","",IF(V209&gt;0,INDEX('06-حزيران'!$P$2:$P$499,V209),IF($AO$1=1,0,"")))</f>
        <v>1</v>
      </c>
      <c r="Y209" s="38">
        <f t="shared" si="72"/>
        <v>0</v>
      </c>
      <c r="Z209" s="39">
        <f>IF(L209="","",IF(V209&gt;0,INDEX('06-حزيران'!$Q$2:$Q$499,V209),IF($AO$1=1,0,"")))</f>
        <v>0.91600000000000004</v>
      </c>
      <c r="AA209" s="39">
        <f t="shared" si="73"/>
        <v>0</v>
      </c>
      <c r="AB209" s="40">
        <f>IF(OR(L209="",V209=0),"",IF(AND(N(I209)&gt;0,N(INDEX('06-حزيران'!$I$2:$I$499,V209))&gt;0,INDEX('06-حزيران'!$F$2:$F$499,V209)=F209),N(I209)/N(INDEX('06-حزيران'!$I$2:$I$499,V209))-1,""))</f>
        <v>0</v>
      </c>
      <c r="AC209" t="str">
        <f>IF(L209="","",IF(AND($AO$2=1,ISNA(MATCH(L209,'08-آب'!$L$2:$L$501,0))),"محذوف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2.0900000000000001E-7</v>
      </c>
      <c r="AH209" s="39">
        <f t="shared" si="75"/>
        <v>0</v>
      </c>
      <c r="AI209" s="39">
        <f t="shared" si="76"/>
        <v>0</v>
      </c>
      <c r="AJ209" s="39">
        <f t="shared" si="77"/>
        <v>0</v>
      </c>
      <c r="AK209">
        <f t="shared" si="78"/>
        <v>0.91600020900000001</v>
      </c>
      <c r="AL209">
        <f t="shared" si="79"/>
        <v>2.0900000000000001E-7</v>
      </c>
    </row>
    <row r="210" spans="1:38" ht="15">
      <c r="A210" t="s">
        <v>374</v>
      </c>
      <c r="B210">
        <v>0.83</v>
      </c>
      <c r="C210">
        <v>0</v>
      </c>
      <c r="D210">
        <v>0</v>
      </c>
      <c r="E210">
        <v>0</v>
      </c>
      <c r="F210" t="s">
        <v>268</v>
      </c>
      <c r="G210" t="s">
        <v>178</v>
      </c>
      <c r="H210" t="s">
        <v>176</v>
      </c>
      <c r="I210">
        <v>300</v>
      </c>
      <c r="K210" t="str">
        <f t="shared" si="60"/>
        <v/>
      </c>
      <c r="L210" t="str">
        <f t="shared" si="61"/>
        <v>حليب التين</v>
      </c>
      <c r="M210" s="36">
        <f t="shared" si="62"/>
        <v>1</v>
      </c>
      <c r="N210" s="37">
        <f t="shared" si="63"/>
        <v>300</v>
      </c>
      <c r="O210" s="37">
        <f t="shared" si="64"/>
        <v>0</v>
      </c>
      <c r="P210" s="38">
        <f t="shared" si="65"/>
        <v>0.83</v>
      </c>
      <c r="Q210" s="39">
        <f t="shared" si="66"/>
        <v>249</v>
      </c>
      <c r="R210" s="39">
        <f t="shared" si="67"/>
        <v>0</v>
      </c>
      <c r="S210">
        <f t="shared" si="68"/>
        <v>0</v>
      </c>
      <c r="T210" s="39">
        <f t="shared" si="69"/>
        <v>0</v>
      </c>
      <c r="U210" t="str">
        <f t="shared" si="70"/>
        <v/>
      </c>
      <c r="V210">
        <f>IF(L210="","",IF($AO$1=1,IFERROR(MATCH(L210,'06-حزيران'!$L$2:$L$499,0),0),0))</f>
        <v>107</v>
      </c>
      <c r="W210" t="str">
        <f t="shared" si="71"/>
        <v/>
      </c>
      <c r="X210" s="38">
        <f>IF(L210="","",IF(V210&gt;0,INDEX('06-حزيران'!$P$2:$P$499,V210),IF($AO$1=1,0,"")))</f>
        <v>0.83</v>
      </c>
      <c r="Y210" s="38">
        <f t="shared" si="72"/>
        <v>0</v>
      </c>
      <c r="Z210" s="39">
        <f>IF(L210="","",IF(V210&gt;0,INDEX('06-حزيران'!$Q$2:$Q$499,V210),IF($AO$1=1,0,"")))</f>
        <v>249</v>
      </c>
      <c r="AA210" s="39">
        <f t="shared" si="73"/>
        <v>0</v>
      </c>
      <c r="AB210" s="40">
        <f>IF(OR(L210="",V210=0),"",IF(AND(N(I210)&gt;0,N(INDEX('06-حزيران'!$I$2:$I$499,V210))&gt;0,INDEX('06-حزيران'!$F$2:$F$499,V210)=F210),N(I210)/N(INDEX('06-حزيران'!$I$2:$I$499,V210))-1,""))</f>
        <v>0</v>
      </c>
      <c r="AC210" t="str">
        <f>IF(L210="","",IF(AND($AO$2=1,ISNA(MATCH(L210,'08-آب'!$L$2:$L$501,0))),"محذوف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2.1E-7</v>
      </c>
      <c r="AH210" s="39">
        <f t="shared" si="75"/>
        <v>0</v>
      </c>
      <c r="AI210" s="39">
        <f t="shared" si="76"/>
        <v>0</v>
      </c>
      <c r="AJ210" s="39">
        <f t="shared" si="77"/>
        <v>0</v>
      </c>
      <c r="AK210">
        <f t="shared" si="78"/>
        <v>249.00000021</v>
      </c>
      <c r="AL210">
        <f t="shared" si="79"/>
        <v>2.1E-7</v>
      </c>
    </row>
    <row r="211" spans="1:38" ht="15">
      <c r="A211" t="s">
        <v>375</v>
      </c>
      <c r="B211">
        <v>0</v>
      </c>
      <c r="C211">
        <v>0</v>
      </c>
      <c r="D211">
        <v>0</v>
      </c>
      <c r="E211">
        <v>0</v>
      </c>
      <c r="F211" t="s">
        <v>268</v>
      </c>
      <c r="G211" t="s">
        <v>178</v>
      </c>
      <c r="H211" t="s">
        <v>176</v>
      </c>
      <c r="I211">
        <v>0.5</v>
      </c>
      <c r="K211" t="str">
        <f t="shared" si="60"/>
        <v/>
      </c>
      <c r="L211" t="str">
        <f t="shared" si="61"/>
        <v>حبيبات ملونة</v>
      </c>
      <c r="M211" s="36">
        <f t="shared" si="62"/>
        <v>1</v>
      </c>
      <c r="N211" s="37">
        <f t="shared" si="63"/>
        <v>0.5</v>
      </c>
      <c r="O211" s="37">
        <f t="shared" si="64"/>
        <v>0</v>
      </c>
      <c r="P211" s="38">
        <f t="shared" si="65"/>
        <v>0</v>
      </c>
      <c r="Q211" s="39">
        <f t="shared" si="66"/>
        <v>0</v>
      </c>
      <c r="R211" s="39">
        <f t="shared" si="67"/>
        <v>0</v>
      </c>
      <c r="S211">
        <f t="shared" si="68"/>
        <v>0</v>
      </c>
      <c r="T211" s="39">
        <f t="shared" si="69"/>
        <v>0</v>
      </c>
      <c r="U211" t="str">
        <f t="shared" si="70"/>
        <v/>
      </c>
      <c r="V211">
        <f>IF(L211="","",IF($AO$1=1,IFERROR(MATCH(L211,'06-حزيران'!$L$2:$L$499,0),0),0))</f>
        <v>108</v>
      </c>
      <c r="W211" t="str">
        <f t="shared" si="71"/>
        <v/>
      </c>
      <c r="X211" s="38">
        <f>IF(L211="","",IF(V211&gt;0,INDEX('06-حزيران'!$P$2:$P$499,V211),IF($AO$1=1,0,"")))</f>
        <v>0</v>
      </c>
      <c r="Y211" s="38">
        <f t="shared" si="72"/>
        <v>0</v>
      </c>
      <c r="Z211" s="39">
        <f>IF(L211="","",IF(V211&gt;0,INDEX('06-حزيران'!$Q$2:$Q$499,V211),IF($AO$1=1,0,"")))</f>
        <v>0</v>
      </c>
      <c r="AA211" s="39">
        <f t="shared" si="73"/>
        <v>0</v>
      </c>
      <c r="AB211" s="40">
        <f>IF(OR(L211="",V211=0),"",IF(AND(N(I211)&gt;0,N(INDEX('06-حزيران'!$I$2:$I$499,V211))&gt;0,INDEX('06-حزيران'!$F$2:$F$499,V211)=F211),N(I211)/N(INDEX('06-حزيران'!$I$2:$I$499,V211))-1,""))</f>
        <v>0</v>
      </c>
      <c r="AC211" t="str">
        <f>IF(L211="","",IF(AND($AO$2=1,ISNA(MATCH(L211,'08-آب'!$L$2:$L$501,0))),"محذوف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2.11E-7</v>
      </c>
      <c r="AH211" s="39">
        <f t="shared" si="75"/>
        <v>0</v>
      </c>
      <c r="AI211" s="39">
        <f t="shared" si="76"/>
        <v>0</v>
      </c>
      <c r="AJ211" s="39">
        <f t="shared" si="77"/>
        <v>0</v>
      </c>
      <c r="AK211">
        <f t="shared" si="78"/>
        <v>2.11E-7</v>
      </c>
      <c r="AL211">
        <f t="shared" si="79"/>
        <v>2.11E-7</v>
      </c>
    </row>
    <row r="212" spans="1:38" ht="15">
      <c r="A212" t="s">
        <v>488</v>
      </c>
      <c r="B212">
        <v>70.8</v>
      </c>
      <c r="C212">
        <v>20000</v>
      </c>
      <c r="D212">
        <v>20000</v>
      </c>
      <c r="E212">
        <v>20000</v>
      </c>
      <c r="F212" t="s">
        <v>389</v>
      </c>
      <c r="G212" t="s">
        <v>178</v>
      </c>
      <c r="H212" t="s">
        <v>12</v>
      </c>
      <c r="I212">
        <v>15000</v>
      </c>
      <c r="K212" t="str">
        <f t="shared" si="60"/>
        <v/>
      </c>
      <c r="L212" t="str">
        <f t="shared" si="61"/>
        <v>جاطات + طشوطة بلاستيك</v>
      </c>
      <c r="M212" s="36">
        <f t="shared" si="62"/>
        <v>7.5187969924812026E-5</v>
      </c>
      <c r="N212" s="37">
        <f t="shared" si="63"/>
        <v>1.1278195488721805</v>
      </c>
      <c r="O212" s="37">
        <f t="shared" si="64"/>
        <v>1.5037593984962405</v>
      </c>
      <c r="P212" s="38">
        <f t="shared" si="65"/>
        <v>70.8</v>
      </c>
      <c r="Q212" s="39">
        <f t="shared" si="66"/>
        <v>79.849624060150376</v>
      </c>
      <c r="R212" s="39">
        <f t="shared" si="67"/>
        <v>106.46616541353383</v>
      </c>
      <c r="S212">
        <f t="shared" si="68"/>
        <v>1</v>
      </c>
      <c r="T212" s="39">
        <f t="shared" si="69"/>
        <v>26.616541353383454</v>
      </c>
      <c r="U212" t="str">
        <f t="shared" si="70"/>
        <v/>
      </c>
      <c r="V212">
        <f>IF(L212="","",IF($AO$1=1,IFERROR(MATCH(L212,'06-حزيران'!$L$2:$L$499,0),0),0))</f>
        <v>220</v>
      </c>
      <c r="W212" t="str">
        <f t="shared" si="71"/>
        <v/>
      </c>
      <c r="X212" s="38">
        <f>IF(L212="","",IF(V212&gt;0,INDEX('06-حزيران'!$P$2:$P$499,V212),IF($AO$1=1,0,"")))</f>
        <v>0</v>
      </c>
      <c r="Y212" s="38">
        <f t="shared" si="72"/>
        <v>70.8</v>
      </c>
      <c r="Z212" s="39">
        <f>IF(L212="","",IF(V212&gt;0,INDEX('06-حزيران'!$Q$2:$Q$499,V212),IF($AO$1=1,0,"")))</f>
        <v>0</v>
      </c>
      <c r="AA212" s="39">
        <f t="shared" si="73"/>
        <v>79.849624060150376</v>
      </c>
      <c r="AB212" s="40">
        <f>IF(OR(L212="",V212=0),"",IF(AND(N(I212)&gt;0,N(INDEX('06-حزيران'!$I$2:$I$499,V212))&gt;0,INDEX('06-حزيران'!$F$2:$F$499,V212)=F212),N(I212)/N(INDEX('06-حزيران'!$I$2:$I$499,V212))-1,""))</f>
        <v>0</v>
      </c>
      <c r="AC212" t="str">
        <f>IF(L212="","",IF(AND($AO$2=1,ISNA(MATCH(L212,'08-آب'!$L$2:$L$501,0))),"محذوف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79.849624272150379</v>
      </c>
      <c r="AH212" s="39">
        <f t="shared" si="75"/>
        <v>26.616541353383447</v>
      </c>
      <c r="AI212" s="39">
        <f t="shared" si="76"/>
        <v>26.616541353383447</v>
      </c>
      <c r="AJ212" s="39">
        <f t="shared" si="77"/>
        <v>26.616541353383447</v>
      </c>
      <c r="AK212">
        <f t="shared" si="78"/>
        <v>79.849624272150379</v>
      </c>
      <c r="AL212">
        <f t="shared" si="79"/>
        <v>26.616541565383454</v>
      </c>
    </row>
    <row r="213" spans="1:38" ht="15">
      <c r="A213" t="s">
        <v>376</v>
      </c>
      <c r="B213">
        <v>1393</v>
      </c>
      <c r="C213">
        <v>0</v>
      </c>
      <c r="D213">
        <v>0</v>
      </c>
      <c r="E213">
        <v>0</v>
      </c>
      <c r="F213" t="s">
        <v>268</v>
      </c>
      <c r="G213" t="s">
        <v>178</v>
      </c>
      <c r="H213" t="s">
        <v>176</v>
      </c>
      <c r="I213">
        <v>2.5</v>
      </c>
      <c r="K213" t="str">
        <f t="shared" si="60"/>
        <v/>
      </c>
      <c r="L213" t="str">
        <f t="shared" si="61"/>
        <v>تكسبون</v>
      </c>
      <c r="M213" s="36">
        <f t="shared" si="62"/>
        <v>1</v>
      </c>
      <c r="N213" s="37">
        <f t="shared" si="63"/>
        <v>2.5</v>
      </c>
      <c r="O213" s="37">
        <f t="shared" si="64"/>
        <v>0</v>
      </c>
      <c r="P213" s="38">
        <f t="shared" si="65"/>
        <v>1393</v>
      </c>
      <c r="Q213" s="39">
        <f t="shared" si="66"/>
        <v>3482.5</v>
      </c>
      <c r="R213" s="39">
        <f t="shared" si="67"/>
        <v>0</v>
      </c>
      <c r="S213">
        <f t="shared" si="68"/>
        <v>0</v>
      </c>
      <c r="T213" s="39">
        <f t="shared" si="69"/>
        <v>0</v>
      </c>
      <c r="U213" t="str">
        <f t="shared" si="70"/>
        <v/>
      </c>
      <c r="V213">
        <f>IF(L213="","",IF($AO$1=1,IFERROR(MATCH(L213,'06-حزيران'!$L$2:$L$499,0),0),0))</f>
        <v>109</v>
      </c>
      <c r="W213" t="str">
        <f t="shared" si="71"/>
        <v/>
      </c>
      <c r="X213" s="38">
        <f>IF(L213="","",IF(V213&gt;0,INDEX('06-حزيران'!$P$2:$P$499,V213),IF($AO$1=1,0,"")))</f>
        <v>548</v>
      </c>
      <c r="Y213" s="38">
        <f t="shared" si="72"/>
        <v>845</v>
      </c>
      <c r="Z213" s="39">
        <f>IF(L213="","",IF(V213&gt;0,INDEX('06-حزيران'!$Q$2:$Q$499,V213),IF($AO$1=1,0,"")))</f>
        <v>1370</v>
      </c>
      <c r="AA213" s="39">
        <f t="shared" si="73"/>
        <v>2112.5</v>
      </c>
      <c r="AB213" s="40">
        <f>IF(OR(L213="",V213=0),"",IF(AND(N(I213)&gt;0,N(INDEX('06-حزيران'!$I$2:$I$499,V213))&gt;0,INDEX('06-حزيران'!$F$2:$F$499,V213)=F213),N(I213)/N(INDEX('06-حزيران'!$I$2:$I$499,V213))-1,""))</f>
        <v>0</v>
      </c>
      <c r="AC213" t="str">
        <f>IF(L213="","",IF(AND($AO$2=1,ISNA(MATCH(L213,'08-آب'!$L$2:$L$501,0))),"محذوف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2112.500000213</v>
      </c>
      <c r="AH213" s="39">
        <f t="shared" si="75"/>
        <v>0</v>
      </c>
      <c r="AI213" s="39">
        <f t="shared" si="76"/>
        <v>0</v>
      </c>
      <c r="AJ213" s="39">
        <f t="shared" si="77"/>
        <v>0</v>
      </c>
      <c r="AK213">
        <f t="shared" si="78"/>
        <v>3482.500000213</v>
      </c>
      <c r="AL213">
        <f t="shared" si="79"/>
        <v>2.1299999999999999E-7</v>
      </c>
    </row>
    <row r="214" spans="1:38" ht="15">
      <c r="A214" t="s">
        <v>489</v>
      </c>
      <c r="B214">
        <v>4</v>
      </c>
      <c r="C214">
        <v>6000</v>
      </c>
      <c r="D214">
        <v>6000</v>
      </c>
      <c r="E214">
        <v>6000</v>
      </c>
      <c r="F214" t="s">
        <v>389</v>
      </c>
      <c r="G214" t="s">
        <v>178</v>
      </c>
      <c r="H214" t="s">
        <v>12</v>
      </c>
      <c r="I214">
        <v>6000</v>
      </c>
      <c r="K214" t="str">
        <f t="shared" si="60"/>
        <v/>
      </c>
      <c r="L214" t="str">
        <f t="shared" si="61"/>
        <v>بيدون سعة 5 كغ</v>
      </c>
      <c r="M214" s="36">
        <f t="shared" si="62"/>
        <v>7.5187969924812026E-5</v>
      </c>
      <c r="N214" s="37">
        <f t="shared" si="63"/>
        <v>0.45112781954887216</v>
      </c>
      <c r="O214" s="37">
        <f t="shared" si="64"/>
        <v>0.45112781954887216</v>
      </c>
      <c r="P214" s="38">
        <f t="shared" si="65"/>
        <v>4</v>
      </c>
      <c r="Q214" s="39">
        <f t="shared" si="66"/>
        <v>1.8045112781954886</v>
      </c>
      <c r="R214" s="39">
        <f t="shared" si="67"/>
        <v>1.8045112781954886</v>
      </c>
      <c r="S214">
        <f t="shared" si="68"/>
        <v>1</v>
      </c>
      <c r="T214" s="39">
        <f t="shared" si="69"/>
        <v>0</v>
      </c>
      <c r="U214" t="str">
        <f t="shared" si="70"/>
        <v/>
      </c>
      <c r="V214">
        <f>IF(L214="","",IF($AO$1=1,IFERROR(MATCH(L214,'06-حزيران'!$L$2:$L$499,0),0),0))</f>
        <v>221</v>
      </c>
      <c r="W214" t="str">
        <f t="shared" si="71"/>
        <v/>
      </c>
      <c r="X214" s="38">
        <f>IF(L214="","",IF(V214&gt;0,INDEX('06-حزيران'!$P$2:$P$499,V214),IF($AO$1=1,0,"")))</f>
        <v>4</v>
      </c>
      <c r="Y214" s="38">
        <f t="shared" si="72"/>
        <v>0</v>
      </c>
      <c r="Z214" s="39">
        <f>IF(L214="","",IF(V214&gt;0,INDEX('06-حزيران'!$Q$2:$Q$499,V214),IF($AO$1=1,0,"")))</f>
        <v>1.8181818181818181</v>
      </c>
      <c r="AA214" s="39">
        <f t="shared" si="73"/>
        <v>-1.36705399863295E-2</v>
      </c>
      <c r="AB214" s="40">
        <f>IF(OR(L214="",V214=0),"",IF(AND(N(I214)&gt;0,N(INDEX('06-حزيران'!$I$2:$I$499,V214))&gt;0,INDEX('06-حزيران'!$F$2:$F$499,V214)=F214),N(I214)/N(INDEX('06-حزيران'!$I$2:$I$499,V214))-1,""))</f>
        <v>0</v>
      </c>
      <c r="AC214" t="str">
        <f>IF(L214="","",IF(AND($AO$2=1,ISNA(MATCH(L214,'08-آب'!$L$2:$L$501,0))),"محذوف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1.36707539863295E-2</v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1.8045114921954886</v>
      </c>
      <c r="AL214">
        <f t="shared" si="79"/>
        <v>2.1400000000000001E-7</v>
      </c>
    </row>
    <row r="215" spans="1:38" ht="15">
      <c r="A215" t="s">
        <v>490</v>
      </c>
      <c r="B215">
        <v>0</v>
      </c>
      <c r="C215">
        <v>0</v>
      </c>
      <c r="D215">
        <v>0</v>
      </c>
      <c r="E215">
        <v>0</v>
      </c>
      <c r="F215" t="s">
        <v>389</v>
      </c>
      <c r="G215" t="s">
        <v>178</v>
      </c>
      <c r="H215" t="s">
        <v>176</v>
      </c>
      <c r="I215">
        <v>0</v>
      </c>
      <c r="K215" t="str">
        <f t="shared" si="60"/>
        <v/>
      </c>
      <c r="L215" t="str">
        <f t="shared" si="61"/>
        <v>بيدون سعة 10 كغ</v>
      </c>
      <c r="M215" s="36">
        <f t="shared" si="62"/>
        <v>7.5187969924812026E-5</v>
      </c>
      <c r="N215" s="37">
        <f t="shared" si="63"/>
        <v>0</v>
      </c>
      <c r="O215" s="37">
        <f t="shared" si="64"/>
        <v>0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IF(L215="","",IF($AO$1=1,IFERROR(MATCH(L215,'06-حزيران'!$L$2:$L$499,0),0),0))</f>
        <v>222</v>
      </c>
      <c r="W215" t="str">
        <f t="shared" si="71"/>
        <v/>
      </c>
      <c r="X215" s="38">
        <f>IF(L215="","",IF(V215&gt;0,INDEX('06-حزيران'!$P$2:$P$499,V215),IF($AO$1=1,0,"")))</f>
        <v>0</v>
      </c>
      <c r="Y215" s="38">
        <f t="shared" si="72"/>
        <v>0</v>
      </c>
      <c r="Z215" s="39">
        <f>IF(L215="","",IF(V215&gt;0,INDEX('06-حزيران'!$Q$2:$Q$499,V215),IF($AO$1=1,0,"")))</f>
        <v>0</v>
      </c>
      <c r="AA215" s="39">
        <f t="shared" si="73"/>
        <v>0</v>
      </c>
      <c r="AB215" s="40" t="str">
        <f>IF(OR(L215="",V215=0),"",IF(AND(N(I215)&gt;0,N(INDEX('06-حزيران'!$I$2:$I$499,V215))&gt;0,INDEX('06-حزيران'!$F$2:$F$499,V215)=F215),N(I215)/N(INDEX('06-حزيران'!$I$2:$I$499,V215))-1,""))</f>
        <v/>
      </c>
      <c r="AC215" t="str">
        <f>IF(L215="","",IF(AND($AO$2=1,ISNA(MATCH(L215,'08-آب'!$L$2:$L$501,0))),"محذوف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377</v>
      </c>
      <c r="B216">
        <v>12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0.21</v>
      </c>
      <c r="K216" t="str">
        <f t="shared" si="60"/>
        <v/>
      </c>
      <c r="L216" t="str">
        <f t="shared" si="61"/>
        <v>بيدون 4 لتر</v>
      </c>
      <c r="M216" s="36">
        <f t="shared" si="62"/>
        <v>1</v>
      </c>
      <c r="N216" s="37">
        <f t="shared" si="63"/>
        <v>0.21</v>
      </c>
      <c r="O216" s="37">
        <f t="shared" si="64"/>
        <v>0</v>
      </c>
      <c r="P216" s="38">
        <f t="shared" si="65"/>
        <v>12</v>
      </c>
      <c r="Q216" s="39">
        <f t="shared" si="66"/>
        <v>2.52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IF(L216="","",IF($AO$1=1,IFERROR(MATCH(L216,'06-حزيران'!$L$2:$L$499,0),0),0))</f>
        <v>110</v>
      </c>
      <c r="W216" t="str">
        <f t="shared" si="71"/>
        <v/>
      </c>
      <c r="X216" s="38">
        <f>IF(L216="","",IF(V216&gt;0,INDEX('06-حزيران'!$P$2:$P$499,V216),IF($AO$1=1,0,"")))</f>
        <v>12</v>
      </c>
      <c r="Y216" s="38">
        <f t="shared" si="72"/>
        <v>0</v>
      </c>
      <c r="Z216" s="39">
        <f>IF(L216="","",IF(V216&gt;0,INDEX('06-حزيران'!$Q$2:$Q$499,V216),IF($AO$1=1,0,"")))</f>
        <v>2.52</v>
      </c>
      <c r="AA216" s="39">
        <f t="shared" si="73"/>
        <v>0</v>
      </c>
      <c r="AB216" s="40">
        <f>IF(OR(L216="",V216=0),"",IF(AND(N(I216)&gt;0,N(INDEX('06-حزيران'!$I$2:$I$499,V216))&gt;0,INDEX('06-حزيران'!$F$2:$F$499,V216)=F216),N(I216)/N(INDEX('06-حزيران'!$I$2:$I$499,V216))-1,""))</f>
        <v>0</v>
      </c>
      <c r="AC216" t="str">
        <f>IF(L216="","",IF(AND($AO$2=1,ISNA(MATCH(L216,'08-آب'!$L$2:$L$501,0))),"محذوف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2.16E-7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2.5200002160000001</v>
      </c>
      <c r="AL216">
        <f t="shared" si="79"/>
        <v>2.16E-7</v>
      </c>
    </row>
    <row r="217" spans="1:38" ht="15">
      <c r="A217" t="s">
        <v>491</v>
      </c>
      <c r="B217">
        <v>0</v>
      </c>
      <c r="C217">
        <v>0</v>
      </c>
      <c r="D217">
        <v>0</v>
      </c>
      <c r="E217">
        <v>0</v>
      </c>
      <c r="F217" t="s">
        <v>389</v>
      </c>
      <c r="G217" t="s">
        <v>178</v>
      </c>
      <c r="H217" t="s">
        <v>12</v>
      </c>
      <c r="I217">
        <v>0</v>
      </c>
      <c r="K217" t="str">
        <f t="shared" si="60"/>
        <v/>
      </c>
      <c r="L217" t="str">
        <f t="shared" si="61"/>
        <v>بيدون !</v>
      </c>
      <c r="M217" s="36">
        <f t="shared" si="62"/>
        <v>7.5187969924812026E-5</v>
      </c>
      <c r="N217" s="37">
        <f t="shared" si="63"/>
        <v>0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IF(L217="","",IF($AO$1=1,IFERROR(MATCH(L217,'06-حزيران'!$L$2:$L$499,0),0),0))</f>
        <v>223</v>
      </c>
      <c r="W217" t="str">
        <f t="shared" si="71"/>
        <v/>
      </c>
      <c r="X217" s="38">
        <f>IF(L217="","",IF(V217&gt;0,INDEX('06-حزيران'!$P$2:$P$499,V217),IF($AO$1=1,0,"")))</f>
        <v>0</v>
      </c>
      <c r="Y217" s="38">
        <f t="shared" si="72"/>
        <v>0</v>
      </c>
      <c r="Z217" s="39">
        <f>IF(L217="","",IF(V217&gt;0,INDEX('06-حزيران'!$Q$2:$Q$499,V217),IF($AO$1=1,0,"")))</f>
        <v>0</v>
      </c>
      <c r="AA217" s="39">
        <f t="shared" si="73"/>
        <v>0</v>
      </c>
      <c r="AB217" s="40" t="str">
        <f>IF(OR(L217="",V217=0),"",IF(AND(N(I217)&gt;0,N(INDEX('06-حزيران'!$I$2:$I$499,V217))&gt;0,INDEX('06-حزيران'!$F$2:$F$499,V217)=F217),N(I217)/N(INDEX('06-حزيران'!$I$2:$I$499,V217))-1,""))</f>
        <v/>
      </c>
      <c r="AC217" t="str">
        <f>IF(L217="","",IF(AND($AO$2=1,ISNA(MATCH(L217,'08-آب'!$L$2:$L$501,0))),"محذوف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378</v>
      </c>
      <c r="B218">
        <v>617.5</v>
      </c>
      <c r="C218">
        <v>0</v>
      </c>
      <c r="D218">
        <v>0</v>
      </c>
      <c r="E218">
        <v>0</v>
      </c>
      <c r="F218" t="s">
        <v>268</v>
      </c>
      <c r="G218" t="s">
        <v>178</v>
      </c>
      <c r="H218" t="s">
        <v>176</v>
      </c>
      <c r="I218">
        <v>1.35</v>
      </c>
      <c r="K218" t="str">
        <f t="shared" si="60"/>
        <v/>
      </c>
      <c r="L218" t="str">
        <f t="shared" si="61"/>
        <v>بيتائين</v>
      </c>
      <c r="M218" s="36">
        <f t="shared" si="62"/>
        <v>1</v>
      </c>
      <c r="N218" s="37">
        <f t="shared" si="63"/>
        <v>1.35</v>
      </c>
      <c r="O218" s="37">
        <f t="shared" si="64"/>
        <v>0</v>
      </c>
      <c r="P218" s="38">
        <f t="shared" si="65"/>
        <v>617.5</v>
      </c>
      <c r="Q218" s="39">
        <f t="shared" si="66"/>
        <v>833.625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IF(L218="","",IF($AO$1=1,IFERROR(MATCH(L218,'06-حزيران'!$L$2:$L$499,0),0),0))</f>
        <v>111</v>
      </c>
      <c r="W218" t="str">
        <f t="shared" si="71"/>
        <v/>
      </c>
      <c r="X218" s="38">
        <f>IF(L218="","",IF(V218&gt;0,INDEX('06-حزيران'!$P$2:$P$499,V218),IF($AO$1=1,0,"")))</f>
        <v>337.5</v>
      </c>
      <c r="Y218" s="38">
        <f t="shared" si="72"/>
        <v>280</v>
      </c>
      <c r="Z218" s="39">
        <f>IF(L218="","",IF(V218&gt;0,INDEX('06-حزيران'!$Q$2:$Q$499,V218),IF($AO$1=1,0,"")))</f>
        <v>455.62500000000006</v>
      </c>
      <c r="AA218" s="39">
        <f t="shared" si="73"/>
        <v>377.99999999999994</v>
      </c>
      <c r="AB218" s="40">
        <f>IF(OR(L218="",V218=0),"",IF(AND(N(I218)&gt;0,N(INDEX('06-حزيران'!$I$2:$I$499,V218))&gt;0,INDEX('06-حزيران'!$F$2:$F$499,V218)=F218),N(I218)/N(INDEX('06-حزيران'!$I$2:$I$499,V218))-1,""))</f>
        <v>0</v>
      </c>
      <c r="AC218" t="str">
        <f>IF(L218="","",IF(AND($AO$2=1,ISNA(MATCH(L218,'08-آب'!$L$2:$L$501,0))),"محذوف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378.00000021799997</v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833.62500021799997</v>
      </c>
      <c r="AL218">
        <f t="shared" si="79"/>
        <v>2.1799999999999999E-7</v>
      </c>
    </row>
    <row r="219" spans="1:38" ht="15">
      <c r="A219" t="s">
        <v>492</v>
      </c>
      <c r="B219">
        <v>0</v>
      </c>
      <c r="C219">
        <v>0</v>
      </c>
      <c r="D219">
        <v>0</v>
      </c>
      <c r="E219">
        <v>0</v>
      </c>
      <c r="F219" t="s">
        <v>389</v>
      </c>
      <c r="G219" t="s">
        <v>178</v>
      </c>
      <c r="H219" t="s">
        <v>12</v>
      </c>
      <c r="I219">
        <v>0</v>
      </c>
      <c r="K219" t="str">
        <f t="shared" si="60"/>
        <v/>
      </c>
      <c r="L219" t="str">
        <f t="shared" si="61"/>
        <v>بي اتش 3 لتر</v>
      </c>
      <c r="M219" s="36">
        <f t="shared" si="62"/>
        <v>7.5187969924812026E-5</v>
      </c>
      <c r="N219" s="37">
        <f t="shared" si="63"/>
        <v>0</v>
      </c>
      <c r="O219" s="37">
        <f t="shared" si="64"/>
        <v>0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IF(L219="","",IF($AO$1=1,IFERROR(MATCH(L219,'06-حزيران'!$L$2:$L$499,0),0),0))</f>
        <v>224</v>
      </c>
      <c r="W219" t="str">
        <f t="shared" si="71"/>
        <v/>
      </c>
      <c r="X219" s="38">
        <f>IF(L219="","",IF(V219&gt;0,INDEX('06-حزيران'!$P$2:$P$499,V219),IF($AO$1=1,0,"")))</f>
        <v>0</v>
      </c>
      <c r="Y219" s="38">
        <f t="shared" si="72"/>
        <v>0</v>
      </c>
      <c r="Z219" s="39">
        <f>IF(L219="","",IF(V219&gt;0,INDEX('06-حزيران'!$Q$2:$Q$499,V219),IF($AO$1=1,0,"")))</f>
        <v>0</v>
      </c>
      <c r="AA219" s="39">
        <f t="shared" si="73"/>
        <v>0</v>
      </c>
      <c r="AB219" s="40" t="str">
        <f>IF(OR(L219="",V219=0),"",IF(AND(N(I219)&gt;0,N(INDEX('06-حزيران'!$I$2:$I$499,V219))&gt;0,INDEX('06-حزيران'!$F$2:$F$499,V219)=F219),N(I219)/N(INDEX('06-حزيران'!$I$2:$I$499,V219))-1,""))</f>
        <v/>
      </c>
      <c r="AC219" t="str">
        <f>IF(L219="","",IF(AND($AO$2=1,ISNA(MATCH(L219,'08-آب'!$L$2:$L$501,0))),"محذوف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2.1899999999999999E-7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493</v>
      </c>
      <c r="B220">
        <v>0</v>
      </c>
      <c r="C220">
        <v>118000</v>
      </c>
      <c r="D220">
        <v>118000</v>
      </c>
      <c r="E220">
        <v>118000</v>
      </c>
      <c r="F220" t="s">
        <v>389</v>
      </c>
      <c r="G220" t="s">
        <v>178</v>
      </c>
      <c r="H220" t="s">
        <v>12</v>
      </c>
      <c r="I220">
        <v>105000</v>
      </c>
      <c r="K220" t="str">
        <f t="shared" si="60"/>
        <v/>
      </c>
      <c r="L220" t="str">
        <f t="shared" si="61"/>
        <v>بي اتش - كرتونة</v>
      </c>
      <c r="M220" s="36">
        <f t="shared" si="62"/>
        <v>7.5187969924812026E-5</v>
      </c>
      <c r="N220" s="37">
        <f t="shared" si="63"/>
        <v>7.8947368421052628</v>
      </c>
      <c r="O220" s="37">
        <f t="shared" si="64"/>
        <v>8.8721804511278197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IF(L220="","",IF($AO$1=1,IFERROR(MATCH(L220,'06-حزيران'!$L$2:$L$499,0),0),0))</f>
        <v>225</v>
      </c>
      <c r="W220" t="str">
        <f t="shared" si="71"/>
        <v/>
      </c>
      <c r="X220" s="38">
        <f>IF(L220="","",IF(V220&gt;0,INDEX('06-حزيران'!$P$2:$P$499,V220),IF($AO$1=1,0,"")))</f>
        <v>0</v>
      </c>
      <c r="Y220" s="38">
        <f t="shared" si="72"/>
        <v>0</v>
      </c>
      <c r="Z220" s="39">
        <f>IF(L220="","",IF(V220&gt;0,INDEX('06-حزيران'!$Q$2:$Q$499,V220),IF($AO$1=1,0,"")))</f>
        <v>0</v>
      </c>
      <c r="AA220" s="39">
        <f t="shared" si="73"/>
        <v>0</v>
      </c>
      <c r="AB220" s="40">
        <f>IF(OR(L220="",V220=0),"",IF(AND(N(I220)&gt;0,N(INDEX('06-حزيران'!$I$2:$I$499,V220))&gt;0,INDEX('06-حزيران'!$F$2:$F$499,V220)=F220),N(I220)/N(INDEX('06-حزيران'!$I$2:$I$499,V220))-1,""))</f>
        <v>0</v>
      </c>
      <c r="AC220" t="str">
        <f>IF(L220="","",IF(AND($AO$2=1,ISNA(MATCH(L220,'08-آب'!$L$2:$L$501,0))),"محذوف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2.2000000000000001E-7</v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379</v>
      </c>
      <c r="B221">
        <v>0</v>
      </c>
      <c r="C221">
        <v>0</v>
      </c>
      <c r="D221">
        <v>0</v>
      </c>
      <c r="E221">
        <v>0</v>
      </c>
      <c r="F221" t="s">
        <v>268</v>
      </c>
      <c r="G221" t="s">
        <v>178</v>
      </c>
      <c r="H221" t="s">
        <v>177</v>
      </c>
      <c r="I221">
        <v>450</v>
      </c>
      <c r="K221" t="str">
        <f t="shared" si="60"/>
        <v/>
      </c>
      <c r="L221" t="str">
        <f t="shared" si="61"/>
        <v>بي اتش - BH خام</v>
      </c>
      <c r="M221" s="36">
        <f t="shared" si="62"/>
        <v>1</v>
      </c>
      <c r="N221" s="37">
        <f t="shared" si="63"/>
        <v>450</v>
      </c>
      <c r="O221" s="37">
        <f t="shared" si="64"/>
        <v>0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IF(L221="","",IF($AO$1=1,IFERROR(MATCH(L221,'06-حزيران'!$L$2:$L$499,0),0),0))</f>
        <v>112</v>
      </c>
      <c r="W221" t="str">
        <f t="shared" si="71"/>
        <v/>
      </c>
      <c r="X221" s="38">
        <f>IF(L221="","",IF(V221&gt;0,INDEX('06-حزيران'!$P$2:$P$499,V221),IF($AO$1=1,0,"")))</f>
        <v>0</v>
      </c>
      <c r="Y221" s="38">
        <f t="shared" si="72"/>
        <v>0</v>
      </c>
      <c r="Z221" s="39">
        <f>IF(L221="","",IF(V221&gt;0,INDEX('06-حزيران'!$Q$2:$Q$499,V221),IF($AO$1=1,0,"")))</f>
        <v>0</v>
      </c>
      <c r="AA221" s="39">
        <f t="shared" si="73"/>
        <v>0</v>
      </c>
      <c r="AB221" s="40">
        <f>IF(OR(L221="",V221=0),"",IF(AND(N(I221)&gt;0,N(INDEX('06-حزيران'!$I$2:$I$499,V221))&gt;0,INDEX('06-حزيران'!$F$2:$F$499,V221)=F221),N(I221)/N(INDEX('06-حزيران'!$I$2:$I$499,V221))-1,""))</f>
        <v>0</v>
      </c>
      <c r="AC221" t="str">
        <f>IF(L221="","",IF(AND($AO$2=1,ISNA(MATCH(L221,'08-آب'!$L$2:$L$501,0))),"محذوف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494</v>
      </c>
      <c r="B222">
        <v>504</v>
      </c>
      <c r="C222">
        <v>6000</v>
      </c>
      <c r="D222">
        <v>6000</v>
      </c>
      <c r="E222">
        <v>6000</v>
      </c>
      <c r="F222" t="s">
        <v>389</v>
      </c>
      <c r="G222" t="s">
        <v>178</v>
      </c>
      <c r="H222" t="s">
        <v>12</v>
      </c>
      <c r="I222">
        <v>5500</v>
      </c>
      <c r="K222" t="str">
        <f t="shared" si="60"/>
        <v/>
      </c>
      <c r="L222" t="str">
        <f t="shared" si="61"/>
        <v>بي اتش - BH / فرط</v>
      </c>
      <c r="M222" s="36">
        <f t="shared" si="62"/>
        <v>7.5187969924812026E-5</v>
      </c>
      <c r="N222" s="37">
        <f t="shared" si="63"/>
        <v>0.41353383458646614</v>
      </c>
      <c r="O222" s="37">
        <f t="shared" si="64"/>
        <v>0.45112781954887216</v>
      </c>
      <c r="P222" s="38">
        <f t="shared" si="65"/>
        <v>504</v>
      </c>
      <c r="Q222" s="39">
        <f t="shared" si="66"/>
        <v>208.42105263157893</v>
      </c>
      <c r="R222" s="39">
        <f t="shared" si="67"/>
        <v>227.36842105263156</v>
      </c>
      <c r="S222">
        <f t="shared" si="68"/>
        <v>1</v>
      </c>
      <c r="T222" s="39">
        <f t="shared" si="69"/>
        <v>18.94736842105263</v>
      </c>
      <c r="U222" t="str">
        <f t="shared" si="70"/>
        <v/>
      </c>
      <c r="V222">
        <f>IF(L222="","",IF($AO$1=1,IFERROR(MATCH(L222,'06-حزيران'!$L$2:$L$499,0),0),0))</f>
        <v>226</v>
      </c>
      <c r="W222" t="str">
        <f t="shared" si="71"/>
        <v/>
      </c>
      <c r="X222" s="38">
        <f>IF(L222="","",IF(V222&gt;0,INDEX('06-حزيران'!$P$2:$P$499,V222),IF($AO$1=1,0,"")))</f>
        <v>544</v>
      </c>
      <c r="Y222" s="38">
        <f t="shared" si="72"/>
        <v>-40</v>
      </c>
      <c r="Z222" s="39">
        <f>IF(L222="","",IF(V222&gt;0,INDEX('06-حزيران'!$Q$2:$Q$499,V222),IF($AO$1=1,0,"")))</f>
        <v>226.66666666666669</v>
      </c>
      <c r="AA222" s="39">
        <f t="shared" si="73"/>
        <v>-18.245614035087755</v>
      </c>
      <c r="AB222" s="40">
        <f>IF(OR(L222="",V222=0),"",IF(AND(N(I222)&gt;0,N(INDEX('06-حزيران'!$I$2:$I$499,V222))&gt;0,INDEX('06-حزيران'!$F$2:$F$499,V222)=F222),N(I222)/N(INDEX('06-حزيران'!$I$2:$I$499,V222))-1,""))</f>
        <v>0</v>
      </c>
      <c r="AC222" t="str">
        <f>IF(L222="","",IF(AND($AO$2=1,ISNA(MATCH(L222,'08-آب'!$L$2:$L$501,0))),"محذوف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18.245614257087755</v>
      </c>
      <c r="AH222" s="39">
        <f t="shared" si="75"/>
        <v>18.94736842105263</v>
      </c>
      <c r="AI222" s="39">
        <f t="shared" si="76"/>
        <v>18.94736842105263</v>
      </c>
      <c r="AJ222" s="39">
        <f t="shared" si="77"/>
        <v>18.94736842105263</v>
      </c>
      <c r="AK222">
        <f t="shared" si="78"/>
        <v>208.42105285357894</v>
      </c>
      <c r="AL222">
        <f t="shared" si="79"/>
        <v>18.947368643052631</v>
      </c>
    </row>
    <row r="223" spans="1:38" ht="15">
      <c r="A223" t="s">
        <v>495</v>
      </c>
      <c r="B223">
        <v>0</v>
      </c>
      <c r="C223">
        <v>0</v>
      </c>
      <c r="D223">
        <v>0</v>
      </c>
      <c r="E223">
        <v>0</v>
      </c>
      <c r="F223" t="s">
        <v>389</v>
      </c>
      <c r="G223" t="s">
        <v>178</v>
      </c>
      <c r="H223" t="s">
        <v>12</v>
      </c>
      <c r="I223">
        <v>0</v>
      </c>
      <c r="K223" t="str">
        <f t="shared" si="60"/>
        <v/>
      </c>
      <c r="L223" t="str">
        <f t="shared" si="61"/>
        <v>بي أتش ph الكرمل</v>
      </c>
      <c r="M223" s="36">
        <f t="shared" si="62"/>
        <v>7.5187969924812026E-5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IF(L223="","",IF($AO$1=1,IFERROR(MATCH(L223,'06-حزيران'!$L$2:$L$499,0),0),0))</f>
        <v>227</v>
      </c>
      <c r="W223" t="str">
        <f t="shared" si="71"/>
        <v/>
      </c>
      <c r="X223" s="38">
        <f>IF(L223="","",IF(V223&gt;0,INDEX('06-حزيران'!$P$2:$P$499,V223),IF($AO$1=1,0,"")))</f>
        <v>0</v>
      </c>
      <c r="Y223" s="38">
        <f t="shared" si="72"/>
        <v>0</v>
      </c>
      <c r="Z223" s="39">
        <f>IF(L223="","",IF(V223&gt;0,INDEX('06-حزيران'!$Q$2:$Q$499,V223),IF($AO$1=1,0,"")))</f>
        <v>0</v>
      </c>
      <c r="AA223" s="39">
        <f t="shared" si="73"/>
        <v>0</v>
      </c>
      <c r="AB223" s="40" t="str">
        <f>IF(OR(L223="",V223=0),"",IF(AND(N(I223)&gt;0,N(INDEX('06-حزيران'!$I$2:$I$499,V223))&gt;0,INDEX('06-حزيران'!$F$2:$F$499,V223)=F223),N(I223)/N(INDEX('06-حزيران'!$I$2:$I$499,V223))-1,""))</f>
        <v/>
      </c>
      <c r="AC223" t="str">
        <f>IF(L223="","",IF(AND($AO$2=1,ISNA(MATCH(L223,'08-آب'!$L$2:$L$501,0))),"محذوف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380</v>
      </c>
      <c r="B224">
        <v>0</v>
      </c>
      <c r="C224">
        <v>0</v>
      </c>
      <c r="D224">
        <v>0</v>
      </c>
      <c r="E224">
        <v>0</v>
      </c>
      <c r="F224" t="s">
        <v>268</v>
      </c>
      <c r="G224" t="s">
        <v>178</v>
      </c>
      <c r="H224" t="s">
        <v>176</v>
      </c>
      <c r="I224">
        <v>2</v>
      </c>
      <c r="K224" t="str">
        <f t="shared" si="60"/>
        <v/>
      </c>
      <c r="L224" t="str">
        <f t="shared" si="61"/>
        <v>بوتيل غليكول</v>
      </c>
      <c r="M224" s="36">
        <f t="shared" si="62"/>
        <v>1</v>
      </c>
      <c r="N224" s="37">
        <f t="shared" si="63"/>
        <v>2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IF(L224="","",IF($AO$1=1,IFERROR(MATCH(L224,'06-حزيران'!$L$2:$L$499,0),0),0))</f>
        <v>113</v>
      </c>
      <c r="W224" t="str">
        <f t="shared" si="71"/>
        <v/>
      </c>
      <c r="X224" s="38">
        <f>IF(L224="","",IF(V224&gt;0,INDEX('06-حزيران'!$P$2:$P$499,V224),IF($AO$1=1,0,"")))</f>
        <v>0</v>
      </c>
      <c r="Y224" s="38">
        <f t="shared" si="72"/>
        <v>0</v>
      </c>
      <c r="Z224" s="39">
        <f>IF(L224="","",IF(V224&gt;0,INDEX('06-حزيران'!$Q$2:$Q$499,V224),IF($AO$1=1,0,"")))</f>
        <v>0</v>
      </c>
      <c r="AA224" s="39">
        <f t="shared" si="73"/>
        <v>0</v>
      </c>
      <c r="AB224" s="40">
        <f>IF(OR(L224="",V224=0),"",IF(AND(N(I224)&gt;0,N(INDEX('06-حزيران'!$I$2:$I$499,V224))&gt;0,INDEX('06-حزيران'!$F$2:$F$499,V224)=F224),N(I224)/N(INDEX('06-حزيران'!$I$2:$I$499,V224))-1,""))</f>
        <v>0</v>
      </c>
      <c r="AC224" t="str">
        <f>IF(L224="","",IF(AND($AO$2=1,ISNA(MATCH(L224,'08-آب'!$L$2:$L$501,0))),"محذوف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2.2399999999999999E-7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381</v>
      </c>
      <c r="B225">
        <v>0</v>
      </c>
      <c r="C225">
        <v>0</v>
      </c>
      <c r="D225">
        <v>0</v>
      </c>
      <c r="E225">
        <v>0</v>
      </c>
      <c r="F225" t="s">
        <v>268</v>
      </c>
      <c r="G225" t="s">
        <v>178</v>
      </c>
      <c r="H225" t="s">
        <v>177</v>
      </c>
      <c r="I225">
        <v>89.3</v>
      </c>
      <c r="K225" t="str">
        <f t="shared" si="60"/>
        <v/>
      </c>
      <c r="L225" t="str">
        <f t="shared" si="61"/>
        <v>بلسم خام</v>
      </c>
      <c r="M225" s="36">
        <f t="shared" si="62"/>
        <v>1</v>
      </c>
      <c r="N225" s="37">
        <f t="shared" si="63"/>
        <v>89.3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IF(L225="","",IF($AO$1=1,IFERROR(MATCH(L225,'06-حزيران'!$L$2:$L$499,0),0),0))</f>
        <v>114</v>
      </c>
      <c r="W225" t="str">
        <f t="shared" si="71"/>
        <v/>
      </c>
      <c r="X225" s="38">
        <f>IF(L225="","",IF(V225&gt;0,INDEX('06-حزيران'!$P$2:$P$499,V225),IF($AO$1=1,0,"")))</f>
        <v>0</v>
      </c>
      <c r="Y225" s="38">
        <f t="shared" si="72"/>
        <v>0</v>
      </c>
      <c r="Z225" s="39">
        <f>IF(L225="","",IF(V225&gt;0,INDEX('06-حزيران'!$Q$2:$Q$499,V225),IF($AO$1=1,0,"")))</f>
        <v>0</v>
      </c>
      <c r="AA225" s="39">
        <f t="shared" si="73"/>
        <v>0</v>
      </c>
      <c r="AB225" s="40">
        <f>IF(OR(L225="",V225=0),"",IF(AND(N(I225)&gt;0,N(INDEX('06-حزيران'!$I$2:$I$499,V225))&gt;0,INDEX('06-حزيران'!$F$2:$F$499,V225)=F225),N(I225)/N(INDEX('06-حزيران'!$I$2:$I$499,V225))-1,""))</f>
        <v>0</v>
      </c>
      <c r="AC225" t="str">
        <f>IF(L225="","",IF(AND($AO$2=1,ISNA(MATCH(L225,'08-آب'!$L$2:$L$501,0))),"محذوف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2.2499999999999999E-7</v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382</v>
      </c>
      <c r="B226">
        <v>3</v>
      </c>
      <c r="C226">
        <v>0</v>
      </c>
      <c r="D226">
        <v>0</v>
      </c>
      <c r="E226">
        <v>0</v>
      </c>
      <c r="F226" t="s">
        <v>268</v>
      </c>
      <c r="G226" t="s">
        <v>178</v>
      </c>
      <c r="H226" t="s">
        <v>176</v>
      </c>
      <c r="I226">
        <v>2</v>
      </c>
      <c r="K226" t="str">
        <f t="shared" si="60"/>
        <v/>
      </c>
      <c r="L226" t="str">
        <f t="shared" si="61"/>
        <v>بلسم جامد</v>
      </c>
      <c r="M226" s="36">
        <f t="shared" si="62"/>
        <v>1</v>
      </c>
      <c r="N226" s="37">
        <f t="shared" si="63"/>
        <v>2</v>
      </c>
      <c r="O226" s="37">
        <f t="shared" si="64"/>
        <v>0</v>
      </c>
      <c r="P226" s="38">
        <f t="shared" si="65"/>
        <v>3</v>
      </c>
      <c r="Q226" s="39">
        <f t="shared" si="66"/>
        <v>6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IF(L226="","",IF($AO$1=1,IFERROR(MATCH(L226,'06-حزيران'!$L$2:$L$499,0),0),0))</f>
        <v>115</v>
      </c>
      <c r="W226" t="str">
        <f t="shared" si="71"/>
        <v/>
      </c>
      <c r="X226" s="38">
        <f>IF(L226="","",IF(V226&gt;0,INDEX('06-حزيران'!$P$2:$P$499,V226),IF($AO$1=1,0,"")))</f>
        <v>3</v>
      </c>
      <c r="Y226" s="38">
        <f t="shared" si="72"/>
        <v>0</v>
      </c>
      <c r="Z226" s="39">
        <f>IF(L226="","",IF(V226&gt;0,INDEX('06-حزيران'!$Q$2:$Q$499,V226),IF($AO$1=1,0,"")))</f>
        <v>6</v>
      </c>
      <c r="AA226" s="39">
        <f t="shared" si="73"/>
        <v>0</v>
      </c>
      <c r="AB226" s="40">
        <f>IF(OR(L226="",V226=0),"",IF(AND(N(I226)&gt;0,N(INDEX('06-حزيران'!$I$2:$I$499,V226))&gt;0,INDEX('06-حزيران'!$F$2:$F$499,V226)=F226),N(I226)/N(INDEX('06-حزيران'!$I$2:$I$499,V226))-1,""))</f>
        <v>0</v>
      </c>
      <c r="AC226" t="str">
        <f>IF(L226="","",IF(AND($AO$2=1,ISNA(MATCH(L226,'08-آب'!$L$2:$L$501,0))),"محذوف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6.000000226</v>
      </c>
      <c r="AL226">
        <f t="shared" si="79"/>
        <v>2.2600000000000001E-7</v>
      </c>
    </row>
    <row r="227" spans="1:38" ht="15">
      <c r="A227" t="s">
        <v>496</v>
      </c>
      <c r="B227">
        <v>0</v>
      </c>
      <c r="C227">
        <v>0</v>
      </c>
      <c r="D227">
        <v>0</v>
      </c>
      <c r="E227">
        <v>0</v>
      </c>
      <c r="F227" t="s">
        <v>389</v>
      </c>
      <c r="G227" t="s">
        <v>178</v>
      </c>
      <c r="H227" t="s">
        <v>12</v>
      </c>
      <c r="I227">
        <v>0</v>
      </c>
      <c r="K227" t="str">
        <f t="shared" si="60"/>
        <v/>
      </c>
      <c r="L227" t="str">
        <f t="shared" si="61"/>
        <v>بلسم 3 لتر</v>
      </c>
      <c r="M227" s="36">
        <f t="shared" si="62"/>
        <v>7.5187969924812026E-5</v>
      </c>
      <c r="N227" s="37">
        <f t="shared" si="63"/>
        <v>0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IF(L227="","",IF($AO$1=1,IFERROR(MATCH(L227,'06-حزيران'!$L$2:$L$499,0),0),0))</f>
        <v>228</v>
      </c>
      <c r="W227" t="str">
        <f t="shared" si="71"/>
        <v/>
      </c>
      <c r="X227" s="38">
        <f>IF(L227="","",IF(V227&gt;0,INDEX('06-حزيران'!$P$2:$P$499,V227),IF($AO$1=1,0,"")))</f>
        <v>0</v>
      </c>
      <c r="Y227" s="38">
        <f t="shared" si="72"/>
        <v>0</v>
      </c>
      <c r="Z227" s="39">
        <f>IF(L227="","",IF(V227&gt;0,INDEX('06-حزيران'!$Q$2:$Q$499,V227),IF($AO$1=1,0,"")))</f>
        <v>0</v>
      </c>
      <c r="AA227" s="39">
        <f t="shared" si="73"/>
        <v>0</v>
      </c>
      <c r="AB227" s="40" t="str">
        <f>IF(OR(L227="",V227=0),"",IF(AND(N(I227)&gt;0,N(INDEX('06-حزيران'!$I$2:$I$499,V227))&gt;0,INDEX('06-حزيران'!$F$2:$F$499,V227)=F227),N(I227)/N(INDEX('06-حزيران'!$I$2:$I$499,V227))-1,""))</f>
        <v/>
      </c>
      <c r="AC227" t="str">
        <f>IF(L227="","",IF(AND($AO$2=1,ISNA(MATCH(L227,'08-آب'!$L$2:$L$501,0))),"محذوف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497</v>
      </c>
      <c r="B228">
        <v>0</v>
      </c>
      <c r="C228">
        <v>15000</v>
      </c>
      <c r="D228">
        <v>15000</v>
      </c>
      <c r="E228">
        <v>15000</v>
      </c>
      <c r="F228" t="s">
        <v>389</v>
      </c>
      <c r="G228" t="s">
        <v>178</v>
      </c>
      <c r="H228" t="s">
        <v>12</v>
      </c>
      <c r="I228">
        <v>0</v>
      </c>
      <c r="K228" t="str">
        <f t="shared" si="60"/>
        <v/>
      </c>
      <c r="L228" t="str">
        <f t="shared" si="61"/>
        <v>بلسم / فرط</v>
      </c>
      <c r="M228" s="36">
        <f t="shared" si="62"/>
        <v>7.5187969924812026E-5</v>
      </c>
      <c r="N228" s="37">
        <f t="shared" si="63"/>
        <v>0</v>
      </c>
      <c r="O228" s="37">
        <f t="shared" si="64"/>
        <v>1.1278195488721805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IF(L228="","",IF($AO$1=1,IFERROR(MATCH(L228,'06-حزيران'!$L$2:$L$499,0),0),0))</f>
        <v>229</v>
      </c>
      <c r="W228" t="str">
        <f t="shared" si="71"/>
        <v/>
      </c>
      <c r="X228" s="38">
        <f>IF(L228="","",IF(V228&gt;0,INDEX('06-حزيران'!$P$2:$P$499,V228),IF($AO$1=1,0,"")))</f>
        <v>0</v>
      </c>
      <c r="Y228" s="38">
        <f t="shared" si="72"/>
        <v>0</v>
      </c>
      <c r="Z228" s="39">
        <f>IF(L228="","",IF(V228&gt;0,INDEX('06-حزيران'!$Q$2:$Q$499,V228),IF($AO$1=1,0,"")))</f>
        <v>0</v>
      </c>
      <c r="AA228" s="39">
        <f t="shared" si="73"/>
        <v>0</v>
      </c>
      <c r="AB228" s="40" t="str">
        <f>IF(OR(L228="",V228=0),"",IF(AND(N(I228)&gt;0,N(INDEX('06-حزيران'!$I$2:$I$499,V228))&gt;0,INDEX('06-حزيران'!$F$2:$F$499,V228)=F228),N(I228)/N(INDEX('06-حزيران'!$I$2:$I$499,V228))-1,""))</f>
        <v/>
      </c>
      <c r="AC228" t="str">
        <f>IF(L228="","",IF(AND($AO$2=1,ISNA(MATCH(L228,'08-آب'!$L$2:$L$501,0))),"محذوف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383</v>
      </c>
      <c r="B229">
        <v>0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176</v>
      </c>
      <c r="I229">
        <v>1.625</v>
      </c>
      <c r="K229" t="str">
        <f t="shared" si="60"/>
        <v/>
      </c>
      <c r="L229" t="str">
        <f t="shared" si="61"/>
        <v>بروبلين - فينب</v>
      </c>
      <c r="M229" s="36">
        <f t="shared" si="62"/>
        <v>1</v>
      </c>
      <c r="N229" s="37">
        <f t="shared" si="63"/>
        <v>1.625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IF(L229="","",IF($AO$1=1,IFERROR(MATCH(L229,'06-حزيران'!$L$2:$L$499,0),0),0))</f>
        <v>116</v>
      </c>
      <c r="W229" t="str">
        <f t="shared" si="71"/>
        <v/>
      </c>
      <c r="X229" s="38">
        <f>IF(L229="","",IF(V229&gt;0,INDEX('06-حزيران'!$P$2:$P$499,V229),IF($AO$1=1,0,"")))</f>
        <v>0</v>
      </c>
      <c r="Y229" s="38">
        <f t="shared" si="72"/>
        <v>0</v>
      </c>
      <c r="Z229" s="39">
        <f>IF(L229="","",IF(V229&gt;0,INDEX('06-حزيران'!$Q$2:$Q$499,V229),IF($AO$1=1,0,"")))</f>
        <v>0</v>
      </c>
      <c r="AA229" s="39">
        <f t="shared" si="73"/>
        <v>0</v>
      </c>
      <c r="AB229" s="40">
        <f>IF(OR(L229="",V229=0),"",IF(AND(N(I229)&gt;0,N(INDEX('06-حزيران'!$I$2:$I$499,V229))&gt;0,INDEX('06-حزيران'!$F$2:$F$499,V229)=F229),N(I229)/N(INDEX('06-حزيران'!$I$2:$I$499,V229))-1,""))</f>
        <v>0</v>
      </c>
      <c r="AC229" t="str">
        <f>IF(L229="","",IF(AND($AO$2=1,ISNA(MATCH(L229,'08-آب'!$L$2:$L$501,0))),"محذوف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2.29E-7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498</v>
      </c>
      <c r="B230">
        <v>0</v>
      </c>
      <c r="C230">
        <v>49000</v>
      </c>
      <c r="D230">
        <v>49000</v>
      </c>
      <c r="E230">
        <v>49000</v>
      </c>
      <c r="F230" t="s">
        <v>389</v>
      </c>
      <c r="G230" t="s">
        <v>178</v>
      </c>
      <c r="H230" t="s">
        <v>12</v>
      </c>
      <c r="I230">
        <v>20000</v>
      </c>
      <c r="K230" t="str">
        <f t="shared" si="60"/>
        <v/>
      </c>
      <c r="L230" t="str">
        <f t="shared" si="61"/>
        <v>برميل كرتون</v>
      </c>
      <c r="M230" s="36">
        <f t="shared" si="62"/>
        <v>7.5187969924812026E-5</v>
      </c>
      <c r="N230" s="37">
        <f t="shared" si="63"/>
        <v>1.5037593984962405</v>
      </c>
      <c r="O230" s="37">
        <f t="shared" si="64"/>
        <v>3.6842105263157894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IF(L230="","",IF($AO$1=1,IFERROR(MATCH(L230,'06-حزيران'!$L$2:$L$499,0),0),0))</f>
        <v>230</v>
      </c>
      <c r="W230" t="str">
        <f t="shared" si="71"/>
        <v/>
      </c>
      <c r="X230" s="38">
        <f>IF(L230="","",IF(V230&gt;0,INDEX('06-حزيران'!$P$2:$P$499,V230),IF($AO$1=1,0,"")))</f>
        <v>0</v>
      </c>
      <c r="Y230" s="38">
        <f t="shared" si="72"/>
        <v>0</v>
      </c>
      <c r="Z230" s="39">
        <f>IF(L230="","",IF(V230&gt;0,INDEX('06-حزيران'!$Q$2:$Q$499,V230),IF($AO$1=1,0,"")))</f>
        <v>0</v>
      </c>
      <c r="AA230" s="39">
        <f t="shared" si="73"/>
        <v>0</v>
      </c>
      <c r="AB230" s="40">
        <f>IF(OR(L230="",V230=0),"",IF(AND(N(I230)&gt;0,N(INDEX('06-حزيران'!$I$2:$I$499,V230))&gt;0,INDEX('06-حزيران'!$F$2:$F$499,V230)=F230),N(I230)/N(INDEX('06-حزيران'!$I$2:$I$499,V230))-1,""))</f>
        <v>0</v>
      </c>
      <c r="AC230" t="str">
        <f>IF(L230="","",IF(AND($AO$2=1,ISNA(MATCH(L230,'08-آب'!$L$2:$L$501,0))),"محذوف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499</v>
      </c>
      <c r="B231">
        <v>0</v>
      </c>
      <c r="C231">
        <v>0</v>
      </c>
      <c r="D231">
        <v>0</v>
      </c>
      <c r="E231">
        <v>0</v>
      </c>
      <c r="F231" t="s">
        <v>389</v>
      </c>
      <c r="G231" t="s">
        <v>178</v>
      </c>
      <c r="H231" t="s">
        <v>12</v>
      </c>
      <c r="I231">
        <v>0</v>
      </c>
      <c r="K231" t="str">
        <f t="shared" si="60"/>
        <v/>
      </c>
      <c r="L231" t="str">
        <f t="shared" si="61"/>
        <v>برميل تكسبون فارغ</v>
      </c>
      <c r="M231" s="36">
        <f t="shared" si="62"/>
        <v>7.5187969924812026E-5</v>
      </c>
      <c r="N231" s="37">
        <f t="shared" si="63"/>
        <v>0</v>
      </c>
      <c r="O231" s="37">
        <f t="shared" si="64"/>
        <v>0</v>
      </c>
      <c r="P231" s="38">
        <f t="shared" si="65"/>
        <v>0</v>
      </c>
      <c r="Q231" s="39">
        <f t="shared" si="66"/>
        <v>0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IF(L231="","",IF($AO$1=1,IFERROR(MATCH(L231,'06-حزيران'!$L$2:$L$499,0),0),0))</f>
        <v>231</v>
      </c>
      <c r="W231" t="str">
        <f t="shared" si="71"/>
        <v/>
      </c>
      <c r="X231" s="38">
        <f>IF(L231="","",IF(V231&gt;0,INDEX('06-حزيران'!$P$2:$P$499,V231),IF($AO$1=1,0,"")))</f>
        <v>0</v>
      </c>
      <c r="Y231" s="38">
        <f t="shared" si="72"/>
        <v>0</v>
      </c>
      <c r="Z231" s="39">
        <f>IF(L231="","",IF(V231&gt;0,INDEX('06-حزيران'!$Q$2:$Q$499,V231),IF($AO$1=1,0,"")))</f>
        <v>0</v>
      </c>
      <c r="AA231" s="39">
        <f t="shared" si="73"/>
        <v>0</v>
      </c>
      <c r="AB231" s="40" t="str">
        <f>IF(OR(L231="",V231=0),"",IF(AND(N(I231)&gt;0,N(INDEX('06-حزيران'!$I$2:$I$499,V231))&gt;0,INDEX('06-حزيران'!$F$2:$F$499,V231)=F231),N(I231)/N(INDEX('06-حزيران'!$I$2:$I$499,V231))-1,""))</f>
        <v/>
      </c>
      <c r="AC231" t="str">
        <f>IF(L231="","",IF(AND($AO$2=1,ISNA(MATCH(L231,'08-آب'!$L$2:$L$501,0))),"محذوف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2.3099999999999999E-7</v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2.3099999999999999E-7</v>
      </c>
      <c r="AL231">
        <f t="shared" si="79"/>
        <v>2.3099999999999999E-7</v>
      </c>
    </row>
    <row r="232" spans="1:38" ht="15">
      <c r="A232" t="s">
        <v>500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176</v>
      </c>
      <c r="I232">
        <v>0</v>
      </c>
      <c r="K232" t="str">
        <f t="shared" si="60"/>
        <v/>
      </c>
      <c r="L232" t="str">
        <f t="shared" si="61"/>
        <v>برميل بلاستيك</v>
      </c>
      <c r="M232" s="36">
        <f t="shared" si="62"/>
        <v>7.5187969924812026E-5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IF(L232="","",IF($AO$1=1,IFERROR(MATCH(L232,'06-حزيران'!$L$2:$L$499,0),0),0))</f>
        <v>232</v>
      </c>
      <c r="W232" t="str">
        <f t="shared" si="71"/>
        <v/>
      </c>
      <c r="X232" s="38">
        <f>IF(L232="","",IF(V232&gt;0,INDEX('06-حزيران'!$P$2:$P$499,V232),IF($AO$1=1,0,"")))</f>
        <v>0</v>
      </c>
      <c r="Y232" s="38">
        <f t="shared" si="72"/>
        <v>0</v>
      </c>
      <c r="Z232" s="39">
        <f>IF(L232="","",IF(V232&gt;0,INDEX('06-حزيران'!$Q$2:$Q$499,V232),IF($AO$1=1,0,"")))</f>
        <v>0</v>
      </c>
      <c r="AA232" s="39">
        <f t="shared" si="73"/>
        <v>0</v>
      </c>
      <c r="AB232" s="40" t="str">
        <f>IF(OR(L232="",V232=0),"",IF(AND(N(I232)&gt;0,N(INDEX('06-حزيران'!$I$2:$I$499,V232))&gt;0,INDEX('06-حزيران'!$F$2:$F$499,V232)=F232),N(I232)/N(INDEX('06-حزيران'!$I$2:$I$499,V232))-1,""))</f>
        <v/>
      </c>
      <c r="AC232" t="str">
        <f>IF(L232="","",IF(AND($AO$2=1,ISNA(MATCH(L232,'08-آب'!$L$2:$L$501,0))),"محذوف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2.3200000000000001E-7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384</v>
      </c>
      <c r="B233">
        <v>0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3</v>
      </c>
      <c r="K233" t="str">
        <f t="shared" si="60"/>
        <v/>
      </c>
      <c r="L233" t="str">
        <f t="shared" si="61"/>
        <v>ايمولجين</v>
      </c>
      <c r="M233" s="36">
        <f t="shared" si="62"/>
        <v>1</v>
      </c>
      <c r="N233" s="37">
        <f t="shared" si="63"/>
        <v>3</v>
      </c>
      <c r="O233" s="37">
        <f t="shared" si="64"/>
        <v>0</v>
      </c>
      <c r="P233" s="38">
        <f t="shared" si="65"/>
        <v>0</v>
      </c>
      <c r="Q233" s="39">
        <f t="shared" si="66"/>
        <v>0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IF(L233="","",IF($AO$1=1,IFERROR(MATCH(L233,'06-حزيران'!$L$2:$L$499,0),0),0))</f>
        <v>117</v>
      </c>
      <c r="W233" t="str">
        <f t="shared" si="71"/>
        <v/>
      </c>
      <c r="X233" s="38">
        <f>IF(L233="","",IF(V233&gt;0,INDEX('06-حزيران'!$P$2:$P$499,V233),IF($AO$1=1,0,"")))</f>
        <v>6</v>
      </c>
      <c r="Y233" s="38">
        <f t="shared" si="72"/>
        <v>-6</v>
      </c>
      <c r="Z233" s="39">
        <f>IF(L233="","",IF(V233&gt;0,INDEX('06-حزيران'!$Q$2:$Q$499,V233),IF($AO$1=1,0,"")))</f>
        <v>18</v>
      </c>
      <c r="AA233" s="39">
        <f t="shared" si="73"/>
        <v>-18</v>
      </c>
      <c r="AB233" s="40">
        <f>IF(OR(L233="",V233=0),"",IF(AND(N(I233)&gt;0,N(INDEX('06-حزيران'!$I$2:$I$499,V233))&gt;0,INDEX('06-حزيران'!$F$2:$F$499,V233)=F233),N(I233)/N(INDEX('06-حزيران'!$I$2:$I$499,V233))-1,""))</f>
        <v>0</v>
      </c>
      <c r="AC233" t="str">
        <f>IF(L233="","",IF(AND($AO$2=1,ISNA(MATCH(L233,'08-آب'!$L$2:$L$501,0))),"محذوف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18.000000233000002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2.3300000000000001E-7</v>
      </c>
      <c r="AL233">
        <f t="shared" si="79"/>
        <v>2.3300000000000001E-7</v>
      </c>
    </row>
    <row r="234" spans="1:38" ht="15">
      <c r="A234" t="s">
        <v>385</v>
      </c>
      <c r="B234">
        <v>16.5</v>
      </c>
      <c r="C234">
        <v>0</v>
      </c>
      <c r="D234">
        <v>0</v>
      </c>
      <c r="E234">
        <v>0</v>
      </c>
      <c r="F234" t="s">
        <v>268</v>
      </c>
      <c r="G234" t="s">
        <v>178</v>
      </c>
      <c r="H234" t="s">
        <v>176</v>
      </c>
      <c r="I234">
        <v>3.335</v>
      </c>
      <c r="K234" t="str">
        <f t="shared" si="60"/>
        <v/>
      </c>
      <c r="L234" t="str">
        <f t="shared" si="61"/>
        <v>ايديتا</v>
      </c>
      <c r="M234" s="36">
        <f t="shared" si="62"/>
        <v>1</v>
      </c>
      <c r="N234" s="37">
        <f t="shared" si="63"/>
        <v>3.335</v>
      </c>
      <c r="O234" s="37">
        <f t="shared" si="64"/>
        <v>0</v>
      </c>
      <c r="P234" s="38">
        <f t="shared" si="65"/>
        <v>16.5</v>
      </c>
      <c r="Q234" s="39">
        <f t="shared" si="66"/>
        <v>55.027499999999996</v>
      </c>
      <c r="R234" s="39">
        <f t="shared" si="67"/>
        <v>0</v>
      </c>
      <c r="S234">
        <f t="shared" si="68"/>
        <v>0</v>
      </c>
      <c r="T234" s="39">
        <f t="shared" si="69"/>
        <v>0</v>
      </c>
      <c r="U234" t="str">
        <f t="shared" si="70"/>
        <v/>
      </c>
      <c r="V234">
        <f>IF(L234="","",IF($AO$1=1,IFERROR(MATCH(L234,'06-حزيران'!$L$2:$L$499,0),0),0))</f>
        <v>118</v>
      </c>
      <c r="W234" t="str">
        <f t="shared" si="71"/>
        <v/>
      </c>
      <c r="X234" s="38">
        <f>IF(L234="","",IF(V234&gt;0,INDEX('06-حزيران'!$P$2:$P$499,V234),IF($AO$1=1,0,"")))</f>
        <v>16.5</v>
      </c>
      <c r="Y234" s="38">
        <f t="shared" si="72"/>
        <v>0</v>
      </c>
      <c r="Z234" s="39">
        <f>IF(L234="","",IF(V234&gt;0,INDEX('06-حزيران'!$Q$2:$Q$499,V234),IF($AO$1=1,0,"")))</f>
        <v>55.027499999999996</v>
      </c>
      <c r="AA234" s="39">
        <f t="shared" si="73"/>
        <v>0</v>
      </c>
      <c r="AB234" s="40">
        <f>IF(OR(L234="",V234=0),"",IF(AND(N(I234)&gt;0,N(INDEX('06-حزيران'!$I$2:$I$499,V234))&gt;0,INDEX('06-حزيران'!$F$2:$F$499,V234)=F234),N(I234)/N(INDEX('06-حزيران'!$I$2:$I$499,V234))-1,""))</f>
        <v>0</v>
      </c>
      <c r="AC234" t="str">
        <f>IF(L234="","",IF(AND($AO$2=1,ISNA(MATCH(L234,'08-آب'!$L$2:$L$501,0))),"محذوف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2.34E-7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55.027500233999994</v>
      </c>
      <c r="AL234">
        <f t="shared" si="79"/>
        <v>2.34E-7</v>
      </c>
    </row>
    <row r="235" spans="1:38" ht="15">
      <c r="A235" t="s">
        <v>501</v>
      </c>
      <c r="B235">
        <v>230.4</v>
      </c>
      <c r="C235">
        <v>65000</v>
      </c>
      <c r="D235">
        <v>65000</v>
      </c>
      <c r="E235">
        <v>65000</v>
      </c>
      <c r="F235" t="s">
        <v>389</v>
      </c>
      <c r="G235" t="s">
        <v>178</v>
      </c>
      <c r="H235" t="s">
        <v>12</v>
      </c>
      <c r="I235">
        <v>55000</v>
      </c>
      <c r="K235" t="str">
        <f t="shared" si="60"/>
        <v/>
      </c>
      <c r="L235" t="str">
        <f t="shared" si="61"/>
        <v>اقراص كلور</v>
      </c>
      <c r="M235" s="36">
        <f t="shared" si="62"/>
        <v>7.5187969924812026E-5</v>
      </c>
      <c r="N235" s="37">
        <f t="shared" si="63"/>
        <v>4.1353383458646613</v>
      </c>
      <c r="O235" s="37">
        <f t="shared" si="64"/>
        <v>4.8872180451127818</v>
      </c>
      <c r="P235" s="38">
        <f t="shared" si="65"/>
        <v>230.4</v>
      </c>
      <c r="Q235" s="39">
        <f t="shared" si="66"/>
        <v>952.78195488721803</v>
      </c>
      <c r="R235" s="39">
        <f t="shared" si="67"/>
        <v>1126.015037593985</v>
      </c>
      <c r="S235">
        <f t="shared" si="68"/>
        <v>1</v>
      </c>
      <c r="T235" s="39">
        <f t="shared" si="69"/>
        <v>173.23308270676694</v>
      </c>
      <c r="U235" t="str">
        <f t="shared" si="70"/>
        <v/>
      </c>
      <c r="V235">
        <f>IF(L235="","",IF($AO$1=1,IFERROR(MATCH(L235,'06-حزيران'!$L$2:$L$499,0),0),0))</f>
        <v>233</v>
      </c>
      <c r="W235" t="str">
        <f t="shared" si="71"/>
        <v/>
      </c>
      <c r="X235" s="38">
        <f>IF(L235="","",IF(V235&gt;0,INDEX('06-حزيران'!$P$2:$P$499,V235),IF($AO$1=1,0,"")))</f>
        <v>330.4</v>
      </c>
      <c r="Y235" s="38">
        <f t="shared" si="72"/>
        <v>-99.999999999999972</v>
      </c>
      <c r="Z235" s="39">
        <f>IF(L235="","",IF(V235&gt;0,INDEX('06-حزيران'!$Q$2:$Q$499,V235),IF($AO$1=1,0,"")))</f>
        <v>1376.6666666666667</v>
      </c>
      <c r="AA235" s="39">
        <f t="shared" si="73"/>
        <v>-423.88471177944871</v>
      </c>
      <c r="AB235" s="40">
        <f>IF(OR(L235="",V235=0),"",IF(AND(N(I235)&gt;0,N(INDEX('06-حزيران'!$I$2:$I$499,V235))&gt;0,INDEX('06-حزيران'!$F$2:$F$499,V235)=F235),N(I235)/N(INDEX('06-حزيران'!$I$2:$I$499,V235))-1,""))</f>
        <v>0</v>
      </c>
      <c r="AC235" t="str">
        <f>IF(L235="","",IF(AND($AO$2=1,ISNA(MATCH(L235,'08-آب'!$L$2:$L$501,0))),"محذوف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423.88471201444872</v>
      </c>
      <c r="AH235" s="39">
        <f t="shared" si="75"/>
        <v>173.23308270676696</v>
      </c>
      <c r="AI235" s="39">
        <f t="shared" si="76"/>
        <v>173.23308270676696</v>
      </c>
      <c r="AJ235" s="39">
        <f t="shared" si="77"/>
        <v>173.23308270676696</v>
      </c>
      <c r="AK235">
        <f t="shared" si="78"/>
        <v>952.78195512221805</v>
      </c>
      <c r="AL235">
        <f t="shared" si="79"/>
        <v>173.23308294176692</v>
      </c>
    </row>
    <row r="236" spans="1:38" ht="15">
      <c r="A236" t="s">
        <v>502</v>
      </c>
      <c r="B236">
        <v>0</v>
      </c>
      <c r="C236">
        <v>45000</v>
      </c>
      <c r="D236">
        <v>45000</v>
      </c>
      <c r="E236">
        <v>45000</v>
      </c>
      <c r="F236" t="s">
        <v>389</v>
      </c>
      <c r="G236" t="s">
        <v>178</v>
      </c>
      <c r="H236" t="s">
        <v>12</v>
      </c>
      <c r="I236">
        <v>0</v>
      </c>
      <c r="K236" t="str">
        <f t="shared" si="60"/>
        <v/>
      </c>
      <c r="L236" t="str">
        <f t="shared" si="61"/>
        <v>اسيد 3 لتر</v>
      </c>
      <c r="M236" s="36">
        <f t="shared" si="62"/>
        <v>7.5187969924812026E-5</v>
      </c>
      <c r="N236" s="37">
        <f t="shared" si="63"/>
        <v>0</v>
      </c>
      <c r="O236" s="37">
        <f t="shared" si="64"/>
        <v>3.3834586466165413</v>
      </c>
      <c r="P236" s="38">
        <f t="shared" si="65"/>
        <v>0</v>
      </c>
      <c r="Q236" s="39">
        <f t="shared" si="66"/>
        <v>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IF(L236="","",IF($AO$1=1,IFERROR(MATCH(L236,'06-حزيران'!$L$2:$L$499,0),0),0))</f>
        <v>234</v>
      </c>
      <c r="W236" t="str">
        <f t="shared" si="71"/>
        <v/>
      </c>
      <c r="X236" s="38">
        <f>IF(L236="","",IF(V236&gt;0,INDEX('06-حزيران'!$P$2:$P$499,V236),IF($AO$1=1,0,"")))</f>
        <v>0</v>
      </c>
      <c r="Y236" s="38">
        <f t="shared" si="72"/>
        <v>0</v>
      </c>
      <c r="Z236" s="39">
        <f>IF(L236="","",IF(V236&gt;0,INDEX('06-حزيران'!$Q$2:$Q$499,V236),IF($AO$1=1,0,"")))</f>
        <v>0</v>
      </c>
      <c r="AA236" s="39">
        <f t="shared" si="73"/>
        <v>0</v>
      </c>
      <c r="AB236" s="40" t="str">
        <f>IF(OR(L236="",V236=0),"",IF(AND(N(I236)&gt;0,N(INDEX('06-حزيران'!$I$2:$I$499,V236))&gt;0,INDEX('06-حزيران'!$F$2:$F$499,V236)=F236),N(I236)/N(INDEX('06-حزيران'!$I$2:$I$499,V236))-1,""))</f>
        <v/>
      </c>
      <c r="AC236" t="str">
        <f>IF(L236="","",IF(AND($AO$2=1,ISNA(MATCH(L236,'08-آب'!$L$2:$L$501,0))),"محذوف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2.36E-7</v>
      </c>
      <c r="AL236">
        <f t="shared" si="79"/>
        <v>2.36E-7</v>
      </c>
    </row>
    <row r="237" spans="1:38" ht="15">
      <c r="A237" t="s">
        <v>386</v>
      </c>
      <c r="B237">
        <v>625</v>
      </c>
      <c r="C237">
        <v>0.5</v>
      </c>
      <c r="D237">
        <v>0.5</v>
      </c>
      <c r="E237">
        <v>0.5</v>
      </c>
      <c r="F237" t="s">
        <v>268</v>
      </c>
      <c r="G237" t="s">
        <v>178</v>
      </c>
      <c r="H237" t="s">
        <v>176</v>
      </c>
      <c r="I237">
        <v>0.21</v>
      </c>
      <c r="K237" t="str">
        <f t="shared" si="60"/>
        <v/>
      </c>
      <c r="L237" t="str">
        <f t="shared" si="61"/>
        <v>اسيد - روح الملح - حمض كلور الماء</v>
      </c>
      <c r="M237" s="36">
        <f t="shared" si="62"/>
        <v>1</v>
      </c>
      <c r="N237" s="37">
        <f t="shared" si="63"/>
        <v>0.21</v>
      </c>
      <c r="O237" s="37">
        <f t="shared" si="64"/>
        <v>0.5</v>
      </c>
      <c r="P237" s="38">
        <f t="shared" si="65"/>
        <v>625</v>
      </c>
      <c r="Q237" s="39">
        <f t="shared" si="66"/>
        <v>131.25</v>
      </c>
      <c r="R237" s="39">
        <f t="shared" si="67"/>
        <v>312.5</v>
      </c>
      <c r="S237">
        <f t="shared" si="68"/>
        <v>1</v>
      </c>
      <c r="T237" s="39">
        <f t="shared" si="69"/>
        <v>181.25</v>
      </c>
      <c r="U237" t="str">
        <f t="shared" si="70"/>
        <v/>
      </c>
      <c r="V237">
        <f>IF(L237="","",IF($AO$1=1,IFERROR(MATCH(L237,'06-حزيران'!$L$2:$L$499,0),0),0))</f>
        <v>119</v>
      </c>
      <c r="W237" t="str">
        <f t="shared" si="71"/>
        <v/>
      </c>
      <c r="X237" s="38">
        <f>IF(L237="","",IF(V237&gt;0,INDEX('06-حزيران'!$P$2:$P$499,V237),IF($AO$1=1,0,"")))</f>
        <v>60</v>
      </c>
      <c r="Y237" s="38">
        <f t="shared" si="72"/>
        <v>565</v>
      </c>
      <c r="Z237" s="39">
        <f>IF(L237="","",IF(V237&gt;0,INDEX('06-حزيران'!$Q$2:$Q$499,V237),IF($AO$1=1,0,"")))</f>
        <v>12.6</v>
      </c>
      <c r="AA237" s="39">
        <f t="shared" si="73"/>
        <v>118.65</v>
      </c>
      <c r="AB237" s="40">
        <f>IF(OR(L237="",V237=0),"",IF(AND(N(I237)&gt;0,N(INDEX('06-حزيران'!$I$2:$I$499,V237))&gt;0,INDEX('06-حزيران'!$F$2:$F$499,V237)=F237),N(I237)/N(INDEX('06-حزيران'!$I$2:$I$499,V237))-1,""))</f>
        <v>0</v>
      </c>
      <c r="AC237" t="str">
        <f>IF(L237="","",IF(AND($AO$2=1,ISNA(MATCH(L237,'08-آب'!$L$2:$L$501,0))),"محذوف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118.650000237</v>
      </c>
      <c r="AH237" s="39">
        <f t="shared" si="75"/>
        <v>181.25000000000003</v>
      </c>
      <c r="AI237" s="39">
        <f t="shared" si="76"/>
        <v>181.25000000000003</v>
      </c>
      <c r="AJ237" s="39">
        <f t="shared" si="77"/>
        <v>181.25000000000003</v>
      </c>
      <c r="AK237">
        <f t="shared" si="78"/>
        <v>131.25000023699999</v>
      </c>
      <c r="AL237">
        <f t="shared" si="79"/>
        <v>181.25000023699999</v>
      </c>
    </row>
    <row r="238" spans="1:38" ht="15">
      <c r="A238" t="s">
        <v>387</v>
      </c>
      <c r="B238">
        <v>207.5</v>
      </c>
      <c r="C238">
        <v>0</v>
      </c>
      <c r="D238">
        <v>0</v>
      </c>
      <c r="E238">
        <v>0</v>
      </c>
      <c r="F238" t="s">
        <v>268</v>
      </c>
      <c r="G238" t="s">
        <v>178</v>
      </c>
      <c r="H238" t="s">
        <v>176</v>
      </c>
      <c r="I238">
        <v>0.65</v>
      </c>
      <c r="K238" t="str">
        <f t="shared" si="60"/>
        <v/>
      </c>
      <c r="L238" t="str">
        <f t="shared" si="61"/>
        <v>اسيتون</v>
      </c>
      <c r="M238" s="36">
        <f t="shared" si="62"/>
        <v>1</v>
      </c>
      <c r="N238" s="37">
        <f t="shared" si="63"/>
        <v>0.65</v>
      </c>
      <c r="O238" s="37">
        <f t="shared" si="64"/>
        <v>0</v>
      </c>
      <c r="P238" s="38">
        <f t="shared" si="65"/>
        <v>207.5</v>
      </c>
      <c r="Q238" s="39">
        <f t="shared" si="66"/>
        <v>134.875</v>
      </c>
      <c r="R238" s="39">
        <f t="shared" si="67"/>
        <v>0</v>
      </c>
      <c r="S238">
        <f t="shared" si="68"/>
        <v>0</v>
      </c>
      <c r="T238" s="39">
        <f t="shared" si="69"/>
        <v>0</v>
      </c>
      <c r="U238" t="str">
        <f t="shared" si="70"/>
        <v/>
      </c>
      <c r="V238">
        <f>IF(L238="","",IF($AO$1=1,IFERROR(MATCH(L238,'06-حزيران'!$L$2:$L$499,0),0),0))</f>
        <v>120</v>
      </c>
      <c r="W238" t="str">
        <f t="shared" si="71"/>
        <v/>
      </c>
      <c r="X238" s="38">
        <f>IF(L238="","",IF(V238&gt;0,INDEX('06-حزيران'!$P$2:$P$499,V238),IF($AO$1=1,0,"")))</f>
        <v>207.5</v>
      </c>
      <c r="Y238" s="38">
        <f t="shared" si="72"/>
        <v>0</v>
      </c>
      <c r="Z238" s="39">
        <f>IF(L238="","",IF(V238&gt;0,INDEX('06-حزيران'!$Q$2:$Q$499,V238),IF($AO$1=1,0,"")))</f>
        <v>134.875</v>
      </c>
      <c r="AA238" s="39">
        <f t="shared" si="73"/>
        <v>0</v>
      </c>
      <c r="AB238" s="40">
        <f>IF(OR(L238="",V238=0),"",IF(AND(N(I238)&gt;0,N(INDEX('06-حزيران'!$I$2:$I$499,V238))&gt;0,INDEX('06-حزيران'!$F$2:$F$499,V238)=F238),N(I238)/N(INDEX('06-حزيران'!$I$2:$I$499,V238))-1,""))</f>
        <v>0</v>
      </c>
      <c r="AC238" t="str">
        <f>IF(L238="","",IF(AND($AO$2=1,ISNA(MATCH(L238,'08-آب'!$L$2:$L$501,0))),"محذوف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2.3799999999999999E-7</v>
      </c>
      <c r="AH238" s="39">
        <f t="shared" si="75"/>
        <v>0</v>
      </c>
      <c r="AI238" s="39">
        <f t="shared" si="76"/>
        <v>0</v>
      </c>
      <c r="AJ238" s="39">
        <f t="shared" si="77"/>
        <v>0</v>
      </c>
      <c r="AK238">
        <f t="shared" si="78"/>
        <v>134.87500023800001</v>
      </c>
      <c r="AL238">
        <f t="shared" si="79"/>
        <v>2.3799999999999999E-7</v>
      </c>
    </row>
    <row r="239" spans="1:38" ht="15">
      <c r="A239" t="s">
        <v>503</v>
      </c>
      <c r="B239">
        <v>0</v>
      </c>
      <c r="C239">
        <v>27000</v>
      </c>
      <c r="D239">
        <v>27000</v>
      </c>
      <c r="E239">
        <v>27000</v>
      </c>
      <c r="F239" t="s">
        <v>389</v>
      </c>
      <c r="G239" t="s">
        <v>178</v>
      </c>
      <c r="H239" t="s">
        <v>12</v>
      </c>
      <c r="I239">
        <v>10700</v>
      </c>
      <c r="K239" t="str">
        <f t="shared" si="60"/>
        <v/>
      </c>
      <c r="L239" t="str">
        <f t="shared" si="61"/>
        <v>أسيد 3 لتر</v>
      </c>
      <c r="M239" s="36">
        <f t="shared" si="62"/>
        <v>7.5187969924812026E-5</v>
      </c>
      <c r="N239" s="37">
        <f t="shared" si="63"/>
        <v>0.80451127819548873</v>
      </c>
      <c r="O239" s="37">
        <f t="shared" si="64"/>
        <v>2.0300751879699246</v>
      </c>
      <c r="P239" s="38">
        <f t="shared" si="65"/>
        <v>0</v>
      </c>
      <c r="Q239" s="39">
        <f t="shared" si="66"/>
        <v>0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IF(L239="","",IF($AO$1=1,IFERROR(MATCH(L239,'06-حزيران'!$L$2:$L$499,0),0),0))</f>
        <v>234</v>
      </c>
      <c r="W239" t="str">
        <f t="shared" si="71"/>
        <v/>
      </c>
      <c r="X239" s="38">
        <f>IF(L239="","",IF(V239&gt;0,INDEX('06-حزيران'!$P$2:$P$499,V239),IF($AO$1=1,0,"")))</f>
        <v>0</v>
      </c>
      <c r="Y239" s="38">
        <f t="shared" si="72"/>
        <v>0</v>
      </c>
      <c r="Z239" s="39">
        <f>IF(L239="","",IF(V239&gt;0,INDEX('06-حزيران'!$Q$2:$Q$499,V239),IF($AO$1=1,0,"")))</f>
        <v>0</v>
      </c>
      <c r="AA239" s="39">
        <f t="shared" si="73"/>
        <v>0</v>
      </c>
      <c r="AB239" s="40" t="str">
        <f>IF(OR(L239="",V239=0),"",IF(AND(N(I239)&gt;0,N(INDEX('06-حزيران'!$I$2:$I$499,V239))&gt;0,INDEX('06-حزيران'!$F$2:$F$499,V239)=F239),N(I239)/N(INDEX('06-حزيران'!$I$2:$I$499,V239))-1,""))</f>
        <v/>
      </c>
      <c r="AC239" t="str">
        <f>IF(L239="","",IF(AND($AO$2=1,ISNA(MATCH(L239,'08-آب'!$L$2:$L$501,0))),"محذوف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2.3900000000000001E-7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2.3900000000000001E-7</v>
      </c>
      <c r="AL239">
        <f t="shared" si="79"/>
        <v>2.3900000000000001E-7</v>
      </c>
    </row>
    <row r="240" spans="1:38" ht="15">
      <c r="A240" t="s">
        <v>504</v>
      </c>
      <c r="B240">
        <v>0</v>
      </c>
      <c r="C240">
        <v>5500</v>
      </c>
      <c r="D240">
        <v>5500</v>
      </c>
      <c r="E240">
        <v>5500</v>
      </c>
      <c r="F240" t="s">
        <v>389</v>
      </c>
      <c r="G240" t="s">
        <v>178</v>
      </c>
      <c r="H240" t="s">
        <v>12</v>
      </c>
      <c r="I240">
        <v>3500</v>
      </c>
      <c r="K240" t="str">
        <f t="shared" si="60"/>
        <v/>
      </c>
      <c r="L240" t="str">
        <f t="shared" si="61"/>
        <v>أسيد 1 لتر</v>
      </c>
      <c r="M240" s="36">
        <f t="shared" si="62"/>
        <v>7.5187969924812026E-5</v>
      </c>
      <c r="N240" s="37">
        <f t="shared" si="63"/>
        <v>0.26315789473684209</v>
      </c>
      <c r="O240" s="37">
        <f t="shared" si="64"/>
        <v>0.41353383458646614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IF(L240="","",IF($AO$1=1,IFERROR(MATCH(L240,'06-حزيران'!$L$2:$L$499,0),0),0))</f>
        <v>236</v>
      </c>
      <c r="W240" t="str">
        <f t="shared" si="71"/>
        <v/>
      </c>
      <c r="X240" s="38">
        <f>IF(L240="","",IF(V240&gt;0,INDEX('06-حزيران'!$P$2:$P$499,V240),IF($AO$1=1,0,"")))</f>
        <v>0</v>
      </c>
      <c r="Y240" s="38">
        <f t="shared" si="72"/>
        <v>0</v>
      </c>
      <c r="Z240" s="39">
        <f>IF(L240="","",IF(V240&gt;0,INDEX('06-حزيران'!$Q$2:$Q$499,V240),IF($AO$1=1,0,"")))</f>
        <v>0</v>
      </c>
      <c r="AA240" s="39">
        <f t="shared" si="73"/>
        <v>0</v>
      </c>
      <c r="AB240" s="40">
        <f>IF(OR(L240="",V240=0),"",IF(AND(N(I240)&gt;0,N(INDEX('06-حزيران'!$I$2:$I$499,V240))&gt;0,INDEX('06-حزيران'!$F$2:$F$499,V240)=F240),N(I240)/N(INDEX('06-حزيران'!$I$2:$I$499,V240))-1,""))</f>
        <v>0</v>
      </c>
      <c r="AC240" t="str">
        <f>IF(L240="","",IF(AND($AO$2=1,ISNA(MATCH(L240,'08-آب'!$L$2:$L$501,0))),"محذوف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2.3999999999999998E-7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IF(L241="","",IF($AO$1=1,IFERROR(MATCH(L241,'06-حزيران'!$L$2:$L$499,0),0),0))</f>
        <v/>
      </c>
      <c r="W241" t="str">
        <f t="shared" si="71"/>
        <v/>
      </c>
      <c r="X241" s="38" t="str">
        <f>IF(L241="","",IF(V241&gt;0,INDEX('06-حزيران'!$P$2:$P$499,V241),IF($AO$1=1,0,"")))</f>
        <v/>
      </c>
      <c r="Y241" s="38" t="str">
        <f t="shared" si="72"/>
        <v/>
      </c>
      <c r="Z241" s="39" t="str">
        <f>IF(L241="","",IF(V241&gt;0,INDEX('06-حزيران'!$Q$2:$Q$499,V241),IF($AO$1=1,0,"")))</f>
        <v/>
      </c>
      <c r="AA241" s="39" t="str">
        <f t="shared" si="73"/>
        <v/>
      </c>
      <c r="AB241" s="40" t="str">
        <f>IF(OR(L241="",V241=0),"",IF(AND(N(I241)&gt;0,N(INDEX('06-حزيران'!$I$2:$I$499,V241))&gt;0,INDEX('06-حزيران'!$F$2:$F$499,V241)=F241),N(I241)/N(INDEX('06-حزيران'!$I$2:$I$499,V241))-1,""))</f>
        <v/>
      </c>
      <c r="AC241" t="str">
        <f>IF(L241="","",IF(AND($AO$2=1,ISNA(MATCH(L241,'08-آب'!$L$2:$L$501,0))),"محذوف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IF(L242="","",IF($AO$1=1,IFERROR(MATCH(L242,'06-حزيران'!$L$2:$L$499,0),0),0))</f>
        <v/>
      </c>
      <c r="W242" t="str">
        <f t="shared" si="71"/>
        <v/>
      </c>
      <c r="X242" s="38" t="str">
        <f>IF(L242="","",IF(V242&gt;0,INDEX('06-حزيران'!$P$2:$P$499,V242),IF($AO$1=1,0,"")))</f>
        <v/>
      </c>
      <c r="Y242" s="38" t="str">
        <f t="shared" si="72"/>
        <v/>
      </c>
      <c r="Z242" s="39" t="str">
        <f>IF(L242="","",IF(V242&gt;0,INDEX('06-حزيران'!$Q$2:$Q$499,V242),IF($AO$1=1,0,"")))</f>
        <v/>
      </c>
      <c r="AA242" s="39" t="str">
        <f t="shared" si="73"/>
        <v/>
      </c>
      <c r="AB242" s="40" t="str">
        <f>IF(OR(L242="",V242=0),"",IF(AND(N(I242)&gt;0,N(INDEX('06-حزيران'!$I$2:$I$499,V242))&gt;0,INDEX('06-حزيران'!$F$2:$F$499,V242)=F242),N(I242)/N(INDEX('06-حزيران'!$I$2:$I$499,V242))-1,""))</f>
        <v/>
      </c>
      <c r="AC242" t="str">
        <f>IF(L242="","",IF(AND($AO$2=1,ISNA(MATCH(L242,'08-آب'!$L$2:$L$501,0))),"محذوف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IF(L243="","",IF($AO$1=1,IFERROR(MATCH(L243,'06-حزيران'!$L$2:$L$499,0),0),0))</f>
        <v/>
      </c>
      <c r="W243" t="str">
        <f t="shared" si="71"/>
        <v/>
      </c>
      <c r="X243" s="38" t="str">
        <f>IF(L243="","",IF(V243&gt;0,INDEX('06-حزيران'!$P$2:$P$499,V243),IF($AO$1=1,0,"")))</f>
        <v/>
      </c>
      <c r="Y243" s="38" t="str">
        <f t="shared" si="72"/>
        <v/>
      </c>
      <c r="Z243" s="39" t="str">
        <f>IF(L243="","",IF(V243&gt;0,INDEX('06-حزيران'!$Q$2:$Q$499,V243),IF($AO$1=1,0,"")))</f>
        <v/>
      </c>
      <c r="AA243" s="39" t="str">
        <f t="shared" si="73"/>
        <v/>
      </c>
      <c r="AB243" s="40" t="str">
        <f>IF(OR(L243="",V243=0),"",IF(AND(N(I243)&gt;0,N(INDEX('06-حزيران'!$I$2:$I$499,V243))&gt;0,INDEX('06-حزيران'!$F$2:$F$499,V243)=F243),N(I243)/N(INDEX('06-حزيران'!$I$2:$I$499,V243))-1,""))</f>
        <v/>
      </c>
      <c r="AC243" t="str">
        <f>IF(L243="","",IF(AND($AO$2=1,ISNA(MATCH(L243,'08-آب'!$L$2:$L$501,0))),"محذوف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IF(L244="","",IF($AO$1=1,IFERROR(MATCH(L244,'06-حزيران'!$L$2:$L$499,0),0),0))</f>
        <v/>
      </c>
      <c r="W244" t="str">
        <f t="shared" si="71"/>
        <v/>
      </c>
      <c r="X244" s="38" t="str">
        <f>IF(L244="","",IF(V244&gt;0,INDEX('06-حزيران'!$P$2:$P$499,V244),IF($AO$1=1,0,"")))</f>
        <v/>
      </c>
      <c r="Y244" s="38" t="str">
        <f t="shared" si="72"/>
        <v/>
      </c>
      <c r="Z244" s="39" t="str">
        <f>IF(L244="","",IF(V244&gt;0,INDEX('06-حزيران'!$Q$2:$Q$499,V244),IF($AO$1=1,0,"")))</f>
        <v/>
      </c>
      <c r="AA244" s="39" t="str">
        <f t="shared" si="73"/>
        <v/>
      </c>
      <c r="AB244" s="40" t="str">
        <f>IF(OR(L244="",V244=0),"",IF(AND(N(I244)&gt;0,N(INDEX('06-حزيران'!$I$2:$I$499,V244))&gt;0,INDEX('06-حزيران'!$F$2:$F$499,V244)=F244),N(I244)/N(INDEX('06-حزيران'!$I$2:$I$499,V244))-1,""))</f>
        <v/>
      </c>
      <c r="AC244" t="str">
        <f>IF(L244="","",IF(AND($AO$2=1,ISNA(MATCH(L244,'08-آب'!$L$2:$L$501,0))),"محذوف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IF(L245="","",IF($AO$1=1,IFERROR(MATCH(L245,'06-حزيران'!$L$2:$L$499,0),0),0))</f>
        <v/>
      </c>
      <c r="W245" t="str">
        <f t="shared" si="71"/>
        <v/>
      </c>
      <c r="X245" s="38" t="str">
        <f>IF(L245="","",IF(V245&gt;0,INDEX('06-حزيران'!$P$2:$P$499,V245),IF($AO$1=1,0,"")))</f>
        <v/>
      </c>
      <c r="Y245" s="38" t="str">
        <f t="shared" si="72"/>
        <v/>
      </c>
      <c r="Z245" s="39" t="str">
        <f>IF(L245="","",IF(V245&gt;0,INDEX('06-حزيران'!$Q$2:$Q$499,V245),IF($AO$1=1,0,"")))</f>
        <v/>
      </c>
      <c r="AA245" s="39" t="str">
        <f t="shared" si="73"/>
        <v/>
      </c>
      <c r="AB245" s="40" t="str">
        <f>IF(OR(L245="",V245=0),"",IF(AND(N(I245)&gt;0,N(INDEX('06-حزيران'!$I$2:$I$499,V245))&gt;0,INDEX('06-حزيران'!$F$2:$F$499,V245)=F245),N(I245)/N(INDEX('06-حزيران'!$I$2:$I$499,V245))-1,""))</f>
        <v/>
      </c>
      <c r="AC245" t="str">
        <f>IF(L245="","",IF(AND($AO$2=1,ISNA(MATCH(L245,'08-آب'!$L$2:$L$501,0))),"محذوف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IF(L246="","",IF($AO$1=1,IFERROR(MATCH(L246,'06-حزيران'!$L$2:$L$499,0),0),0))</f>
        <v/>
      </c>
      <c r="W246" t="str">
        <f t="shared" si="71"/>
        <v/>
      </c>
      <c r="X246" s="38" t="str">
        <f>IF(L246="","",IF(V246&gt;0,INDEX('06-حزيران'!$P$2:$P$499,V246),IF($AO$1=1,0,"")))</f>
        <v/>
      </c>
      <c r="Y246" s="38" t="str">
        <f t="shared" si="72"/>
        <v/>
      </c>
      <c r="Z246" s="39" t="str">
        <f>IF(L246="","",IF(V246&gt;0,INDEX('06-حزيران'!$Q$2:$Q$499,V246),IF($AO$1=1,0,"")))</f>
        <v/>
      </c>
      <c r="AA246" s="39" t="str">
        <f t="shared" si="73"/>
        <v/>
      </c>
      <c r="AB246" s="40" t="str">
        <f>IF(OR(L246="",V246=0),"",IF(AND(N(I246)&gt;0,N(INDEX('06-حزيران'!$I$2:$I$499,V246))&gt;0,INDEX('06-حزيران'!$F$2:$F$499,V246)=F246),N(I246)/N(INDEX('06-حزيران'!$I$2:$I$499,V246))-1,""))</f>
        <v/>
      </c>
      <c r="AC246" t="str">
        <f>IF(L246="","",IF(AND($AO$2=1,ISNA(MATCH(L246,'08-آب'!$L$2:$L$501,0))),"محذوف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IF(L247="","",IF($AO$1=1,IFERROR(MATCH(L247,'06-حزيران'!$L$2:$L$499,0),0),0))</f>
        <v/>
      </c>
      <c r="W247" t="str">
        <f t="shared" si="71"/>
        <v/>
      </c>
      <c r="X247" s="38" t="str">
        <f>IF(L247="","",IF(V247&gt;0,INDEX('06-حزيران'!$P$2:$P$499,V247),IF($AO$1=1,0,"")))</f>
        <v/>
      </c>
      <c r="Y247" s="38" t="str">
        <f t="shared" si="72"/>
        <v/>
      </c>
      <c r="Z247" s="39" t="str">
        <f>IF(L247="","",IF(V247&gt;0,INDEX('06-حزيران'!$Q$2:$Q$499,V247),IF($AO$1=1,0,"")))</f>
        <v/>
      </c>
      <c r="AA247" s="39" t="str">
        <f t="shared" si="73"/>
        <v/>
      </c>
      <c r="AB247" s="40" t="str">
        <f>IF(OR(L247="",V247=0),"",IF(AND(N(I247)&gt;0,N(INDEX('06-حزيران'!$I$2:$I$499,V247))&gt;0,INDEX('06-حزيران'!$F$2:$F$499,V247)=F247),N(I247)/N(INDEX('06-حزيران'!$I$2:$I$499,V247))-1,""))</f>
        <v/>
      </c>
      <c r="AC247" t="str">
        <f>IF(L247="","",IF(AND($AO$2=1,ISNA(MATCH(L247,'08-آب'!$L$2:$L$501,0))),"محذوف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IF(L248="","",IF($AO$1=1,IFERROR(MATCH(L248,'06-حزيران'!$L$2:$L$499,0),0),0))</f>
        <v/>
      </c>
      <c r="W248" t="str">
        <f t="shared" si="71"/>
        <v/>
      </c>
      <c r="X248" s="38" t="str">
        <f>IF(L248="","",IF(V248&gt;0,INDEX('06-حزيران'!$P$2:$P$499,V248),IF($AO$1=1,0,"")))</f>
        <v/>
      </c>
      <c r="Y248" s="38" t="str">
        <f t="shared" si="72"/>
        <v/>
      </c>
      <c r="Z248" s="39" t="str">
        <f>IF(L248="","",IF(V248&gt;0,INDEX('06-حزيران'!$Q$2:$Q$499,V248),IF($AO$1=1,0,"")))</f>
        <v/>
      </c>
      <c r="AA248" s="39" t="str">
        <f t="shared" si="73"/>
        <v/>
      </c>
      <c r="AB248" s="40" t="str">
        <f>IF(OR(L248="",V248=0),"",IF(AND(N(I248)&gt;0,N(INDEX('06-حزيران'!$I$2:$I$499,V248))&gt;0,INDEX('06-حزيران'!$F$2:$F$499,V248)=F248),N(I248)/N(INDEX('06-حزيران'!$I$2:$I$499,V248))-1,""))</f>
        <v/>
      </c>
      <c r="AC248" t="str">
        <f>IF(L248="","",IF(AND($AO$2=1,ISNA(MATCH(L248,'08-آب'!$L$2:$L$501,0))),"محذوف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IF(L249="","",IF($AO$1=1,IFERROR(MATCH(L249,'06-حزيران'!$L$2:$L$499,0),0),0))</f>
        <v/>
      </c>
      <c r="W249" t="str">
        <f t="shared" si="71"/>
        <v/>
      </c>
      <c r="X249" s="38" t="str">
        <f>IF(L249="","",IF(V249&gt;0,INDEX('06-حزيران'!$P$2:$P$499,V249),IF($AO$1=1,0,"")))</f>
        <v/>
      </c>
      <c r="Y249" s="38" t="str">
        <f t="shared" si="72"/>
        <v/>
      </c>
      <c r="Z249" s="39" t="str">
        <f>IF(L249="","",IF(V249&gt;0,INDEX('06-حزيران'!$Q$2:$Q$499,V249),IF($AO$1=1,0,"")))</f>
        <v/>
      </c>
      <c r="AA249" s="39" t="str">
        <f t="shared" si="73"/>
        <v/>
      </c>
      <c r="AB249" s="40" t="str">
        <f>IF(OR(L249="",V249=0),"",IF(AND(N(I249)&gt;0,N(INDEX('06-حزيران'!$I$2:$I$499,V249))&gt;0,INDEX('06-حزيران'!$F$2:$F$499,V249)=F249),N(I249)/N(INDEX('06-حزيران'!$I$2:$I$499,V249))-1,""))</f>
        <v/>
      </c>
      <c r="AC249" t="str">
        <f>IF(L249="","",IF(AND($AO$2=1,ISNA(MATCH(L249,'08-آب'!$L$2:$L$501,0))),"محذوف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IF(L250="","",IF($AO$1=1,IFERROR(MATCH(L250,'06-حزيران'!$L$2:$L$499,0),0),0))</f>
        <v/>
      </c>
      <c r="W250" t="str">
        <f t="shared" si="71"/>
        <v/>
      </c>
      <c r="X250" s="38" t="str">
        <f>IF(L250="","",IF(V250&gt;0,INDEX('06-حزيران'!$P$2:$P$499,V250),IF($AO$1=1,0,"")))</f>
        <v/>
      </c>
      <c r="Y250" s="38" t="str">
        <f t="shared" si="72"/>
        <v/>
      </c>
      <c r="Z250" s="39" t="str">
        <f>IF(L250="","",IF(V250&gt;0,INDEX('06-حزيران'!$Q$2:$Q$499,V250),IF($AO$1=1,0,"")))</f>
        <v/>
      </c>
      <c r="AA250" s="39" t="str">
        <f t="shared" si="73"/>
        <v/>
      </c>
      <c r="AB250" s="40" t="str">
        <f>IF(OR(L250="",V250=0),"",IF(AND(N(I250)&gt;0,N(INDEX('06-حزيران'!$I$2:$I$499,V250))&gt;0,INDEX('06-حزيران'!$F$2:$F$499,V250)=F250),N(I250)/N(INDEX('06-حزيران'!$I$2:$I$499,V250))-1,""))</f>
        <v/>
      </c>
      <c r="AC250" t="str">
        <f>IF(L250="","",IF(AND($AO$2=1,ISNA(MATCH(L250,'08-آب'!$L$2:$L$501,0))),"محذوف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IF(L251="","",IF($AO$1=1,IFERROR(MATCH(L251,'06-حزيران'!$L$2:$L$499,0),0),0))</f>
        <v/>
      </c>
      <c r="W251" t="str">
        <f t="shared" si="71"/>
        <v/>
      </c>
      <c r="X251" s="38" t="str">
        <f>IF(L251="","",IF(V251&gt;0,INDEX('06-حزيران'!$P$2:$P$499,V251),IF($AO$1=1,0,"")))</f>
        <v/>
      </c>
      <c r="Y251" s="38" t="str">
        <f t="shared" si="72"/>
        <v/>
      </c>
      <c r="Z251" s="39" t="str">
        <f>IF(L251="","",IF(V251&gt;0,INDEX('06-حزيران'!$Q$2:$Q$499,V251),IF($AO$1=1,0,"")))</f>
        <v/>
      </c>
      <c r="AA251" s="39" t="str">
        <f t="shared" si="73"/>
        <v/>
      </c>
      <c r="AB251" s="40" t="str">
        <f>IF(OR(L251="",V251=0),"",IF(AND(N(I251)&gt;0,N(INDEX('06-حزيران'!$I$2:$I$499,V251))&gt;0,INDEX('06-حزيران'!$F$2:$F$499,V251)=F251),N(I251)/N(INDEX('06-حزيران'!$I$2:$I$499,V251))-1,""))</f>
        <v/>
      </c>
      <c r="AC251" t="str">
        <f>IF(L251="","",IF(AND($AO$2=1,ISNA(MATCH(L251,'08-آب'!$L$2:$L$501,0))),"محذوف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IF(L252="","",IF($AO$1=1,IFERROR(MATCH(L252,'06-حزيران'!$L$2:$L$499,0),0),0))</f>
        <v/>
      </c>
      <c r="W252" t="str">
        <f t="shared" si="71"/>
        <v/>
      </c>
      <c r="X252" s="38" t="str">
        <f>IF(L252="","",IF(V252&gt;0,INDEX('06-حزيران'!$P$2:$P$499,V252),IF($AO$1=1,0,"")))</f>
        <v/>
      </c>
      <c r="Y252" s="38" t="str">
        <f t="shared" si="72"/>
        <v/>
      </c>
      <c r="Z252" s="39" t="str">
        <f>IF(L252="","",IF(V252&gt;0,INDEX('06-حزيران'!$Q$2:$Q$499,V252),IF($AO$1=1,0,"")))</f>
        <v/>
      </c>
      <c r="AA252" s="39" t="str">
        <f t="shared" si="73"/>
        <v/>
      </c>
      <c r="AB252" s="40" t="str">
        <f>IF(OR(L252="",V252=0),"",IF(AND(N(I252)&gt;0,N(INDEX('06-حزيران'!$I$2:$I$499,V252))&gt;0,INDEX('06-حزيران'!$F$2:$F$499,V252)=F252),N(I252)/N(INDEX('06-حزيران'!$I$2:$I$499,V252))-1,""))</f>
        <v/>
      </c>
      <c r="AC252" t="str">
        <f>IF(L252="","",IF(AND($AO$2=1,ISNA(MATCH(L252,'08-آب'!$L$2:$L$501,0))),"محذوف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IF(L253="","",IF($AO$1=1,IFERROR(MATCH(L253,'06-حزيران'!$L$2:$L$499,0),0),0))</f>
        <v/>
      </c>
      <c r="W253" t="str">
        <f t="shared" si="71"/>
        <v/>
      </c>
      <c r="X253" s="38" t="str">
        <f>IF(L253="","",IF(V253&gt;0,INDEX('06-حزيران'!$P$2:$P$499,V253),IF($AO$1=1,0,"")))</f>
        <v/>
      </c>
      <c r="Y253" s="38" t="str">
        <f t="shared" si="72"/>
        <v/>
      </c>
      <c r="Z253" s="39" t="str">
        <f>IF(L253="","",IF(V253&gt;0,INDEX('06-حزيران'!$Q$2:$Q$499,V253),IF($AO$1=1,0,"")))</f>
        <v/>
      </c>
      <c r="AA253" s="39" t="str">
        <f t="shared" si="73"/>
        <v/>
      </c>
      <c r="AB253" s="40" t="str">
        <f>IF(OR(L253="",V253=0),"",IF(AND(N(I253)&gt;0,N(INDEX('06-حزيران'!$I$2:$I$499,V253))&gt;0,INDEX('06-حزيران'!$F$2:$F$499,V253)=F253),N(I253)/N(INDEX('06-حزيران'!$I$2:$I$499,V253))-1,""))</f>
        <v/>
      </c>
      <c r="AC253" t="str">
        <f>IF(L253="","",IF(AND($AO$2=1,ISNA(MATCH(L253,'08-آب'!$L$2:$L$501,0))),"محذوف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IF(L254="","",IF($AO$1=1,IFERROR(MATCH(L254,'06-حزيران'!$L$2:$L$499,0),0),0))</f>
        <v/>
      </c>
      <c r="W254" t="str">
        <f t="shared" si="71"/>
        <v/>
      </c>
      <c r="X254" s="38" t="str">
        <f>IF(L254="","",IF(V254&gt;0,INDEX('06-حزيران'!$P$2:$P$499,V254),IF($AO$1=1,0,"")))</f>
        <v/>
      </c>
      <c r="Y254" s="38" t="str">
        <f t="shared" si="72"/>
        <v/>
      </c>
      <c r="Z254" s="39" t="str">
        <f>IF(L254="","",IF(V254&gt;0,INDEX('06-حزيران'!$Q$2:$Q$499,V254),IF($AO$1=1,0,"")))</f>
        <v/>
      </c>
      <c r="AA254" s="39" t="str">
        <f t="shared" si="73"/>
        <v/>
      </c>
      <c r="AB254" s="40" t="str">
        <f>IF(OR(L254="",V254=0),"",IF(AND(N(I254)&gt;0,N(INDEX('06-حزيران'!$I$2:$I$499,V254))&gt;0,INDEX('06-حزيران'!$F$2:$F$499,V254)=F254),N(I254)/N(INDEX('06-حزيران'!$I$2:$I$499,V254))-1,""))</f>
        <v/>
      </c>
      <c r="AC254" t="str">
        <f>IF(L254="","",IF(AND($AO$2=1,ISNA(MATCH(L254,'08-آب'!$L$2:$L$501,0))),"محذوف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IF(L255="","",IF($AO$1=1,IFERROR(MATCH(L255,'06-حزيران'!$L$2:$L$499,0),0),0))</f>
        <v/>
      </c>
      <c r="W255" t="str">
        <f t="shared" si="71"/>
        <v/>
      </c>
      <c r="X255" s="38" t="str">
        <f>IF(L255="","",IF(V255&gt;0,INDEX('06-حزيران'!$P$2:$P$499,V255),IF($AO$1=1,0,"")))</f>
        <v/>
      </c>
      <c r="Y255" s="38" t="str">
        <f t="shared" si="72"/>
        <v/>
      </c>
      <c r="Z255" s="39" t="str">
        <f>IF(L255="","",IF(V255&gt;0,INDEX('06-حزيران'!$Q$2:$Q$499,V255),IF($AO$1=1,0,"")))</f>
        <v/>
      </c>
      <c r="AA255" s="39" t="str">
        <f t="shared" si="73"/>
        <v/>
      </c>
      <c r="AB255" s="40" t="str">
        <f>IF(OR(L255="",V255=0),"",IF(AND(N(I255)&gt;0,N(INDEX('06-حزيران'!$I$2:$I$499,V255))&gt;0,INDEX('06-حزيران'!$F$2:$F$499,V255)=F255),N(I255)/N(INDEX('06-حزيران'!$I$2:$I$499,V255))-1,""))</f>
        <v/>
      </c>
      <c r="AC255" t="str">
        <f>IF(L255="","",IF(AND($AO$2=1,ISNA(MATCH(L255,'08-آب'!$L$2:$L$501,0))),"محذوف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IF(L256="","",IF($AO$1=1,IFERROR(MATCH(L256,'06-حزيران'!$L$2:$L$499,0),0),0))</f>
        <v/>
      </c>
      <c r="W256" t="str">
        <f t="shared" si="71"/>
        <v/>
      </c>
      <c r="X256" s="38" t="str">
        <f>IF(L256="","",IF(V256&gt;0,INDEX('06-حزيران'!$P$2:$P$499,V256),IF($AO$1=1,0,"")))</f>
        <v/>
      </c>
      <c r="Y256" s="38" t="str">
        <f t="shared" si="72"/>
        <v/>
      </c>
      <c r="Z256" s="39" t="str">
        <f>IF(L256="","",IF(V256&gt;0,INDEX('06-حزيران'!$Q$2:$Q$499,V256),IF($AO$1=1,0,"")))</f>
        <v/>
      </c>
      <c r="AA256" s="39" t="str">
        <f t="shared" si="73"/>
        <v/>
      </c>
      <c r="AB256" s="40" t="str">
        <f>IF(OR(L256="",V256=0),"",IF(AND(N(I256)&gt;0,N(INDEX('06-حزيران'!$I$2:$I$499,V256))&gt;0,INDEX('06-حزيران'!$F$2:$F$499,V256)=F256),N(I256)/N(INDEX('06-حزيران'!$I$2:$I$499,V256))-1,""))</f>
        <v/>
      </c>
      <c r="AC256" t="str">
        <f>IF(L256="","",IF(AND($AO$2=1,ISNA(MATCH(L256,'08-آب'!$L$2:$L$501,0))),"محذوف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ref="K257:K320" si="80">IF(L257="","",IF(U257&lt;&gt;"","⚠",""))</f>
        <v/>
      </c>
      <c r="L257" t="str">
        <f t="shared" ref="L257:L320" si="81">IF(A257="","",TRIM(A257))</f>
        <v/>
      </c>
      <c r="M257" s="36" t="str">
        <f t="shared" ref="M257:M320" si="82">IF(L257="","",IF(ISNUMBER(SEARCH("دولار",F257)),1,IF(ISNUMBER(SEARCH("ليرة",F257)),IF($AO$3&gt;0,1/$AO$3,0),0)))</f>
        <v/>
      </c>
      <c r="N257" s="37" t="str">
        <f t="shared" ref="N257:N320" si="83">IF(L257="","",N(I257)*M257)</f>
        <v/>
      </c>
      <c r="O257" s="37" t="str">
        <f t="shared" ref="O257:O320" si="84">IF(L257="","",M257*CHOOSE($AO$4,N(C257),N(D257),N(E257)))</f>
        <v/>
      </c>
      <c r="P257" s="38" t="str">
        <f t="shared" ref="P257:P320" si="85">IF(L257="","",MAX(N(B257),0))</f>
        <v/>
      </c>
      <c r="Q257" s="39" t="str">
        <f t="shared" ref="Q257:Q320" si="86">IF(L257="","",P257*N257)</f>
        <v/>
      </c>
      <c r="R257" s="39" t="str">
        <f t="shared" ref="R257:R320" si="87">IF(L257="","",P257*O257)</f>
        <v/>
      </c>
      <c r="S257" t="str">
        <f t="shared" ref="S257:S320" si="88">IF(L257="","",IF(AND(P257&gt;0,N257&gt;0,O257&gt;0),1,0))</f>
        <v/>
      </c>
      <c r="T257" s="39" t="str">
        <f t="shared" ref="T257:T320" si="89">IF(L257="","",S257*(R257-Q257))</f>
        <v/>
      </c>
      <c r="U257" t="str">
        <f t="shared" ref="U257:U320" si="90">IF(L257="","",MID(IF(OR(NOT(ISNUMBER(B257)),NOT(ISNUMBER(C257)),NOT(ISNUMBER(D257)),NOT(ISNUMBER(E257)),NOT(ISNUMBER(I257)),AND(NOT(ISNUMBER(SEARCH("دولار",F257))),NOT(ISNUMBER(SEARCH("ليرة",F257)))))," | بيانات غير صالحة","")&amp;IF(N(B257)&lt;0," | كمية سالبة","")&amp;IF(AND(N(B257)&gt;0,N(I257)=0)," | شراء صفر","")&amp;IF(AND(N(B257)&gt;0,TRIM(H257)=$AO$5,OR(N(C257)=0,N(D257)=0,N(E257)=0))," | بيع صفر","")&amp;IF(AND(N257&gt;0,O257&gt;0,O257&lt;N257)," | بيع أقل من الشراء","")&amp;IF(OR(AND(ISNUMBER(SEARCH("ليرة",F257)),OR(AND(N(I257)&gt;0,N(I257)&lt;$AO$6),AND(N(C257)&gt;0,N(C257)&lt;$AO$6),AND(N(D257)&gt;0,N(D257)&lt;$AO$6),AND(N(E257)&gt;0,N(E257)&lt;$AO$6))),AND(ISNUMBER(SEARCH("دولار",F257)),MAX(N(I257),N(C257),N(D257),N(E257))&gt;$AO$7))," | عملة/سعر مشكوك","")&amp;IF(AND(COUNTIF(C257:E257,"&gt;0")&gt;=2,MAX(N(C257),N(D257),N(E257))&gt;$AO$8*MIN(IF(N(C257)&gt;0,N(C257),1E+99),IF(N(D257)&gt;0,N(D257),1E+99),IF(N(E257)&gt;0,N(E257),1E+99)))," | تباين أسعار البيع","")&amp;IF(OR(TRIM(H257)="All",TRIM(H257)="")," | بلا تصنيف",""),4,300))</f>
        <v/>
      </c>
      <c r="V257" t="str">
        <f>IF(L257="","",IF($AO$1=1,IFERROR(MATCH(L257,'06-حزيران'!$L$2:$L$499,0),0),0))</f>
        <v/>
      </c>
      <c r="W257" t="str">
        <f t="shared" ref="W257:W320" si="91">IF(L257="","",IF(AND($AO$1=1,V257=0),"جديد",""))</f>
        <v/>
      </c>
      <c r="X257" s="38" t="str">
        <f>IF(L257="","",IF(V257&gt;0,INDEX('06-حزيران'!$P$2:$P$499,V257),IF($AO$1=1,0,"")))</f>
        <v/>
      </c>
      <c r="Y257" s="38" t="str">
        <f t="shared" ref="Y257:Y320" si="92">IF(OR(L257="",X257=""),"",P257-X257)</f>
        <v/>
      </c>
      <c r="Z257" s="39" t="str">
        <f>IF(L257="","",IF(V257&gt;0,INDEX('06-حزيران'!$Q$2:$Q$499,V257),IF($AO$1=1,0,"")))</f>
        <v/>
      </c>
      <c r="AA257" s="39" t="str">
        <f t="shared" ref="AA257:AA320" si="93">IF(OR(L257="",Z257=""),"",Q257-Z257)</f>
        <v/>
      </c>
      <c r="AB257" s="40" t="str">
        <f>IF(OR(L257="",V257=0),"",IF(AND(N(I257)&gt;0,N(INDEX('06-حزيران'!$I$2:$I$499,V257))&gt;0,INDEX('06-حزيران'!$F$2:$F$499,V257)=F257),N(I257)/N(INDEX('06-حزيران'!$I$2:$I$499,V257))-1,""))</f>
        <v/>
      </c>
      <c r="AC257" t="str">
        <f>IF(L257="","",IF(AND($AO$2=1,ISNA(MATCH(L257,'08-آب'!$L$2:$L$501,0))),"محذوف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ref="AG257:AG320" si="94">IF(AA257="","",ABS(AA257)+ROW()/1000000000)</f>
        <v/>
      </c>
      <c r="AH257" s="39" t="str">
        <f t="shared" ref="AH257:AH320" si="95">IF(L257="","",IF(AND(P257&gt;0,N257&gt;0,N(C257)&gt;0),P257*(M257*N(C257)-N257),0))</f>
        <v/>
      </c>
      <c r="AI257" s="39" t="str">
        <f t="shared" ref="AI257:AI320" si="96">IF(L257="","",IF(AND(P257&gt;0,N257&gt;0,N(D257)&gt;0),P257*(M257*N(D257)-N257),0))</f>
        <v/>
      </c>
      <c r="AJ257" s="39" t="str">
        <f t="shared" ref="AJ257:AJ320" si="97">IF(L257="","",IF(AND(P257&gt;0,N257&gt;0,N(E257)&gt;0),P257*(M257*N(E257)-N257),0))</f>
        <v/>
      </c>
      <c r="AK257" t="str">
        <f t="shared" ref="AK257:AK320" si="98">IF(L257="","",Q257+ROW()/1000000000)</f>
        <v/>
      </c>
      <c r="AL257" t="str">
        <f t="shared" ref="AL257:AL320" si="99">IF(L257="","",T257+ROW()/1000000000)</f>
        <v/>
      </c>
    </row>
    <row r="258" spans="11:38" ht="15">
      <c r="K258" t="str">
        <f t="shared" si="80"/>
        <v/>
      </c>
      <c r="L258" t="str">
        <f t="shared" si="81"/>
        <v/>
      </c>
      <c r="M258" s="36" t="str">
        <f t="shared" si="82"/>
        <v/>
      </c>
      <c r="N258" s="37" t="str">
        <f t="shared" si="83"/>
        <v/>
      </c>
      <c r="O258" s="37" t="str">
        <f t="shared" si="84"/>
        <v/>
      </c>
      <c r="P258" s="38" t="str">
        <f t="shared" si="85"/>
        <v/>
      </c>
      <c r="Q258" s="39" t="str">
        <f t="shared" si="86"/>
        <v/>
      </c>
      <c r="R258" s="39" t="str">
        <f t="shared" si="87"/>
        <v/>
      </c>
      <c r="S258" t="str">
        <f t="shared" si="88"/>
        <v/>
      </c>
      <c r="T258" s="39" t="str">
        <f t="shared" si="89"/>
        <v/>
      </c>
      <c r="U258" t="str">
        <f t="shared" si="90"/>
        <v/>
      </c>
      <c r="V258" t="str">
        <f>IF(L258="","",IF($AO$1=1,IFERROR(MATCH(L258,'06-حزيران'!$L$2:$L$499,0),0),0))</f>
        <v/>
      </c>
      <c r="W258" t="str">
        <f t="shared" si="91"/>
        <v/>
      </c>
      <c r="X258" s="38" t="str">
        <f>IF(L258="","",IF(V258&gt;0,INDEX('06-حزيران'!$P$2:$P$499,V258),IF($AO$1=1,0,"")))</f>
        <v/>
      </c>
      <c r="Y258" s="38" t="str">
        <f t="shared" si="92"/>
        <v/>
      </c>
      <c r="Z258" s="39" t="str">
        <f>IF(L258="","",IF(V258&gt;0,INDEX('06-حزيران'!$Q$2:$Q$499,V258),IF($AO$1=1,0,"")))</f>
        <v/>
      </c>
      <c r="AA258" s="39" t="str">
        <f t="shared" si="93"/>
        <v/>
      </c>
      <c r="AB258" s="40" t="str">
        <f>IF(OR(L258="",V258=0),"",IF(AND(N(I258)&gt;0,N(INDEX('06-حزيران'!$I$2:$I$499,V258))&gt;0,INDEX('06-حزيران'!$F$2:$F$499,V258)=F258),N(I258)/N(INDEX('06-حزيران'!$I$2:$I$499,V258))-1,""))</f>
        <v/>
      </c>
      <c r="AC258" t="str">
        <f>IF(L258="","",IF(AND($AO$2=1,ISNA(MATCH(L258,'08-آب'!$L$2:$L$501,0))),"محذوف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si="94"/>
        <v/>
      </c>
      <c r="AH258" s="39" t="str">
        <f t="shared" si="95"/>
        <v/>
      </c>
      <c r="AI258" s="39" t="str">
        <f t="shared" si="96"/>
        <v/>
      </c>
      <c r="AJ258" s="39" t="str">
        <f t="shared" si="97"/>
        <v/>
      </c>
      <c r="AK258" t="str">
        <f t="shared" si="98"/>
        <v/>
      </c>
      <c r="AL258" t="str">
        <f t="shared" si="99"/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IF(L259="","",IF($AO$1=1,IFERROR(MATCH(L259,'06-حزيران'!$L$2:$L$499,0),0),0))</f>
        <v/>
      </c>
      <c r="W259" t="str">
        <f t="shared" si="91"/>
        <v/>
      </c>
      <c r="X259" s="38" t="str">
        <f>IF(L259="","",IF(V259&gt;0,INDEX('06-حزيران'!$P$2:$P$499,V259),IF($AO$1=1,0,"")))</f>
        <v/>
      </c>
      <c r="Y259" s="38" t="str">
        <f t="shared" si="92"/>
        <v/>
      </c>
      <c r="Z259" s="39" t="str">
        <f>IF(L259="","",IF(V259&gt;0,INDEX('06-حزيران'!$Q$2:$Q$499,V259),IF($AO$1=1,0,"")))</f>
        <v/>
      </c>
      <c r="AA259" s="39" t="str">
        <f t="shared" si="93"/>
        <v/>
      </c>
      <c r="AB259" s="40" t="str">
        <f>IF(OR(L259="",V259=0),"",IF(AND(N(I259)&gt;0,N(INDEX('06-حزيران'!$I$2:$I$499,V259))&gt;0,INDEX('06-حزيران'!$F$2:$F$499,V259)=F259),N(I259)/N(INDEX('06-حزيران'!$I$2:$I$499,V259))-1,""))</f>
        <v/>
      </c>
      <c r="AC259" t="str">
        <f>IF(L259="","",IF(AND($AO$2=1,ISNA(MATCH(L259,'08-آب'!$L$2:$L$501,0))),"محذوف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IF(L260="","",IF($AO$1=1,IFERROR(MATCH(L260,'06-حزيران'!$L$2:$L$499,0),0),0))</f>
        <v/>
      </c>
      <c r="W260" t="str">
        <f t="shared" si="91"/>
        <v/>
      </c>
      <c r="X260" s="38" t="str">
        <f>IF(L260="","",IF(V260&gt;0,INDEX('06-حزيران'!$P$2:$P$499,V260),IF($AO$1=1,0,"")))</f>
        <v/>
      </c>
      <c r="Y260" s="38" t="str">
        <f t="shared" si="92"/>
        <v/>
      </c>
      <c r="Z260" s="39" t="str">
        <f>IF(L260="","",IF(V260&gt;0,INDEX('06-حزيران'!$Q$2:$Q$499,V260),IF($AO$1=1,0,"")))</f>
        <v/>
      </c>
      <c r="AA260" s="39" t="str">
        <f t="shared" si="93"/>
        <v/>
      </c>
      <c r="AB260" s="40" t="str">
        <f>IF(OR(L260="",V260=0),"",IF(AND(N(I260)&gt;0,N(INDEX('06-حزيران'!$I$2:$I$499,V260))&gt;0,INDEX('06-حزيران'!$F$2:$F$499,V260)=F260),N(I260)/N(INDEX('06-حزيران'!$I$2:$I$499,V260))-1,""))</f>
        <v/>
      </c>
      <c r="AC260" t="str">
        <f>IF(L260="","",IF(AND($AO$2=1,ISNA(MATCH(L260,'08-آب'!$L$2:$L$501,0))),"محذوف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IF(L261="","",IF($AO$1=1,IFERROR(MATCH(L261,'06-حزيران'!$L$2:$L$499,0),0),0))</f>
        <v/>
      </c>
      <c r="W261" t="str">
        <f t="shared" si="91"/>
        <v/>
      </c>
      <c r="X261" s="38" t="str">
        <f>IF(L261="","",IF(V261&gt;0,INDEX('06-حزيران'!$P$2:$P$499,V261),IF($AO$1=1,0,"")))</f>
        <v/>
      </c>
      <c r="Y261" s="38" t="str">
        <f t="shared" si="92"/>
        <v/>
      </c>
      <c r="Z261" s="39" t="str">
        <f>IF(L261="","",IF(V261&gt;0,INDEX('06-حزيران'!$Q$2:$Q$499,V261),IF($AO$1=1,0,"")))</f>
        <v/>
      </c>
      <c r="AA261" s="39" t="str">
        <f t="shared" si="93"/>
        <v/>
      </c>
      <c r="AB261" s="40" t="str">
        <f>IF(OR(L261="",V261=0),"",IF(AND(N(I261)&gt;0,N(INDEX('06-حزيران'!$I$2:$I$499,V261))&gt;0,INDEX('06-حزيران'!$F$2:$F$499,V261)=F261),N(I261)/N(INDEX('06-حزيران'!$I$2:$I$499,V261))-1,""))</f>
        <v/>
      </c>
      <c r="AC261" t="str">
        <f>IF(L261="","",IF(AND($AO$2=1,ISNA(MATCH(L261,'08-آب'!$L$2:$L$501,0))),"محذوف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IF(L262="","",IF($AO$1=1,IFERROR(MATCH(L262,'06-حزيران'!$L$2:$L$499,0),0),0))</f>
        <v/>
      </c>
      <c r="W262" t="str">
        <f t="shared" si="91"/>
        <v/>
      </c>
      <c r="X262" s="38" t="str">
        <f>IF(L262="","",IF(V262&gt;0,INDEX('06-حزيران'!$P$2:$P$499,V262),IF($AO$1=1,0,"")))</f>
        <v/>
      </c>
      <c r="Y262" s="38" t="str">
        <f t="shared" si="92"/>
        <v/>
      </c>
      <c r="Z262" s="39" t="str">
        <f>IF(L262="","",IF(V262&gt;0,INDEX('06-حزيران'!$Q$2:$Q$499,V262),IF($AO$1=1,0,"")))</f>
        <v/>
      </c>
      <c r="AA262" s="39" t="str">
        <f t="shared" si="93"/>
        <v/>
      </c>
      <c r="AB262" s="40" t="str">
        <f>IF(OR(L262="",V262=0),"",IF(AND(N(I262)&gt;0,N(INDEX('06-حزيران'!$I$2:$I$499,V262))&gt;0,INDEX('06-حزيران'!$F$2:$F$499,V262)=F262),N(I262)/N(INDEX('06-حزيران'!$I$2:$I$499,V262))-1,""))</f>
        <v/>
      </c>
      <c r="AC262" t="str">
        <f>IF(L262="","",IF(AND($AO$2=1,ISNA(MATCH(L262,'08-آب'!$L$2:$L$501,0))),"محذوف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IF(L263="","",IF($AO$1=1,IFERROR(MATCH(L263,'06-حزيران'!$L$2:$L$499,0),0),0))</f>
        <v/>
      </c>
      <c r="W263" t="str">
        <f t="shared" si="91"/>
        <v/>
      </c>
      <c r="X263" s="38" t="str">
        <f>IF(L263="","",IF(V263&gt;0,INDEX('06-حزيران'!$P$2:$P$499,V263),IF($AO$1=1,0,"")))</f>
        <v/>
      </c>
      <c r="Y263" s="38" t="str">
        <f t="shared" si="92"/>
        <v/>
      </c>
      <c r="Z263" s="39" t="str">
        <f>IF(L263="","",IF(V263&gt;0,INDEX('06-حزيران'!$Q$2:$Q$499,V263),IF($AO$1=1,0,"")))</f>
        <v/>
      </c>
      <c r="AA263" s="39" t="str">
        <f t="shared" si="93"/>
        <v/>
      </c>
      <c r="AB263" s="40" t="str">
        <f>IF(OR(L263="",V263=0),"",IF(AND(N(I263)&gt;0,N(INDEX('06-حزيران'!$I$2:$I$499,V263))&gt;0,INDEX('06-حزيران'!$F$2:$F$499,V263)=F263),N(I263)/N(INDEX('06-حزيران'!$I$2:$I$499,V263))-1,""))</f>
        <v/>
      </c>
      <c r="AC263" t="str">
        <f>IF(L263="","",IF(AND($AO$2=1,ISNA(MATCH(L263,'08-آب'!$L$2:$L$501,0))),"محذوف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IF(L264="","",IF($AO$1=1,IFERROR(MATCH(L264,'06-حزيران'!$L$2:$L$499,0),0),0))</f>
        <v/>
      </c>
      <c r="W264" t="str">
        <f t="shared" si="91"/>
        <v/>
      </c>
      <c r="X264" s="38" t="str">
        <f>IF(L264="","",IF(V264&gt;0,INDEX('06-حزيران'!$P$2:$P$499,V264),IF($AO$1=1,0,"")))</f>
        <v/>
      </c>
      <c r="Y264" s="38" t="str">
        <f t="shared" si="92"/>
        <v/>
      </c>
      <c r="Z264" s="39" t="str">
        <f>IF(L264="","",IF(V264&gt;0,INDEX('06-حزيران'!$Q$2:$Q$499,V264),IF($AO$1=1,0,"")))</f>
        <v/>
      </c>
      <c r="AA264" s="39" t="str">
        <f t="shared" si="93"/>
        <v/>
      </c>
      <c r="AB264" s="40" t="str">
        <f>IF(OR(L264="",V264=0),"",IF(AND(N(I264)&gt;0,N(INDEX('06-حزيران'!$I$2:$I$499,V264))&gt;0,INDEX('06-حزيران'!$F$2:$F$499,V264)=F264),N(I264)/N(INDEX('06-حزيران'!$I$2:$I$499,V264))-1,""))</f>
        <v/>
      </c>
      <c r="AC264" t="str">
        <f>IF(L264="","",IF(AND($AO$2=1,ISNA(MATCH(L264,'08-آب'!$L$2:$L$501,0))),"محذوف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IF(L265="","",IF($AO$1=1,IFERROR(MATCH(L265,'06-حزيران'!$L$2:$L$499,0),0),0))</f>
        <v/>
      </c>
      <c r="W265" t="str">
        <f t="shared" si="91"/>
        <v/>
      </c>
      <c r="X265" s="38" t="str">
        <f>IF(L265="","",IF(V265&gt;0,INDEX('06-حزيران'!$P$2:$P$499,V265),IF($AO$1=1,0,"")))</f>
        <v/>
      </c>
      <c r="Y265" s="38" t="str">
        <f t="shared" si="92"/>
        <v/>
      </c>
      <c r="Z265" s="39" t="str">
        <f>IF(L265="","",IF(V265&gt;0,INDEX('06-حزيران'!$Q$2:$Q$499,V265),IF($AO$1=1,0,"")))</f>
        <v/>
      </c>
      <c r="AA265" s="39" t="str">
        <f t="shared" si="93"/>
        <v/>
      </c>
      <c r="AB265" s="40" t="str">
        <f>IF(OR(L265="",V265=0),"",IF(AND(N(I265)&gt;0,N(INDEX('06-حزيران'!$I$2:$I$499,V265))&gt;0,INDEX('06-حزيران'!$F$2:$F$499,V265)=F265),N(I265)/N(INDEX('06-حزيران'!$I$2:$I$499,V265))-1,""))</f>
        <v/>
      </c>
      <c r="AC265" t="str">
        <f>IF(L265="","",IF(AND($AO$2=1,ISNA(MATCH(L265,'08-آب'!$L$2:$L$501,0))),"محذوف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IF(L266="","",IF($AO$1=1,IFERROR(MATCH(L266,'06-حزيران'!$L$2:$L$499,0),0),0))</f>
        <v/>
      </c>
      <c r="W266" t="str">
        <f t="shared" si="91"/>
        <v/>
      </c>
      <c r="X266" s="38" t="str">
        <f>IF(L266="","",IF(V266&gt;0,INDEX('06-حزيران'!$P$2:$P$499,V266),IF($AO$1=1,0,"")))</f>
        <v/>
      </c>
      <c r="Y266" s="38" t="str">
        <f t="shared" si="92"/>
        <v/>
      </c>
      <c r="Z266" s="39" t="str">
        <f>IF(L266="","",IF(V266&gt;0,INDEX('06-حزيران'!$Q$2:$Q$499,V266),IF($AO$1=1,0,"")))</f>
        <v/>
      </c>
      <c r="AA266" s="39" t="str">
        <f t="shared" si="93"/>
        <v/>
      </c>
      <c r="AB266" s="40" t="str">
        <f>IF(OR(L266="",V266=0),"",IF(AND(N(I266)&gt;0,N(INDEX('06-حزيران'!$I$2:$I$499,V266))&gt;0,INDEX('06-حزيران'!$F$2:$F$499,V266)=F266),N(I266)/N(INDEX('06-حزيران'!$I$2:$I$499,V266))-1,""))</f>
        <v/>
      </c>
      <c r="AC266" t="str">
        <f>IF(L266="","",IF(AND($AO$2=1,ISNA(MATCH(L266,'08-آب'!$L$2:$L$501,0))),"محذوف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IF(L267="","",IF($AO$1=1,IFERROR(MATCH(L267,'06-حزيران'!$L$2:$L$499,0),0),0))</f>
        <v/>
      </c>
      <c r="W267" t="str">
        <f t="shared" si="91"/>
        <v/>
      </c>
      <c r="X267" s="38" t="str">
        <f>IF(L267="","",IF(V267&gt;0,INDEX('06-حزيران'!$P$2:$P$499,V267),IF($AO$1=1,0,"")))</f>
        <v/>
      </c>
      <c r="Y267" s="38" t="str">
        <f t="shared" si="92"/>
        <v/>
      </c>
      <c r="Z267" s="39" t="str">
        <f>IF(L267="","",IF(V267&gt;0,INDEX('06-حزيران'!$Q$2:$Q$499,V267),IF($AO$1=1,0,"")))</f>
        <v/>
      </c>
      <c r="AA267" s="39" t="str">
        <f t="shared" si="93"/>
        <v/>
      </c>
      <c r="AB267" s="40" t="str">
        <f>IF(OR(L267="",V267=0),"",IF(AND(N(I267)&gt;0,N(INDEX('06-حزيران'!$I$2:$I$499,V267))&gt;0,INDEX('06-حزيران'!$F$2:$F$499,V267)=F267),N(I267)/N(INDEX('06-حزيران'!$I$2:$I$499,V267))-1,""))</f>
        <v/>
      </c>
      <c r="AC267" t="str">
        <f>IF(L267="","",IF(AND($AO$2=1,ISNA(MATCH(L267,'08-آب'!$L$2:$L$501,0))),"محذوف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IF(L268="","",IF($AO$1=1,IFERROR(MATCH(L268,'06-حزيران'!$L$2:$L$499,0),0),0))</f>
        <v/>
      </c>
      <c r="W268" t="str">
        <f t="shared" si="91"/>
        <v/>
      </c>
      <c r="X268" s="38" t="str">
        <f>IF(L268="","",IF(V268&gt;0,INDEX('06-حزيران'!$P$2:$P$499,V268),IF($AO$1=1,0,"")))</f>
        <v/>
      </c>
      <c r="Y268" s="38" t="str">
        <f t="shared" si="92"/>
        <v/>
      </c>
      <c r="Z268" s="39" t="str">
        <f>IF(L268="","",IF(V268&gt;0,INDEX('06-حزيران'!$Q$2:$Q$499,V268),IF($AO$1=1,0,"")))</f>
        <v/>
      </c>
      <c r="AA268" s="39" t="str">
        <f t="shared" si="93"/>
        <v/>
      </c>
      <c r="AB268" s="40" t="str">
        <f>IF(OR(L268="",V268=0),"",IF(AND(N(I268)&gt;0,N(INDEX('06-حزيران'!$I$2:$I$499,V268))&gt;0,INDEX('06-حزيران'!$F$2:$F$499,V268)=F268),N(I268)/N(INDEX('06-حزيران'!$I$2:$I$499,V268))-1,""))</f>
        <v/>
      </c>
      <c r="AC268" t="str">
        <f>IF(L268="","",IF(AND($AO$2=1,ISNA(MATCH(L268,'08-آب'!$L$2:$L$501,0))),"محذوف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IF(L269="","",IF($AO$1=1,IFERROR(MATCH(L269,'06-حزيران'!$L$2:$L$499,0),0),0))</f>
        <v/>
      </c>
      <c r="W269" t="str">
        <f t="shared" si="91"/>
        <v/>
      </c>
      <c r="X269" s="38" t="str">
        <f>IF(L269="","",IF(V269&gt;0,INDEX('06-حزيران'!$P$2:$P$499,V269),IF($AO$1=1,0,"")))</f>
        <v/>
      </c>
      <c r="Y269" s="38" t="str">
        <f t="shared" si="92"/>
        <v/>
      </c>
      <c r="Z269" s="39" t="str">
        <f>IF(L269="","",IF(V269&gt;0,INDEX('06-حزيران'!$Q$2:$Q$499,V269),IF($AO$1=1,0,"")))</f>
        <v/>
      </c>
      <c r="AA269" s="39" t="str">
        <f t="shared" si="93"/>
        <v/>
      </c>
      <c r="AB269" s="40" t="str">
        <f>IF(OR(L269="",V269=0),"",IF(AND(N(I269)&gt;0,N(INDEX('06-حزيران'!$I$2:$I$499,V269))&gt;0,INDEX('06-حزيران'!$F$2:$F$499,V269)=F269),N(I269)/N(INDEX('06-حزيران'!$I$2:$I$499,V269))-1,""))</f>
        <v/>
      </c>
      <c r="AC269" t="str">
        <f>IF(L269="","",IF(AND($AO$2=1,ISNA(MATCH(L269,'08-آب'!$L$2:$L$501,0))),"محذوف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IF(L270="","",IF($AO$1=1,IFERROR(MATCH(L270,'06-حزيران'!$L$2:$L$499,0),0),0))</f>
        <v/>
      </c>
      <c r="W270" t="str">
        <f t="shared" si="91"/>
        <v/>
      </c>
      <c r="X270" s="38" t="str">
        <f>IF(L270="","",IF(V270&gt;0,INDEX('06-حزيران'!$P$2:$P$499,V270),IF($AO$1=1,0,"")))</f>
        <v/>
      </c>
      <c r="Y270" s="38" t="str">
        <f t="shared" si="92"/>
        <v/>
      </c>
      <c r="Z270" s="39" t="str">
        <f>IF(L270="","",IF(V270&gt;0,INDEX('06-حزيران'!$Q$2:$Q$499,V270),IF($AO$1=1,0,"")))</f>
        <v/>
      </c>
      <c r="AA270" s="39" t="str">
        <f t="shared" si="93"/>
        <v/>
      </c>
      <c r="AB270" s="40" t="str">
        <f>IF(OR(L270="",V270=0),"",IF(AND(N(I270)&gt;0,N(INDEX('06-حزيران'!$I$2:$I$499,V270))&gt;0,INDEX('06-حزيران'!$F$2:$F$499,V270)=F270),N(I270)/N(INDEX('06-حزيران'!$I$2:$I$499,V270))-1,""))</f>
        <v/>
      </c>
      <c r="AC270" t="str">
        <f>IF(L270="","",IF(AND($AO$2=1,ISNA(MATCH(L270,'08-آب'!$L$2:$L$501,0))),"محذوف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IF(L271="","",IF($AO$1=1,IFERROR(MATCH(L271,'06-حزيران'!$L$2:$L$499,0),0),0))</f>
        <v/>
      </c>
      <c r="W271" t="str">
        <f t="shared" si="91"/>
        <v/>
      </c>
      <c r="X271" s="38" t="str">
        <f>IF(L271="","",IF(V271&gt;0,INDEX('06-حزيران'!$P$2:$P$499,V271),IF($AO$1=1,0,"")))</f>
        <v/>
      </c>
      <c r="Y271" s="38" t="str">
        <f t="shared" si="92"/>
        <v/>
      </c>
      <c r="Z271" s="39" t="str">
        <f>IF(L271="","",IF(V271&gt;0,INDEX('06-حزيران'!$Q$2:$Q$499,V271),IF($AO$1=1,0,"")))</f>
        <v/>
      </c>
      <c r="AA271" s="39" t="str">
        <f t="shared" si="93"/>
        <v/>
      </c>
      <c r="AB271" s="40" t="str">
        <f>IF(OR(L271="",V271=0),"",IF(AND(N(I271)&gt;0,N(INDEX('06-حزيران'!$I$2:$I$499,V271))&gt;0,INDEX('06-حزيران'!$F$2:$F$499,V271)=F271),N(I271)/N(INDEX('06-حزيران'!$I$2:$I$499,V271))-1,""))</f>
        <v/>
      </c>
      <c r="AC271" t="str">
        <f>IF(L271="","",IF(AND($AO$2=1,ISNA(MATCH(L271,'08-آب'!$L$2:$L$501,0))),"محذوف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IF(L272="","",IF($AO$1=1,IFERROR(MATCH(L272,'06-حزيران'!$L$2:$L$499,0),0),0))</f>
        <v/>
      </c>
      <c r="W272" t="str">
        <f t="shared" si="91"/>
        <v/>
      </c>
      <c r="X272" s="38" t="str">
        <f>IF(L272="","",IF(V272&gt;0,INDEX('06-حزيران'!$P$2:$P$499,V272),IF($AO$1=1,0,"")))</f>
        <v/>
      </c>
      <c r="Y272" s="38" t="str">
        <f t="shared" si="92"/>
        <v/>
      </c>
      <c r="Z272" s="39" t="str">
        <f>IF(L272="","",IF(V272&gt;0,INDEX('06-حزيران'!$Q$2:$Q$499,V272),IF($AO$1=1,0,"")))</f>
        <v/>
      </c>
      <c r="AA272" s="39" t="str">
        <f t="shared" si="93"/>
        <v/>
      </c>
      <c r="AB272" s="40" t="str">
        <f>IF(OR(L272="",V272=0),"",IF(AND(N(I272)&gt;0,N(INDEX('06-حزيران'!$I$2:$I$499,V272))&gt;0,INDEX('06-حزيران'!$F$2:$F$499,V272)=F272),N(I272)/N(INDEX('06-حزيران'!$I$2:$I$499,V272))-1,""))</f>
        <v/>
      </c>
      <c r="AC272" t="str">
        <f>IF(L272="","",IF(AND($AO$2=1,ISNA(MATCH(L272,'08-آب'!$L$2:$L$501,0))),"محذوف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IF(L273="","",IF($AO$1=1,IFERROR(MATCH(L273,'06-حزيران'!$L$2:$L$499,0),0),0))</f>
        <v/>
      </c>
      <c r="W273" t="str">
        <f t="shared" si="91"/>
        <v/>
      </c>
      <c r="X273" s="38" t="str">
        <f>IF(L273="","",IF(V273&gt;0,INDEX('06-حزيران'!$P$2:$P$499,V273),IF($AO$1=1,0,"")))</f>
        <v/>
      </c>
      <c r="Y273" s="38" t="str">
        <f t="shared" si="92"/>
        <v/>
      </c>
      <c r="Z273" s="39" t="str">
        <f>IF(L273="","",IF(V273&gt;0,INDEX('06-حزيران'!$Q$2:$Q$499,V273),IF($AO$1=1,0,"")))</f>
        <v/>
      </c>
      <c r="AA273" s="39" t="str">
        <f t="shared" si="93"/>
        <v/>
      </c>
      <c r="AB273" s="40" t="str">
        <f>IF(OR(L273="",V273=0),"",IF(AND(N(I273)&gt;0,N(INDEX('06-حزيران'!$I$2:$I$499,V273))&gt;0,INDEX('06-حزيران'!$F$2:$F$499,V273)=F273),N(I273)/N(INDEX('06-حزيران'!$I$2:$I$499,V273))-1,""))</f>
        <v/>
      </c>
      <c r="AC273" t="str">
        <f>IF(L273="","",IF(AND($AO$2=1,ISNA(MATCH(L273,'08-آب'!$L$2:$L$501,0))),"محذوف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IF(L274="","",IF($AO$1=1,IFERROR(MATCH(L274,'06-حزيران'!$L$2:$L$499,0),0),0))</f>
        <v/>
      </c>
      <c r="W274" t="str">
        <f t="shared" si="91"/>
        <v/>
      </c>
      <c r="X274" s="38" t="str">
        <f>IF(L274="","",IF(V274&gt;0,INDEX('06-حزيران'!$P$2:$P$499,V274),IF($AO$1=1,0,"")))</f>
        <v/>
      </c>
      <c r="Y274" s="38" t="str">
        <f t="shared" si="92"/>
        <v/>
      </c>
      <c r="Z274" s="39" t="str">
        <f>IF(L274="","",IF(V274&gt;0,INDEX('06-حزيران'!$Q$2:$Q$499,V274),IF($AO$1=1,0,"")))</f>
        <v/>
      </c>
      <c r="AA274" s="39" t="str">
        <f t="shared" si="93"/>
        <v/>
      </c>
      <c r="AB274" s="40" t="str">
        <f>IF(OR(L274="",V274=0),"",IF(AND(N(I274)&gt;0,N(INDEX('06-حزيران'!$I$2:$I$499,V274))&gt;0,INDEX('06-حزيران'!$F$2:$F$499,V274)=F274),N(I274)/N(INDEX('06-حزيران'!$I$2:$I$499,V274))-1,""))</f>
        <v/>
      </c>
      <c r="AC274" t="str">
        <f>IF(L274="","",IF(AND($AO$2=1,ISNA(MATCH(L274,'08-آب'!$L$2:$L$501,0))),"محذوف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IF(L275="","",IF($AO$1=1,IFERROR(MATCH(L275,'06-حزيران'!$L$2:$L$499,0),0),0))</f>
        <v/>
      </c>
      <c r="W275" t="str">
        <f t="shared" si="91"/>
        <v/>
      </c>
      <c r="X275" s="38" t="str">
        <f>IF(L275="","",IF(V275&gt;0,INDEX('06-حزيران'!$P$2:$P$499,V275),IF($AO$1=1,0,"")))</f>
        <v/>
      </c>
      <c r="Y275" s="38" t="str">
        <f t="shared" si="92"/>
        <v/>
      </c>
      <c r="Z275" s="39" t="str">
        <f>IF(L275="","",IF(V275&gt;0,INDEX('06-حزيران'!$Q$2:$Q$499,V275),IF($AO$1=1,0,"")))</f>
        <v/>
      </c>
      <c r="AA275" s="39" t="str">
        <f t="shared" si="93"/>
        <v/>
      </c>
      <c r="AB275" s="40" t="str">
        <f>IF(OR(L275="",V275=0),"",IF(AND(N(I275)&gt;0,N(INDEX('06-حزيران'!$I$2:$I$499,V275))&gt;0,INDEX('06-حزيران'!$F$2:$F$499,V275)=F275),N(I275)/N(INDEX('06-حزيران'!$I$2:$I$499,V275))-1,""))</f>
        <v/>
      </c>
      <c r="AC275" t="str">
        <f>IF(L275="","",IF(AND($AO$2=1,ISNA(MATCH(L275,'08-آب'!$L$2:$L$501,0))),"محذوف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IF(L276="","",IF($AO$1=1,IFERROR(MATCH(L276,'06-حزيران'!$L$2:$L$499,0),0),0))</f>
        <v/>
      </c>
      <c r="W276" t="str">
        <f t="shared" si="91"/>
        <v/>
      </c>
      <c r="X276" s="38" t="str">
        <f>IF(L276="","",IF(V276&gt;0,INDEX('06-حزيران'!$P$2:$P$499,V276),IF($AO$1=1,0,"")))</f>
        <v/>
      </c>
      <c r="Y276" s="38" t="str">
        <f t="shared" si="92"/>
        <v/>
      </c>
      <c r="Z276" s="39" t="str">
        <f>IF(L276="","",IF(V276&gt;0,INDEX('06-حزيران'!$Q$2:$Q$499,V276),IF($AO$1=1,0,"")))</f>
        <v/>
      </c>
      <c r="AA276" s="39" t="str">
        <f t="shared" si="93"/>
        <v/>
      </c>
      <c r="AB276" s="40" t="str">
        <f>IF(OR(L276="",V276=0),"",IF(AND(N(I276)&gt;0,N(INDEX('06-حزيران'!$I$2:$I$499,V276))&gt;0,INDEX('06-حزيران'!$F$2:$F$499,V276)=F276),N(I276)/N(INDEX('06-حزيران'!$I$2:$I$499,V276))-1,""))</f>
        <v/>
      </c>
      <c r="AC276" t="str">
        <f>IF(L276="","",IF(AND($AO$2=1,ISNA(MATCH(L276,'08-آب'!$L$2:$L$501,0))),"محذوف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IF(L277="","",IF($AO$1=1,IFERROR(MATCH(L277,'06-حزيران'!$L$2:$L$499,0),0),0))</f>
        <v/>
      </c>
      <c r="W277" t="str">
        <f t="shared" si="91"/>
        <v/>
      </c>
      <c r="X277" s="38" t="str">
        <f>IF(L277="","",IF(V277&gt;0,INDEX('06-حزيران'!$P$2:$P$499,V277),IF($AO$1=1,0,"")))</f>
        <v/>
      </c>
      <c r="Y277" s="38" t="str">
        <f t="shared" si="92"/>
        <v/>
      </c>
      <c r="Z277" s="39" t="str">
        <f>IF(L277="","",IF(V277&gt;0,INDEX('06-حزيران'!$Q$2:$Q$499,V277),IF($AO$1=1,0,"")))</f>
        <v/>
      </c>
      <c r="AA277" s="39" t="str">
        <f t="shared" si="93"/>
        <v/>
      </c>
      <c r="AB277" s="40" t="str">
        <f>IF(OR(L277="",V277=0),"",IF(AND(N(I277)&gt;0,N(INDEX('06-حزيران'!$I$2:$I$499,V277))&gt;0,INDEX('06-حزيران'!$F$2:$F$499,V277)=F277),N(I277)/N(INDEX('06-حزيران'!$I$2:$I$499,V277))-1,""))</f>
        <v/>
      </c>
      <c r="AC277" t="str">
        <f>IF(L277="","",IF(AND($AO$2=1,ISNA(MATCH(L277,'08-آب'!$L$2:$L$501,0))),"محذوف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IF(L278="","",IF($AO$1=1,IFERROR(MATCH(L278,'06-حزيران'!$L$2:$L$499,0),0),0))</f>
        <v/>
      </c>
      <c r="W278" t="str">
        <f t="shared" si="91"/>
        <v/>
      </c>
      <c r="X278" s="38" t="str">
        <f>IF(L278="","",IF(V278&gt;0,INDEX('06-حزيران'!$P$2:$P$499,V278),IF($AO$1=1,0,"")))</f>
        <v/>
      </c>
      <c r="Y278" s="38" t="str">
        <f t="shared" si="92"/>
        <v/>
      </c>
      <c r="Z278" s="39" t="str">
        <f>IF(L278="","",IF(V278&gt;0,INDEX('06-حزيران'!$Q$2:$Q$499,V278),IF($AO$1=1,0,"")))</f>
        <v/>
      </c>
      <c r="AA278" s="39" t="str">
        <f t="shared" si="93"/>
        <v/>
      </c>
      <c r="AB278" s="40" t="str">
        <f>IF(OR(L278="",V278=0),"",IF(AND(N(I278)&gt;0,N(INDEX('06-حزيران'!$I$2:$I$499,V278))&gt;0,INDEX('06-حزيران'!$F$2:$F$499,V278)=F278),N(I278)/N(INDEX('06-حزيران'!$I$2:$I$499,V278))-1,""))</f>
        <v/>
      </c>
      <c r="AC278" t="str">
        <f>IF(L278="","",IF(AND($AO$2=1,ISNA(MATCH(L278,'08-آب'!$L$2:$L$501,0))),"محذوف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IF(L279="","",IF($AO$1=1,IFERROR(MATCH(L279,'06-حزيران'!$L$2:$L$499,0),0),0))</f>
        <v/>
      </c>
      <c r="W279" t="str">
        <f t="shared" si="91"/>
        <v/>
      </c>
      <c r="X279" s="38" t="str">
        <f>IF(L279="","",IF(V279&gt;0,INDEX('06-حزيران'!$P$2:$P$499,V279),IF($AO$1=1,0,"")))</f>
        <v/>
      </c>
      <c r="Y279" s="38" t="str">
        <f t="shared" si="92"/>
        <v/>
      </c>
      <c r="Z279" s="39" t="str">
        <f>IF(L279="","",IF(V279&gt;0,INDEX('06-حزيران'!$Q$2:$Q$499,V279),IF($AO$1=1,0,"")))</f>
        <v/>
      </c>
      <c r="AA279" s="39" t="str">
        <f t="shared" si="93"/>
        <v/>
      </c>
      <c r="AB279" s="40" t="str">
        <f>IF(OR(L279="",V279=0),"",IF(AND(N(I279)&gt;0,N(INDEX('06-حزيران'!$I$2:$I$499,V279))&gt;0,INDEX('06-حزيران'!$F$2:$F$499,V279)=F279),N(I279)/N(INDEX('06-حزيران'!$I$2:$I$499,V279))-1,""))</f>
        <v/>
      </c>
      <c r="AC279" t="str">
        <f>IF(L279="","",IF(AND($AO$2=1,ISNA(MATCH(L279,'08-آب'!$L$2:$L$501,0))),"محذوف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IF(L280="","",IF($AO$1=1,IFERROR(MATCH(L280,'06-حزيران'!$L$2:$L$499,0),0),0))</f>
        <v/>
      </c>
      <c r="W280" t="str">
        <f t="shared" si="91"/>
        <v/>
      </c>
      <c r="X280" s="38" t="str">
        <f>IF(L280="","",IF(V280&gt;0,INDEX('06-حزيران'!$P$2:$P$499,V280),IF($AO$1=1,0,"")))</f>
        <v/>
      </c>
      <c r="Y280" s="38" t="str">
        <f t="shared" si="92"/>
        <v/>
      </c>
      <c r="Z280" s="39" t="str">
        <f>IF(L280="","",IF(V280&gt;0,INDEX('06-حزيران'!$Q$2:$Q$499,V280),IF($AO$1=1,0,"")))</f>
        <v/>
      </c>
      <c r="AA280" s="39" t="str">
        <f t="shared" si="93"/>
        <v/>
      </c>
      <c r="AB280" s="40" t="str">
        <f>IF(OR(L280="",V280=0),"",IF(AND(N(I280)&gt;0,N(INDEX('06-حزيران'!$I$2:$I$499,V280))&gt;0,INDEX('06-حزيران'!$F$2:$F$499,V280)=F280),N(I280)/N(INDEX('06-حزيران'!$I$2:$I$499,V280))-1,""))</f>
        <v/>
      </c>
      <c r="AC280" t="str">
        <f>IF(L280="","",IF(AND($AO$2=1,ISNA(MATCH(L280,'08-آب'!$L$2:$L$501,0))),"محذوف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IF(L281="","",IF($AO$1=1,IFERROR(MATCH(L281,'06-حزيران'!$L$2:$L$499,0),0),0))</f>
        <v/>
      </c>
      <c r="W281" t="str">
        <f t="shared" si="91"/>
        <v/>
      </c>
      <c r="X281" s="38" t="str">
        <f>IF(L281="","",IF(V281&gt;0,INDEX('06-حزيران'!$P$2:$P$499,V281),IF($AO$1=1,0,"")))</f>
        <v/>
      </c>
      <c r="Y281" s="38" t="str">
        <f t="shared" si="92"/>
        <v/>
      </c>
      <c r="Z281" s="39" t="str">
        <f>IF(L281="","",IF(V281&gt;0,INDEX('06-حزيران'!$Q$2:$Q$499,V281),IF($AO$1=1,0,"")))</f>
        <v/>
      </c>
      <c r="AA281" s="39" t="str">
        <f t="shared" si="93"/>
        <v/>
      </c>
      <c r="AB281" s="40" t="str">
        <f>IF(OR(L281="",V281=0),"",IF(AND(N(I281)&gt;0,N(INDEX('06-حزيران'!$I$2:$I$499,V281))&gt;0,INDEX('06-حزيران'!$F$2:$F$499,V281)=F281),N(I281)/N(INDEX('06-حزيران'!$I$2:$I$499,V281))-1,""))</f>
        <v/>
      </c>
      <c r="AC281" t="str">
        <f>IF(L281="","",IF(AND($AO$2=1,ISNA(MATCH(L281,'08-آب'!$L$2:$L$501,0))),"محذوف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IF(L282="","",IF($AO$1=1,IFERROR(MATCH(L282,'06-حزيران'!$L$2:$L$499,0),0),0))</f>
        <v/>
      </c>
      <c r="W282" t="str">
        <f t="shared" si="91"/>
        <v/>
      </c>
      <c r="X282" s="38" t="str">
        <f>IF(L282="","",IF(V282&gt;0,INDEX('06-حزيران'!$P$2:$P$499,V282),IF($AO$1=1,0,"")))</f>
        <v/>
      </c>
      <c r="Y282" s="38" t="str">
        <f t="shared" si="92"/>
        <v/>
      </c>
      <c r="Z282" s="39" t="str">
        <f>IF(L282="","",IF(V282&gt;0,INDEX('06-حزيران'!$Q$2:$Q$499,V282),IF($AO$1=1,0,"")))</f>
        <v/>
      </c>
      <c r="AA282" s="39" t="str">
        <f t="shared" si="93"/>
        <v/>
      </c>
      <c r="AB282" s="40" t="str">
        <f>IF(OR(L282="",V282=0),"",IF(AND(N(I282)&gt;0,N(INDEX('06-حزيران'!$I$2:$I$499,V282))&gt;0,INDEX('06-حزيران'!$F$2:$F$499,V282)=F282),N(I282)/N(INDEX('06-حزيران'!$I$2:$I$499,V282))-1,""))</f>
        <v/>
      </c>
      <c r="AC282" t="str">
        <f>IF(L282="","",IF(AND($AO$2=1,ISNA(MATCH(L282,'08-آب'!$L$2:$L$501,0))),"محذوف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IF(L283="","",IF($AO$1=1,IFERROR(MATCH(L283,'06-حزيران'!$L$2:$L$499,0),0),0))</f>
        <v/>
      </c>
      <c r="W283" t="str">
        <f t="shared" si="91"/>
        <v/>
      </c>
      <c r="X283" s="38" t="str">
        <f>IF(L283="","",IF(V283&gt;0,INDEX('06-حزيران'!$P$2:$P$499,V283),IF($AO$1=1,0,"")))</f>
        <v/>
      </c>
      <c r="Y283" s="38" t="str">
        <f t="shared" si="92"/>
        <v/>
      </c>
      <c r="Z283" s="39" t="str">
        <f>IF(L283="","",IF(V283&gt;0,INDEX('06-حزيران'!$Q$2:$Q$499,V283),IF($AO$1=1,0,"")))</f>
        <v/>
      </c>
      <c r="AA283" s="39" t="str">
        <f t="shared" si="93"/>
        <v/>
      </c>
      <c r="AB283" s="40" t="str">
        <f>IF(OR(L283="",V283=0),"",IF(AND(N(I283)&gt;0,N(INDEX('06-حزيران'!$I$2:$I$499,V283))&gt;0,INDEX('06-حزيران'!$F$2:$F$499,V283)=F283),N(I283)/N(INDEX('06-حزيران'!$I$2:$I$499,V283))-1,""))</f>
        <v/>
      </c>
      <c r="AC283" t="str">
        <f>IF(L283="","",IF(AND($AO$2=1,ISNA(MATCH(L283,'08-آب'!$L$2:$L$501,0))),"محذوف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IF(L284="","",IF($AO$1=1,IFERROR(MATCH(L284,'06-حزيران'!$L$2:$L$499,0),0),0))</f>
        <v/>
      </c>
      <c r="W284" t="str">
        <f t="shared" si="91"/>
        <v/>
      </c>
      <c r="X284" s="38" t="str">
        <f>IF(L284="","",IF(V284&gt;0,INDEX('06-حزيران'!$P$2:$P$499,V284),IF($AO$1=1,0,"")))</f>
        <v/>
      </c>
      <c r="Y284" s="38" t="str">
        <f t="shared" si="92"/>
        <v/>
      </c>
      <c r="Z284" s="39" t="str">
        <f>IF(L284="","",IF(V284&gt;0,INDEX('06-حزيران'!$Q$2:$Q$499,V284),IF($AO$1=1,0,"")))</f>
        <v/>
      </c>
      <c r="AA284" s="39" t="str">
        <f t="shared" si="93"/>
        <v/>
      </c>
      <c r="AB284" s="40" t="str">
        <f>IF(OR(L284="",V284=0),"",IF(AND(N(I284)&gt;0,N(INDEX('06-حزيران'!$I$2:$I$499,V284))&gt;0,INDEX('06-حزيران'!$F$2:$F$499,V284)=F284),N(I284)/N(INDEX('06-حزيران'!$I$2:$I$499,V284))-1,""))</f>
        <v/>
      </c>
      <c r="AC284" t="str">
        <f>IF(L284="","",IF(AND($AO$2=1,ISNA(MATCH(L284,'08-آب'!$L$2:$L$501,0))),"محذوف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IF(L285="","",IF($AO$1=1,IFERROR(MATCH(L285,'06-حزيران'!$L$2:$L$499,0),0),0))</f>
        <v/>
      </c>
      <c r="W285" t="str">
        <f t="shared" si="91"/>
        <v/>
      </c>
      <c r="X285" s="38" t="str">
        <f>IF(L285="","",IF(V285&gt;0,INDEX('06-حزيران'!$P$2:$P$499,V285),IF($AO$1=1,0,"")))</f>
        <v/>
      </c>
      <c r="Y285" s="38" t="str">
        <f t="shared" si="92"/>
        <v/>
      </c>
      <c r="Z285" s="39" t="str">
        <f>IF(L285="","",IF(V285&gt;0,INDEX('06-حزيران'!$Q$2:$Q$499,V285),IF($AO$1=1,0,"")))</f>
        <v/>
      </c>
      <c r="AA285" s="39" t="str">
        <f t="shared" si="93"/>
        <v/>
      </c>
      <c r="AB285" s="40" t="str">
        <f>IF(OR(L285="",V285=0),"",IF(AND(N(I285)&gt;0,N(INDEX('06-حزيران'!$I$2:$I$499,V285))&gt;0,INDEX('06-حزيران'!$F$2:$F$499,V285)=F285),N(I285)/N(INDEX('06-حزيران'!$I$2:$I$499,V285))-1,""))</f>
        <v/>
      </c>
      <c r="AC285" t="str">
        <f>IF(L285="","",IF(AND($AO$2=1,ISNA(MATCH(L285,'08-آب'!$L$2:$L$501,0))),"محذوف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IF(L286="","",IF($AO$1=1,IFERROR(MATCH(L286,'06-حزيران'!$L$2:$L$499,0),0),0))</f>
        <v/>
      </c>
      <c r="W286" t="str">
        <f t="shared" si="91"/>
        <v/>
      </c>
      <c r="X286" s="38" t="str">
        <f>IF(L286="","",IF(V286&gt;0,INDEX('06-حزيران'!$P$2:$P$499,V286),IF($AO$1=1,0,"")))</f>
        <v/>
      </c>
      <c r="Y286" s="38" t="str">
        <f t="shared" si="92"/>
        <v/>
      </c>
      <c r="Z286" s="39" t="str">
        <f>IF(L286="","",IF(V286&gt;0,INDEX('06-حزيران'!$Q$2:$Q$499,V286),IF($AO$1=1,0,"")))</f>
        <v/>
      </c>
      <c r="AA286" s="39" t="str">
        <f t="shared" si="93"/>
        <v/>
      </c>
      <c r="AB286" s="40" t="str">
        <f>IF(OR(L286="",V286=0),"",IF(AND(N(I286)&gt;0,N(INDEX('06-حزيران'!$I$2:$I$499,V286))&gt;0,INDEX('06-حزيران'!$F$2:$F$499,V286)=F286),N(I286)/N(INDEX('06-حزيران'!$I$2:$I$499,V286))-1,""))</f>
        <v/>
      </c>
      <c r="AC286" t="str">
        <f>IF(L286="","",IF(AND($AO$2=1,ISNA(MATCH(L286,'08-آب'!$L$2:$L$501,0))),"محذوف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IF(L287="","",IF($AO$1=1,IFERROR(MATCH(L287,'06-حزيران'!$L$2:$L$499,0),0),0))</f>
        <v/>
      </c>
      <c r="W287" t="str">
        <f t="shared" si="91"/>
        <v/>
      </c>
      <c r="X287" s="38" t="str">
        <f>IF(L287="","",IF(V287&gt;0,INDEX('06-حزيران'!$P$2:$P$499,V287),IF($AO$1=1,0,"")))</f>
        <v/>
      </c>
      <c r="Y287" s="38" t="str">
        <f t="shared" si="92"/>
        <v/>
      </c>
      <c r="Z287" s="39" t="str">
        <f>IF(L287="","",IF(V287&gt;0,INDEX('06-حزيران'!$Q$2:$Q$499,V287),IF($AO$1=1,0,"")))</f>
        <v/>
      </c>
      <c r="AA287" s="39" t="str">
        <f t="shared" si="93"/>
        <v/>
      </c>
      <c r="AB287" s="40" t="str">
        <f>IF(OR(L287="",V287=0),"",IF(AND(N(I287)&gt;0,N(INDEX('06-حزيران'!$I$2:$I$499,V287))&gt;0,INDEX('06-حزيران'!$F$2:$F$499,V287)=F287),N(I287)/N(INDEX('06-حزيران'!$I$2:$I$499,V287))-1,""))</f>
        <v/>
      </c>
      <c r="AC287" t="str">
        <f>IF(L287="","",IF(AND($AO$2=1,ISNA(MATCH(L287,'08-آب'!$L$2:$L$501,0))),"محذوف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IF(L288="","",IF($AO$1=1,IFERROR(MATCH(L288,'06-حزيران'!$L$2:$L$499,0),0),0))</f>
        <v/>
      </c>
      <c r="W288" t="str">
        <f t="shared" si="91"/>
        <v/>
      </c>
      <c r="X288" s="38" t="str">
        <f>IF(L288="","",IF(V288&gt;0,INDEX('06-حزيران'!$P$2:$P$499,V288),IF($AO$1=1,0,"")))</f>
        <v/>
      </c>
      <c r="Y288" s="38" t="str">
        <f t="shared" si="92"/>
        <v/>
      </c>
      <c r="Z288" s="39" t="str">
        <f>IF(L288="","",IF(V288&gt;0,INDEX('06-حزيران'!$Q$2:$Q$499,V288),IF($AO$1=1,0,"")))</f>
        <v/>
      </c>
      <c r="AA288" s="39" t="str">
        <f t="shared" si="93"/>
        <v/>
      </c>
      <c r="AB288" s="40" t="str">
        <f>IF(OR(L288="",V288=0),"",IF(AND(N(I288)&gt;0,N(INDEX('06-حزيران'!$I$2:$I$499,V288))&gt;0,INDEX('06-حزيران'!$F$2:$F$499,V288)=F288),N(I288)/N(INDEX('06-حزيران'!$I$2:$I$499,V288))-1,""))</f>
        <v/>
      </c>
      <c r="AC288" t="str">
        <f>IF(L288="","",IF(AND($AO$2=1,ISNA(MATCH(L288,'08-آب'!$L$2:$L$501,0))),"محذوف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IF(L289="","",IF($AO$1=1,IFERROR(MATCH(L289,'06-حزيران'!$L$2:$L$499,0),0),0))</f>
        <v/>
      </c>
      <c r="W289" t="str">
        <f t="shared" si="91"/>
        <v/>
      </c>
      <c r="X289" s="38" t="str">
        <f>IF(L289="","",IF(V289&gt;0,INDEX('06-حزيران'!$P$2:$P$499,V289),IF($AO$1=1,0,"")))</f>
        <v/>
      </c>
      <c r="Y289" s="38" t="str">
        <f t="shared" si="92"/>
        <v/>
      </c>
      <c r="Z289" s="39" t="str">
        <f>IF(L289="","",IF(V289&gt;0,INDEX('06-حزيران'!$Q$2:$Q$499,V289),IF($AO$1=1,0,"")))</f>
        <v/>
      </c>
      <c r="AA289" s="39" t="str">
        <f t="shared" si="93"/>
        <v/>
      </c>
      <c r="AB289" s="40" t="str">
        <f>IF(OR(L289="",V289=0),"",IF(AND(N(I289)&gt;0,N(INDEX('06-حزيران'!$I$2:$I$499,V289))&gt;0,INDEX('06-حزيران'!$F$2:$F$499,V289)=F289),N(I289)/N(INDEX('06-حزيران'!$I$2:$I$499,V289))-1,""))</f>
        <v/>
      </c>
      <c r="AC289" t="str">
        <f>IF(L289="","",IF(AND($AO$2=1,ISNA(MATCH(L289,'08-آب'!$L$2:$L$501,0))),"محذوف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IF(L290="","",IF($AO$1=1,IFERROR(MATCH(L290,'06-حزيران'!$L$2:$L$499,0),0),0))</f>
        <v/>
      </c>
      <c r="W290" t="str">
        <f t="shared" si="91"/>
        <v/>
      </c>
      <c r="X290" s="38" t="str">
        <f>IF(L290="","",IF(V290&gt;0,INDEX('06-حزيران'!$P$2:$P$499,V290),IF($AO$1=1,0,"")))</f>
        <v/>
      </c>
      <c r="Y290" s="38" t="str">
        <f t="shared" si="92"/>
        <v/>
      </c>
      <c r="Z290" s="39" t="str">
        <f>IF(L290="","",IF(V290&gt;0,INDEX('06-حزيران'!$Q$2:$Q$499,V290),IF($AO$1=1,0,"")))</f>
        <v/>
      </c>
      <c r="AA290" s="39" t="str">
        <f t="shared" si="93"/>
        <v/>
      </c>
      <c r="AB290" s="40" t="str">
        <f>IF(OR(L290="",V290=0),"",IF(AND(N(I290)&gt;0,N(INDEX('06-حزيران'!$I$2:$I$499,V290))&gt;0,INDEX('06-حزيران'!$F$2:$F$499,V290)=F290),N(I290)/N(INDEX('06-حزيران'!$I$2:$I$499,V290))-1,""))</f>
        <v/>
      </c>
      <c r="AC290" t="str">
        <f>IF(L290="","",IF(AND($AO$2=1,ISNA(MATCH(L290,'08-آب'!$L$2:$L$501,0))),"محذوف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IF(L291="","",IF($AO$1=1,IFERROR(MATCH(L291,'06-حزيران'!$L$2:$L$499,0),0),0))</f>
        <v/>
      </c>
      <c r="W291" t="str">
        <f t="shared" si="91"/>
        <v/>
      </c>
      <c r="X291" s="38" t="str">
        <f>IF(L291="","",IF(V291&gt;0,INDEX('06-حزيران'!$P$2:$P$499,V291),IF($AO$1=1,0,"")))</f>
        <v/>
      </c>
      <c r="Y291" s="38" t="str">
        <f t="shared" si="92"/>
        <v/>
      </c>
      <c r="Z291" s="39" t="str">
        <f>IF(L291="","",IF(V291&gt;0,INDEX('06-حزيران'!$Q$2:$Q$499,V291),IF($AO$1=1,0,"")))</f>
        <v/>
      </c>
      <c r="AA291" s="39" t="str">
        <f t="shared" si="93"/>
        <v/>
      </c>
      <c r="AB291" s="40" t="str">
        <f>IF(OR(L291="",V291=0),"",IF(AND(N(I291)&gt;0,N(INDEX('06-حزيران'!$I$2:$I$499,V291))&gt;0,INDEX('06-حزيران'!$F$2:$F$499,V291)=F291),N(I291)/N(INDEX('06-حزيران'!$I$2:$I$499,V291))-1,""))</f>
        <v/>
      </c>
      <c r="AC291" t="str">
        <f>IF(L291="","",IF(AND($AO$2=1,ISNA(MATCH(L291,'08-آب'!$L$2:$L$501,0))),"محذوف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IF(L292="","",IF($AO$1=1,IFERROR(MATCH(L292,'06-حزيران'!$L$2:$L$499,0),0),0))</f>
        <v/>
      </c>
      <c r="W292" t="str">
        <f t="shared" si="91"/>
        <v/>
      </c>
      <c r="X292" s="38" t="str">
        <f>IF(L292="","",IF(V292&gt;0,INDEX('06-حزيران'!$P$2:$P$499,V292),IF($AO$1=1,0,"")))</f>
        <v/>
      </c>
      <c r="Y292" s="38" t="str">
        <f t="shared" si="92"/>
        <v/>
      </c>
      <c r="Z292" s="39" t="str">
        <f>IF(L292="","",IF(V292&gt;0,INDEX('06-حزيران'!$Q$2:$Q$499,V292),IF($AO$1=1,0,"")))</f>
        <v/>
      </c>
      <c r="AA292" s="39" t="str">
        <f t="shared" si="93"/>
        <v/>
      </c>
      <c r="AB292" s="40" t="str">
        <f>IF(OR(L292="",V292=0),"",IF(AND(N(I292)&gt;0,N(INDEX('06-حزيران'!$I$2:$I$499,V292))&gt;0,INDEX('06-حزيران'!$F$2:$F$499,V292)=F292),N(I292)/N(INDEX('06-حزيران'!$I$2:$I$499,V292))-1,""))</f>
        <v/>
      </c>
      <c r="AC292" t="str">
        <f>IF(L292="","",IF(AND($AO$2=1,ISNA(MATCH(L292,'08-آب'!$L$2:$L$501,0))),"محذوف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IF(L293="","",IF($AO$1=1,IFERROR(MATCH(L293,'06-حزيران'!$L$2:$L$499,0),0),0))</f>
        <v/>
      </c>
      <c r="W293" t="str">
        <f t="shared" si="91"/>
        <v/>
      </c>
      <c r="X293" s="38" t="str">
        <f>IF(L293="","",IF(V293&gt;0,INDEX('06-حزيران'!$P$2:$P$499,V293),IF($AO$1=1,0,"")))</f>
        <v/>
      </c>
      <c r="Y293" s="38" t="str">
        <f t="shared" si="92"/>
        <v/>
      </c>
      <c r="Z293" s="39" t="str">
        <f>IF(L293="","",IF(V293&gt;0,INDEX('06-حزيران'!$Q$2:$Q$499,V293),IF($AO$1=1,0,"")))</f>
        <v/>
      </c>
      <c r="AA293" s="39" t="str">
        <f t="shared" si="93"/>
        <v/>
      </c>
      <c r="AB293" s="40" t="str">
        <f>IF(OR(L293="",V293=0),"",IF(AND(N(I293)&gt;0,N(INDEX('06-حزيران'!$I$2:$I$499,V293))&gt;0,INDEX('06-حزيران'!$F$2:$F$499,V293)=F293),N(I293)/N(INDEX('06-حزيران'!$I$2:$I$499,V293))-1,""))</f>
        <v/>
      </c>
      <c r="AC293" t="str">
        <f>IF(L293="","",IF(AND($AO$2=1,ISNA(MATCH(L293,'08-آب'!$L$2:$L$501,0))),"محذوف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IF(L294="","",IF($AO$1=1,IFERROR(MATCH(L294,'06-حزيران'!$L$2:$L$499,0),0),0))</f>
        <v/>
      </c>
      <c r="W294" t="str">
        <f t="shared" si="91"/>
        <v/>
      </c>
      <c r="X294" s="38" t="str">
        <f>IF(L294="","",IF(V294&gt;0,INDEX('06-حزيران'!$P$2:$P$499,V294),IF($AO$1=1,0,"")))</f>
        <v/>
      </c>
      <c r="Y294" s="38" t="str">
        <f t="shared" si="92"/>
        <v/>
      </c>
      <c r="Z294" s="39" t="str">
        <f>IF(L294="","",IF(V294&gt;0,INDEX('06-حزيران'!$Q$2:$Q$499,V294),IF($AO$1=1,0,"")))</f>
        <v/>
      </c>
      <c r="AA294" s="39" t="str">
        <f t="shared" si="93"/>
        <v/>
      </c>
      <c r="AB294" s="40" t="str">
        <f>IF(OR(L294="",V294=0),"",IF(AND(N(I294)&gt;0,N(INDEX('06-حزيران'!$I$2:$I$499,V294))&gt;0,INDEX('06-حزيران'!$F$2:$F$499,V294)=F294),N(I294)/N(INDEX('06-حزيران'!$I$2:$I$499,V294))-1,""))</f>
        <v/>
      </c>
      <c r="AC294" t="str">
        <f>IF(L294="","",IF(AND($AO$2=1,ISNA(MATCH(L294,'08-آب'!$L$2:$L$501,0))),"محذوف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IF(L295="","",IF($AO$1=1,IFERROR(MATCH(L295,'06-حزيران'!$L$2:$L$499,0),0),0))</f>
        <v/>
      </c>
      <c r="W295" t="str">
        <f t="shared" si="91"/>
        <v/>
      </c>
      <c r="X295" s="38" t="str">
        <f>IF(L295="","",IF(V295&gt;0,INDEX('06-حزيران'!$P$2:$P$499,V295),IF($AO$1=1,0,"")))</f>
        <v/>
      </c>
      <c r="Y295" s="38" t="str">
        <f t="shared" si="92"/>
        <v/>
      </c>
      <c r="Z295" s="39" t="str">
        <f>IF(L295="","",IF(V295&gt;0,INDEX('06-حزيران'!$Q$2:$Q$499,V295),IF($AO$1=1,0,"")))</f>
        <v/>
      </c>
      <c r="AA295" s="39" t="str">
        <f t="shared" si="93"/>
        <v/>
      </c>
      <c r="AB295" s="40" t="str">
        <f>IF(OR(L295="",V295=0),"",IF(AND(N(I295)&gt;0,N(INDEX('06-حزيران'!$I$2:$I$499,V295))&gt;0,INDEX('06-حزيران'!$F$2:$F$499,V295)=F295),N(I295)/N(INDEX('06-حزيران'!$I$2:$I$499,V295))-1,""))</f>
        <v/>
      </c>
      <c r="AC295" t="str">
        <f>IF(L295="","",IF(AND($AO$2=1,ISNA(MATCH(L295,'08-آب'!$L$2:$L$501,0))),"محذوف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IF(L296="","",IF($AO$1=1,IFERROR(MATCH(L296,'06-حزيران'!$L$2:$L$499,0),0),0))</f>
        <v/>
      </c>
      <c r="W296" t="str">
        <f t="shared" si="91"/>
        <v/>
      </c>
      <c r="X296" s="38" t="str">
        <f>IF(L296="","",IF(V296&gt;0,INDEX('06-حزيران'!$P$2:$P$499,V296),IF($AO$1=1,0,"")))</f>
        <v/>
      </c>
      <c r="Y296" s="38" t="str">
        <f t="shared" si="92"/>
        <v/>
      </c>
      <c r="Z296" s="39" t="str">
        <f>IF(L296="","",IF(V296&gt;0,INDEX('06-حزيران'!$Q$2:$Q$499,V296),IF($AO$1=1,0,"")))</f>
        <v/>
      </c>
      <c r="AA296" s="39" t="str">
        <f t="shared" si="93"/>
        <v/>
      </c>
      <c r="AB296" s="40" t="str">
        <f>IF(OR(L296="",V296=0),"",IF(AND(N(I296)&gt;0,N(INDEX('06-حزيران'!$I$2:$I$499,V296))&gt;0,INDEX('06-حزيران'!$F$2:$F$499,V296)=F296),N(I296)/N(INDEX('06-حزيران'!$I$2:$I$499,V296))-1,""))</f>
        <v/>
      </c>
      <c r="AC296" t="str">
        <f>IF(L296="","",IF(AND($AO$2=1,ISNA(MATCH(L296,'08-آب'!$L$2:$L$501,0))),"محذوف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IF(L297="","",IF($AO$1=1,IFERROR(MATCH(L297,'06-حزيران'!$L$2:$L$499,0),0),0))</f>
        <v/>
      </c>
      <c r="W297" t="str">
        <f t="shared" si="91"/>
        <v/>
      </c>
      <c r="X297" s="38" t="str">
        <f>IF(L297="","",IF(V297&gt;0,INDEX('06-حزيران'!$P$2:$P$499,V297),IF($AO$1=1,0,"")))</f>
        <v/>
      </c>
      <c r="Y297" s="38" t="str">
        <f t="shared" si="92"/>
        <v/>
      </c>
      <c r="Z297" s="39" t="str">
        <f>IF(L297="","",IF(V297&gt;0,INDEX('06-حزيران'!$Q$2:$Q$499,V297),IF($AO$1=1,0,"")))</f>
        <v/>
      </c>
      <c r="AA297" s="39" t="str">
        <f t="shared" si="93"/>
        <v/>
      </c>
      <c r="AB297" s="40" t="str">
        <f>IF(OR(L297="",V297=0),"",IF(AND(N(I297)&gt;0,N(INDEX('06-حزيران'!$I$2:$I$499,V297))&gt;0,INDEX('06-حزيران'!$F$2:$F$499,V297)=F297),N(I297)/N(INDEX('06-حزيران'!$I$2:$I$499,V297))-1,""))</f>
        <v/>
      </c>
      <c r="AC297" t="str">
        <f>IF(L297="","",IF(AND($AO$2=1,ISNA(MATCH(L297,'08-آب'!$L$2:$L$501,0))),"محذوف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IF(L298="","",IF($AO$1=1,IFERROR(MATCH(L298,'06-حزيران'!$L$2:$L$499,0),0),0))</f>
        <v/>
      </c>
      <c r="W298" t="str">
        <f t="shared" si="91"/>
        <v/>
      </c>
      <c r="X298" s="38" t="str">
        <f>IF(L298="","",IF(V298&gt;0,INDEX('06-حزيران'!$P$2:$P$499,V298),IF($AO$1=1,0,"")))</f>
        <v/>
      </c>
      <c r="Y298" s="38" t="str">
        <f t="shared" si="92"/>
        <v/>
      </c>
      <c r="Z298" s="39" t="str">
        <f>IF(L298="","",IF(V298&gt;0,INDEX('06-حزيران'!$Q$2:$Q$499,V298),IF($AO$1=1,0,"")))</f>
        <v/>
      </c>
      <c r="AA298" s="39" t="str">
        <f t="shared" si="93"/>
        <v/>
      </c>
      <c r="AB298" s="40" t="str">
        <f>IF(OR(L298="",V298=0),"",IF(AND(N(I298)&gt;0,N(INDEX('06-حزيران'!$I$2:$I$499,V298))&gt;0,INDEX('06-حزيران'!$F$2:$F$499,V298)=F298),N(I298)/N(INDEX('06-حزيران'!$I$2:$I$499,V298))-1,""))</f>
        <v/>
      </c>
      <c r="AC298" t="str">
        <f>IF(L298="","",IF(AND($AO$2=1,ISNA(MATCH(L298,'08-آب'!$L$2:$L$501,0))),"محذوف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IF(L299="","",IF($AO$1=1,IFERROR(MATCH(L299,'06-حزيران'!$L$2:$L$499,0),0),0))</f>
        <v/>
      </c>
      <c r="W299" t="str">
        <f t="shared" si="91"/>
        <v/>
      </c>
      <c r="X299" s="38" t="str">
        <f>IF(L299="","",IF(V299&gt;0,INDEX('06-حزيران'!$P$2:$P$499,V299),IF($AO$1=1,0,"")))</f>
        <v/>
      </c>
      <c r="Y299" s="38" t="str">
        <f t="shared" si="92"/>
        <v/>
      </c>
      <c r="Z299" s="39" t="str">
        <f>IF(L299="","",IF(V299&gt;0,INDEX('06-حزيران'!$Q$2:$Q$499,V299),IF($AO$1=1,0,"")))</f>
        <v/>
      </c>
      <c r="AA299" s="39" t="str">
        <f t="shared" si="93"/>
        <v/>
      </c>
      <c r="AB299" s="40" t="str">
        <f>IF(OR(L299="",V299=0),"",IF(AND(N(I299)&gt;0,N(INDEX('06-حزيران'!$I$2:$I$499,V299))&gt;0,INDEX('06-حزيران'!$F$2:$F$499,V299)=F299),N(I299)/N(INDEX('06-حزيران'!$I$2:$I$499,V299))-1,""))</f>
        <v/>
      </c>
      <c r="AC299" t="str">
        <f>IF(L299="","",IF(AND($AO$2=1,ISNA(MATCH(L299,'08-آب'!$L$2:$L$501,0))),"محذوف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IF(L300="","",IF($AO$1=1,IFERROR(MATCH(L300,'06-حزيران'!$L$2:$L$499,0),0),0))</f>
        <v/>
      </c>
      <c r="W300" t="str">
        <f t="shared" si="91"/>
        <v/>
      </c>
      <c r="X300" s="38" t="str">
        <f>IF(L300="","",IF(V300&gt;0,INDEX('06-حزيران'!$P$2:$P$499,V300),IF($AO$1=1,0,"")))</f>
        <v/>
      </c>
      <c r="Y300" s="38" t="str">
        <f t="shared" si="92"/>
        <v/>
      </c>
      <c r="Z300" s="39" t="str">
        <f>IF(L300="","",IF(V300&gt;0,INDEX('06-حزيران'!$Q$2:$Q$499,V300),IF($AO$1=1,0,"")))</f>
        <v/>
      </c>
      <c r="AA300" s="39" t="str">
        <f t="shared" si="93"/>
        <v/>
      </c>
      <c r="AB300" s="40" t="str">
        <f>IF(OR(L300="",V300=0),"",IF(AND(N(I300)&gt;0,N(INDEX('06-حزيران'!$I$2:$I$499,V300))&gt;0,INDEX('06-حزيران'!$F$2:$F$499,V300)=F300),N(I300)/N(INDEX('06-حزيران'!$I$2:$I$499,V300))-1,""))</f>
        <v/>
      </c>
      <c r="AC300" t="str">
        <f>IF(L300="","",IF(AND($AO$2=1,ISNA(MATCH(L300,'08-آب'!$L$2:$L$501,0))),"محذوف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IF(L301="","",IF($AO$1=1,IFERROR(MATCH(L301,'06-حزيران'!$L$2:$L$499,0),0),0))</f>
        <v/>
      </c>
      <c r="W301" t="str">
        <f t="shared" si="91"/>
        <v/>
      </c>
      <c r="X301" s="38" t="str">
        <f>IF(L301="","",IF(V301&gt;0,INDEX('06-حزيران'!$P$2:$P$499,V301),IF($AO$1=1,0,"")))</f>
        <v/>
      </c>
      <c r="Y301" s="38" t="str">
        <f t="shared" si="92"/>
        <v/>
      </c>
      <c r="Z301" s="39" t="str">
        <f>IF(L301="","",IF(V301&gt;0,INDEX('06-حزيران'!$Q$2:$Q$499,V301),IF($AO$1=1,0,"")))</f>
        <v/>
      </c>
      <c r="AA301" s="39" t="str">
        <f t="shared" si="93"/>
        <v/>
      </c>
      <c r="AB301" s="40" t="str">
        <f>IF(OR(L301="",V301=0),"",IF(AND(N(I301)&gt;0,N(INDEX('06-حزيران'!$I$2:$I$499,V301))&gt;0,INDEX('06-حزيران'!$F$2:$F$499,V301)=F301),N(I301)/N(INDEX('06-حزيران'!$I$2:$I$499,V301))-1,""))</f>
        <v/>
      </c>
      <c r="AC301" t="str">
        <f>IF(L301="","",IF(AND($AO$2=1,ISNA(MATCH(L301,'08-آب'!$L$2:$L$501,0))),"محذوف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IF(L302="","",IF($AO$1=1,IFERROR(MATCH(L302,'06-حزيران'!$L$2:$L$499,0),0),0))</f>
        <v/>
      </c>
      <c r="W302" t="str">
        <f t="shared" si="91"/>
        <v/>
      </c>
      <c r="X302" s="38" t="str">
        <f>IF(L302="","",IF(V302&gt;0,INDEX('06-حزيران'!$P$2:$P$499,V302),IF($AO$1=1,0,"")))</f>
        <v/>
      </c>
      <c r="Y302" s="38" t="str">
        <f t="shared" si="92"/>
        <v/>
      </c>
      <c r="Z302" s="39" t="str">
        <f>IF(L302="","",IF(V302&gt;0,INDEX('06-حزيران'!$Q$2:$Q$499,V302),IF($AO$1=1,0,"")))</f>
        <v/>
      </c>
      <c r="AA302" s="39" t="str">
        <f t="shared" si="93"/>
        <v/>
      </c>
      <c r="AB302" s="40" t="str">
        <f>IF(OR(L302="",V302=0),"",IF(AND(N(I302)&gt;0,N(INDEX('06-حزيران'!$I$2:$I$499,V302))&gt;0,INDEX('06-حزيران'!$F$2:$F$499,V302)=F302),N(I302)/N(INDEX('06-حزيران'!$I$2:$I$499,V302))-1,""))</f>
        <v/>
      </c>
      <c r="AC302" t="str">
        <f>IF(L302="","",IF(AND($AO$2=1,ISNA(MATCH(L302,'08-آب'!$L$2:$L$501,0))),"محذوف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IF(L303="","",IF($AO$1=1,IFERROR(MATCH(L303,'06-حزيران'!$L$2:$L$499,0),0),0))</f>
        <v/>
      </c>
      <c r="W303" t="str">
        <f t="shared" si="91"/>
        <v/>
      </c>
      <c r="X303" s="38" t="str">
        <f>IF(L303="","",IF(V303&gt;0,INDEX('06-حزيران'!$P$2:$P$499,V303),IF($AO$1=1,0,"")))</f>
        <v/>
      </c>
      <c r="Y303" s="38" t="str">
        <f t="shared" si="92"/>
        <v/>
      </c>
      <c r="Z303" s="39" t="str">
        <f>IF(L303="","",IF(V303&gt;0,INDEX('06-حزيران'!$Q$2:$Q$499,V303),IF($AO$1=1,0,"")))</f>
        <v/>
      </c>
      <c r="AA303" s="39" t="str">
        <f t="shared" si="93"/>
        <v/>
      </c>
      <c r="AB303" s="40" t="str">
        <f>IF(OR(L303="",V303=0),"",IF(AND(N(I303)&gt;0,N(INDEX('06-حزيران'!$I$2:$I$499,V303))&gt;0,INDEX('06-حزيران'!$F$2:$F$499,V303)=F303),N(I303)/N(INDEX('06-حزيران'!$I$2:$I$499,V303))-1,""))</f>
        <v/>
      </c>
      <c r="AC303" t="str">
        <f>IF(L303="","",IF(AND($AO$2=1,ISNA(MATCH(L303,'08-آب'!$L$2:$L$501,0))),"محذوف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IF(L304="","",IF($AO$1=1,IFERROR(MATCH(L304,'06-حزيران'!$L$2:$L$499,0),0),0))</f>
        <v/>
      </c>
      <c r="W304" t="str">
        <f t="shared" si="91"/>
        <v/>
      </c>
      <c r="X304" s="38" t="str">
        <f>IF(L304="","",IF(V304&gt;0,INDEX('06-حزيران'!$P$2:$P$499,V304),IF($AO$1=1,0,"")))</f>
        <v/>
      </c>
      <c r="Y304" s="38" t="str">
        <f t="shared" si="92"/>
        <v/>
      </c>
      <c r="Z304" s="39" t="str">
        <f>IF(L304="","",IF(V304&gt;0,INDEX('06-حزيران'!$Q$2:$Q$499,V304),IF($AO$1=1,0,"")))</f>
        <v/>
      </c>
      <c r="AA304" s="39" t="str">
        <f t="shared" si="93"/>
        <v/>
      </c>
      <c r="AB304" s="40" t="str">
        <f>IF(OR(L304="",V304=0),"",IF(AND(N(I304)&gt;0,N(INDEX('06-حزيران'!$I$2:$I$499,V304))&gt;0,INDEX('06-حزيران'!$F$2:$F$499,V304)=F304),N(I304)/N(INDEX('06-حزيران'!$I$2:$I$499,V304))-1,""))</f>
        <v/>
      </c>
      <c r="AC304" t="str">
        <f>IF(L304="","",IF(AND($AO$2=1,ISNA(MATCH(L304,'08-آب'!$L$2:$L$501,0))),"محذوف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IF(L305="","",IF($AO$1=1,IFERROR(MATCH(L305,'06-حزيران'!$L$2:$L$499,0),0),0))</f>
        <v/>
      </c>
      <c r="W305" t="str">
        <f t="shared" si="91"/>
        <v/>
      </c>
      <c r="X305" s="38" t="str">
        <f>IF(L305="","",IF(V305&gt;0,INDEX('06-حزيران'!$P$2:$P$499,V305),IF($AO$1=1,0,"")))</f>
        <v/>
      </c>
      <c r="Y305" s="38" t="str">
        <f t="shared" si="92"/>
        <v/>
      </c>
      <c r="Z305" s="39" t="str">
        <f>IF(L305="","",IF(V305&gt;0,INDEX('06-حزيران'!$Q$2:$Q$499,V305),IF($AO$1=1,0,"")))</f>
        <v/>
      </c>
      <c r="AA305" s="39" t="str">
        <f t="shared" si="93"/>
        <v/>
      </c>
      <c r="AB305" s="40" t="str">
        <f>IF(OR(L305="",V305=0),"",IF(AND(N(I305)&gt;0,N(INDEX('06-حزيران'!$I$2:$I$499,V305))&gt;0,INDEX('06-حزيران'!$F$2:$F$499,V305)=F305),N(I305)/N(INDEX('06-حزيران'!$I$2:$I$499,V305))-1,""))</f>
        <v/>
      </c>
      <c r="AC305" t="str">
        <f>IF(L305="","",IF(AND($AO$2=1,ISNA(MATCH(L305,'08-آب'!$L$2:$L$501,0))),"محذوف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IF(L306="","",IF($AO$1=1,IFERROR(MATCH(L306,'06-حزيران'!$L$2:$L$499,0),0),0))</f>
        <v/>
      </c>
      <c r="W306" t="str">
        <f t="shared" si="91"/>
        <v/>
      </c>
      <c r="X306" s="38" t="str">
        <f>IF(L306="","",IF(V306&gt;0,INDEX('06-حزيران'!$P$2:$P$499,V306),IF($AO$1=1,0,"")))</f>
        <v/>
      </c>
      <c r="Y306" s="38" t="str">
        <f t="shared" si="92"/>
        <v/>
      </c>
      <c r="Z306" s="39" t="str">
        <f>IF(L306="","",IF(V306&gt;0,INDEX('06-حزيران'!$Q$2:$Q$499,V306),IF($AO$1=1,0,"")))</f>
        <v/>
      </c>
      <c r="AA306" s="39" t="str">
        <f t="shared" si="93"/>
        <v/>
      </c>
      <c r="AB306" s="40" t="str">
        <f>IF(OR(L306="",V306=0),"",IF(AND(N(I306)&gt;0,N(INDEX('06-حزيران'!$I$2:$I$499,V306))&gt;0,INDEX('06-حزيران'!$F$2:$F$499,V306)=F306),N(I306)/N(INDEX('06-حزيران'!$I$2:$I$499,V306))-1,""))</f>
        <v/>
      </c>
      <c r="AC306" t="str">
        <f>IF(L306="","",IF(AND($AO$2=1,ISNA(MATCH(L306,'08-آب'!$L$2:$L$501,0))),"محذوف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IF(L307="","",IF($AO$1=1,IFERROR(MATCH(L307,'06-حزيران'!$L$2:$L$499,0),0),0))</f>
        <v/>
      </c>
      <c r="W307" t="str">
        <f t="shared" si="91"/>
        <v/>
      </c>
      <c r="X307" s="38" t="str">
        <f>IF(L307="","",IF(V307&gt;0,INDEX('06-حزيران'!$P$2:$P$499,V307),IF($AO$1=1,0,"")))</f>
        <v/>
      </c>
      <c r="Y307" s="38" t="str">
        <f t="shared" si="92"/>
        <v/>
      </c>
      <c r="Z307" s="39" t="str">
        <f>IF(L307="","",IF(V307&gt;0,INDEX('06-حزيران'!$Q$2:$Q$499,V307),IF($AO$1=1,0,"")))</f>
        <v/>
      </c>
      <c r="AA307" s="39" t="str">
        <f t="shared" si="93"/>
        <v/>
      </c>
      <c r="AB307" s="40" t="str">
        <f>IF(OR(L307="",V307=0),"",IF(AND(N(I307)&gt;0,N(INDEX('06-حزيران'!$I$2:$I$499,V307))&gt;0,INDEX('06-حزيران'!$F$2:$F$499,V307)=F307),N(I307)/N(INDEX('06-حزيران'!$I$2:$I$499,V307))-1,""))</f>
        <v/>
      </c>
      <c r="AC307" t="str">
        <f>IF(L307="","",IF(AND($AO$2=1,ISNA(MATCH(L307,'08-آب'!$L$2:$L$501,0))),"محذوف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IF(L308="","",IF($AO$1=1,IFERROR(MATCH(L308,'06-حزيران'!$L$2:$L$499,0),0),0))</f>
        <v/>
      </c>
      <c r="W308" t="str">
        <f t="shared" si="91"/>
        <v/>
      </c>
      <c r="X308" s="38" t="str">
        <f>IF(L308="","",IF(V308&gt;0,INDEX('06-حزيران'!$P$2:$P$499,V308),IF($AO$1=1,0,"")))</f>
        <v/>
      </c>
      <c r="Y308" s="38" t="str">
        <f t="shared" si="92"/>
        <v/>
      </c>
      <c r="Z308" s="39" t="str">
        <f>IF(L308="","",IF(V308&gt;0,INDEX('06-حزيران'!$Q$2:$Q$499,V308),IF($AO$1=1,0,"")))</f>
        <v/>
      </c>
      <c r="AA308" s="39" t="str">
        <f t="shared" si="93"/>
        <v/>
      </c>
      <c r="AB308" s="40" t="str">
        <f>IF(OR(L308="",V308=0),"",IF(AND(N(I308)&gt;0,N(INDEX('06-حزيران'!$I$2:$I$499,V308))&gt;0,INDEX('06-حزيران'!$F$2:$F$499,V308)=F308),N(I308)/N(INDEX('06-حزيران'!$I$2:$I$499,V308))-1,""))</f>
        <v/>
      </c>
      <c r="AC308" t="str">
        <f>IF(L308="","",IF(AND($AO$2=1,ISNA(MATCH(L308,'08-آب'!$L$2:$L$501,0))),"محذوف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IF(L309="","",IF($AO$1=1,IFERROR(MATCH(L309,'06-حزيران'!$L$2:$L$499,0),0),0))</f>
        <v/>
      </c>
      <c r="W309" t="str">
        <f t="shared" si="91"/>
        <v/>
      </c>
      <c r="X309" s="38" t="str">
        <f>IF(L309="","",IF(V309&gt;0,INDEX('06-حزيران'!$P$2:$P$499,V309),IF($AO$1=1,0,"")))</f>
        <v/>
      </c>
      <c r="Y309" s="38" t="str">
        <f t="shared" si="92"/>
        <v/>
      </c>
      <c r="Z309" s="39" t="str">
        <f>IF(L309="","",IF(V309&gt;0,INDEX('06-حزيران'!$Q$2:$Q$499,V309),IF($AO$1=1,0,"")))</f>
        <v/>
      </c>
      <c r="AA309" s="39" t="str">
        <f t="shared" si="93"/>
        <v/>
      </c>
      <c r="AB309" s="40" t="str">
        <f>IF(OR(L309="",V309=0),"",IF(AND(N(I309)&gt;0,N(INDEX('06-حزيران'!$I$2:$I$499,V309))&gt;0,INDEX('06-حزيران'!$F$2:$F$499,V309)=F309),N(I309)/N(INDEX('06-حزيران'!$I$2:$I$499,V309))-1,""))</f>
        <v/>
      </c>
      <c r="AC309" t="str">
        <f>IF(L309="","",IF(AND($AO$2=1,ISNA(MATCH(L309,'08-آب'!$L$2:$L$501,0))),"محذوف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IF(L310="","",IF($AO$1=1,IFERROR(MATCH(L310,'06-حزيران'!$L$2:$L$499,0),0),0))</f>
        <v/>
      </c>
      <c r="W310" t="str">
        <f t="shared" si="91"/>
        <v/>
      </c>
      <c r="X310" s="38" t="str">
        <f>IF(L310="","",IF(V310&gt;0,INDEX('06-حزيران'!$P$2:$P$499,V310),IF($AO$1=1,0,"")))</f>
        <v/>
      </c>
      <c r="Y310" s="38" t="str">
        <f t="shared" si="92"/>
        <v/>
      </c>
      <c r="Z310" s="39" t="str">
        <f>IF(L310="","",IF(V310&gt;0,INDEX('06-حزيران'!$Q$2:$Q$499,V310),IF($AO$1=1,0,"")))</f>
        <v/>
      </c>
      <c r="AA310" s="39" t="str">
        <f t="shared" si="93"/>
        <v/>
      </c>
      <c r="AB310" s="40" t="str">
        <f>IF(OR(L310="",V310=0),"",IF(AND(N(I310)&gt;0,N(INDEX('06-حزيران'!$I$2:$I$499,V310))&gt;0,INDEX('06-حزيران'!$F$2:$F$499,V310)=F310),N(I310)/N(INDEX('06-حزيران'!$I$2:$I$499,V310))-1,""))</f>
        <v/>
      </c>
      <c r="AC310" t="str">
        <f>IF(L310="","",IF(AND($AO$2=1,ISNA(MATCH(L310,'08-آب'!$L$2:$L$501,0))),"محذوف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IF(L311="","",IF($AO$1=1,IFERROR(MATCH(L311,'06-حزيران'!$L$2:$L$499,0),0),0))</f>
        <v/>
      </c>
      <c r="W311" t="str">
        <f t="shared" si="91"/>
        <v/>
      </c>
      <c r="X311" s="38" t="str">
        <f>IF(L311="","",IF(V311&gt;0,INDEX('06-حزيران'!$P$2:$P$499,V311),IF($AO$1=1,0,"")))</f>
        <v/>
      </c>
      <c r="Y311" s="38" t="str">
        <f t="shared" si="92"/>
        <v/>
      </c>
      <c r="Z311" s="39" t="str">
        <f>IF(L311="","",IF(V311&gt;0,INDEX('06-حزيران'!$Q$2:$Q$499,V311),IF($AO$1=1,0,"")))</f>
        <v/>
      </c>
      <c r="AA311" s="39" t="str">
        <f t="shared" si="93"/>
        <v/>
      </c>
      <c r="AB311" s="40" t="str">
        <f>IF(OR(L311="",V311=0),"",IF(AND(N(I311)&gt;0,N(INDEX('06-حزيران'!$I$2:$I$499,V311))&gt;0,INDEX('06-حزيران'!$F$2:$F$499,V311)=F311),N(I311)/N(INDEX('06-حزيران'!$I$2:$I$499,V311))-1,""))</f>
        <v/>
      </c>
      <c r="AC311" t="str">
        <f>IF(L311="","",IF(AND($AO$2=1,ISNA(MATCH(L311,'08-آب'!$L$2:$L$501,0))),"محذوف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IF(L312="","",IF($AO$1=1,IFERROR(MATCH(L312,'06-حزيران'!$L$2:$L$499,0),0),0))</f>
        <v/>
      </c>
      <c r="W312" t="str">
        <f t="shared" si="91"/>
        <v/>
      </c>
      <c r="X312" s="38" t="str">
        <f>IF(L312="","",IF(V312&gt;0,INDEX('06-حزيران'!$P$2:$P$499,V312),IF($AO$1=1,0,"")))</f>
        <v/>
      </c>
      <c r="Y312" s="38" t="str">
        <f t="shared" si="92"/>
        <v/>
      </c>
      <c r="Z312" s="39" t="str">
        <f>IF(L312="","",IF(V312&gt;0,INDEX('06-حزيران'!$Q$2:$Q$499,V312),IF($AO$1=1,0,"")))</f>
        <v/>
      </c>
      <c r="AA312" s="39" t="str">
        <f t="shared" si="93"/>
        <v/>
      </c>
      <c r="AB312" s="40" t="str">
        <f>IF(OR(L312="",V312=0),"",IF(AND(N(I312)&gt;0,N(INDEX('06-حزيران'!$I$2:$I$499,V312))&gt;0,INDEX('06-حزيران'!$F$2:$F$499,V312)=F312),N(I312)/N(INDEX('06-حزيران'!$I$2:$I$499,V312))-1,""))</f>
        <v/>
      </c>
      <c r="AC312" t="str">
        <f>IF(L312="","",IF(AND($AO$2=1,ISNA(MATCH(L312,'08-آب'!$L$2:$L$501,0))),"محذوف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IF(L313="","",IF($AO$1=1,IFERROR(MATCH(L313,'06-حزيران'!$L$2:$L$499,0),0),0))</f>
        <v/>
      </c>
      <c r="W313" t="str">
        <f t="shared" si="91"/>
        <v/>
      </c>
      <c r="X313" s="38" t="str">
        <f>IF(L313="","",IF(V313&gt;0,INDEX('06-حزيران'!$P$2:$P$499,V313),IF($AO$1=1,0,"")))</f>
        <v/>
      </c>
      <c r="Y313" s="38" t="str">
        <f t="shared" si="92"/>
        <v/>
      </c>
      <c r="Z313" s="39" t="str">
        <f>IF(L313="","",IF(V313&gt;0,INDEX('06-حزيران'!$Q$2:$Q$499,V313),IF($AO$1=1,0,"")))</f>
        <v/>
      </c>
      <c r="AA313" s="39" t="str">
        <f t="shared" si="93"/>
        <v/>
      </c>
      <c r="AB313" s="40" t="str">
        <f>IF(OR(L313="",V313=0),"",IF(AND(N(I313)&gt;0,N(INDEX('06-حزيران'!$I$2:$I$499,V313))&gt;0,INDEX('06-حزيران'!$F$2:$F$499,V313)=F313),N(I313)/N(INDEX('06-حزيران'!$I$2:$I$499,V313))-1,""))</f>
        <v/>
      </c>
      <c r="AC313" t="str">
        <f>IF(L313="","",IF(AND($AO$2=1,ISNA(MATCH(L313,'08-آب'!$L$2:$L$501,0))),"محذوف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IF(L314="","",IF($AO$1=1,IFERROR(MATCH(L314,'06-حزيران'!$L$2:$L$499,0),0),0))</f>
        <v/>
      </c>
      <c r="W314" t="str">
        <f t="shared" si="91"/>
        <v/>
      </c>
      <c r="X314" s="38" t="str">
        <f>IF(L314="","",IF(V314&gt;0,INDEX('06-حزيران'!$P$2:$P$499,V314),IF($AO$1=1,0,"")))</f>
        <v/>
      </c>
      <c r="Y314" s="38" t="str">
        <f t="shared" si="92"/>
        <v/>
      </c>
      <c r="Z314" s="39" t="str">
        <f>IF(L314="","",IF(V314&gt;0,INDEX('06-حزيران'!$Q$2:$Q$499,V314),IF($AO$1=1,0,"")))</f>
        <v/>
      </c>
      <c r="AA314" s="39" t="str">
        <f t="shared" si="93"/>
        <v/>
      </c>
      <c r="AB314" s="40" t="str">
        <f>IF(OR(L314="",V314=0),"",IF(AND(N(I314)&gt;0,N(INDEX('06-حزيران'!$I$2:$I$499,V314))&gt;0,INDEX('06-حزيران'!$F$2:$F$499,V314)=F314),N(I314)/N(INDEX('06-حزيران'!$I$2:$I$499,V314))-1,""))</f>
        <v/>
      </c>
      <c r="AC314" t="str">
        <f>IF(L314="","",IF(AND($AO$2=1,ISNA(MATCH(L314,'08-آب'!$L$2:$L$501,0))),"محذوف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IF(L315="","",IF($AO$1=1,IFERROR(MATCH(L315,'06-حزيران'!$L$2:$L$499,0),0),0))</f>
        <v/>
      </c>
      <c r="W315" t="str">
        <f t="shared" si="91"/>
        <v/>
      </c>
      <c r="X315" s="38" t="str">
        <f>IF(L315="","",IF(V315&gt;0,INDEX('06-حزيران'!$P$2:$P$499,V315),IF($AO$1=1,0,"")))</f>
        <v/>
      </c>
      <c r="Y315" s="38" t="str">
        <f t="shared" si="92"/>
        <v/>
      </c>
      <c r="Z315" s="39" t="str">
        <f>IF(L315="","",IF(V315&gt;0,INDEX('06-حزيران'!$Q$2:$Q$499,V315),IF($AO$1=1,0,"")))</f>
        <v/>
      </c>
      <c r="AA315" s="39" t="str">
        <f t="shared" si="93"/>
        <v/>
      </c>
      <c r="AB315" s="40" t="str">
        <f>IF(OR(L315="",V315=0),"",IF(AND(N(I315)&gt;0,N(INDEX('06-حزيران'!$I$2:$I$499,V315))&gt;0,INDEX('06-حزيران'!$F$2:$F$499,V315)=F315),N(I315)/N(INDEX('06-حزيران'!$I$2:$I$499,V315))-1,""))</f>
        <v/>
      </c>
      <c r="AC315" t="str">
        <f>IF(L315="","",IF(AND($AO$2=1,ISNA(MATCH(L315,'08-آب'!$L$2:$L$501,0))),"محذوف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IF(L316="","",IF($AO$1=1,IFERROR(MATCH(L316,'06-حزيران'!$L$2:$L$499,0),0),0))</f>
        <v/>
      </c>
      <c r="W316" t="str">
        <f t="shared" si="91"/>
        <v/>
      </c>
      <c r="X316" s="38" t="str">
        <f>IF(L316="","",IF(V316&gt;0,INDEX('06-حزيران'!$P$2:$P$499,V316),IF($AO$1=1,0,"")))</f>
        <v/>
      </c>
      <c r="Y316" s="38" t="str">
        <f t="shared" si="92"/>
        <v/>
      </c>
      <c r="Z316" s="39" t="str">
        <f>IF(L316="","",IF(V316&gt;0,INDEX('06-حزيران'!$Q$2:$Q$499,V316),IF($AO$1=1,0,"")))</f>
        <v/>
      </c>
      <c r="AA316" s="39" t="str">
        <f t="shared" si="93"/>
        <v/>
      </c>
      <c r="AB316" s="40" t="str">
        <f>IF(OR(L316="",V316=0),"",IF(AND(N(I316)&gt;0,N(INDEX('06-حزيران'!$I$2:$I$499,V316))&gt;0,INDEX('06-حزيران'!$F$2:$F$499,V316)=F316),N(I316)/N(INDEX('06-حزيران'!$I$2:$I$499,V316))-1,""))</f>
        <v/>
      </c>
      <c r="AC316" t="str">
        <f>IF(L316="","",IF(AND($AO$2=1,ISNA(MATCH(L316,'08-آب'!$L$2:$L$501,0))),"محذوف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IF(L317="","",IF($AO$1=1,IFERROR(MATCH(L317,'06-حزيران'!$L$2:$L$499,0),0),0))</f>
        <v/>
      </c>
      <c r="W317" t="str">
        <f t="shared" si="91"/>
        <v/>
      </c>
      <c r="X317" s="38" t="str">
        <f>IF(L317="","",IF(V317&gt;0,INDEX('06-حزيران'!$P$2:$P$499,V317),IF($AO$1=1,0,"")))</f>
        <v/>
      </c>
      <c r="Y317" s="38" t="str">
        <f t="shared" si="92"/>
        <v/>
      </c>
      <c r="Z317" s="39" t="str">
        <f>IF(L317="","",IF(V317&gt;0,INDEX('06-حزيران'!$Q$2:$Q$499,V317),IF($AO$1=1,0,"")))</f>
        <v/>
      </c>
      <c r="AA317" s="39" t="str">
        <f t="shared" si="93"/>
        <v/>
      </c>
      <c r="AB317" s="40" t="str">
        <f>IF(OR(L317="",V317=0),"",IF(AND(N(I317)&gt;0,N(INDEX('06-حزيران'!$I$2:$I$499,V317))&gt;0,INDEX('06-حزيران'!$F$2:$F$499,V317)=F317),N(I317)/N(INDEX('06-حزيران'!$I$2:$I$499,V317))-1,""))</f>
        <v/>
      </c>
      <c r="AC317" t="str">
        <f>IF(L317="","",IF(AND($AO$2=1,ISNA(MATCH(L317,'08-آب'!$L$2:$L$501,0))),"محذوف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IF(L318="","",IF($AO$1=1,IFERROR(MATCH(L318,'06-حزيران'!$L$2:$L$499,0),0),0))</f>
        <v/>
      </c>
      <c r="W318" t="str">
        <f t="shared" si="91"/>
        <v/>
      </c>
      <c r="X318" s="38" t="str">
        <f>IF(L318="","",IF(V318&gt;0,INDEX('06-حزيران'!$P$2:$P$499,V318),IF($AO$1=1,0,"")))</f>
        <v/>
      </c>
      <c r="Y318" s="38" t="str">
        <f t="shared" si="92"/>
        <v/>
      </c>
      <c r="Z318" s="39" t="str">
        <f>IF(L318="","",IF(V318&gt;0,INDEX('06-حزيران'!$Q$2:$Q$499,V318),IF($AO$1=1,0,"")))</f>
        <v/>
      </c>
      <c r="AA318" s="39" t="str">
        <f t="shared" si="93"/>
        <v/>
      </c>
      <c r="AB318" s="40" t="str">
        <f>IF(OR(L318="",V318=0),"",IF(AND(N(I318)&gt;0,N(INDEX('06-حزيران'!$I$2:$I$499,V318))&gt;0,INDEX('06-حزيران'!$F$2:$F$499,V318)=F318),N(I318)/N(INDEX('06-حزيران'!$I$2:$I$499,V318))-1,""))</f>
        <v/>
      </c>
      <c r="AC318" t="str">
        <f>IF(L318="","",IF(AND($AO$2=1,ISNA(MATCH(L318,'08-آب'!$L$2:$L$501,0))),"محذوف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IF(L319="","",IF($AO$1=1,IFERROR(MATCH(L319,'06-حزيران'!$L$2:$L$499,0),0),0))</f>
        <v/>
      </c>
      <c r="W319" t="str">
        <f t="shared" si="91"/>
        <v/>
      </c>
      <c r="X319" s="38" t="str">
        <f>IF(L319="","",IF(V319&gt;0,INDEX('06-حزيران'!$P$2:$P$499,V319),IF($AO$1=1,0,"")))</f>
        <v/>
      </c>
      <c r="Y319" s="38" t="str">
        <f t="shared" si="92"/>
        <v/>
      </c>
      <c r="Z319" s="39" t="str">
        <f>IF(L319="","",IF(V319&gt;0,INDEX('06-حزيران'!$Q$2:$Q$499,V319),IF($AO$1=1,0,"")))</f>
        <v/>
      </c>
      <c r="AA319" s="39" t="str">
        <f t="shared" si="93"/>
        <v/>
      </c>
      <c r="AB319" s="40" t="str">
        <f>IF(OR(L319="",V319=0),"",IF(AND(N(I319)&gt;0,N(INDEX('06-حزيران'!$I$2:$I$499,V319))&gt;0,INDEX('06-حزيران'!$F$2:$F$499,V319)=F319),N(I319)/N(INDEX('06-حزيران'!$I$2:$I$499,V319))-1,""))</f>
        <v/>
      </c>
      <c r="AC319" t="str">
        <f>IF(L319="","",IF(AND($AO$2=1,ISNA(MATCH(L319,'08-آب'!$L$2:$L$501,0))),"محذوف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IF(L320="","",IF($AO$1=1,IFERROR(MATCH(L320,'06-حزيران'!$L$2:$L$499,0),0),0))</f>
        <v/>
      </c>
      <c r="W320" t="str">
        <f t="shared" si="91"/>
        <v/>
      </c>
      <c r="X320" s="38" t="str">
        <f>IF(L320="","",IF(V320&gt;0,INDEX('06-حزيران'!$P$2:$P$499,V320),IF($AO$1=1,0,"")))</f>
        <v/>
      </c>
      <c r="Y320" s="38" t="str">
        <f t="shared" si="92"/>
        <v/>
      </c>
      <c r="Z320" s="39" t="str">
        <f>IF(L320="","",IF(V320&gt;0,INDEX('06-حزيران'!$Q$2:$Q$499,V320),IF($AO$1=1,0,"")))</f>
        <v/>
      </c>
      <c r="AA320" s="39" t="str">
        <f t="shared" si="93"/>
        <v/>
      </c>
      <c r="AB320" s="40" t="str">
        <f>IF(OR(L320="",V320=0),"",IF(AND(N(I320)&gt;0,N(INDEX('06-حزيران'!$I$2:$I$499,V320))&gt;0,INDEX('06-حزيران'!$F$2:$F$499,V320)=F320),N(I320)/N(INDEX('06-حزيران'!$I$2:$I$499,V320))-1,""))</f>
        <v/>
      </c>
      <c r="AC320" t="str">
        <f>IF(L320="","",IF(AND($AO$2=1,ISNA(MATCH(L320,'08-آب'!$L$2:$L$501,0))),"محذوف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ref="K321:K384" si="100">IF(L321="","",IF(U321&lt;&gt;"","⚠",""))</f>
        <v/>
      </c>
      <c r="L321" t="str">
        <f t="shared" ref="L321:L384" si="101">IF(A321="","",TRIM(A321))</f>
        <v/>
      </c>
      <c r="M321" s="36" t="str">
        <f t="shared" ref="M321:M384" si="102">IF(L321="","",IF(ISNUMBER(SEARCH("دولار",F321)),1,IF(ISNUMBER(SEARCH("ليرة",F321)),IF($AO$3&gt;0,1/$AO$3,0),0)))</f>
        <v/>
      </c>
      <c r="N321" s="37" t="str">
        <f t="shared" ref="N321:N384" si="103">IF(L321="","",N(I321)*M321)</f>
        <v/>
      </c>
      <c r="O321" s="37" t="str">
        <f t="shared" ref="O321:O384" si="104">IF(L321="","",M321*CHOOSE($AO$4,N(C321),N(D321),N(E321)))</f>
        <v/>
      </c>
      <c r="P321" s="38" t="str">
        <f t="shared" ref="P321:P384" si="105">IF(L321="","",MAX(N(B321),0))</f>
        <v/>
      </c>
      <c r="Q321" s="39" t="str">
        <f t="shared" ref="Q321:Q384" si="106">IF(L321="","",P321*N321)</f>
        <v/>
      </c>
      <c r="R321" s="39" t="str">
        <f t="shared" ref="R321:R384" si="107">IF(L321="","",P321*O321)</f>
        <v/>
      </c>
      <c r="S321" t="str">
        <f t="shared" ref="S321:S384" si="108">IF(L321="","",IF(AND(P321&gt;0,N321&gt;0,O321&gt;0),1,0))</f>
        <v/>
      </c>
      <c r="T321" s="39" t="str">
        <f t="shared" ref="T321:T384" si="109">IF(L321="","",S321*(R321-Q321))</f>
        <v/>
      </c>
      <c r="U321" t="str">
        <f t="shared" ref="U321:U384" si="110">IF(L321="","",MID(IF(OR(NOT(ISNUMBER(B321)),NOT(ISNUMBER(C321)),NOT(ISNUMBER(D321)),NOT(ISNUMBER(E321)),NOT(ISNUMBER(I321)),AND(NOT(ISNUMBER(SEARCH("دولار",F321))),NOT(ISNUMBER(SEARCH("ليرة",F321)))))," | بيانات غير صالحة","")&amp;IF(N(B321)&lt;0," | كمية سالبة","")&amp;IF(AND(N(B321)&gt;0,N(I321)=0)," | شراء صفر","")&amp;IF(AND(N(B321)&gt;0,TRIM(H321)=$AO$5,OR(N(C321)=0,N(D321)=0,N(E321)=0))," | بيع صفر","")&amp;IF(AND(N321&gt;0,O321&gt;0,O321&lt;N321)," | بيع أقل من الشراء","")&amp;IF(OR(AND(ISNUMBER(SEARCH("ليرة",F321)),OR(AND(N(I321)&gt;0,N(I321)&lt;$AO$6),AND(N(C321)&gt;0,N(C321)&lt;$AO$6),AND(N(D321)&gt;0,N(D321)&lt;$AO$6),AND(N(E321)&gt;0,N(E321)&lt;$AO$6))),AND(ISNUMBER(SEARCH("دولار",F321)),MAX(N(I321),N(C321),N(D321),N(E321))&gt;$AO$7))," | عملة/سعر مشكوك","")&amp;IF(AND(COUNTIF(C321:E321,"&gt;0")&gt;=2,MAX(N(C321),N(D321),N(E321))&gt;$AO$8*MIN(IF(N(C321)&gt;0,N(C321),1E+99),IF(N(D321)&gt;0,N(D321),1E+99),IF(N(E321)&gt;0,N(E321),1E+99)))," | تباين أسعار البيع","")&amp;IF(OR(TRIM(H321)="All",TRIM(H321)="")," | بلا تصنيف",""),4,300))</f>
        <v/>
      </c>
      <c r="V321" t="str">
        <f>IF(L321="","",IF($AO$1=1,IFERROR(MATCH(L321,'06-حزيران'!$L$2:$L$499,0),0),0))</f>
        <v/>
      </c>
      <c r="W321" t="str">
        <f t="shared" ref="W321:W384" si="111">IF(L321="","",IF(AND($AO$1=1,V321=0),"جديد",""))</f>
        <v/>
      </c>
      <c r="X321" s="38" t="str">
        <f>IF(L321="","",IF(V321&gt;0,INDEX('06-حزيران'!$P$2:$P$499,V321),IF($AO$1=1,0,"")))</f>
        <v/>
      </c>
      <c r="Y321" s="38" t="str">
        <f t="shared" ref="Y321:Y384" si="112">IF(OR(L321="",X321=""),"",P321-X321)</f>
        <v/>
      </c>
      <c r="Z321" s="39" t="str">
        <f>IF(L321="","",IF(V321&gt;0,INDEX('06-حزيران'!$Q$2:$Q$499,V321),IF($AO$1=1,0,"")))</f>
        <v/>
      </c>
      <c r="AA321" s="39" t="str">
        <f t="shared" ref="AA321:AA384" si="113">IF(OR(L321="",Z321=""),"",Q321-Z321)</f>
        <v/>
      </c>
      <c r="AB321" s="40" t="str">
        <f>IF(OR(L321="",V321=0),"",IF(AND(N(I321)&gt;0,N(INDEX('06-حزيران'!$I$2:$I$499,V321))&gt;0,INDEX('06-حزيران'!$F$2:$F$499,V321)=F321),N(I321)/N(INDEX('06-حزيران'!$I$2:$I$499,V321))-1,""))</f>
        <v/>
      </c>
      <c r="AC321" t="str">
        <f>IF(L321="","",IF(AND($AO$2=1,ISNA(MATCH(L321,'08-آب'!$L$2:$L$501,0))),"محذوف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ref="AG321:AG384" si="114">IF(AA321="","",ABS(AA321)+ROW()/1000000000)</f>
        <v/>
      </c>
      <c r="AH321" s="39" t="str">
        <f t="shared" ref="AH321:AH384" si="115">IF(L321="","",IF(AND(P321&gt;0,N321&gt;0,N(C321)&gt;0),P321*(M321*N(C321)-N321),0))</f>
        <v/>
      </c>
      <c r="AI321" s="39" t="str">
        <f t="shared" ref="AI321:AI384" si="116">IF(L321="","",IF(AND(P321&gt;0,N321&gt;0,N(D321)&gt;0),P321*(M321*N(D321)-N321),0))</f>
        <v/>
      </c>
      <c r="AJ321" s="39" t="str">
        <f t="shared" ref="AJ321:AJ384" si="117">IF(L321="","",IF(AND(P321&gt;0,N321&gt;0,N(E321)&gt;0),P321*(M321*N(E321)-N321),0))</f>
        <v/>
      </c>
      <c r="AK321" t="str">
        <f t="shared" ref="AK321:AK384" si="118">IF(L321="","",Q321+ROW()/1000000000)</f>
        <v/>
      </c>
      <c r="AL321" t="str">
        <f t="shared" ref="AL321:AL384" si="119">IF(L321="","",T321+ROW()/1000000000)</f>
        <v/>
      </c>
    </row>
    <row r="322" spans="11:38" ht="15">
      <c r="K322" t="str">
        <f t="shared" si="100"/>
        <v/>
      </c>
      <c r="L322" t="str">
        <f t="shared" si="101"/>
        <v/>
      </c>
      <c r="M322" s="36" t="str">
        <f t="shared" si="102"/>
        <v/>
      </c>
      <c r="N322" s="37" t="str">
        <f t="shared" si="103"/>
        <v/>
      </c>
      <c r="O322" s="37" t="str">
        <f t="shared" si="104"/>
        <v/>
      </c>
      <c r="P322" s="38" t="str">
        <f t="shared" si="105"/>
        <v/>
      </c>
      <c r="Q322" s="39" t="str">
        <f t="shared" si="106"/>
        <v/>
      </c>
      <c r="R322" s="39" t="str">
        <f t="shared" si="107"/>
        <v/>
      </c>
      <c r="S322" t="str">
        <f t="shared" si="108"/>
        <v/>
      </c>
      <c r="T322" s="39" t="str">
        <f t="shared" si="109"/>
        <v/>
      </c>
      <c r="U322" t="str">
        <f t="shared" si="110"/>
        <v/>
      </c>
      <c r="V322" t="str">
        <f>IF(L322="","",IF($AO$1=1,IFERROR(MATCH(L322,'06-حزيران'!$L$2:$L$499,0),0),0))</f>
        <v/>
      </c>
      <c r="W322" t="str">
        <f t="shared" si="111"/>
        <v/>
      </c>
      <c r="X322" s="38" t="str">
        <f>IF(L322="","",IF(V322&gt;0,INDEX('06-حزيران'!$P$2:$P$499,V322),IF($AO$1=1,0,"")))</f>
        <v/>
      </c>
      <c r="Y322" s="38" t="str">
        <f t="shared" si="112"/>
        <v/>
      </c>
      <c r="Z322" s="39" t="str">
        <f>IF(L322="","",IF(V322&gt;0,INDEX('06-حزيران'!$Q$2:$Q$499,V322),IF($AO$1=1,0,"")))</f>
        <v/>
      </c>
      <c r="AA322" s="39" t="str">
        <f t="shared" si="113"/>
        <v/>
      </c>
      <c r="AB322" s="40" t="str">
        <f>IF(OR(L322="",V322=0),"",IF(AND(N(I322)&gt;0,N(INDEX('06-حزيران'!$I$2:$I$499,V322))&gt;0,INDEX('06-حزيران'!$F$2:$F$499,V322)=F322),N(I322)/N(INDEX('06-حزيران'!$I$2:$I$499,V322))-1,""))</f>
        <v/>
      </c>
      <c r="AC322" t="str">
        <f>IF(L322="","",IF(AND($AO$2=1,ISNA(MATCH(L322,'08-آب'!$L$2:$L$501,0))),"محذوف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si="114"/>
        <v/>
      </c>
      <c r="AH322" s="39" t="str">
        <f t="shared" si="115"/>
        <v/>
      </c>
      <c r="AI322" s="39" t="str">
        <f t="shared" si="116"/>
        <v/>
      </c>
      <c r="AJ322" s="39" t="str">
        <f t="shared" si="117"/>
        <v/>
      </c>
      <c r="AK322" t="str">
        <f t="shared" si="118"/>
        <v/>
      </c>
      <c r="AL322" t="str">
        <f t="shared" si="119"/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IF(L323="","",IF($AO$1=1,IFERROR(MATCH(L323,'06-حزيران'!$L$2:$L$499,0),0),0))</f>
        <v/>
      </c>
      <c r="W323" t="str">
        <f t="shared" si="111"/>
        <v/>
      </c>
      <c r="X323" s="38" t="str">
        <f>IF(L323="","",IF(V323&gt;0,INDEX('06-حزيران'!$P$2:$P$499,V323),IF($AO$1=1,0,"")))</f>
        <v/>
      </c>
      <c r="Y323" s="38" t="str">
        <f t="shared" si="112"/>
        <v/>
      </c>
      <c r="Z323" s="39" t="str">
        <f>IF(L323="","",IF(V323&gt;0,INDEX('06-حزيران'!$Q$2:$Q$499,V323),IF($AO$1=1,0,"")))</f>
        <v/>
      </c>
      <c r="AA323" s="39" t="str">
        <f t="shared" si="113"/>
        <v/>
      </c>
      <c r="AB323" s="40" t="str">
        <f>IF(OR(L323="",V323=0),"",IF(AND(N(I323)&gt;0,N(INDEX('06-حزيران'!$I$2:$I$499,V323))&gt;0,INDEX('06-حزيران'!$F$2:$F$499,V323)=F323),N(I323)/N(INDEX('06-حزيران'!$I$2:$I$499,V323))-1,""))</f>
        <v/>
      </c>
      <c r="AC323" t="str">
        <f>IF(L323="","",IF(AND($AO$2=1,ISNA(MATCH(L323,'08-آب'!$L$2:$L$501,0))),"محذوف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IF(L324="","",IF($AO$1=1,IFERROR(MATCH(L324,'06-حزيران'!$L$2:$L$499,0),0),0))</f>
        <v/>
      </c>
      <c r="W324" t="str">
        <f t="shared" si="111"/>
        <v/>
      </c>
      <c r="X324" s="38" t="str">
        <f>IF(L324="","",IF(V324&gt;0,INDEX('06-حزيران'!$P$2:$P$499,V324),IF($AO$1=1,0,"")))</f>
        <v/>
      </c>
      <c r="Y324" s="38" t="str">
        <f t="shared" si="112"/>
        <v/>
      </c>
      <c r="Z324" s="39" t="str">
        <f>IF(L324="","",IF(V324&gt;0,INDEX('06-حزيران'!$Q$2:$Q$499,V324),IF($AO$1=1,0,"")))</f>
        <v/>
      </c>
      <c r="AA324" s="39" t="str">
        <f t="shared" si="113"/>
        <v/>
      </c>
      <c r="AB324" s="40" t="str">
        <f>IF(OR(L324="",V324=0),"",IF(AND(N(I324)&gt;0,N(INDEX('06-حزيران'!$I$2:$I$499,V324))&gt;0,INDEX('06-حزيران'!$F$2:$F$499,V324)=F324),N(I324)/N(INDEX('06-حزيران'!$I$2:$I$499,V324))-1,""))</f>
        <v/>
      </c>
      <c r="AC324" t="str">
        <f>IF(L324="","",IF(AND($AO$2=1,ISNA(MATCH(L324,'08-آب'!$L$2:$L$501,0))),"محذوف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IF(L325="","",IF($AO$1=1,IFERROR(MATCH(L325,'06-حزيران'!$L$2:$L$499,0),0),0))</f>
        <v/>
      </c>
      <c r="W325" t="str">
        <f t="shared" si="111"/>
        <v/>
      </c>
      <c r="X325" s="38" t="str">
        <f>IF(L325="","",IF(V325&gt;0,INDEX('06-حزيران'!$P$2:$P$499,V325),IF($AO$1=1,0,"")))</f>
        <v/>
      </c>
      <c r="Y325" s="38" t="str">
        <f t="shared" si="112"/>
        <v/>
      </c>
      <c r="Z325" s="39" t="str">
        <f>IF(L325="","",IF(V325&gt;0,INDEX('06-حزيران'!$Q$2:$Q$499,V325),IF($AO$1=1,0,"")))</f>
        <v/>
      </c>
      <c r="AA325" s="39" t="str">
        <f t="shared" si="113"/>
        <v/>
      </c>
      <c r="AB325" s="40" t="str">
        <f>IF(OR(L325="",V325=0),"",IF(AND(N(I325)&gt;0,N(INDEX('06-حزيران'!$I$2:$I$499,V325))&gt;0,INDEX('06-حزيران'!$F$2:$F$499,V325)=F325),N(I325)/N(INDEX('06-حزيران'!$I$2:$I$499,V325))-1,""))</f>
        <v/>
      </c>
      <c r="AC325" t="str">
        <f>IF(L325="","",IF(AND($AO$2=1,ISNA(MATCH(L325,'08-آب'!$L$2:$L$501,0))),"محذوف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IF(L326="","",IF($AO$1=1,IFERROR(MATCH(L326,'06-حزيران'!$L$2:$L$499,0),0),0))</f>
        <v/>
      </c>
      <c r="W326" t="str">
        <f t="shared" si="111"/>
        <v/>
      </c>
      <c r="X326" s="38" t="str">
        <f>IF(L326="","",IF(V326&gt;0,INDEX('06-حزيران'!$P$2:$P$499,V326),IF($AO$1=1,0,"")))</f>
        <v/>
      </c>
      <c r="Y326" s="38" t="str">
        <f t="shared" si="112"/>
        <v/>
      </c>
      <c r="Z326" s="39" t="str">
        <f>IF(L326="","",IF(V326&gt;0,INDEX('06-حزيران'!$Q$2:$Q$499,V326),IF($AO$1=1,0,"")))</f>
        <v/>
      </c>
      <c r="AA326" s="39" t="str">
        <f t="shared" si="113"/>
        <v/>
      </c>
      <c r="AB326" s="40" t="str">
        <f>IF(OR(L326="",V326=0),"",IF(AND(N(I326)&gt;0,N(INDEX('06-حزيران'!$I$2:$I$499,V326))&gt;0,INDEX('06-حزيران'!$F$2:$F$499,V326)=F326),N(I326)/N(INDEX('06-حزيران'!$I$2:$I$499,V326))-1,""))</f>
        <v/>
      </c>
      <c r="AC326" t="str">
        <f>IF(L326="","",IF(AND($AO$2=1,ISNA(MATCH(L326,'08-آب'!$L$2:$L$501,0))),"محذوف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IF(L327="","",IF($AO$1=1,IFERROR(MATCH(L327,'06-حزيران'!$L$2:$L$499,0),0),0))</f>
        <v/>
      </c>
      <c r="W327" t="str">
        <f t="shared" si="111"/>
        <v/>
      </c>
      <c r="X327" s="38" t="str">
        <f>IF(L327="","",IF(V327&gt;0,INDEX('06-حزيران'!$P$2:$P$499,V327),IF($AO$1=1,0,"")))</f>
        <v/>
      </c>
      <c r="Y327" s="38" t="str">
        <f t="shared" si="112"/>
        <v/>
      </c>
      <c r="Z327" s="39" t="str">
        <f>IF(L327="","",IF(V327&gt;0,INDEX('06-حزيران'!$Q$2:$Q$499,V327),IF($AO$1=1,0,"")))</f>
        <v/>
      </c>
      <c r="AA327" s="39" t="str">
        <f t="shared" si="113"/>
        <v/>
      </c>
      <c r="AB327" s="40" t="str">
        <f>IF(OR(L327="",V327=0),"",IF(AND(N(I327)&gt;0,N(INDEX('06-حزيران'!$I$2:$I$499,V327))&gt;0,INDEX('06-حزيران'!$F$2:$F$499,V327)=F327),N(I327)/N(INDEX('06-حزيران'!$I$2:$I$499,V327))-1,""))</f>
        <v/>
      </c>
      <c r="AC327" t="str">
        <f>IF(L327="","",IF(AND($AO$2=1,ISNA(MATCH(L327,'08-آب'!$L$2:$L$501,0))),"محذوف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IF(L328="","",IF($AO$1=1,IFERROR(MATCH(L328,'06-حزيران'!$L$2:$L$499,0),0),0))</f>
        <v/>
      </c>
      <c r="W328" t="str">
        <f t="shared" si="111"/>
        <v/>
      </c>
      <c r="X328" s="38" t="str">
        <f>IF(L328="","",IF(V328&gt;0,INDEX('06-حزيران'!$P$2:$P$499,V328),IF($AO$1=1,0,"")))</f>
        <v/>
      </c>
      <c r="Y328" s="38" t="str">
        <f t="shared" si="112"/>
        <v/>
      </c>
      <c r="Z328" s="39" t="str">
        <f>IF(L328="","",IF(V328&gt;0,INDEX('06-حزيران'!$Q$2:$Q$499,V328),IF($AO$1=1,0,"")))</f>
        <v/>
      </c>
      <c r="AA328" s="39" t="str">
        <f t="shared" si="113"/>
        <v/>
      </c>
      <c r="AB328" s="40" t="str">
        <f>IF(OR(L328="",V328=0),"",IF(AND(N(I328)&gt;0,N(INDEX('06-حزيران'!$I$2:$I$499,V328))&gt;0,INDEX('06-حزيران'!$F$2:$F$499,V328)=F328),N(I328)/N(INDEX('06-حزيران'!$I$2:$I$499,V328))-1,""))</f>
        <v/>
      </c>
      <c r="AC328" t="str">
        <f>IF(L328="","",IF(AND($AO$2=1,ISNA(MATCH(L328,'08-آب'!$L$2:$L$501,0))),"محذوف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IF(L329="","",IF($AO$1=1,IFERROR(MATCH(L329,'06-حزيران'!$L$2:$L$499,0),0),0))</f>
        <v/>
      </c>
      <c r="W329" t="str">
        <f t="shared" si="111"/>
        <v/>
      </c>
      <c r="X329" s="38" t="str">
        <f>IF(L329="","",IF(V329&gt;0,INDEX('06-حزيران'!$P$2:$P$499,V329),IF($AO$1=1,0,"")))</f>
        <v/>
      </c>
      <c r="Y329" s="38" t="str">
        <f t="shared" si="112"/>
        <v/>
      </c>
      <c r="Z329" s="39" t="str">
        <f>IF(L329="","",IF(V329&gt;0,INDEX('06-حزيران'!$Q$2:$Q$499,V329),IF($AO$1=1,0,"")))</f>
        <v/>
      </c>
      <c r="AA329" s="39" t="str">
        <f t="shared" si="113"/>
        <v/>
      </c>
      <c r="AB329" s="40" t="str">
        <f>IF(OR(L329="",V329=0),"",IF(AND(N(I329)&gt;0,N(INDEX('06-حزيران'!$I$2:$I$499,V329))&gt;0,INDEX('06-حزيران'!$F$2:$F$499,V329)=F329),N(I329)/N(INDEX('06-حزيران'!$I$2:$I$499,V329))-1,""))</f>
        <v/>
      </c>
      <c r="AC329" t="str">
        <f>IF(L329="","",IF(AND($AO$2=1,ISNA(MATCH(L329,'08-آب'!$L$2:$L$501,0))),"محذوف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IF(L330="","",IF($AO$1=1,IFERROR(MATCH(L330,'06-حزيران'!$L$2:$L$499,0),0),0))</f>
        <v/>
      </c>
      <c r="W330" t="str">
        <f t="shared" si="111"/>
        <v/>
      </c>
      <c r="X330" s="38" t="str">
        <f>IF(L330="","",IF(V330&gt;0,INDEX('06-حزيران'!$P$2:$P$499,V330),IF($AO$1=1,0,"")))</f>
        <v/>
      </c>
      <c r="Y330" s="38" t="str">
        <f t="shared" si="112"/>
        <v/>
      </c>
      <c r="Z330" s="39" t="str">
        <f>IF(L330="","",IF(V330&gt;0,INDEX('06-حزيران'!$Q$2:$Q$499,V330),IF($AO$1=1,0,"")))</f>
        <v/>
      </c>
      <c r="AA330" s="39" t="str">
        <f t="shared" si="113"/>
        <v/>
      </c>
      <c r="AB330" s="40" t="str">
        <f>IF(OR(L330="",V330=0),"",IF(AND(N(I330)&gt;0,N(INDEX('06-حزيران'!$I$2:$I$499,V330))&gt;0,INDEX('06-حزيران'!$F$2:$F$499,V330)=F330),N(I330)/N(INDEX('06-حزيران'!$I$2:$I$499,V330))-1,""))</f>
        <v/>
      </c>
      <c r="AC330" t="str">
        <f>IF(L330="","",IF(AND($AO$2=1,ISNA(MATCH(L330,'08-آب'!$L$2:$L$501,0))),"محذوف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IF(L331="","",IF($AO$1=1,IFERROR(MATCH(L331,'06-حزيران'!$L$2:$L$499,0),0),0))</f>
        <v/>
      </c>
      <c r="W331" t="str">
        <f t="shared" si="111"/>
        <v/>
      </c>
      <c r="X331" s="38" t="str">
        <f>IF(L331="","",IF(V331&gt;0,INDEX('06-حزيران'!$P$2:$P$499,V331),IF($AO$1=1,0,"")))</f>
        <v/>
      </c>
      <c r="Y331" s="38" t="str">
        <f t="shared" si="112"/>
        <v/>
      </c>
      <c r="Z331" s="39" t="str">
        <f>IF(L331="","",IF(V331&gt;0,INDEX('06-حزيران'!$Q$2:$Q$499,V331),IF($AO$1=1,0,"")))</f>
        <v/>
      </c>
      <c r="AA331" s="39" t="str">
        <f t="shared" si="113"/>
        <v/>
      </c>
      <c r="AB331" s="40" t="str">
        <f>IF(OR(L331="",V331=0),"",IF(AND(N(I331)&gt;0,N(INDEX('06-حزيران'!$I$2:$I$499,V331))&gt;0,INDEX('06-حزيران'!$F$2:$F$499,V331)=F331),N(I331)/N(INDEX('06-حزيران'!$I$2:$I$499,V331))-1,""))</f>
        <v/>
      </c>
      <c r="AC331" t="str">
        <f>IF(L331="","",IF(AND($AO$2=1,ISNA(MATCH(L331,'08-آب'!$L$2:$L$501,0))),"محذوف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IF(L332="","",IF($AO$1=1,IFERROR(MATCH(L332,'06-حزيران'!$L$2:$L$499,0),0),0))</f>
        <v/>
      </c>
      <c r="W332" t="str">
        <f t="shared" si="111"/>
        <v/>
      </c>
      <c r="X332" s="38" t="str">
        <f>IF(L332="","",IF(V332&gt;0,INDEX('06-حزيران'!$P$2:$P$499,V332),IF($AO$1=1,0,"")))</f>
        <v/>
      </c>
      <c r="Y332" s="38" t="str">
        <f t="shared" si="112"/>
        <v/>
      </c>
      <c r="Z332" s="39" t="str">
        <f>IF(L332="","",IF(V332&gt;0,INDEX('06-حزيران'!$Q$2:$Q$499,V332),IF($AO$1=1,0,"")))</f>
        <v/>
      </c>
      <c r="AA332" s="39" t="str">
        <f t="shared" si="113"/>
        <v/>
      </c>
      <c r="AB332" s="40" t="str">
        <f>IF(OR(L332="",V332=0),"",IF(AND(N(I332)&gt;0,N(INDEX('06-حزيران'!$I$2:$I$499,V332))&gt;0,INDEX('06-حزيران'!$F$2:$F$499,V332)=F332),N(I332)/N(INDEX('06-حزيران'!$I$2:$I$499,V332))-1,""))</f>
        <v/>
      </c>
      <c r="AC332" t="str">
        <f>IF(L332="","",IF(AND($AO$2=1,ISNA(MATCH(L332,'08-آب'!$L$2:$L$501,0))),"محذوف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IF(L333="","",IF($AO$1=1,IFERROR(MATCH(L333,'06-حزيران'!$L$2:$L$499,0),0),0))</f>
        <v/>
      </c>
      <c r="W333" t="str">
        <f t="shared" si="111"/>
        <v/>
      </c>
      <c r="X333" s="38" t="str">
        <f>IF(L333="","",IF(V333&gt;0,INDEX('06-حزيران'!$P$2:$P$499,V333),IF($AO$1=1,0,"")))</f>
        <v/>
      </c>
      <c r="Y333" s="38" t="str">
        <f t="shared" si="112"/>
        <v/>
      </c>
      <c r="Z333" s="39" t="str">
        <f>IF(L333="","",IF(V333&gt;0,INDEX('06-حزيران'!$Q$2:$Q$499,V333),IF($AO$1=1,0,"")))</f>
        <v/>
      </c>
      <c r="AA333" s="39" t="str">
        <f t="shared" si="113"/>
        <v/>
      </c>
      <c r="AB333" s="40" t="str">
        <f>IF(OR(L333="",V333=0),"",IF(AND(N(I333)&gt;0,N(INDEX('06-حزيران'!$I$2:$I$499,V333))&gt;0,INDEX('06-حزيران'!$F$2:$F$499,V333)=F333),N(I333)/N(INDEX('06-حزيران'!$I$2:$I$499,V333))-1,""))</f>
        <v/>
      </c>
      <c r="AC333" t="str">
        <f>IF(L333="","",IF(AND($AO$2=1,ISNA(MATCH(L333,'08-آب'!$L$2:$L$501,0))),"محذوف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IF(L334="","",IF($AO$1=1,IFERROR(MATCH(L334,'06-حزيران'!$L$2:$L$499,0),0),0))</f>
        <v/>
      </c>
      <c r="W334" t="str">
        <f t="shared" si="111"/>
        <v/>
      </c>
      <c r="X334" s="38" t="str">
        <f>IF(L334="","",IF(V334&gt;0,INDEX('06-حزيران'!$P$2:$P$499,V334),IF($AO$1=1,0,"")))</f>
        <v/>
      </c>
      <c r="Y334" s="38" t="str">
        <f t="shared" si="112"/>
        <v/>
      </c>
      <c r="Z334" s="39" t="str">
        <f>IF(L334="","",IF(V334&gt;0,INDEX('06-حزيران'!$Q$2:$Q$499,V334),IF($AO$1=1,0,"")))</f>
        <v/>
      </c>
      <c r="AA334" s="39" t="str">
        <f t="shared" si="113"/>
        <v/>
      </c>
      <c r="AB334" s="40" t="str">
        <f>IF(OR(L334="",V334=0),"",IF(AND(N(I334)&gt;0,N(INDEX('06-حزيران'!$I$2:$I$499,V334))&gt;0,INDEX('06-حزيران'!$F$2:$F$499,V334)=F334),N(I334)/N(INDEX('06-حزيران'!$I$2:$I$499,V334))-1,""))</f>
        <v/>
      </c>
      <c r="AC334" t="str">
        <f>IF(L334="","",IF(AND($AO$2=1,ISNA(MATCH(L334,'08-آب'!$L$2:$L$501,0))),"محذوف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IF(L335="","",IF($AO$1=1,IFERROR(MATCH(L335,'06-حزيران'!$L$2:$L$499,0),0),0))</f>
        <v/>
      </c>
      <c r="W335" t="str">
        <f t="shared" si="111"/>
        <v/>
      </c>
      <c r="X335" s="38" t="str">
        <f>IF(L335="","",IF(V335&gt;0,INDEX('06-حزيران'!$P$2:$P$499,V335),IF($AO$1=1,0,"")))</f>
        <v/>
      </c>
      <c r="Y335" s="38" t="str">
        <f t="shared" si="112"/>
        <v/>
      </c>
      <c r="Z335" s="39" t="str">
        <f>IF(L335="","",IF(V335&gt;0,INDEX('06-حزيران'!$Q$2:$Q$499,V335),IF($AO$1=1,0,"")))</f>
        <v/>
      </c>
      <c r="AA335" s="39" t="str">
        <f t="shared" si="113"/>
        <v/>
      </c>
      <c r="AB335" s="40" t="str">
        <f>IF(OR(L335="",V335=0),"",IF(AND(N(I335)&gt;0,N(INDEX('06-حزيران'!$I$2:$I$499,V335))&gt;0,INDEX('06-حزيران'!$F$2:$F$499,V335)=F335),N(I335)/N(INDEX('06-حزيران'!$I$2:$I$499,V335))-1,""))</f>
        <v/>
      </c>
      <c r="AC335" t="str">
        <f>IF(L335="","",IF(AND($AO$2=1,ISNA(MATCH(L335,'08-آب'!$L$2:$L$501,0))),"محذوف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IF(L336="","",IF($AO$1=1,IFERROR(MATCH(L336,'06-حزيران'!$L$2:$L$499,0),0),0))</f>
        <v/>
      </c>
      <c r="W336" t="str">
        <f t="shared" si="111"/>
        <v/>
      </c>
      <c r="X336" s="38" t="str">
        <f>IF(L336="","",IF(V336&gt;0,INDEX('06-حزيران'!$P$2:$P$499,V336),IF($AO$1=1,0,"")))</f>
        <v/>
      </c>
      <c r="Y336" s="38" t="str">
        <f t="shared" si="112"/>
        <v/>
      </c>
      <c r="Z336" s="39" t="str">
        <f>IF(L336="","",IF(V336&gt;0,INDEX('06-حزيران'!$Q$2:$Q$499,V336),IF($AO$1=1,0,"")))</f>
        <v/>
      </c>
      <c r="AA336" s="39" t="str">
        <f t="shared" si="113"/>
        <v/>
      </c>
      <c r="AB336" s="40" t="str">
        <f>IF(OR(L336="",V336=0),"",IF(AND(N(I336)&gt;0,N(INDEX('06-حزيران'!$I$2:$I$499,V336))&gt;0,INDEX('06-حزيران'!$F$2:$F$499,V336)=F336),N(I336)/N(INDEX('06-حزيران'!$I$2:$I$499,V336))-1,""))</f>
        <v/>
      </c>
      <c r="AC336" t="str">
        <f>IF(L336="","",IF(AND($AO$2=1,ISNA(MATCH(L336,'08-آب'!$L$2:$L$501,0))),"محذوف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IF(L337="","",IF($AO$1=1,IFERROR(MATCH(L337,'06-حزيران'!$L$2:$L$499,0),0),0))</f>
        <v/>
      </c>
      <c r="W337" t="str">
        <f t="shared" si="111"/>
        <v/>
      </c>
      <c r="X337" s="38" t="str">
        <f>IF(L337="","",IF(V337&gt;0,INDEX('06-حزيران'!$P$2:$P$499,V337),IF($AO$1=1,0,"")))</f>
        <v/>
      </c>
      <c r="Y337" s="38" t="str">
        <f t="shared" si="112"/>
        <v/>
      </c>
      <c r="Z337" s="39" t="str">
        <f>IF(L337="","",IF(V337&gt;0,INDEX('06-حزيران'!$Q$2:$Q$499,V337),IF($AO$1=1,0,"")))</f>
        <v/>
      </c>
      <c r="AA337" s="39" t="str">
        <f t="shared" si="113"/>
        <v/>
      </c>
      <c r="AB337" s="40" t="str">
        <f>IF(OR(L337="",V337=0),"",IF(AND(N(I337)&gt;0,N(INDEX('06-حزيران'!$I$2:$I$499,V337))&gt;0,INDEX('06-حزيران'!$F$2:$F$499,V337)=F337),N(I337)/N(INDEX('06-حزيران'!$I$2:$I$499,V337))-1,""))</f>
        <v/>
      </c>
      <c r="AC337" t="str">
        <f>IF(L337="","",IF(AND($AO$2=1,ISNA(MATCH(L337,'08-آب'!$L$2:$L$501,0))),"محذوف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IF(L338="","",IF($AO$1=1,IFERROR(MATCH(L338,'06-حزيران'!$L$2:$L$499,0),0),0))</f>
        <v/>
      </c>
      <c r="W338" t="str">
        <f t="shared" si="111"/>
        <v/>
      </c>
      <c r="X338" s="38" t="str">
        <f>IF(L338="","",IF(V338&gt;0,INDEX('06-حزيران'!$P$2:$P$499,V338),IF($AO$1=1,0,"")))</f>
        <v/>
      </c>
      <c r="Y338" s="38" t="str">
        <f t="shared" si="112"/>
        <v/>
      </c>
      <c r="Z338" s="39" t="str">
        <f>IF(L338="","",IF(V338&gt;0,INDEX('06-حزيران'!$Q$2:$Q$499,V338),IF($AO$1=1,0,"")))</f>
        <v/>
      </c>
      <c r="AA338" s="39" t="str">
        <f t="shared" si="113"/>
        <v/>
      </c>
      <c r="AB338" s="40" t="str">
        <f>IF(OR(L338="",V338=0),"",IF(AND(N(I338)&gt;0,N(INDEX('06-حزيران'!$I$2:$I$499,V338))&gt;0,INDEX('06-حزيران'!$F$2:$F$499,V338)=F338),N(I338)/N(INDEX('06-حزيران'!$I$2:$I$499,V338))-1,""))</f>
        <v/>
      </c>
      <c r="AC338" t="str">
        <f>IF(L338="","",IF(AND($AO$2=1,ISNA(MATCH(L338,'08-آب'!$L$2:$L$501,0))),"محذوف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IF(L339="","",IF($AO$1=1,IFERROR(MATCH(L339,'06-حزيران'!$L$2:$L$499,0),0),0))</f>
        <v/>
      </c>
      <c r="W339" t="str">
        <f t="shared" si="111"/>
        <v/>
      </c>
      <c r="X339" s="38" t="str">
        <f>IF(L339="","",IF(V339&gt;0,INDEX('06-حزيران'!$P$2:$P$499,V339),IF($AO$1=1,0,"")))</f>
        <v/>
      </c>
      <c r="Y339" s="38" t="str">
        <f t="shared" si="112"/>
        <v/>
      </c>
      <c r="Z339" s="39" t="str">
        <f>IF(L339="","",IF(V339&gt;0,INDEX('06-حزيران'!$Q$2:$Q$499,V339),IF($AO$1=1,0,"")))</f>
        <v/>
      </c>
      <c r="AA339" s="39" t="str">
        <f t="shared" si="113"/>
        <v/>
      </c>
      <c r="AB339" s="40" t="str">
        <f>IF(OR(L339="",V339=0),"",IF(AND(N(I339)&gt;0,N(INDEX('06-حزيران'!$I$2:$I$499,V339))&gt;0,INDEX('06-حزيران'!$F$2:$F$499,V339)=F339),N(I339)/N(INDEX('06-حزيران'!$I$2:$I$499,V339))-1,""))</f>
        <v/>
      </c>
      <c r="AC339" t="str">
        <f>IF(L339="","",IF(AND($AO$2=1,ISNA(MATCH(L339,'08-آب'!$L$2:$L$501,0))),"محذوف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IF(L340="","",IF($AO$1=1,IFERROR(MATCH(L340,'06-حزيران'!$L$2:$L$499,0),0),0))</f>
        <v/>
      </c>
      <c r="W340" t="str">
        <f t="shared" si="111"/>
        <v/>
      </c>
      <c r="X340" s="38" t="str">
        <f>IF(L340="","",IF(V340&gt;0,INDEX('06-حزيران'!$P$2:$P$499,V340),IF($AO$1=1,0,"")))</f>
        <v/>
      </c>
      <c r="Y340" s="38" t="str">
        <f t="shared" si="112"/>
        <v/>
      </c>
      <c r="Z340" s="39" t="str">
        <f>IF(L340="","",IF(V340&gt;0,INDEX('06-حزيران'!$Q$2:$Q$499,V340),IF($AO$1=1,0,"")))</f>
        <v/>
      </c>
      <c r="AA340" s="39" t="str">
        <f t="shared" si="113"/>
        <v/>
      </c>
      <c r="AB340" s="40" t="str">
        <f>IF(OR(L340="",V340=0),"",IF(AND(N(I340)&gt;0,N(INDEX('06-حزيران'!$I$2:$I$499,V340))&gt;0,INDEX('06-حزيران'!$F$2:$F$499,V340)=F340),N(I340)/N(INDEX('06-حزيران'!$I$2:$I$499,V340))-1,""))</f>
        <v/>
      </c>
      <c r="AC340" t="str">
        <f>IF(L340="","",IF(AND($AO$2=1,ISNA(MATCH(L340,'08-آب'!$L$2:$L$501,0))),"محذوف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IF(L341="","",IF($AO$1=1,IFERROR(MATCH(L341,'06-حزيران'!$L$2:$L$499,0),0),0))</f>
        <v/>
      </c>
      <c r="W341" t="str">
        <f t="shared" si="111"/>
        <v/>
      </c>
      <c r="X341" s="38" t="str">
        <f>IF(L341="","",IF(V341&gt;0,INDEX('06-حزيران'!$P$2:$P$499,V341),IF($AO$1=1,0,"")))</f>
        <v/>
      </c>
      <c r="Y341" s="38" t="str">
        <f t="shared" si="112"/>
        <v/>
      </c>
      <c r="Z341" s="39" t="str">
        <f>IF(L341="","",IF(V341&gt;0,INDEX('06-حزيران'!$Q$2:$Q$499,V341),IF($AO$1=1,0,"")))</f>
        <v/>
      </c>
      <c r="AA341" s="39" t="str">
        <f t="shared" si="113"/>
        <v/>
      </c>
      <c r="AB341" s="40" t="str">
        <f>IF(OR(L341="",V341=0),"",IF(AND(N(I341)&gt;0,N(INDEX('06-حزيران'!$I$2:$I$499,V341))&gt;0,INDEX('06-حزيران'!$F$2:$F$499,V341)=F341),N(I341)/N(INDEX('06-حزيران'!$I$2:$I$499,V341))-1,""))</f>
        <v/>
      </c>
      <c r="AC341" t="str">
        <f>IF(L341="","",IF(AND($AO$2=1,ISNA(MATCH(L341,'08-آب'!$L$2:$L$501,0))),"محذوف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IF(L342="","",IF($AO$1=1,IFERROR(MATCH(L342,'06-حزيران'!$L$2:$L$499,0),0),0))</f>
        <v/>
      </c>
      <c r="W342" t="str">
        <f t="shared" si="111"/>
        <v/>
      </c>
      <c r="X342" s="38" t="str">
        <f>IF(L342="","",IF(V342&gt;0,INDEX('06-حزيران'!$P$2:$P$499,V342),IF($AO$1=1,0,"")))</f>
        <v/>
      </c>
      <c r="Y342" s="38" t="str">
        <f t="shared" si="112"/>
        <v/>
      </c>
      <c r="Z342" s="39" t="str">
        <f>IF(L342="","",IF(V342&gt;0,INDEX('06-حزيران'!$Q$2:$Q$499,V342),IF($AO$1=1,0,"")))</f>
        <v/>
      </c>
      <c r="AA342" s="39" t="str">
        <f t="shared" si="113"/>
        <v/>
      </c>
      <c r="AB342" s="40" t="str">
        <f>IF(OR(L342="",V342=0),"",IF(AND(N(I342)&gt;0,N(INDEX('06-حزيران'!$I$2:$I$499,V342))&gt;0,INDEX('06-حزيران'!$F$2:$F$499,V342)=F342),N(I342)/N(INDEX('06-حزيران'!$I$2:$I$499,V342))-1,""))</f>
        <v/>
      </c>
      <c r="AC342" t="str">
        <f>IF(L342="","",IF(AND($AO$2=1,ISNA(MATCH(L342,'08-آب'!$L$2:$L$501,0))),"محذوف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IF(L343="","",IF($AO$1=1,IFERROR(MATCH(L343,'06-حزيران'!$L$2:$L$499,0),0),0))</f>
        <v/>
      </c>
      <c r="W343" t="str">
        <f t="shared" si="111"/>
        <v/>
      </c>
      <c r="X343" s="38" t="str">
        <f>IF(L343="","",IF(V343&gt;0,INDEX('06-حزيران'!$P$2:$P$499,V343),IF($AO$1=1,0,"")))</f>
        <v/>
      </c>
      <c r="Y343" s="38" t="str">
        <f t="shared" si="112"/>
        <v/>
      </c>
      <c r="Z343" s="39" t="str">
        <f>IF(L343="","",IF(V343&gt;0,INDEX('06-حزيران'!$Q$2:$Q$499,V343),IF($AO$1=1,0,"")))</f>
        <v/>
      </c>
      <c r="AA343" s="39" t="str">
        <f t="shared" si="113"/>
        <v/>
      </c>
      <c r="AB343" s="40" t="str">
        <f>IF(OR(L343="",V343=0),"",IF(AND(N(I343)&gt;0,N(INDEX('06-حزيران'!$I$2:$I$499,V343))&gt;0,INDEX('06-حزيران'!$F$2:$F$499,V343)=F343),N(I343)/N(INDEX('06-حزيران'!$I$2:$I$499,V343))-1,""))</f>
        <v/>
      </c>
      <c r="AC343" t="str">
        <f>IF(L343="","",IF(AND($AO$2=1,ISNA(MATCH(L343,'08-آب'!$L$2:$L$501,0))),"محذوف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IF(L344="","",IF($AO$1=1,IFERROR(MATCH(L344,'06-حزيران'!$L$2:$L$499,0),0),0))</f>
        <v/>
      </c>
      <c r="W344" t="str">
        <f t="shared" si="111"/>
        <v/>
      </c>
      <c r="X344" s="38" t="str">
        <f>IF(L344="","",IF(V344&gt;0,INDEX('06-حزيران'!$P$2:$P$499,V344),IF($AO$1=1,0,"")))</f>
        <v/>
      </c>
      <c r="Y344" s="38" t="str">
        <f t="shared" si="112"/>
        <v/>
      </c>
      <c r="Z344" s="39" t="str">
        <f>IF(L344="","",IF(V344&gt;0,INDEX('06-حزيران'!$Q$2:$Q$499,V344),IF($AO$1=1,0,"")))</f>
        <v/>
      </c>
      <c r="AA344" s="39" t="str">
        <f t="shared" si="113"/>
        <v/>
      </c>
      <c r="AB344" s="40" t="str">
        <f>IF(OR(L344="",V344=0),"",IF(AND(N(I344)&gt;0,N(INDEX('06-حزيران'!$I$2:$I$499,V344))&gt;0,INDEX('06-حزيران'!$F$2:$F$499,V344)=F344),N(I344)/N(INDEX('06-حزيران'!$I$2:$I$499,V344))-1,""))</f>
        <v/>
      </c>
      <c r="AC344" t="str">
        <f>IF(L344="","",IF(AND($AO$2=1,ISNA(MATCH(L344,'08-آب'!$L$2:$L$501,0))),"محذوف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IF(L345="","",IF($AO$1=1,IFERROR(MATCH(L345,'06-حزيران'!$L$2:$L$499,0),0),0))</f>
        <v/>
      </c>
      <c r="W345" t="str">
        <f t="shared" si="111"/>
        <v/>
      </c>
      <c r="X345" s="38" t="str">
        <f>IF(L345="","",IF(V345&gt;0,INDEX('06-حزيران'!$P$2:$P$499,V345),IF($AO$1=1,0,"")))</f>
        <v/>
      </c>
      <c r="Y345" s="38" t="str">
        <f t="shared" si="112"/>
        <v/>
      </c>
      <c r="Z345" s="39" t="str">
        <f>IF(L345="","",IF(V345&gt;0,INDEX('06-حزيران'!$Q$2:$Q$499,V345),IF($AO$1=1,0,"")))</f>
        <v/>
      </c>
      <c r="AA345" s="39" t="str">
        <f t="shared" si="113"/>
        <v/>
      </c>
      <c r="AB345" s="40" t="str">
        <f>IF(OR(L345="",V345=0),"",IF(AND(N(I345)&gt;0,N(INDEX('06-حزيران'!$I$2:$I$499,V345))&gt;0,INDEX('06-حزيران'!$F$2:$F$499,V345)=F345),N(I345)/N(INDEX('06-حزيران'!$I$2:$I$499,V345))-1,""))</f>
        <v/>
      </c>
      <c r="AC345" t="str">
        <f>IF(L345="","",IF(AND($AO$2=1,ISNA(MATCH(L345,'08-آب'!$L$2:$L$501,0))),"محذوف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IF(L346="","",IF($AO$1=1,IFERROR(MATCH(L346,'06-حزيران'!$L$2:$L$499,0),0),0))</f>
        <v/>
      </c>
      <c r="W346" t="str">
        <f t="shared" si="111"/>
        <v/>
      </c>
      <c r="X346" s="38" t="str">
        <f>IF(L346="","",IF(V346&gt;0,INDEX('06-حزيران'!$P$2:$P$499,V346),IF($AO$1=1,0,"")))</f>
        <v/>
      </c>
      <c r="Y346" s="38" t="str">
        <f t="shared" si="112"/>
        <v/>
      </c>
      <c r="Z346" s="39" t="str">
        <f>IF(L346="","",IF(V346&gt;0,INDEX('06-حزيران'!$Q$2:$Q$499,V346),IF($AO$1=1,0,"")))</f>
        <v/>
      </c>
      <c r="AA346" s="39" t="str">
        <f t="shared" si="113"/>
        <v/>
      </c>
      <c r="AB346" s="40" t="str">
        <f>IF(OR(L346="",V346=0),"",IF(AND(N(I346)&gt;0,N(INDEX('06-حزيران'!$I$2:$I$499,V346))&gt;0,INDEX('06-حزيران'!$F$2:$F$499,V346)=F346),N(I346)/N(INDEX('06-حزيران'!$I$2:$I$499,V346))-1,""))</f>
        <v/>
      </c>
      <c r="AC346" t="str">
        <f>IF(L346="","",IF(AND($AO$2=1,ISNA(MATCH(L346,'08-آب'!$L$2:$L$501,0))),"محذوف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IF(L347="","",IF($AO$1=1,IFERROR(MATCH(L347,'06-حزيران'!$L$2:$L$499,0),0),0))</f>
        <v/>
      </c>
      <c r="W347" t="str">
        <f t="shared" si="111"/>
        <v/>
      </c>
      <c r="X347" s="38" t="str">
        <f>IF(L347="","",IF(V347&gt;0,INDEX('06-حزيران'!$P$2:$P$499,V347),IF($AO$1=1,0,"")))</f>
        <v/>
      </c>
      <c r="Y347" s="38" t="str">
        <f t="shared" si="112"/>
        <v/>
      </c>
      <c r="Z347" s="39" t="str">
        <f>IF(L347="","",IF(V347&gt;0,INDEX('06-حزيران'!$Q$2:$Q$499,V347),IF($AO$1=1,0,"")))</f>
        <v/>
      </c>
      <c r="AA347" s="39" t="str">
        <f t="shared" si="113"/>
        <v/>
      </c>
      <c r="AB347" s="40" t="str">
        <f>IF(OR(L347="",V347=0),"",IF(AND(N(I347)&gt;0,N(INDEX('06-حزيران'!$I$2:$I$499,V347))&gt;0,INDEX('06-حزيران'!$F$2:$F$499,V347)=F347),N(I347)/N(INDEX('06-حزيران'!$I$2:$I$499,V347))-1,""))</f>
        <v/>
      </c>
      <c r="AC347" t="str">
        <f>IF(L347="","",IF(AND($AO$2=1,ISNA(MATCH(L347,'08-آب'!$L$2:$L$501,0))),"محذوف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IF(L348="","",IF($AO$1=1,IFERROR(MATCH(L348,'06-حزيران'!$L$2:$L$499,0),0),0))</f>
        <v/>
      </c>
      <c r="W348" t="str">
        <f t="shared" si="111"/>
        <v/>
      </c>
      <c r="X348" s="38" t="str">
        <f>IF(L348="","",IF(V348&gt;0,INDEX('06-حزيران'!$P$2:$P$499,V348),IF($AO$1=1,0,"")))</f>
        <v/>
      </c>
      <c r="Y348" s="38" t="str">
        <f t="shared" si="112"/>
        <v/>
      </c>
      <c r="Z348" s="39" t="str">
        <f>IF(L348="","",IF(V348&gt;0,INDEX('06-حزيران'!$Q$2:$Q$499,V348),IF($AO$1=1,0,"")))</f>
        <v/>
      </c>
      <c r="AA348" s="39" t="str">
        <f t="shared" si="113"/>
        <v/>
      </c>
      <c r="AB348" s="40" t="str">
        <f>IF(OR(L348="",V348=0),"",IF(AND(N(I348)&gt;0,N(INDEX('06-حزيران'!$I$2:$I$499,V348))&gt;0,INDEX('06-حزيران'!$F$2:$F$499,V348)=F348),N(I348)/N(INDEX('06-حزيران'!$I$2:$I$499,V348))-1,""))</f>
        <v/>
      </c>
      <c r="AC348" t="str">
        <f>IF(L348="","",IF(AND($AO$2=1,ISNA(MATCH(L348,'08-آب'!$L$2:$L$501,0))),"محذوف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IF(L349="","",IF($AO$1=1,IFERROR(MATCH(L349,'06-حزيران'!$L$2:$L$499,0),0),0))</f>
        <v/>
      </c>
      <c r="W349" t="str">
        <f t="shared" si="111"/>
        <v/>
      </c>
      <c r="X349" s="38" t="str">
        <f>IF(L349="","",IF(V349&gt;0,INDEX('06-حزيران'!$P$2:$P$499,V349),IF($AO$1=1,0,"")))</f>
        <v/>
      </c>
      <c r="Y349" s="38" t="str">
        <f t="shared" si="112"/>
        <v/>
      </c>
      <c r="Z349" s="39" t="str">
        <f>IF(L349="","",IF(V349&gt;0,INDEX('06-حزيران'!$Q$2:$Q$499,V349),IF($AO$1=1,0,"")))</f>
        <v/>
      </c>
      <c r="AA349" s="39" t="str">
        <f t="shared" si="113"/>
        <v/>
      </c>
      <c r="AB349" s="40" t="str">
        <f>IF(OR(L349="",V349=0),"",IF(AND(N(I349)&gt;0,N(INDEX('06-حزيران'!$I$2:$I$499,V349))&gt;0,INDEX('06-حزيران'!$F$2:$F$499,V349)=F349),N(I349)/N(INDEX('06-حزيران'!$I$2:$I$499,V349))-1,""))</f>
        <v/>
      </c>
      <c r="AC349" t="str">
        <f>IF(L349="","",IF(AND($AO$2=1,ISNA(MATCH(L349,'08-آب'!$L$2:$L$501,0))),"محذوف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IF(L350="","",IF($AO$1=1,IFERROR(MATCH(L350,'06-حزيران'!$L$2:$L$499,0),0),0))</f>
        <v/>
      </c>
      <c r="W350" t="str">
        <f t="shared" si="111"/>
        <v/>
      </c>
      <c r="X350" s="38" t="str">
        <f>IF(L350="","",IF(V350&gt;0,INDEX('06-حزيران'!$P$2:$P$499,V350),IF($AO$1=1,0,"")))</f>
        <v/>
      </c>
      <c r="Y350" s="38" t="str">
        <f t="shared" si="112"/>
        <v/>
      </c>
      <c r="Z350" s="39" t="str">
        <f>IF(L350="","",IF(V350&gt;0,INDEX('06-حزيران'!$Q$2:$Q$499,V350),IF($AO$1=1,0,"")))</f>
        <v/>
      </c>
      <c r="AA350" s="39" t="str">
        <f t="shared" si="113"/>
        <v/>
      </c>
      <c r="AB350" s="40" t="str">
        <f>IF(OR(L350="",V350=0),"",IF(AND(N(I350)&gt;0,N(INDEX('06-حزيران'!$I$2:$I$499,V350))&gt;0,INDEX('06-حزيران'!$F$2:$F$499,V350)=F350),N(I350)/N(INDEX('06-حزيران'!$I$2:$I$499,V350))-1,""))</f>
        <v/>
      </c>
      <c r="AC350" t="str">
        <f>IF(L350="","",IF(AND($AO$2=1,ISNA(MATCH(L350,'08-آب'!$L$2:$L$501,0))),"محذوف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IF(L351="","",IF($AO$1=1,IFERROR(MATCH(L351,'06-حزيران'!$L$2:$L$499,0),0),0))</f>
        <v/>
      </c>
      <c r="W351" t="str">
        <f t="shared" si="111"/>
        <v/>
      </c>
      <c r="X351" s="38" t="str">
        <f>IF(L351="","",IF(V351&gt;0,INDEX('06-حزيران'!$P$2:$P$499,V351),IF($AO$1=1,0,"")))</f>
        <v/>
      </c>
      <c r="Y351" s="38" t="str">
        <f t="shared" si="112"/>
        <v/>
      </c>
      <c r="Z351" s="39" t="str">
        <f>IF(L351="","",IF(V351&gt;0,INDEX('06-حزيران'!$Q$2:$Q$499,V351),IF($AO$1=1,0,"")))</f>
        <v/>
      </c>
      <c r="AA351" s="39" t="str">
        <f t="shared" si="113"/>
        <v/>
      </c>
      <c r="AB351" s="40" t="str">
        <f>IF(OR(L351="",V351=0),"",IF(AND(N(I351)&gt;0,N(INDEX('06-حزيران'!$I$2:$I$499,V351))&gt;0,INDEX('06-حزيران'!$F$2:$F$499,V351)=F351),N(I351)/N(INDEX('06-حزيران'!$I$2:$I$499,V351))-1,""))</f>
        <v/>
      </c>
      <c r="AC351" t="str">
        <f>IF(L351="","",IF(AND($AO$2=1,ISNA(MATCH(L351,'08-آب'!$L$2:$L$501,0))),"محذوف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IF(L352="","",IF($AO$1=1,IFERROR(MATCH(L352,'06-حزيران'!$L$2:$L$499,0),0),0))</f>
        <v/>
      </c>
      <c r="W352" t="str">
        <f t="shared" si="111"/>
        <v/>
      </c>
      <c r="X352" s="38" t="str">
        <f>IF(L352="","",IF(V352&gt;0,INDEX('06-حزيران'!$P$2:$P$499,V352),IF($AO$1=1,0,"")))</f>
        <v/>
      </c>
      <c r="Y352" s="38" t="str">
        <f t="shared" si="112"/>
        <v/>
      </c>
      <c r="Z352" s="39" t="str">
        <f>IF(L352="","",IF(V352&gt;0,INDEX('06-حزيران'!$Q$2:$Q$499,V352),IF($AO$1=1,0,"")))</f>
        <v/>
      </c>
      <c r="AA352" s="39" t="str">
        <f t="shared" si="113"/>
        <v/>
      </c>
      <c r="AB352" s="40" t="str">
        <f>IF(OR(L352="",V352=0),"",IF(AND(N(I352)&gt;0,N(INDEX('06-حزيران'!$I$2:$I$499,V352))&gt;0,INDEX('06-حزيران'!$F$2:$F$499,V352)=F352),N(I352)/N(INDEX('06-حزيران'!$I$2:$I$499,V352))-1,""))</f>
        <v/>
      </c>
      <c r="AC352" t="str">
        <f>IF(L352="","",IF(AND($AO$2=1,ISNA(MATCH(L352,'08-آب'!$L$2:$L$501,0))),"محذوف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IF(L353="","",IF($AO$1=1,IFERROR(MATCH(L353,'06-حزيران'!$L$2:$L$499,0),0),0))</f>
        <v/>
      </c>
      <c r="W353" t="str">
        <f t="shared" si="111"/>
        <v/>
      </c>
      <c r="X353" s="38" t="str">
        <f>IF(L353="","",IF(V353&gt;0,INDEX('06-حزيران'!$P$2:$P$499,V353),IF($AO$1=1,0,"")))</f>
        <v/>
      </c>
      <c r="Y353" s="38" t="str">
        <f t="shared" si="112"/>
        <v/>
      </c>
      <c r="Z353" s="39" t="str">
        <f>IF(L353="","",IF(V353&gt;0,INDEX('06-حزيران'!$Q$2:$Q$499,V353),IF($AO$1=1,0,"")))</f>
        <v/>
      </c>
      <c r="AA353" s="39" t="str">
        <f t="shared" si="113"/>
        <v/>
      </c>
      <c r="AB353" s="40" t="str">
        <f>IF(OR(L353="",V353=0),"",IF(AND(N(I353)&gt;0,N(INDEX('06-حزيران'!$I$2:$I$499,V353))&gt;0,INDEX('06-حزيران'!$F$2:$F$499,V353)=F353),N(I353)/N(INDEX('06-حزيران'!$I$2:$I$499,V353))-1,""))</f>
        <v/>
      </c>
      <c r="AC353" t="str">
        <f>IF(L353="","",IF(AND($AO$2=1,ISNA(MATCH(L353,'08-آب'!$L$2:$L$501,0))),"محذوف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IF(L354="","",IF($AO$1=1,IFERROR(MATCH(L354,'06-حزيران'!$L$2:$L$499,0),0),0))</f>
        <v/>
      </c>
      <c r="W354" t="str">
        <f t="shared" si="111"/>
        <v/>
      </c>
      <c r="X354" s="38" t="str">
        <f>IF(L354="","",IF(V354&gt;0,INDEX('06-حزيران'!$P$2:$P$499,V354),IF($AO$1=1,0,"")))</f>
        <v/>
      </c>
      <c r="Y354" s="38" t="str">
        <f t="shared" si="112"/>
        <v/>
      </c>
      <c r="Z354" s="39" t="str">
        <f>IF(L354="","",IF(V354&gt;0,INDEX('06-حزيران'!$Q$2:$Q$499,V354),IF($AO$1=1,0,"")))</f>
        <v/>
      </c>
      <c r="AA354" s="39" t="str">
        <f t="shared" si="113"/>
        <v/>
      </c>
      <c r="AB354" s="40" t="str">
        <f>IF(OR(L354="",V354=0),"",IF(AND(N(I354)&gt;0,N(INDEX('06-حزيران'!$I$2:$I$499,V354))&gt;0,INDEX('06-حزيران'!$F$2:$F$499,V354)=F354),N(I354)/N(INDEX('06-حزيران'!$I$2:$I$499,V354))-1,""))</f>
        <v/>
      </c>
      <c r="AC354" t="str">
        <f>IF(L354="","",IF(AND($AO$2=1,ISNA(MATCH(L354,'08-آب'!$L$2:$L$501,0))),"محذوف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IF(L355="","",IF($AO$1=1,IFERROR(MATCH(L355,'06-حزيران'!$L$2:$L$499,0),0),0))</f>
        <v/>
      </c>
      <c r="W355" t="str">
        <f t="shared" si="111"/>
        <v/>
      </c>
      <c r="X355" s="38" t="str">
        <f>IF(L355="","",IF(V355&gt;0,INDEX('06-حزيران'!$P$2:$P$499,V355),IF($AO$1=1,0,"")))</f>
        <v/>
      </c>
      <c r="Y355" s="38" t="str">
        <f t="shared" si="112"/>
        <v/>
      </c>
      <c r="Z355" s="39" t="str">
        <f>IF(L355="","",IF(V355&gt;0,INDEX('06-حزيران'!$Q$2:$Q$499,V355),IF($AO$1=1,0,"")))</f>
        <v/>
      </c>
      <c r="AA355" s="39" t="str">
        <f t="shared" si="113"/>
        <v/>
      </c>
      <c r="AB355" s="40" t="str">
        <f>IF(OR(L355="",V355=0),"",IF(AND(N(I355)&gt;0,N(INDEX('06-حزيران'!$I$2:$I$499,V355))&gt;0,INDEX('06-حزيران'!$F$2:$F$499,V355)=F355),N(I355)/N(INDEX('06-حزيران'!$I$2:$I$499,V355))-1,""))</f>
        <v/>
      </c>
      <c r="AC355" t="str">
        <f>IF(L355="","",IF(AND($AO$2=1,ISNA(MATCH(L355,'08-آب'!$L$2:$L$501,0))),"محذوف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IF(L356="","",IF($AO$1=1,IFERROR(MATCH(L356,'06-حزيران'!$L$2:$L$499,0),0),0))</f>
        <v/>
      </c>
      <c r="W356" t="str">
        <f t="shared" si="111"/>
        <v/>
      </c>
      <c r="X356" s="38" t="str">
        <f>IF(L356="","",IF(V356&gt;0,INDEX('06-حزيران'!$P$2:$P$499,V356),IF($AO$1=1,0,"")))</f>
        <v/>
      </c>
      <c r="Y356" s="38" t="str">
        <f t="shared" si="112"/>
        <v/>
      </c>
      <c r="Z356" s="39" t="str">
        <f>IF(L356="","",IF(V356&gt;0,INDEX('06-حزيران'!$Q$2:$Q$499,V356),IF($AO$1=1,0,"")))</f>
        <v/>
      </c>
      <c r="AA356" s="39" t="str">
        <f t="shared" si="113"/>
        <v/>
      </c>
      <c r="AB356" s="40" t="str">
        <f>IF(OR(L356="",V356=0),"",IF(AND(N(I356)&gt;0,N(INDEX('06-حزيران'!$I$2:$I$499,V356))&gt;0,INDEX('06-حزيران'!$F$2:$F$499,V356)=F356),N(I356)/N(INDEX('06-حزيران'!$I$2:$I$499,V356))-1,""))</f>
        <v/>
      </c>
      <c r="AC356" t="str">
        <f>IF(L356="","",IF(AND($AO$2=1,ISNA(MATCH(L356,'08-آب'!$L$2:$L$501,0))),"محذوف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IF(L357="","",IF($AO$1=1,IFERROR(MATCH(L357,'06-حزيران'!$L$2:$L$499,0),0),0))</f>
        <v/>
      </c>
      <c r="W357" t="str">
        <f t="shared" si="111"/>
        <v/>
      </c>
      <c r="X357" s="38" t="str">
        <f>IF(L357="","",IF(V357&gt;0,INDEX('06-حزيران'!$P$2:$P$499,V357),IF($AO$1=1,0,"")))</f>
        <v/>
      </c>
      <c r="Y357" s="38" t="str">
        <f t="shared" si="112"/>
        <v/>
      </c>
      <c r="Z357" s="39" t="str">
        <f>IF(L357="","",IF(V357&gt;0,INDEX('06-حزيران'!$Q$2:$Q$499,V357),IF($AO$1=1,0,"")))</f>
        <v/>
      </c>
      <c r="AA357" s="39" t="str">
        <f t="shared" si="113"/>
        <v/>
      </c>
      <c r="AB357" s="40" t="str">
        <f>IF(OR(L357="",V357=0),"",IF(AND(N(I357)&gt;0,N(INDEX('06-حزيران'!$I$2:$I$499,V357))&gt;0,INDEX('06-حزيران'!$F$2:$F$499,V357)=F357),N(I357)/N(INDEX('06-حزيران'!$I$2:$I$499,V357))-1,""))</f>
        <v/>
      </c>
      <c r="AC357" t="str">
        <f>IF(L357="","",IF(AND($AO$2=1,ISNA(MATCH(L357,'08-آب'!$L$2:$L$501,0))),"محذوف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IF(L358="","",IF($AO$1=1,IFERROR(MATCH(L358,'06-حزيران'!$L$2:$L$499,0),0),0))</f>
        <v/>
      </c>
      <c r="W358" t="str">
        <f t="shared" si="111"/>
        <v/>
      </c>
      <c r="X358" s="38" t="str">
        <f>IF(L358="","",IF(V358&gt;0,INDEX('06-حزيران'!$P$2:$P$499,V358),IF($AO$1=1,0,"")))</f>
        <v/>
      </c>
      <c r="Y358" s="38" t="str">
        <f t="shared" si="112"/>
        <v/>
      </c>
      <c r="Z358" s="39" t="str">
        <f>IF(L358="","",IF(V358&gt;0,INDEX('06-حزيران'!$Q$2:$Q$499,V358),IF($AO$1=1,0,"")))</f>
        <v/>
      </c>
      <c r="AA358" s="39" t="str">
        <f t="shared" si="113"/>
        <v/>
      </c>
      <c r="AB358" s="40" t="str">
        <f>IF(OR(L358="",V358=0),"",IF(AND(N(I358)&gt;0,N(INDEX('06-حزيران'!$I$2:$I$499,V358))&gt;0,INDEX('06-حزيران'!$F$2:$F$499,V358)=F358),N(I358)/N(INDEX('06-حزيران'!$I$2:$I$499,V358))-1,""))</f>
        <v/>
      </c>
      <c r="AC358" t="str">
        <f>IF(L358="","",IF(AND($AO$2=1,ISNA(MATCH(L358,'08-آب'!$L$2:$L$501,0))),"محذوف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IF(L359="","",IF($AO$1=1,IFERROR(MATCH(L359,'06-حزيران'!$L$2:$L$499,0),0),0))</f>
        <v/>
      </c>
      <c r="W359" t="str">
        <f t="shared" si="111"/>
        <v/>
      </c>
      <c r="X359" s="38" t="str">
        <f>IF(L359="","",IF(V359&gt;0,INDEX('06-حزيران'!$P$2:$P$499,V359),IF($AO$1=1,0,"")))</f>
        <v/>
      </c>
      <c r="Y359" s="38" t="str">
        <f t="shared" si="112"/>
        <v/>
      </c>
      <c r="Z359" s="39" t="str">
        <f>IF(L359="","",IF(V359&gt;0,INDEX('06-حزيران'!$Q$2:$Q$499,V359),IF($AO$1=1,0,"")))</f>
        <v/>
      </c>
      <c r="AA359" s="39" t="str">
        <f t="shared" si="113"/>
        <v/>
      </c>
      <c r="AB359" s="40" t="str">
        <f>IF(OR(L359="",V359=0),"",IF(AND(N(I359)&gt;0,N(INDEX('06-حزيران'!$I$2:$I$499,V359))&gt;0,INDEX('06-حزيران'!$F$2:$F$499,V359)=F359),N(I359)/N(INDEX('06-حزيران'!$I$2:$I$499,V359))-1,""))</f>
        <v/>
      </c>
      <c r="AC359" t="str">
        <f>IF(L359="","",IF(AND($AO$2=1,ISNA(MATCH(L359,'08-آب'!$L$2:$L$501,0))),"محذوف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IF(L360="","",IF($AO$1=1,IFERROR(MATCH(L360,'06-حزيران'!$L$2:$L$499,0),0),0))</f>
        <v/>
      </c>
      <c r="W360" t="str">
        <f t="shared" si="111"/>
        <v/>
      </c>
      <c r="X360" s="38" t="str">
        <f>IF(L360="","",IF(V360&gt;0,INDEX('06-حزيران'!$P$2:$P$499,V360),IF($AO$1=1,0,"")))</f>
        <v/>
      </c>
      <c r="Y360" s="38" t="str">
        <f t="shared" si="112"/>
        <v/>
      </c>
      <c r="Z360" s="39" t="str">
        <f>IF(L360="","",IF(V360&gt;0,INDEX('06-حزيران'!$Q$2:$Q$499,V360),IF($AO$1=1,0,"")))</f>
        <v/>
      </c>
      <c r="AA360" s="39" t="str">
        <f t="shared" si="113"/>
        <v/>
      </c>
      <c r="AB360" s="40" t="str">
        <f>IF(OR(L360="",V360=0),"",IF(AND(N(I360)&gt;0,N(INDEX('06-حزيران'!$I$2:$I$499,V360))&gt;0,INDEX('06-حزيران'!$F$2:$F$499,V360)=F360),N(I360)/N(INDEX('06-حزيران'!$I$2:$I$499,V360))-1,""))</f>
        <v/>
      </c>
      <c r="AC360" t="str">
        <f>IF(L360="","",IF(AND($AO$2=1,ISNA(MATCH(L360,'08-آب'!$L$2:$L$501,0))),"محذوف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IF(L361="","",IF($AO$1=1,IFERROR(MATCH(L361,'06-حزيران'!$L$2:$L$499,0),0),0))</f>
        <v/>
      </c>
      <c r="W361" t="str">
        <f t="shared" si="111"/>
        <v/>
      </c>
      <c r="X361" s="38" t="str">
        <f>IF(L361="","",IF(V361&gt;0,INDEX('06-حزيران'!$P$2:$P$499,V361),IF($AO$1=1,0,"")))</f>
        <v/>
      </c>
      <c r="Y361" s="38" t="str">
        <f t="shared" si="112"/>
        <v/>
      </c>
      <c r="Z361" s="39" t="str">
        <f>IF(L361="","",IF(V361&gt;0,INDEX('06-حزيران'!$Q$2:$Q$499,V361),IF($AO$1=1,0,"")))</f>
        <v/>
      </c>
      <c r="AA361" s="39" t="str">
        <f t="shared" si="113"/>
        <v/>
      </c>
      <c r="AB361" s="40" t="str">
        <f>IF(OR(L361="",V361=0),"",IF(AND(N(I361)&gt;0,N(INDEX('06-حزيران'!$I$2:$I$499,V361))&gt;0,INDEX('06-حزيران'!$F$2:$F$499,V361)=F361),N(I361)/N(INDEX('06-حزيران'!$I$2:$I$499,V361))-1,""))</f>
        <v/>
      </c>
      <c r="AC361" t="str">
        <f>IF(L361="","",IF(AND($AO$2=1,ISNA(MATCH(L361,'08-آب'!$L$2:$L$501,0))),"محذوف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IF(L362="","",IF($AO$1=1,IFERROR(MATCH(L362,'06-حزيران'!$L$2:$L$499,0),0),0))</f>
        <v/>
      </c>
      <c r="W362" t="str">
        <f t="shared" si="111"/>
        <v/>
      </c>
      <c r="X362" s="38" t="str">
        <f>IF(L362="","",IF(V362&gt;0,INDEX('06-حزيران'!$P$2:$P$499,V362),IF($AO$1=1,0,"")))</f>
        <v/>
      </c>
      <c r="Y362" s="38" t="str">
        <f t="shared" si="112"/>
        <v/>
      </c>
      <c r="Z362" s="39" t="str">
        <f>IF(L362="","",IF(V362&gt;0,INDEX('06-حزيران'!$Q$2:$Q$499,V362),IF($AO$1=1,0,"")))</f>
        <v/>
      </c>
      <c r="AA362" s="39" t="str">
        <f t="shared" si="113"/>
        <v/>
      </c>
      <c r="AB362" s="40" t="str">
        <f>IF(OR(L362="",V362=0),"",IF(AND(N(I362)&gt;0,N(INDEX('06-حزيران'!$I$2:$I$499,V362))&gt;0,INDEX('06-حزيران'!$F$2:$F$499,V362)=F362),N(I362)/N(INDEX('06-حزيران'!$I$2:$I$499,V362))-1,""))</f>
        <v/>
      </c>
      <c r="AC362" t="str">
        <f>IF(L362="","",IF(AND($AO$2=1,ISNA(MATCH(L362,'08-آب'!$L$2:$L$501,0))),"محذوف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IF(L363="","",IF($AO$1=1,IFERROR(MATCH(L363,'06-حزيران'!$L$2:$L$499,0),0),0))</f>
        <v/>
      </c>
      <c r="W363" t="str">
        <f t="shared" si="111"/>
        <v/>
      </c>
      <c r="X363" s="38" t="str">
        <f>IF(L363="","",IF(V363&gt;0,INDEX('06-حزيران'!$P$2:$P$499,V363),IF($AO$1=1,0,"")))</f>
        <v/>
      </c>
      <c r="Y363" s="38" t="str">
        <f t="shared" si="112"/>
        <v/>
      </c>
      <c r="Z363" s="39" t="str">
        <f>IF(L363="","",IF(V363&gt;0,INDEX('06-حزيران'!$Q$2:$Q$499,V363),IF($AO$1=1,0,"")))</f>
        <v/>
      </c>
      <c r="AA363" s="39" t="str">
        <f t="shared" si="113"/>
        <v/>
      </c>
      <c r="AB363" s="40" t="str">
        <f>IF(OR(L363="",V363=0),"",IF(AND(N(I363)&gt;0,N(INDEX('06-حزيران'!$I$2:$I$499,V363))&gt;0,INDEX('06-حزيران'!$F$2:$F$499,V363)=F363),N(I363)/N(INDEX('06-حزيران'!$I$2:$I$499,V363))-1,""))</f>
        <v/>
      </c>
      <c r="AC363" t="str">
        <f>IF(L363="","",IF(AND($AO$2=1,ISNA(MATCH(L363,'08-آب'!$L$2:$L$501,0))),"محذوف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IF(L364="","",IF($AO$1=1,IFERROR(MATCH(L364,'06-حزيران'!$L$2:$L$499,0),0),0))</f>
        <v/>
      </c>
      <c r="W364" t="str">
        <f t="shared" si="111"/>
        <v/>
      </c>
      <c r="X364" s="38" t="str">
        <f>IF(L364="","",IF(V364&gt;0,INDEX('06-حزيران'!$P$2:$P$499,V364),IF($AO$1=1,0,"")))</f>
        <v/>
      </c>
      <c r="Y364" s="38" t="str">
        <f t="shared" si="112"/>
        <v/>
      </c>
      <c r="Z364" s="39" t="str">
        <f>IF(L364="","",IF(V364&gt;0,INDEX('06-حزيران'!$Q$2:$Q$499,V364),IF($AO$1=1,0,"")))</f>
        <v/>
      </c>
      <c r="AA364" s="39" t="str">
        <f t="shared" si="113"/>
        <v/>
      </c>
      <c r="AB364" s="40" t="str">
        <f>IF(OR(L364="",V364=0),"",IF(AND(N(I364)&gt;0,N(INDEX('06-حزيران'!$I$2:$I$499,V364))&gt;0,INDEX('06-حزيران'!$F$2:$F$499,V364)=F364),N(I364)/N(INDEX('06-حزيران'!$I$2:$I$499,V364))-1,""))</f>
        <v/>
      </c>
      <c r="AC364" t="str">
        <f>IF(L364="","",IF(AND($AO$2=1,ISNA(MATCH(L364,'08-آب'!$L$2:$L$501,0))),"محذوف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IF(L365="","",IF($AO$1=1,IFERROR(MATCH(L365,'06-حزيران'!$L$2:$L$499,0),0),0))</f>
        <v/>
      </c>
      <c r="W365" t="str">
        <f t="shared" si="111"/>
        <v/>
      </c>
      <c r="X365" s="38" t="str">
        <f>IF(L365="","",IF(V365&gt;0,INDEX('06-حزيران'!$P$2:$P$499,V365),IF($AO$1=1,0,"")))</f>
        <v/>
      </c>
      <c r="Y365" s="38" t="str">
        <f t="shared" si="112"/>
        <v/>
      </c>
      <c r="Z365" s="39" t="str">
        <f>IF(L365="","",IF(V365&gt;0,INDEX('06-حزيران'!$Q$2:$Q$499,V365),IF($AO$1=1,0,"")))</f>
        <v/>
      </c>
      <c r="AA365" s="39" t="str">
        <f t="shared" si="113"/>
        <v/>
      </c>
      <c r="AB365" s="40" t="str">
        <f>IF(OR(L365="",V365=0),"",IF(AND(N(I365)&gt;0,N(INDEX('06-حزيران'!$I$2:$I$499,V365))&gt;0,INDEX('06-حزيران'!$F$2:$F$499,V365)=F365),N(I365)/N(INDEX('06-حزيران'!$I$2:$I$499,V365))-1,""))</f>
        <v/>
      </c>
      <c r="AC365" t="str">
        <f>IF(L365="","",IF(AND($AO$2=1,ISNA(MATCH(L365,'08-آب'!$L$2:$L$501,0))),"محذوف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IF(L366="","",IF($AO$1=1,IFERROR(MATCH(L366,'06-حزيران'!$L$2:$L$499,0),0),0))</f>
        <v/>
      </c>
      <c r="W366" t="str">
        <f t="shared" si="111"/>
        <v/>
      </c>
      <c r="X366" s="38" t="str">
        <f>IF(L366="","",IF(V366&gt;0,INDEX('06-حزيران'!$P$2:$P$499,V366),IF($AO$1=1,0,"")))</f>
        <v/>
      </c>
      <c r="Y366" s="38" t="str">
        <f t="shared" si="112"/>
        <v/>
      </c>
      <c r="Z366" s="39" t="str">
        <f>IF(L366="","",IF(V366&gt;0,INDEX('06-حزيران'!$Q$2:$Q$499,V366),IF($AO$1=1,0,"")))</f>
        <v/>
      </c>
      <c r="AA366" s="39" t="str">
        <f t="shared" si="113"/>
        <v/>
      </c>
      <c r="AB366" s="40" t="str">
        <f>IF(OR(L366="",V366=0),"",IF(AND(N(I366)&gt;0,N(INDEX('06-حزيران'!$I$2:$I$499,V366))&gt;0,INDEX('06-حزيران'!$F$2:$F$499,V366)=F366),N(I366)/N(INDEX('06-حزيران'!$I$2:$I$499,V366))-1,""))</f>
        <v/>
      </c>
      <c r="AC366" t="str">
        <f>IF(L366="","",IF(AND($AO$2=1,ISNA(MATCH(L366,'08-آب'!$L$2:$L$501,0))),"محذوف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IF(L367="","",IF($AO$1=1,IFERROR(MATCH(L367,'06-حزيران'!$L$2:$L$499,0),0),0))</f>
        <v/>
      </c>
      <c r="W367" t="str">
        <f t="shared" si="111"/>
        <v/>
      </c>
      <c r="X367" s="38" t="str">
        <f>IF(L367="","",IF(V367&gt;0,INDEX('06-حزيران'!$P$2:$P$499,V367),IF($AO$1=1,0,"")))</f>
        <v/>
      </c>
      <c r="Y367" s="38" t="str">
        <f t="shared" si="112"/>
        <v/>
      </c>
      <c r="Z367" s="39" t="str">
        <f>IF(L367="","",IF(V367&gt;0,INDEX('06-حزيران'!$Q$2:$Q$499,V367),IF($AO$1=1,0,"")))</f>
        <v/>
      </c>
      <c r="AA367" s="39" t="str">
        <f t="shared" si="113"/>
        <v/>
      </c>
      <c r="AB367" s="40" t="str">
        <f>IF(OR(L367="",V367=0),"",IF(AND(N(I367)&gt;0,N(INDEX('06-حزيران'!$I$2:$I$499,V367))&gt;0,INDEX('06-حزيران'!$F$2:$F$499,V367)=F367),N(I367)/N(INDEX('06-حزيران'!$I$2:$I$499,V367))-1,""))</f>
        <v/>
      </c>
      <c r="AC367" t="str">
        <f>IF(L367="","",IF(AND($AO$2=1,ISNA(MATCH(L367,'08-آب'!$L$2:$L$501,0))),"محذوف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IF(L368="","",IF($AO$1=1,IFERROR(MATCH(L368,'06-حزيران'!$L$2:$L$499,0),0),0))</f>
        <v/>
      </c>
      <c r="W368" t="str">
        <f t="shared" si="111"/>
        <v/>
      </c>
      <c r="X368" s="38" t="str">
        <f>IF(L368="","",IF(V368&gt;0,INDEX('06-حزيران'!$P$2:$P$499,V368),IF($AO$1=1,0,"")))</f>
        <v/>
      </c>
      <c r="Y368" s="38" t="str">
        <f t="shared" si="112"/>
        <v/>
      </c>
      <c r="Z368" s="39" t="str">
        <f>IF(L368="","",IF(V368&gt;0,INDEX('06-حزيران'!$Q$2:$Q$499,V368),IF($AO$1=1,0,"")))</f>
        <v/>
      </c>
      <c r="AA368" s="39" t="str">
        <f t="shared" si="113"/>
        <v/>
      </c>
      <c r="AB368" s="40" t="str">
        <f>IF(OR(L368="",V368=0),"",IF(AND(N(I368)&gt;0,N(INDEX('06-حزيران'!$I$2:$I$499,V368))&gt;0,INDEX('06-حزيران'!$F$2:$F$499,V368)=F368),N(I368)/N(INDEX('06-حزيران'!$I$2:$I$499,V368))-1,""))</f>
        <v/>
      </c>
      <c r="AC368" t="str">
        <f>IF(L368="","",IF(AND($AO$2=1,ISNA(MATCH(L368,'08-آب'!$L$2:$L$501,0))),"محذوف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IF(L369="","",IF($AO$1=1,IFERROR(MATCH(L369,'06-حزيران'!$L$2:$L$499,0),0),0))</f>
        <v/>
      </c>
      <c r="W369" t="str">
        <f t="shared" si="111"/>
        <v/>
      </c>
      <c r="X369" s="38" t="str">
        <f>IF(L369="","",IF(V369&gt;0,INDEX('06-حزيران'!$P$2:$P$499,V369),IF($AO$1=1,0,"")))</f>
        <v/>
      </c>
      <c r="Y369" s="38" t="str">
        <f t="shared" si="112"/>
        <v/>
      </c>
      <c r="Z369" s="39" t="str">
        <f>IF(L369="","",IF(V369&gt;0,INDEX('06-حزيران'!$Q$2:$Q$499,V369),IF($AO$1=1,0,"")))</f>
        <v/>
      </c>
      <c r="AA369" s="39" t="str">
        <f t="shared" si="113"/>
        <v/>
      </c>
      <c r="AB369" s="40" t="str">
        <f>IF(OR(L369="",V369=0),"",IF(AND(N(I369)&gt;0,N(INDEX('06-حزيران'!$I$2:$I$499,V369))&gt;0,INDEX('06-حزيران'!$F$2:$F$499,V369)=F369),N(I369)/N(INDEX('06-حزيران'!$I$2:$I$499,V369))-1,""))</f>
        <v/>
      </c>
      <c r="AC369" t="str">
        <f>IF(L369="","",IF(AND($AO$2=1,ISNA(MATCH(L369,'08-آب'!$L$2:$L$501,0))),"محذوف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IF(L370="","",IF($AO$1=1,IFERROR(MATCH(L370,'06-حزيران'!$L$2:$L$499,0),0),0))</f>
        <v/>
      </c>
      <c r="W370" t="str">
        <f t="shared" si="111"/>
        <v/>
      </c>
      <c r="X370" s="38" t="str">
        <f>IF(L370="","",IF(V370&gt;0,INDEX('06-حزيران'!$P$2:$P$499,V370),IF($AO$1=1,0,"")))</f>
        <v/>
      </c>
      <c r="Y370" s="38" t="str">
        <f t="shared" si="112"/>
        <v/>
      </c>
      <c r="Z370" s="39" t="str">
        <f>IF(L370="","",IF(V370&gt;0,INDEX('06-حزيران'!$Q$2:$Q$499,V370),IF($AO$1=1,0,"")))</f>
        <v/>
      </c>
      <c r="AA370" s="39" t="str">
        <f t="shared" si="113"/>
        <v/>
      </c>
      <c r="AB370" s="40" t="str">
        <f>IF(OR(L370="",V370=0),"",IF(AND(N(I370)&gt;0,N(INDEX('06-حزيران'!$I$2:$I$499,V370))&gt;0,INDEX('06-حزيران'!$F$2:$F$499,V370)=F370),N(I370)/N(INDEX('06-حزيران'!$I$2:$I$499,V370))-1,""))</f>
        <v/>
      </c>
      <c r="AC370" t="str">
        <f>IF(L370="","",IF(AND($AO$2=1,ISNA(MATCH(L370,'08-آب'!$L$2:$L$501,0))),"محذوف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IF(L371="","",IF($AO$1=1,IFERROR(MATCH(L371,'06-حزيران'!$L$2:$L$499,0),0),0))</f>
        <v/>
      </c>
      <c r="W371" t="str">
        <f t="shared" si="111"/>
        <v/>
      </c>
      <c r="X371" s="38" t="str">
        <f>IF(L371="","",IF(V371&gt;0,INDEX('06-حزيران'!$P$2:$P$499,V371),IF($AO$1=1,0,"")))</f>
        <v/>
      </c>
      <c r="Y371" s="38" t="str">
        <f t="shared" si="112"/>
        <v/>
      </c>
      <c r="Z371" s="39" t="str">
        <f>IF(L371="","",IF(V371&gt;0,INDEX('06-حزيران'!$Q$2:$Q$499,V371),IF($AO$1=1,0,"")))</f>
        <v/>
      </c>
      <c r="AA371" s="39" t="str">
        <f t="shared" si="113"/>
        <v/>
      </c>
      <c r="AB371" s="40" t="str">
        <f>IF(OR(L371="",V371=0),"",IF(AND(N(I371)&gt;0,N(INDEX('06-حزيران'!$I$2:$I$499,V371))&gt;0,INDEX('06-حزيران'!$F$2:$F$499,V371)=F371),N(I371)/N(INDEX('06-حزيران'!$I$2:$I$499,V371))-1,""))</f>
        <v/>
      </c>
      <c r="AC371" t="str">
        <f>IF(L371="","",IF(AND($AO$2=1,ISNA(MATCH(L371,'08-آب'!$L$2:$L$501,0))),"محذوف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IF(L372="","",IF($AO$1=1,IFERROR(MATCH(L372,'06-حزيران'!$L$2:$L$499,0),0),0))</f>
        <v/>
      </c>
      <c r="W372" t="str">
        <f t="shared" si="111"/>
        <v/>
      </c>
      <c r="X372" s="38" t="str">
        <f>IF(L372="","",IF(V372&gt;0,INDEX('06-حزيران'!$P$2:$P$499,V372),IF($AO$1=1,0,"")))</f>
        <v/>
      </c>
      <c r="Y372" s="38" t="str">
        <f t="shared" si="112"/>
        <v/>
      </c>
      <c r="Z372" s="39" t="str">
        <f>IF(L372="","",IF(V372&gt;0,INDEX('06-حزيران'!$Q$2:$Q$499,V372),IF($AO$1=1,0,"")))</f>
        <v/>
      </c>
      <c r="AA372" s="39" t="str">
        <f t="shared" si="113"/>
        <v/>
      </c>
      <c r="AB372" s="40" t="str">
        <f>IF(OR(L372="",V372=0),"",IF(AND(N(I372)&gt;0,N(INDEX('06-حزيران'!$I$2:$I$499,V372))&gt;0,INDEX('06-حزيران'!$F$2:$F$499,V372)=F372),N(I372)/N(INDEX('06-حزيران'!$I$2:$I$499,V372))-1,""))</f>
        <v/>
      </c>
      <c r="AC372" t="str">
        <f>IF(L372="","",IF(AND($AO$2=1,ISNA(MATCH(L372,'08-آب'!$L$2:$L$501,0))),"محذوف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IF(L373="","",IF($AO$1=1,IFERROR(MATCH(L373,'06-حزيران'!$L$2:$L$499,0),0),0))</f>
        <v/>
      </c>
      <c r="W373" t="str">
        <f t="shared" si="111"/>
        <v/>
      </c>
      <c r="X373" s="38" t="str">
        <f>IF(L373="","",IF(V373&gt;0,INDEX('06-حزيران'!$P$2:$P$499,V373),IF($AO$1=1,0,"")))</f>
        <v/>
      </c>
      <c r="Y373" s="38" t="str">
        <f t="shared" si="112"/>
        <v/>
      </c>
      <c r="Z373" s="39" t="str">
        <f>IF(L373="","",IF(V373&gt;0,INDEX('06-حزيران'!$Q$2:$Q$499,V373),IF($AO$1=1,0,"")))</f>
        <v/>
      </c>
      <c r="AA373" s="39" t="str">
        <f t="shared" si="113"/>
        <v/>
      </c>
      <c r="AB373" s="40" t="str">
        <f>IF(OR(L373="",V373=0),"",IF(AND(N(I373)&gt;0,N(INDEX('06-حزيران'!$I$2:$I$499,V373))&gt;0,INDEX('06-حزيران'!$F$2:$F$499,V373)=F373),N(I373)/N(INDEX('06-حزيران'!$I$2:$I$499,V373))-1,""))</f>
        <v/>
      </c>
      <c r="AC373" t="str">
        <f>IF(L373="","",IF(AND($AO$2=1,ISNA(MATCH(L373,'08-آب'!$L$2:$L$501,0))),"محذوف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IF(L374="","",IF($AO$1=1,IFERROR(MATCH(L374,'06-حزيران'!$L$2:$L$499,0),0),0))</f>
        <v/>
      </c>
      <c r="W374" t="str">
        <f t="shared" si="111"/>
        <v/>
      </c>
      <c r="X374" s="38" t="str">
        <f>IF(L374="","",IF(V374&gt;0,INDEX('06-حزيران'!$P$2:$P$499,V374),IF($AO$1=1,0,"")))</f>
        <v/>
      </c>
      <c r="Y374" s="38" t="str">
        <f t="shared" si="112"/>
        <v/>
      </c>
      <c r="Z374" s="39" t="str">
        <f>IF(L374="","",IF(V374&gt;0,INDEX('06-حزيران'!$Q$2:$Q$499,V374),IF($AO$1=1,0,"")))</f>
        <v/>
      </c>
      <c r="AA374" s="39" t="str">
        <f t="shared" si="113"/>
        <v/>
      </c>
      <c r="AB374" s="40" t="str">
        <f>IF(OR(L374="",V374=0),"",IF(AND(N(I374)&gt;0,N(INDEX('06-حزيران'!$I$2:$I$499,V374))&gt;0,INDEX('06-حزيران'!$F$2:$F$499,V374)=F374),N(I374)/N(INDEX('06-حزيران'!$I$2:$I$499,V374))-1,""))</f>
        <v/>
      </c>
      <c r="AC374" t="str">
        <f>IF(L374="","",IF(AND($AO$2=1,ISNA(MATCH(L374,'08-آب'!$L$2:$L$501,0))),"محذوف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IF(L375="","",IF($AO$1=1,IFERROR(MATCH(L375,'06-حزيران'!$L$2:$L$499,0),0),0))</f>
        <v/>
      </c>
      <c r="W375" t="str">
        <f t="shared" si="111"/>
        <v/>
      </c>
      <c r="X375" s="38" t="str">
        <f>IF(L375="","",IF(V375&gt;0,INDEX('06-حزيران'!$P$2:$P$499,V375),IF($AO$1=1,0,"")))</f>
        <v/>
      </c>
      <c r="Y375" s="38" t="str">
        <f t="shared" si="112"/>
        <v/>
      </c>
      <c r="Z375" s="39" t="str">
        <f>IF(L375="","",IF(V375&gt;0,INDEX('06-حزيران'!$Q$2:$Q$499,V375),IF($AO$1=1,0,"")))</f>
        <v/>
      </c>
      <c r="AA375" s="39" t="str">
        <f t="shared" si="113"/>
        <v/>
      </c>
      <c r="AB375" s="40" t="str">
        <f>IF(OR(L375="",V375=0),"",IF(AND(N(I375)&gt;0,N(INDEX('06-حزيران'!$I$2:$I$499,V375))&gt;0,INDEX('06-حزيران'!$F$2:$F$499,V375)=F375),N(I375)/N(INDEX('06-حزيران'!$I$2:$I$499,V375))-1,""))</f>
        <v/>
      </c>
      <c r="AC375" t="str">
        <f>IF(L375="","",IF(AND($AO$2=1,ISNA(MATCH(L375,'08-آب'!$L$2:$L$501,0))),"محذوف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IF(L376="","",IF($AO$1=1,IFERROR(MATCH(L376,'06-حزيران'!$L$2:$L$499,0),0),0))</f>
        <v/>
      </c>
      <c r="W376" t="str">
        <f t="shared" si="111"/>
        <v/>
      </c>
      <c r="X376" s="38" t="str">
        <f>IF(L376="","",IF(V376&gt;0,INDEX('06-حزيران'!$P$2:$P$499,V376),IF($AO$1=1,0,"")))</f>
        <v/>
      </c>
      <c r="Y376" s="38" t="str">
        <f t="shared" si="112"/>
        <v/>
      </c>
      <c r="Z376" s="39" t="str">
        <f>IF(L376="","",IF(V376&gt;0,INDEX('06-حزيران'!$Q$2:$Q$499,V376),IF($AO$1=1,0,"")))</f>
        <v/>
      </c>
      <c r="AA376" s="39" t="str">
        <f t="shared" si="113"/>
        <v/>
      </c>
      <c r="AB376" s="40" t="str">
        <f>IF(OR(L376="",V376=0),"",IF(AND(N(I376)&gt;0,N(INDEX('06-حزيران'!$I$2:$I$499,V376))&gt;0,INDEX('06-حزيران'!$F$2:$F$499,V376)=F376),N(I376)/N(INDEX('06-حزيران'!$I$2:$I$499,V376))-1,""))</f>
        <v/>
      </c>
      <c r="AC376" t="str">
        <f>IF(L376="","",IF(AND($AO$2=1,ISNA(MATCH(L376,'08-آب'!$L$2:$L$501,0))),"محذوف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IF(L377="","",IF($AO$1=1,IFERROR(MATCH(L377,'06-حزيران'!$L$2:$L$499,0),0),0))</f>
        <v/>
      </c>
      <c r="W377" t="str">
        <f t="shared" si="111"/>
        <v/>
      </c>
      <c r="X377" s="38" t="str">
        <f>IF(L377="","",IF(V377&gt;0,INDEX('06-حزيران'!$P$2:$P$499,V377),IF($AO$1=1,0,"")))</f>
        <v/>
      </c>
      <c r="Y377" s="38" t="str">
        <f t="shared" si="112"/>
        <v/>
      </c>
      <c r="Z377" s="39" t="str">
        <f>IF(L377="","",IF(V377&gt;0,INDEX('06-حزيران'!$Q$2:$Q$499,V377),IF($AO$1=1,0,"")))</f>
        <v/>
      </c>
      <c r="AA377" s="39" t="str">
        <f t="shared" si="113"/>
        <v/>
      </c>
      <c r="AB377" s="40" t="str">
        <f>IF(OR(L377="",V377=0),"",IF(AND(N(I377)&gt;0,N(INDEX('06-حزيران'!$I$2:$I$499,V377))&gt;0,INDEX('06-حزيران'!$F$2:$F$499,V377)=F377),N(I377)/N(INDEX('06-حزيران'!$I$2:$I$499,V377))-1,""))</f>
        <v/>
      </c>
      <c r="AC377" t="str">
        <f>IF(L377="","",IF(AND($AO$2=1,ISNA(MATCH(L377,'08-آب'!$L$2:$L$501,0))),"محذوف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IF(L378="","",IF($AO$1=1,IFERROR(MATCH(L378,'06-حزيران'!$L$2:$L$499,0),0),0))</f>
        <v/>
      </c>
      <c r="W378" t="str">
        <f t="shared" si="111"/>
        <v/>
      </c>
      <c r="X378" s="38" t="str">
        <f>IF(L378="","",IF(V378&gt;0,INDEX('06-حزيران'!$P$2:$P$499,V378),IF($AO$1=1,0,"")))</f>
        <v/>
      </c>
      <c r="Y378" s="38" t="str">
        <f t="shared" si="112"/>
        <v/>
      </c>
      <c r="Z378" s="39" t="str">
        <f>IF(L378="","",IF(V378&gt;0,INDEX('06-حزيران'!$Q$2:$Q$499,V378),IF($AO$1=1,0,"")))</f>
        <v/>
      </c>
      <c r="AA378" s="39" t="str">
        <f t="shared" si="113"/>
        <v/>
      </c>
      <c r="AB378" s="40" t="str">
        <f>IF(OR(L378="",V378=0),"",IF(AND(N(I378)&gt;0,N(INDEX('06-حزيران'!$I$2:$I$499,V378))&gt;0,INDEX('06-حزيران'!$F$2:$F$499,V378)=F378),N(I378)/N(INDEX('06-حزيران'!$I$2:$I$499,V378))-1,""))</f>
        <v/>
      </c>
      <c r="AC378" t="str">
        <f>IF(L378="","",IF(AND($AO$2=1,ISNA(MATCH(L378,'08-آب'!$L$2:$L$501,0))),"محذوف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IF(L379="","",IF($AO$1=1,IFERROR(MATCH(L379,'06-حزيران'!$L$2:$L$499,0),0),0))</f>
        <v/>
      </c>
      <c r="W379" t="str">
        <f t="shared" si="111"/>
        <v/>
      </c>
      <c r="X379" s="38" t="str">
        <f>IF(L379="","",IF(V379&gt;0,INDEX('06-حزيران'!$P$2:$P$499,V379),IF($AO$1=1,0,"")))</f>
        <v/>
      </c>
      <c r="Y379" s="38" t="str">
        <f t="shared" si="112"/>
        <v/>
      </c>
      <c r="Z379" s="39" t="str">
        <f>IF(L379="","",IF(V379&gt;0,INDEX('06-حزيران'!$Q$2:$Q$499,V379),IF($AO$1=1,0,"")))</f>
        <v/>
      </c>
      <c r="AA379" s="39" t="str">
        <f t="shared" si="113"/>
        <v/>
      </c>
      <c r="AB379" s="40" t="str">
        <f>IF(OR(L379="",V379=0),"",IF(AND(N(I379)&gt;0,N(INDEX('06-حزيران'!$I$2:$I$499,V379))&gt;0,INDEX('06-حزيران'!$F$2:$F$499,V379)=F379),N(I379)/N(INDEX('06-حزيران'!$I$2:$I$499,V379))-1,""))</f>
        <v/>
      </c>
      <c r="AC379" t="str">
        <f>IF(L379="","",IF(AND($AO$2=1,ISNA(MATCH(L379,'08-آب'!$L$2:$L$501,0))),"محذوف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IF(L380="","",IF($AO$1=1,IFERROR(MATCH(L380,'06-حزيران'!$L$2:$L$499,0),0),0))</f>
        <v/>
      </c>
      <c r="W380" t="str">
        <f t="shared" si="111"/>
        <v/>
      </c>
      <c r="X380" s="38" t="str">
        <f>IF(L380="","",IF(V380&gt;0,INDEX('06-حزيران'!$P$2:$P$499,V380),IF($AO$1=1,0,"")))</f>
        <v/>
      </c>
      <c r="Y380" s="38" t="str">
        <f t="shared" si="112"/>
        <v/>
      </c>
      <c r="Z380" s="39" t="str">
        <f>IF(L380="","",IF(V380&gt;0,INDEX('06-حزيران'!$Q$2:$Q$499,V380),IF($AO$1=1,0,"")))</f>
        <v/>
      </c>
      <c r="AA380" s="39" t="str">
        <f t="shared" si="113"/>
        <v/>
      </c>
      <c r="AB380" s="40" t="str">
        <f>IF(OR(L380="",V380=0),"",IF(AND(N(I380)&gt;0,N(INDEX('06-حزيران'!$I$2:$I$499,V380))&gt;0,INDEX('06-حزيران'!$F$2:$F$499,V380)=F380),N(I380)/N(INDEX('06-حزيران'!$I$2:$I$499,V380))-1,""))</f>
        <v/>
      </c>
      <c r="AC380" t="str">
        <f>IF(L380="","",IF(AND($AO$2=1,ISNA(MATCH(L380,'08-آب'!$L$2:$L$501,0))),"محذوف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IF(L381="","",IF($AO$1=1,IFERROR(MATCH(L381,'06-حزيران'!$L$2:$L$499,0),0),0))</f>
        <v/>
      </c>
      <c r="W381" t="str">
        <f t="shared" si="111"/>
        <v/>
      </c>
      <c r="X381" s="38" t="str">
        <f>IF(L381="","",IF(V381&gt;0,INDEX('06-حزيران'!$P$2:$P$499,V381),IF($AO$1=1,0,"")))</f>
        <v/>
      </c>
      <c r="Y381" s="38" t="str">
        <f t="shared" si="112"/>
        <v/>
      </c>
      <c r="Z381" s="39" t="str">
        <f>IF(L381="","",IF(V381&gt;0,INDEX('06-حزيران'!$Q$2:$Q$499,V381),IF($AO$1=1,0,"")))</f>
        <v/>
      </c>
      <c r="AA381" s="39" t="str">
        <f t="shared" si="113"/>
        <v/>
      </c>
      <c r="AB381" s="40" t="str">
        <f>IF(OR(L381="",V381=0),"",IF(AND(N(I381)&gt;0,N(INDEX('06-حزيران'!$I$2:$I$499,V381))&gt;0,INDEX('06-حزيران'!$F$2:$F$499,V381)=F381),N(I381)/N(INDEX('06-حزيران'!$I$2:$I$499,V381))-1,""))</f>
        <v/>
      </c>
      <c r="AC381" t="str">
        <f>IF(L381="","",IF(AND($AO$2=1,ISNA(MATCH(L381,'08-آب'!$L$2:$L$501,0))),"محذوف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IF(L382="","",IF($AO$1=1,IFERROR(MATCH(L382,'06-حزيران'!$L$2:$L$499,0),0),0))</f>
        <v/>
      </c>
      <c r="W382" t="str">
        <f t="shared" si="111"/>
        <v/>
      </c>
      <c r="X382" s="38" t="str">
        <f>IF(L382="","",IF(V382&gt;0,INDEX('06-حزيران'!$P$2:$P$499,V382),IF($AO$1=1,0,"")))</f>
        <v/>
      </c>
      <c r="Y382" s="38" t="str">
        <f t="shared" si="112"/>
        <v/>
      </c>
      <c r="Z382" s="39" t="str">
        <f>IF(L382="","",IF(V382&gt;0,INDEX('06-حزيران'!$Q$2:$Q$499,V382),IF($AO$1=1,0,"")))</f>
        <v/>
      </c>
      <c r="AA382" s="39" t="str">
        <f t="shared" si="113"/>
        <v/>
      </c>
      <c r="AB382" s="40" t="str">
        <f>IF(OR(L382="",V382=0),"",IF(AND(N(I382)&gt;0,N(INDEX('06-حزيران'!$I$2:$I$499,V382))&gt;0,INDEX('06-حزيران'!$F$2:$F$499,V382)=F382),N(I382)/N(INDEX('06-حزيران'!$I$2:$I$499,V382))-1,""))</f>
        <v/>
      </c>
      <c r="AC382" t="str">
        <f>IF(L382="","",IF(AND($AO$2=1,ISNA(MATCH(L382,'08-آب'!$L$2:$L$501,0))),"محذوف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IF(L383="","",IF($AO$1=1,IFERROR(MATCH(L383,'06-حزيران'!$L$2:$L$499,0),0),0))</f>
        <v/>
      </c>
      <c r="W383" t="str">
        <f t="shared" si="111"/>
        <v/>
      </c>
      <c r="X383" s="38" t="str">
        <f>IF(L383="","",IF(V383&gt;0,INDEX('06-حزيران'!$P$2:$P$499,V383),IF($AO$1=1,0,"")))</f>
        <v/>
      </c>
      <c r="Y383" s="38" t="str">
        <f t="shared" si="112"/>
        <v/>
      </c>
      <c r="Z383" s="39" t="str">
        <f>IF(L383="","",IF(V383&gt;0,INDEX('06-حزيران'!$Q$2:$Q$499,V383),IF($AO$1=1,0,"")))</f>
        <v/>
      </c>
      <c r="AA383" s="39" t="str">
        <f t="shared" si="113"/>
        <v/>
      </c>
      <c r="AB383" s="40" t="str">
        <f>IF(OR(L383="",V383=0),"",IF(AND(N(I383)&gt;0,N(INDEX('06-حزيران'!$I$2:$I$499,V383))&gt;0,INDEX('06-حزيران'!$F$2:$F$499,V383)=F383),N(I383)/N(INDEX('06-حزيران'!$I$2:$I$499,V383))-1,""))</f>
        <v/>
      </c>
      <c r="AC383" t="str">
        <f>IF(L383="","",IF(AND($AO$2=1,ISNA(MATCH(L383,'08-آب'!$L$2:$L$501,0))),"محذوف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IF(L384="","",IF($AO$1=1,IFERROR(MATCH(L384,'06-حزيران'!$L$2:$L$499,0),0),0))</f>
        <v/>
      </c>
      <c r="W384" t="str">
        <f t="shared" si="111"/>
        <v/>
      </c>
      <c r="X384" s="38" t="str">
        <f>IF(L384="","",IF(V384&gt;0,INDEX('06-حزيران'!$P$2:$P$499,V384),IF($AO$1=1,0,"")))</f>
        <v/>
      </c>
      <c r="Y384" s="38" t="str">
        <f t="shared" si="112"/>
        <v/>
      </c>
      <c r="Z384" s="39" t="str">
        <f>IF(L384="","",IF(V384&gt;0,INDEX('06-حزيران'!$Q$2:$Q$499,V384),IF($AO$1=1,0,"")))</f>
        <v/>
      </c>
      <c r="AA384" s="39" t="str">
        <f t="shared" si="113"/>
        <v/>
      </c>
      <c r="AB384" s="40" t="str">
        <f>IF(OR(L384="",V384=0),"",IF(AND(N(I384)&gt;0,N(INDEX('06-حزيران'!$I$2:$I$499,V384))&gt;0,INDEX('06-حزيران'!$F$2:$F$499,V384)=F384),N(I384)/N(INDEX('06-حزيران'!$I$2:$I$499,V384))-1,""))</f>
        <v/>
      </c>
      <c r="AC384" t="str">
        <f>IF(L384="","",IF(AND($AO$2=1,ISNA(MATCH(L384,'08-آب'!$L$2:$L$501,0))),"محذوف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ref="K385:K448" si="120">IF(L385="","",IF(U385&lt;&gt;"","⚠",""))</f>
        <v/>
      </c>
      <c r="L385" t="str">
        <f t="shared" ref="L385:L448" si="121">IF(A385="","",TRIM(A385))</f>
        <v/>
      </c>
      <c r="M385" s="36" t="str">
        <f t="shared" ref="M385:M448" si="122">IF(L385="","",IF(ISNUMBER(SEARCH("دولار",F385)),1,IF(ISNUMBER(SEARCH("ليرة",F385)),IF($AO$3&gt;0,1/$AO$3,0),0)))</f>
        <v/>
      </c>
      <c r="N385" s="37" t="str">
        <f t="shared" ref="N385:N448" si="123">IF(L385="","",N(I385)*M385)</f>
        <v/>
      </c>
      <c r="O385" s="37" t="str">
        <f t="shared" ref="O385:O448" si="124">IF(L385="","",M385*CHOOSE($AO$4,N(C385),N(D385),N(E385)))</f>
        <v/>
      </c>
      <c r="P385" s="38" t="str">
        <f t="shared" ref="P385:P448" si="125">IF(L385="","",MAX(N(B385),0))</f>
        <v/>
      </c>
      <c r="Q385" s="39" t="str">
        <f t="shared" ref="Q385:Q448" si="126">IF(L385="","",P385*N385)</f>
        <v/>
      </c>
      <c r="R385" s="39" t="str">
        <f t="shared" ref="R385:R448" si="127">IF(L385="","",P385*O385)</f>
        <v/>
      </c>
      <c r="S385" t="str">
        <f t="shared" ref="S385:S448" si="128">IF(L385="","",IF(AND(P385&gt;0,N385&gt;0,O385&gt;0),1,0))</f>
        <v/>
      </c>
      <c r="T385" s="39" t="str">
        <f t="shared" ref="T385:T448" si="129">IF(L385="","",S385*(R385-Q385))</f>
        <v/>
      </c>
      <c r="U385" t="str">
        <f t="shared" ref="U385:U448" si="130">IF(L385="","",MID(IF(OR(NOT(ISNUMBER(B385)),NOT(ISNUMBER(C385)),NOT(ISNUMBER(D385)),NOT(ISNUMBER(E385)),NOT(ISNUMBER(I385)),AND(NOT(ISNUMBER(SEARCH("دولار",F385))),NOT(ISNUMBER(SEARCH("ليرة",F385)))))," | بيانات غير صالحة","")&amp;IF(N(B385)&lt;0," | كمية سالبة","")&amp;IF(AND(N(B385)&gt;0,N(I385)=0)," | شراء صفر","")&amp;IF(AND(N(B385)&gt;0,TRIM(H385)=$AO$5,OR(N(C385)=0,N(D385)=0,N(E385)=0))," | بيع صفر","")&amp;IF(AND(N385&gt;0,O385&gt;0,O385&lt;N385)," | بيع أقل من الشراء","")&amp;IF(OR(AND(ISNUMBER(SEARCH("ليرة",F385)),OR(AND(N(I385)&gt;0,N(I385)&lt;$AO$6),AND(N(C385)&gt;0,N(C385)&lt;$AO$6),AND(N(D385)&gt;0,N(D385)&lt;$AO$6),AND(N(E385)&gt;0,N(E385)&lt;$AO$6))),AND(ISNUMBER(SEARCH("دولار",F385)),MAX(N(I385),N(C385),N(D385),N(E385))&gt;$AO$7))," | عملة/سعر مشكوك","")&amp;IF(AND(COUNTIF(C385:E385,"&gt;0")&gt;=2,MAX(N(C385),N(D385),N(E385))&gt;$AO$8*MIN(IF(N(C385)&gt;0,N(C385),1E+99),IF(N(D385)&gt;0,N(D385),1E+99),IF(N(E385)&gt;0,N(E385),1E+99)))," | تباين أسعار البيع","")&amp;IF(OR(TRIM(H385)="All",TRIM(H385)="")," | بلا تصنيف",""),4,300))</f>
        <v/>
      </c>
      <c r="V385" t="str">
        <f>IF(L385="","",IF($AO$1=1,IFERROR(MATCH(L385,'06-حزيران'!$L$2:$L$499,0),0),0))</f>
        <v/>
      </c>
      <c r="W385" t="str">
        <f t="shared" ref="W385:W448" si="131">IF(L385="","",IF(AND($AO$1=1,V385=0),"جديد",""))</f>
        <v/>
      </c>
      <c r="X385" s="38" t="str">
        <f>IF(L385="","",IF(V385&gt;0,INDEX('06-حزيران'!$P$2:$P$499,V385),IF($AO$1=1,0,"")))</f>
        <v/>
      </c>
      <c r="Y385" s="38" t="str">
        <f t="shared" ref="Y385:Y448" si="132">IF(OR(L385="",X385=""),"",P385-X385)</f>
        <v/>
      </c>
      <c r="Z385" s="39" t="str">
        <f>IF(L385="","",IF(V385&gt;0,INDEX('06-حزيران'!$Q$2:$Q$499,V385),IF($AO$1=1,0,"")))</f>
        <v/>
      </c>
      <c r="AA385" s="39" t="str">
        <f t="shared" ref="AA385:AA448" si="133">IF(OR(L385="",Z385=""),"",Q385-Z385)</f>
        <v/>
      </c>
      <c r="AB385" s="40" t="str">
        <f>IF(OR(L385="",V385=0),"",IF(AND(N(I385)&gt;0,N(INDEX('06-حزيران'!$I$2:$I$499,V385))&gt;0,INDEX('06-حزيران'!$F$2:$F$499,V385)=F385),N(I385)/N(INDEX('06-حزيران'!$I$2:$I$499,V385))-1,""))</f>
        <v/>
      </c>
      <c r="AC385" t="str">
        <f>IF(L385="","",IF(AND($AO$2=1,ISNA(MATCH(L385,'08-آب'!$L$2:$L$501,0))),"محذوف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ref="AG385:AG448" si="134">IF(AA385="","",ABS(AA385)+ROW()/1000000000)</f>
        <v/>
      </c>
      <c r="AH385" s="39" t="str">
        <f t="shared" ref="AH385:AH448" si="135">IF(L385="","",IF(AND(P385&gt;0,N385&gt;0,N(C385)&gt;0),P385*(M385*N(C385)-N385),0))</f>
        <v/>
      </c>
      <c r="AI385" s="39" t="str">
        <f t="shared" ref="AI385:AI448" si="136">IF(L385="","",IF(AND(P385&gt;0,N385&gt;0,N(D385)&gt;0),P385*(M385*N(D385)-N385),0))</f>
        <v/>
      </c>
      <c r="AJ385" s="39" t="str">
        <f t="shared" ref="AJ385:AJ448" si="137">IF(L385="","",IF(AND(P385&gt;0,N385&gt;0,N(E385)&gt;0),P385*(M385*N(E385)-N385),0))</f>
        <v/>
      </c>
      <c r="AK385" t="str">
        <f t="shared" ref="AK385:AK448" si="138">IF(L385="","",Q385+ROW()/1000000000)</f>
        <v/>
      </c>
      <c r="AL385" t="str">
        <f t="shared" ref="AL385:AL448" si="139">IF(L385="","",T385+ROW()/1000000000)</f>
        <v/>
      </c>
    </row>
    <row r="386" spans="11:38" ht="15">
      <c r="K386" t="str">
        <f t="shared" si="120"/>
        <v/>
      </c>
      <c r="L386" t="str">
        <f t="shared" si="121"/>
        <v/>
      </c>
      <c r="M386" s="36" t="str">
        <f t="shared" si="122"/>
        <v/>
      </c>
      <c r="N386" s="37" t="str">
        <f t="shared" si="123"/>
        <v/>
      </c>
      <c r="O386" s="37" t="str">
        <f t="shared" si="124"/>
        <v/>
      </c>
      <c r="P386" s="38" t="str">
        <f t="shared" si="125"/>
        <v/>
      </c>
      <c r="Q386" s="39" t="str">
        <f t="shared" si="126"/>
        <v/>
      </c>
      <c r="R386" s="39" t="str">
        <f t="shared" si="127"/>
        <v/>
      </c>
      <c r="S386" t="str">
        <f t="shared" si="128"/>
        <v/>
      </c>
      <c r="T386" s="39" t="str">
        <f t="shared" si="129"/>
        <v/>
      </c>
      <c r="U386" t="str">
        <f t="shared" si="130"/>
        <v/>
      </c>
      <c r="V386" t="str">
        <f>IF(L386="","",IF($AO$1=1,IFERROR(MATCH(L386,'06-حزيران'!$L$2:$L$499,0),0),0))</f>
        <v/>
      </c>
      <c r="W386" t="str">
        <f t="shared" si="131"/>
        <v/>
      </c>
      <c r="X386" s="38" t="str">
        <f>IF(L386="","",IF(V386&gt;0,INDEX('06-حزيران'!$P$2:$P$499,V386),IF($AO$1=1,0,"")))</f>
        <v/>
      </c>
      <c r="Y386" s="38" t="str">
        <f t="shared" si="132"/>
        <v/>
      </c>
      <c r="Z386" s="39" t="str">
        <f>IF(L386="","",IF(V386&gt;0,INDEX('06-حزيران'!$Q$2:$Q$499,V386),IF($AO$1=1,0,"")))</f>
        <v/>
      </c>
      <c r="AA386" s="39" t="str">
        <f t="shared" si="133"/>
        <v/>
      </c>
      <c r="AB386" s="40" t="str">
        <f>IF(OR(L386="",V386=0),"",IF(AND(N(I386)&gt;0,N(INDEX('06-حزيران'!$I$2:$I$499,V386))&gt;0,INDEX('06-حزيران'!$F$2:$F$499,V386)=F386),N(I386)/N(INDEX('06-حزيران'!$I$2:$I$499,V386))-1,""))</f>
        <v/>
      </c>
      <c r="AC386" t="str">
        <f>IF(L386="","",IF(AND($AO$2=1,ISNA(MATCH(L386,'08-آب'!$L$2:$L$501,0))),"محذوف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si="134"/>
        <v/>
      </c>
      <c r="AH386" s="39" t="str">
        <f t="shared" si="135"/>
        <v/>
      </c>
      <c r="AI386" s="39" t="str">
        <f t="shared" si="136"/>
        <v/>
      </c>
      <c r="AJ386" s="39" t="str">
        <f t="shared" si="137"/>
        <v/>
      </c>
      <c r="AK386" t="str">
        <f t="shared" si="138"/>
        <v/>
      </c>
      <c r="AL386" t="str">
        <f t="shared" si="139"/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IF(L387="","",IF($AO$1=1,IFERROR(MATCH(L387,'06-حزيران'!$L$2:$L$499,0),0),0))</f>
        <v/>
      </c>
      <c r="W387" t="str">
        <f t="shared" si="131"/>
        <v/>
      </c>
      <c r="X387" s="38" t="str">
        <f>IF(L387="","",IF(V387&gt;0,INDEX('06-حزيران'!$P$2:$P$499,V387),IF($AO$1=1,0,"")))</f>
        <v/>
      </c>
      <c r="Y387" s="38" t="str">
        <f t="shared" si="132"/>
        <v/>
      </c>
      <c r="Z387" s="39" t="str">
        <f>IF(L387="","",IF(V387&gt;0,INDEX('06-حزيران'!$Q$2:$Q$499,V387),IF($AO$1=1,0,"")))</f>
        <v/>
      </c>
      <c r="AA387" s="39" t="str">
        <f t="shared" si="133"/>
        <v/>
      </c>
      <c r="AB387" s="40" t="str">
        <f>IF(OR(L387="",V387=0),"",IF(AND(N(I387)&gt;0,N(INDEX('06-حزيران'!$I$2:$I$499,V387))&gt;0,INDEX('06-حزيران'!$F$2:$F$499,V387)=F387),N(I387)/N(INDEX('06-حزيران'!$I$2:$I$499,V387))-1,""))</f>
        <v/>
      </c>
      <c r="AC387" t="str">
        <f>IF(L387="","",IF(AND($AO$2=1,ISNA(MATCH(L387,'08-آب'!$L$2:$L$501,0))),"محذوف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IF(L388="","",IF($AO$1=1,IFERROR(MATCH(L388,'06-حزيران'!$L$2:$L$499,0),0),0))</f>
        <v/>
      </c>
      <c r="W388" t="str">
        <f t="shared" si="131"/>
        <v/>
      </c>
      <c r="X388" s="38" t="str">
        <f>IF(L388="","",IF(V388&gt;0,INDEX('06-حزيران'!$P$2:$P$499,V388),IF($AO$1=1,0,"")))</f>
        <v/>
      </c>
      <c r="Y388" s="38" t="str">
        <f t="shared" si="132"/>
        <v/>
      </c>
      <c r="Z388" s="39" t="str">
        <f>IF(L388="","",IF(V388&gt;0,INDEX('06-حزيران'!$Q$2:$Q$499,V388),IF($AO$1=1,0,"")))</f>
        <v/>
      </c>
      <c r="AA388" s="39" t="str">
        <f t="shared" si="133"/>
        <v/>
      </c>
      <c r="AB388" s="40" t="str">
        <f>IF(OR(L388="",V388=0),"",IF(AND(N(I388)&gt;0,N(INDEX('06-حزيران'!$I$2:$I$499,V388))&gt;0,INDEX('06-حزيران'!$F$2:$F$499,V388)=F388),N(I388)/N(INDEX('06-حزيران'!$I$2:$I$499,V388))-1,""))</f>
        <v/>
      </c>
      <c r="AC388" t="str">
        <f>IF(L388="","",IF(AND($AO$2=1,ISNA(MATCH(L388,'08-آب'!$L$2:$L$501,0))),"محذوف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IF(L389="","",IF($AO$1=1,IFERROR(MATCH(L389,'06-حزيران'!$L$2:$L$499,0),0),0))</f>
        <v/>
      </c>
      <c r="W389" t="str">
        <f t="shared" si="131"/>
        <v/>
      </c>
      <c r="X389" s="38" t="str">
        <f>IF(L389="","",IF(V389&gt;0,INDEX('06-حزيران'!$P$2:$P$499,V389),IF($AO$1=1,0,"")))</f>
        <v/>
      </c>
      <c r="Y389" s="38" t="str">
        <f t="shared" si="132"/>
        <v/>
      </c>
      <c r="Z389" s="39" t="str">
        <f>IF(L389="","",IF(V389&gt;0,INDEX('06-حزيران'!$Q$2:$Q$499,V389),IF($AO$1=1,0,"")))</f>
        <v/>
      </c>
      <c r="AA389" s="39" t="str">
        <f t="shared" si="133"/>
        <v/>
      </c>
      <c r="AB389" s="40" t="str">
        <f>IF(OR(L389="",V389=0),"",IF(AND(N(I389)&gt;0,N(INDEX('06-حزيران'!$I$2:$I$499,V389))&gt;0,INDEX('06-حزيران'!$F$2:$F$499,V389)=F389),N(I389)/N(INDEX('06-حزيران'!$I$2:$I$499,V389))-1,""))</f>
        <v/>
      </c>
      <c r="AC389" t="str">
        <f>IF(L389="","",IF(AND($AO$2=1,ISNA(MATCH(L389,'08-آب'!$L$2:$L$501,0))),"محذوف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IF(L390="","",IF($AO$1=1,IFERROR(MATCH(L390,'06-حزيران'!$L$2:$L$499,0),0),0))</f>
        <v/>
      </c>
      <c r="W390" t="str">
        <f t="shared" si="131"/>
        <v/>
      </c>
      <c r="X390" s="38" t="str">
        <f>IF(L390="","",IF(V390&gt;0,INDEX('06-حزيران'!$P$2:$P$499,V390),IF($AO$1=1,0,"")))</f>
        <v/>
      </c>
      <c r="Y390" s="38" t="str">
        <f t="shared" si="132"/>
        <v/>
      </c>
      <c r="Z390" s="39" t="str">
        <f>IF(L390="","",IF(V390&gt;0,INDEX('06-حزيران'!$Q$2:$Q$499,V390),IF($AO$1=1,0,"")))</f>
        <v/>
      </c>
      <c r="AA390" s="39" t="str">
        <f t="shared" si="133"/>
        <v/>
      </c>
      <c r="AB390" s="40" t="str">
        <f>IF(OR(L390="",V390=0),"",IF(AND(N(I390)&gt;0,N(INDEX('06-حزيران'!$I$2:$I$499,V390))&gt;0,INDEX('06-حزيران'!$F$2:$F$499,V390)=F390),N(I390)/N(INDEX('06-حزيران'!$I$2:$I$499,V390))-1,""))</f>
        <v/>
      </c>
      <c r="AC390" t="str">
        <f>IF(L390="","",IF(AND($AO$2=1,ISNA(MATCH(L390,'08-آب'!$L$2:$L$501,0))),"محذوف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IF(L391="","",IF($AO$1=1,IFERROR(MATCH(L391,'06-حزيران'!$L$2:$L$499,0),0),0))</f>
        <v/>
      </c>
      <c r="W391" t="str">
        <f t="shared" si="131"/>
        <v/>
      </c>
      <c r="X391" s="38" t="str">
        <f>IF(L391="","",IF(V391&gt;0,INDEX('06-حزيران'!$P$2:$P$499,V391),IF($AO$1=1,0,"")))</f>
        <v/>
      </c>
      <c r="Y391" s="38" t="str">
        <f t="shared" si="132"/>
        <v/>
      </c>
      <c r="Z391" s="39" t="str">
        <f>IF(L391="","",IF(V391&gt;0,INDEX('06-حزيران'!$Q$2:$Q$499,V391),IF($AO$1=1,0,"")))</f>
        <v/>
      </c>
      <c r="AA391" s="39" t="str">
        <f t="shared" si="133"/>
        <v/>
      </c>
      <c r="AB391" s="40" t="str">
        <f>IF(OR(L391="",V391=0),"",IF(AND(N(I391)&gt;0,N(INDEX('06-حزيران'!$I$2:$I$499,V391))&gt;0,INDEX('06-حزيران'!$F$2:$F$499,V391)=F391),N(I391)/N(INDEX('06-حزيران'!$I$2:$I$499,V391))-1,""))</f>
        <v/>
      </c>
      <c r="AC391" t="str">
        <f>IF(L391="","",IF(AND($AO$2=1,ISNA(MATCH(L391,'08-آب'!$L$2:$L$501,0))),"محذوف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IF(L392="","",IF($AO$1=1,IFERROR(MATCH(L392,'06-حزيران'!$L$2:$L$499,0),0),0))</f>
        <v/>
      </c>
      <c r="W392" t="str">
        <f t="shared" si="131"/>
        <v/>
      </c>
      <c r="X392" s="38" t="str">
        <f>IF(L392="","",IF(V392&gt;0,INDEX('06-حزيران'!$P$2:$P$499,V392),IF($AO$1=1,0,"")))</f>
        <v/>
      </c>
      <c r="Y392" s="38" t="str">
        <f t="shared" si="132"/>
        <v/>
      </c>
      <c r="Z392" s="39" t="str">
        <f>IF(L392="","",IF(V392&gt;0,INDEX('06-حزيران'!$Q$2:$Q$499,V392),IF($AO$1=1,0,"")))</f>
        <v/>
      </c>
      <c r="AA392" s="39" t="str">
        <f t="shared" si="133"/>
        <v/>
      </c>
      <c r="AB392" s="40" t="str">
        <f>IF(OR(L392="",V392=0),"",IF(AND(N(I392)&gt;0,N(INDEX('06-حزيران'!$I$2:$I$499,V392))&gt;0,INDEX('06-حزيران'!$F$2:$F$499,V392)=F392),N(I392)/N(INDEX('06-حزيران'!$I$2:$I$499,V392))-1,""))</f>
        <v/>
      </c>
      <c r="AC392" t="str">
        <f>IF(L392="","",IF(AND($AO$2=1,ISNA(MATCH(L392,'08-آب'!$L$2:$L$501,0))),"محذوف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IF(L393="","",IF($AO$1=1,IFERROR(MATCH(L393,'06-حزيران'!$L$2:$L$499,0),0),0))</f>
        <v/>
      </c>
      <c r="W393" t="str">
        <f t="shared" si="131"/>
        <v/>
      </c>
      <c r="X393" s="38" t="str">
        <f>IF(L393="","",IF(V393&gt;0,INDEX('06-حزيران'!$P$2:$P$499,V393),IF($AO$1=1,0,"")))</f>
        <v/>
      </c>
      <c r="Y393" s="38" t="str">
        <f t="shared" si="132"/>
        <v/>
      </c>
      <c r="Z393" s="39" t="str">
        <f>IF(L393="","",IF(V393&gt;0,INDEX('06-حزيران'!$Q$2:$Q$499,V393),IF($AO$1=1,0,"")))</f>
        <v/>
      </c>
      <c r="AA393" s="39" t="str">
        <f t="shared" si="133"/>
        <v/>
      </c>
      <c r="AB393" s="40" t="str">
        <f>IF(OR(L393="",V393=0),"",IF(AND(N(I393)&gt;0,N(INDEX('06-حزيران'!$I$2:$I$499,V393))&gt;0,INDEX('06-حزيران'!$F$2:$F$499,V393)=F393),N(I393)/N(INDEX('06-حزيران'!$I$2:$I$499,V393))-1,""))</f>
        <v/>
      </c>
      <c r="AC393" t="str">
        <f>IF(L393="","",IF(AND($AO$2=1,ISNA(MATCH(L393,'08-آب'!$L$2:$L$501,0))),"محذوف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IF(L394="","",IF($AO$1=1,IFERROR(MATCH(L394,'06-حزيران'!$L$2:$L$499,0),0),0))</f>
        <v/>
      </c>
      <c r="W394" t="str">
        <f t="shared" si="131"/>
        <v/>
      </c>
      <c r="X394" s="38" t="str">
        <f>IF(L394="","",IF(V394&gt;0,INDEX('06-حزيران'!$P$2:$P$499,V394),IF($AO$1=1,0,"")))</f>
        <v/>
      </c>
      <c r="Y394" s="38" t="str">
        <f t="shared" si="132"/>
        <v/>
      </c>
      <c r="Z394" s="39" t="str">
        <f>IF(L394="","",IF(V394&gt;0,INDEX('06-حزيران'!$Q$2:$Q$499,V394),IF($AO$1=1,0,"")))</f>
        <v/>
      </c>
      <c r="AA394" s="39" t="str">
        <f t="shared" si="133"/>
        <v/>
      </c>
      <c r="AB394" s="40" t="str">
        <f>IF(OR(L394="",V394=0),"",IF(AND(N(I394)&gt;0,N(INDEX('06-حزيران'!$I$2:$I$499,V394))&gt;0,INDEX('06-حزيران'!$F$2:$F$499,V394)=F394),N(I394)/N(INDEX('06-حزيران'!$I$2:$I$499,V394))-1,""))</f>
        <v/>
      </c>
      <c r="AC394" t="str">
        <f>IF(L394="","",IF(AND($AO$2=1,ISNA(MATCH(L394,'08-آب'!$L$2:$L$501,0))),"محذوف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IF(L395="","",IF($AO$1=1,IFERROR(MATCH(L395,'06-حزيران'!$L$2:$L$499,0),0),0))</f>
        <v/>
      </c>
      <c r="W395" t="str">
        <f t="shared" si="131"/>
        <v/>
      </c>
      <c r="X395" s="38" t="str">
        <f>IF(L395="","",IF(V395&gt;0,INDEX('06-حزيران'!$P$2:$P$499,V395),IF($AO$1=1,0,"")))</f>
        <v/>
      </c>
      <c r="Y395" s="38" t="str">
        <f t="shared" si="132"/>
        <v/>
      </c>
      <c r="Z395" s="39" t="str">
        <f>IF(L395="","",IF(V395&gt;0,INDEX('06-حزيران'!$Q$2:$Q$499,V395),IF($AO$1=1,0,"")))</f>
        <v/>
      </c>
      <c r="AA395" s="39" t="str">
        <f t="shared" si="133"/>
        <v/>
      </c>
      <c r="AB395" s="40" t="str">
        <f>IF(OR(L395="",V395=0),"",IF(AND(N(I395)&gt;0,N(INDEX('06-حزيران'!$I$2:$I$499,V395))&gt;0,INDEX('06-حزيران'!$F$2:$F$499,V395)=F395),N(I395)/N(INDEX('06-حزيران'!$I$2:$I$499,V395))-1,""))</f>
        <v/>
      </c>
      <c r="AC395" t="str">
        <f>IF(L395="","",IF(AND($AO$2=1,ISNA(MATCH(L395,'08-آب'!$L$2:$L$501,0))),"محذوف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IF(L396="","",IF($AO$1=1,IFERROR(MATCH(L396,'06-حزيران'!$L$2:$L$499,0),0),0))</f>
        <v/>
      </c>
      <c r="W396" t="str">
        <f t="shared" si="131"/>
        <v/>
      </c>
      <c r="X396" s="38" t="str">
        <f>IF(L396="","",IF(V396&gt;0,INDEX('06-حزيران'!$P$2:$P$499,V396),IF($AO$1=1,0,"")))</f>
        <v/>
      </c>
      <c r="Y396" s="38" t="str">
        <f t="shared" si="132"/>
        <v/>
      </c>
      <c r="Z396" s="39" t="str">
        <f>IF(L396="","",IF(V396&gt;0,INDEX('06-حزيران'!$Q$2:$Q$499,V396),IF($AO$1=1,0,"")))</f>
        <v/>
      </c>
      <c r="AA396" s="39" t="str">
        <f t="shared" si="133"/>
        <v/>
      </c>
      <c r="AB396" s="40" t="str">
        <f>IF(OR(L396="",V396=0),"",IF(AND(N(I396)&gt;0,N(INDEX('06-حزيران'!$I$2:$I$499,V396))&gt;0,INDEX('06-حزيران'!$F$2:$F$499,V396)=F396),N(I396)/N(INDEX('06-حزيران'!$I$2:$I$499,V396))-1,""))</f>
        <v/>
      </c>
      <c r="AC396" t="str">
        <f>IF(L396="","",IF(AND($AO$2=1,ISNA(MATCH(L396,'08-آب'!$L$2:$L$501,0))),"محذوف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IF(L397="","",IF($AO$1=1,IFERROR(MATCH(L397,'06-حزيران'!$L$2:$L$499,0),0),0))</f>
        <v/>
      </c>
      <c r="W397" t="str">
        <f t="shared" si="131"/>
        <v/>
      </c>
      <c r="X397" s="38" t="str">
        <f>IF(L397="","",IF(V397&gt;0,INDEX('06-حزيران'!$P$2:$P$499,V397),IF($AO$1=1,0,"")))</f>
        <v/>
      </c>
      <c r="Y397" s="38" t="str">
        <f t="shared" si="132"/>
        <v/>
      </c>
      <c r="Z397" s="39" t="str">
        <f>IF(L397="","",IF(V397&gt;0,INDEX('06-حزيران'!$Q$2:$Q$499,V397),IF($AO$1=1,0,"")))</f>
        <v/>
      </c>
      <c r="AA397" s="39" t="str">
        <f t="shared" si="133"/>
        <v/>
      </c>
      <c r="AB397" s="40" t="str">
        <f>IF(OR(L397="",V397=0),"",IF(AND(N(I397)&gt;0,N(INDEX('06-حزيران'!$I$2:$I$499,V397))&gt;0,INDEX('06-حزيران'!$F$2:$F$499,V397)=F397),N(I397)/N(INDEX('06-حزيران'!$I$2:$I$499,V397))-1,""))</f>
        <v/>
      </c>
      <c r="AC397" t="str">
        <f>IF(L397="","",IF(AND($AO$2=1,ISNA(MATCH(L397,'08-آب'!$L$2:$L$501,0))),"محذوف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IF(L398="","",IF($AO$1=1,IFERROR(MATCH(L398,'06-حزيران'!$L$2:$L$499,0),0),0))</f>
        <v/>
      </c>
      <c r="W398" t="str">
        <f t="shared" si="131"/>
        <v/>
      </c>
      <c r="X398" s="38" t="str">
        <f>IF(L398="","",IF(V398&gt;0,INDEX('06-حزيران'!$P$2:$P$499,V398),IF($AO$1=1,0,"")))</f>
        <v/>
      </c>
      <c r="Y398" s="38" t="str">
        <f t="shared" si="132"/>
        <v/>
      </c>
      <c r="Z398" s="39" t="str">
        <f>IF(L398="","",IF(V398&gt;0,INDEX('06-حزيران'!$Q$2:$Q$499,V398),IF($AO$1=1,0,"")))</f>
        <v/>
      </c>
      <c r="AA398" s="39" t="str">
        <f t="shared" si="133"/>
        <v/>
      </c>
      <c r="AB398" s="40" t="str">
        <f>IF(OR(L398="",V398=0),"",IF(AND(N(I398)&gt;0,N(INDEX('06-حزيران'!$I$2:$I$499,V398))&gt;0,INDEX('06-حزيران'!$F$2:$F$499,V398)=F398),N(I398)/N(INDEX('06-حزيران'!$I$2:$I$499,V398))-1,""))</f>
        <v/>
      </c>
      <c r="AC398" t="str">
        <f>IF(L398="","",IF(AND($AO$2=1,ISNA(MATCH(L398,'08-آب'!$L$2:$L$501,0))),"محذوف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IF(L399="","",IF($AO$1=1,IFERROR(MATCH(L399,'06-حزيران'!$L$2:$L$499,0),0),0))</f>
        <v/>
      </c>
      <c r="W399" t="str">
        <f t="shared" si="131"/>
        <v/>
      </c>
      <c r="X399" s="38" t="str">
        <f>IF(L399="","",IF(V399&gt;0,INDEX('06-حزيران'!$P$2:$P$499,V399),IF($AO$1=1,0,"")))</f>
        <v/>
      </c>
      <c r="Y399" s="38" t="str">
        <f t="shared" si="132"/>
        <v/>
      </c>
      <c r="Z399" s="39" t="str">
        <f>IF(L399="","",IF(V399&gt;0,INDEX('06-حزيران'!$Q$2:$Q$499,V399),IF($AO$1=1,0,"")))</f>
        <v/>
      </c>
      <c r="AA399" s="39" t="str">
        <f t="shared" si="133"/>
        <v/>
      </c>
      <c r="AB399" s="40" t="str">
        <f>IF(OR(L399="",V399=0),"",IF(AND(N(I399)&gt;0,N(INDEX('06-حزيران'!$I$2:$I$499,V399))&gt;0,INDEX('06-حزيران'!$F$2:$F$499,V399)=F399),N(I399)/N(INDEX('06-حزيران'!$I$2:$I$499,V399))-1,""))</f>
        <v/>
      </c>
      <c r="AC399" t="str">
        <f>IF(L399="","",IF(AND($AO$2=1,ISNA(MATCH(L399,'08-آب'!$L$2:$L$501,0))),"محذوف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IF(L400="","",IF($AO$1=1,IFERROR(MATCH(L400,'06-حزيران'!$L$2:$L$499,0),0),0))</f>
        <v/>
      </c>
      <c r="W400" t="str">
        <f t="shared" si="131"/>
        <v/>
      </c>
      <c r="X400" s="38" t="str">
        <f>IF(L400="","",IF(V400&gt;0,INDEX('06-حزيران'!$P$2:$P$499,V400),IF($AO$1=1,0,"")))</f>
        <v/>
      </c>
      <c r="Y400" s="38" t="str">
        <f t="shared" si="132"/>
        <v/>
      </c>
      <c r="Z400" s="39" t="str">
        <f>IF(L400="","",IF(V400&gt;0,INDEX('06-حزيران'!$Q$2:$Q$499,V400),IF($AO$1=1,0,"")))</f>
        <v/>
      </c>
      <c r="AA400" s="39" t="str">
        <f t="shared" si="133"/>
        <v/>
      </c>
      <c r="AB400" s="40" t="str">
        <f>IF(OR(L400="",V400=0),"",IF(AND(N(I400)&gt;0,N(INDEX('06-حزيران'!$I$2:$I$499,V400))&gt;0,INDEX('06-حزيران'!$F$2:$F$499,V400)=F400),N(I400)/N(INDEX('06-حزيران'!$I$2:$I$499,V400))-1,""))</f>
        <v/>
      </c>
      <c r="AC400" t="str">
        <f>IF(L400="","",IF(AND($AO$2=1,ISNA(MATCH(L400,'08-آب'!$L$2:$L$501,0))),"محذوف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IF(L401="","",IF($AO$1=1,IFERROR(MATCH(L401,'06-حزيران'!$L$2:$L$499,0),0),0))</f>
        <v/>
      </c>
      <c r="W401" t="str">
        <f t="shared" si="131"/>
        <v/>
      </c>
      <c r="X401" s="38" t="str">
        <f>IF(L401="","",IF(V401&gt;0,INDEX('06-حزيران'!$P$2:$P$499,V401),IF($AO$1=1,0,"")))</f>
        <v/>
      </c>
      <c r="Y401" s="38" t="str">
        <f t="shared" si="132"/>
        <v/>
      </c>
      <c r="Z401" s="39" t="str">
        <f>IF(L401="","",IF(V401&gt;0,INDEX('06-حزيران'!$Q$2:$Q$499,V401),IF($AO$1=1,0,"")))</f>
        <v/>
      </c>
      <c r="AA401" s="39" t="str">
        <f t="shared" si="133"/>
        <v/>
      </c>
      <c r="AB401" s="40" t="str">
        <f>IF(OR(L401="",V401=0),"",IF(AND(N(I401)&gt;0,N(INDEX('06-حزيران'!$I$2:$I$499,V401))&gt;0,INDEX('06-حزيران'!$F$2:$F$499,V401)=F401),N(I401)/N(INDEX('06-حزيران'!$I$2:$I$499,V401))-1,""))</f>
        <v/>
      </c>
      <c r="AC401" t="str">
        <f>IF(L401="","",IF(AND($AO$2=1,ISNA(MATCH(L401,'08-آب'!$L$2:$L$501,0))),"محذوف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IF(L402="","",IF($AO$1=1,IFERROR(MATCH(L402,'06-حزيران'!$L$2:$L$499,0),0),0))</f>
        <v/>
      </c>
      <c r="W402" t="str">
        <f t="shared" si="131"/>
        <v/>
      </c>
      <c r="X402" s="38" t="str">
        <f>IF(L402="","",IF(V402&gt;0,INDEX('06-حزيران'!$P$2:$P$499,V402),IF($AO$1=1,0,"")))</f>
        <v/>
      </c>
      <c r="Y402" s="38" t="str">
        <f t="shared" si="132"/>
        <v/>
      </c>
      <c r="Z402" s="39" t="str">
        <f>IF(L402="","",IF(V402&gt;0,INDEX('06-حزيران'!$Q$2:$Q$499,V402),IF($AO$1=1,0,"")))</f>
        <v/>
      </c>
      <c r="AA402" s="39" t="str">
        <f t="shared" si="133"/>
        <v/>
      </c>
      <c r="AB402" s="40" t="str">
        <f>IF(OR(L402="",V402=0),"",IF(AND(N(I402)&gt;0,N(INDEX('06-حزيران'!$I$2:$I$499,V402))&gt;0,INDEX('06-حزيران'!$F$2:$F$499,V402)=F402),N(I402)/N(INDEX('06-حزيران'!$I$2:$I$499,V402))-1,""))</f>
        <v/>
      </c>
      <c r="AC402" t="str">
        <f>IF(L402="","",IF(AND($AO$2=1,ISNA(MATCH(L402,'08-آب'!$L$2:$L$501,0))),"محذوف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IF(L403="","",IF($AO$1=1,IFERROR(MATCH(L403,'06-حزيران'!$L$2:$L$499,0),0),0))</f>
        <v/>
      </c>
      <c r="W403" t="str">
        <f t="shared" si="131"/>
        <v/>
      </c>
      <c r="X403" s="38" t="str">
        <f>IF(L403="","",IF(V403&gt;0,INDEX('06-حزيران'!$P$2:$P$499,V403),IF($AO$1=1,0,"")))</f>
        <v/>
      </c>
      <c r="Y403" s="38" t="str">
        <f t="shared" si="132"/>
        <v/>
      </c>
      <c r="Z403" s="39" t="str">
        <f>IF(L403="","",IF(V403&gt;0,INDEX('06-حزيران'!$Q$2:$Q$499,V403),IF($AO$1=1,0,"")))</f>
        <v/>
      </c>
      <c r="AA403" s="39" t="str">
        <f t="shared" si="133"/>
        <v/>
      </c>
      <c r="AB403" s="40" t="str">
        <f>IF(OR(L403="",V403=0),"",IF(AND(N(I403)&gt;0,N(INDEX('06-حزيران'!$I$2:$I$499,V403))&gt;0,INDEX('06-حزيران'!$F$2:$F$499,V403)=F403),N(I403)/N(INDEX('06-حزيران'!$I$2:$I$499,V403))-1,""))</f>
        <v/>
      </c>
      <c r="AC403" t="str">
        <f>IF(L403="","",IF(AND($AO$2=1,ISNA(MATCH(L403,'08-آب'!$L$2:$L$501,0))),"محذوف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IF(L404="","",IF($AO$1=1,IFERROR(MATCH(L404,'06-حزيران'!$L$2:$L$499,0),0),0))</f>
        <v/>
      </c>
      <c r="W404" t="str">
        <f t="shared" si="131"/>
        <v/>
      </c>
      <c r="X404" s="38" t="str">
        <f>IF(L404="","",IF(V404&gt;0,INDEX('06-حزيران'!$P$2:$P$499,V404),IF($AO$1=1,0,"")))</f>
        <v/>
      </c>
      <c r="Y404" s="38" t="str">
        <f t="shared" si="132"/>
        <v/>
      </c>
      <c r="Z404" s="39" t="str">
        <f>IF(L404="","",IF(V404&gt;0,INDEX('06-حزيران'!$Q$2:$Q$499,V404),IF($AO$1=1,0,"")))</f>
        <v/>
      </c>
      <c r="AA404" s="39" t="str">
        <f t="shared" si="133"/>
        <v/>
      </c>
      <c r="AB404" s="40" t="str">
        <f>IF(OR(L404="",V404=0),"",IF(AND(N(I404)&gt;0,N(INDEX('06-حزيران'!$I$2:$I$499,V404))&gt;0,INDEX('06-حزيران'!$F$2:$F$499,V404)=F404),N(I404)/N(INDEX('06-حزيران'!$I$2:$I$499,V404))-1,""))</f>
        <v/>
      </c>
      <c r="AC404" t="str">
        <f>IF(L404="","",IF(AND($AO$2=1,ISNA(MATCH(L404,'08-آب'!$L$2:$L$501,0))),"محذوف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IF(L405="","",IF($AO$1=1,IFERROR(MATCH(L405,'06-حزيران'!$L$2:$L$499,0),0),0))</f>
        <v/>
      </c>
      <c r="W405" t="str">
        <f t="shared" si="131"/>
        <v/>
      </c>
      <c r="X405" s="38" t="str">
        <f>IF(L405="","",IF(V405&gt;0,INDEX('06-حزيران'!$P$2:$P$499,V405),IF($AO$1=1,0,"")))</f>
        <v/>
      </c>
      <c r="Y405" s="38" t="str">
        <f t="shared" si="132"/>
        <v/>
      </c>
      <c r="Z405" s="39" t="str">
        <f>IF(L405="","",IF(V405&gt;0,INDEX('06-حزيران'!$Q$2:$Q$499,V405),IF($AO$1=1,0,"")))</f>
        <v/>
      </c>
      <c r="AA405" s="39" t="str">
        <f t="shared" si="133"/>
        <v/>
      </c>
      <c r="AB405" s="40" t="str">
        <f>IF(OR(L405="",V405=0),"",IF(AND(N(I405)&gt;0,N(INDEX('06-حزيران'!$I$2:$I$499,V405))&gt;0,INDEX('06-حزيران'!$F$2:$F$499,V405)=F405),N(I405)/N(INDEX('06-حزيران'!$I$2:$I$499,V405))-1,""))</f>
        <v/>
      </c>
      <c r="AC405" t="str">
        <f>IF(L405="","",IF(AND($AO$2=1,ISNA(MATCH(L405,'08-آب'!$L$2:$L$501,0))),"محذوف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IF(L406="","",IF($AO$1=1,IFERROR(MATCH(L406,'06-حزيران'!$L$2:$L$499,0),0),0))</f>
        <v/>
      </c>
      <c r="W406" t="str">
        <f t="shared" si="131"/>
        <v/>
      </c>
      <c r="X406" s="38" t="str">
        <f>IF(L406="","",IF(V406&gt;0,INDEX('06-حزيران'!$P$2:$P$499,V406),IF($AO$1=1,0,"")))</f>
        <v/>
      </c>
      <c r="Y406" s="38" t="str">
        <f t="shared" si="132"/>
        <v/>
      </c>
      <c r="Z406" s="39" t="str">
        <f>IF(L406="","",IF(V406&gt;0,INDEX('06-حزيران'!$Q$2:$Q$499,V406),IF($AO$1=1,0,"")))</f>
        <v/>
      </c>
      <c r="AA406" s="39" t="str">
        <f t="shared" si="133"/>
        <v/>
      </c>
      <c r="AB406" s="40" t="str">
        <f>IF(OR(L406="",V406=0),"",IF(AND(N(I406)&gt;0,N(INDEX('06-حزيران'!$I$2:$I$499,V406))&gt;0,INDEX('06-حزيران'!$F$2:$F$499,V406)=F406),N(I406)/N(INDEX('06-حزيران'!$I$2:$I$499,V406))-1,""))</f>
        <v/>
      </c>
      <c r="AC406" t="str">
        <f>IF(L406="","",IF(AND($AO$2=1,ISNA(MATCH(L406,'08-آب'!$L$2:$L$501,0))),"محذوف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IF(L407="","",IF($AO$1=1,IFERROR(MATCH(L407,'06-حزيران'!$L$2:$L$499,0),0),0))</f>
        <v/>
      </c>
      <c r="W407" t="str">
        <f t="shared" si="131"/>
        <v/>
      </c>
      <c r="X407" s="38" t="str">
        <f>IF(L407="","",IF(V407&gt;0,INDEX('06-حزيران'!$P$2:$P$499,V407),IF($AO$1=1,0,"")))</f>
        <v/>
      </c>
      <c r="Y407" s="38" t="str">
        <f t="shared" si="132"/>
        <v/>
      </c>
      <c r="Z407" s="39" t="str">
        <f>IF(L407="","",IF(V407&gt;0,INDEX('06-حزيران'!$Q$2:$Q$499,V407),IF($AO$1=1,0,"")))</f>
        <v/>
      </c>
      <c r="AA407" s="39" t="str">
        <f t="shared" si="133"/>
        <v/>
      </c>
      <c r="AB407" s="40" t="str">
        <f>IF(OR(L407="",V407=0),"",IF(AND(N(I407)&gt;0,N(INDEX('06-حزيران'!$I$2:$I$499,V407))&gt;0,INDEX('06-حزيران'!$F$2:$F$499,V407)=F407),N(I407)/N(INDEX('06-حزيران'!$I$2:$I$499,V407))-1,""))</f>
        <v/>
      </c>
      <c r="AC407" t="str">
        <f>IF(L407="","",IF(AND($AO$2=1,ISNA(MATCH(L407,'08-آب'!$L$2:$L$501,0))),"محذوف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IF(L408="","",IF($AO$1=1,IFERROR(MATCH(L408,'06-حزيران'!$L$2:$L$499,0),0),0))</f>
        <v/>
      </c>
      <c r="W408" t="str">
        <f t="shared" si="131"/>
        <v/>
      </c>
      <c r="X408" s="38" t="str">
        <f>IF(L408="","",IF(V408&gt;0,INDEX('06-حزيران'!$P$2:$P$499,V408),IF($AO$1=1,0,"")))</f>
        <v/>
      </c>
      <c r="Y408" s="38" t="str">
        <f t="shared" si="132"/>
        <v/>
      </c>
      <c r="Z408" s="39" t="str">
        <f>IF(L408="","",IF(V408&gt;0,INDEX('06-حزيران'!$Q$2:$Q$499,V408),IF($AO$1=1,0,"")))</f>
        <v/>
      </c>
      <c r="AA408" s="39" t="str">
        <f t="shared" si="133"/>
        <v/>
      </c>
      <c r="AB408" s="40" t="str">
        <f>IF(OR(L408="",V408=0),"",IF(AND(N(I408)&gt;0,N(INDEX('06-حزيران'!$I$2:$I$499,V408))&gt;0,INDEX('06-حزيران'!$F$2:$F$499,V408)=F408),N(I408)/N(INDEX('06-حزيران'!$I$2:$I$499,V408))-1,""))</f>
        <v/>
      </c>
      <c r="AC408" t="str">
        <f>IF(L408="","",IF(AND($AO$2=1,ISNA(MATCH(L408,'08-آب'!$L$2:$L$501,0))),"محذوف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IF(L409="","",IF($AO$1=1,IFERROR(MATCH(L409,'06-حزيران'!$L$2:$L$499,0),0),0))</f>
        <v/>
      </c>
      <c r="W409" t="str">
        <f t="shared" si="131"/>
        <v/>
      </c>
      <c r="X409" s="38" t="str">
        <f>IF(L409="","",IF(V409&gt;0,INDEX('06-حزيران'!$P$2:$P$499,V409),IF($AO$1=1,0,"")))</f>
        <v/>
      </c>
      <c r="Y409" s="38" t="str">
        <f t="shared" si="132"/>
        <v/>
      </c>
      <c r="Z409" s="39" t="str">
        <f>IF(L409="","",IF(V409&gt;0,INDEX('06-حزيران'!$Q$2:$Q$499,V409),IF($AO$1=1,0,"")))</f>
        <v/>
      </c>
      <c r="AA409" s="39" t="str">
        <f t="shared" si="133"/>
        <v/>
      </c>
      <c r="AB409" s="40" t="str">
        <f>IF(OR(L409="",V409=0),"",IF(AND(N(I409)&gt;0,N(INDEX('06-حزيران'!$I$2:$I$499,V409))&gt;0,INDEX('06-حزيران'!$F$2:$F$499,V409)=F409),N(I409)/N(INDEX('06-حزيران'!$I$2:$I$499,V409))-1,""))</f>
        <v/>
      </c>
      <c r="AC409" t="str">
        <f>IF(L409="","",IF(AND($AO$2=1,ISNA(MATCH(L409,'08-آب'!$L$2:$L$501,0))),"محذوف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IF(L410="","",IF($AO$1=1,IFERROR(MATCH(L410,'06-حزيران'!$L$2:$L$499,0),0),0))</f>
        <v/>
      </c>
      <c r="W410" t="str">
        <f t="shared" si="131"/>
        <v/>
      </c>
      <c r="X410" s="38" t="str">
        <f>IF(L410="","",IF(V410&gt;0,INDEX('06-حزيران'!$P$2:$P$499,V410),IF($AO$1=1,0,"")))</f>
        <v/>
      </c>
      <c r="Y410" s="38" t="str">
        <f t="shared" si="132"/>
        <v/>
      </c>
      <c r="Z410" s="39" t="str">
        <f>IF(L410="","",IF(V410&gt;0,INDEX('06-حزيران'!$Q$2:$Q$499,V410),IF($AO$1=1,0,"")))</f>
        <v/>
      </c>
      <c r="AA410" s="39" t="str">
        <f t="shared" si="133"/>
        <v/>
      </c>
      <c r="AB410" s="40" t="str">
        <f>IF(OR(L410="",V410=0),"",IF(AND(N(I410)&gt;0,N(INDEX('06-حزيران'!$I$2:$I$499,V410))&gt;0,INDEX('06-حزيران'!$F$2:$F$499,V410)=F410),N(I410)/N(INDEX('06-حزيران'!$I$2:$I$499,V410))-1,""))</f>
        <v/>
      </c>
      <c r="AC410" t="str">
        <f>IF(L410="","",IF(AND($AO$2=1,ISNA(MATCH(L410,'08-آب'!$L$2:$L$501,0))),"محذوف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IF(L411="","",IF($AO$1=1,IFERROR(MATCH(L411,'06-حزيران'!$L$2:$L$499,0),0),0))</f>
        <v/>
      </c>
      <c r="W411" t="str">
        <f t="shared" si="131"/>
        <v/>
      </c>
      <c r="X411" s="38" t="str">
        <f>IF(L411="","",IF(V411&gt;0,INDEX('06-حزيران'!$P$2:$P$499,V411),IF($AO$1=1,0,"")))</f>
        <v/>
      </c>
      <c r="Y411" s="38" t="str">
        <f t="shared" si="132"/>
        <v/>
      </c>
      <c r="Z411" s="39" t="str">
        <f>IF(L411="","",IF(V411&gt;0,INDEX('06-حزيران'!$Q$2:$Q$499,V411),IF($AO$1=1,0,"")))</f>
        <v/>
      </c>
      <c r="AA411" s="39" t="str">
        <f t="shared" si="133"/>
        <v/>
      </c>
      <c r="AB411" s="40" t="str">
        <f>IF(OR(L411="",V411=0),"",IF(AND(N(I411)&gt;0,N(INDEX('06-حزيران'!$I$2:$I$499,V411))&gt;0,INDEX('06-حزيران'!$F$2:$F$499,V411)=F411),N(I411)/N(INDEX('06-حزيران'!$I$2:$I$499,V411))-1,""))</f>
        <v/>
      </c>
      <c r="AC411" t="str">
        <f>IF(L411="","",IF(AND($AO$2=1,ISNA(MATCH(L411,'08-آب'!$L$2:$L$501,0))),"محذوف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IF(L412="","",IF($AO$1=1,IFERROR(MATCH(L412,'06-حزيران'!$L$2:$L$499,0),0),0))</f>
        <v/>
      </c>
      <c r="W412" t="str">
        <f t="shared" si="131"/>
        <v/>
      </c>
      <c r="X412" s="38" t="str">
        <f>IF(L412="","",IF(V412&gt;0,INDEX('06-حزيران'!$P$2:$P$499,V412),IF($AO$1=1,0,"")))</f>
        <v/>
      </c>
      <c r="Y412" s="38" t="str">
        <f t="shared" si="132"/>
        <v/>
      </c>
      <c r="Z412" s="39" t="str">
        <f>IF(L412="","",IF(V412&gt;0,INDEX('06-حزيران'!$Q$2:$Q$499,V412),IF($AO$1=1,0,"")))</f>
        <v/>
      </c>
      <c r="AA412" s="39" t="str">
        <f t="shared" si="133"/>
        <v/>
      </c>
      <c r="AB412" s="40" t="str">
        <f>IF(OR(L412="",V412=0),"",IF(AND(N(I412)&gt;0,N(INDEX('06-حزيران'!$I$2:$I$499,V412))&gt;0,INDEX('06-حزيران'!$F$2:$F$499,V412)=F412),N(I412)/N(INDEX('06-حزيران'!$I$2:$I$499,V412))-1,""))</f>
        <v/>
      </c>
      <c r="AC412" t="str">
        <f>IF(L412="","",IF(AND($AO$2=1,ISNA(MATCH(L412,'08-آب'!$L$2:$L$501,0))),"محذوف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IF(L413="","",IF($AO$1=1,IFERROR(MATCH(L413,'06-حزيران'!$L$2:$L$499,0),0),0))</f>
        <v/>
      </c>
      <c r="W413" t="str">
        <f t="shared" si="131"/>
        <v/>
      </c>
      <c r="X413" s="38" t="str">
        <f>IF(L413="","",IF(V413&gt;0,INDEX('06-حزيران'!$P$2:$P$499,V413),IF($AO$1=1,0,"")))</f>
        <v/>
      </c>
      <c r="Y413" s="38" t="str">
        <f t="shared" si="132"/>
        <v/>
      </c>
      <c r="Z413" s="39" t="str">
        <f>IF(L413="","",IF(V413&gt;0,INDEX('06-حزيران'!$Q$2:$Q$499,V413),IF($AO$1=1,0,"")))</f>
        <v/>
      </c>
      <c r="AA413" s="39" t="str">
        <f t="shared" si="133"/>
        <v/>
      </c>
      <c r="AB413" s="40" t="str">
        <f>IF(OR(L413="",V413=0),"",IF(AND(N(I413)&gt;0,N(INDEX('06-حزيران'!$I$2:$I$499,V413))&gt;0,INDEX('06-حزيران'!$F$2:$F$499,V413)=F413),N(I413)/N(INDEX('06-حزيران'!$I$2:$I$499,V413))-1,""))</f>
        <v/>
      </c>
      <c r="AC413" t="str">
        <f>IF(L413="","",IF(AND($AO$2=1,ISNA(MATCH(L413,'08-آب'!$L$2:$L$501,0))),"محذوف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IF(L414="","",IF($AO$1=1,IFERROR(MATCH(L414,'06-حزيران'!$L$2:$L$499,0),0),0))</f>
        <v/>
      </c>
      <c r="W414" t="str">
        <f t="shared" si="131"/>
        <v/>
      </c>
      <c r="X414" s="38" t="str">
        <f>IF(L414="","",IF(V414&gt;0,INDEX('06-حزيران'!$P$2:$P$499,V414),IF($AO$1=1,0,"")))</f>
        <v/>
      </c>
      <c r="Y414" s="38" t="str">
        <f t="shared" si="132"/>
        <v/>
      </c>
      <c r="Z414" s="39" t="str">
        <f>IF(L414="","",IF(V414&gt;0,INDEX('06-حزيران'!$Q$2:$Q$499,V414),IF($AO$1=1,0,"")))</f>
        <v/>
      </c>
      <c r="AA414" s="39" t="str">
        <f t="shared" si="133"/>
        <v/>
      </c>
      <c r="AB414" s="40" t="str">
        <f>IF(OR(L414="",V414=0),"",IF(AND(N(I414)&gt;0,N(INDEX('06-حزيران'!$I$2:$I$499,V414))&gt;0,INDEX('06-حزيران'!$F$2:$F$499,V414)=F414),N(I414)/N(INDEX('06-حزيران'!$I$2:$I$499,V414))-1,""))</f>
        <v/>
      </c>
      <c r="AC414" t="str">
        <f>IF(L414="","",IF(AND($AO$2=1,ISNA(MATCH(L414,'08-آب'!$L$2:$L$501,0))),"محذوف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IF(L415="","",IF($AO$1=1,IFERROR(MATCH(L415,'06-حزيران'!$L$2:$L$499,0),0),0))</f>
        <v/>
      </c>
      <c r="W415" t="str">
        <f t="shared" si="131"/>
        <v/>
      </c>
      <c r="X415" s="38" t="str">
        <f>IF(L415="","",IF(V415&gt;0,INDEX('06-حزيران'!$P$2:$P$499,V415),IF($AO$1=1,0,"")))</f>
        <v/>
      </c>
      <c r="Y415" s="38" t="str">
        <f t="shared" si="132"/>
        <v/>
      </c>
      <c r="Z415" s="39" t="str">
        <f>IF(L415="","",IF(V415&gt;0,INDEX('06-حزيران'!$Q$2:$Q$499,V415),IF($AO$1=1,0,"")))</f>
        <v/>
      </c>
      <c r="AA415" s="39" t="str">
        <f t="shared" si="133"/>
        <v/>
      </c>
      <c r="AB415" s="40" t="str">
        <f>IF(OR(L415="",V415=0),"",IF(AND(N(I415)&gt;0,N(INDEX('06-حزيران'!$I$2:$I$499,V415))&gt;0,INDEX('06-حزيران'!$F$2:$F$499,V415)=F415),N(I415)/N(INDEX('06-حزيران'!$I$2:$I$499,V415))-1,""))</f>
        <v/>
      </c>
      <c r="AC415" t="str">
        <f>IF(L415="","",IF(AND($AO$2=1,ISNA(MATCH(L415,'08-آب'!$L$2:$L$501,0))),"محذوف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IF(L416="","",IF($AO$1=1,IFERROR(MATCH(L416,'06-حزيران'!$L$2:$L$499,0),0),0))</f>
        <v/>
      </c>
      <c r="W416" t="str">
        <f t="shared" si="131"/>
        <v/>
      </c>
      <c r="X416" s="38" t="str">
        <f>IF(L416="","",IF(V416&gt;0,INDEX('06-حزيران'!$P$2:$P$499,V416),IF($AO$1=1,0,"")))</f>
        <v/>
      </c>
      <c r="Y416" s="38" t="str">
        <f t="shared" si="132"/>
        <v/>
      </c>
      <c r="Z416" s="39" t="str">
        <f>IF(L416="","",IF(V416&gt;0,INDEX('06-حزيران'!$Q$2:$Q$499,V416),IF($AO$1=1,0,"")))</f>
        <v/>
      </c>
      <c r="AA416" s="39" t="str">
        <f t="shared" si="133"/>
        <v/>
      </c>
      <c r="AB416" s="40" t="str">
        <f>IF(OR(L416="",V416=0),"",IF(AND(N(I416)&gt;0,N(INDEX('06-حزيران'!$I$2:$I$499,V416))&gt;0,INDEX('06-حزيران'!$F$2:$F$499,V416)=F416),N(I416)/N(INDEX('06-حزيران'!$I$2:$I$499,V416))-1,""))</f>
        <v/>
      </c>
      <c r="AC416" t="str">
        <f>IF(L416="","",IF(AND($AO$2=1,ISNA(MATCH(L416,'08-آب'!$L$2:$L$501,0))),"محذوف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IF(L417="","",IF($AO$1=1,IFERROR(MATCH(L417,'06-حزيران'!$L$2:$L$499,0),0),0))</f>
        <v/>
      </c>
      <c r="W417" t="str">
        <f t="shared" si="131"/>
        <v/>
      </c>
      <c r="X417" s="38" t="str">
        <f>IF(L417="","",IF(V417&gt;0,INDEX('06-حزيران'!$P$2:$P$499,V417),IF($AO$1=1,0,"")))</f>
        <v/>
      </c>
      <c r="Y417" s="38" t="str">
        <f t="shared" si="132"/>
        <v/>
      </c>
      <c r="Z417" s="39" t="str">
        <f>IF(L417="","",IF(V417&gt;0,INDEX('06-حزيران'!$Q$2:$Q$499,V417),IF($AO$1=1,0,"")))</f>
        <v/>
      </c>
      <c r="AA417" s="39" t="str">
        <f t="shared" si="133"/>
        <v/>
      </c>
      <c r="AB417" s="40" t="str">
        <f>IF(OR(L417="",V417=0),"",IF(AND(N(I417)&gt;0,N(INDEX('06-حزيران'!$I$2:$I$499,V417))&gt;0,INDEX('06-حزيران'!$F$2:$F$499,V417)=F417),N(I417)/N(INDEX('06-حزيران'!$I$2:$I$499,V417))-1,""))</f>
        <v/>
      </c>
      <c r="AC417" t="str">
        <f>IF(L417="","",IF(AND($AO$2=1,ISNA(MATCH(L417,'08-آب'!$L$2:$L$501,0))),"محذوف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IF(L418="","",IF($AO$1=1,IFERROR(MATCH(L418,'06-حزيران'!$L$2:$L$499,0),0),0))</f>
        <v/>
      </c>
      <c r="W418" t="str">
        <f t="shared" si="131"/>
        <v/>
      </c>
      <c r="X418" s="38" t="str">
        <f>IF(L418="","",IF(V418&gt;0,INDEX('06-حزيران'!$P$2:$P$499,V418),IF($AO$1=1,0,"")))</f>
        <v/>
      </c>
      <c r="Y418" s="38" t="str">
        <f t="shared" si="132"/>
        <v/>
      </c>
      <c r="Z418" s="39" t="str">
        <f>IF(L418="","",IF(V418&gt;0,INDEX('06-حزيران'!$Q$2:$Q$499,V418),IF($AO$1=1,0,"")))</f>
        <v/>
      </c>
      <c r="AA418" s="39" t="str">
        <f t="shared" si="133"/>
        <v/>
      </c>
      <c r="AB418" s="40" t="str">
        <f>IF(OR(L418="",V418=0),"",IF(AND(N(I418)&gt;0,N(INDEX('06-حزيران'!$I$2:$I$499,V418))&gt;0,INDEX('06-حزيران'!$F$2:$F$499,V418)=F418),N(I418)/N(INDEX('06-حزيران'!$I$2:$I$499,V418))-1,""))</f>
        <v/>
      </c>
      <c r="AC418" t="str">
        <f>IF(L418="","",IF(AND($AO$2=1,ISNA(MATCH(L418,'08-آب'!$L$2:$L$501,0))),"محذوف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IF(L419="","",IF($AO$1=1,IFERROR(MATCH(L419,'06-حزيران'!$L$2:$L$499,0),0),0))</f>
        <v/>
      </c>
      <c r="W419" t="str">
        <f t="shared" si="131"/>
        <v/>
      </c>
      <c r="X419" s="38" t="str">
        <f>IF(L419="","",IF(V419&gt;0,INDEX('06-حزيران'!$P$2:$P$499,V419),IF($AO$1=1,0,"")))</f>
        <v/>
      </c>
      <c r="Y419" s="38" t="str">
        <f t="shared" si="132"/>
        <v/>
      </c>
      <c r="Z419" s="39" t="str">
        <f>IF(L419="","",IF(V419&gt;0,INDEX('06-حزيران'!$Q$2:$Q$499,V419),IF($AO$1=1,0,"")))</f>
        <v/>
      </c>
      <c r="AA419" s="39" t="str">
        <f t="shared" si="133"/>
        <v/>
      </c>
      <c r="AB419" s="40" t="str">
        <f>IF(OR(L419="",V419=0),"",IF(AND(N(I419)&gt;0,N(INDEX('06-حزيران'!$I$2:$I$499,V419))&gt;0,INDEX('06-حزيران'!$F$2:$F$499,V419)=F419),N(I419)/N(INDEX('06-حزيران'!$I$2:$I$499,V419))-1,""))</f>
        <v/>
      </c>
      <c r="AC419" t="str">
        <f>IF(L419="","",IF(AND($AO$2=1,ISNA(MATCH(L419,'08-آب'!$L$2:$L$501,0))),"محذوف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IF(L420="","",IF($AO$1=1,IFERROR(MATCH(L420,'06-حزيران'!$L$2:$L$499,0),0),0))</f>
        <v/>
      </c>
      <c r="W420" t="str">
        <f t="shared" si="131"/>
        <v/>
      </c>
      <c r="X420" s="38" t="str">
        <f>IF(L420="","",IF(V420&gt;0,INDEX('06-حزيران'!$P$2:$P$499,V420),IF($AO$1=1,0,"")))</f>
        <v/>
      </c>
      <c r="Y420" s="38" t="str">
        <f t="shared" si="132"/>
        <v/>
      </c>
      <c r="Z420" s="39" t="str">
        <f>IF(L420="","",IF(V420&gt;0,INDEX('06-حزيران'!$Q$2:$Q$499,V420),IF($AO$1=1,0,"")))</f>
        <v/>
      </c>
      <c r="AA420" s="39" t="str">
        <f t="shared" si="133"/>
        <v/>
      </c>
      <c r="AB420" s="40" t="str">
        <f>IF(OR(L420="",V420=0),"",IF(AND(N(I420)&gt;0,N(INDEX('06-حزيران'!$I$2:$I$499,V420))&gt;0,INDEX('06-حزيران'!$F$2:$F$499,V420)=F420),N(I420)/N(INDEX('06-حزيران'!$I$2:$I$499,V420))-1,""))</f>
        <v/>
      </c>
      <c r="AC420" t="str">
        <f>IF(L420="","",IF(AND($AO$2=1,ISNA(MATCH(L420,'08-آب'!$L$2:$L$501,0))),"محذوف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IF(L421="","",IF($AO$1=1,IFERROR(MATCH(L421,'06-حزيران'!$L$2:$L$499,0),0),0))</f>
        <v/>
      </c>
      <c r="W421" t="str">
        <f t="shared" si="131"/>
        <v/>
      </c>
      <c r="X421" s="38" t="str">
        <f>IF(L421="","",IF(V421&gt;0,INDEX('06-حزيران'!$P$2:$P$499,V421),IF($AO$1=1,0,"")))</f>
        <v/>
      </c>
      <c r="Y421" s="38" t="str">
        <f t="shared" si="132"/>
        <v/>
      </c>
      <c r="Z421" s="39" t="str">
        <f>IF(L421="","",IF(V421&gt;0,INDEX('06-حزيران'!$Q$2:$Q$499,V421),IF($AO$1=1,0,"")))</f>
        <v/>
      </c>
      <c r="AA421" s="39" t="str">
        <f t="shared" si="133"/>
        <v/>
      </c>
      <c r="AB421" s="40" t="str">
        <f>IF(OR(L421="",V421=0),"",IF(AND(N(I421)&gt;0,N(INDEX('06-حزيران'!$I$2:$I$499,V421))&gt;0,INDEX('06-حزيران'!$F$2:$F$499,V421)=F421),N(I421)/N(INDEX('06-حزيران'!$I$2:$I$499,V421))-1,""))</f>
        <v/>
      </c>
      <c r="AC421" t="str">
        <f>IF(L421="","",IF(AND($AO$2=1,ISNA(MATCH(L421,'08-آب'!$L$2:$L$501,0))),"محذوف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IF(L422="","",IF($AO$1=1,IFERROR(MATCH(L422,'06-حزيران'!$L$2:$L$499,0),0),0))</f>
        <v/>
      </c>
      <c r="W422" t="str">
        <f t="shared" si="131"/>
        <v/>
      </c>
      <c r="X422" s="38" t="str">
        <f>IF(L422="","",IF(V422&gt;0,INDEX('06-حزيران'!$P$2:$P$499,V422),IF($AO$1=1,0,"")))</f>
        <v/>
      </c>
      <c r="Y422" s="38" t="str">
        <f t="shared" si="132"/>
        <v/>
      </c>
      <c r="Z422" s="39" t="str">
        <f>IF(L422="","",IF(V422&gt;0,INDEX('06-حزيران'!$Q$2:$Q$499,V422),IF($AO$1=1,0,"")))</f>
        <v/>
      </c>
      <c r="AA422" s="39" t="str">
        <f t="shared" si="133"/>
        <v/>
      </c>
      <c r="AB422" s="40" t="str">
        <f>IF(OR(L422="",V422=0),"",IF(AND(N(I422)&gt;0,N(INDEX('06-حزيران'!$I$2:$I$499,V422))&gt;0,INDEX('06-حزيران'!$F$2:$F$499,V422)=F422),N(I422)/N(INDEX('06-حزيران'!$I$2:$I$499,V422))-1,""))</f>
        <v/>
      </c>
      <c r="AC422" t="str">
        <f>IF(L422="","",IF(AND($AO$2=1,ISNA(MATCH(L422,'08-آب'!$L$2:$L$501,0))),"محذوف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IF(L423="","",IF($AO$1=1,IFERROR(MATCH(L423,'06-حزيران'!$L$2:$L$499,0),0),0))</f>
        <v/>
      </c>
      <c r="W423" t="str">
        <f t="shared" si="131"/>
        <v/>
      </c>
      <c r="X423" s="38" t="str">
        <f>IF(L423="","",IF(V423&gt;0,INDEX('06-حزيران'!$P$2:$P$499,V423),IF($AO$1=1,0,"")))</f>
        <v/>
      </c>
      <c r="Y423" s="38" t="str">
        <f t="shared" si="132"/>
        <v/>
      </c>
      <c r="Z423" s="39" t="str">
        <f>IF(L423="","",IF(V423&gt;0,INDEX('06-حزيران'!$Q$2:$Q$499,V423),IF($AO$1=1,0,"")))</f>
        <v/>
      </c>
      <c r="AA423" s="39" t="str">
        <f t="shared" si="133"/>
        <v/>
      </c>
      <c r="AB423" s="40" t="str">
        <f>IF(OR(L423="",V423=0),"",IF(AND(N(I423)&gt;0,N(INDEX('06-حزيران'!$I$2:$I$499,V423))&gt;0,INDEX('06-حزيران'!$F$2:$F$499,V423)=F423),N(I423)/N(INDEX('06-حزيران'!$I$2:$I$499,V423))-1,""))</f>
        <v/>
      </c>
      <c r="AC423" t="str">
        <f>IF(L423="","",IF(AND($AO$2=1,ISNA(MATCH(L423,'08-آب'!$L$2:$L$501,0))),"محذوف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IF(L424="","",IF($AO$1=1,IFERROR(MATCH(L424,'06-حزيران'!$L$2:$L$499,0),0),0))</f>
        <v/>
      </c>
      <c r="W424" t="str">
        <f t="shared" si="131"/>
        <v/>
      </c>
      <c r="X424" s="38" t="str">
        <f>IF(L424="","",IF(V424&gt;0,INDEX('06-حزيران'!$P$2:$P$499,V424),IF($AO$1=1,0,"")))</f>
        <v/>
      </c>
      <c r="Y424" s="38" t="str">
        <f t="shared" si="132"/>
        <v/>
      </c>
      <c r="Z424" s="39" t="str">
        <f>IF(L424="","",IF(V424&gt;0,INDEX('06-حزيران'!$Q$2:$Q$499,V424),IF($AO$1=1,0,"")))</f>
        <v/>
      </c>
      <c r="AA424" s="39" t="str">
        <f t="shared" si="133"/>
        <v/>
      </c>
      <c r="AB424" s="40" t="str">
        <f>IF(OR(L424="",V424=0),"",IF(AND(N(I424)&gt;0,N(INDEX('06-حزيران'!$I$2:$I$499,V424))&gt;0,INDEX('06-حزيران'!$F$2:$F$499,V424)=F424),N(I424)/N(INDEX('06-حزيران'!$I$2:$I$499,V424))-1,""))</f>
        <v/>
      </c>
      <c r="AC424" t="str">
        <f>IF(L424="","",IF(AND($AO$2=1,ISNA(MATCH(L424,'08-آب'!$L$2:$L$501,0))),"محذوف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IF(L425="","",IF($AO$1=1,IFERROR(MATCH(L425,'06-حزيران'!$L$2:$L$499,0),0),0))</f>
        <v/>
      </c>
      <c r="W425" t="str">
        <f t="shared" si="131"/>
        <v/>
      </c>
      <c r="X425" s="38" t="str">
        <f>IF(L425="","",IF(V425&gt;0,INDEX('06-حزيران'!$P$2:$P$499,V425),IF($AO$1=1,0,"")))</f>
        <v/>
      </c>
      <c r="Y425" s="38" t="str">
        <f t="shared" si="132"/>
        <v/>
      </c>
      <c r="Z425" s="39" t="str">
        <f>IF(L425="","",IF(V425&gt;0,INDEX('06-حزيران'!$Q$2:$Q$499,V425),IF($AO$1=1,0,"")))</f>
        <v/>
      </c>
      <c r="AA425" s="39" t="str">
        <f t="shared" si="133"/>
        <v/>
      </c>
      <c r="AB425" s="40" t="str">
        <f>IF(OR(L425="",V425=0),"",IF(AND(N(I425)&gt;0,N(INDEX('06-حزيران'!$I$2:$I$499,V425))&gt;0,INDEX('06-حزيران'!$F$2:$F$499,V425)=F425),N(I425)/N(INDEX('06-حزيران'!$I$2:$I$499,V425))-1,""))</f>
        <v/>
      </c>
      <c r="AC425" t="str">
        <f>IF(L425="","",IF(AND($AO$2=1,ISNA(MATCH(L425,'08-آب'!$L$2:$L$501,0))),"محذوف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IF(L426="","",IF($AO$1=1,IFERROR(MATCH(L426,'06-حزيران'!$L$2:$L$499,0),0),0))</f>
        <v/>
      </c>
      <c r="W426" t="str">
        <f t="shared" si="131"/>
        <v/>
      </c>
      <c r="X426" s="38" t="str">
        <f>IF(L426="","",IF(V426&gt;0,INDEX('06-حزيران'!$P$2:$P$499,V426),IF($AO$1=1,0,"")))</f>
        <v/>
      </c>
      <c r="Y426" s="38" t="str">
        <f t="shared" si="132"/>
        <v/>
      </c>
      <c r="Z426" s="39" t="str">
        <f>IF(L426="","",IF(V426&gt;0,INDEX('06-حزيران'!$Q$2:$Q$499,V426),IF($AO$1=1,0,"")))</f>
        <v/>
      </c>
      <c r="AA426" s="39" t="str">
        <f t="shared" si="133"/>
        <v/>
      </c>
      <c r="AB426" s="40" t="str">
        <f>IF(OR(L426="",V426=0),"",IF(AND(N(I426)&gt;0,N(INDEX('06-حزيران'!$I$2:$I$499,V426))&gt;0,INDEX('06-حزيران'!$F$2:$F$499,V426)=F426),N(I426)/N(INDEX('06-حزيران'!$I$2:$I$499,V426))-1,""))</f>
        <v/>
      </c>
      <c r="AC426" t="str">
        <f>IF(L426="","",IF(AND($AO$2=1,ISNA(MATCH(L426,'08-آب'!$L$2:$L$501,0))),"محذوف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IF(L427="","",IF($AO$1=1,IFERROR(MATCH(L427,'06-حزيران'!$L$2:$L$499,0),0),0))</f>
        <v/>
      </c>
      <c r="W427" t="str">
        <f t="shared" si="131"/>
        <v/>
      </c>
      <c r="X427" s="38" t="str">
        <f>IF(L427="","",IF(V427&gt;0,INDEX('06-حزيران'!$P$2:$P$499,V427),IF($AO$1=1,0,"")))</f>
        <v/>
      </c>
      <c r="Y427" s="38" t="str">
        <f t="shared" si="132"/>
        <v/>
      </c>
      <c r="Z427" s="39" t="str">
        <f>IF(L427="","",IF(V427&gt;0,INDEX('06-حزيران'!$Q$2:$Q$499,V427),IF($AO$1=1,0,"")))</f>
        <v/>
      </c>
      <c r="AA427" s="39" t="str">
        <f t="shared" si="133"/>
        <v/>
      </c>
      <c r="AB427" s="40" t="str">
        <f>IF(OR(L427="",V427=0),"",IF(AND(N(I427)&gt;0,N(INDEX('06-حزيران'!$I$2:$I$499,V427))&gt;0,INDEX('06-حزيران'!$F$2:$F$499,V427)=F427),N(I427)/N(INDEX('06-حزيران'!$I$2:$I$499,V427))-1,""))</f>
        <v/>
      </c>
      <c r="AC427" t="str">
        <f>IF(L427="","",IF(AND($AO$2=1,ISNA(MATCH(L427,'08-آب'!$L$2:$L$501,0))),"محذوف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IF(L428="","",IF($AO$1=1,IFERROR(MATCH(L428,'06-حزيران'!$L$2:$L$499,0),0),0))</f>
        <v/>
      </c>
      <c r="W428" t="str">
        <f t="shared" si="131"/>
        <v/>
      </c>
      <c r="X428" s="38" t="str">
        <f>IF(L428="","",IF(V428&gt;0,INDEX('06-حزيران'!$P$2:$P$499,V428),IF($AO$1=1,0,"")))</f>
        <v/>
      </c>
      <c r="Y428" s="38" t="str">
        <f t="shared" si="132"/>
        <v/>
      </c>
      <c r="Z428" s="39" t="str">
        <f>IF(L428="","",IF(V428&gt;0,INDEX('06-حزيران'!$Q$2:$Q$499,V428),IF($AO$1=1,0,"")))</f>
        <v/>
      </c>
      <c r="AA428" s="39" t="str">
        <f t="shared" si="133"/>
        <v/>
      </c>
      <c r="AB428" s="40" t="str">
        <f>IF(OR(L428="",V428=0),"",IF(AND(N(I428)&gt;0,N(INDEX('06-حزيران'!$I$2:$I$499,V428))&gt;0,INDEX('06-حزيران'!$F$2:$F$499,V428)=F428),N(I428)/N(INDEX('06-حزيران'!$I$2:$I$499,V428))-1,""))</f>
        <v/>
      </c>
      <c r="AC428" t="str">
        <f>IF(L428="","",IF(AND($AO$2=1,ISNA(MATCH(L428,'08-آب'!$L$2:$L$501,0))),"محذوف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IF(L429="","",IF($AO$1=1,IFERROR(MATCH(L429,'06-حزيران'!$L$2:$L$499,0),0),0))</f>
        <v/>
      </c>
      <c r="W429" t="str">
        <f t="shared" si="131"/>
        <v/>
      </c>
      <c r="X429" s="38" t="str">
        <f>IF(L429="","",IF(V429&gt;0,INDEX('06-حزيران'!$P$2:$P$499,V429),IF($AO$1=1,0,"")))</f>
        <v/>
      </c>
      <c r="Y429" s="38" t="str">
        <f t="shared" si="132"/>
        <v/>
      </c>
      <c r="Z429" s="39" t="str">
        <f>IF(L429="","",IF(V429&gt;0,INDEX('06-حزيران'!$Q$2:$Q$499,V429),IF($AO$1=1,0,"")))</f>
        <v/>
      </c>
      <c r="AA429" s="39" t="str">
        <f t="shared" si="133"/>
        <v/>
      </c>
      <c r="AB429" s="40" t="str">
        <f>IF(OR(L429="",V429=0),"",IF(AND(N(I429)&gt;0,N(INDEX('06-حزيران'!$I$2:$I$499,V429))&gt;0,INDEX('06-حزيران'!$F$2:$F$499,V429)=F429),N(I429)/N(INDEX('06-حزيران'!$I$2:$I$499,V429))-1,""))</f>
        <v/>
      </c>
      <c r="AC429" t="str">
        <f>IF(L429="","",IF(AND($AO$2=1,ISNA(MATCH(L429,'08-آب'!$L$2:$L$501,0))),"محذوف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IF(L430="","",IF($AO$1=1,IFERROR(MATCH(L430,'06-حزيران'!$L$2:$L$499,0),0),0))</f>
        <v/>
      </c>
      <c r="W430" t="str">
        <f t="shared" si="131"/>
        <v/>
      </c>
      <c r="X430" s="38" t="str">
        <f>IF(L430="","",IF(V430&gt;0,INDEX('06-حزيران'!$P$2:$P$499,V430),IF($AO$1=1,0,"")))</f>
        <v/>
      </c>
      <c r="Y430" s="38" t="str">
        <f t="shared" si="132"/>
        <v/>
      </c>
      <c r="Z430" s="39" t="str">
        <f>IF(L430="","",IF(V430&gt;0,INDEX('06-حزيران'!$Q$2:$Q$499,V430),IF($AO$1=1,0,"")))</f>
        <v/>
      </c>
      <c r="AA430" s="39" t="str">
        <f t="shared" si="133"/>
        <v/>
      </c>
      <c r="AB430" s="40" t="str">
        <f>IF(OR(L430="",V430=0),"",IF(AND(N(I430)&gt;0,N(INDEX('06-حزيران'!$I$2:$I$499,V430))&gt;0,INDEX('06-حزيران'!$F$2:$F$499,V430)=F430),N(I430)/N(INDEX('06-حزيران'!$I$2:$I$499,V430))-1,""))</f>
        <v/>
      </c>
      <c r="AC430" t="str">
        <f>IF(L430="","",IF(AND($AO$2=1,ISNA(MATCH(L430,'08-آب'!$L$2:$L$501,0))),"محذوف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IF(L431="","",IF($AO$1=1,IFERROR(MATCH(L431,'06-حزيران'!$L$2:$L$499,0),0),0))</f>
        <v/>
      </c>
      <c r="W431" t="str">
        <f t="shared" si="131"/>
        <v/>
      </c>
      <c r="X431" s="38" t="str">
        <f>IF(L431="","",IF(V431&gt;0,INDEX('06-حزيران'!$P$2:$P$499,V431),IF($AO$1=1,0,"")))</f>
        <v/>
      </c>
      <c r="Y431" s="38" t="str">
        <f t="shared" si="132"/>
        <v/>
      </c>
      <c r="Z431" s="39" t="str">
        <f>IF(L431="","",IF(V431&gt;0,INDEX('06-حزيران'!$Q$2:$Q$499,V431),IF($AO$1=1,0,"")))</f>
        <v/>
      </c>
      <c r="AA431" s="39" t="str">
        <f t="shared" si="133"/>
        <v/>
      </c>
      <c r="AB431" s="40" t="str">
        <f>IF(OR(L431="",V431=0),"",IF(AND(N(I431)&gt;0,N(INDEX('06-حزيران'!$I$2:$I$499,V431))&gt;0,INDEX('06-حزيران'!$F$2:$F$499,V431)=F431),N(I431)/N(INDEX('06-حزيران'!$I$2:$I$499,V431))-1,""))</f>
        <v/>
      </c>
      <c r="AC431" t="str">
        <f>IF(L431="","",IF(AND($AO$2=1,ISNA(MATCH(L431,'08-آب'!$L$2:$L$501,0))),"محذوف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IF(L432="","",IF($AO$1=1,IFERROR(MATCH(L432,'06-حزيران'!$L$2:$L$499,0),0),0))</f>
        <v/>
      </c>
      <c r="W432" t="str">
        <f t="shared" si="131"/>
        <v/>
      </c>
      <c r="X432" s="38" t="str">
        <f>IF(L432="","",IF(V432&gt;0,INDEX('06-حزيران'!$P$2:$P$499,V432),IF($AO$1=1,0,"")))</f>
        <v/>
      </c>
      <c r="Y432" s="38" t="str">
        <f t="shared" si="132"/>
        <v/>
      </c>
      <c r="Z432" s="39" t="str">
        <f>IF(L432="","",IF(V432&gt;0,INDEX('06-حزيران'!$Q$2:$Q$499,V432),IF($AO$1=1,0,"")))</f>
        <v/>
      </c>
      <c r="AA432" s="39" t="str">
        <f t="shared" si="133"/>
        <v/>
      </c>
      <c r="AB432" s="40" t="str">
        <f>IF(OR(L432="",V432=0),"",IF(AND(N(I432)&gt;0,N(INDEX('06-حزيران'!$I$2:$I$499,V432))&gt;0,INDEX('06-حزيران'!$F$2:$F$499,V432)=F432),N(I432)/N(INDEX('06-حزيران'!$I$2:$I$499,V432))-1,""))</f>
        <v/>
      </c>
      <c r="AC432" t="str">
        <f>IF(L432="","",IF(AND($AO$2=1,ISNA(MATCH(L432,'08-آب'!$L$2:$L$501,0))),"محذوف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IF(L433="","",IF($AO$1=1,IFERROR(MATCH(L433,'06-حزيران'!$L$2:$L$499,0),0),0))</f>
        <v/>
      </c>
      <c r="W433" t="str">
        <f t="shared" si="131"/>
        <v/>
      </c>
      <c r="X433" s="38" t="str">
        <f>IF(L433="","",IF(V433&gt;0,INDEX('06-حزيران'!$P$2:$P$499,V433),IF($AO$1=1,0,"")))</f>
        <v/>
      </c>
      <c r="Y433" s="38" t="str">
        <f t="shared" si="132"/>
        <v/>
      </c>
      <c r="Z433" s="39" t="str">
        <f>IF(L433="","",IF(V433&gt;0,INDEX('06-حزيران'!$Q$2:$Q$499,V433),IF($AO$1=1,0,"")))</f>
        <v/>
      </c>
      <c r="AA433" s="39" t="str">
        <f t="shared" si="133"/>
        <v/>
      </c>
      <c r="AB433" s="40" t="str">
        <f>IF(OR(L433="",V433=0),"",IF(AND(N(I433)&gt;0,N(INDEX('06-حزيران'!$I$2:$I$499,V433))&gt;0,INDEX('06-حزيران'!$F$2:$F$499,V433)=F433),N(I433)/N(INDEX('06-حزيران'!$I$2:$I$499,V433))-1,""))</f>
        <v/>
      </c>
      <c r="AC433" t="str">
        <f>IF(L433="","",IF(AND($AO$2=1,ISNA(MATCH(L433,'08-آب'!$L$2:$L$501,0))),"محذوف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IF(L434="","",IF($AO$1=1,IFERROR(MATCH(L434,'06-حزيران'!$L$2:$L$499,0),0),0))</f>
        <v/>
      </c>
      <c r="W434" t="str">
        <f t="shared" si="131"/>
        <v/>
      </c>
      <c r="X434" s="38" t="str">
        <f>IF(L434="","",IF(V434&gt;0,INDEX('06-حزيران'!$P$2:$P$499,V434),IF($AO$1=1,0,"")))</f>
        <v/>
      </c>
      <c r="Y434" s="38" t="str">
        <f t="shared" si="132"/>
        <v/>
      </c>
      <c r="Z434" s="39" t="str">
        <f>IF(L434="","",IF(V434&gt;0,INDEX('06-حزيران'!$Q$2:$Q$499,V434),IF($AO$1=1,0,"")))</f>
        <v/>
      </c>
      <c r="AA434" s="39" t="str">
        <f t="shared" si="133"/>
        <v/>
      </c>
      <c r="AB434" s="40" t="str">
        <f>IF(OR(L434="",V434=0),"",IF(AND(N(I434)&gt;0,N(INDEX('06-حزيران'!$I$2:$I$499,V434))&gt;0,INDEX('06-حزيران'!$F$2:$F$499,V434)=F434),N(I434)/N(INDEX('06-حزيران'!$I$2:$I$499,V434))-1,""))</f>
        <v/>
      </c>
      <c r="AC434" t="str">
        <f>IF(L434="","",IF(AND($AO$2=1,ISNA(MATCH(L434,'08-آب'!$L$2:$L$501,0))),"محذوف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IF(L435="","",IF($AO$1=1,IFERROR(MATCH(L435,'06-حزيران'!$L$2:$L$499,0),0),0))</f>
        <v/>
      </c>
      <c r="W435" t="str">
        <f t="shared" si="131"/>
        <v/>
      </c>
      <c r="X435" s="38" t="str">
        <f>IF(L435="","",IF(V435&gt;0,INDEX('06-حزيران'!$P$2:$P$499,V435),IF($AO$1=1,0,"")))</f>
        <v/>
      </c>
      <c r="Y435" s="38" t="str">
        <f t="shared" si="132"/>
        <v/>
      </c>
      <c r="Z435" s="39" t="str">
        <f>IF(L435="","",IF(V435&gt;0,INDEX('06-حزيران'!$Q$2:$Q$499,V435),IF($AO$1=1,0,"")))</f>
        <v/>
      </c>
      <c r="AA435" s="39" t="str">
        <f t="shared" si="133"/>
        <v/>
      </c>
      <c r="AB435" s="40" t="str">
        <f>IF(OR(L435="",V435=0),"",IF(AND(N(I435)&gt;0,N(INDEX('06-حزيران'!$I$2:$I$499,V435))&gt;0,INDEX('06-حزيران'!$F$2:$F$499,V435)=F435),N(I435)/N(INDEX('06-حزيران'!$I$2:$I$499,V435))-1,""))</f>
        <v/>
      </c>
      <c r="AC435" t="str">
        <f>IF(L435="","",IF(AND($AO$2=1,ISNA(MATCH(L435,'08-آب'!$L$2:$L$501,0))),"محذوف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IF(L436="","",IF($AO$1=1,IFERROR(MATCH(L436,'06-حزيران'!$L$2:$L$499,0),0),0))</f>
        <v/>
      </c>
      <c r="W436" t="str">
        <f t="shared" si="131"/>
        <v/>
      </c>
      <c r="X436" s="38" t="str">
        <f>IF(L436="","",IF(V436&gt;0,INDEX('06-حزيران'!$P$2:$P$499,V436),IF($AO$1=1,0,"")))</f>
        <v/>
      </c>
      <c r="Y436" s="38" t="str">
        <f t="shared" si="132"/>
        <v/>
      </c>
      <c r="Z436" s="39" t="str">
        <f>IF(L436="","",IF(V436&gt;0,INDEX('06-حزيران'!$Q$2:$Q$499,V436),IF($AO$1=1,0,"")))</f>
        <v/>
      </c>
      <c r="AA436" s="39" t="str">
        <f t="shared" si="133"/>
        <v/>
      </c>
      <c r="AB436" s="40" t="str">
        <f>IF(OR(L436="",V436=0),"",IF(AND(N(I436)&gt;0,N(INDEX('06-حزيران'!$I$2:$I$499,V436))&gt;0,INDEX('06-حزيران'!$F$2:$F$499,V436)=F436),N(I436)/N(INDEX('06-حزيران'!$I$2:$I$499,V436))-1,""))</f>
        <v/>
      </c>
      <c r="AC436" t="str">
        <f>IF(L436="","",IF(AND($AO$2=1,ISNA(MATCH(L436,'08-آب'!$L$2:$L$501,0))),"محذوف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IF(L437="","",IF($AO$1=1,IFERROR(MATCH(L437,'06-حزيران'!$L$2:$L$499,0),0),0))</f>
        <v/>
      </c>
      <c r="W437" t="str">
        <f t="shared" si="131"/>
        <v/>
      </c>
      <c r="X437" s="38" t="str">
        <f>IF(L437="","",IF(V437&gt;0,INDEX('06-حزيران'!$P$2:$P$499,V437),IF($AO$1=1,0,"")))</f>
        <v/>
      </c>
      <c r="Y437" s="38" t="str">
        <f t="shared" si="132"/>
        <v/>
      </c>
      <c r="Z437" s="39" t="str">
        <f>IF(L437="","",IF(V437&gt;0,INDEX('06-حزيران'!$Q$2:$Q$499,V437),IF($AO$1=1,0,"")))</f>
        <v/>
      </c>
      <c r="AA437" s="39" t="str">
        <f t="shared" si="133"/>
        <v/>
      </c>
      <c r="AB437" s="40" t="str">
        <f>IF(OR(L437="",V437=0),"",IF(AND(N(I437)&gt;0,N(INDEX('06-حزيران'!$I$2:$I$499,V437))&gt;0,INDEX('06-حزيران'!$F$2:$F$499,V437)=F437),N(I437)/N(INDEX('06-حزيران'!$I$2:$I$499,V437))-1,""))</f>
        <v/>
      </c>
      <c r="AC437" t="str">
        <f>IF(L437="","",IF(AND($AO$2=1,ISNA(MATCH(L437,'08-آب'!$L$2:$L$501,0))),"محذوف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IF(L438="","",IF($AO$1=1,IFERROR(MATCH(L438,'06-حزيران'!$L$2:$L$499,0),0),0))</f>
        <v/>
      </c>
      <c r="W438" t="str">
        <f t="shared" si="131"/>
        <v/>
      </c>
      <c r="X438" s="38" t="str">
        <f>IF(L438="","",IF(V438&gt;0,INDEX('06-حزيران'!$P$2:$P$499,V438),IF($AO$1=1,0,"")))</f>
        <v/>
      </c>
      <c r="Y438" s="38" t="str">
        <f t="shared" si="132"/>
        <v/>
      </c>
      <c r="Z438" s="39" t="str">
        <f>IF(L438="","",IF(V438&gt;0,INDEX('06-حزيران'!$Q$2:$Q$499,V438),IF($AO$1=1,0,"")))</f>
        <v/>
      </c>
      <c r="AA438" s="39" t="str">
        <f t="shared" si="133"/>
        <v/>
      </c>
      <c r="AB438" s="40" t="str">
        <f>IF(OR(L438="",V438=0),"",IF(AND(N(I438)&gt;0,N(INDEX('06-حزيران'!$I$2:$I$499,V438))&gt;0,INDEX('06-حزيران'!$F$2:$F$499,V438)=F438),N(I438)/N(INDEX('06-حزيران'!$I$2:$I$499,V438))-1,""))</f>
        <v/>
      </c>
      <c r="AC438" t="str">
        <f>IF(L438="","",IF(AND($AO$2=1,ISNA(MATCH(L438,'08-آب'!$L$2:$L$501,0))),"محذوف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IF(L439="","",IF($AO$1=1,IFERROR(MATCH(L439,'06-حزيران'!$L$2:$L$499,0),0),0))</f>
        <v/>
      </c>
      <c r="W439" t="str">
        <f t="shared" si="131"/>
        <v/>
      </c>
      <c r="X439" s="38" t="str">
        <f>IF(L439="","",IF(V439&gt;0,INDEX('06-حزيران'!$P$2:$P$499,V439),IF($AO$1=1,0,"")))</f>
        <v/>
      </c>
      <c r="Y439" s="38" t="str">
        <f t="shared" si="132"/>
        <v/>
      </c>
      <c r="Z439" s="39" t="str">
        <f>IF(L439="","",IF(V439&gt;0,INDEX('06-حزيران'!$Q$2:$Q$499,V439),IF($AO$1=1,0,"")))</f>
        <v/>
      </c>
      <c r="AA439" s="39" t="str">
        <f t="shared" si="133"/>
        <v/>
      </c>
      <c r="AB439" s="40" t="str">
        <f>IF(OR(L439="",V439=0),"",IF(AND(N(I439)&gt;0,N(INDEX('06-حزيران'!$I$2:$I$499,V439))&gt;0,INDEX('06-حزيران'!$F$2:$F$499,V439)=F439),N(I439)/N(INDEX('06-حزيران'!$I$2:$I$499,V439))-1,""))</f>
        <v/>
      </c>
      <c r="AC439" t="str">
        <f>IF(L439="","",IF(AND($AO$2=1,ISNA(MATCH(L439,'08-آب'!$L$2:$L$501,0))),"محذوف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IF(L440="","",IF($AO$1=1,IFERROR(MATCH(L440,'06-حزيران'!$L$2:$L$499,0),0),0))</f>
        <v/>
      </c>
      <c r="W440" t="str">
        <f t="shared" si="131"/>
        <v/>
      </c>
      <c r="X440" s="38" t="str">
        <f>IF(L440="","",IF(V440&gt;0,INDEX('06-حزيران'!$P$2:$P$499,V440),IF($AO$1=1,0,"")))</f>
        <v/>
      </c>
      <c r="Y440" s="38" t="str">
        <f t="shared" si="132"/>
        <v/>
      </c>
      <c r="Z440" s="39" t="str">
        <f>IF(L440="","",IF(V440&gt;0,INDEX('06-حزيران'!$Q$2:$Q$499,V440),IF($AO$1=1,0,"")))</f>
        <v/>
      </c>
      <c r="AA440" s="39" t="str">
        <f t="shared" si="133"/>
        <v/>
      </c>
      <c r="AB440" s="40" t="str">
        <f>IF(OR(L440="",V440=0),"",IF(AND(N(I440)&gt;0,N(INDEX('06-حزيران'!$I$2:$I$499,V440))&gt;0,INDEX('06-حزيران'!$F$2:$F$499,V440)=F440),N(I440)/N(INDEX('06-حزيران'!$I$2:$I$499,V440))-1,""))</f>
        <v/>
      </c>
      <c r="AC440" t="str">
        <f>IF(L440="","",IF(AND($AO$2=1,ISNA(MATCH(L440,'08-آب'!$L$2:$L$501,0))),"محذوف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IF(L441="","",IF($AO$1=1,IFERROR(MATCH(L441,'06-حزيران'!$L$2:$L$499,0),0),0))</f>
        <v/>
      </c>
      <c r="W441" t="str">
        <f t="shared" si="131"/>
        <v/>
      </c>
      <c r="X441" s="38" t="str">
        <f>IF(L441="","",IF(V441&gt;0,INDEX('06-حزيران'!$P$2:$P$499,V441),IF($AO$1=1,0,"")))</f>
        <v/>
      </c>
      <c r="Y441" s="38" t="str">
        <f t="shared" si="132"/>
        <v/>
      </c>
      <c r="Z441" s="39" t="str">
        <f>IF(L441="","",IF(V441&gt;0,INDEX('06-حزيران'!$Q$2:$Q$499,V441),IF($AO$1=1,0,"")))</f>
        <v/>
      </c>
      <c r="AA441" s="39" t="str">
        <f t="shared" si="133"/>
        <v/>
      </c>
      <c r="AB441" s="40" t="str">
        <f>IF(OR(L441="",V441=0),"",IF(AND(N(I441)&gt;0,N(INDEX('06-حزيران'!$I$2:$I$499,V441))&gt;0,INDEX('06-حزيران'!$F$2:$F$499,V441)=F441),N(I441)/N(INDEX('06-حزيران'!$I$2:$I$499,V441))-1,""))</f>
        <v/>
      </c>
      <c r="AC441" t="str">
        <f>IF(L441="","",IF(AND($AO$2=1,ISNA(MATCH(L441,'08-آب'!$L$2:$L$501,0))),"محذوف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IF(L442="","",IF($AO$1=1,IFERROR(MATCH(L442,'06-حزيران'!$L$2:$L$499,0),0),0))</f>
        <v/>
      </c>
      <c r="W442" t="str">
        <f t="shared" si="131"/>
        <v/>
      </c>
      <c r="X442" s="38" t="str">
        <f>IF(L442="","",IF(V442&gt;0,INDEX('06-حزيران'!$P$2:$P$499,V442),IF($AO$1=1,0,"")))</f>
        <v/>
      </c>
      <c r="Y442" s="38" t="str">
        <f t="shared" si="132"/>
        <v/>
      </c>
      <c r="Z442" s="39" t="str">
        <f>IF(L442="","",IF(V442&gt;0,INDEX('06-حزيران'!$Q$2:$Q$499,V442),IF($AO$1=1,0,"")))</f>
        <v/>
      </c>
      <c r="AA442" s="39" t="str">
        <f t="shared" si="133"/>
        <v/>
      </c>
      <c r="AB442" s="40" t="str">
        <f>IF(OR(L442="",V442=0),"",IF(AND(N(I442)&gt;0,N(INDEX('06-حزيران'!$I$2:$I$499,V442))&gt;0,INDEX('06-حزيران'!$F$2:$F$499,V442)=F442),N(I442)/N(INDEX('06-حزيران'!$I$2:$I$499,V442))-1,""))</f>
        <v/>
      </c>
      <c r="AC442" t="str">
        <f>IF(L442="","",IF(AND($AO$2=1,ISNA(MATCH(L442,'08-آب'!$L$2:$L$501,0))),"محذوف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IF(L443="","",IF($AO$1=1,IFERROR(MATCH(L443,'06-حزيران'!$L$2:$L$499,0),0),0))</f>
        <v/>
      </c>
      <c r="W443" t="str">
        <f t="shared" si="131"/>
        <v/>
      </c>
      <c r="X443" s="38" t="str">
        <f>IF(L443="","",IF(V443&gt;0,INDEX('06-حزيران'!$P$2:$P$499,V443),IF($AO$1=1,0,"")))</f>
        <v/>
      </c>
      <c r="Y443" s="38" t="str">
        <f t="shared" si="132"/>
        <v/>
      </c>
      <c r="Z443" s="39" t="str">
        <f>IF(L443="","",IF(V443&gt;0,INDEX('06-حزيران'!$Q$2:$Q$499,V443),IF($AO$1=1,0,"")))</f>
        <v/>
      </c>
      <c r="AA443" s="39" t="str">
        <f t="shared" si="133"/>
        <v/>
      </c>
      <c r="AB443" s="40" t="str">
        <f>IF(OR(L443="",V443=0),"",IF(AND(N(I443)&gt;0,N(INDEX('06-حزيران'!$I$2:$I$499,V443))&gt;0,INDEX('06-حزيران'!$F$2:$F$499,V443)=F443),N(I443)/N(INDEX('06-حزيران'!$I$2:$I$499,V443))-1,""))</f>
        <v/>
      </c>
      <c r="AC443" t="str">
        <f>IF(L443="","",IF(AND($AO$2=1,ISNA(MATCH(L443,'08-آب'!$L$2:$L$501,0))),"محذوف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IF(L444="","",IF($AO$1=1,IFERROR(MATCH(L444,'06-حزيران'!$L$2:$L$499,0),0),0))</f>
        <v/>
      </c>
      <c r="W444" t="str">
        <f t="shared" si="131"/>
        <v/>
      </c>
      <c r="X444" s="38" t="str">
        <f>IF(L444="","",IF(V444&gt;0,INDEX('06-حزيران'!$P$2:$P$499,V444),IF($AO$1=1,0,"")))</f>
        <v/>
      </c>
      <c r="Y444" s="38" t="str">
        <f t="shared" si="132"/>
        <v/>
      </c>
      <c r="Z444" s="39" t="str">
        <f>IF(L444="","",IF(V444&gt;0,INDEX('06-حزيران'!$Q$2:$Q$499,V444),IF($AO$1=1,0,"")))</f>
        <v/>
      </c>
      <c r="AA444" s="39" t="str">
        <f t="shared" si="133"/>
        <v/>
      </c>
      <c r="AB444" s="40" t="str">
        <f>IF(OR(L444="",V444=0),"",IF(AND(N(I444)&gt;0,N(INDEX('06-حزيران'!$I$2:$I$499,V444))&gt;0,INDEX('06-حزيران'!$F$2:$F$499,V444)=F444),N(I444)/N(INDEX('06-حزيران'!$I$2:$I$499,V444))-1,""))</f>
        <v/>
      </c>
      <c r="AC444" t="str">
        <f>IF(L444="","",IF(AND($AO$2=1,ISNA(MATCH(L444,'08-آب'!$L$2:$L$501,0))),"محذوف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IF(L445="","",IF($AO$1=1,IFERROR(MATCH(L445,'06-حزيران'!$L$2:$L$499,0),0),0))</f>
        <v/>
      </c>
      <c r="W445" t="str">
        <f t="shared" si="131"/>
        <v/>
      </c>
      <c r="X445" s="38" t="str">
        <f>IF(L445="","",IF(V445&gt;0,INDEX('06-حزيران'!$P$2:$P$499,V445),IF($AO$1=1,0,"")))</f>
        <v/>
      </c>
      <c r="Y445" s="38" t="str">
        <f t="shared" si="132"/>
        <v/>
      </c>
      <c r="Z445" s="39" t="str">
        <f>IF(L445="","",IF(V445&gt;0,INDEX('06-حزيران'!$Q$2:$Q$499,V445),IF($AO$1=1,0,"")))</f>
        <v/>
      </c>
      <c r="AA445" s="39" t="str">
        <f t="shared" si="133"/>
        <v/>
      </c>
      <c r="AB445" s="40" t="str">
        <f>IF(OR(L445="",V445=0),"",IF(AND(N(I445)&gt;0,N(INDEX('06-حزيران'!$I$2:$I$499,V445))&gt;0,INDEX('06-حزيران'!$F$2:$F$499,V445)=F445),N(I445)/N(INDEX('06-حزيران'!$I$2:$I$499,V445))-1,""))</f>
        <v/>
      </c>
      <c r="AC445" t="str">
        <f>IF(L445="","",IF(AND($AO$2=1,ISNA(MATCH(L445,'08-آب'!$L$2:$L$501,0))),"محذوف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IF(L446="","",IF($AO$1=1,IFERROR(MATCH(L446,'06-حزيران'!$L$2:$L$499,0),0),0))</f>
        <v/>
      </c>
      <c r="W446" t="str">
        <f t="shared" si="131"/>
        <v/>
      </c>
      <c r="X446" s="38" t="str">
        <f>IF(L446="","",IF(V446&gt;0,INDEX('06-حزيران'!$P$2:$P$499,V446),IF($AO$1=1,0,"")))</f>
        <v/>
      </c>
      <c r="Y446" s="38" t="str">
        <f t="shared" si="132"/>
        <v/>
      </c>
      <c r="Z446" s="39" t="str">
        <f>IF(L446="","",IF(V446&gt;0,INDEX('06-حزيران'!$Q$2:$Q$499,V446),IF($AO$1=1,0,"")))</f>
        <v/>
      </c>
      <c r="AA446" s="39" t="str">
        <f t="shared" si="133"/>
        <v/>
      </c>
      <c r="AB446" s="40" t="str">
        <f>IF(OR(L446="",V446=0),"",IF(AND(N(I446)&gt;0,N(INDEX('06-حزيران'!$I$2:$I$499,V446))&gt;0,INDEX('06-حزيران'!$F$2:$F$499,V446)=F446),N(I446)/N(INDEX('06-حزيران'!$I$2:$I$499,V446))-1,""))</f>
        <v/>
      </c>
      <c r="AC446" t="str">
        <f>IF(L446="","",IF(AND($AO$2=1,ISNA(MATCH(L446,'08-آب'!$L$2:$L$501,0))),"محذوف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IF(L447="","",IF($AO$1=1,IFERROR(MATCH(L447,'06-حزيران'!$L$2:$L$499,0),0),0))</f>
        <v/>
      </c>
      <c r="W447" t="str">
        <f t="shared" si="131"/>
        <v/>
      </c>
      <c r="X447" s="38" t="str">
        <f>IF(L447="","",IF(V447&gt;0,INDEX('06-حزيران'!$P$2:$P$499,V447),IF($AO$1=1,0,"")))</f>
        <v/>
      </c>
      <c r="Y447" s="38" t="str">
        <f t="shared" si="132"/>
        <v/>
      </c>
      <c r="Z447" s="39" t="str">
        <f>IF(L447="","",IF(V447&gt;0,INDEX('06-حزيران'!$Q$2:$Q$499,V447),IF($AO$1=1,0,"")))</f>
        <v/>
      </c>
      <c r="AA447" s="39" t="str">
        <f t="shared" si="133"/>
        <v/>
      </c>
      <c r="AB447" s="40" t="str">
        <f>IF(OR(L447="",V447=0),"",IF(AND(N(I447)&gt;0,N(INDEX('06-حزيران'!$I$2:$I$499,V447))&gt;0,INDEX('06-حزيران'!$F$2:$F$499,V447)=F447),N(I447)/N(INDEX('06-حزيران'!$I$2:$I$499,V447))-1,""))</f>
        <v/>
      </c>
      <c r="AC447" t="str">
        <f>IF(L447="","",IF(AND($AO$2=1,ISNA(MATCH(L447,'08-آب'!$L$2:$L$501,0))),"محذوف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IF(L448="","",IF($AO$1=1,IFERROR(MATCH(L448,'06-حزيران'!$L$2:$L$499,0),0),0))</f>
        <v/>
      </c>
      <c r="W448" t="str">
        <f t="shared" si="131"/>
        <v/>
      </c>
      <c r="X448" s="38" t="str">
        <f>IF(L448="","",IF(V448&gt;0,INDEX('06-حزيران'!$P$2:$P$499,V448),IF($AO$1=1,0,"")))</f>
        <v/>
      </c>
      <c r="Y448" s="38" t="str">
        <f t="shared" si="132"/>
        <v/>
      </c>
      <c r="Z448" s="39" t="str">
        <f>IF(L448="","",IF(V448&gt;0,INDEX('06-حزيران'!$Q$2:$Q$499,V448),IF($AO$1=1,0,"")))</f>
        <v/>
      </c>
      <c r="AA448" s="39" t="str">
        <f t="shared" si="133"/>
        <v/>
      </c>
      <c r="AB448" s="40" t="str">
        <f>IF(OR(L448="",V448=0),"",IF(AND(N(I448)&gt;0,N(INDEX('06-حزيران'!$I$2:$I$499,V448))&gt;0,INDEX('06-حزيران'!$F$2:$F$499,V448)=F448),N(I448)/N(INDEX('06-حزيران'!$I$2:$I$499,V448))-1,""))</f>
        <v/>
      </c>
      <c r="AC448" t="str">
        <f>IF(L448="","",IF(AND($AO$2=1,ISNA(MATCH(L448,'08-آب'!$L$2:$L$501,0))),"محذوف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ref="K449:K500" si="140">IF(L449="","",IF(U449&lt;&gt;"","⚠",""))</f>
        <v/>
      </c>
      <c r="L449" t="str">
        <f t="shared" ref="L449:L500" si="141">IF(A449="","",TRIM(A449))</f>
        <v/>
      </c>
      <c r="M449" s="36" t="str">
        <f t="shared" ref="M449:M500" si="142">IF(L449="","",IF(ISNUMBER(SEARCH("دولار",F449)),1,IF(ISNUMBER(SEARCH("ليرة",F449)),IF($AO$3&gt;0,1/$AO$3,0),0)))</f>
        <v/>
      </c>
      <c r="N449" s="37" t="str">
        <f t="shared" ref="N449:N500" si="143">IF(L449="","",N(I449)*M449)</f>
        <v/>
      </c>
      <c r="O449" s="37" t="str">
        <f t="shared" ref="O449:O500" si="144">IF(L449="","",M449*CHOOSE($AO$4,N(C449),N(D449),N(E449)))</f>
        <v/>
      </c>
      <c r="P449" s="38" t="str">
        <f t="shared" ref="P449:P500" si="145">IF(L449="","",MAX(N(B449),0))</f>
        <v/>
      </c>
      <c r="Q449" s="39" t="str">
        <f t="shared" ref="Q449:Q500" si="146">IF(L449="","",P449*N449)</f>
        <v/>
      </c>
      <c r="R449" s="39" t="str">
        <f t="shared" ref="R449:R500" si="147">IF(L449="","",P449*O449)</f>
        <v/>
      </c>
      <c r="S449" t="str">
        <f t="shared" ref="S449:S500" si="148">IF(L449="","",IF(AND(P449&gt;0,N449&gt;0,O449&gt;0),1,0))</f>
        <v/>
      </c>
      <c r="T449" s="39" t="str">
        <f t="shared" ref="T449:T500" si="149">IF(L449="","",S449*(R449-Q449))</f>
        <v/>
      </c>
      <c r="U449" t="str">
        <f t="shared" ref="U449:U500" si="150">IF(L449="","",MID(IF(OR(NOT(ISNUMBER(B449)),NOT(ISNUMBER(C449)),NOT(ISNUMBER(D449)),NOT(ISNUMBER(E449)),NOT(ISNUMBER(I449)),AND(NOT(ISNUMBER(SEARCH("دولار",F449))),NOT(ISNUMBER(SEARCH("ليرة",F449)))))," | بيانات غير صالحة","")&amp;IF(N(B449)&lt;0," | كمية سالبة","")&amp;IF(AND(N(B449)&gt;0,N(I449)=0)," | شراء صفر","")&amp;IF(AND(N(B449)&gt;0,TRIM(H449)=$AO$5,OR(N(C449)=0,N(D449)=0,N(E449)=0))," | بيع صفر","")&amp;IF(AND(N449&gt;0,O449&gt;0,O449&lt;N449)," | بيع أقل من الشراء","")&amp;IF(OR(AND(ISNUMBER(SEARCH("ليرة",F449)),OR(AND(N(I449)&gt;0,N(I449)&lt;$AO$6),AND(N(C449)&gt;0,N(C449)&lt;$AO$6),AND(N(D449)&gt;0,N(D449)&lt;$AO$6),AND(N(E449)&gt;0,N(E449)&lt;$AO$6))),AND(ISNUMBER(SEARCH("دولار",F449)),MAX(N(I449),N(C449),N(D449),N(E449))&gt;$AO$7))," | عملة/سعر مشكوك","")&amp;IF(AND(COUNTIF(C449:E449,"&gt;0")&gt;=2,MAX(N(C449),N(D449),N(E449))&gt;$AO$8*MIN(IF(N(C449)&gt;0,N(C449),1E+99),IF(N(D449)&gt;0,N(D449),1E+99),IF(N(E449)&gt;0,N(E449),1E+99)))," | تباين أسعار البيع","")&amp;IF(OR(TRIM(H449)="All",TRIM(H449)="")," | بلا تصنيف",""),4,300))</f>
        <v/>
      </c>
      <c r="V449" t="str">
        <f>IF(L449="","",IF($AO$1=1,IFERROR(MATCH(L449,'06-حزيران'!$L$2:$L$499,0),0),0))</f>
        <v/>
      </c>
      <c r="W449" t="str">
        <f t="shared" ref="W449:W500" si="151">IF(L449="","",IF(AND($AO$1=1,V449=0),"جديد",""))</f>
        <v/>
      </c>
      <c r="X449" s="38" t="str">
        <f>IF(L449="","",IF(V449&gt;0,INDEX('06-حزيران'!$P$2:$P$499,V449),IF($AO$1=1,0,"")))</f>
        <v/>
      </c>
      <c r="Y449" s="38" t="str">
        <f t="shared" ref="Y449:Y500" si="152">IF(OR(L449="",X449=""),"",P449-X449)</f>
        <v/>
      </c>
      <c r="Z449" s="39" t="str">
        <f>IF(L449="","",IF(V449&gt;0,INDEX('06-حزيران'!$Q$2:$Q$499,V449),IF($AO$1=1,0,"")))</f>
        <v/>
      </c>
      <c r="AA449" s="39" t="str">
        <f t="shared" ref="AA449:AA500" si="153">IF(OR(L449="",Z449=""),"",Q449-Z449)</f>
        <v/>
      </c>
      <c r="AB449" s="40" t="str">
        <f>IF(OR(L449="",V449=0),"",IF(AND(N(I449)&gt;0,N(INDEX('06-حزيران'!$I$2:$I$499,V449))&gt;0,INDEX('06-حزيران'!$F$2:$F$499,V449)=F449),N(I449)/N(INDEX('06-حزيران'!$I$2:$I$499,V449))-1,""))</f>
        <v/>
      </c>
      <c r="AC449" t="str">
        <f>IF(L449="","",IF(AND($AO$2=1,ISNA(MATCH(L449,'08-آب'!$L$2:$L$501,0))),"محذوف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ref="AG449:AG500" si="154">IF(AA449="","",ABS(AA449)+ROW()/1000000000)</f>
        <v/>
      </c>
      <c r="AH449" s="39" t="str">
        <f t="shared" ref="AH449:AH500" si="155">IF(L449="","",IF(AND(P449&gt;0,N449&gt;0,N(C449)&gt;0),P449*(M449*N(C449)-N449),0))</f>
        <v/>
      </c>
      <c r="AI449" s="39" t="str">
        <f t="shared" ref="AI449:AI500" si="156">IF(L449="","",IF(AND(P449&gt;0,N449&gt;0,N(D449)&gt;0),P449*(M449*N(D449)-N449),0))</f>
        <v/>
      </c>
      <c r="AJ449" s="39" t="str">
        <f t="shared" ref="AJ449:AJ500" si="157">IF(L449="","",IF(AND(P449&gt;0,N449&gt;0,N(E449)&gt;0),P449*(M449*N(E449)-N449),0))</f>
        <v/>
      </c>
      <c r="AK449" t="str">
        <f t="shared" ref="AK449:AK500" si="158">IF(L449="","",Q449+ROW()/1000000000)</f>
        <v/>
      </c>
      <c r="AL449" t="str">
        <f t="shared" ref="AL449:AL500" si="159">IF(L449="","",T449+ROW()/1000000000)</f>
        <v/>
      </c>
    </row>
    <row r="450" spans="11:38" ht="15">
      <c r="K450" t="str">
        <f t="shared" si="140"/>
        <v/>
      </c>
      <c r="L450" t="str">
        <f t="shared" si="141"/>
        <v/>
      </c>
      <c r="M450" s="36" t="str">
        <f t="shared" si="142"/>
        <v/>
      </c>
      <c r="N450" s="37" t="str">
        <f t="shared" si="143"/>
        <v/>
      </c>
      <c r="O450" s="37" t="str">
        <f t="shared" si="144"/>
        <v/>
      </c>
      <c r="P450" s="38" t="str">
        <f t="shared" si="145"/>
        <v/>
      </c>
      <c r="Q450" s="39" t="str">
        <f t="shared" si="146"/>
        <v/>
      </c>
      <c r="R450" s="39" t="str">
        <f t="shared" si="147"/>
        <v/>
      </c>
      <c r="S450" t="str">
        <f t="shared" si="148"/>
        <v/>
      </c>
      <c r="T450" s="39" t="str">
        <f t="shared" si="149"/>
        <v/>
      </c>
      <c r="U450" t="str">
        <f t="shared" si="150"/>
        <v/>
      </c>
      <c r="V450" t="str">
        <f>IF(L450="","",IF($AO$1=1,IFERROR(MATCH(L450,'06-حزيران'!$L$2:$L$499,0),0),0))</f>
        <v/>
      </c>
      <c r="W450" t="str">
        <f t="shared" si="151"/>
        <v/>
      </c>
      <c r="X450" s="38" t="str">
        <f>IF(L450="","",IF(V450&gt;0,INDEX('06-حزيران'!$P$2:$P$499,V450),IF($AO$1=1,0,"")))</f>
        <v/>
      </c>
      <c r="Y450" s="38" t="str">
        <f t="shared" si="152"/>
        <v/>
      </c>
      <c r="Z450" s="39" t="str">
        <f>IF(L450="","",IF(V450&gt;0,INDEX('06-حزيران'!$Q$2:$Q$499,V450),IF($AO$1=1,0,"")))</f>
        <v/>
      </c>
      <c r="AA450" s="39" t="str">
        <f t="shared" si="153"/>
        <v/>
      </c>
      <c r="AB450" s="40" t="str">
        <f>IF(OR(L450="",V450=0),"",IF(AND(N(I450)&gt;0,N(INDEX('06-حزيران'!$I$2:$I$499,V450))&gt;0,INDEX('06-حزيران'!$F$2:$F$499,V450)=F450),N(I450)/N(INDEX('06-حزيران'!$I$2:$I$499,V450))-1,""))</f>
        <v/>
      </c>
      <c r="AC450" t="str">
        <f>IF(L450="","",IF(AND($AO$2=1,ISNA(MATCH(L450,'08-آب'!$L$2:$L$501,0))),"محذوف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si="154"/>
        <v/>
      </c>
      <c r="AH450" s="39" t="str">
        <f t="shared" si="155"/>
        <v/>
      </c>
      <c r="AI450" s="39" t="str">
        <f t="shared" si="156"/>
        <v/>
      </c>
      <c r="AJ450" s="39" t="str">
        <f t="shared" si="157"/>
        <v/>
      </c>
      <c r="AK450" t="str">
        <f t="shared" si="158"/>
        <v/>
      </c>
      <c r="AL450" t="str">
        <f t="shared" si="159"/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IF(L451="","",IF($AO$1=1,IFERROR(MATCH(L451,'06-حزيران'!$L$2:$L$499,0),0),0))</f>
        <v/>
      </c>
      <c r="W451" t="str">
        <f t="shared" si="151"/>
        <v/>
      </c>
      <c r="X451" s="38" t="str">
        <f>IF(L451="","",IF(V451&gt;0,INDEX('06-حزيران'!$P$2:$P$499,V451),IF($AO$1=1,0,"")))</f>
        <v/>
      </c>
      <c r="Y451" s="38" t="str">
        <f t="shared" si="152"/>
        <v/>
      </c>
      <c r="Z451" s="39" t="str">
        <f>IF(L451="","",IF(V451&gt;0,INDEX('06-حزيران'!$Q$2:$Q$499,V451),IF($AO$1=1,0,"")))</f>
        <v/>
      </c>
      <c r="AA451" s="39" t="str">
        <f t="shared" si="153"/>
        <v/>
      </c>
      <c r="AB451" s="40" t="str">
        <f>IF(OR(L451="",V451=0),"",IF(AND(N(I451)&gt;0,N(INDEX('06-حزيران'!$I$2:$I$499,V451))&gt;0,INDEX('06-حزيران'!$F$2:$F$499,V451)=F451),N(I451)/N(INDEX('06-حزيران'!$I$2:$I$499,V451))-1,""))</f>
        <v/>
      </c>
      <c r="AC451" t="str">
        <f>IF(L451="","",IF(AND($AO$2=1,ISNA(MATCH(L451,'08-آب'!$L$2:$L$501,0))),"محذوف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IF(L452="","",IF($AO$1=1,IFERROR(MATCH(L452,'06-حزيران'!$L$2:$L$499,0),0),0))</f>
        <v/>
      </c>
      <c r="W452" t="str">
        <f t="shared" si="151"/>
        <v/>
      </c>
      <c r="X452" s="38" t="str">
        <f>IF(L452="","",IF(V452&gt;0,INDEX('06-حزيران'!$P$2:$P$499,V452),IF($AO$1=1,0,"")))</f>
        <v/>
      </c>
      <c r="Y452" s="38" t="str">
        <f t="shared" si="152"/>
        <v/>
      </c>
      <c r="Z452" s="39" t="str">
        <f>IF(L452="","",IF(V452&gt;0,INDEX('06-حزيران'!$Q$2:$Q$499,V452),IF($AO$1=1,0,"")))</f>
        <v/>
      </c>
      <c r="AA452" s="39" t="str">
        <f t="shared" si="153"/>
        <v/>
      </c>
      <c r="AB452" s="40" t="str">
        <f>IF(OR(L452="",V452=0),"",IF(AND(N(I452)&gt;0,N(INDEX('06-حزيران'!$I$2:$I$499,V452))&gt;0,INDEX('06-حزيران'!$F$2:$F$499,V452)=F452),N(I452)/N(INDEX('06-حزيران'!$I$2:$I$499,V452))-1,""))</f>
        <v/>
      </c>
      <c r="AC452" t="str">
        <f>IF(L452="","",IF(AND($AO$2=1,ISNA(MATCH(L452,'08-آب'!$L$2:$L$501,0))),"محذوف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IF(L453="","",IF($AO$1=1,IFERROR(MATCH(L453,'06-حزيران'!$L$2:$L$499,0),0),0))</f>
        <v/>
      </c>
      <c r="W453" t="str">
        <f t="shared" si="151"/>
        <v/>
      </c>
      <c r="X453" s="38" t="str">
        <f>IF(L453="","",IF(V453&gt;0,INDEX('06-حزيران'!$P$2:$P$499,V453),IF($AO$1=1,0,"")))</f>
        <v/>
      </c>
      <c r="Y453" s="38" t="str">
        <f t="shared" si="152"/>
        <v/>
      </c>
      <c r="Z453" s="39" t="str">
        <f>IF(L453="","",IF(V453&gt;0,INDEX('06-حزيران'!$Q$2:$Q$499,V453),IF($AO$1=1,0,"")))</f>
        <v/>
      </c>
      <c r="AA453" s="39" t="str">
        <f t="shared" si="153"/>
        <v/>
      </c>
      <c r="AB453" s="40" t="str">
        <f>IF(OR(L453="",V453=0),"",IF(AND(N(I453)&gt;0,N(INDEX('06-حزيران'!$I$2:$I$499,V453))&gt;0,INDEX('06-حزيران'!$F$2:$F$499,V453)=F453),N(I453)/N(INDEX('06-حزيران'!$I$2:$I$499,V453))-1,""))</f>
        <v/>
      </c>
      <c r="AC453" t="str">
        <f>IF(L453="","",IF(AND($AO$2=1,ISNA(MATCH(L453,'08-آب'!$L$2:$L$501,0))),"محذوف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IF(L454="","",IF($AO$1=1,IFERROR(MATCH(L454,'06-حزيران'!$L$2:$L$499,0),0),0))</f>
        <v/>
      </c>
      <c r="W454" t="str">
        <f t="shared" si="151"/>
        <v/>
      </c>
      <c r="X454" s="38" t="str">
        <f>IF(L454="","",IF(V454&gt;0,INDEX('06-حزيران'!$P$2:$P$499,V454),IF($AO$1=1,0,"")))</f>
        <v/>
      </c>
      <c r="Y454" s="38" t="str">
        <f t="shared" si="152"/>
        <v/>
      </c>
      <c r="Z454" s="39" t="str">
        <f>IF(L454="","",IF(V454&gt;0,INDEX('06-حزيران'!$Q$2:$Q$499,V454),IF($AO$1=1,0,"")))</f>
        <v/>
      </c>
      <c r="AA454" s="39" t="str">
        <f t="shared" si="153"/>
        <v/>
      </c>
      <c r="AB454" s="40" t="str">
        <f>IF(OR(L454="",V454=0),"",IF(AND(N(I454)&gt;0,N(INDEX('06-حزيران'!$I$2:$I$499,V454))&gt;0,INDEX('06-حزيران'!$F$2:$F$499,V454)=F454),N(I454)/N(INDEX('06-حزيران'!$I$2:$I$499,V454))-1,""))</f>
        <v/>
      </c>
      <c r="AC454" t="str">
        <f>IF(L454="","",IF(AND($AO$2=1,ISNA(MATCH(L454,'08-آب'!$L$2:$L$501,0))),"محذوف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IF(L455="","",IF($AO$1=1,IFERROR(MATCH(L455,'06-حزيران'!$L$2:$L$499,0),0),0))</f>
        <v/>
      </c>
      <c r="W455" t="str">
        <f t="shared" si="151"/>
        <v/>
      </c>
      <c r="X455" s="38" t="str">
        <f>IF(L455="","",IF(V455&gt;0,INDEX('06-حزيران'!$P$2:$P$499,V455),IF($AO$1=1,0,"")))</f>
        <v/>
      </c>
      <c r="Y455" s="38" t="str">
        <f t="shared" si="152"/>
        <v/>
      </c>
      <c r="Z455" s="39" t="str">
        <f>IF(L455="","",IF(V455&gt;0,INDEX('06-حزيران'!$Q$2:$Q$499,V455),IF($AO$1=1,0,"")))</f>
        <v/>
      </c>
      <c r="AA455" s="39" t="str">
        <f t="shared" si="153"/>
        <v/>
      </c>
      <c r="AB455" s="40" t="str">
        <f>IF(OR(L455="",V455=0),"",IF(AND(N(I455)&gt;0,N(INDEX('06-حزيران'!$I$2:$I$499,V455))&gt;0,INDEX('06-حزيران'!$F$2:$F$499,V455)=F455),N(I455)/N(INDEX('06-حزيران'!$I$2:$I$499,V455))-1,""))</f>
        <v/>
      </c>
      <c r="AC455" t="str">
        <f>IF(L455="","",IF(AND($AO$2=1,ISNA(MATCH(L455,'08-آب'!$L$2:$L$501,0))),"محذوف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IF(L456="","",IF($AO$1=1,IFERROR(MATCH(L456,'06-حزيران'!$L$2:$L$499,0),0),0))</f>
        <v/>
      </c>
      <c r="W456" t="str">
        <f t="shared" si="151"/>
        <v/>
      </c>
      <c r="X456" s="38" t="str">
        <f>IF(L456="","",IF(V456&gt;0,INDEX('06-حزيران'!$P$2:$P$499,V456),IF($AO$1=1,0,"")))</f>
        <v/>
      </c>
      <c r="Y456" s="38" t="str">
        <f t="shared" si="152"/>
        <v/>
      </c>
      <c r="Z456" s="39" t="str">
        <f>IF(L456="","",IF(V456&gt;0,INDEX('06-حزيران'!$Q$2:$Q$499,V456),IF($AO$1=1,0,"")))</f>
        <v/>
      </c>
      <c r="AA456" s="39" t="str">
        <f t="shared" si="153"/>
        <v/>
      </c>
      <c r="AB456" s="40" t="str">
        <f>IF(OR(L456="",V456=0),"",IF(AND(N(I456)&gt;0,N(INDEX('06-حزيران'!$I$2:$I$499,V456))&gt;0,INDEX('06-حزيران'!$F$2:$F$499,V456)=F456),N(I456)/N(INDEX('06-حزيران'!$I$2:$I$499,V456))-1,""))</f>
        <v/>
      </c>
      <c r="AC456" t="str">
        <f>IF(L456="","",IF(AND($AO$2=1,ISNA(MATCH(L456,'08-آب'!$L$2:$L$501,0))),"محذوف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IF(L457="","",IF($AO$1=1,IFERROR(MATCH(L457,'06-حزيران'!$L$2:$L$499,0),0),0))</f>
        <v/>
      </c>
      <c r="W457" t="str">
        <f t="shared" si="151"/>
        <v/>
      </c>
      <c r="X457" s="38" t="str">
        <f>IF(L457="","",IF(V457&gt;0,INDEX('06-حزيران'!$P$2:$P$499,V457),IF($AO$1=1,0,"")))</f>
        <v/>
      </c>
      <c r="Y457" s="38" t="str">
        <f t="shared" si="152"/>
        <v/>
      </c>
      <c r="Z457" s="39" t="str">
        <f>IF(L457="","",IF(V457&gt;0,INDEX('06-حزيران'!$Q$2:$Q$499,V457),IF($AO$1=1,0,"")))</f>
        <v/>
      </c>
      <c r="AA457" s="39" t="str">
        <f t="shared" si="153"/>
        <v/>
      </c>
      <c r="AB457" s="40" t="str">
        <f>IF(OR(L457="",V457=0),"",IF(AND(N(I457)&gt;0,N(INDEX('06-حزيران'!$I$2:$I$499,V457))&gt;0,INDEX('06-حزيران'!$F$2:$F$499,V457)=F457),N(I457)/N(INDEX('06-حزيران'!$I$2:$I$499,V457))-1,""))</f>
        <v/>
      </c>
      <c r="AC457" t="str">
        <f>IF(L457="","",IF(AND($AO$2=1,ISNA(MATCH(L457,'08-آب'!$L$2:$L$501,0))),"محذوف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IF(L458="","",IF($AO$1=1,IFERROR(MATCH(L458,'06-حزيران'!$L$2:$L$499,0),0),0))</f>
        <v/>
      </c>
      <c r="W458" t="str">
        <f t="shared" si="151"/>
        <v/>
      </c>
      <c r="X458" s="38" t="str">
        <f>IF(L458="","",IF(V458&gt;0,INDEX('06-حزيران'!$P$2:$P$499,V458),IF($AO$1=1,0,"")))</f>
        <v/>
      </c>
      <c r="Y458" s="38" t="str">
        <f t="shared" si="152"/>
        <v/>
      </c>
      <c r="Z458" s="39" t="str">
        <f>IF(L458="","",IF(V458&gt;0,INDEX('06-حزيران'!$Q$2:$Q$499,V458),IF($AO$1=1,0,"")))</f>
        <v/>
      </c>
      <c r="AA458" s="39" t="str">
        <f t="shared" si="153"/>
        <v/>
      </c>
      <c r="AB458" s="40" t="str">
        <f>IF(OR(L458="",V458=0),"",IF(AND(N(I458)&gt;0,N(INDEX('06-حزيران'!$I$2:$I$499,V458))&gt;0,INDEX('06-حزيران'!$F$2:$F$499,V458)=F458),N(I458)/N(INDEX('06-حزيران'!$I$2:$I$499,V458))-1,""))</f>
        <v/>
      </c>
      <c r="AC458" t="str">
        <f>IF(L458="","",IF(AND($AO$2=1,ISNA(MATCH(L458,'08-آب'!$L$2:$L$501,0))),"محذوف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IF(L459="","",IF($AO$1=1,IFERROR(MATCH(L459,'06-حزيران'!$L$2:$L$499,0),0),0))</f>
        <v/>
      </c>
      <c r="W459" t="str">
        <f t="shared" si="151"/>
        <v/>
      </c>
      <c r="X459" s="38" t="str">
        <f>IF(L459="","",IF(V459&gt;0,INDEX('06-حزيران'!$P$2:$P$499,V459),IF($AO$1=1,0,"")))</f>
        <v/>
      </c>
      <c r="Y459" s="38" t="str">
        <f t="shared" si="152"/>
        <v/>
      </c>
      <c r="Z459" s="39" t="str">
        <f>IF(L459="","",IF(V459&gt;0,INDEX('06-حزيران'!$Q$2:$Q$499,V459),IF($AO$1=1,0,"")))</f>
        <v/>
      </c>
      <c r="AA459" s="39" t="str">
        <f t="shared" si="153"/>
        <v/>
      </c>
      <c r="AB459" s="40" t="str">
        <f>IF(OR(L459="",V459=0),"",IF(AND(N(I459)&gt;0,N(INDEX('06-حزيران'!$I$2:$I$499,V459))&gt;0,INDEX('06-حزيران'!$F$2:$F$499,V459)=F459),N(I459)/N(INDEX('06-حزيران'!$I$2:$I$499,V459))-1,""))</f>
        <v/>
      </c>
      <c r="AC459" t="str">
        <f>IF(L459="","",IF(AND($AO$2=1,ISNA(MATCH(L459,'08-آب'!$L$2:$L$501,0))),"محذوف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IF(L460="","",IF($AO$1=1,IFERROR(MATCH(L460,'06-حزيران'!$L$2:$L$499,0),0),0))</f>
        <v/>
      </c>
      <c r="W460" t="str">
        <f t="shared" si="151"/>
        <v/>
      </c>
      <c r="X460" s="38" t="str">
        <f>IF(L460="","",IF(V460&gt;0,INDEX('06-حزيران'!$P$2:$P$499,V460),IF($AO$1=1,0,"")))</f>
        <v/>
      </c>
      <c r="Y460" s="38" t="str">
        <f t="shared" si="152"/>
        <v/>
      </c>
      <c r="Z460" s="39" t="str">
        <f>IF(L460="","",IF(V460&gt;0,INDEX('06-حزيران'!$Q$2:$Q$499,V460),IF($AO$1=1,0,"")))</f>
        <v/>
      </c>
      <c r="AA460" s="39" t="str">
        <f t="shared" si="153"/>
        <v/>
      </c>
      <c r="AB460" s="40" t="str">
        <f>IF(OR(L460="",V460=0),"",IF(AND(N(I460)&gt;0,N(INDEX('06-حزيران'!$I$2:$I$499,V460))&gt;0,INDEX('06-حزيران'!$F$2:$F$499,V460)=F460),N(I460)/N(INDEX('06-حزيران'!$I$2:$I$499,V460))-1,""))</f>
        <v/>
      </c>
      <c r="AC460" t="str">
        <f>IF(L460="","",IF(AND($AO$2=1,ISNA(MATCH(L460,'08-آب'!$L$2:$L$501,0))),"محذوف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IF(L461="","",IF($AO$1=1,IFERROR(MATCH(L461,'06-حزيران'!$L$2:$L$499,0),0),0))</f>
        <v/>
      </c>
      <c r="W461" t="str">
        <f t="shared" si="151"/>
        <v/>
      </c>
      <c r="X461" s="38" t="str">
        <f>IF(L461="","",IF(V461&gt;0,INDEX('06-حزيران'!$P$2:$P$499,V461),IF($AO$1=1,0,"")))</f>
        <v/>
      </c>
      <c r="Y461" s="38" t="str">
        <f t="shared" si="152"/>
        <v/>
      </c>
      <c r="Z461" s="39" t="str">
        <f>IF(L461="","",IF(V461&gt;0,INDEX('06-حزيران'!$Q$2:$Q$499,V461),IF($AO$1=1,0,"")))</f>
        <v/>
      </c>
      <c r="AA461" s="39" t="str">
        <f t="shared" si="153"/>
        <v/>
      </c>
      <c r="AB461" s="40" t="str">
        <f>IF(OR(L461="",V461=0),"",IF(AND(N(I461)&gt;0,N(INDEX('06-حزيران'!$I$2:$I$499,V461))&gt;0,INDEX('06-حزيران'!$F$2:$F$499,V461)=F461),N(I461)/N(INDEX('06-حزيران'!$I$2:$I$499,V461))-1,""))</f>
        <v/>
      </c>
      <c r="AC461" t="str">
        <f>IF(L461="","",IF(AND($AO$2=1,ISNA(MATCH(L461,'08-آب'!$L$2:$L$501,0))),"محذوف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IF(L462="","",IF($AO$1=1,IFERROR(MATCH(L462,'06-حزيران'!$L$2:$L$499,0),0),0))</f>
        <v/>
      </c>
      <c r="W462" t="str">
        <f t="shared" si="151"/>
        <v/>
      </c>
      <c r="X462" s="38" t="str">
        <f>IF(L462="","",IF(V462&gt;0,INDEX('06-حزيران'!$P$2:$P$499,V462),IF($AO$1=1,0,"")))</f>
        <v/>
      </c>
      <c r="Y462" s="38" t="str">
        <f t="shared" si="152"/>
        <v/>
      </c>
      <c r="Z462" s="39" t="str">
        <f>IF(L462="","",IF(V462&gt;0,INDEX('06-حزيران'!$Q$2:$Q$499,V462),IF($AO$1=1,0,"")))</f>
        <v/>
      </c>
      <c r="AA462" s="39" t="str">
        <f t="shared" si="153"/>
        <v/>
      </c>
      <c r="AB462" s="40" t="str">
        <f>IF(OR(L462="",V462=0),"",IF(AND(N(I462)&gt;0,N(INDEX('06-حزيران'!$I$2:$I$499,V462))&gt;0,INDEX('06-حزيران'!$F$2:$F$499,V462)=F462),N(I462)/N(INDEX('06-حزيران'!$I$2:$I$499,V462))-1,""))</f>
        <v/>
      </c>
      <c r="AC462" t="str">
        <f>IF(L462="","",IF(AND($AO$2=1,ISNA(MATCH(L462,'08-آب'!$L$2:$L$501,0))),"محذوف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IF(L463="","",IF($AO$1=1,IFERROR(MATCH(L463,'06-حزيران'!$L$2:$L$499,0),0),0))</f>
        <v/>
      </c>
      <c r="W463" t="str">
        <f t="shared" si="151"/>
        <v/>
      </c>
      <c r="X463" s="38" t="str">
        <f>IF(L463="","",IF(V463&gt;0,INDEX('06-حزيران'!$P$2:$P$499,V463),IF($AO$1=1,0,"")))</f>
        <v/>
      </c>
      <c r="Y463" s="38" t="str">
        <f t="shared" si="152"/>
        <v/>
      </c>
      <c r="Z463" s="39" t="str">
        <f>IF(L463="","",IF(V463&gt;0,INDEX('06-حزيران'!$Q$2:$Q$499,V463),IF($AO$1=1,0,"")))</f>
        <v/>
      </c>
      <c r="AA463" s="39" t="str">
        <f t="shared" si="153"/>
        <v/>
      </c>
      <c r="AB463" s="40" t="str">
        <f>IF(OR(L463="",V463=0),"",IF(AND(N(I463)&gt;0,N(INDEX('06-حزيران'!$I$2:$I$499,V463))&gt;0,INDEX('06-حزيران'!$F$2:$F$499,V463)=F463),N(I463)/N(INDEX('06-حزيران'!$I$2:$I$499,V463))-1,""))</f>
        <v/>
      </c>
      <c r="AC463" t="str">
        <f>IF(L463="","",IF(AND($AO$2=1,ISNA(MATCH(L463,'08-آب'!$L$2:$L$501,0))),"محذوف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IF(L464="","",IF($AO$1=1,IFERROR(MATCH(L464,'06-حزيران'!$L$2:$L$499,0),0),0))</f>
        <v/>
      </c>
      <c r="W464" t="str">
        <f t="shared" si="151"/>
        <v/>
      </c>
      <c r="X464" s="38" t="str">
        <f>IF(L464="","",IF(V464&gt;0,INDEX('06-حزيران'!$P$2:$P$499,V464),IF($AO$1=1,0,"")))</f>
        <v/>
      </c>
      <c r="Y464" s="38" t="str">
        <f t="shared" si="152"/>
        <v/>
      </c>
      <c r="Z464" s="39" t="str">
        <f>IF(L464="","",IF(V464&gt;0,INDEX('06-حزيران'!$Q$2:$Q$499,V464),IF($AO$1=1,0,"")))</f>
        <v/>
      </c>
      <c r="AA464" s="39" t="str">
        <f t="shared" si="153"/>
        <v/>
      </c>
      <c r="AB464" s="40" t="str">
        <f>IF(OR(L464="",V464=0),"",IF(AND(N(I464)&gt;0,N(INDEX('06-حزيران'!$I$2:$I$499,V464))&gt;0,INDEX('06-حزيران'!$F$2:$F$499,V464)=F464),N(I464)/N(INDEX('06-حزيران'!$I$2:$I$499,V464))-1,""))</f>
        <v/>
      </c>
      <c r="AC464" t="str">
        <f>IF(L464="","",IF(AND($AO$2=1,ISNA(MATCH(L464,'08-آب'!$L$2:$L$501,0))),"محذوف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IF(L465="","",IF($AO$1=1,IFERROR(MATCH(L465,'06-حزيران'!$L$2:$L$499,0),0),0))</f>
        <v/>
      </c>
      <c r="W465" t="str">
        <f t="shared" si="151"/>
        <v/>
      </c>
      <c r="X465" s="38" t="str">
        <f>IF(L465="","",IF(V465&gt;0,INDEX('06-حزيران'!$P$2:$P$499,V465),IF($AO$1=1,0,"")))</f>
        <v/>
      </c>
      <c r="Y465" s="38" t="str">
        <f t="shared" si="152"/>
        <v/>
      </c>
      <c r="Z465" s="39" t="str">
        <f>IF(L465="","",IF(V465&gt;0,INDEX('06-حزيران'!$Q$2:$Q$499,V465),IF($AO$1=1,0,"")))</f>
        <v/>
      </c>
      <c r="AA465" s="39" t="str">
        <f t="shared" si="153"/>
        <v/>
      </c>
      <c r="AB465" s="40" t="str">
        <f>IF(OR(L465="",V465=0),"",IF(AND(N(I465)&gt;0,N(INDEX('06-حزيران'!$I$2:$I$499,V465))&gt;0,INDEX('06-حزيران'!$F$2:$F$499,V465)=F465),N(I465)/N(INDEX('06-حزيران'!$I$2:$I$499,V465))-1,""))</f>
        <v/>
      </c>
      <c r="AC465" t="str">
        <f>IF(L465="","",IF(AND($AO$2=1,ISNA(MATCH(L465,'08-آب'!$L$2:$L$501,0))),"محذوف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IF(L466="","",IF($AO$1=1,IFERROR(MATCH(L466,'06-حزيران'!$L$2:$L$499,0),0),0))</f>
        <v/>
      </c>
      <c r="W466" t="str">
        <f t="shared" si="151"/>
        <v/>
      </c>
      <c r="X466" s="38" t="str">
        <f>IF(L466="","",IF(V466&gt;0,INDEX('06-حزيران'!$P$2:$P$499,V466),IF($AO$1=1,0,"")))</f>
        <v/>
      </c>
      <c r="Y466" s="38" t="str">
        <f t="shared" si="152"/>
        <v/>
      </c>
      <c r="Z466" s="39" t="str">
        <f>IF(L466="","",IF(V466&gt;0,INDEX('06-حزيران'!$Q$2:$Q$499,V466),IF($AO$1=1,0,"")))</f>
        <v/>
      </c>
      <c r="AA466" s="39" t="str">
        <f t="shared" si="153"/>
        <v/>
      </c>
      <c r="AB466" s="40" t="str">
        <f>IF(OR(L466="",V466=0),"",IF(AND(N(I466)&gt;0,N(INDEX('06-حزيران'!$I$2:$I$499,V466))&gt;0,INDEX('06-حزيران'!$F$2:$F$499,V466)=F466),N(I466)/N(INDEX('06-حزيران'!$I$2:$I$499,V466))-1,""))</f>
        <v/>
      </c>
      <c r="AC466" t="str">
        <f>IF(L466="","",IF(AND($AO$2=1,ISNA(MATCH(L466,'08-آب'!$L$2:$L$501,0))),"محذوف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IF(L467="","",IF($AO$1=1,IFERROR(MATCH(L467,'06-حزيران'!$L$2:$L$499,0),0),0))</f>
        <v/>
      </c>
      <c r="W467" t="str">
        <f t="shared" si="151"/>
        <v/>
      </c>
      <c r="X467" s="38" t="str">
        <f>IF(L467="","",IF(V467&gt;0,INDEX('06-حزيران'!$P$2:$P$499,V467),IF($AO$1=1,0,"")))</f>
        <v/>
      </c>
      <c r="Y467" s="38" t="str">
        <f t="shared" si="152"/>
        <v/>
      </c>
      <c r="Z467" s="39" t="str">
        <f>IF(L467="","",IF(V467&gt;0,INDEX('06-حزيران'!$Q$2:$Q$499,V467),IF($AO$1=1,0,"")))</f>
        <v/>
      </c>
      <c r="AA467" s="39" t="str">
        <f t="shared" si="153"/>
        <v/>
      </c>
      <c r="AB467" s="40" t="str">
        <f>IF(OR(L467="",V467=0),"",IF(AND(N(I467)&gt;0,N(INDEX('06-حزيران'!$I$2:$I$499,V467))&gt;0,INDEX('06-حزيران'!$F$2:$F$499,V467)=F467),N(I467)/N(INDEX('06-حزيران'!$I$2:$I$499,V467))-1,""))</f>
        <v/>
      </c>
      <c r="AC467" t="str">
        <f>IF(L467="","",IF(AND($AO$2=1,ISNA(MATCH(L467,'08-آب'!$L$2:$L$501,0))),"محذوف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IF(L468="","",IF($AO$1=1,IFERROR(MATCH(L468,'06-حزيران'!$L$2:$L$499,0),0),0))</f>
        <v/>
      </c>
      <c r="W468" t="str">
        <f t="shared" si="151"/>
        <v/>
      </c>
      <c r="X468" s="38" t="str">
        <f>IF(L468="","",IF(V468&gt;0,INDEX('06-حزيران'!$P$2:$P$499,V468),IF($AO$1=1,0,"")))</f>
        <v/>
      </c>
      <c r="Y468" s="38" t="str">
        <f t="shared" si="152"/>
        <v/>
      </c>
      <c r="Z468" s="39" t="str">
        <f>IF(L468="","",IF(V468&gt;0,INDEX('06-حزيران'!$Q$2:$Q$499,V468),IF($AO$1=1,0,"")))</f>
        <v/>
      </c>
      <c r="AA468" s="39" t="str">
        <f t="shared" si="153"/>
        <v/>
      </c>
      <c r="AB468" s="40" t="str">
        <f>IF(OR(L468="",V468=0),"",IF(AND(N(I468)&gt;0,N(INDEX('06-حزيران'!$I$2:$I$499,V468))&gt;0,INDEX('06-حزيران'!$F$2:$F$499,V468)=F468),N(I468)/N(INDEX('06-حزيران'!$I$2:$I$499,V468))-1,""))</f>
        <v/>
      </c>
      <c r="AC468" t="str">
        <f>IF(L468="","",IF(AND($AO$2=1,ISNA(MATCH(L468,'08-آب'!$L$2:$L$501,0))),"محذوف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IF(L469="","",IF($AO$1=1,IFERROR(MATCH(L469,'06-حزيران'!$L$2:$L$499,0),0),0))</f>
        <v/>
      </c>
      <c r="W469" t="str">
        <f t="shared" si="151"/>
        <v/>
      </c>
      <c r="X469" s="38" t="str">
        <f>IF(L469="","",IF(V469&gt;0,INDEX('06-حزيران'!$P$2:$P$499,V469),IF($AO$1=1,0,"")))</f>
        <v/>
      </c>
      <c r="Y469" s="38" t="str">
        <f t="shared" si="152"/>
        <v/>
      </c>
      <c r="Z469" s="39" t="str">
        <f>IF(L469="","",IF(V469&gt;0,INDEX('06-حزيران'!$Q$2:$Q$499,V469),IF($AO$1=1,0,"")))</f>
        <v/>
      </c>
      <c r="AA469" s="39" t="str">
        <f t="shared" si="153"/>
        <v/>
      </c>
      <c r="AB469" s="40" t="str">
        <f>IF(OR(L469="",V469=0),"",IF(AND(N(I469)&gt;0,N(INDEX('06-حزيران'!$I$2:$I$499,V469))&gt;0,INDEX('06-حزيران'!$F$2:$F$499,V469)=F469),N(I469)/N(INDEX('06-حزيران'!$I$2:$I$499,V469))-1,""))</f>
        <v/>
      </c>
      <c r="AC469" t="str">
        <f>IF(L469="","",IF(AND($AO$2=1,ISNA(MATCH(L469,'08-آب'!$L$2:$L$501,0))),"محذوف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IF(L470="","",IF($AO$1=1,IFERROR(MATCH(L470,'06-حزيران'!$L$2:$L$499,0),0),0))</f>
        <v/>
      </c>
      <c r="W470" t="str">
        <f t="shared" si="151"/>
        <v/>
      </c>
      <c r="X470" s="38" t="str">
        <f>IF(L470="","",IF(V470&gt;0,INDEX('06-حزيران'!$P$2:$P$499,V470),IF($AO$1=1,0,"")))</f>
        <v/>
      </c>
      <c r="Y470" s="38" t="str">
        <f t="shared" si="152"/>
        <v/>
      </c>
      <c r="Z470" s="39" t="str">
        <f>IF(L470="","",IF(V470&gt;0,INDEX('06-حزيران'!$Q$2:$Q$499,V470),IF($AO$1=1,0,"")))</f>
        <v/>
      </c>
      <c r="AA470" s="39" t="str">
        <f t="shared" si="153"/>
        <v/>
      </c>
      <c r="AB470" s="40" t="str">
        <f>IF(OR(L470="",V470=0),"",IF(AND(N(I470)&gt;0,N(INDEX('06-حزيران'!$I$2:$I$499,V470))&gt;0,INDEX('06-حزيران'!$F$2:$F$499,V470)=F470),N(I470)/N(INDEX('06-حزيران'!$I$2:$I$499,V470))-1,""))</f>
        <v/>
      </c>
      <c r="AC470" t="str">
        <f>IF(L470="","",IF(AND($AO$2=1,ISNA(MATCH(L470,'08-آب'!$L$2:$L$501,0))),"محذوف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IF(L471="","",IF($AO$1=1,IFERROR(MATCH(L471,'06-حزيران'!$L$2:$L$499,0),0),0))</f>
        <v/>
      </c>
      <c r="W471" t="str">
        <f t="shared" si="151"/>
        <v/>
      </c>
      <c r="X471" s="38" t="str">
        <f>IF(L471="","",IF(V471&gt;0,INDEX('06-حزيران'!$P$2:$P$499,V471),IF($AO$1=1,0,"")))</f>
        <v/>
      </c>
      <c r="Y471" s="38" t="str">
        <f t="shared" si="152"/>
        <v/>
      </c>
      <c r="Z471" s="39" t="str">
        <f>IF(L471="","",IF(V471&gt;0,INDEX('06-حزيران'!$Q$2:$Q$499,V471),IF($AO$1=1,0,"")))</f>
        <v/>
      </c>
      <c r="AA471" s="39" t="str">
        <f t="shared" si="153"/>
        <v/>
      </c>
      <c r="AB471" s="40" t="str">
        <f>IF(OR(L471="",V471=0),"",IF(AND(N(I471)&gt;0,N(INDEX('06-حزيران'!$I$2:$I$499,V471))&gt;0,INDEX('06-حزيران'!$F$2:$F$499,V471)=F471),N(I471)/N(INDEX('06-حزيران'!$I$2:$I$499,V471))-1,""))</f>
        <v/>
      </c>
      <c r="AC471" t="str">
        <f>IF(L471="","",IF(AND($AO$2=1,ISNA(MATCH(L471,'08-آب'!$L$2:$L$501,0))),"محذوف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IF(L472="","",IF($AO$1=1,IFERROR(MATCH(L472,'06-حزيران'!$L$2:$L$499,0),0),0))</f>
        <v/>
      </c>
      <c r="W472" t="str">
        <f t="shared" si="151"/>
        <v/>
      </c>
      <c r="X472" s="38" t="str">
        <f>IF(L472="","",IF(V472&gt;0,INDEX('06-حزيران'!$P$2:$P$499,V472),IF($AO$1=1,0,"")))</f>
        <v/>
      </c>
      <c r="Y472" s="38" t="str">
        <f t="shared" si="152"/>
        <v/>
      </c>
      <c r="Z472" s="39" t="str">
        <f>IF(L472="","",IF(V472&gt;0,INDEX('06-حزيران'!$Q$2:$Q$499,V472),IF($AO$1=1,0,"")))</f>
        <v/>
      </c>
      <c r="AA472" s="39" t="str">
        <f t="shared" si="153"/>
        <v/>
      </c>
      <c r="AB472" s="40" t="str">
        <f>IF(OR(L472="",V472=0),"",IF(AND(N(I472)&gt;0,N(INDEX('06-حزيران'!$I$2:$I$499,V472))&gt;0,INDEX('06-حزيران'!$F$2:$F$499,V472)=F472),N(I472)/N(INDEX('06-حزيران'!$I$2:$I$499,V472))-1,""))</f>
        <v/>
      </c>
      <c r="AC472" t="str">
        <f>IF(L472="","",IF(AND($AO$2=1,ISNA(MATCH(L472,'08-آب'!$L$2:$L$501,0))),"محذوف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IF(L473="","",IF($AO$1=1,IFERROR(MATCH(L473,'06-حزيران'!$L$2:$L$499,0),0),0))</f>
        <v/>
      </c>
      <c r="W473" t="str">
        <f t="shared" si="151"/>
        <v/>
      </c>
      <c r="X473" s="38" t="str">
        <f>IF(L473="","",IF(V473&gt;0,INDEX('06-حزيران'!$P$2:$P$499,V473),IF($AO$1=1,0,"")))</f>
        <v/>
      </c>
      <c r="Y473" s="38" t="str">
        <f t="shared" si="152"/>
        <v/>
      </c>
      <c r="Z473" s="39" t="str">
        <f>IF(L473="","",IF(V473&gt;0,INDEX('06-حزيران'!$Q$2:$Q$499,V473),IF($AO$1=1,0,"")))</f>
        <v/>
      </c>
      <c r="AA473" s="39" t="str">
        <f t="shared" si="153"/>
        <v/>
      </c>
      <c r="AB473" s="40" t="str">
        <f>IF(OR(L473="",V473=0),"",IF(AND(N(I473)&gt;0,N(INDEX('06-حزيران'!$I$2:$I$499,V473))&gt;0,INDEX('06-حزيران'!$F$2:$F$499,V473)=F473),N(I473)/N(INDEX('06-حزيران'!$I$2:$I$499,V473))-1,""))</f>
        <v/>
      </c>
      <c r="AC473" t="str">
        <f>IF(L473="","",IF(AND($AO$2=1,ISNA(MATCH(L473,'08-آب'!$L$2:$L$501,0))),"محذوف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IF(L474="","",IF($AO$1=1,IFERROR(MATCH(L474,'06-حزيران'!$L$2:$L$499,0),0),0))</f>
        <v/>
      </c>
      <c r="W474" t="str">
        <f t="shared" si="151"/>
        <v/>
      </c>
      <c r="X474" s="38" t="str">
        <f>IF(L474="","",IF(V474&gt;0,INDEX('06-حزيران'!$P$2:$P$499,V474),IF($AO$1=1,0,"")))</f>
        <v/>
      </c>
      <c r="Y474" s="38" t="str">
        <f t="shared" si="152"/>
        <v/>
      </c>
      <c r="Z474" s="39" t="str">
        <f>IF(L474="","",IF(V474&gt;0,INDEX('06-حزيران'!$Q$2:$Q$499,V474),IF($AO$1=1,0,"")))</f>
        <v/>
      </c>
      <c r="AA474" s="39" t="str">
        <f t="shared" si="153"/>
        <v/>
      </c>
      <c r="AB474" s="40" t="str">
        <f>IF(OR(L474="",V474=0),"",IF(AND(N(I474)&gt;0,N(INDEX('06-حزيران'!$I$2:$I$499,V474))&gt;0,INDEX('06-حزيران'!$F$2:$F$499,V474)=F474),N(I474)/N(INDEX('06-حزيران'!$I$2:$I$499,V474))-1,""))</f>
        <v/>
      </c>
      <c r="AC474" t="str">
        <f>IF(L474="","",IF(AND($AO$2=1,ISNA(MATCH(L474,'08-آب'!$L$2:$L$501,0))),"محذوف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IF(L475="","",IF($AO$1=1,IFERROR(MATCH(L475,'06-حزيران'!$L$2:$L$499,0),0),0))</f>
        <v/>
      </c>
      <c r="W475" t="str">
        <f t="shared" si="151"/>
        <v/>
      </c>
      <c r="X475" s="38" t="str">
        <f>IF(L475="","",IF(V475&gt;0,INDEX('06-حزيران'!$P$2:$P$499,V475),IF($AO$1=1,0,"")))</f>
        <v/>
      </c>
      <c r="Y475" s="38" t="str">
        <f t="shared" si="152"/>
        <v/>
      </c>
      <c r="Z475" s="39" t="str">
        <f>IF(L475="","",IF(V475&gt;0,INDEX('06-حزيران'!$Q$2:$Q$499,V475),IF($AO$1=1,0,"")))</f>
        <v/>
      </c>
      <c r="AA475" s="39" t="str">
        <f t="shared" si="153"/>
        <v/>
      </c>
      <c r="AB475" s="40" t="str">
        <f>IF(OR(L475="",V475=0),"",IF(AND(N(I475)&gt;0,N(INDEX('06-حزيران'!$I$2:$I$499,V475))&gt;0,INDEX('06-حزيران'!$F$2:$F$499,V475)=F475),N(I475)/N(INDEX('06-حزيران'!$I$2:$I$499,V475))-1,""))</f>
        <v/>
      </c>
      <c r="AC475" t="str">
        <f>IF(L475="","",IF(AND($AO$2=1,ISNA(MATCH(L475,'08-آب'!$L$2:$L$501,0))),"محذوف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IF(L476="","",IF($AO$1=1,IFERROR(MATCH(L476,'06-حزيران'!$L$2:$L$499,0),0),0))</f>
        <v/>
      </c>
      <c r="W476" t="str">
        <f t="shared" si="151"/>
        <v/>
      </c>
      <c r="X476" s="38" t="str">
        <f>IF(L476="","",IF(V476&gt;0,INDEX('06-حزيران'!$P$2:$P$499,V476),IF($AO$1=1,0,"")))</f>
        <v/>
      </c>
      <c r="Y476" s="38" t="str">
        <f t="shared" si="152"/>
        <v/>
      </c>
      <c r="Z476" s="39" t="str">
        <f>IF(L476="","",IF(V476&gt;0,INDEX('06-حزيران'!$Q$2:$Q$499,V476),IF($AO$1=1,0,"")))</f>
        <v/>
      </c>
      <c r="AA476" s="39" t="str">
        <f t="shared" si="153"/>
        <v/>
      </c>
      <c r="AB476" s="40" t="str">
        <f>IF(OR(L476="",V476=0),"",IF(AND(N(I476)&gt;0,N(INDEX('06-حزيران'!$I$2:$I$499,V476))&gt;0,INDEX('06-حزيران'!$F$2:$F$499,V476)=F476),N(I476)/N(INDEX('06-حزيران'!$I$2:$I$499,V476))-1,""))</f>
        <v/>
      </c>
      <c r="AC476" t="str">
        <f>IF(L476="","",IF(AND($AO$2=1,ISNA(MATCH(L476,'08-آب'!$L$2:$L$501,0))),"محذوف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IF(L477="","",IF($AO$1=1,IFERROR(MATCH(L477,'06-حزيران'!$L$2:$L$499,0),0),0))</f>
        <v/>
      </c>
      <c r="W477" t="str">
        <f t="shared" si="151"/>
        <v/>
      </c>
      <c r="X477" s="38" t="str">
        <f>IF(L477="","",IF(V477&gt;0,INDEX('06-حزيران'!$P$2:$P$499,V477),IF($AO$1=1,0,"")))</f>
        <v/>
      </c>
      <c r="Y477" s="38" t="str">
        <f t="shared" si="152"/>
        <v/>
      </c>
      <c r="Z477" s="39" t="str">
        <f>IF(L477="","",IF(V477&gt;0,INDEX('06-حزيران'!$Q$2:$Q$499,V477),IF($AO$1=1,0,"")))</f>
        <v/>
      </c>
      <c r="AA477" s="39" t="str">
        <f t="shared" si="153"/>
        <v/>
      </c>
      <c r="AB477" s="40" t="str">
        <f>IF(OR(L477="",V477=0),"",IF(AND(N(I477)&gt;0,N(INDEX('06-حزيران'!$I$2:$I$499,V477))&gt;0,INDEX('06-حزيران'!$F$2:$F$499,V477)=F477),N(I477)/N(INDEX('06-حزيران'!$I$2:$I$499,V477))-1,""))</f>
        <v/>
      </c>
      <c r="AC477" t="str">
        <f>IF(L477="","",IF(AND($AO$2=1,ISNA(MATCH(L477,'08-آب'!$L$2:$L$501,0))),"محذوف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IF(L478="","",IF($AO$1=1,IFERROR(MATCH(L478,'06-حزيران'!$L$2:$L$499,0),0),0))</f>
        <v/>
      </c>
      <c r="W478" t="str">
        <f t="shared" si="151"/>
        <v/>
      </c>
      <c r="X478" s="38" t="str">
        <f>IF(L478="","",IF(V478&gt;0,INDEX('06-حزيران'!$P$2:$P$499,V478),IF($AO$1=1,0,"")))</f>
        <v/>
      </c>
      <c r="Y478" s="38" t="str">
        <f t="shared" si="152"/>
        <v/>
      </c>
      <c r="Z478" s="39" t="str">
        <f>IF(L478="","",IF(V478&gt;0,INDEX('06-حزيران'!$Q$2:$Q$499,V478),IF($AO$1=1,0,"")))</f>
        <v/>
      </c>
      <c r="AA478" s="39" t="str">
        <f t="shared" si="153"/>
        <v/>
      </c>
      <c r="AB478" s="40" t="str">
        <f>IF(OR(L478="",V478=0),"",IF(AND(N(I478)&gt;0,N(INDEX('06-حزيران'!$I$2:$I$499,V478))&gt;0,INDEX('06-حزيران'!$F$2:$F$499,V478)=F478),N(I478)/N(INDEX('06-حزيران'!$I$2:$I$499,V478))-1,""))</f>
        <v/>
      </c>
      <c r="AC478" t="str">
        <f>IF(L478="","",IF(AND($AO$2=1,ISNA(MATCH(L478,'08-آب'!$L$2:$L$501,0))),"محذوف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IF(L479="","",IF($AO$1=1,IFERROR(MATCH(L479,'06-حزيران'!$L$2:$L$499,0),0),0))</f>
        <v/>
      </c>
      <c r="W479" t="str">
        <f t="shared" si="151"/>
        <v/>
      </c>
      <c r="X479" s="38" t="str">
        <f>IF(L479="","",IF(V479&gt;0,INDEX('06-حزيران'!$P$2:$P$499,V479),IF($AO$1=1,0,"")))</f>
        <v/>
      </c>
      <c r="Y479" s="38" t="str">
        <f t="shared" si="152"/>
        <v/>
      </c>
      <c r="Z479" s="39" t="str">
        <f>IF(L479="","",IF(V479&gt;0,INDEX('06-حزيران'!$Q$2:$Q$499,V479),IF($AO$1=1,0,"")))</f>
        <v/>
      </c>
      <c r="AA479" s="39" t="str">
        <f t="shared" si="153"/>
        <v/>
      </c>
      <c r="AB479" s="40" t="str">
        <f>IF(OR(L479="",V479=0),"",IF(AND(N(I479)&gt;0,N(INDEX('06-حزيران'!$I$2:$I$499,V479))&gt;0,INDEX('06-حزيران'!$F$2:$F$499,V479)=F479),N(I479)/N(INDEX('06-حزيران'!$I$2:$I$499,V479))-1,""))</f>
        <v/>
      </c>
      <c r="AC479" t="str">
        <f>IF(L479="","",IF(AND($AO$2=1,ISNA(MATCH(L479,'08-آب'!$L$2:$L$501,0))),"محذوف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IF(L480="","",IF($AO$1=1,IFERROR(MATCH(L480,'06-حزيران'!$L$2:$L$499,0),0),0))</f>
        <v/>
      </c>
      <c r="W480" t="str">
        <f t="shared" si="151"/>
        <v/>
      </c>
      <c r="X480" s="38" t="str">
        <f>IF(L480="","",IF(V480&gt;0,INDEX('06-حزيران'!$P$2:$P$499,V480),IF($AO$1=1,0,"")))</f>
        <v/>
      </c>
      <c r="Y480" s="38" t="str">
        <f t="shared" si="152"/>
        <v/>
      </c>
      <c r="Z480" s="39" t="str">
        <f>IF(L480="","",IF(V480&gt;0,INDEX('06-حزيران'!$Q$2:$Q$499,V480),IF($AO$1=1,0,"")))</f>
        <v/>
      </c>
      <c r="AA480" s="39" t="str">
        <f t="shared" si="153"/>
        <v/>
      </c>
      <c r="AB480" s="40" t="str">
        <f>IF(OR(L480="",V480=0),"",IF(AND(N(I480)&gt;0,N(INDEX('06-حزيران'!$I$2:$I$499,V480))&gt;0,INDEX('06-حزيران'!$F$2:$F$499,V480)=F480),N(I480)/N(INDEX('06-حزيران'!$I$2:$I$499,V480))-1,""))</f>
        <v/>
      </c>
      <c r="AC480" t="str">
        <f>IF(L480="","",IF(AND($AO$2=1,ISNA(MATCH(L480,'08-آب'!$L$2:$L$501,0))),"محذوف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IF(L481="","",IF($AO$1=1,IFERROR(MATCH(L481,'06-حزيران'!$L$2:$L$499,0),0),0))</f>
        <v/>
      </c>
      <c r="W481" t="str">
        <f t="shared" si="151"/>
        <v/>
      </c>
      <c r="X481" s="38" t="str">
        <f>IF(L481="","",IF(V481&gt;0,INDEX('06-حزيران'!$P$2:$P$499,V481),IF($AO$1=1,0,"")))</f>
        <v/>
      </c>
      <c r="Y481" s="38" t="str">
        <f t="shared" si="152"/>
        <v/>
      </c>
      <c r="Z481" s="39" t="str">
        <f>IF(L481="","",IF(V481&gt;0,INDEX('06-حزيران'!$Q$2:$Q$499,V481),IF($AO$1=1,0,"")))</f>
        <v/>
      </c>
      <c r="AA481" s="39" t="str">
        <f t="shared" si="153"/>
        <v/>
      </c>
      <c r="AB481" s="40" t="str">
        <f>IF(OR(L481="",V481=0),"",IF(AND(N(I481)&gt;0,N(INDEX('06-حزيران'!$I$2:$I$499,V481))&gt;0,INDEX('06-حزيران'!$F$2:$F$499,V481)=F481),N(I481)/N(INDEX('06-حزيران'!$I$2:$I$499,V481))-1,""))</f>
        <v/>
      </c>
      <c r="AC481" t="str">
        <f>IF(L481="","",IF(AND($AO$2=1,ISNA(MATCH(L481,'08-آب'!$L$2:$L$501,0))),"محذوف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IF(L482="","",IF($AO$1=1,IFERROR(MATCH(L482,'06-حزيران'!$L$2:$L$499,0),0),0))</f>
        <v/>
      </c>
      <c r="W482" t="str">
        <f t="shared" si="151"/>
        <v/>
      </c>
      <c r="X482" s="38" t="str">
        <f>IF(L482="","",IF(V482&gt;0,INDEX('06-حزيران'!$P$2:$P$499,V482),IF($AO$1=1,0,"")))</f>
        <v/>
      </c>
      <c r="Y482" s="38" t="str">
        <f t="shared" si="152"/>
        <v/>
      </c>
      <c r="Z482" s="39" t="str">
        <f>IF(L482="","",IF(V482&gt;0,INDEX('06-حزيران'!$Q$2:$Q$499,V482),IF($AO$1=1,0,"")))</f>
        <v/>
      </c>
      <c r="AA482" s="39" t="str">
        <f t="shared" si="153"/>
        <v/>
      </c>
      <c r="AB482" s="40" t="str">
        <f>IF(OR(L482="",V482=0),"",IF(AND(N(I482)&gt;0,N(INDEX('06-حزيران'!$I$2:$I$499,V482))&gt;0,INDEX('06-حزيران'!$F$2:$F$499,V482)=F482),N(I482)/N(INDEX('06-حزيران'!$I$2:$I$499,V482))-1,""))</f>
        <v/>
      </c>
      <c r="AC482" t="str">
        <f>IF(L482="","",IF(AND($AO$2=1,ISNA(MATCH(L482,'08-آب'!$L$2:$L$501,0))),"محذوف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IF(L483="","",IF($AO$1=1,IFERROR(MATCH(L483,'06-حزيران'!$L$2:$L$499,0),0),0))</f>
        <v/>
      </c>
      <c r="W483" t="str">
        <f t="shared" si="151"/>
        <v/>
      </c>
      <c r="X483" s="38" t="str">
        <f>IF(L483="","",IF(V483&gt;0,INDEX('06-حزيران'!$P$2:$P$499,V483),IF($AO$1=1,0,"")))</f>
        <v/>
      </c>
      <c r="Y483" s="38" t="str">
        <f t="shared" si="152"/>
        <v/>
      </c>
      <c r="Z483" s="39" t="str">
        <f>IF(L483="","",IF(V483&gt;0,INDEX('06-حزيران'!$Q$2:$Q$499,V483),IF($AO$1=1,0,"")))</f>
        <v/>
      </c>
      <c r="AA483" s="39" t="str">
        <f t="shared" si="153"/>
        <v/>
      </c>
      <c r="AB483" s="40" t="str">
        <f>IF(OR(L483="",V483=0),"",IF(AND(N(I483)&gt;0,N(INDEX('06-حزيران'!$I$2:$I$499,V483))&gt;0,INDEX('06-حزيران'!$F$2:$F$499,V483)=F483),N(I483)/N(INDEX('06-حزيران'!$I$2:$I$499,V483))-1,""))</f>
        <v/>
      </c>
      <c r="AC483" t="str">
        <f>IF(L483="","",IF(AND($AO$2=1,ISNA(MATCH(L483,'08-آب'!$L$2:$L$501,0))),"محذوف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IF(L484="","",IF($AO$1=1,IFERROR(MATCH(L484,'06-حزيران'!$L$2:$L$499,0),0),0))</f>
        <v/>
      </c>
      <c r="W484" t="str">
        <f t="shared" si="151"/>
        <v/>
      </c>
      <c r="X484" s="38" t="str">
        <f>IF(L484="","",IF(V484&gt;0,INDEX('06-حزيران'!$P$2:$P$499,V484),IF($AO$1=1,0,"")))</f>
        <v/>
      </c>
      <c r="Y484" s="38" t="str">
        <f t="shared" si="152"/>
        <v/>
      </c>
      <c r="Z484" s="39" t="str">
        <f>IF(L484="","",IF(V484&gt;0,INDEX('06-حزيران'!$Q$2:$Q$499,V484),IF($AO$1=1,0,"")))</f>
        <v/>
      </c>
      <c r="AA484" s="39" t="str">
        <f t="shared" si="153"/>
        <v/>
      </c>
      <c r="AB484" s="40" t="str">
        <f>IF(OR(L484="",V484=0),"",IF(AND(N(I484)&gt;0,N(INDEX('06-حزيران'!$I$2:$I$499,V484))&gt;0,INDEX('06-حزيران'!$F$2:$F$499,V484)=F484),N(I484)/N(INDEX('06-حزيران'!$I$2:$I$499,V484))-1,""))</f>
        <v/>
      </c>
      <c r="AC484" t="str">
        <f>IF(L484="","",IF(AND($AO$2=1,ISNA(MATCH(L484,'08-آب'!$L$2:$L$501,0))),"محذوف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IF(L485="","",IF($AO$1=1,IFERROR(MATCH(L485,'06-حزيران'!$L$2:$L$499,0),0),0))</f>
        <v/>
      </c>
      <c r="W485" t="str">
        <f t="shared" si="151"/>
        <v/>
      </c>
      <c r="X485" s="38" t="str">
        <f>IF(L485="","",IF(V485&gt;0,INDEX('06-حزيران'!$P$2:$P$499,V485),IF($AO$1=1,0,"")))</f>
        <v/>
      </c>
      <c r="Y485" s="38" t="str">
        <f t="shared" si="152"/>
        <v/>
      </c>
      <c r="Z485" s="39" t="str">
        <f>IF(L485="","",IF(V485&gt;0,INDEX('06-حزيران'!$Q$2:$Q$499,V485),IF($AO$1=1,0,"")))</f>
        <v/>
      </c>
      <c r="AA485" s="39" t="str">
        <f t="shared" si="153"/>
        <v/>
      </c>
      <c r="AB485" s="40" t="str">
        <f>IF(OR(L485="",V485=0),"",IF(AND(N(I485)&gt;0,N(INDEX('06-حزيران'!$I$2:$I$499,V485))&gt;0,INDEX('06-حزيران'!$F$2:$F$499,V485)=F485),N(I485)/N(INDEX('06-حزيران'!$I$2:$I$499,V485))-1,""))</f>
        <v/>
      </c>
      <c r="AC485" t="str">
        <f>IF(L485="","",IF(AND($AO$2=1,ISNA(MATCH(L485,'08-آب'!$L$2:$L$501,0))),"محذوف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IF(L486="","",IF($AO$1=1,IFERROR(MATCH(L486,'06-حزيران'!$L$2:$L$499,0),0),0))</f>
        <v/>
      </c>
      <c r="W486" t="str">
        <f t="shared" si="151"/>
        <v/>
      </c>
      <c r="X486" s="38" t="str">
        <f>IF(L486="","",IF(V486&gt;0,INDEX('06-حزيران'!$P$2:$P$499,V486),IF($AO$1=1,0,"")))</f>
        <v/>
      </c>
      <c r="Y486" s="38" t="str">
        <f t="shared" si="152"/>
        <v/>
      </c>
      <c r="Z486" s="39" t="str">
        <f>IF(L486="","",IF(V486&gt;0,INDEX('06-حزيران'!$Q$2:$Q$499,V486),IF($AO$1=1,0,"")))</f>
        <v/>
      </c>
      <c r="AA486" s="39" t="str">
        <f t="shared" si="153"/>
        <v/>
      </c>
      <c r="AB486" s="40" t="str">
        <f>IF(OR(L486="",V486=0),"",IF(AND(N(I486)&gt;0,N(INDEX('06-حزيران'!$I$2:$I$499,V486))&gt;0,INDEX('06-حزيران'!$F$2:$F$499,V486)=F486),N(I486)/N(INDEX('06-حزيران'!$I$2:$I$499,V486))-1,""))</f>
        <v/>
      </c>
      <c r="AC486" t="str">
        <f>IF(L486="","",IF(AND($AO$2=1,ISNA(MATCH(L486,'08-آب'!$L$2:$L$501,0))),"محذوف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IF(L487="","",IF($AO$1=1,IFERROR(MATCH(L487,'06-حزيران'!$L$2:$L$499,0),0),0))</f>
        <v/>
      </c>
      <c r="W487" t="str">
        <f t="shared" si="151"/>
        <v/>
      </c>
      <c r="X487" s="38" t="str">
        <f>IF(L487="","",IF(V487&gt;0,INDEX('06-حزيران'!$P$2:$P$499,V487),IF($AO$1=1,0,"")))</f>
        <v/>
      </c>
      <c r="Y487" s="38" t="str">
        <f t="shared" si="152"/>
        <v/>
      </c>
      <c r="Z487" s="39" t="str">
        <f>IF(L487="","",IF(V487&gt;0,INDEX('06-حزيران'!$Q$2:$Q$499,V487),IF($AO$1=1,0,"")))</f>
        <v/>
      </c>
      <c r="AA487" s="39" t="str">
        <f t="shared" si="153"/>
        <v/>
      </c>
      <c r="AB487" s="40" t="str">
        <f>IF(OR(L487="",V487=0),"",IF(AND(N(I487)&gt;0,N(INDEX('06-حزيران'!$I$2:$I$499,V487))&gt;0,INDEX('06-حزيران'!$F$2:$F$499,V487)=F487),N(I487)/N(INDEX('06-حزيران'!$I$2:$I$499,V487))-1,""))</f>
        <v/>
      </c>
      <c r="AC487" t="str">
        <f>IF(L487="","",IF(AND($AO$2=1,ISNA(MATCH(L487,'08-آب'!$L$2:$L$501,0))),"محذوف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IF(L488="","",IF($AO$1=1,IFERROR(MATCH(L488,'06-حزيران'!$L$2:$L$499,0),0),0))</f>
        <v/>
      </c>
      <c r="W488" t="str">
        <f t="shared" si="151"/>
        <v/>
      </c>
      <c r="X488" s="38" t="str">
        <f>IF(L488="","",IF(V488&gt;0,INDEX('06-حزيران'!$P$2:$P$499,V488),IF($AO$1=1,0,"")))</f>
        <v/>
      </c>
      <c r="Y488" s="38" t="str">
        <f t="shared" si="152"/>
        <v/>
      </c>
      <c r="Z488" s="39" t="str">
        <f>IF(L488="","",IF(V488&gt;0,INDEX('06-حزيران'!$Q$2:$Q$499,V488),IF($AO$1=1,0,"")))</f>
        <v/>
      </c>
      <c r="AA488" s="39" t="str">
        <f t="shared" si="153"/>
        <v/>
      </c>
      <c r="AB488" s="40" t="str">
        <f>IF(OR(L488="",V488=0),"",IF(AND(N(I488)&gt;0,N(INDEX('06-حزيران'!$I$2:$I$499,V488))&gt;0,INDEX('06-حزيران'!$F$2:$F$499,V488)=F488),N(I488)/N(INDEX('06-حزيران'!$I$2:$I$499,V488))-1,""))</f>
        <v/>
      </c>
      <c r="AC488" t="str">
        <f>IF(L488="","",IF(AND($AO$2=1,ISNA(MATCH(L488,'08-آب'!$L$2:$L$501,0))),"محذوف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IF(L489="","",IF($AO$1=1,IFERROR(MATCH(L489,'06-حزيران'!$L$2:$L$499,0),0),0))</f>
        <v/>
      </c>
      <c r="W489" t="str">
        <f t="shared" si="151"/>
        <v/>
      </c>
      <c r="X489" s="38" t="str">
        <f>IF(L489="","",IF(V489&gt;0,INDEX('06-حزيران'!$P$2:$P$499,V489),IF($AO$1=1,0,"")))</f>
        <v/>
      </c>
      <c r="Y489" s="38" t="str">
        <f t="shared" si="152"/>
        <v/>
      </c>
      <c r="Z489" s="39" t="str">
        <f>IF(L489="","",IF(V489&gt;0,INDEX('06-حزيران'!$Q$2:$Q$499,V489),IF($AO$1=1,0,"")))</f>
        <v/>
      </c>
      <c r="AA489" s="39" t="str">
        <f t="shared" si="153"/>
        <v/>
      </c>
      <c r="AB489" s="40" t="str">
        <f>IF(OR(L489="",V489=0),"",IF(AND(N(I489)&gt;0,N(INDEX('06-حزيران'!$I$2:$I$499,V489))&gt;0,INDEX('06-حزيران'!$F$2:$F$499,V489)=F489),N(I489)/N(INDEX('06-حزيران'!$I$2:$I$499,V489))-1,""))</f>
        <v/>
      </c>
      <c r="AC489" t="str">
        <f>IF(L489="","",IF(AND($AO$2=1,ISNA(MATCH(L489,'08-آب'!$L$2:$L$501,0))),"محذوف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IF(L490="","",IF($AO$1=1,IFERROR(MATCH(L490,'06-حزيران'!$L$2:$L$499,0),0),0))</f>
        <v/>
      </c>
      <c r="W490" t="str">
        <f t="shared" si="151"/>
        <v/>
      </c>
      <c r="X490" s="38" t="str">
        <f>IF(L490="","",IF(V490&gt;0,INDEX('06-حزيران'!$P$2:$P$499,V490),IF($AO$1=1,0,"")))</f>
        <v/>
      </c>
      <c r="Y490" s="38" t="str">
        <f t="shared" si="152"/>
        <v/>
      </c>
      <c r="Z490" s="39" t="str">
        <f>IF(L490="","",IF(V490&gt;0,INDEX('06-حزيران'!$Q$2:$Q$499,V490),IF($AO$1=1,0,"")))</f>
        <v/>
      </c>
      <c r="AA490" s="39" t="str">
        <f t="shared" si="153"/>
        <v/>
      </c>
      <c r="AB490" s="40" t="str">
        <f>IF(OR(L490="",V490=0),"",IF(AND(N(I490)&gt;0,N(INDEX('06-حزيران'!$I$2:$I$499,V490))&gt;0,INDEX('06-حزيران'!$F$2:$F$499,V490)=F490),N(I490)/N(INDEX('06-حزيران'!$I$2:$I$499,V490))-1,""))</f>
        <v/>
      </c>
      <c r="AC490" t="str">
        <f>IF(L490="","",IF(AND($AO$2=1,ISNA(MATCH(L490,'08-آب'!$L$2:$L$501,0))),"محذوف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IF(L491="","",IF($AO$1=1,IFERROR(MATCH(L491,'06-حزيران'!$L$2:$L$499,0),0),0))</f>
        <v/>
      </c>
      <c r="W491" t="str">
        <f t="shared" si="151"/>
        <v/>
      </c>
      <c r="X491" s="38" t="str">
        <f>IF(L491="","",IF(V491&gt;0,INDEX('06-حزيران'!$P$2:$P$499,V491),IF($AO$1=1,0,"")))</f>
        <v/>
      </c>
      <c r="Y491" s="38" t="str">
        <f t="shared" si="152"/>
        <v/>
      </c>
      <c r="Z491" s="39" t="str">
        <f>IF(L491="","",IF(V491&gt;0,INDEX('06-حزيران'!$Q$2:$Q$499,V491),IF($AO$1=1,0,"")))</f>
        <v/>
      </c>
      <c r="AA491" s="39" t="str">
        <f t="shared" si="153"/>
        <v/>
      </c>
      <c r="AB491" s="40" t="str">
        <f>IF(OR(L491="",V491=0),"",IF(AND(N(I491)&gt;0,N(INDEX('06-حزيران'!$I$2:$I$499,V491))&gt;0,INDEX('06-حزيران'!$F$2:$F$499,V491)=F491),N(I491)/N(INDEX('06-حزيران'!$I$2:$I$499,V491))-1,""))</f>
        <v/>
      </c>
      <c r="AC491" t="str">
        <f>IF(L491="","",IF(AND($AO$2=1,ISNA(MATCH(L491,'08-آب'!$L$2:$L$501,0))),"محذوف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IF(L492="","",IF($AO$1=1,IFERROR(MATCH(L492,'06-حزيران'!$L$2:$L$499,0),0),0))</f>
        <v/>
      </c>
      <c r="W492" t="str">
        <f t="shared" si="151"/>
        <v/>
      </c>
      <c r="X492" s="38" t="str">
        <f>IF(L492="","",IF(V492&gt;0,INDEX('06-حزيران'!$P$2:$P$499,V492),IF($AO$1=1,0,"")))</f>
        <v/>
      </c>
      <c r="Y492" s="38" t="str">
        <f t="shared" si="152"/>
        <v/>
      </c>
      <c r="Z492" s="39" t="str">
        <f>IF(L492="","",IF(V492&gt;0,INDEX('06-حزيران'!$Q$2:$Q$499,V492),IF($AO$1=1,0,"")))</f>
        <v/>
      </c>
      <c r="AA492" s="39" t="str">
        <f t="shared" si="153"/>
        <v/>
      </c>
      <c r="AB492" s="40" t="str">
        <f>IF(OR(L492="",V492=0),"",IF(AND(N(I492)&gt;0,N(INDEX('06-حزيران'!$I$2:$I$499,V492))&gt;0,INDEX('06-حزيران'!$F$2:$F$499,V492)=F492),N(I492)/N(INDEX('06-حزيران'!$I$2:$I$499,V492))-1,""))</f>
        <v/>
      </c>
      <c r="AC492" t="str">
        <f>IF(L492="","",IF(AND($AO$2=1,ISNA(MATCH(L492,'08-آب'!$L$2:$L$501,0))),"محذوف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IF(L493="","",IF($AO$1=1,IFERROR(MATCH(L493,'06-حزيران'!$L$2:$L$499,0),0),0))</f>
        <v/>
      </c>
      <c r="W493" t="str">
        <f t="shared" si="151"/>
        <v/>
      </c>
      <c r="X493" s="38" t="str">
        <f>IF(L493="","",IF(V493&gt;0,INDEX('06-حزيران'!$P$2:$P$499,V493),IF($AO$1=1,0,"")))</f>
        <v/>
      </c>
      <c r="Y493" s="38" t="str">
        <f t="shared" si="152"/>
        <v/>
      </c>
      <c r="Z493" s="39" t="str">
        <f>IF(L493="","",IF(V493&gt;0,INDEX('06-حزيران'!$Q$2:$Q$499,V493),IF($AO$1=1,0,"")))</f>
        <v/>
      </c>
      <c r="AA493" s="39" t="str">
        <f t="shared" si="153"/>
        <v/>
      </c>
      <c r="AB493" s="40" t="str">
        <f>IF(OR(L493="",V493=0),"",IF(AND(N(I493)&gt;0,N(INDEX('06-حزيران'!$I$2:$I$499,V493))&gt;0,INDEX('06-حزيران'!$F$2:$F$499,V493)=F493),N(I493)/N(INDEX('06-حزيران'!$I$2:$I$499,V493))-1,""))</f>
        <v/>
      </c>
      <c r="AC493" t="str">
        <f>IF(L493="","",IF(AND($AO$2=1,ISNA(MATCH(L493,'08-آب'!$L$2:$L$501,0))),"محذوف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IF(L494="","",IF($AO$1=1,IFERROR(MATCH(L494,'06-حزيران'!$L$2:$L$499,0),0),0))</f>
        <v/>
      </c>
      <c r="W494" t="str">
        <f t="shared" si="151"/>
        <v/>
      </c>
      <c r="X494" s="38" t="str">
        <f>IF(L494="","",IF(V494&gt;0,INDEX('06-حزيران'!$P$2:$P$499,V494),IF($AO$1=1,0,"")))</f>
        <v/>
      </c>
      <c r="Y494" s="38" t="str">
        <f t="shared" si="152"/>
        <v/>
      </c>
      <c r="Z494" s="39" t="str">
        <f>IF(L494="","",IF(V494&gt;0,INDEX('06-حزيران'!$Q$2:$Q$499,V494),IF($AO$1=1,0,"")))</f>
        <v/>
      </c>
      <c r="AA494" s="39" t="str">
        <f t="shared" si="153"/>
        <v/>
      </c>
      <c r="AB494" s="40" t="str">
        <f>IF(OR(L494="",V494=0),"",IF(AND(N(I494)&gt;0,N(INDEX('06-حزيران'!$I$2:$I$499,V494))&gt;0,INDEX('06-حزيران'!$F$2:$F$499,V494)=F494),N(I494)/N(INDEX('06-حزيران'!$I$2:$I$499,V494))-1,""))</f>
        <v/>
      </c>
      <c r="AC494" t="str">
        <f>IF(L494="","",IF(AND($AO$2=1,ISNA(MATCH(L494,'08-آب'!$L$2:$L$501,0))),"محذوف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IF(L495="","",IF($AO$1=1,IFERROR(MATCH(L495,'06-حزيران'!$L$2:$L$499,0),0),0))</f>
        <v/>
      </c>
      <c r="W495" t="str">
        <f t="shared" si="151"/>
        <v/>
      </c>
      <c r="X495" s="38" t="str">
        <f>IF(L495="","",IF(V495&gt;0,INDEX('06-حزيران'!$P$2:$P$499,V495),IF($AO$1=1,0,"")))</f>
        <v/>
      </c>
      <c r="Y495" s="38" t="str">
        <f t="shared" si="152"/>
        <v/>
      </c>
      <c r="Z495" s="39" t="str">
        <f>IF(L495="","",IF(V495&gt;0,INDEX('06-حزيران'!$Q$2:$Q$499,V495),IF($AO$1=1,0,"")))</f>
        <v/>
      </c>
      <c r="AA495" s="39" t="str">
        <f t="shared" si="153"/>
        <v/>
      </c>
      <c r="AB495" s="40" t="str">
        <f>IF(OR(L495="",V495=0),"",IF(AND(N(I495)&gt;0,N(INDEX('06-حزيران'!$I$2:$I$499,V495))&gt;0,INDEX('06-حزيران'!$F$2:$F$499,V495)=F495),N(I495)/N(INDEX('06-حزيران'!$I$2:$I$499,V495))-1,""))</f>
        <v/>
      </c>
      <c r="AC495" t="str">
        <f>IF(L495="","",IF(AND($AO$2=1,ISNA(MATCH(L495,'08-آب'!$L$2:$L$501,0))),"محذوف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IF(L496="","",IF($AO$1=1,IFERROR(MATCH(L496,'06-حزيران'!$L$2:$L$499,0),0),0))</f>
        <v/>
      </c>
      <c r="W496" t="str">
        <f t="shared" si="151"/>
        <v/>
      </c>
      <c r="X496" s="38" t="str">
        <f>IF(L496="","",IF(V496&gt;0,INDEX('06-حزيران'!$P$2:$P$499,V496),IF($AO$1=1,0,"")))</f>
        <v/>
      </c>
      <c r="Y496" s="38" t="str">
        <f t="shared" si="152"/>
        <v/>
      </c>
      <c r="Z496" s="39" t="str">
        <f>IF(L496="","",IF(V496&gt;0,INDEX('06-حزيران'!$Q$2:$Q$499,V496),IF($AO$1=1,0,"")))</f>
        <v/>
      </c>
      <c r="AA496" s="39" t="str">
        <f t="shared" si="153"/>
        <v/>
      </c>
      <c r="AB496" s="40" t="str">
        <f>IF(OR(L496="",V496=0),"",IF(AND(N(I496)&gt;0,N(INDEX('06-حزيران'!$I$2:$I$499,V496))&gt;0,INDEX('06-حزيران'!$F$2:$F$499,V496)=F496),N(I496)/N(INDEX('06-حزيران'!$I$2:$I$499,V496))-1,""))</f>
        <v/>
      </c>
      <c r="AC496" t="str">
        <f>IF(L496="","",IF(AND($AO$2=1,ISNA(MATCH(L496,'08-آب'!$L$2:$L$501,0))),"محذوف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IF(L497="","",IF($AO$1=1,IFERROR(MATCH(L497,'06-حزيران'!$L$2:$L$499,0),0),0))</f>
        <v/>
      </c>
      <c r="W497" t="str">
        <f t="shared" si="151"/>
        <v/>
      </c>
      <c r="X497" s="38" t="str">
        <f>IF(L497="","",IF(V497&gt;0,INDEX('06-حزيران'!$P$2:$P$499,V497),IF($AO$1=1,0,"")))</f>
        <v/>
      </c>
      <c r="Y497" s="38" t="str">
        <f t="shared" si="152"/>
        <v/>
      </c>
      <c r="Z497" s="39" t="str">
        <f>IF(L497="","",IF(V497&gt;0,INDEX('06-حزيران'!$Q$2:$Q$499,V497),IF($AO$1=1,0,"")))</f>
        <v/>
      </c>
      <c r="AA497" s="39" t="str">
        <f t="shared" si="153"/>
        <v/>
      </c>
      <c r="AB497" s="40" t="str">
        <f>IF(OR(L497="",V497=0),"",IF(AND(N(I497)&gt;0,N(INDEX('06-حزيران'!$I$2:$I$499,V497))&gt;0,INDEX('06-حزيران'!$F$2:$F$499,V497)=F497),N(I497)/N(INDEX('06-حزيران'!$I$2:$I$499,V497))-1,""))</f>
        <v/>
      </c>
      <c r="AC497" t="str">
        <f>IF(L497="","",IF(AND($AO$2=1,ISNA(MATCH(L497,'08-آب'!$L$2:$L$501,0))),"محذوف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IF(L498="","",IF($AO$1=1,IFERROR(MATCH(L498,'06-حزيران'!$L$2:$L$499,0),0),0))</f>
        <v/>
      </c>
      <c r="W498" t="str">
        <f t="shared" si="151"/>
        <v/>
      </c>
      <c r="X498" s="38" t="str">
        <f>IF(L498="","",IF(V498&gt;0,INDEX('06-حزيران'!$P$2:$P$499,V498),IF($AO$1=1,0,"")))</f>
        <v/>
      </c>
      <c r="Y498" s="38" t="str">
        <f t="shared" si="152"/>
        <v/>
      </c>
      <c r="Z498" s="39" t="str">
        <f>IF(L498="","",IF(V498&gt;0,INDEX('06-حزيران'!$Q$2:$Q$499,V498),IF($AO$1=1,0,"")))</f>
        <v/>
      </c>
      <c r="AA498" s="39" t="str">
        <f t="shared" si="153"/>
        <v/>
      </c>
      <c r="AB498" s="40" t="str">
        <f>IF(OR(L498="",V498=0),"",IF(AND(N(I498)&gt;0,N(INDEX('06-حزيران'!$I$2:$I$499,V498))&gt;0,INDEX('06-حزيران'!$F$2:$F$499,V498)=F498),N(I498)/N(INDEX('06-حزيران'!$I$2:$I$499,V498))-1,""))</f>
        <v/>
      </c>
      <c r="AC498" t="str">
        <f>IF(L498="","",IF(AND($AO$2=1,ISNA(MATCH(L498,'08-آب'!$L$2:$L$501,0))),"محذوف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IF(L499="","",IF($AO$1=1,IFERROR(MATCH(L499,'06-حزيران'!$L$2:$L$499,0),0),0))</f>
        <v/>
      </c>
      <c r="W499" t="str">
        <f t="shared" si="151"/>
        <v/>
      </c>
      <c r="X499" s="38" t="str">
        <f>IF(L499="","",IF(V499&gt;0,INDEX('06-حزيران'!$P$2:$P$499,V499),IF($AO$1=1,0,"")))</f>
        <v/>
      </c>
      <c r="Y499" s="38" t="str">
        <f t="shared" si="152"/>
        <v/>
      </c>
      <c r="Z499" s="39" t="str">
        <f>IF(L499="","",IF(V499&gt;0,INDEX('06-حزيران'!$Q$2:$Q$499,V499),IF($AO$1=1,0,"")))</f>
        <v/>
      </c>
      <c r="AA499" s="39" t="str">
        <f t="shared" si="153"/>
        <v/>
      </c>
      <c r="AB499" s="40" t="str">
        <f>IF(OR(L499="",V499=0),"",IF(AND(N(I499)&gt;0,N(INDEX('06-حزيران'!$I$2:$I$499,V499))&gt;0,INDEX('06-حزيران'!$F$2:$F$499,V499)=F499),N(I499)/N(INDEX('06-حزيران'!$I$2:$I$499,V499))-1,""))</f>
        <v/>
      </c>
      <c r="AC499" t="str">
        <f>IF(L499="","",IF(AND($AO$2=1,ISNA(MATCH(L499,'08-آب'!$L$2:$L$501,0))),"محذوف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IF(L500="","",IF($AO$1=1,IFERROR(MATCH(L500,'06-حزيران'!$L$2:$L$499,0),0),0))</f>
        <v/>
      </c>
      <c r="W500" t="str">
        <f t="shared" si="151"/>
        <v/>
      </c>
      <c r="X500" s="38" t="str">
        <f>IF(L500="","",IF(V500&gt;0,INDEX('06-حزيران'!$P$2:$P$499,V500),IF($AO$1=1,0,"")))</f>
        <v/>
      </c>
      <c r="Y500" s="38" t="str">
        <f t="shared" si="152"/>
        <v/>
      </c>
      <c r="Z500" s="39" t="str">
        <f>IF(L500="","",IF(V500&gt;0,INDEX('06-حزيران'!$Q$2:$Q$499,V500),IF($AO$1=1,0,"")))</f>
        <v/>
      </c>
      <c r="AA500" s="39" t="str">
        <f t="shared" si="153"/>
        <v/>
      </c>
      <c r="AB500" s="40" t="str">
        <f>IF(OR(L500="",V500=0),"",IF(AND(N(I500)&gt;0,N(INDEX('06-حزيران'!$I$2:$I$499,V500))&gt;0,INDEX('06-حزيران'!$F$2:$F$499,V500)=F500),N(I500)/N(INDEX('06-حزيران'!$I$2:$I$499,V500))-1,""))</f>
        <v/>
      </c>
      <c r="AC500" t="str">
        <f>IF(L500="","",IF(AND($AO$2=1,ISNA(MATCH(L500,'08-آب'!$L$2:$L$501,0))),"محذوف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</sheetData>
  <autoFilter ref="A1:AL500" xr:uid="{00000000-0009-0000-0000-00000C000000}"/>
  <conditionalFormatting sqref="K1">
    <cfRule type="expression" dxfId="29" priority="2">
      <formula>LEFT(K1,1)="⚠"</formula>
    </cfRule>
    <cfRule type="expression" dxfId="28" priority="3">
      <formula>LEFT(K1,1)="✓"</formula>
    </cfRule>
  </conditionalFormatting>
  <conditionalFormatting sqref="K2:U500">
    <cfRule type="expression" dxfId="27" priority="4">
      <formula>$U2&lt;&gt;""</formula>
    </cfRule>
  </conditionalFormatting>
  <conditionalFormatting sqref="W2:W500">
    <cfRule type="expression" dxfId="26" priority="5">
      <formula>$W2="جديد"</formula>
    </cfRule>
  </conditionalFormatting>
  <conditionalFormatting sqref="AC2:AC500">
    <cfRule type="expression" dxfId="2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IF(COUNTA('07-تموز'!$A$2:$A$500)&gt;0,1,0)</f>
        <v>1</v>
      </c>
    </row>
    <row r="2" spans="1:41" ht="15">
      <c r="A2" t="s">
        <v>508</v>
      </c>
      <c r="B2">
        <v>0</v>
      </c>
      <c r="C2">
        <v>0</v>
      </c>
      <c r="D2">
        <v>0</v>
      </c>
      <c r="E2">
        <v>0</v>
      </c>
      <c r="F2" t="s">
        <v>389</v>
      </c>
      <c r="G2" t="s">
        <v>178</v>
      </c>
      <c r="H2" t="s">
        <v>12</v>
      </c>
      <c r="I2">
        <v>0</v>
      </c>
      <c r="K2" t="str">
        <f t="shared" ref="K2:K65" si="0">IF(L2="","",IF(U2&lt;&gt;"","⚠",""))</f>
        <v/>
      </c>
      <c r="L2" t="str">
        <f t="shared" ref="L2:L65" si="1">IF(A2="","",TRIM(A2))</f>
        <v>نفتلين</v>
      </c>
      <c r="M2" s="36">
        <f t="shared" ref="M2:M65" si="2">IF(L2="","",IF(ISNUMBER(SEARCH("دولار",F2)),1,IF(ISNUMBER(SEARCH("ليرة",F2)),IF($AO$3&gt;0,1/$AO$3,0),0)))</f>
        <v>7.5757575757575758E-5</v>
      </c>
      <c r="N2" s="37">
        <f t="shared" ref="N2:N65" si="3">IF(L2="","",N(I2)*M2)</f>
        <v>0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IF(L2="","",IF($AO$1=1,IFERROR(MATCH(L2,'07-تموز'!$L$2:$L$500,0),0),0))</f>
        <v>0</v>
      </c>
      <c r="W2" t="str">
        <f t="shared" ref="W2:W65" si="11">IF(L2="","",IF(AND($AO$1=1,V2=0),"جديد",""))</f>
        <v>جديد</v>
      </c>
      <c r="X2" s="38">
        <f>IF(L2="","",IF(V2&gt;0,INDEX('07-تموز'!$P$2:$P$500,V2),IF($AO$1=1,0,"")))</f>
        <v>0</v>
      </c>
      <c r="Y2" s="38">
        <f t="shared" ref="Y2:Y65" si="12">IF(OR(L2="",X2=""),"",P2-X2)</f>
        <v>0</v>
      </c>
      <c r="Z2" s="39">
        <f>IF(L2="","",IF(V2&gt;0,INDEX('07-تموز'!$Q$2:$Q$500,V2),IF($AO$1=1,0,"")))</f>
        <v>0</v>
      </c>
      <c r="AA2" s="39">
        <f t="shared" ref="AA2:AA65" si="13">IF(OR(L2="",Z2=""),"",Q2-Z2)</f>
        <v>0</v>
      </c>
      <c r="AB2" s="40" t="str">
        <f>IF(OR(L2="",V2=0),"",IF(AND(N(I2)&gt;0,N(INDEX('07-تموز'!$I$2:$I$500,V2))&gt;0,INDEX('07-تموز'!$F$2:$F$500,V2)=F2),N(I2)/N(INDEX('07-تموز'!$I$2:$I$500,V2))-1,""))</f>
        <v/>
      </c>
      <c r="AC2" t="str">
        <f>IF(L2="","",IF(AND($AO$2=1,ISNA(MATCH(L2,'09-أيلول'!$L$2:$L$500,0))),"محذوف لاحقاً",""))</f>
        <v/>
      </c>
      <c r="AD2">
        <f>IF(W2="جديد",COUNTIF(W$2:W2,"جديد"),"")</f>
        <v>1</v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5" si="14">IF(AA2="","",ABS(AA2)+ROW()/1000000000)</f>
        <v>2.0000000000000001E-9</v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IF(COUNTA('09-أيلول'!$A$2:$A$500)&gt;0,1,0)</f>
        <v>1</v>
      </c>
    </row>
    <row r="3" spans="1:41" ht="15">
      <c r="A3" t="s">
        <v>388</v>
      </c>
      <c r="B3">
        <v>0</v>
      </c>
      <c r="C3">
        <v>6000</v>
      </c>
      <c r="D3">
        <v>6000</v>
      </c>
      <c r="E3">
        <v>6000</v>
      </c>
      <c r="F3" t="s">
        <v>389</v>
      </c>
      <c r="G3" t="s">
        <v>178</v>
      </c>
      <c r="H3" t="s">
        <v>12</v>
      </c>
      <c r="I3">
        <v>3250</v>
      </c>
      <c r="K3" t="str">
        <f t="shared" si="0"/>
        <v/>
      </c>
      <c r="L3" t="str">
        <f t="shared" si="1"/>
        <v>مياه مقطرة 4 لتر</v>
      </c>
      <c r="M3" s="36">
        <f t="shared" si="2"/>
        <v>7.5757575757575758E-5</v>
      </c>
      <c r="N3" s="37">
        <f t="shared" si="3"/>
        <v>0.24621212121212122</v>
      </c>
      <c r="O3" s="37">
        <f t="shared" si="4"/>
        <v>0.45454545454545453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IF(L3="","",IF($AO$1=1,IFERROR(MATCH(L3,'07-تموز'!$L$2:$L$500,0),0),0))</f>
        <v>1</v>
      </c>
      <c r="W3" t="str">
        <f t="shared" si="11"/>
        <v/>
      </c>
      <c r="X3" s="38">
        <f>IF(L3="","",IF(V3&gt;0,INDEX('07-تموز'!$P$2:$P$500,V3),IF($AO$1=1,0,"")))</f>
        <v>0</v>
      </c>
      <c r="Y3" s="38">
        <f t="shared" si="12"/>
        <v>0</v>
      </c>
      <c r="Z3" s="39">
        <f>IF(L3="","",IF(V3&gt;0,INDEX('07-تموز'!$Q$2:$Q$500,V3),IF($AO$1=1,0,"")))</f>
        <v>0</v>
      </c>
      <c r="AA3" s="39">
        <f t="shared" si="13"/>
        <v>0</v>
      </c>
      <c r="AB3" s="40">
        <f>IF(OR(L3="",V3=0),"",IF(AND(N(I3)&gt;0,N(INDEX('07-تموز'!$I$2:$I$500,V3))&gt;0,INDEX('07-تموز'!$F$2:$F$500,V3)=F3),N(I3)/N(INDEX('07-تموز'!$I$2:$I$500,V3))-1,""))</f>
        <v>0</v>
      </c>
      <c r="AC3" t="str">
        <f>IF(L3="","",IF(AND($AO$2=1,ISNA(MATCH(L3,'09-أيلول'!$L$2:$L$500,0))),"محذوف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التحكم'!$C$23</f>
        <v>13200</v>
      </c>
    </row>
    <row r="4" spans="1:41" ht="15">
      <c r="A4" t="s">
        <v>390</v>
      </c>
      <c r="B4">
        <v>0</v>
      </c>
      <c r="C4">
        <v>1800</v>
      </c>
      <c r="D4">
        <v>1800</v>
      </c>
      <c r="E4">
        <v>1800</v>
      </c>
      <c r="F4" t="s">
        <v>389</v>
      </c>
      <c r="G4" t="s">
        <v>178</v>
      </c>
      <c r="H4" t="s">
        <v>12</v>
      </c>
      <c r="I4">
        <v>1700</v>
      </c>
      <c r="K4" t="str">
        <f t="shared" si="0"/>
        <v/>
      </c>
      <c r="L4" t="str">
        <f t="shared" si="1"/>
        <v>مياه مقطرة 1 لتر</v>
      </c>
      <c r="M4" s="36">
        <f t="shared" si="2"/>
        <v>7.5757575757575758E-5</v>
      </c>
      <c r="N4" s="37">
        <f t="shared" si="3"/>
        <v>0.12878787878787878</v>
      </c>
      <c r="O4" s="37">
        <f t="shared" si="4"/>
        <v>0.13636363636363635</v>
      </c>
      <c r="P4" s="38">
        <f t="shared" si="5"/>
        <v>0</v>
      </c>
      <c r="Q4" s="39">
        <f t="shared" si="6"/>
        <v>0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IF(L4="","",IF($AO$1=1,IFERROR(MATCH(L4,'07-تموز'!$L$2:$L$500,0),0),0))</f>
        <v>2</v>
      </c>
      <c r="W4" t="str">
        <f t="shared" si="11"/>
        <v/>
      </c>
      <c r="X4" s="38">
        <f>IF(L4="","",IF(V4&gt;0,INDEX('07-تموز'!$P$2:$P$500,V4),IF($AO$1=1,0,"")))</f>
        <v>0</v>
      </c>
      <c r="Y4" s="38">
        <f t="shared" si="12"/>
        <v>0</v>
      </c>
      <c r="Z4" s="39">
        <f>IF(L4="","",IF(V4&gt;0,INDEX('07-تموز'!$Q$2:$Q$500,V4),IF($AO$1=1,0,"")))</f>
        <v>0</v>
      </c>
      <c r="AA4" s="39">
        <f t="shared" si="13"/>
        <v>0</v>
      </c>
      <c r="AB4" s="40">
        <f>IF(OR(L4="",V4=0),"",IF(AND(N(I4)&gt;0,N(INDEX('07-تموز'!$I$2:$I$500,V4))&gt;0,INDEX('07-تموز'!$F$2:$F$500,V4)=F4),N(I4)/N(INDEX('07-تموز'!$I$2:$I$500,V4))-1,""))</f>
        <v>0</v>
      </c>
      <c r="AC4" t="str">
        <f>IF(L4="","",IF(AND($AO$2=1,ISNA(MATCH(L4,'09-أيلول'!$L$2:$L$500,0))),"محذوف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4.0000000000000002E-9</v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4.0000000000000002E-9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391</v>
      </c>
      <c r="B5">
        <v>4.5599999999999996</v>
      </c>
      <c r="C5">
        <v>14000</v>
      </c>
      <c r="D5">
        <v>14000</v>
      </c>
      <c r="E5">
        <v>14000</v>
      </c>
      <c r="F5" t="s">
        <v>389</v>
      </c>
      <c r="G5" t="s">
        <v>178</v>
      </c>
      <c r="H5" t="s">
        <v>12</v>
      </c>
      <c r="I5">
        <v>10000</v>
      </c>
      <c r="K5" t="str">
        <f t="shared" si="0"/>
        <v/>
      </c>
      <c r="L5" t="str">
        <f t="shared" si="1"/>
        <v>مهسهس زفته - معجون</v>
      </c>
      <c r="M5" s="36">
        <f t="shared" si="2"/>
        <v>7.5757575757575758E-5</v>
      </c>
      <c r="N5" s="37">
        <f t="shared" si="3"/>
        <v>0.75757575757575757</v>
      </c>
      <c r="O5" s="37">
        <f t="shared" si="4"/>
        <v>1.0606060606060606</v>
      </c>
      <c r="P5" s="38">
        <f t="shared" si="5"/>
        <v>4.5599999999999996</v>
      </c>
      <c r="Q5" s="39">
        <f t="shared" si="6"/>
        <v>3.4545454545454541</v>
      </c>
      <c r="R5" s="39">
        <f t="shared" si="7"/>
        <v>4.836363636363636</v>
      </c>
      <c r="S5">
        <f t="shared" si="8"/>
        <v>1</v>
      </c>
      <c r="T5" s="39">
        <f t="shared" si="9"/>
        <v>1.3818181818181818</v>
      </c>
      <c r="U5" t="str">
        <f t="shared" si="10"/>
        <v/>
      </c>
      <c r="V5">
        <f>IF(L5="","",IF($AO$1=1,IFERROR(MATCH(L5,'07-تموز'!$L$2:$L$500,0),0),0))</f>
        <v>3</v>
      </c>
      <c r="W5" t="str">
        <f t="shared" si="11"/>
        <v/>
      </c>
      <c r="X5" s="38">
        <f>IF(L5="","",IF(V5&gt;0,INDEX('07-تموز'!$P$2:$P$500,V5),IF($AO$1=1,0,"")))</f>
        <v>12</v>
      </c>
      <c r="Y5" s="38">
        <f t="shared" si="12"/>
        <v>-7.44</v>
      </c>
      <c r="Z5" s="39">
        <f>IF(L5="","",IF(V5&gt;0,INDEX('07-تموز'!$Q$2:$Q$500,V5),IF($AO$1=1,0,"")))</f>
        <v>9.0225563909774422</v>
      </c>
      <c r="AA5" s="39">
        <f t="shared" si="13"/>
        <v>-5.5680109364319881</v>
      </c>
      <c r="AB5" s="40">
        <f>IF(OR(L5="",V5=0),"",IF(AND(N(I5)&gt;0,N(INDEX('07-تموز'!$I$2:$I$500,V5))&gt;0,INDEX('07-تموز'!$F$2:$F$500,V5)=F5),N(I5)/N(INDEX('07-تموز'!$I$2:$I$500,V5))-1,""))</f>
        <v>0</v>
      </c>
      <c r="AC5" t="str">
        <f>IF(L5="","",IF(AND($AO$2=1,ISNA(MATCH(L5,'09-أيلول'!$L$2:$L$500,0))),"محذوف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5.5680109414319885</v>
      </c>
      <c r="AH5" s="39">
        <f t="shared" si="15"/>
        <v>1.3818181818181814</v>
      </c>
      <c r="AI5" s="39">
        <f t="shared" si="16"/>
        <v>1.3818181818181814</v>
      </c>
      <c r="AJ5" s="39">
        <f t="shared" si="17"/>
        <v>1.3818181818181814</v>
      </c>
      <c r="AK5">
        <f t="shared" si="18"/>
        <v>3.4545454595454541</v>
      </c>
      <c r="AL5">
        <f t="shared" si="19"/>
        <v>1.3818181868181818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392</v>
      </c>
      <c r="B6">
        <v>45.74</v>
      </c>
      <c r="C6">
        <v>220000</v>
      </c>
      <c r="D6">
        <v>220000</v>
      </c>
      <c r="E6">
        <v>220000</v>
      </c>
      <c r="F6" t="s">
        <v>389</v>
      </c>
      <c r="G6" t="s">
        <v>178</v>
      </c>
      <c r="H6" t="s">
        <v>12</v>
      </c>
      <c r="I6">
        <v>108000</v>
      </c>
      <c r="K6" t="str">
        <f t="shared" si="0"/>
        <v/>
      </c>
      <c r="L6" t="str">
        <f t="shared" si="1"/>
        <v>مماسح مكتب َ</v>
      </c>
      <c r="M6" s="36">
        <f t="shared" si="2"/>
        <v>7.5757575757575758E-5</v>
      </c>
      <c r="N6" s="37">
        <f t="shared" si="3"/>
        <v>8.1818181818181817</v>
      </c>
      <c r="O6" s="37">
        <f t="shared" si="4"/>
        <v>16.666666666666668</v>
      </c>
      <c r="P6" s="38">
        <f t="shared" si="5"/>
        <v>45.74</v>
      </c>
      <c r="Q6" s="39">
        <f t="shared" si="6"/>
        <v>374.23636363636365</v>
      </c>
      <c r="R6" s="39">
        <f t="shared" si="7"/>
        <v>762.33333333333337</v>
      </c>
      <c r="S6">
        <f t="shared" si="8"/>
        <v>1</v>
      </c>
      <c r="T6" s="39">
        <f t="shared" si="9"/>
        <v>388.09696969696972</v>
      </c>
      <c r="U6" t="str">
        <f t="shared" si="10"/>
        <v/>
      </c>
      <c r="V6">
        <f>IF(L6="","",IF($AO$1=1,IFERROR(MATCH(L6,'07-تموز'!$L$2:$L$500,0),0),0))</f>
        <v>4</v>
      </c>
      <c r="W6" t="str">
        <f t="shared" si="11"/>
        <v/>
      </c>
      <c r="X6" s="38">
        <f>IF(L6="","",IF(V6&gt;0,INDEX('07-تموز'!$P$2:$P$500,V6),IF($AO$1=1,0,"")))</f>
        <v>5.15</v>
      </c>
      <c r="Y6" s="38">
        <f t="shared" si="12"/>
        <v>40.590000000000003</v>
      </c>
      <c r="Z6" s="39">
        <f>IF(L6="","",IF(V6&gt;0,INDEX('07-تموز'!$Q$2:$Q$500,V6),IF($AO$1=1,0,"")))</f>
        <v>41.819548872180448</v>
      </c>
      <c r="AA6" s="39">
        <f t="shared" si="13"/>
        <v>332.41681476418319</v>
      </c>
      <c r="AB6" s="40">
        <f>IF(OR(L6="",V6=0),"",IF(AND(N(I6)&gt;0,N(INDEX('07-تموز'!$I$2:$I$500,V6))&gt;0,INDEX('07-تموز'!$F$2:$F$500,V6)=F6),N(I6)/N(INDEX('07-تموز'!$I$2:$I$500,V6))-1,""))</f>
        <v>0</v>
      </c>
      <c r="AC6" t="str">
        <f>IF(L6="","",IF(AND($AO$2=1,ISNA(MATCH(L6,'09-أيلول'!$L$2:$L$500,0))),"محذوف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332.41681477018318</v>
      </c>
      <c r="AH6" s="39">
        <f t="shared" si="15"/>
        <v>388.09696969696978</v>
      </c>
      <c r="AI6" s="39">
        <f t="shared" si="16"/>
        <v>388.09696969696978</v>
      </c>
      <c r="AJ6" s="39">
        <f t="shared" si="17"/>
        <v>388.09696969696978</v>
      </c>
      <c r="AK6">
        <f t="shared" si="18"/>
        <v>374.23636364236364</v>
      </c>
      <c r="AL6">
        <f t="shared" si="19"/>
        <v>388.09696970296972</v>
      </c>
      <c r="AN6" s="3" t="s">
        <v>264</v>
      </c>
      <c r="AO6" s="35">
        <f>'لوحة التحكم'!$C$9</f>
        <v>50</v>
      </c>
    </row>
    <row r="7" spans="1:41" ht="15">
      <c r="A7" t="s">
        <v>393</v>
      </c>
      <c r="B7">
        <v>0</v>
      </c>
      <c r="C7">
        <v>420000</v>
      </c>
      <c r="D7">
        <v>420000</v>
      </c>
      <c r="E7">
        <v>420000</v>
      </c>
      <c r="F7" t="s">
        <v>389</v>
      </c>
      <c r="G7" t="s">
        <v>178</v>
      </c>
      <c r="H7" t="s">
        <v>12</v>
      </c>
      <c r="I7">
        <v>360000</v>
      </c>
      <c r="K7" t="str">
        <f t="shared" si="0"/>
        <v/>
      </c>
      <c r="L7" t="str">
        <f t="shared" si="1"/>
        <v>مماسح قماش عائلة فايبر</v>
      </c>
      <c r="M7" s="36">
        <f t="shared" si="2"/>
        <v>7.5757575757575758E-5</v>
      </c>
      <c r="N7" s="37">
        <f t="shared" si="3"/>
        <v>27.272727272727273</v>
      </c>
      <c r="O7" s="37">
        <f t="shared" si="4"/>
        <v>31.818181818181817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IF(L7="","",IF($AO$1=1,IFERROR(MATCH(L7,'07-تموز'!$L$2:$L$500,0),0),0))</f>
        <v>5</v>
      </c>
      <c r="W7" t="str">
        <f t="shared" si="11"/>
        <v/>
      </c>
      <c r="X7" s="38">
        <f>IF(L7="","",IF(V7&gt;0,INDEX('07-تموز'!$P$2:$P$500,V7),IF($AO$1=1,0,"")))</f>
        <v>0</v>
      </c>
      <c r="Y7" s="38">
        <f t="shared" si="12"/>
        <v>0</v>
      </c>
      <c r="Z7" s="39">
        <f>IF(L7="","",IF(V7&gt;0,INDEX('07-تموز'!$Q$2:$Q$500,V7),IF($AO$1=1,0,"")))</f>
        <v>0</v>
      </c>
      <c r="AA7" s="39">
        <f t="shared" si="13"/>
        <v>0</v>
      </c>
      <c r="AB7" s="40">
        <f>IF(OR(L7="",V7=0),"",IF(AND(N(I7)&gt;0,N(INDEX('07-تموز'!$I$2:$I$500,V7))&gt;0,INDEX('07-تموز'!$F$2:$F$500,V7)=F7),N(I7)/N(INDEX('07-تموز'!$I$2:$I$500,V7))-1,""))</f>
        <v>0</v>
      </c>
      <c r="AC7" t="str">
        <f>IF(L7="","",IF(AND($AO$2=1,ISNA(MATCH(L7,'09-أيلول'!$L$2:$L$500,0))),"محذوف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6.9999999999999998E-9</v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394</v>
      </c>
      <c r="B8">
        <v>0</v>
      </c>
      <c r="C8">
        <v>0</v>
      </c>
      <c r="D8">
        <v>0</v>
      </c>
      <c r="E8">
        <v>0</v>
      </c>
      <c r="F8" t="s">
        <v>389</v>
      </c>
      <c r="G8" t="s">
        <v>178</v>
      </c>
      <c r="H8" t="s">
        <v>12</v>
      </c>
      <c r="I8">
        <v>25000</v>
      </c>
      <c r="K8" t="str">
        <f t="shared" si="0"/>
        <v/>
      </c>
      <c r="L8" t="str">
        <f t="shared" si="1"/>
        <v>مماسح جلدية</v>
      </c>
      <c r="M8" s="36">
        <f t="shared" si="2"/>
        <v>7.5757575757575758E-5</v>
      </c>
      <c r="N8" s="37">
        <f t="shared" si="3"/>
        <v>1.893939393939394</v>
      </c>
      <c r="O8" s="37">
        <f t="shared" si="4"/>
        <v>0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IF(L8="","",IF($AO$1=1,IFERROR(MATCH(L8,'07-تموز'!$L$2:$L$500,0),0),0))</f>
        <v>6</v>
      </c>
      <c r="W8" t="str">
        <f t="shared" si="11"/>
        <v/>
      </c>
      <c r="X8" s="38">
        <f>IF(L8="","",IF(V8&gt;0,INDEX('07-تموز'!$P$2:$P$500,V8),IF($AO$1=1,0,"")))</f>
        <v>0</v>
      </c>
      <c r="Y8" s="38">
        <f t="shared" si="12"/>
        <v>0</v>
      </c>
      <c r="Z8" s="39">
        <f>IF(L8="","",IF(V8&gt;0,INDEX('07-تموز'!$Q$2:$Q$500,V8),IF($AO$1=1,0,"")))</f>
        <v>0</v>
      </c>
      <c r="AA8" s="39">
        <f t="shared" si="13"/>
        <v>0</v>
      </c>
      <c r="AB8" s="40">
        <f>IF(OR(L8="",V8=0),"",IF(AND(N(I8)&gt;0,N(INDEX('07-تموز'!$I$2:$I$500,V8))&gt;0,INDEX('07-تموز'!$F$2:$F$500,V8)=F8),N(I8)/N(INDEX('07-تموز'!$I$2:$I$500,V8))-1,""))</f>
        <v>0</v>
      </c>
      <c r="AC8" t="str">
        <f>IF(L8="","",IF(AND($AO$2=1,ISNA(MATCH(L8,'09-أيلول'!$L$2:$L$500,0))),"محذوف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8.0000000000000005E-9</v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395</v>
      </c>
      <c r="B9">
        <v>27</v>
      </c>
      <c r="C9">
        <v>13000</v>
      </c>
      <c r="D9">
        <v>13000</v>
      </c>
      <c r="E9">
        <v>13000</v>
      </c>
      <c r="F9" t="s">
        <v>389</v>
      </c>
      <c r="G9" t="s">
        <v>178</v>
      </c>
      <c r="H9" t="s">
        <v>12</v>
      </c>
      <c r="I9">
        <v>5000</v>
      </c>
      <c r="K9" t="str">
        <f t="shared" si="0"/>
        <v/>
      </c>
      <c r="L9" t="str">
        <f t="shared" si="1"/>
        <v>مماسح بلور</v>
      </c>
      <c r="M9" s="36">
        <f t="shared" si="2"/>
        <v>7.5757575757575758E-5</v>
      </c>
      <c r="N9" s="37">
        <f t="shared" si="3"/>
        <v>0.37878787878787878</v>
      </c>
      <c r="O9" s="37">
        <f t="shared" si="4"/>
        <v>0.98484848484848486</v>
      </c>
      <c r="P9" s="38">
        <f t="shared" si="5"/>
        <v>27</v>
      </c>
      <c r="Q9" s="39">
        <f t="shared" si="6"/>
        <v>10.227272727272727</v>
      </c>
      <c r="R9" s="39">
        <f t="shared" si="7"/>
        <v>26.59090909090909</v>
      </c>
      <c r="S9">
        <f t="shared" si="8"/>
        <v>1</v>
      </c>
      <c r="T9" s="39">
        <f t="shared" si="9"/>
        <v>16.363636363636363</v>
      </c>
      <c r="U9" t="str">
        <f t="shared" si="10"/>
        <v/>
      </c>
      <c r="V9">
        <f>IF(L9="","",IF($AO$1=1,IFERROR(MATCH(L9,'07-تموز'!$L$2:$L$500,0),0),0))</f>
        <v>7</v>
      </c>
      <c r="W9" t="str">
        <f t="shared" si="11"/>
        <v/>
      </c>
      <c r="X9" s="38">
        <f>IF(L9="","",IF(V9&gt;0,INDEX('07-تموز'!$P$2:$P$500,V9),IF($AO$1=1,0,"")))</f>
        <v>27</v>
      </c>
      <c r="Y9" s="38">
        <f t="shared" si="12"/>
        <v>0</v>
      </c>
      <c r="Z9" s="39">
        <f>IF(L9="","",IF(V9&gt;0,INDEX('07-تموز'!$Q$2:$Q$500,V9),IF($AO$1=1,0,"")))</f>
        <v>10.150375939849624</v>
      </c>
      <c r="AA9" s="39">
        <f t="shared" si="13"/>
        <v>7.6896787423102353E-2</v>
      </c>
      <c r="AB9" s="40">
        <f>IF(OR(L9="",V9=0),"",IF(AND(N(I9)&gt;0,N(INDEX('07-تموز'!$I$2:$I$500,V9))&gt;0,INDEX('07-تموز'!$F$2:$F$500,V9)=F9),N(I9)/N(INDEX('07-تموز'!$I$2:$I$500,V9))-1,""))</f>
        <v>0</v>
      </c>
      <c r="AC9" t="str">
        <f>IF(L9="","",IF(AND($AO$2=1,ISNA(MATCH(L9,'09-أيلول'!$L$2:$L$500,0))),"محذوف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7.6896796423102348E-2</v>
      </c>
      <c r="AH9" s="39">
        <f t="shared" si="15"/>
        <v>16.363636363636363</v>
      </c>
      <c r="AI9" s="39">
        <f t="shared" si="16"/>
        <v>16.363636363636363</v>
      </c>
      <c r="AJ9" s="39">
        <f t="shared" si="17"/>
        <v>16.363636363636363</v>
      </c>
      <c r="AK9">
        <f t="shared" si="18"/>
        <v>10.227272736272727</v>
      </c>
      <c r="AL9">
        <f t="shared" si="19"/>
        <v>16.363636372636364</v>
      </c>
    </row>
    <row r="10" spans="1:41" ht="15">
      <c r="A10" t="s">
        <v>396</v>
      </c>
      <c r="B10">
        <v>4</v>
      </c>
      <c r="C10">
        <v>110000</v>
      </c>
      <c r="D10">
        <v>110000</v>
      </c>
      <c r="E10">
        <v>110000</v>
      </c>
      <c r="F10" t="s">
        <v>389</v>
      </c>
      <c r="G10" t="s">
        <v>178</v>
      </c>
      <c r="H10" t="s">
        <v>12</v>
      </c>
      <c r="I10">
        <v>72000</v>
      </c>
      <c r="K10" t="str">
        <f t="shared" si="0"/>
        <v/>
      </c>
      <c r="L10" t="str">
        <f t="shared" si="1"/>
        <v>مماسح ارضيات</v>
      </c>
      <c r="M10" s="36">
        <f t="shared" si="2"/>
        <v>7.5757575757575758E-5</v>
      </c>
      <c r="N10" s="37">
        <f t="shared" si="3"/>
        <v>5.4545454545454541</v>
      </c>
      <c r="O10" s="37">
        <f t="shared" si="4"/>
        <v>8.3333333333333339</v>
      </c>
      <c r="P10" s="38">
        <f t="shared" si="5"/>
        <v>4</v>
      </c>
      <c r="Q10" s="39">
        <f t="shared" si="6"/>
        <v>21.818181818181817</v>
      </c>
      <c r="R10" s="39">
        <f t="shared" si="7"/>
        <v>33.333333333333336</v>
      </c>
      <c r="S10">
        <f t="shared" si="8"/>
        <v>1</v>
      </c>
      <c r="T10" s="39">
        <f t="shared" si="9"/>
        <v>11.515151515151519</v>
      </c>
      <c r="U10" t="str">
        <f t="shared" si="10"/>
        <v/>
      </c>
      <c r="V10">
        <f>IF(L10="","",IF($AO$1=1,IFERROR(MATCH(L10,'07-تموز'!$L$2:$L$500,0),0),0))</f>
        <v>8</v>
      </c>
      <c r="W10" t="str">
        <f t="shared" si="11"/>
        <v/>
      </c>
      <c r="X10" s="38">
        <f>IF(L10="","",IF(V10&gt;0,INDEX('07-تموز'!$P$2:$P$500,V10),IF($AO$1=1,0,"")))</f>
        <v>9.42</v>
      </c>
      <c r="Y10" s="38">
        <f t="shared" si="12"/>
        <v>-5.42</v>
      </c>
      <c r="Z10" s="39">
        <f>IF(L10="","",IF(V10&gt;0,INDEX('07-تموز'!$Q$2:$Q$500,V10),IF($AO$1=1,0,"")))</f>
        <v>50.995488721804506</v>
      </c>
      <c r="AA10" s="39">
        <f t="shared" si="13"/>
        <v>-29.177306903622689</v>
      </c>
      <c r="AB10" s="40">
        <f>IF(OR(L10="",V10=0),"",IF(AND(N(I10)&gt;0,N(INDEX('07-تموز'!$I$2:$I$500,V10))&gt;0,INDEX('07-تموز'!$F$2:$F$500,V10)=F10),N(I10)/N(INDEX('07-تموز'!$I$2:$I$500,V10))-1,""))</f>
        <v>0</v>
      </c>
      <c r="AC10" t="str">
        <f>IF(L10="","",IF(AND($AO$2=1,ISNA(MATCH(L10,'09-أيلول'!$L$2:$L$500,0))),"محذوف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29.17730691362269</v>
      </c>
      <c r="AH10" s="39">
        <f t="shared" si="15"/>
        <v>11.515151515151519</v>
      </c>
      <c r="AI10" s="39">
        <f t="shared" si="16"/>
        <v>11.515151515151519</v>
      </c>
      <c r="AJ10" s="39">
        <f t="shared" si="17"/>
        <v>11.515151515151519</v>
      </c>
      <c r="AK10">
        <f t="shared" si="18"/>
        <v>21.818181828181817</v>
      </c>
      <c r="AL10">
        <f t="shared" si="19"/>
        <v>11.51515152515152</v>
      </c>
    </row>
    <row r="11" spans="1:41" ht="15">
      <c r="A11" t="s">
        <v>397</v>
      </c>
      <c r="B11">
        <v>0</v>
      </c>
      <c r="C11">
        <v>35000</v>
      </c>
      <c r="D11">
        <v>35000</v>
      </c>
      <c r="E11">
        <v>35000</v>
      </c>
      <c r="F11" t="s">
        <v>389</v>
      </c>
      <c r="G11" t="s">
        <v>178</v>
      </c>
      <c r="H11" t="s">
        <v>12</v>
      </c>
      <c r="I11">
        <v>28000</v>
      </c>
      <c r="K11" t="str">
        <f t="shared" si="0"/>
        <v/>
      </c>
      <c r="L11" t="str">
        <f t="shared" si="1"/>
        <v>ملمع سيارات 3 لتر</v>
      </c>
      <c r="M11" s="36">
        <f t="shared" si="2"/>
        <v>7.5757575757575758E-5</v>
      </c>
      <c r="N11" s="37">
        <f t="shared" si="3"/>
        <v>2.1212121212121211</v>
      </c>
      <c r="O11" s="37">
        <f t="shared" si="4"/>
        <v>2.6515151515151514</v>
      </c>
      <c r="P11" s="38">
        <f t="shared" si="5"/>
        <v>0</v>
      </c>
      <c r="Q11" s="39">
        <f t="shared" si="6"/>
        <v>0</v>
      </c>
      <c r="R11" s="39">
        <f t="shared" si="7"/>
        <v>0</v>
      </c>
      <c r="S11">
        <f t="shared" si="8"/>
        <v>0</v>
      </c>
      <c r="T11" s="39">
        <f t="shared" si="9"/>
        <v>0</v>
      </c>
      <c r="U11" t="str">
        <f t="shared" si="10"/>
        <v/>
      </c>
      <c r="V11">
        <f>IF(L11="","",IF($AO$1=1,IFERROR(MATCH(L11,'07-تموز'!$L$2:$L$500,0),0),0))</f>
        <v>9</v>
      </c>
      <c r="W11" t="str">
        <f t="shared" si="11"/>
        <v/>
      </c>
      <c r="X11" s="38">
        <f>IF(L11="","",IF(V11&gt;0,INDEX('07-تموز'!$P$2:$P$500,V11),IF($AO$1=1,0,"")))</f>
        <v>0</v>
      </c>
      <c r="Y11" s="38">
        <f t="shared" si="12"/>
        <v>0</v>
      </c>
      <c r="Z11" s="39">
        <f>IF(L11="","",IF(V11&gt;0,INDEX('07-تموز'!$Q$2:$Q$500,V11),IF($AO$1=1,0,"")))</f>
        <v>0</v>
      </c>
      <c r="AA11" s="39">
        <f t="shared" si="13"/>
        <v>0</v>
      </c>
      <c r="AB11" s="40">
        <f>IF(OR(L11="",V11=0),"",IF(AND(N(I11)&gt;0,N(INDEX('07-تموز'!$I$2:$I$500,V11))&gt;0,INDEX('07-تموز'!$F$2:$F$500,V11)=F11),N(I11)/N(INDEX('07-تموز'!$I$2:$I$500,V11))-1,""))</f>
        <v>0</v>
      </c>
      <c r="AC11" t="str">
        <f>IF(L11="","",IF(AND($AO$2=1,ISNA(MATCH(L11,'09-أيلول'!$L$2:$L$500,0))),"محذوف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1.0999999999999999E-8</v>
      </c>
      <c r="AH11" s="39">
        <f t="shared" si="15"/>
        <v>0</v>
      </c>
      <c r="AI11" s="39">
        <f t="shared" si="16"/>
        <v>0</v>
      </c>
      <c r="AJ11" s="39">
        <f t="shared" si="17"/>
        <v>0</v>
      </c>
      <c r="AK11">
        <f t="shared" si="18"/>
        <v>1.0999999999999999E-8</v>
      </c>
      <c r="AL11">
        <f t="shared" si="19"/>
        <v>1.0999999999999999E-8</v>
      </c>
    </row>
    <row r="12" spans="1:41" ht="15">
      <c r="A12" t="s">
        <v>398</v>
      </c>
      <c r="B12">
        <v>158.6</v>
      </c>
      <c r="C12">
        <v>15000</v>
      </c>
      <c r="D12">
        <v>15000</v>
      </c>
      <c r="E12">
        <v>15000</v>
      </c>
      <c r="F12" t="s">
        <v>389</v>
      </c>
      <c r="G12" t="s">
        <v>178</v>
      </c>
      <c r="H12" t="s">
        <v>12</v>
      </c>
      <c r="I12">
        <v>8500</v>
      </c>
      <c r="K12" t="str">
        <f t="shared" si="0"/>
        <v/>
      </c>
      <c r="L12" t="str">
        <f t="shared" si="1"/>
        <v>ملمع سيارات / فرط</v>
      </c>
      <c r="M12" s="36">
        <f t="shared" si="2"/>
        <v>7.5757575757575758E-5</v>
      </c>
      <c r="N12" s="37">
        <f t="shared" si="3"/>
        <v>0.64393939393939392</v>
      </c>
      <c r="O12" s="37">
        <f t="shared" si="4"/>
        <v>1.1363636363636365</v>
      </c>
      <c r="P12" s="38">
        <f t="shared" si="5"/>
        <v>158.6</v>
      </c>
      <c r="Q12" s="39">
        <f t="shared" si="6"/>
        <v>102.12878787878788</v>
      </c>
      <c r="R12" s="39">
        <f t="shared" si="7"/>
        <v>180.22727272727275</v>
      </c>
      <c r="S12">
        <f t="shared" si="8"/>
        <v>1</v>
      </c>
      <c r="T12" s="39">
        <f t="shared" si="9"/>
        <v>78.098484848484873</v>
      </c>
      <c r="U12" t="str">
        <f t="shared" si="10"/>
        <v/>
      </c>
      <c r="V12">
        <f>IF(L12="","",IF($AO$1=1,IFERROR(MATCH(L12,'07-تموز'!$L$2:$L$500,0),0),0))</f>
        <v>10</v>
      </c>
      <c r="W12" t="str">
        <f t="shared" si="11"/>
        <v/>
      </c>
      <c r="X12" s="38">
        <f>IF(L12="","",IF(V12&gt;0,INDEX('07-تموز'!$P$2:$P$500,V12),IF($AO$1=1,0,"")))</f>
        <v>8</v>
      </c>
      <c r="Y12" s="38">
        <f t="shared" si="12"/>
        <v>150.6</v>
      </c>
      <c r="Z12" s="39">
        <f>IF(L12="","",IF(V12&gt;0,INDEX('07-تموز'!$Q$2:$Q$500,V12),IF($AO$1=1,0,"")))</f>
        <v>5.1127819548872182</v>
      </c>
      <c r="AA12" s="39">
        <f t="shared" si="13"/>
        <v>97.01600592390065</v>
      </c>
      <c r="AB12" s="40">
        <f>IF(OR(L12="",V12=0),"",IF(AND(N(I12)&gt;0,N(INDEX('07-تموز'!$I$2:$I$500,V12))&gt;0,INDEX('07-تموز'!$F$2:$F$500,V12)=F12),N(I12)/N(INDEX('07-تموز'!$I$2:$I$500,V12))-1,""))</f>
        <v>0</v>
      </c>
      <c r="AC12" t="str">
        <f>IF(L12="","",IF(AND($AO$2=1,ISNA(MATCH(L12,'09-أيلول'!$L$2:$L$500,0))),"محذوف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97.016005935900651</v>
      </c>
      <c r="AH12" s="39">
        <f t="shared" si="15"/>
        <v>78.098484848484858</v>
      </c>
      <c r="AI12" s="39">
        <f t="shared" si="16"/>
        <v>78.098484848484858</v>
      </c>
      <c r="AJ12" s="39">
        <f t="shared" si="17"/>
        <v>78.098484848484858</v>
      </c>
      <c r="AK12">
        <f t="shared" si="18"/>
        <v>102.12878789078788</v>
      </c>
      <c r="AL12">
        <f t="shared" si="19"/>
        <v>78.098484860484874</v>
      </c>
    </row>
    <row r="13" spans="1:41" ht="15">
      <c r="A13" t="s">
        <v>267</v>
      </c>
      <c r="B13">
        <v>0</v>
      </c>
      <c r="C13">
        <v>0</v>
      </c>
      <c r="D13">
        <v>0</v>
      </c>
      <c r="E13">
        <v>0</v>
      </c>
      <c r="F13" t="s">
        <v>268</v>
      </c>
      <c r="G13" t="s">
        <v>178</v>
      </c>
      <c r="H13" t="s">
        <v>177</v>
      </c>
      <c r="I13">
        <v>175</v>
      </c>
      <c r="K13" t="str">
        <f t="shared" si="0"/>
        <v/>
      </c>
      <c r="L13" t="str">
        <f t="shared" si="1"/>
        <v>ملمع زجاج خام</v>
      </c>
      <c r="M13" s="36">
        <f t="shared" si="2"/>
        <v>1</v>
      </c>
      <c r="N13" s="37">
        <f t="shared" si="3"/>
        <v>175</v>
      </c>
      <c r="O13" s="37">
        <f t="shared" si="4"/>
        <v>0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IF(L13="","",IF($AO$1=1,IFERROR(MATCH(L13,'07-تموز'!$L$2:$L$500,0),0),0))</f>
        <v>11</v>
      </c>
      <c r="W13" t="str">
        <f t="shared" si="11"/>
        <v/>
      </c>
      <c r="X13" s="38">
        <f>IF(L13="","",IF(V13&gt;0,INDEX('07-تموز'!$P$2:$P$500,V13),IF($AO$1=1,0,"")))</f>
        <v>0</v>
      </c>
      <c r="Y13" s="38">
        <f t="shared" si="12"/>
        <v>0</v>
      </c>
      <c r="Z13" s="39">
        <f>IF(L13="","",IF(V13&gt;0,INDEX('07-تموز'!$Q$2:$Q$500,V13),IF($AO$1=1,0,"")))</f>
        <v>0</v>
      </c>
      <c r="AA13" s="39">
        <f t="shared" si="13"/>
        <v>0</v>
      </c>
      <c r="AB13" s="40">
        <f>IF(OR(L13="",V13=0),"",IF(AND(N(I13)&gt;0,N(INDEX('07-تموز'!$I$2:$I$500,V13))&gt;0,INDEX('07-تموز'!$F$2:$F$500,V13)=F13),N(I13)/N(INDEX('07-تموز'!$I$2:$I$500,V13))-1,""))</f>
        <v>0</v>
      </c>
      <c r="AC13" t="str">
        <f>IF(L13="","",IF(AND($AO$2=1,ISNA(MATCH(L13,'09-أيلول'!$L$2:$L$500,0))),"محذوف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1.3000000000000001E-8</v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399</v>
      </c>
      <c r="B14">
        <v>0</v>
      </c>
      <c r="C14">
        <v>156000</v>
      </c>
      <c r="D14">
        <v>156000</v>
      </c>
      <c r="E14">
        <v>156000</v>
      </c>
      <c r="F14" t="s">
        <v>389</v>
      </c>
      <c r="G14" t="s">
        <v>178</v>
      </c>
      <c r="H14" t="s">
        <v>12</v>
      </c>
      <c r="I14">
        <v>120000</v>
      </c>
      <c r="K14" t="str">
        <f t="shared" si="0"/>
        <v/>
      </c>
      <c r="L14" t="str">
        <f t="shared" si="1"/>
        <v>ملمع زجاج الكرمل</v>
      </c>
      <c r="M14" s="36">
        <f t="shared" si="2"/>
        <v>7.5757575757575758E-5</v>
      </c>
      <c r="N14" s="37">
        <f t="shared" si="3"/>
        <v>9.0909090909090917</v>
      </c>
      <c r="O14" s="37">
        <f t="shared" si="4"/>
        <v>11.818181818181818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IF(L14="","",IF($AO$1=1,IFERROR(MATCH(L14,'07-تموز'!$L$2:$L$500,0),0),0))</f>
        <v>12</v>
      </c>
      <c r="W14" t="str">
        <f t="shared" si="11"/>
        <v/>
      </c>
      <c r="X14" s="38">
        <f>IF(L14="","",IF(V14&gt;0,INDEX('07-تموز'!$P$2:$P$500,V14),IF($AO$1=1,0,"")))</f>
        <v>0</v>
      </c>
      <c r="Y14" s="38">
        <f t="shared" si="12"/>
        <v>0</v>
      </c>
      <c r="Z14" s="39">
        <f>IF(L14="","",IF(V14&gt;0,INDEX('07-تموز'!$Q$2:$Q$500,V14),IF($AO$1=1,0,"")))</f>
        <v>0</v>
      </c>
      <c r="AA14" s="39">
        <f t="shared" si="13"/>
        <v>0</v>
      </c>
      <c r="AB14" s="40">
        <f>IF(OR(L14="",V14=0),"",IF(AND(N(I14)&gt;0,N(INDEX('07-تموز'!$I$2:$I$500,V14))&gt;0,INDEX('07-تموز'!$F$2:$F$500,V14)=F14),N(I14)/N(INDEX('07-تموز'!$I$2:$I$500,V14))-1,""))</f>
        <v>0</v>
      </c>
      <c r="AC14" t="str">
        <f>IF(L14="","",IF(AND($AO$2=1,ISNA(MATCH(L14,'09-أيلول'!$L$2:$L$500,0))),"محذوف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1.4E-8</v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400</v>
      </c>
      <c r="B15">
        <v>31</v>
      </c>
      <c r="C15">
        <v>30000</v>
      </c>
      <c r="D15">
        <v>30000</v>
      </c>
      <c r="E15">
        <v>30000</v>
      </c>
      <c r="F15" t="s">
        <v>389</v>
      </c>
      <c r="G15" t="s">
        <v>178</v>
      </c>
      <c r="H15" t="s">
        <v>12</v>
      </c>
      <c r="I15">
        <v>9500</v>
      </c>
      <c r="K15" t="str">
        <f t="shared" si="0"/>
        <v/>
      </c>
      <c r="L15" t="str">
        <f t="shared" si="1"/>
        <v>ملمع زجاج 3 لتر</v>
      </c>
      <c r="M15" s="36">
        <f t="shared" si="2"/>
        <v>7.5757575757575758E-5</v>
      </c>
      <c r="N15" s="37">
        <f t="shared" si="3"/>
        <v>0.71969696969696972</v>
      </c>
      <c r="O15" s="37">
        <f t="shared" si="4"/>
        <v>2.2727272727272729</v>
      </c>
      <c r="P15" s="38">
        <f t="shared" si="5"/>
        <v>31</v>
      </c>
      <c r="Q15" s="39">
        <f t="shared" si="6"/>
        <v>22.310606060606062</v>
      </c>
      <c r="R15" s="39">
        <f t="shared" si="7"/>
        <v>70.454545454545467</v>
      </c>
      <c r="S15">
        <f t="shared" si="8"/>
        <v>1</v>
      </c>
      <c r="T15" s="39">
        <f t="shared" si="9"/>
        <v>48.143939393939405</v>
      </c>
      <c r="U15" t="str">
        <f t="shared" si="10"/>
        <v/>
      </c>
      <c r="V15">
        <f>IF(L15="","",IF($AO$1=1,IFERROR(MATCH(L15,'07-تموز'!$L$2:$L$500,0),0),0))</f>
        <v>13</v>
      </c>
      <c r="W15" t="str">
        <f t="shared" si="11"/>
        <v/>
      </c>
      <c r="X15" s="38">
        <f>IF(L15="","",IF(V15&gt;0,INDEX('07-تموز'!$P$2:$P$500,V15),IF($AO$1=1,0,"")))</f>
        <v>21</v>
      </c>
      <c r="Y15" s="38">
        <f t="shared" si="12"/>
        <v>10</v>
      </c>
      <c r="Z15" s="39">
        <f>IF(L15="","",IF(V15&gt;0,INDEX('07-تموز'!$Q$2:$Q$500,V15),IF($AO$1=1,0,"")))</f>
        <v>15</v>
      </c>
      <c r="AA15" s="39">
        <f t="shared" si="13"/>
        <v>7.3106060606060623</v>
      </c>
      <c r="AB15" s="40">
        <f>IF(OR(L15="",V15=0),"",IF(AND(N(I15)&gt;0,N(INDEX('07-تموز'!$I$2:$I$500,V15))&gt;0,INDEX('07-تموز'!$F$2:$F$500,V15)=F15),N(I15)/N(INDEX('07-تموز'!$I$2:$I$500,V15))-1,""))</f>
        <v>0</v>
      </c>
      <c r="AC15" t="str">
        <f>IF(L15="","",IF(AND($AO$2=1,ISNA(MATCH(L15,'09-أيلول'!$L$2:$L$500,0))),"محذوف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7.3106060756060627</v>
      </c>
      <c r="AH15" s="39">
        <f t="shared" si="15"/>
        <v>48.143939393939398</v>
      </c>
      <c r="AI15" s="39">
        <f t="shared" si="16"/>
        <v>48.143939393939398</v>
      </c>
      <c r="AJ15" s="39">
        <f t="shared" si="17"/>
        <v>48.143939393939398</v>
      </c>
      <c r="AK15">
        <f t="shared" si="18"/>
        <v>22.310606075606064</v>
      </c>
      <c r="AL15">
        <f t="shared" si="19"/>
        <v>48.143939408939403</v>
      </c>
    </row>
    <row r="16" spans="1:41" ht="15">
      <c r="A16" t="s">
        <v>401</v>
      </c>
      <c r="B16">
        <v>118.3</v>
      </c>
      <c r="C16">
        <v>10000</v>
      </c>
      <c r="D16">
        <v>10000</v>
      </c>
      <c r="E16">
        <v>10000</v>
      </c>
      <c r="F16" t="s">
        <v>389</v>
      </c>
      <c r="G16" t="s">
        <v>178</v>
      </c>
      <c r="H16" t="s">
        <v>12</v>
      </c>
      <c r="I16">
        <v>3000</v>
      </c>
      <c r="K16" t="str">
        <f t="shared" si="0"/>
        <v/>
      </c>
      <c r="L16" t="str">
        <f t="shared" si="1"/>
        <v>ملمع زجاج / فرط</v>
      </c>
      <c r="M16" s="36">
        <f t="shared" si="2"/>
        <v>7.5757575757575758E-5</v>
      </c>
      <c r="N16" s="37">
        <f t="shared" si="3"/>
        <v>0.22727272727272727</v>
      </c>
      <c r="O16" s="37">
        <f t="shared" si="4"/>
        <v>0.75757575757575757</v>
      </c>
      <c r="P16" s="38">
        <f t="shared" si="5"/>
        <v>118.3</v>
      </c>
      <c r="Q16" s="39">
        <f t="shared" si="6"/>
        <v>26.886363636363633</v>
      </c>
      <c r="R16" s="39">
        <f t="shared" si="7"/>
        <v>89.621212121212125</v>
      </c>
      <c r="S16">
        <f t="shared" si="8"/>
        <v>1</v>
      </c>
      <c r="T16" s="39">
        <f t="shared" si="9"/>
        <v>62.734848484848492</v>
      </c>
      <c r="U16" t="str">
        <f t="shared" si="10"/>
        <v/>
      </c>
      <c r="V16">
        <f>IF(L16="","",IF($AO$1=1,IFERROR(MATCH(L16,'07-تموز'!$L$2:$L$500,0),0),0))</f>
        <v>14</v>
      </c>
      <c r="W16" t="str">
        <f t="shared" si="11"/>
        <v/>
      </c>
      <c r="X16" s="38">
        <f>IF(L16="","",IF(V16&gt;0,INDEX('07-تموز'!$P$2:$P$500,V16),IF($AO$1=1,0,"")))</f>
        <v>119.5</v>
      </c>
      <c r="Y16" s="38">
        <f t="shared" si="12"/>
        <v>-1.2000000000000028</v>
      </c>
      <c r="Z16" s="39">
        <f>IF(L16="","",IF(V16&gt;0,INDEX('07-تموز'!$Q$2:$Q$500,V16),IF($AO$1=1,0,"")))</f>
        <v>26.954887218045112</v>
      </c>
      <c r="AA16" s="39">
        <f t="shared" si="13"/>
        <v>-6.8523581681478873E-2</v>
      </c>
      <c r="AB16" s="40">
        <f>IF(OR(L16="",V16=0),"",IF(AND(N(I16)&gt;0,N(INDEX('07-تموز'!$I$2:$I$500,V16))&gt;0,INDEX('07-تموز'!$F$2:$F$500,V16)=F16),N(I16)/N(INDEX('07-تموز'!$I$2:$I$500,V16))-1,""))</f>
        <v>0</v>
      </c>
      <c r="AC16" t="str">
        <f>IF(L16="","",IF(AND($AO$2=1,ISNA(MATCH(L16,'09-أيلول'!$L$2:$L$500,0))),"محذوف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6.8523597681478879E-2</v>
      </c>
      <c r="AH16" s="39">
        <f t="shared" si="15"/>
        <v>62.734848484848477</v>
      </c>
      <c r="AI16" s="39">
        <f t="shared" si="16"/>
        <v>62.734848484848477</v>
      </c>
      <c r="AJ16" s="39">
        <f t="shared" si="17"/>
        <v>62.734848484848477</v>
      </c>
      <c r="AK16">
        <f t="shared" si="18"/>
        <v>26.886363652363634</v>
      </c>
      <c r="AL16">
        <f t="shared" si="19"/>
        <v>62.734848500848493</v>
      </c>
    </row>
    <row r="17" spans="1:38" ht="15">
      <c r="A17" t="s">
        <v>269</v>
      </c>
      <c r="B17">
        <v>0</v>
      </c>
      <c r="C17">
        <v>0</v>
      </c>
      <c r="D17">
        <v>0</v>
      </c>
      <c r="E17">
        <v>0</v>
      </c>
      <c r="F17" t="s">
        <v>268</v>
      </c>
      <c r="G17" t="s">
        <v>178</v>
      </c>
      <c r="H17" t="s">
        <v>177</v>
      </c>
      <c r="I17">
        <v>63</v>
      </c>
      <c r="K17" t="str">
        <f t="shared" si="0"/>
        <v/>
      </c>
      <c r="L17" t="str">
        <f t="shared" si="1"/>
        <v>ملمع دواليب خام</v>
      </c>
      <c r="M17" s="36">
        <f t="shared" si="2"/>
        <v>1</v>
      </c>
      <c r="N17" s="37">
        <f t="shared" si="3"/>
        <v>63</v>
      </c>
      <c r="O17" s="37">
        <f t="shared" si="4"/>
        <v>0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IF(L17="","",IF($AO$1=1,IFERROR(MATCH(L17,'07-تموز'!$L$2:$L$500,0),0),0))</f>
        <v>15</v>
      </c>
      <c r="W17" t="str">
        <f t="shared" si="11"/>
        <v/>
      </c>
      <c r="X17" s="38">
        <f>IF(L17="","",IF(V17&gt;0,INDEX('07-تموز'!$P$2:$P$500,V17),IF($AO$1=1,0,"")))</f>
        <v>0</v>
      </c>
      <c r="Y17" s="38">
        <f t="shared" si="12"/>
        <v>0</v>
      </c>
      <c r="Z17" s="39">
        <f>IF(L17="","",IF(V17&gt;0,INDEX('07-تموز'!$Q$2:$Q$500,V17),IF($AO$1=1,0,"")))</f>
        <v>0</v>
      </c>
      <c r="AA17" s="39">
        <f t="shared" si="13"/>
        <v>0</v>
      </c>
      <c r="AB17" s="40">
        <f>IF(OR(L17="",V17=0),"",IF(AND(N(I17)&gt;0,N(INDEX('07-تموز'!$I$2:$I$500,V17))&gt;0,INDEX('07-تموز'!$F$2:$F$500,V17)=F17),N(I17)/N(INDEX('07-تموز'!$I$2:$I$500,V17))-1,""))</f>
        <v>0</v>
      </c>
      <c r="AC17" t="str">
        <f>IF(L17="","",IF(AND($AO$2=1,ISNA(MATCH(L17,'09-أيلول'!$L$2:$L$500,0))),"محذوف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1.7E-8</v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402</v>
      </c>
      <c r="B18">
        <v>0</v>
      </c>
      <c r="C18">
        <v>408000</v>
      </c>
      <c r="D18">
        <v>408000</v>
      </c>
      <c r="E18">
        <v>408000</v>
      </c>
      <c r="F18" t="s">
        <v>389</v>
      </c>
      <c r="G18" t="s">
        <v>178</v>
      </c>
      <c r="H18" t="s">
        <v>12</v>
      </c>
      <c r="I18">
        <v>0</v>
      </c>
      <c r="K18" t="str">
        <f t="shared" si="0"/>
        <v/>
      </c>
      <c r="L18" t="str">
        <f t="shared" si="1"/>
        <v>ملطف جو ليتس</v>
      </c>
      <c r="M18" s="36">
        <f t="shared" si="2"/>
        <v>7.5757575757575758E-5</v>
      </c>
      <c r="N18" s="37">
        <f t="shared" si="3"/>
        <v>0</v>
      </c>
      <c r="O18" s="37">
        <f t="shared" si="4"/>
        <v>30.90909090909091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IF(L18="","",IF($AO$1=1,IFERROR(MATCH(L18,'07-تموز'!$L$2:$L$500,0),0),0))</f>
        <v>16</v>
      </c>
      <c r="W18" t="str">
        <f t="shared" si="11"/>
        <v/>
      </c>
      <c r="X18" s="38">
        <f>IF(L18="","",IF(V18&gt;0,INDEX('07-تموز'!$P$2:$P$500,V18),IF($AO$1=1,0,"")))</f>
        <v>0</v>
      </c>
      <c r="Y18" s="38">
        <f t="shared" si="12"/>
        <v>0</v>
      </c>
      <c r="Z18" s="39">
        <f>IF(L18="","",IF(V18&gt;0,INDEX('07-تموز'!$Q$2:$Q$500,V18),IF($AO$1=1,0,"")))</f>
        <v>0</v>
      </c>
      <c r="AA18" s="39">
        <f t="shared" si="13"/>
        <v>0</v>
      </c>
      <c r="AB18" s="40" t="str">
        <f>IF(OR(L18="",V18=0),"",IF(AND(N(I18)&gt;0,N(INDEX('07-تموز'!$I$2:$I$500,V18))&gt;0,INDEX('07-تموز'!$F$2:$F$500,V18)=F18),N(I18)/N(INDEX('07-تموز'!$I$2:$I$500,V18))-1,""))</f>
        <v/>
      </c>
      <c r="AC18" t="str">
        <f>IF(L18="","",IF(AND($AO$2=1,ISNA(MATCH(L18,'09-أيلول'!$L$2:$L$500,0))),"محذوف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403</v>
      </c>
      <c r="B19">
        <v>0</v>
      </c>
      <c r="C19">
        <v>240000</v>
      </c>
      <c r="D19">
        <v>240000</v>
      </c>
      <c r="E19">
        <v>240000</v>
      </c>
      <c r="F19" t="s">
        <v>389</v>
      </c>
      <c r="G19" t="s">
        <v>178</v>
      </c>
      <c r="H19" t="s">
        <v>12</v>
      </c>
      <c r="I19">
        <v>139200</v>
      </c>
      <c r="K19" t="str">
        <f t="shared" si="0"/>
        <v/>
      </c>
      <c r="L19" t="str">
        <f t="shared" si="1"/>
        <v>ملطف جو</v>
      </c>
      <c r="M19" s="36">
        <f t="shared" si="2"/>
        <v>7.5757575757575758E-5</v>
      </c>
      <c r="N19" s="37">
        <f t="shared" si="3"/>
        <v>10.545454545454545</v>
      </c>
      <c r="O19" s="37">
        <f t="shared" si="4"/>
        <v>18.181818181818183</v>
      </c>
      <c r="P19" s="38">
        <f t="shared" si="5"/>
        <v>0</v>
      </c>
      <c r="Q19" s="39">
        <f t="shared" si="6"/>
        <v>0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IF(L19="","",IF($AO$1=1,IFERROR(MATCH(L19,'07-تموز'!$L$2:$L$500,0),0),0))</f>
        <v>17</v>
      </c>
      <c r="W19" t="str">
        <f t="shared" si="11"/>
        <v/>
      </c>
      <c r="X19" s="38">
        <f>IF(L19="","",IF(V19&gt;0,INDEX('07-تموز'!$P$2:$P$500,V19),IF($AO$1=1,0,"")))</f>
        <v>0</v>
      </c>
      <c r="Y19" s="38">
        <f t="shared" si="12"/>
        <v>0</v>
      </c>
      <c r="Z19" s="39">
        <f>IF(L19="","",IF(V19&gt;0,INDEX('07-تموز'!$Q$2:$Q$500,V19),IF($AO$1=1,0,"")))</f>
        <v>0</v>
      </c>
      <c r="AA19" s="39">
        <f t="shared" si="13"/>
        <v>0</v>
      </c>
      <c r="AB19" s="40">
        <f>IF(OR(L19="",V19=0),"",IF(AND(N(I19)&gt;0,N(INDEX('07-تموز'!$I$2:$I$500,V19))&gt;0,INDEX('07-تموز'!$F$2:$F$500,V19)=F19),N(I19)/N(INDEX('07-تموز'!$I$2:$I$500,V19))-1,""))</f>
        <v>0</v>
      </c>
      <c r="AC19" t="str">
        <f>IF(L19="","",IF(AND($AO$2=1,ISNA(MATCH(L19,'09-أيلول'!$L$2:$L$500,0))),"محذوف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1.9000000000000001E-8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1.9000000000000001E-8</v>
      </c>
      <c r="AL19">
        <f t="shared" si="19"/>
        <v>1.9000000000000001E-8</v>
      </c>
    </row>
    <row r="20" spans="1:38" ht="15">
      <c r="A20" t="s">
        <v>270</v>
      </c>
      <c r="B20">
        <v>93.04</v>
      </c>
      <c r="C20">
        <v>0</v>
      </c>
      <c r="D20">
        <v>0</v>
      </c>
      <c r="E20">
        <v>0</v>
      </c>
      <c r="F20" t="s">
        <v>268</v>
      </c>
      <c r="G20" t="s">
        <v>178</v>
      </c>
      <c r="H20" t="s">
        <v>176</v>
      </c>
      <c r="I20">
        <v>2.1</v>
      </c>
      <c r="K20" t="str">
        <f t="shared" si="0"/>
        <v/>
      </c>
      <c r="L20" t="str">
        <f t="shared" si="1"/>
        <v>ملح</v>
      </c>
      <c r="M20" s="36">
        <f t="shared" si="2"/>
        <v>1</v>
      </c>
      <c r="N20" s="37">
        <f t="shared" si="3"/>
        <v>2.1</v>
      </c>
      <c r="O20" s="37">
        <f t="shared" si="4"/>
        <v>0</v>
      </c>
      <c r="P20" s="38">
        <f t="shared" si="5"/>
        <v>93.04</v>
      </c>
      <c r="Q20" s="39">
        <f t="shared" si="6"/>
        <v>195.38400000000001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IF(L20="","",IF($AO$1=1,IFERROR(MATCH(L20,'07-تموز'!$L$2:$L$500,0),0),0))</f>
        <v>18</v>
      </c>
      <c r="W20" t="str">
        <f t="shared" si="11"/>
        <v/>
      </c>
      <c r="X20" s="38">
        <f>IF(L20="","",IF(V20&gt;0,INDEX('07-تموز'!$P$2:$P$500,V20),IF($AO$1=1,0,"")))</f>
        <v>93.04</v>
      </c>
      <c r="Y20" s="38">
        <f t="shared" si="12"/>
        <v>0</v>
      </c>
      <c r="Z20" s="39">
        <f>IF(L20="","",IF(V20&gt;0,INDEX('07-تموز'!$Q$2:$Q$500,V20),IF($AO$1=1,0,"")))</f>
        <v>195.38400000000001</v>
      </c>
      <c r="AA20" s="39">
        <f t="shared" si="13"/>
        <v>0</v>
      </c>
      <c r="AB20" s="40">
        <f>IF(OR(L20="",V20=0),"",IF(AND(N(I20)&gt;0,N(INDEX('07-تموز'!$I$2:$I$500,V20))&gt;0,INDEX('07-تموز'!$F$2:$F$500,V20)=F20),N(I20)/N(INDEX('07-تموز'!$I$2:$I$500,V20))-1,""))</f>
        <v>0</v>
      </c>
      <c r="AC20" t="str">
        <f>IF(L20="","",IF(AND($AO$2=1,ISNA(MATCH(L20,'09-أيلول'!$L$2:$L$500,0))),"محذوف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2E-8</v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195.38400002</v>
      </c>
      <c r="AL20">
        <f t="shared" si="19"/>
        <v>2E-8</v>
      </c>
    </row>
    <row r="21" spans="1:38" ht="15">
      <c r="A21" t="s">
        <v>404</v>
      </c>
      <c r="B21">
        <v>0.5</v>
      </c>
      <c r="C21">
        <v>156000</v>
      </c>
      <c r="D21">
        <v>156000</v>
      </c>
      <c r="E21">
        <v>156000</v>
      </c>
      <c r="F21" t="s">
        <v>389</v>
      </c>
      <c r="G21" t="s">
        <v>178</v>
      </c>
      <c r="H21" t="s">
        <v>12</v>
      </c>
      <c r="I21">
        <v>74400</v>
      </c>
      <c r="K21" t="str">
        <f t="shared" si="0"/>
        <v/>
      </c>
      <c r="L21" t="str">
        <f t="shared" si="1"/>
        <v>مكانس ناعمة كثيفة</v>
      </c>
      <c r="M21" s="36">
        <f t="shared" si="2"/>
        <v>7.5757575757575758E-5</v>
      </c>
      <c r="N21" s="37">
        <f t="shared" si="3"/>
        <v>5.6363636363636367</v>
      </c>
      <c r="O21" s="37">
        <f t="shared" si="4"/>
        <v>11.818181818181818</v>
      </c>
      <c r="P21" s="38">
        <f t="shared" si="5"/>
        <v>0.5</v>
      </c>
      <c r="Q21" s="39">
        <f t="shared" si="6"/>
        <v>2.8181818181818183</v>
      </c>
      <c r="R21" s="39">
        <f t="shared" si="7"/>
        <v>5.9090909090909092</v>
      </c>
      <c r="S21">
        <f t="shared" si="8"/>
        <v>1</v>
      </c>
      <c r="T21" s="39">
        <f t="shared" si="9"/>
        <v>3.0909090909090908</v>
      </c>
      <c r="U21" t="str">
        <f t="shared" si="10"/>
        <v/>
      </c>
      <c r="V21">
        <f>IF(L21="","",IF($AO$1=1,IFERROR(MATCH(L21,'07-تموز'!$L$2:$L$500,0),0),0))</f>
        <v>19</v>
      </c>
      <c r="W21" t="str">
        <f t="shared" si="11"/>
        <v/>
      </c>
      <c r="X21" s="38">
        <f>IF(L21="","",IF(V21&gt;0,INDEX('07-تموز'!$P$2:$P$500,V21),IF($AO$1=1,0,"")))</f>
        <v>0.08</v>
      </c>
      <c r="Y21" s="38">
        <f t="shared" si="12"/>
        <v>0.42</v>
      </c>
      <c r="Z21" s="39">
        <f>IF(L21="","",IF(V21&gt;0,INDEX('07-تموز'!$Q$2:$Q$500,V21),IF($AO$1=1,0,"")))</f>
        <v>0.4475187969924812</v>
      </c>
      <c r="AA21" s="39">
        <f t="shared" si="13"/>
        <v>2.3706630211893369</v>
      </c>
      <c r="AB21" s="40">
        <f>IF(OR(L21="",V21=0),"",IF(AND(N(I21)&gt;0,N(INDEX('07-تموز'!$I$2:$I$500,V21))&gt;0,INDEX('07-تموز'!$F$2:$F$500,V21)=F21),N(I21)/N(INDEX('07-تموز'!$I$2:$I$500,V21))-1,""))</f>
        <v>0</v>
      </c>
      <c r="AC21" t="str">
        <f>IF(L21="","",IF(AND($AO$2=1,ISNA(MATCH(L21,'09-أيلول'!$L$2:$L$500,0))),"محذوف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2.3706630421893369</v>
      </c>
      <c r="AH21" s="39">
        <f t="shared" si="15"/>
        <v>3.0909090909090908</v>
      </c>
      <c r="AI21" s="39">
        <f t="shared" si="16"/>
        <v>3.0909090909090908</v>
      </c>
      <c r="AJ21" s="39">
        <f t="shared" si="17"/>
        <v>3.0909090909090908</v>
      </c>
      <c r="AK21">
        <f t="shared" si="18"/>
        <v>2.8181818391818183</v>
      </c>
      <c r="AL21">
        <f t="shared" si="19"/>
        <v>3.0909091119090908</v>
      </c>
    </row>
    <row r="22" spans="1:38" ht="15">
      <c r="A22" t="s">
        <v>405</v>
      </c>
      <c r="B22">
        <v>6</v>
      </c>
      <c r="C22">
        <v>20000</v>
      </c>
      <c r="D22">
        <v>20000</v>
      </c>
      <c r="E22">
        <v>20000</v>
      </c>
      <c r="F22" t="s">
        <v>389</v>
      </c>
      <c r="G22" t="s">
        <v>178</v>
      </c>
      <c r="H22" t="s">
        <v>12</v>
      </c>
      <c r="I22">
        <v>8125</v>
      </c>
      <c r="K22" t="str">
        <f t="shared" si="0"/>
        <v/>
      </c>
      <c r="L22" t="str">
        <f t="shared" si="1"/>
        <v>مكانس خشنة</v>
      </c>
      <c r="M22" s="36">
        <f t="shared" si="2"/>
        <v>7.5757575757575758E-5</v>
      </c>
      <c r="N22" s="37">
        <f t="shared" si="3"/>
        <v>0.61553030303030298</v>
      </c>
      <c r="O22" s="37">
        <f t="shared" si="4"/>
        <v>1.5151515151515151</v>
      </c>
      <c r="P22" s="38">
        <f t="shared" si="5"/>
        <v>6</v>
      </c>
      <c r="Q22" s="39">
        <f t="shared" si="6"/>
        <v>3.6931818181818179</v>
      </c>
      <c r="R22" s="39">
        <f t="shared" si="7"/>
        <v>9.0909090909090899</v>
      </c>
      <c r="S22">
        <f t="shared" si="8"/>
        <v>1</v>
      </c>
      <c r="T22" s="39">
        <f t="shared" si="9"/>
        <v>5.3977272727272716</v>
      </c>
      <c r="U22" t="str">
        <f t="shared" si="10"/>
        <v/>
      </c>
      <c r="V22">
        <f>IF(L22="","",IF($AO$1=1,IFERROR(MATCH(L22,'07-تموز'!$L$2:$L$500,0),0),0))</f>
        <v>20</v>
      </c>
      <c r="W22" t="str">
        <f t="shared" si="11"/>
        <v/>
      </c>
      <c r="X22" s="38">
        <f>IF(L22="","",IF(V22&gt;0,INDEX('07-تموز'!$P$2:$P$500,V22),IF($AO$1=1,0,"")))</f>
        <v>6</v>
      </c>
      <c r="Y22" s="38">
        <f t="shared" si="12"/>
        <v>0</v>
      </c>
      <c r="Z22" s="39">
        <f>IF(L22="","",IF(V22&gt;0,INDEX('07-تموز'!$Q$2:$Q$500,V22),IF($AO$1=1,0,"")))</f>
        <v>3.6654135338345863</v>
      </c>
      <c r="AA22" s="39">
        <f t="shared" si="13"/>
        <v>2.7768284347231553E-2</v>
      </c>
      <c r="AB22" s="40">
        <f>IF(OR(L22="",V22=0),"",IF(AND(N(I22)&gt;0,N(INDEX('07-تموز'!$I$2:$I$500,V22))&gt;0,INDEX('07-تموز'!$F$2:$F$500,V22)=F22),N(I22)/N(INDEX('07-تموز'!$I$2:$I$500,V22))-1,""))</f>
        <v>0</v>
      </c>
      <c r="AC22" t="str">
        <f>IF(L22="","",IF(AND($AO$2=1,ISNA(MATCH(L22,'09-أيلول'!$L$2:$L$500,0))),"محذوف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2.7768306347231552E-2</v>
      </c>
      <c r="AH22" s="39">
        <f t="shared" si="15"/>
        <v>5.3977272727272734</v>
      </c>
      <c r="AI22" s="39">
        <f t="shared" si="16"/>
        <v>5.3977272727272734</v>
      </c>
      <c r="AJ22" s="39">
        <f t="shared" si="17"/>
        <v>5.3977272727272734</v>
      </c>
      <c r="AK22">
        <f t="shared" si="18"/>
        <v>3.6931818401818179</v>
      </c>
      <c r="AL22">
        <f t="shared" si="19"/>
        <v>5.3977272947272716</v>
      </c>
    </row>
    <row r="23" spans="1:38" ht="15">
      <c r="A23" t="s">
        <v>271</v>
      </c>
      <c r="B23">
        <v>3.5</v>
      </c>
      <c r="C23">
        <v>0</v>
      </c>
      <c r="D23">
        <v>0</v>
      </c>
      <c r="E23">
        <v>0</v>
      </c>
      <c r="F23" t="s">
        <v>268</v>
      </c>
      <c r="G23" t="s">
        <v>178</v>
      </c>
      <c r="H23" t="s">
        <v>176</v>
      </c>
      <c r="I23">
        <v>3</v>
      </c>
      <c r="K23" t="str">
        <f t="shared" si="0"/>
        <v/>
      </c>
      <c r="L23" t="str">
        <f t="shared" si="1"/>
        <v>مقصب</v>
      </c>
      <c r="M23" s="36">
        <f t="shared" si="2"/>
        <v>1</v>
      </c>
      <c r="N23" s="37">
        <f t="shared" si="3"/>
        <v>3</v>
      </c>
      <c r="O23" s="37">
        <f t="shared" si="4"/>
        <v>0</v>
      </c>
      <c r="P23" s="38">
        <f t="shared" si="5"/>
        <v>3.5</v>
      </c>
      <c r="Q23" s="39">
        <f t="shared" si="6"/>
        <v>10.5</v>
      </c>
      <c r="R23" s="39">
        <f t="shared" si="7"/>
        <v>0</v>
      </c>
      <c r="S23">
        <f t="shared" si="8"/>
        <v>0</v>
      </c>
      <c r="T23" s="39">
        <f t="shared" si="9"/>
        <v>0</v>
      </c>
      <c r="U23" t="str">
        <f t="shared" si="10"/>
        <v/>
      </c>
      <c r="V23">
        <f>IF(L23="","",IF($AO$1=1,IFERROR(MATCH(L23,'07-تموز'!$L$2:$L$500,0),0),0))</f>
        <v>21</v>
      </c>
      <c r="W23" t="str">
        <f t="shared" si="11"/>
        <v/>
      </c>
      <c r="X23" s="38">
        <f>IF(L23="","",IF(V23&gt;0,INDEX('07-تموز'!$P$2:$P$500,V23),IF($AO$1=1,0,"")))</f>
        <v>2</v>
      </c>
      <c r="Y23" s="38">
        <f t="shared" si="12"/>
        <v>1.5</v>
      </c>
      <c r="Z23" s="39">
        <f>IF(L23="","",IF(V23&gt;0,INDEX('07-تموز'!$Q$2:$Q$500,V23),IF($AO$1=1,0,"")))</f>
        <v>6</v>
      </c>
      <c r="AA23" s="39">
        <f t="shared" si="13"/>
        <v>4.5</v>
      </c>
      <c r="AB23" s="40">
        <f>IF(OR(L23="",V23=0),"",IF(AND(N(I23)&gt;0,N(INDEX('07-تموز'!$I$2:$I$500,V23))&gt;0,INDEX('07-تموز'!$F$2:$F$500,V23)=F23),N(I23)/N(INDEX('07-تموز'!$I$2:$I$500,V23))-1,""))</f>
        <v>0</v>
      </c>
      <c r="AC23" t="str">
        <f>IF(L23="","",IF(AND($AO$2=1,ISNA(MATCH(L23,'09-أيلول'!$L$2:$L$500,0))),"محذوف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4.5000000230000001</v>
      </c>
      <c r="AH23" s="39">
        <f t="shared" si="15"/>
        <v>0</v>
      </c>
      <c r="AI23" s="39">
        <f t="shared" si="16"/>
        <v>0</v>
      </c>
      <c r="AJ23" s="39">
        <f t="shared" si="17"/>
        <v>0</v>
      </c>
      <c r="AK23">
        <f t="shared" si="18"/>
        <v>10.500000023</v>
      </c>
      <c r="AL23">
        <f t="shared" si="19"/>
        <v>2.3000000000000001E-8</v>
      </c>
    </row>
    <row r="24" spans="1:38" ht="15">
      <c r="A24" t="s">
        <v>509</v>
      </c>
      <c r="B24">
        <v>2.67</v>
      </c>
      <c r="C24">
        <v>12.5</v>
      </c>
      <c r="D24">
        <v>12.5</v>
      </c>
      <c r="E24">
        <v>12.5</v>
      </c>
      <c r="F24" t="s">
        <v>268</v>
      </c>
      <c r="G24" t="s">
        <v>178</v>
      </c>
      <c r="H24" t="s">
        <v>12</v>
      </c>
      <c r="I24">
        <v>7.5</v>
      </c>
      <c r="K24" t="str">
        <f t="shared" si="0"/>
        <v/>
      </c>
      <c r="L24" t="str">
        <f t="shared" si="1"/>
        <v>معطر متعدد الاستعمالات ريفا</v>
      </c>
      <c r="M24" s="36">
        <f t="shared" si="2"/>
        <v>1</v>
      </c>
      <c r="N24" s="37">
        <f t="shared" si="3"/>
        <v>7.5</v>
      </c>
      <c r="O24" s="37">
        <f t="shared" si="4"/>
        <v>12.5</v>
      </c>
      <c r="P24" s="38">
        <f t="shared" si="5"/>
        <v>2.67</v>
      </c>
      <c r="Q24" s="39">
        <f t="shared" si="6"/>
        <v>20.024999999999999</v>
      </c>
      <c r="R24" s="39">
        <f t="shared" si="7"/>
        <v>33.375</v>
      </c>
      <c r="S24">
        <f t="shared" si="8"/>
        <v>1</v>
      </c>
      <c r="T24" s="39">
        <f t="shared" si="9"/>
        <v>13.350000000000001</v>
      </c>
      <c r="U24" t="str">
        <f t="shared" si="10"/>
        <v/>
      </c>
      <c r="V24">
        <f>IF(L24="","",IF($AO$1=1,IFERROR(MATCH(L24,'07-تموز'!$L$2:$L$500,0),0),0))</f>
        <v>0</v>
      </c>
      <c r="W24" t="str">
        <f t="shared" si="11"/>
        <v>جديد</v>
      </c>
      <c r="X24" s="38">
        <f>IF(L24="","",IF(V24&gt;0,INDEX('07-تموز'!$P$2:$P$500,V24),IF($AO$1=1,0,"")))</f>
        <v>0</v>
      </c>
      <c r="Y24" s="38">
        <f t="shared" si="12"/>
        <v>2.67</v>
      </c>
      <c r="Z24" s="39">
        <f>IF(L24="","",IF(V24&gt;0,INDEX('07-تموز'!$Q$2:$Q$500,V24),IF($AO$1=1,0,"")))</f>
        <v>0</v>
      </c>
      <c r="AA24" s="39">
        <f t="shared" si="13"/>
        <v>20.024999999999999</v>
      </c>
      <c r="AB24" s="40" t="str">
        <f>IF(OR(L24="",V24=0),"",IF(AND(N(I24)&gt;0,N(INDEX('07-تموز'!$I$2:$I$500,V24))&gt;0,INDEX('07-تموز'!$F$2:$F$500,V24)=F24),N(I24)/N(INDEX('07-تموز'!$I$2:$I$500,V24))-1,""))</f>
        <v/>
      </c>
      <c r="AC24" t="str">
        <f>IF(L24="","",IF(AND($AO$2=1,ISNA(MATCH(L24,'09-أيلول'!$L$2:$L$500,0))),"محذوف لاحقاً",""))</f>
        <v/>
      </c>
      <c r="AD24">
        <f>IF(W24="جديد",COUNTIF(W$2:W24,"جديد"),"")</f>
        <v>2</v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20.025000023999997</v>
      </c>
      <c r="AH24" s="39">
        <f t="shared" si="15"/>
        <v>13.35</v>
      </c>
      <c r="AI24" s="39">
        <f t="shared" si="16"/>
        <v>13.35</v>
      </c>
      <c r="AJ24" s="39">
        <f t="shared" si="17"/>
        <v>13.35</v>
      </c>
      <c r="AK24">
        <f t="shared" si="18"/>
        <v>20.025000023999997</v>
      </c>
      <c r="AL24">
        <f t="shared" si="19"/>
        <v>13.350000024000002</v>
      </c>
    </row>
    <row r="25" spans="1:38" ht="15">
      <c r="A25" t="s">
        <v>406</v>
      </c>
      <c r="B25">
        <v>0.5</v>
      </c>
      <c r="C25">
        <v>182000</v>
      </c>
      <c r="D25">
        <v>182000</v>
      </c>
      <c r="E25">
        <v>182000</v>
      </c>
      <c r="F25" t="s">
        <v>389</v>
      </c>
      <c r="G25" t="s">
        <v>178</v>
      </c>
      <c r="H25" t="s">
        <v>12</v>
      </c>
      <c r="I25">
        <v>168000</v>
      </c>
      <c r="K25" t="str">
        <f t="shared" si="0"/>
        <v/>
      </c>
      <c r="L25" t="str">
        <f t="shared" si="1"/>
        <v>معطر كرمل .</v>
      </c>
      <c r="M25" s="36">
        <f t="shared" si="2"/>
        <v>7.5757575757575758E-5</v>
      </c>
      <c r="N25" s="37">
        <f t="shared" si="3"/>
        <v>12.727272727272727</v>
      </c>
      <c r="O25" s="37">
        <f t="shared" si="4"/>
        <v>13.787878787878787</v>
      </c>
      <c r="P25" s="38">
        <f t="shared" si="5"/>
        <v>0.5</v>
      </c>
      <c r="Q25" s="39">
        <f t="shared" si="6"/>
        <v>6.3636363636363633</v>
      </c>
      <c r="R25" s="39">
        <f t="shared" si="7"/>
        <v>6.8939393939393936</v>
      </c>
      <c r="S25">
        <f t="shared" si="8"/>
        <v>1</v>
      </c>
      <c r="T25" s="39">
        <f t="shared" si="9"/>
        <v>0.53030303030303028</v>
      </c>
      <c r="U25" t="str">
        <f t="shared" si="10"/>
        <v/>
      </c>
      <c r="V25">
        <f>IF(L25="","",IF($AO$1=1,IFERROR(MATCH(L25,'07-تموز'!$L$2:$L$500,0),0),0))</f>
        <v>22</v>
      </c>
      <c r="W25" t="str">
        <f t="shared" si="11"/>
        <v/>
      </c>
      <c r="X25" s="38">
        <f>IF(L25="","",IF(V25&gt;0,INDEX('07-تموز'!$P$2:$P$500,V25),IF($AO$1=1,0,"")))</f>
        <v>0.5</v>
      </c>
      <c r="Y25" s="38">
        <f t="shared" si="12"/>
        <v>0</v>
      </c>
      <c r="Z25" s="39">
        <f>IF(L25="","",IF(V25&gt;0,INDEX('07-تموز'!$Q$2:$Q$500,V25),IF($AO$1=1,0,"")))</f>
        <v>6.3157894736842106</v>
      </c>
      <c r="AA25" s="39">
        <f t="shared" si="13"/>
        <v>4.7846889952152694E-2</v>
      </c>
      <c r="AB25" s="40">
        <f>IF(OR(L25="",V25=0),"",IF(AND(N(I25)&gt;0,N(INDEX('07-تموز'!$I$2:$I$500,V25))&gt;0,INDEX('07-تموز'!$F$2:$F$500,V25)=F25),N(I25)/N(INDEX('07-تموز'!$I$2:$I$500,V25))-1,""))</f>
        <v>0</v>
      </c>
      <c r="AC25" t="str">
        <f>IF(L25="","",IF(AND($AO$2=1,ISNA(MATCH(L25,'09-أيلول'!$L$2:$L$500,0))),"محذوف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4.7846914952152694E-2</v>
      </c>
      <c r="AH25" s="39">
        <f t="shared" si="15"/>
        <v>0.53030303030303028</v>
      </c>
      <c r="AI25" s="39">
        <f t="shared" si="16"/>
        <v>0.53030303030303028</v>
      </c>
      <c r="AJ25" s="39">
        <f t="shared" si="17"/>
        <v>0.53030303030303028</v>
      </c>
      <c r="AK25">
        <f t="shared" si="18"/>
        <v>6.3636363886363636</v>
      </c>
      <c r="AL25">
        <f t="shared" si="19"/>
        <v>0.53030305530303024</v>
      </c>
    </row>
    <row r="26" spans="1:38" ht="15">
      <c r="A26" t="s">
        <v>272</v>
      </c>
      <c r="B26">
        <v>0</v>
      </c>
      <c r="C26">
        <v>0</v>
      </c>
      <c r="D26">
        <v>0</v>
      </c>
      <c r="E26">
        <v>0</v>
      </c>
      <c r="F26" t="s">
        <v>268</v>
      </c>
      <c r="G26" t="s">
        <v>178</v>
      </c>
      <c r="H26" t="s">
        <v>177</v>
      </c>
      <c r="I26">
        <v>44</v>
      </c>
      <c r="K26" t="str">
        <f t="shared" si="0"/>
        <v/>
      </c>
      <c r="L26" t="str">
        <f t="shared" si="1"/>
        <v>معطر فانيليا خام</v>
      </c>
      <c r="M26" s="36">
        <f t="shared" si="2"/>
        <v>1</v>
      </c>
      <c r="N26" s="37">
        <f t="shared" si="3"/>
        <v>44</v>
      </c>
      <c r="O26" s="37">
        <f t="shared" si="4"/>
        <v>0</v>
      </c>
      <c r="P26" s="38">
        <f t="shared" si="5"/>
        <v>0</v>
      </c>
      <c r="Q26" s="39">
        <f t="shared" si="6"/>
        <v>0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IF(L26="","",IF($AO$1=1,IFERROR(MATCH(L26,'07-تموز'!$L$2:$L$500,0),0),0))</f>
        <v>23</v>
      </c>
      <c r="W26" t="str">
        <f t="shared" si="11"/>
        <v/>
      </c>
      <c r="X26" s="38">
        <f>IF(L26="","",IF(V26&gt;0,INDEX('07-تموز'!$P$2:$P$500,V26),IF($AO$1=1,0,"")))</f>
        <v>0</v>
      </c>
      <c r="Y26" s="38">
        <f t="shared" si="12"/>
        <v>0</v>
      </c>
      <c r="Z26" s="39">
        <f>IF(L26="","",IF(V26&gt;0,INDEX('07-تموز'!$Q$2:$Q$500,V26),IF($AO$1=1,0,"")))</f>
        <v>0</v>
      </c>
      <c r="AA26" s="39">
        <f t="shared" si="13"/>
        <v>0</v>
      </c>
      <c r="AB26" s="40">
        <f>IF(OR(L26="",V26=0),"",IF(AND(N(I26)&gt;0,N(INDEX('07-تموز'!$I$2:$I$500,V26))&gt;0,INDEX('07-تموز'!$F$2:$F$500,V26)=F26),N(I26)/N(INDEX('07-تموز'!$I$2:$I$500,V26))-1,""))</f>
        <v>0</v>
      </c>
      <c r="AC26" t="str">
        <f>IF(L26="","",IF(AND($AO$2=1,ISNA(MATCH(L26,'09-أيلول'!$L$2:$L$500,0))),"محذوف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2.6000000000000001E-8</v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2.6000000000000001E-8</v>
      </c>
      <c r="AL26">
        <f t="shared" si="19"/>
        <v>2.6000000000000001E-8</v>
      </c>
    </row>
    <row r="27" spans="1:38" ht="15">
      <c r="A27" t="s">
        <v>407</v>
      </c>
      <c r="B27">
        <v>0</v>
      </c>
      <c r="C27">
        <v>120000</v>
      </c>
      <c r="D27">
        <v>120000</v>
      </c>
      <c r="E27">
        <v>120000</v>
      </c>
      <c r="F27" t="s">
        <v>389</v>
      </c>
      <c r="G27" t="s">
        <v>178</v>
      </c>
      <c r="H27" t="s">
        <v>12</v>
      </c>
      <c r="I27">
        <v>117000</v>
      </c>
      <c r="K27" t="str">
        <f t="shared" si="0"/>
        <v/>
      </c>
      <c r="L27" t="str">
        <f t="shared" si="1"/>
        <v>معطر عافية</v>
      </c>
      <c r="M27" s="36">
        <f t="shared" si="2"/>
        <v>7.5757575757575758E-5</v>
      </c>
      <c r="N27" s="37">
        <f t="shared" si="3"/>
        <v>8.8636363636363633</v>
      </c>
      <c r="O27" s="37">
        <f t="shared" si="4"/>
        <v>9.0909090909090917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IF(L27="","",IF($AO$1=1,IFERROR(MATCH(L27,'07-تموز'!$L$2:$L$500,0),0),0))</f>
        <v>24</v>
      </c>
      <c r="W27" t="str">
        <f t="shared" si="11"/>
        <v/>
      </c>
      <c r="X27" s="38">
        <f>IF(L27="","",IF(V27&gt;0,INDEX('07-تموز'!$P$2:$P$500,V27),IF($AO$1=1,0,"")))</f>
        <v>0</v>
      </c>
      <c r="Y27" s="38">
        <f t="shared" si="12"/>
        <v>0</v>
      </c>
      <c r="Z27" s="39">
        <f>IF(L27="","",IF(V27&gt;0,INDEX('07-تموز'!$Q$2:$Q$500,V27),IF($AO$1=1,0,"")))</f>
        <v>0</v>
      </c>
      <c r="AA27" s="39">
        <f t="shared" si="13"/>
        <v>0</v>
      </c>
      <c r="AB27" s="40">
        <f>IF(OR(L27="",V27=0),"",IF(AND(N(I27)&gt;0,N(INDEX('07-تموز'!$I$2:$I$500,V27))&gt;0,INDEX('07-تموز'!$F$2:$F$500,V27)=F27),N(I27)/N(INDEX('07-تموز'!$I$2:$I$500,V27))-1,""))</f>
        <v>0</v>
      </c>
      <c r="AC27" t="str">
        <f>IF(L27="","",IF(AND($AO$2=1,ISNA(MATCH(L27,'09-أيلول'!$L$2:$L$500,0))),"محذوف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408</v>
      </c>
      <c r="B28">
        <v>0</v>
      </c>
      <c r="C28">
        <v>0</v>
      </c>
      <c r="D28">
        <v>0</v>
      </c>
      <c r="E28">
        <v>0</v>
      </c>
      <c r="F28" t="s">
        <v>389</v>
      </c>
      <c r="G28" t="s">
        <v>178</v>
      </c>
      <c r="H28" t="s">
        <v>12</v>
      </c>
      <c r="I28">
        <v>0</v>
      </c>
      <c r="K28" t="str">
        <f t="shared" si="0"/>
        <v/>
      </c>
      <c r="L28" t="str">
        <f t="shared" si="1"/>
        <v>معطر سيارات</v>
      </c>
      <c r="M28" s="36">
        <f t="shared" si="2"/>
        <v>7.5757575757575758E-5</v>
      </c>
      <c r="N28" s="37">
        <f t="shared" si="3"/>
        <v>0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IF(L28="","",IF($AO$1=1,IFERROR(MATCH(L28,'07-تموز'!$L$2:$L$500,0),0),0))</f>
        <v>25</v>
      </c>
      <c r="W28" t="str">
        <f t="shared" si="11"/>
        <v/>
      </c>
      <c r="X28" s="38">
        <f>IF(L28="","",IF(V28&gt;0,INDEX('07-تموز'!$P$2:$P$500,V28),IF($AO$1=1,0,"")))</f>
        <v>0</v>
      </c>
      <c r="Y28" s="38">
        <f t="shared" si="12"/>
        <v>0</v>
      </c>
      <c r="Z28" s="39">
        <f>IF(L28="","",IF(V28&gt;0,INDEX('07-تموز'!$Q$2:$Q$500,V28),IF($AO$1=1,0,"")))</f>
        <v>0</v>
      </c>
      <c r="AA28" s="39">
        <f t="shared" si="13"/>
        <v>0</v>
      </c>
      <c r="AB28" s="40" t="str">
        <f>IF(OR(L28="",V28=0),"",IF(AND(N(I28)&gt;0,N(INDEX('07-تموز'!$I$2:$I$500,V28))&gt;0,INDEX('07-تموز'!$F$2:$F$500,V28)=F28),N(I28)/N(INDEX('07-تموز'!$I$2:$I$500,V28))-1,""))</f>
        <v/>
      </c>
      <c r="AC28" t="str">
        <f>IF(L28="","",IF(AND($AO$2=1,ISNA(MATCH(L28,'09-أيلول'!$L$2:$L$500,0))),"محذوف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409</v>
      </c>
      <c r="B29">
        <v>0</v>
      </c>
      <c r="C29">
        <v>195000</v>
      </c>
      <c r="D29">
        <v>195000</v>
      </c>
      <c r="E29">
        <v>195000</v>
      </c>
      <c r="F29" t="s">
        <v>389</v>
      </c>
      <c r="G29" t="s">
        <v>178</v>
      </c>
      <c r="H29" t="s">
        <v>12</v>
      </c>
      <c r="I29">
        <v>0</v>
      </c>
      <c r="K29" t="str">
        <f t="shared" si="0"/>
        <v/>
      </c>
      <c r="L29" t="str">
        <f t="shared" si="1"/>
        <v>معطر رينزو</v>
      </c>
      <c r="M29" s="36">
        <f t="shared" si="2"/>
        <v>7.5757575757575758E-5</v>
      </c>
      <c r="N29" s="37">
        <f t="shared" si="3"/>
        <v>0</v>
      </c>
      <c r="O29" s="37">
        <f t="shared" si="4"/>
        <v>14.772727272727273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IF(L29="","",IF($AO$1=1,IFERROR(MATCH(L29,'07-تموز'!$L$2:$L$500,0),0),0))</f>
        <v>26</v>
      </c>
      <c r="W29" t="str">
        <f t="shared" si="11"/>
        <v/>
      </c>
      <c r="X29" s="38">
        <f>IF(L29="","",IF(V29&gt;0,INDEX('07-تموز'!$P$2:$P$500,V29),IF($AO$1=1,0,"")))</f>
        <v>0</v>
      </c>
      <c r="Y29" s="38">
        <f t="shared" si="12"/>
        <v>0</v>
      </c>
      <c r="Z29" s="39">
        <f>IF(L29="","",IF(V29&gt;0,INDEX('07-تموز'!$Q$2:$Q$500,V29),IF($AO$1=1,0,"")))</f>
        <v>0</v>
      </c>
      <c r="AA29" s="39">
        <f t="shared" si="13"/>
        <v>0</v>
      </c>
      <c r="AB29" s="40" t="str">
        <f>IF(OR(L29="",V29=0),"",IF(AND(N(I29)&gt;0,N(INDEX('07-تموز'!$I$2:$I$500,V29))&gt;0,INDEX('07-تموز'!$F$2:$F$500,V29)=F29),N(I29)/N(INDEX('07-تموز'!$I$2:$I$500,V29))-1,""))</f>
        <v/>
      </c>
      <c r="AC29" t="str">
        <f>IF(L29="","",IF(AND($AO$2=1,ISNA(MATCH(L29,'09-أيلول'!$L$2:$L$500,0))),"محذوف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273</v>
      </c>
      <c r="B30">
        <v>0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177</v>
      </c>
      <c r="I30">
        <v>215</v>
      </c>
      <c r="K30" t="str">
        <f t="shared" si="0"/>
        <v/>
      </c>
      <c r="L30" t="str">
        <f t="shared" si="1"/>
        <v>معطر ارضيات نسيم المحيط خام</v>
      </c>
      <c r="M30" s="36">
        <f t="shared" si="2"/>
        <v>1</v>
      </c>
      <c r="N30" s="37">
        <f t="shared" si="3"/>
        <v>215</v>
      </c>
      <c r="O30" s="37">
        <f t="shared" si="4"/>
        <v>0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IF(L30="","",IF($AO$1=1,IFERROR(MATCH(L30,'07-تموز'!$L$2:$L$500,0),0),0))</f>
        <v>27</v>
      </c>
      <c r="W30" t="str">
        <f t="shared" si="11"/>
        <v/>
      </c>
      <c r="X30" s="38">
        <f>IF(L30="","",IF(V30&gt;0,INDEX('07-تموز'!$P$2:$P$500,V30),IF($AO$1=1,0,"")))</f>
        <v>0</v>
      </c>
      <c r="Y30" s="38">
        <f t="shared" si="12"/>
        <v>0</v>
      </c>
      <c r="Z30" s="39">
        <f>IF(L30="","",IF(V30&gt;0,INDEX('07-تموز'!$Q$2:$Q$500,V30),IF($AO$1=1,0,"")))</f>
        <v>0</v>
      </c>
      <c r="AA30" s="39">
        <f t="shared" si="13"/>
        <v>0</v>
      </c>
      <c r="AB30" s="40">
        <f>IF(OR(L30="",V30=0),"",IF(AND(N(I30)&gt;0,N(INDEX('07-تموز'!$I$2:$I$500,V30))&gt;0,INDEX('07-تموز'!$F$2:$F$500,V30)=F30),N(I30)/N(INDEX('07-تموز'!$I$2:$I$500,V30))-1,""))</f>
        <v>0</v>
      </c>
      <c r="AC30" t="str">
        <f>IF(L30="","",IF(AND($AO$2=1,ISNA(MATCH(L30,'09-أيلول'!$L$2:$L$500,0))),"محذوف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274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205</v>
      </c>
      <c r="K31" t="str">
        <f t="shared" si="0"/>
        <v/>
      </c>
      <c r="L31" t="str">
        <f t="shared" si="1"/>
        <v>معطر ارضيات ليلك خام</v>
      </c>
      <c r="M31" s="36">
        <f t="shared" si="2"/>
        <v>1</v>
      </c>
      <c r="N31" s="37">
        <f t="shared" si="3"/>
        <v>205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IF(L31="","",IF($AO$1=1,IFERROR(MATCH(L31,'07-تموز'!$L$2:$L$500,0),0),0))</f>
        <v>28</v>
      </c>
      <c r="W31" t="str">
        <f t="shared" si="11"/>
        <v/>
      </c>
      <c r="X31" s="38">
        <f>IF(L31="","",IF(V31&gt;0,INDEX('07-تموز'!$P$2:$P$500,V31),IF($AO$1=1,0,"")))</f>
        <v>0</v>
      </c>
      <c r="Y31" s="38">
        <f t="shared" si="12"/>
        <v>0</v>
      </c>
      <c r="Z31" s="39">
        <f>IF(L31="","",IF(V31&gt;0,INDEX('07-تموز'!$Q$2:$Q$500,V31),IF($AO$1=1,0,"")))</f>
        <v>0</v>
      </c>
      <c r="AA31" s="39">
        <f t="shared" si="13"/>
        <v>0</v>
      </c>
      <c r="AB31" s="40">
        <f>IF(OR(L31="",V31=0),"",IF(AND(N(I31)&gt;0,N(INDEX('07-تموز'!$I$2:$I$500,V31))&gt;0,INDEX('07-تموز'!$F$2:$F$500,V31)=F31),N(I31)/N(INDEX('07-تموز'!$I$2:$I$500,V31))-1,""))</f>
        <v>0</v>
      </c>
      <c r="AC31" t="str">
        <f>IF(L31="","",IF(AND($AO$2=1,ISNA(MATCH(L31,'09-أيلول'!$L$2:$L$500,0))),"محذوف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275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205</v>
      </c>
      <c r="K32" t="str">
        <f t="shared" si="0"/>
        <v/>
      </c>
      <c r="L32" t="str">
        <f t="shared" si="1"/>
        <v>معطر ارضيات زهرة التوليب خام</v>
      </c>
      <c r="M32" s="36">
        <f t="shared" si="2"/>
        <v>1</v>
      </c>
      <c r="N32" s="37">
        <f t="shared" si="3"/>
        <v>205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IF(L32="","",IF($AO$1=1,IFERROR(MATCH(L32,'07-تموز'!$L$2:$L$500,0),0),0))</f>
        <v>29</v>
      </c>
      <c r="W32" t="str">
        <f t="shared" si="11"/>
        <v/>
      </c>
      <c r="X32" s="38">
        <f>IF(L32="","",IF(V32&gt;0,INDEX('07-تموز'!$P$2:$P$500,V32),IF($AO$1=1,0,"")))</f>
        <v>0</v>
      </c>
      <c r="Y32" s="38">
        <f t="shared" si="12"/>
        <v>0</v>
      </c>
      <c r="Z32" s="39">
        <f>IF(L32="","",IF(V32&gt;0,INDEX('07-تموز'!$Q$2:$Q$500,V32),IF($AO$1=1,0,"")))</f>
        <v>0</v>
      </c>
      <c r="AA32" s="39">
        <f t="shared" si="13"/>
        <v>0</v>
      </c>
      <c r="AB32" s="40">
        <f>IF(OR(L32="",V32=0),"",IF(AND(N(I32)&gt;0,N(INDEX('07-تموز'!$I$2:$I$500,V32))&gt;0,INDEX('07-تموز'!$F$2:$F$500,V32)=F32),N(I32)/N(INDEX('07-تموز'!$I$2:$I$500,V32))-1,""))</f>
        <v>0</v>
      </c>
      <c r="AC32" t="str">
        <f>IF(L32="","",IF(AND($AO$2=1,ISNA(MATCH(L32,'09-أيلول'!$L$2:$L$500,0))),"محذوف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510</v>
      </c>
      <c r="B33">
        <v>9.83</v>
      </c>
      <c r="C33">
        <v>11.5</v>
      </c>
      <c r="D33">
        <v>11.5</v>
      </c>
      <c r="E33">
        <v>11.5</v>
      </c>
      <c r="F33" t="s">
        <v>268</v>
      </c>
      <c r="G33" t="s">
        <v>178</v>
      </c>
      <c r="H33" t="s">
        <v>12</v>
      </c>
      <c r="I33">
        <v>6.5</v>
      </c>
      <c r="K33" t="str">
        <f t="shared" si="0"/>
        <v/>
      </c>
      <c r="L33" t="str">
        <f t="shared" si="1"/>
        <v>معطر ارضيات ريفا</v>
      </c>
      <c r="M33" s="36">
        <f t="shared" si="2"/>
        <v>1</v>
      </c>
      <c r="N33" s="37">
        <f t="shared" si="3"/>
        <v>6.5</v>
      </c>
      <c r="O33" s="37">
        <f t="shared" si="4"/>
        <v>11.5</v>
      </c>
      <c r="P33" s="38">
        <f t="shared" si="5"/>
        <v>9.83</v>
      </c>
      <c r="Q33" s="39">
        <f t="shared" si="6"/>
        <v>63.895000000000003</v>
      </c>
      <c r="R33" s="39">
        <f t="shared" si="7"/>
        <v>113.045</v>
      </c>
      <c r="S33">
        <f t="shared" si="8"/>
        <v>1</v>
      </c>
      <c r="T33" s="39">
        <f t="shared" si="9"/>
        <v>49.15</v>
      </c>
      <c r="U33" t="str">
        <f t="shared" si="10"/>
        <v/>
      </c>
      <c r="V33">
        <f>IF(L33="","",IF($AO$1=1,IFERROR(MATCH(L33,'07-تموز'!$L$2:$L$500,0),0),0))</f>
        <v>0</v>
      </c>
      <c r="W33" t="str">
        <f t="shared" si="11"/>
        <v>جديد</v>
      </c>
      <c r="X33" s="38">
        <f>IF(L33="","",IF(V33&gt;0,INDEX('07-تموز'!$P$2:$P$500,V33),IF($AO$1=1,0,"")))</f>
        <v>0</v>
      </c>
      <c r="Y33" s="38">
        <f t="shared" si="12"/>
        <v>9.83</v>
      </c>
      <c r="Z33" s="39">
        <f>IF(L33="","",IF(V33&gt;0,INDEX('07-تموز'!$Q$2:$Q$500,V33),IF($AO$1=1,0,"")))</f>
        <v>0</v>
      </c>
      <c r="AA33" s="39">
        <f t="shared" si="13"/>
        <v>63.895000000000003</v>
      </c>
      <c r="AB33" s="40" t="str">
        <f>IF(OR(L33="",V33=0),"",IF(AND(N(I33)&gt;0,N(INDEX('07-تموز'!$I$2:$I$500,V33))&gt;0,INDEX('07-تموز'!$F$2:$F$500,V33)=F33),N(I33)/N(INDEX('07-تموز'!$I$2:$I$500,V33))-1,""))</f>
        <v/>
      </c>
      <c r="AC33" t="str">
        <f>IF(L33="","",IF(AND($AO$2=1,ISNA(MATCH(L33,'09-أيلول'!$L$2:$L$500,0))),"محذوف لاحقاً",""))</f>
        <v/>
      </c>
      <c r="AD33">
        <f>IF(W33="جديد",COUNTIF(W$2:W33,"جديد"),"")</f>
        <v>3</v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63.895000033000002</v>
      </c>
      <c r="AH33" s="39">
        <f t="shared" si="15"/>
        <v>49.15</v>
      </c>
      <c r="AI33" s="39">
        <f t="shared" si="16"/>
        <v>49.15</v>
      </c>
      <c r="AJ33" s="39">
        <f t="shared" si="17"/>
        <v>49.15</v>
      </c>
      <c r="AK33">
        <f t="shared" si="18"/>
        <v>63.895000033000002</v>
      </c>
      <c r="AL33">
        <f t="shared" si="19"/>
        <v>49.150000032999998</v>
      </c>
    </row>
    <row r="34" spans="1:38" ht="15">
      <c r="A34" t="s">
        <v>276</v>
      </c>
      <c r="B34">
        <v>0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177</v>
      </c>
      <c r="I34">
        <v>180</v>
      </c>
      <c r="K34" t="str">
        <f t="shared" si="0"/>
        <v/>
      </c>
      <c r="L34" t="str">
        <f t="shared" si="1"/>
        <v>معطر ارضيات رائحة الورود خام</v>
      </c>
      <c r="M34" s="36">
        <f t="shared" si="2"/>
        <v>1</v>
      </c>
      <c r="N34" s="37">
        <f t="shared" si="3"/>
        <v>180</v>
      </c>
      <c r="O34" s="37">
        <f t="shared" si="4"/>
        <v>0</v>
      </c>
      <c r="P34" s="38">
        <f t="shared" si="5"/>
        <v>0</v>
      </c>
      <c r="Q34" s="39">
        <f t="shared" si="6"/>
        <v>0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IF(L34="","",IF($AO$1=1,IFERROR(MATCH(L34,'07-تموز'!$L$2:$L$500,0),0),0))</f>
        <v>30</v>
      </c>
      <c r="W34" t="str">
        <f t="shared" si="11"/>
        <v/>
      </c>
      <c r="X34" s="38">
        <f>IF(L34="","",IF(V34&gt;0,INDEX('07-تموز'!$P$2:$P$500,V34),IF($AO$1=1,0,"")))</f>
        <v>0</v>
      </c>
      <c r="Y34" s="38">
        <f t="shared" si="12"/>
        <v>0</v>
      </c>
      <c r="Z34" s="39">
        <f>IF(L34="","",IF(V34&gt;0,INDEX('07-تموز'!$Q$2:$Q$500,V34),IF($AO$1=1,0,"")))</f>
        <v>0</v>
      </c>
      <c r="AA34" s="39">
        <f t="shared" si="13"/>
        <v>0</v>
      </c>
      <c r="AB34" s="40">
        <f>IF(OR(L34="",V34=0),"",IF(AND(N(I34)&gt;0,N(INDEX('07-تموز'!$I$2:$I$500,V34))&gt;0,INDEX('07-تموز'!$F$2:$F$500,V34)=F34),N(I34)/N(INDEX('07-تموز'!$I$2:$I$500,V34))-1,""))</f>
        <v>0</v>
      </c>
      <c r="AC34" t="str">
        <f>IF(L34="","",IF(AND($AO$2=1,ISNA(MATCH(L34,'09-أيلول'!$L$2:$L$500,0))),"محذوف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3.4E-8</v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3.4E-8</v>
      </c>
      <c r="AL34">
        <f t="shared" si="19"/>
        <v>3.4E-8</v>
      </c>
    </row>
    <row r="35" spans="1:38" ht="15">
      <c r="A35" t="s">
        <v>277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150</v>
      </c>
      <c r="K35" t="str">
        <f t="shared" si="0"/>
        <v/>
      </c>
      <c r="L35" t="str">
        <f t="shared" si="1"/>
        <v>معطر ارضيات ببوري خام</v>
      </c>
      <c r="M35" s="36">
        <f t="shared" si="2"/>
        <v>1</v>
      </c>
      <c r="N35" s="37">
        <f t="shared" si="3"/>
        <v>150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IF(L35="","",IF($AO$1=1,IFERROR(MATCH(L35,'07-تموز'!$L$2:$L$500,0),0),0))</f>
        <v>31</v>
      </c>
      <c r="W35" t="str">
        <f t="shared" si="11"/>
        <v/>
      </c>
      <c r="X35" s="38">
        <f>IF(L35="","",IF(V35&gt;0,INDEX('07-تموز'!$P$2:$P$500,V35),IF($AO$1=1,0,"")))</f>
        <v>0</v>
      </c>
      <c r="Y35" s="38">
        <f t="shared" si="12"/>
        <v>0</v>
      </c>
      <c r="Z35" s="39">
        <f>IF(L35="","",IF(V35&gt;0,INDEX('07-تموز'!$Q$2:$Q$500,V35),IF($AO$1=1,0,"")))</f>
        <v>0</v>
      </c>
      <c r="AA35" s="39">
        <f t="shared" si="13"/>
        <v>0</v>
      </c>
      <c r="AB35" s="40">
        <f>IF(OR(L35="",V35=0),"",IF(AND(N(I35)&gt;0,N(INDEX('07-تموز'!$I$2:$I$500,V35))&gt;0,INDEX('07-تموز'!$F$2:$F$500,V35)=F35),N(I35)/N(INDEX('07-تموز'!$I$2:$I$500,V35))-1,""))</f>
        <v>0</v>
      </c>
      <c r="AC35" t="str">
        <f>IF(L35="","",IF(AND($AO$2=1,ISNA(MATCH(L35,'09-أيلول'!$L$2:$L$500,0))),"محذوف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278</v>
      </c>
      <c r="B36">
        <v>0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177</v>
      </c>
      <c r="I36">
        <v>160</v>
      </c>
      <c r="K36" t="str">
        <f t="shared" si="0"/>
        <v/>
      </c>
      <c r="L36" t="str">
        <f t="shared" si="1"/>
        <v>معطر ارضيات الليمون المنعش خام</v>
      </c>
      <c r="M36" s="36">
        <f t="shared" si="2"/>
        <v>1</v>
      </c>
      <c r="N36" s="37">
        <f t="shared" si="3"/>
        <v>160</v>
      </c>
      <c r="O36" s="37">
        <f t="shared" si="4"/>
        <v>0</v>
      </c>
      <c r="P36" s="38">
        <f t="shared" si="5"/>
        <v>0</v>
      </c>
      <c r="Q36" s="39">
        <f t="shared" si="6"/>
        <v>0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IF(L36="","",IF($AO$1=1,IFERROR(MATCH(L36,'07-تموز'!$L$2:$L$500,0),0),0))</f>
        <v>32</v>
      </c>
      <c r="W36" t="str">
        <f t="shared" si="11"/>
        <v/>
      </c>
      <c r="X36" s="38">
        <f>IF(L36="","",IF(V36&gt;0,INDEX('07-تموز'!$P$2:$P$500,V36),IF($AO$1=1,0,"")))</f>
        <v>0</v>
      </c>
      <c r="Y36" s="38">
        <f t="shared" si="12"/>
        <v>0</v>
      </c>
      <c r="Z36" s="39">
        <f>IF(L36="","",IF(V36&gt;0,INDEX('07-تموز'!$Q$2:$Q$500,V36),IF($AO$1=1,0,"")))</f>
        <v>0</v>
      </c>
      <c r="AA36" s="39">
        <f t="shared" si="13"/>
        <v>0</v>
      </c>
      <c r="AB36" s="40">
        <f>IF(OR(L36="",V36=0),"",IF(AND(N(I36)&gt;0,N(INDEX('07-تموز'!$I$2:$I$500,V36))&gt;0,INDEX('07-تموز'!$F$2:$F$500,V36)=F36),N(I36)/N(INDEX('07-تموز'!$I$2:$I$500,V36))-1,""))</f>
        <v>0</v>
      </c>
      <c r="AC36" t="str">
        <f>IF(L36="","",IF(AND($AO$2=1,ISNA(MATCH(L36,'09-أيلول'!$L$2:$L$500,0))),"محذوف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3.5999999999999998E-8</v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3.5999999999999998E-8</v>
      </c>
      <c r="AL36">
        <f t="shared" si="19"/>
        <v>3.5999999999999998E-8</v>
      </c>
    </row>
    <row r="37" spans="1:38" ht="15">
      <c r="A37" t="s">
        <v>279</v>
      </c>
      <c r="B37">
        <v>0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177</v>
      </c>
      <c r="I37">
        <v>215</v>
      </c>
      <c r="K37" t="str">
        <f t="shared" si="0"/>
        <v/>
      </c>
      <c r="L37" t="str">
        <f t="shared" si="1"/>
        <v>معطر ارضيات العود خام</v>
      </c>
      <c r="M37" s="36">
        <f t="shared" si="2"/>
        <v>1</v>
      </c>
      <c r="N37" s="37">
        <f t="shared" si="3"/>
        <v>215</v>
      </c>
      <c r="O37" s="37">
        <f t="shared" si="4"/>
        <v>0</v>
      </c>
      <c r="P37" s="38">
        <f t="shared" si="5"/>
        <v>0</v>
      </c>
      <c r="Q37" s="39">
        <f t="shared" si="6"/>
        <v>0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IF(L37="","",IF($AO$1=1,IFERROR(MATCH(L37,'07-تموز'!$L$2:$L$500,0),0),0))</f>
        <v>33</v>
      </c>
      <c r="W37" t="str">
        <f t="shared" si="11"/>
        <v/>
      </c>
      <c r="X37" s="38">
        <f>IF(L37="","",IF(V37&gt;0,INDEX('07-تموز'!$P$2:$P$500,V37),IF($AO$1=1,0,"")))</f>
        <v>0</v>
      </c>
      <c r="Y37" s="38">
        <f t="shared" si="12"/>
        <v>0</v>
      </c>
      <c r="Z37" s="39">
        <f>IF(L37="","",IF(V37&gt;0,INDEX('07-تموز'!$Q$2:$Q$500,V37),IF($AO$1=1,0,"")))</f>
        <v>0</v>
      </c>
      <c r="AA37" s="39">
        <f t="shared" si="13"/>
        <v>0</v>
      </c>
      <c r="AB37" s="40">
        <f>IF(OR(L37="",V37=0),"",IF(AND(N(I37)&gt;0,N(INDEX('07-تموز'!$I$2:$I$500,V37))&gt;0,INDEX('07-تموز'!$F$2:$F$500,V37)=F37),N(I37)/N(INDEX('07-تموز'!$I$2:$I$500,V37))-1,""))</f>
        <v>0</v>
      </c>
      <c r="AC37" t="str">
        <f>IF(L37="","",IF(AND($AO$2=1,ISNA(MATCH(L37,'09-أيلول'!$L$2:$L$500,0))),"محذوف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3.7E-8</v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3.7E-8</v>
      </c>
      <c r="AL37">
        <f t="shared" si="19"/>
        <v>3.7E-8</v>
      </c>
    </row>
    <row r="38" spans="1:38" ht="15">
      <c r="A38" t="s">
        <v>280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177</v>
      </c>
      <c r="I38">
        <v>215</v>
      </c>
      <c r="K38" t="str">
        <f t="shared" si="0"/>
        <v/>
      </c>
      <c r="L38" t="str">
        <f t="shared" si="1"/>
        <v>معطر ارضيات ازهار النرجس خام</v>
      </c>
      <c r="M38" s="36">
        <f t="shared" si="2"/>
        <v>1</v>
      </c>
      <c r="N38" s="37">
        <f t="shared" si="3"/>
        <v>215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IF(L38="","",IF($AO$1=1,IFERROR(MATCH(L38,'07-تموز'!$L$2:$L$500,0),0),0))</f>
        <v>34</v>
      </c>
      <c r="W38" t="str">
        <f t="shared" si="11"/>
        <v/>
      </c>
      <c r="X38" s="38">
        <f>IF(L38="","",IF(V38&gt;0,INDEX('07-تموز'!$P$2:$P$500,V38),IF($AO$1=1,0,"")))</f>
        <v>0</v>
      </c>
      <c r="Y38" s="38">
        <f t="shared" si="12"/>
        <v>0</v>
      </c>
      <c r="Z38" s="39">
        <f>IF(L38="","",IF(V38&gt;0,INDEX('07-تموز'!$Q$2:$Q$500,V38),IF($AO$1=1,0,"")))</f>
        <v>0</v>
      </c>
      <c r="AA38" s="39">
        <f t="shared" si="13"/>
        <v>0</v>
      </c>
      <c r="AB38" s="40">
        <f>IF(OR(L38="",V38=0),"",IF(AND(N(I38)&gt;0,N(INDEX('07-تموز'!$I$2:$I$500,V38))&gt;0,INDEX('07-تموز'!$F$2:$F$500,V38)=F38),N(I38)/N(INDEX('07-تموز'!$I$2:$I$500,V38))-1,""))</f>
        <v>0</v>
      </c>
      <c r="AC38" t="str">
        <f>IF(L38="","",IF(AND($AO$2=1,ISNA(MATCH(L38,'09-أيلول'!$L$2:$L$500,0))),"محذوف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410</v>
      </c>
      <c r="B39">
        <v>3027.25</v>
      </c>
      <c r="C39">
        <v>8000</v>
      </c>
      <c r="D39">
        <v>8000</v>
      </c>
      <c r="E39">
        <v>8000</v>
      </c>
      <c r="F39" t="s">
        <v>389</v>
      </c>
      <c r="G39" t="s">
        <v>178</v>
      </c>
      <c r="H39" t="s">
        <v>12</v>
      </c>
      <c r="I39">
        <v>3200</v>
      </c>
      <c r="K39" t="str">
        <f t="shared" si="0"/>
        <v/>
      </c>
      <c r="L39" t="str">
        <f t="shared" si="1"/>
        <v>معطر super / فرط</v>
      </c>
      <c r="M39" s="36">
        <f t="shared" si="2"/>
        <v>7.5757575757575758E-5</v>
      </c>
      <c r="N39" s="37">
        <f t="shared" si="3"/>
        <v>0.24242424242424243</v>
      </c>
      <c r="O39" s="37">
        <f t="shared" si="4"/>
        <v>0.60606060606060608</v>
      </c>
      <c r="P39" s="38">
        <f t="shared" si="5"/>
        <v>3027.25</v>
      </c>
      <c r="Q39" s="39">
        <f t="shared" si="6"/>
        <v>733.87878787878788</v>
      </c>
      <c r="R39" s="39">
        <f t="shared" si="7"/>
        <v>1834.6969696969697</v>
      </c>
      <c r="S39">
        <f t="shared" si="8"/>
        <v>1</v>
      </c>
      <c r="T39" s="39">
        <f t="shared" si="9"/>
        <v>1100.818181818182</v>
      </c>
      <c r="U39" t="str">
        <f t="shared" si="10"/>
        <v/>
      </c>
      <c r="V39">
        <f>IF(L39="","",IF($AO$1=1,IFERROR(MATCH(L39,'07-تموز'!$L$2:$L$500,0),0),0))</f>
        <v>35</v>
      </c>
      <c r="W39" t="str">
        <f t="shared" si="11"/>
        <v/>
      </c>
      <c r="X39" s="38">
        <f>IF(L39="","",IF(V39&gt;0,INDEX('07-تموز'!$P$2:$P$500,V39),IF($AO$1=1,0,"")))</f>
        <v>3413</v>
      </c>
      <c r="Y39" s="38">
        <f t="shared" si="12"/>
        <v>-385.75</v>
      </c>
      <c r="Z39" s="39">
        <f>IF(L39="","",IF(V39&gt;0,INDEX('07-تموز'!$Q$2:$Q$500,V39),IF($AO$1=1,0,"")))</f>
        <v>821.17293233082705</v>
      </c>
      <c r="AA39" s="39">
        <f t="shared" si="13"/>
        <v>-87.294144452039177</v>
      </c>
      <c r="AB39" s="40">
        <f>IF(OR(L39="",V39=0),"",IF(AND(N(I39)&gt;0,N(INDEX('07-تموز'!$I$2:$I$500,V39))&gt;0,INDEX('07-تموز'!$F$2:$F$500,V39)=F39),N(I39)/N(INDEX('07-تموز'!$I$2:$I$500,V39))-1,""))</f>
        <v>0</v>
      </c>
      <c r="AC39" t="str">
        <f>IF(L39="","",IF(AND($AO$2=1,ISNA(MATCH(L39,'09-أيلول'!$L$2:$L$500,0))),"محذوف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87.294144491039177</v>
      </c>
      <c r="AH39" s="39">
        <f t="shared" si="15"/>
        <v>1100.8181818181818</v>
      </c>
      <c r="AI39" s="39">
        <f t="shared" si="16"/>
        <v>1100.8181818181818</v>
      </c>
      <c r="AJ39" s="39">
        <f t="shared" si="17"/>
        <v>1100.8181818181818</v>
      </c>
      <c r="AK39">
        <f t="shared" si="18"/>
        <v>733.87878791778792</v>
      </c>
      <c r="AL39">
        <f t="shared" si="19"/>
        <v>1100.818181857182</v>
      </c>
    </row>
    <row r="40" spans="1:38" ht="15">
      <c r="A40" t="s">
        <v>411</v>
      </c>
      <c r="B40">
        <v>298</v>
      </c>
      <c r="C40">
        <v>29000</v>
      </c>
      <c r="D40">
        <v>29000</v>
      </c>
      <c r="E40">
        <v>29000</v>
      </c>
      <c r="F40" t="s">
        <v>389</v>
      </c>
      <c r="G40" t="s">
        <v>178</v>
      </c>
      <c r="H40" t="s">
        <v>12</v>
      </c>
      <c r="I40">
        <v>12700</v>
      </c>
      <c r="K40" t="str">
        <f t="shared" si="0"/>
        <v/>
      </c>
      <c r="L40" t="str">
        <f t="shared" si="1"/>
        <v>معطر super / عبوة 3 لتر</v>
      </c>
      <c r="M40" s="36">
        <f t="shared" si="2"/>
        <v>7.5757575757575758E-5</v>
      </c>
      <c r="N40" s="37">
        <f t="shared" si="3"/>
        <v>0.96212121212121215</v>
      </c>
      <c r="O40" s="37">
        <f t="shared" si="4"/>
        <v>2.1969696969696968</v>
      </c>
      <c r="P40" s="38">
        <f t="shared" si="5"/>
        <v>298</v>
      </c>
      <c r="Q40" s="39">
        <f t="shared" si="6"/>
        <v>286.71212121212125</v>
      </c>
      <c r="R40" s="39">
        <f t="shared" si="7"/>
        <v>654.69696969696963</v>
      </c>
      <c r="S40">
        <f t="shared" si="8"/>
        <v>1</v>
      </c>
      <c r="T40" s="39">
        <f t="shared" si="9"/>
        <v>367.98484848484838</v>
      </c>
      <c r="U40" t="str">
        <f t="shared" si="10"/>
        <v/>
      </c>
      <c r="V40">
        <f>IF(L40="","",IF($AO$1=1,IFERROR(MATCH(L40,'07-تموز'!$L$2:$L$500,0),0),0))</f>
        <v>36</v>
      </c>
      <c r="W40" t="str">
        <f t="shared" si="11"/>
        <v/>
      </c>
      <c r="X40" s="38">
        <f>IF(L40="","",IF(V40&gt;0,INDEX('07-تموز'!$P$2:$P$500,V40),IF($AO$1=1,0,"")))</f>
        <v>267</v>
      </c>
      <c r="Y40" s="38">
        <f t="shared" si="12"/>
        <v>31</v>
      </c>
      <c r="Z40" s="39">
        <f>IF(L40="","",IF(V40&gt;0,INDEX('07-تموز'!$Q$2:$Q$500,V40),IF($AO$1=1,0,"")))</f>
        <v>254.95488721804512</v>
      </c>
      <c r="AA40" s="39">
        <f t="shared" si="13"/>
        <v>31.757233994076131</v>
      </c>
      <c r="AB40" s="40">
        <f>IF(OR(L40="",V40=0),"",IF(AND(N(I40)&gt;0,N(INDEX('07-تموز'!$I$2:$I$500,V40))&gt;0,INDEX('07-تموز'!$F$2:$F$500,V40)=F40),N(I40)/N(INDEX('07-تموز'!$I$2:$I$500,V40))-1,""))</f>
        <v>0</v>
      </c>
      <c r="AC40" t="str">
        <f>IF(L40="","",IF(AND($AO$2=1,ISNA(MATCH(L40,'09-أيلول'!$L$2:$L$500,0))),"محذوف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31.757234034076131</v>
      </c>
      <c r="AH40" s="39">
        <f t="shared" si="15"/>
        <v>367.98484848484844</v>
      </c>
      <c r="AI40" s="39">
        <f t="shared" si="16"/>
        <v>367.98484848484844</v>
      </c>
      <c r="AJ40" s="39">
        <f t="shared" si="17"/>
        <v>367.98484848484844</v>
      </c>
      <c r="AK40">
        <f t="shared" si="18"/>
        <v>286.71212125212122</v>
      </c>
      <c r="AL40">
        <f t="shared" si="19"/>
        <v>367.98484852484836</v>
      </c>
    </row>
    <row r="41" spans="1:38" ht="15">
      <c r="A41" t="s">
        <v>412</v>
      </c>
      <c r="B41">
        <v>0</v>
      </c>
      <c r="C41">
        <v>180000</v>
      </c>
      <c r="D41">
        <v>180000</v>
      </c>
      <c r="E41">
        <v>180000</v>
      </c>
      <c r="F41" t="s">
        <v>389</v>
      </c>
      <c r="G41" t="s">
        <v>178</v>
      </c>
      <c r="H41" t="s">
        <v>12</v>
      </c>
      <c r="I41">
        <v>105000</v>
      </c>
      <c r="K41" t="str">
        <f t="shared" si="0"/>
        <v/>
      </c>
      <c r="L41" t="str">
        <f t="shared" si="1"/>
        <v>مساحات / نشافات</v>
      </c>
      <c r="M41" s="36">
        <f t="shared" si="2"/>
        <v>7.5757575757575758E-5</v>
      </c>
      <c r="N41" s="37">
        <f t="shared" si="3"/>
        <v>7.9545454545454541</v>
      </c>
      <c r="O41" s="37">
        <f t="shared" si="4"/>
        <v>13.636363636363637</v>
      </c>
      <c r="P41" s="38">
        <f t="shared" si="5"/>
        <v>0</v>
      </c>
      <c r="Q41" s="39">
        <f t="shared" si="6"/>
        <v>0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IF(L41="","",IF($AO$1=1,IFERROR(MATCH(L41,'07-تموز'!$L$2:$L$500,0),0),0))</f>
        <v>37</v>
      </c>
      <c r="W41" t="str">
        <f t="shared" si="11"/>
        <v/>
      </c>
      <c r="X41" s="38">
        <f>IF(L41="","",IF(V41&gt;0,INDEX('07-تموز'!$P$2:$P$500,V41),IF($AO$1=1,0,"")))</f>
        <v>0</v>
      </c>
      <c r="Y41" s="38">
        <f t="shared" si="12"/>
        <v>0</v>
      </c>
      <c r="Z41" s="39">
        <f>IF(L41="","",IF(V41&gt;0,INDEX('07-تموز'!$Q$2:$Q$500,V41),IF($AO$1=1,0,"")))</f>
        <v>0</v>
      </c>
      <c r="AA41" s="39">
        <f t="shared" si="13"/>
        <v>0</v>
      </c>
      <c r="AB41" s="40">
        <f>IF(OR(L41="",V41=0),"",IF(AND(N(I41)&gt;0,N(INDEX('07-تموز'!$I$2:$I$500,V41))&gt;0,INDEX('07-تموز'!$F$2:$F$500,V41)=F41),N(I41)/N(INDEX('07-تموز'!$I$2:$I$500,V41))-1,""))</f>
        <v>0</v>
      </c>
      <c r="AC41" t="str">
        <f>IF(L41="","",IF(AND($AO$2=1,ISNA(MATCH(L41,'09-أيلول'!$L$2:$L$500,0))),"محذوف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4.1000000000000003E-8</v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4.1000000000000003E-8</v>
      </c>
      <c r="AL41">
        <f t="shared" si="19"/>
        <v>4.1000000000000003E-8</v>
      </c>
    </row>
    <row r="42" spans="1:38" ht="15">
      <c r="A42" t="s">
        <v>413</v>
      </c>
      <c r="B42">
        <v>0</v>
      </c>
      <c r="C42">
        <v>0</v>
      </c>
      <c r="D42">
        <v>0</v>
      </c>
      <c r="E42">
        <v>0</v>
      </c>
      <c r="F42" t="s">
        <v>389</v>
      </c>
      <c r="G42" t="s">
        <v>178</v>
      </c>
      <c r="H42" t="s">
        <v>12</v>
      </c>
      <c r="I42">
        <v>0</v>
      </c>
      <c r="K42" t="str">
        <f t="shared" si="0"/>
        <v/>
      </c>
      <c r="L42" t="str">
        <f t="shared" si="1"/>
        <v>محارم مكتب</v>
      </c>
      <c r="M42" s="36">
        <f t="shared" si="2"/>
        <v>7.5757575757575758E-5</v>
      </c>
      <c r="N42" s="37">
        <f t="shared" si="3"/>
        <v>0</v>
      </c>
      <c r="O42" s="37">
        <f t="shared" si="4"/>
        <v>0</v>
      </c>
      <c r="P42" s="38">
        <f t="shared" si="5"/>
        <v>0</v>
      </c>
      <c r="Q42" s="39">
        <f t="shared" si="6"/>
        <v>0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IF(L42="","",IF($AO$1=1,IFERROR(MATCH(L42,'07-تموز'!$L$2:$L$500,0),0),0))</f>
        <v>38</v>
      </c>
      <c r="W42" t="str">
        <f t="shared" si="11"/>
        <v/>
      </c>
      <c r="X42" s="38">
        <f>IF(L42="","",IF(V42&gt;0,INDEX('07-تموز'!$P$2:$P$500,V42),IF($AO$1=1,0,"")))</f>
        <v>0</v>
      </c>
      <c r="Y42" s="38">
        <f t="shared" si="12"/>
        <v>0</v>
      </c>
      <c r="Z42" s="39">
        <f>IF(L42="","",IF(V42&gt;0,INDEX('07-تموز'!$Q$2:$Q$500,V42),IF($AO$1=1,0,"")))</f>
        <v>0</v>
      </c>
      <c r="AA42" s="39">
        <f t="shared" si="13"/>
        <v>0</v>
      </c>
      <c r="AB42" s="40" t="str">
        <f>IF(OR(L42="",V42=0),"",IF(AND(N(I42)&gt;0,N(INDEX('07-تموز'!$I$2:$I$500,V42))&gt;0,INDEX('07-تموز'!$F$2:$F$500,V42)=F42),N(I42)/N(INDEX('07-تموز'!$I$2:$I$500,V42))-1,""))</f>
        <v/>
      </c>
      <c r="AC42" t="str">
        <f>IF(L42="","",IF(AND($AO$2=1,ISNA(MATCH(L42,'09-أيلول'!$L$2:$L$500,0))),"محذوف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4.1999999999999999E-8</v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4.1999999999999999E-8</v>
      </c>
      <c r="AL42">
        <f t="shared" si="19"/>
        <v>4.1999999999999999E-8</v>
      </c>
    </row>
    <row r="43" spans="1:38" ht="15">
      <c r="A43" t="s">
        <v>414</v>
      </c>
      <c r="B43">
        <v>5</v>
      </c>
      <c r="C43">
        <v>110000</v>
      </c>
      <c r="D43">
        <v>110000</v>
      </c>
      <c r="E43">
        <v>110000</v>
      </c>
      <c r="F43" t="s">
        <v>389</v>
      </c>
      <c r="G43" t="s">
        <v>178</v>
      </c>
      <c r="H43" t="s">
        <v>12</v>
      </c>
      <c r="I43">
        <v>90000</v>
      </c>
      <c r="K43" t="str">
        <f t="shared" si="0"/>
        <v/>
      </c>
      <c r="L43" t="str">
        <f t="shared" si="1"/>
        <v>محارم تواليت</v>
      </c>
      <c r="M43" s="36">
        <f t="shared" si="2"/>
        <v>7.5757575757575758E-5</v>
      </c>
      <c r="N43" s="37">
        <f t="shared" si="3"/>
        <v>6.8181818181818183</v>
      </c>
      <c r="O43" s="37">
        <f t="shared" si="4"/>
        <v>8.3333333333333339</v>
      </c>
      <c r="P43" s="38">
        <f t="shared" si="5"/>
        <v>5</v>
      </c>
      <c r="Q43" s="39">
        <f t="shared" si="6"/>
        <v>34.090909090909093</v>
      </c>
      <c r="R43" s="39">
        <f t="shared" si="7"/>
        <v>41.666666666666671</v>
      </c>
      <c r="S43">
        <f t="shared" si="8"/>
        <v>1</v>
      </c>
      <c r="T43" s="39">
        <f t="shared" si="9"/>
        <v>7.5757575757575779</v>
      </c>
      <c r="U43" t="str">
        <f t="shared" si="10"/>
        <v/>
      </c>
      <c r="V43">
        <f>IF(L43="","",IF($AO$1=1,IFERROR(MATCH(L43,'07-تموز'!$L$2:$L$500,0),0),0))</f>
        <v>39</v>
      </c>
      <c r="W43" t="str">
        <f t="shared" si="11"/>
        <v/>
      </c>
      <c r="X43" s="38">
        <f>IF(L43="","",IF(V43&gt;0,INDEX('07-تموز'!$P$2:$P$500,V43),IF($AO$1=1,0,"")))</f>
        <v>5</v>
      </c>
      <c r="Y43" s="38">
        <f t="shared" si="12"/>
        <v>0</v>
      </c>
      <c r="Z43" s="39">
        <f>IF(L43="","",IF(V43&gt;0,INDEX('07-تموز'!$Q$2:$Q$500,V43),IF($AO$1=1,0,"")))</f>
        <v>33.834586466165412</v>
      </c>
      <c r="AA43" s="39">
        <f t="shared" si="13"/>
        <v>0.25632262474368162</v>
      </c>
      <c r="AB43" s="40">
        <f>IF(OR(L43="",V43=0),"",IF(AND(N(I43)&gt;0,N(INDEX('07-تموز'!$I$2:$I$500,V43))&gt;0,INDEX('07-تموز'!$F$2:$F$500,V43)=F43),N(I43)/N(INDEX('07-تموز'!$I$2:$I$500,V43))-1,""))</f>
        <v>0</v>
      </c>
      <c r="AC43" t="str">
        <f>IF(L43="","",IF(AND($AO$2=1,ISNA(MATCH(L43,'09-أيلول'!$L$2:$L$500,0))),"محذوف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0.25632266774368162</v>
      </c>
      <c r="AH43" s="39">
        <f t="shared" si="15"/>
        <v>7.5757575757575779</v>
      </c>
      <c r="AI43" s="39">
        <f t="shared" si="16"/>
        <v>7.5757575757575779</v>
      </c>
      <c r="AJ43" s="39">
        <f t="shared" si="17"/>
        <v>7.5757575757575779</v>
      </c>
      <c r="AK43">
        <f t="shared" si="18"/>
        <v>34.090909133909093</v>
      </c>
      <c r="AL43">
        <f t="shared" si="19"/>
        <v>7.5757576187575779</v>
      </c>
    </row>
    <row r="44" spans="1:38" ht="15">
      <c r="A44" t="s">
        <v>415</v>
      </c>
      <c r="B44">
        <v>0</v>
      </c>
      <c r="C44">
        <v>0</v>
      </c>
      <c r="D44">
        <v>0</v>
      </c>
      <c r="E44">
        <v>0</v>
      </c>
      <c r="F44" t="s">
        <v>389</v>
      </c>
      <c r="G44" t="s">
        <v>178</v>
      </c>
      <c r="H44" t="s">
        <v>12</v>
      </c>
      <c r="I44">
        <v>0</v>
      </c>
      <c r="K44" t="str">
        <f t="shared" si="0"/>
        <v/>
      </c>
      <c r="L44" t="str">
        <f t="shared" si="1"/>
        <v>محارم تنشيف</v>
      </c>
      <c r="M44" s="36">
        <f t="shared" si="2"/>
        <v>7.5757575757575758E-5</v>
      </c>
      <c r="N44" s="37">
        <f t="shared" si="3"/>
        <v>0</v>
      </c>
      <c r="O44" s="37">
        <f t="shared" si="4"/>
        <v>0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IF(L44="","",IF($AO$1=1,IFERROR(MATCH(L44,'07-تموز'!$L$2:$L$500,0),0),0))</f>
        <v>40</v>
      </c>
      <c r="W44" t="str">
        <f t="shared" si="11"/>
        <v/>
      </c>
      <c r="X44" s="38">
        <f>IF(L44="","",IF(V44&gt;0,INDEX('07-تموز'!$P$2:$P$500,V44),IF($AO$1=1,0,"")))</f>
        <v>0</v>
      </c>
      <c r="Y44" s="38">
        <f t="shared" si="12"/>
        <v>0</v>
      </c>
      <c r="Z44" s="39">
        <f>IF(L44="","",IF(V44&gt;0,INDEX('07-تموز'!$Q$2:$Q$500,V44),IF($AO$1=1,0,"")))</f>
        <v>0</v>
      </c>
      <c r="AA44" s="39">
        <f t="shared" si="13"/>
        <v>0</v>
      </c>
      <c r="AB44" s="40" t="str">
        <f>IF(OR(L44="",V44=0),"",IF(AND(N(I44)&gt;0,N(INDEX('07-تموز'!$I$2:$I$500,V44))&gt;0,INDEX('07-تموز'!$F$2:$F$500,V44)=F44),N(I44)/N(INDEX('07-تموز'!$I$2:$I$500,V44))-1,""))</f>
        <v/>
      </c>
      <c r="AC44" t="str">
        <f>IF(L44="","",IF(AND($AO$2=1,ISNA(MATCH(L44,'09-أيلول'!$L$2:$L$500,0))),"محذوف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4.3999999999999997E-8</v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416</v>
      </c>
      <c r="B45">
        <v>0</v>
      </c>
      <c r="C45">
        <v>110000</v>
      </c>
      <c r="D45">
        <v>110000</v>
      </c>
      <c r="E45">
        <v>110000</v>
      </c>
      <c r="F45" t="s">
        <v>389</v>
      </c>
      <c r="G45" t="s">
        <v>178</v>
      </c>
      <c r="H45" t="s">
        <v>12</v>
      </c>
      <c r="I45">
        <v>100000</v>
      </c>
      <c r="K45" t="str">
        <f t="shared" si="0"/>
        <v/>
      </c>
      <c r="L45" t="str">
        <f t="shared" si="1"/>
        <v>محارم الكرزة</v>
      </c>
      <c r="M45" s="36">
        <f t="shared" si="2"/>
        <v>7.5757575757575758E-5</v>
      </c>
      <c r="N45" s="37">
        <f t="shared" si="3"/>
        <v>7.5757575757575761</v>
      </c>
      <c r="O45" s="37">
        <f t="shared" si="4"/>
        <v>8.3333333333333339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IF(L45="","",IF($AO$1=1,IFERROR(MATCH(L45,'07-تموز'!$L$2:$L$500,0),0),0))</f>
        <v>41</v>
      </c>
      <c r="W45" t="str">
        <f t="shared" si="11"/>
        <v/>
      </c>
      <c r="X45" s="38">
        <f>IF(L45="","",IF(V45&gt;0,INDEX('07-تموز'!$P$2:$P$500,V45),IF($AO$1=1,0,"")))</f>
        <v>0</v>
      </c>
      <c r="Y45" s="38">
        <f t="shared" si="12"/>
        <v>0</v>
      </c>
      <c r="Z45" s="39">
        <f>IF(L45="","",IF(V45&gt;0,INDEX('07-تموز'!$Q$2:$Q$500,V45),IF($AO$1=1,0,"")))</f>
        <v>0</v>
      </c>
      <c r="AA45" s="39">
        <f t="shared" si="13"/>
        <v>0</v>
      </c>
      <c r="AB45" s="40">
        <f>IF(OR(L45="",V45=0),"",IF(AND(N(I45)&gt;0,N(INDEX('07-تموز'!$I$2:$I$500,V45))&gt;0,INDEX('07-تموز'!$F$2:$F$500,V45)=F45),N(I45)/N(INDEX('07-تموز'!$I$2:$I$500,V45))-1,""))</f>
        <v>0</v>
      </c>
      <c r="AC45" t="str">
        <f>IF(L45="","",IF(AND($AO$2=1,ISNA(MATCH(L45,'09-أيلول'!$L$2:$L$500,0))),"محذوف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281</v>
      </c>
      <c r="B46">
        <v>60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4.4000000000000004</v>
      </c>
      <c r="K46" t="str">
        <f t="shared" si="0"/>
        <v/>
      </c>
      <c r="L46" t="str">
        <f t="shared" si="1"/>
        <v>مجمد</v>
      </c>
      <c r="M46" s="36">
        <f t="shared" si="2"/>
        <v>1</v>
      </c>
      <c r="N46" s="37">
        <f t="shared" si="3"/>
        <v>4.4000000000000004</v>
      </c>
      <c r="O46" s="37">
        <f t="shared" si="4"/>
        <v>0</v>
      </c>
      <c r="P46" s="38">
        <f t="shared" si="5"/>
        <v>60</v>
      </c>
      <c r="Q46" s="39">
        <f t="shared" si="6"/>
        <v>264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IF(L46="","",IF($AO$1=1,IFERROR(MATCH(L46,'07-تموز'!$L$2:$L$500,0),0),0))</f>
        <v>42</v>
      </c>
      <c r="W46" t="str">
        <f t="shared" si="11"/>
        <v/>
      </c>
      <c r="X46" s="38">
        <f>IF(L46="","",IF(V46&gt;0,INDEX('07-تموز'!$P$2:$P$500,V46),IF($AO$1=1,0,"")))</f>
        <v>44.5</v>
      </c>
      <c r="Y46" s="38">
        <f t="shared" si="12"/>
        <v>15.5</v>
      </c>
      <c r="Z46" s="39">
        <f>IF(L46="","",IF(V46&gt;0,INDEX('07-تموز'!$Q$2:$Q$500,V46),IF($AO$1=1,0,"")))</f>
        <v>195.8</v>
      </c>
      <c r="AA46" s="39">
        <f t="shared" si="13"/>
        <v>68.199999999999989</v>
      </c>
      <c r="AB46" s="40">
        <f>IF(OR(L46="",V46=0),"",IF(AND(N(I46)&gt;0,N(INDEX('07-تموز'!$I$2:$I$500,V46))&gt;0,INDEX('07-تموز'!$F$2:$F$500,V46)=F46),N(I46)/N(INDEX('07-تموز'!$I$2:$I$500,V46))-1,""))</f>
        <v>0</v>
      </c>
      <c r="AC46" t="str">
        <f>IF(L46="","",IF(AND($AO$2=1,ISNA(MATCH(L46,'09-أيلول'!$L$2:$L$500,0))),"محذوف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68.200000045999985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264.00000004600003</v>
      </c>
      <c r="AL46">
        <f t="shared" si="19"/>
        <v>4.6000000000000002E-8</v>
      </c>
    </row>
    <row r="47" spans="1:38" ht="15">
      <c r="A47" t="s">
        <v>417</v>
      </c>
      <c r="B47">
        <v>0</v>
      </c>
      <c r="C47">
        <v>336000</v>
      </c>
      <c r="D47">
        <v>336000</v>
      </c>
      <c r="E47">
        <v>336000</v>
      </c>
      <c r="F47" t="s">
        <v>389</v>
      </c>
      <c r="G47" t="s">
        <v>178</v>
      </c>
      <c r="H47" t="s">
        <v>12</v>
      </c>
      <c r="I47">
        <v>307000</v>
      </c>
      <c r="K47" t="str">
        <f t="shared" si="0"/>
        <v/>
      </c>
      <c r="L47" t="str">
        <f t="shared" si="1"/>
        <v>مبيد حشري بار بار</v>
      </c>
      <c r="M47" s="36">
        <f t="shared" si="2"/>
        <v>7.5757575757575758E-5</v>
      </c>
      <c r="N47" s="37">
        <f t="shared" si="3"/>
        <v>23.257575757575758</v>
      </c>
      <c r="O47" s="37">
        <f t="shared" si="4"/>
        <v>25.454545454545453</v>
      </c>
      <c r="P47" s="38">
        <f t="shared" si="5"/>
        <v>0</v>
      </c>
      <c r="Q47" s="39">
        <f t="shared" si="6"/>
        <v>0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IF(L47="","",IF($AO$1=1,IFERROR(MATCH(L47,'07-تموز'!$L$2:$L$500,0),0),0))</f>
        <v>43</v>
      </c>
      <c r="W47" t="str">
        <f t="shared" si="11"/>
        <v/>
      </c>
      <c r="X47" s="38">
        <f>IF(L47="","",IF(V47&gt;0,INDEX('07-تموز'!$P$2:$P$500,V47),IF($AO$1=1,0,"")))</f>
        <v>0</v>
      </c>
      <c r="Y47" s="38">
        <f t="shared" si="12"/>
        <v>0</v>
      </c>
      <c r="Z47" s="39">
        <f>IF(L47="","",IF(V47&gt;0,INDEX('07-تموز'!$Q$2:$Q$500,V47),IF($AO$1=1,0,"")))</f>
        <v>0</v>
      </c>
      <c r="AA47" s="39">
        <f t="shared" si="13"/>
        <v>0</v>
      </c>
      <c r="AB47" s="40">
        <f>IF(OR(L47="",V47=0),"",IF(AND(N(I47)&gt;0,N(INDEX('07-تموز'!$I$2:$I$500,V47))&gt;0,INDEX('07-تموز'!$F$2:$F$500,V47)=F47),N(I47)/N(INDEX('07-تموز'!$I$2:$I$500,V47))-1,""))</f>
        <v>0</v>
      </c>
      <c r="AC47" t="str">
        <f>IF(L47="","",IF(AND($AO$2=1,ISNA(MATCH(L47,'09-أيلول'!$L$2:$L$500,0))),"محذوف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4.6999999999999997E-8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4.6999999999999997E-8</v>
      </c>
      <c r="AL47">
        <f t="shared" si="19"/>
        <v>4.6999999999999997E-8</v>
      </c>
    </row>
    <row r="48" spans="1:38" ht="15">
      <c r="A48" t="s">
        <v>282</v>
      </c>
      <c r="B48">
        <v>2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176</v>
      </c>
      <c r="I48">
        <v>7</v>
      </c>
      <c r="K48" t="str">
        <f t="shared" si="0"/>
        <v/>
      </c>
      <c r="L48" t="str">
        <f t="shared" si="1"/>
        <v>مانع رغوة مائي</v>
      </c>
      <c r="M48" s="36">
        <f t="shared" si="2"/>
        <v>1</v>
      </c>
      <c r="N48" s="37">
        <f t="shared" si="3"/>
        <v>7</v>
      </c>
      <c r="O48" s="37">
        <f t="shared" si="4"/>
        <v>0</v>
      </c>
      <c r="P48" s="38">
        <f t="shared" si="5"/>
        <v>2</v>
      </c>
      <c r="Q48" s="39">
        <f t="shared" si="6"/>
        <v>14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IF(L48="","",IF($AO$1=1,IFERROR(MATCH(L48,'07-تموز'!$L$2:$L$500,0),0),0))</f>
        <v>44</v>
      </c>
      <c r="W48" t="str">
        <f t="shared" si="11"/>
        <v/>
      </c>
      <c r="X48" s="38">
        <f>IF(L48="","",IF(V48&gt;0,INDEX('07-تموز'!$P$2:$P$500,V48),IF($AO$1=1,0,"")))</f>
        <v>0</v>
      </c>
      <c r="Y48" s="38">
        <f t="shared" si="12"/>
        <v>2</v>
      </c>
      <c r="Z48" s="39">
        <f>IF(L48="","",IF(V48&gt;0,INDEX('07-تموز'!$Q$2:$Q$500,V48),IF($AO$1=1,0,"")))</f>
        <v>0</v>
      </c>
      <c r="AA48" s="39">
        <f t="shared" si="13"/>
        <v>14</v>
      </c>
      <c r="AB48" s="40">
        <f>IF(OR(L48="",V48=0),"",IF(AND(N(I48)&gt;0,N(INDEX('07-تموز'!$I$2:$I$500,V48))&gt;0,INDEX('07-تموز'!$F$2:$F$500,V48)=F48),N(I48)/N(INDEX('07-تموز'!$I$2:$I$500,V48))-1,""))</f>
        <v>0</v>
      </c>
      <c r="AC48" t="str">
        <f>IF(L48="","",IF(AND($AO$2=1,ISNA(MATCH(L48,'09-أيلول'!$L$2:$L$500,0))),"محذوف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14.000000048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14.000000048</v>
      </c>
      <c r="AL48">
        <f t="shared" si="19"/>
        <v>4.8E-8</v>
      </c>
    </row>
    <row r="49" spans="1:38" ht="15">
      <c r="A49" t="s">
        <v>283</v>
      </c>
      <c r="B49">
        <v>0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6</v>
      </c>
      <c r="K49" t="str">
        <f t="shared" si="0"/>
        <v/>
      </c>
      <c r="L49" t="str">
        <f t="shared" si="1"/>
        <v>مانع رغوة سيليكون</v>
      </c>
      <c r="M49" s="36">
        <f t="shared" si="2"/>
        <v>1</v>
      </c>
      <c r="N49" s="37">
        <f t="shared" si="3"/>
        <v>6</v>
      </c>
      <c r="O49" s="37">
        <f t="shared" si="4"/>
        <v>0</v>
      </c>
      <c r="P49" s="38">
        <f t="shared" si="5"/>
        <v>0</v>
      </c>
      <c r="Q49" s="39">
        <f t="shared" si="6"/>
        <v>0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IF(L49="","",IF($AO$1=1,IFERROR(MATCH(L49,'07-تموز'!$L$2:$L$500,0),0),0))</f>
        <v>45</v>
      </c>
      <c r="W49" t="str">
        <f t="shared" si="11"/>
        <v/>
      </c>
      <c r="X49" s="38">
        <f>IF(L49="","",IF(V49&gt;0,INDEX('07-تموز'!$P$2:$P$500,V49),IF($AO$1=1,0,"")))</f>
        <v>0</v>
      </c>
      <c r="Y49" s="38">
        <f t="shared" si="12"/>
        <v>0</v>
      </c>
      <c r="Z49" s="39">
        <f>IF(L49="","",IF(V49&gt;0,INDEX('07-تموز'!$Q$2:$Q$500,V49),IF($AO$1=1,0,"")))</f>
        <v>0</v>
      </c>
      <c r="AA49" s="39">
        <f t="shared" si="13"/>
        <v>0</v>
      </c>
      <c r="AB49" s="40">
        <f>IF(OR(L49="",V49=0),"",IF(AND(N(I49)&gt;0,N(INDEX('07-تموز'!$I$2:$I$500,V49))&gt;0,INDEX('07-تموز'!$F$2:$F$500,V49)=F49),N(I49)/N(INDEX('07-تموز'!$I$2:$I$500,V49))-1,""))</f>
        <v>0</v>
      </c>
      <c r="AC49" t="str">
        <f>IF(L49="","",IF(AND($AO$2=1,ISNA(MATCH(L49,'09-أيلول'!$L$2:$L$500,0))),"محذوف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4.9000000000000002E-8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4.9000000000000002E-8</v>
      </c>
      <c r="AL49">
        <f t="shared" si="19"/>
        <v>4.9000000000000002E-8</v>
      </c>
    </row>
    <row r="50" spans="1:38" ht="15">
      <c r="A50" t="s">
        <v>284</v>
      </c>
      <c r="B50">
        <v>21934.400000000001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4.0000000000000001E-3</v>
      </c>
      <c r="K50" t="str">
        <f t="shared" si="0"/>
        <v/>
      </c>
      <c r="L50" t="str">
        <f t="shared" si="1"/>
        <v>ماء مقطرة</v>
      </c>
      <c r="M50" s="36">
        <f t="shared" si="2"/>
        <v>1</v>
      </c>
      <c r="N50" s="37">
        <f t="shared" si="3"/>
        <v>4.0000000000000001E-3</v>
      </c>
      <c r="O50" s="37">
        <f t="shared" si="4"/>
        <v>0</v>
      </c>
      <c r="P50" s="38">
        <f t="shared" si="5"/>
        <v>21934.400000000001</v>
      </c>
      <c r="Q50" s="39">
        <f t="shared" si="6"/>
        <v>87.737600000000015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IF(L50="","",IF($AO$1=1,IFERROR(MATCH(L50,'07-تموز'!$L$2:$L$500,0),0),0))</f>
        <v>46</v>
      </c>
      <c r="W50" t="str">
        <f t="shared" si="11"/>
        <v/>
      </c>
      <c r="X50" s="38">
        <f>IF(L50="","",IF(V50&gt;0,INDEX('07-تموز'!$P$2:$P$500,V50),IF($AO$1=1,0,"")))</f>
        <v>36592</v>
      </c>
      <c r="Y50" s="38">
        <f t="shared" si="12"/>
        <v>-14657.599999999999</v>
      </c>
      <c r="Z50" s="39">
        <f>IF(L50="","",IF(V50&gt;0,INDEX('07-تموز'!$Q$2:$Q$500,V50),IF($AO$1=1,0,"")))</f>
        <v>146.36799999999999</v>
      </c>
      <c r="AA50" s="39">
        <f t="shared" si="13"/>
        <v>-58.63039999999998</v>
      </c>
      <c r="AB50" s="40">
        <f>IF(OR(L50="",V50=0),"",IF(AND(N(I50)&gt;0,N(INDEX('07-تموز'!$I$2:$I$500,V50))&gt;0,INDEX('07-تموز'!$F$2:$F$500,V50)=F50),N(I50)/N(INDEX('07-تموز'!$I$2:$I$500,V50))-1,""))</f>
        <v>0</v>
      </c>
      <c r="AC50" t="str">
        <f>IF(L50="","",IF(AND($AO$2=1,ISNA(MATCH(L50,'09-أيلول'!$L$2:$L$500,0))),"محذوف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58.630400049999977</v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87.737600050000012</v>
      </c>
      <c r="AL50">
        <f t="shared" si="19"/>
        <v>4.9999999999999998E-8</v>
      </c>
    </row>
    <row r="51" spans="1:38" ht="15">
      <c r="A51" t="s">
        <v>285</v>
      </c>
      <c r="B51">
        <v>350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177</v>
      </c>
      <c r="I51">
        <v>2.4E-2</v>
      </c>
      <c r="K51" t="str">
        <f t="shared" si="0"/>
        <v/>
      </c>
      <c r="L51" t="str">
        <f t="shared" si="1"/>
        <v>ماء مالح خام</v>
      </c>
      <c r="M51" s="36">
        <f t="shared" si="2"/>
        <v>1</v>
      </c>
      <c r="N51" s="37">
        <f t="shared" si="3"/>
        <v>2.4E-2</v>
      </c>
      <c r="O51" s="37">
        <f t="shared" si="4"/>
        <v>0</v>
      </c>
      <c r="P51" s="38">
        <f t="shared" si="5"/>
        <v>350</v>
      </c>
      <c r="Q51" s="39">
        <f t="shared" si="6"/>
        <v>8.4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IF(L51="","",IF($AO$1=1,IFERROR(MATCH(L51,'07-تموز'!$L$2:$L$500,0),0),0))</f>
        <v>47</v>
      </c>
      <c r="W51" t="str">
        <f t="shared" si="11"/>
        <v/>
      </c>
      <c r="X51" s="38">
        <f>IF(L51="","",IF(V51&gt;0,INDEX('07-تموز'!$P$2:$P$500,V51),IF($AO$1=1,0,"")))</f>
        <v>975</v>
      </c>
      <c r="Y51" s="38">
        <f t="shared" si="12"/>
        <v>-625</v>
      </c>
      <c r="Z51" s="39">
        <f>IF(L51="","",IF(V51&gt;0,INDEX('07-تموز'!$Q$2:$Q$500,V51),IF($AO$1=1,0,"")))</f>
        <v>23.400000000000002</v>
      </c>
      <c r="AA51" s="39">
        <f t="shared" si="13"/>
        <v>-15.000000000000002</v>
      </c>
      <c r="AB51" s="40">
        <f>IF(OR(L51="",V51=0),"",IF(AND(N(I51)&gt;0,N(INDEX('07-تموز'!$I$2:$I$500,V51))&gt;0,INDEX('07-تموز'!$F$2:$F$500,V51)=F51),N(I51)/N(INDEX('07-تموز'!$I$2:$I$500,V51))-1,""))</f>
        <v>0</v>
      </c>
      <c r="AC51" t="str">
        <f>IF(L51="","",IF(AND($AO$2=1,ISNA(MATCH(L51,'09-أيلول'!$L$2:$L$500,0))),"محذوف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15.000000051000002</v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8.400000051000001</v>
      </c>
      <c r="AL51">
        <f t="shared" si="19"/>
        <v>5.1E-8</v>
      </c>
    </row>
    <row r="52" spans="1:38" ht="15">
      <c r="A52" t="s">
        <v>286</v>
      </c>
      <c r="B52">
        <v>3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176</v>
      </c>
      <c r="I52">
        <v>3</v>
      </c>
      <c r="K52" t="str">
        <f t="shared" si="0"/>
        <v/>
      </c>
      <c r="L52" t="str">
        <f t="shared" si="1"/>
        <v>ماء بلسم</v>
      </c>
      <c r="M52" s="36">
        <f t="shared" si="2"/>
        <v>1</v>
      </c>
      <c r="N52" s="37">
        <f t="shared" si="3"/>
        <v>3</v>
      </c>
      <c r="O52" s="37">
        <f t="shared" si="4"/>
        <v>0</v>
      </c>
      <c r="P52" s="38">
        <f t="shared" si="5"/>
        <v>3</v>
      </c>
      <c r="Q52" s="39">
        <f t="shared" si="6"/>
        <v>9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IF(L52="","",IF($AO$1=1,IFERROR(MATCH(L52,'07-تموز'!$L$2:$L$500,0),0),0))</f>
        <v>48</v>
      </c>
      <c r="W52" t="str">
        <f t="shared" si="11"/>
        <v/>
      </c>
      <c r="X52" s="38">
        <f>IF(L52="","",IF(V52&gt;0,INDEX('07-تموز'!$P$2:$P$500,V52),IF($AO$1=1,0,"")))</f>
        <v>3</v>
      </c>
      <c r="Y52" s="38">
        <f t="shared" si="12"/>
        <v>0</v>
      </c>
      <c r="Z52" s="39">
        <f>IF(L52="","",IF(V52&gt;0,INDEX('07-تموز'!$Q$2:$Q$500,V52),IF($AO$1=1,0,"")))</f>
        <v>9</v>
      </c>
      <c r="AA52" s="39">
        <f t="shared" si="13"/>
        <v>0</v>
      </c>
      <c r="AB52" s="40">
        <f>IF(OR(L52="",V52=0),"",IF(AND(N(I52)&gt;0,N(INDEX('07-تموز'!$I$2:$I$500,V52))&gt;0,INDEX('07-تموز'!$F$2:$F$500,V52)=F52),N(I52)/N(INDEX('07-تموز'!$I$2:$I$500,V52))-1,""))</f>
        <v>0</v>
      </c>
      <c r="AC52" t="str">
        <f>IF(L52="","",IF(AND($AO$2=1,ISNA(MATCH(L52,'09-أيلول'!$L$2:$L$500,0))),"محذوف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5.2000000000000002E-8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9.0000000520000007</v>
      </c>
      <c r="AL52">
        <f t="shared" si="19"/>
        <v>5.2000000000000002E-8</v>
      </c>
    </row>
    <row r="53" spans="1:38" ht="15">
      <c r="A53" t="s">
        <v>418</v>
      </c>
      <c r="B53">
        <v>0.33</v>
      </c>
      <c r="C53">
        <v>216000</v>
      </c>
      <c r="D53">
        <v>216000</v>
      </c>
      <c r="E53">
        <v>216000</v>
      </c>
      <c r="F53" t="s">
        <v>389</v>
      </c>
      <c r="G53" t="s">
        <v>178</v>
      </c>
      <c r="H53" t="s">
        <v>12</v>
      </c>
      <c r="I53">
        <v>156000</v>
      </c>
      <c r="K53" t="str">
        <f t="shared" si="0"/>
        <v/>
      </c>
      <c r="L53" t="str">
        <f t="shared" si="1"/>
        <v>ليف جلي ثلاثية</v>
      </c>
      <c r="M53" s="36">
        <f t="shared" si="2"/>
        <v>7.5757575757575758E-5</v>
      </c>
      <c r="N53" s="37">
        <f t="shared" si="3"/>
        <v>11.818181818181818</v>
      </c>
      <c r="O53" s="37">
        <f t="shared" si="4"/>
        <v>16.363636363636363</v>
      </c>
      <c r="P53" s="38">
        <f t="shared" si="5"/>
        <v>0.33</v>
      </c>
      <c r="Q53" s="39">
        <f t="shared" si="6"/>
        <v>3.9000000000000004</v>
      </c>
      <c r="R53" s="39">
        <f t="shared" si="7"/>
        <v>5.4</v>
      </c>
      <c r="S53">
        <f t="shared" si="8"/>
        <v>1</v>
      </c>
      <c r="T53" s="39">
        <f t="shared" si="9"/>
        <v>1.5</v>
      </c>
      <c r="U53" t="str">
        <f t="shared" si="10"/>
        <v/>
      </c>
      <c r="V53">
        <f>IF(L53="","",IF($AO$1=1,IFERROR(MATCH(L53,'07-تموز'!$L$2:$L$500,0),0),0))</f>
        <v>49</v>
      </c>
      <c r="W53" t="str">
        <f t="shared" si="11"/>
        <v/>
      </c>
      <c r="X53" s="38">
        <f>IF(L53="","",IF(V53&gt;0,INDEX('07-تموز'!$P$2:$P$500,V53),IF($AO$1=1,0,"")))</f>
        <v>0.67</v>
      </c>
      <c r="Y53" s="38">
        <f t="shared" si="12"/>
        <v>-0.34</v>
      </c>
      <c r="Z53" s="39">
        <f>IF(L53="","",IF(V53&gt;0,INDEX('07-تموز'!$Q$2:$Q$500,V53),IF($AO$1=1,0,"")))</f>
        <v>7.8586466165413533</v>
      </c>
      <c r="AA53" s="39">
        <f t="shared" si="13"/>
        <v>-3.958646616541353</v>
      </c>
      <c r="AB53" s="40">
        <f>IF(OR(L53="",V53=0),"",IF(AND(N(I53)&gt;0,N(INDEX('07-تموز'!$I$2:$I$500,V53))&gt;0,INDEX('07-تموز'!$F$2:$F$500,V53)=F53),N(I53)/N(INDEX('07-تموز'!$I$2:$I$500,V53))-1,""))</f>
        <v>0</v>
      </c>
      <c r="AC53" t="str">
        <f>IF(L53="","",IF(AND($AO$2=1,ISNA(MATCH(L53,'09-أيلول'!$L$2:$L$500,0))),"محذوف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3.9586466695413529</v>
      </c>
      <c r="AH53" s="39">
        <f t="shared" si="15"/>
        <v>1.5</v>
      </c>
      <c r="AI53" s="39">
        <f t="shared" si="16"/>
        <v>1.5</v>
      </c>
      <c r="AJ53" s="39">
        <f t="shared" si="17"/>
        <v>1.5</v>
      </c>
      <c r="AK53">
        <f t="shared" si="18"/>
        <v>3.9000000530000003</v>
      </c>
      <c r="AL53">
        <f t="shared" si="19"/>
        <v>1.5000000529999999</v>
      </c>
    </row>
    <row r="54" spans="1:38" ht="15">
      <c r="A54" t="s">
        <v>419</v>
      </c>
      <c r="B54">
        <v>1</v>
      </c>
      <c r="C54">
        <v>100000</v>
      </c>
      <c r="D54">
        <v>100000</v>
      </c>
      <c r="E54">
        <v>100000</v>
      </c>
      <c r="F54" t="s">
        <v>389</v>
      </c>
      <c r="G54" t="s">
        <v>178</v>
      </c>
      <c r="H54" t="s">
        <v>12</v>
      </c>
      <c r="I54">
        <v>90000</v>
      </c>
      <c r="K54" t="str">
        <f t="shared" si="0"/>
        <v/>
      </c>
      <c r="L54" t="str">
        <f t="shared" si="1"/>
        <v>ليف اسفنج</v>
      </c>
      <c r="M54" s="36">
        <f t="shared" si="2"/>
        <v>7.5757575757575758E-5</v>
      </c>
      <c r="N54" s="37">
        <f t="shared" si="3"/>
        <v>6.8181818181818183</v>
      </c>
      <c r="O54" s="37">
        <f t="shared" si="4"/>
        <v>7.5757575757575761</v>
      </c>
      <c r="P54" s="38">
        <f t="shared" si="5"/>
        <v>1</v>
      </c>
      <c r="Q54" s="39">
        <f t="shared" si="6"/>
        <v>6.8181818181818183</v>
      </c>
      <c r="R54" s="39">
        <f t="shared" si="7"/>
        <v>7.5757575757575761</v>
      </c>
      <c r="S54">
        <f t="shared" si="8"/>
        <v>1</v>
      </c>
      <c r="T54" s="39">
        <f t="shared" si="9"/>
        <v>0.75757575757575779</v>
      </c>
      <c r="U54" t="str">
        <f t="shared" si="10"/>
        <v/>
      </c>
      <c r="V54">
        <f>IF(L54="","",IF($AO$1=1,IFERROR(MATCH(L54,'07-تموز'!$L$2:$L$500,0),0),0))</f>
        <v>50</v>
      </c>
      <c r="W54" t="str">
        <f t="shared" si="11"/>
        <v/>
      </c>
      <c r="X54" s="38">
        <f>IF(L54="","",IF(V54&gt;0,INDEX('07-تموز'!$P$2:$P$500,V54),IF($AO$1=1,0,"")))</f>
        <v>6</v>
      </c>
      <c r="Y54" s="38">
        <f t="shared" si="12"/>
        <v>-5</v>
      </c>
      <c r="Z54" s="39">
        <f>IF(L54="","",IF(V54&gt;0,INDEX('07-تموز'!$Q$2:$Q$500,V54),IF($AO$1=1,0,"")))</f>
        <v>40.601503759398497</v>
      </c>
      <c r="AA54" s="39">
        <f t="shared" si="13"/>
        <v>-33.783321941216677</v>
      </c>
      <c r="AB54" s="40">
        <f>IF(OR(L54="",V54=0),"",IF(AND(N(I54)&gt;0,N(INDEX('07-تموز'!$I$2:$I$500,V54))&gt;0,INDEX('07-تموز'!$F$2:$F$500,V54)=F54),N(I54)/N(INDEX('07-تموز'!$I$2:$I$500,V54))-1,""))</f>
        <v>0</v>
      </c>
      <c r="AC54" t="str">
        <f>IF(L54="","",IF(AND($AO$2=1,ISNA(MATCH(L54,'09-أيلول'!$L$2:$L$500,0))),"محذوف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33.783321995216674</v>
      </c>
      <c r="AH54" s="39">
        <f t="shared" si="15"/>
        <v>0.75757575757575779</v>
      </c>
      <c r="AI54" s="39">
        <f t="shared" si="16"/>
        <v>0.75757575757575779</v>
      </c>
      <c r="AJ54" s="39">
        <f t="shared" si="17"/>
        <v>0.75757575757575779</v>
      </c>
      <c r="AK54">
        <f t="shared" si="18"/>
        <v>6.8181818721818184</v>
      </c>
      <c r="AL54">
        <f t="shared" si="19"/>
        <v>0.75757581157575782</v>
      </c>
    </row>
    <row r="55" spans="1:38" ht="15">
      <c r="A55" t="s">
        <v>420</v>
      </c>
      <c r="B55">
        <v>0</v>
      </c>
      <c r="C55">
        <v>170000</v>
      </c>
      <c r="D55">
        <v>170000</v>
      </c>
      <c r="E55">
        <v>170000</v>
      </c>
      <c r="F55" t="s">
        <v>389</v>
      </c>
      <c r="G55" t="s">
        <v>178</v>
      </c>
      <c r="H55" t="s">
        <v>12</v>
      </c>
      <c r="I55">
        <v>82000</v>
      </c>
      <c r="K55" t="str">
        <f t="shared" si="0"/>
        <v/>
      </c>
      <c r="L55" t="str">
        <f t="shared" si="1"/>
        <v>لوح صابون مسك</v>
      </c>
      <c r="M55" s="36">
        <f t="shared" si="2"/>
        <v>7.5757575757575758E-5</v>
      </c>
      <c r="N55" s="37">
        <f t="shared" si="3"/>
        <v>6.2121212121212119</v>
      </c>
      <c r="O55" s="37">
        <f t="shared" si="4"/>
        <v>12.878787878787879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IF(L55="","",IF($AO$1=1,IFERROR(MATCH(L55,'07-تموز'!$L$2:$L$500,0),0),0))</f>
        <v>51</v>
      </c>
      <c r="W55" t="str">
        <f t="shared" si="11"/>
        <v/>
      </c>
      <c r="X55" s="38">
        <f>IF(L55="","",IF(V55&gt;0,INDEX('07-تموز'!$P$2:$P$500,V55),IF($AO$1=1,0,"")))</f>
        <v>0</v>
      </c>
      <c r="Y55" s="38">
        <f t="shared" si="12"/>
        <v>0</v>
      </c>
      <c r="Z55" s="39">
        <f>IF(L55="","",IF(V55&gt;0,INDEX('07-تموز'!$Q$2:$Q$500,V55),IF($AO$1=1,0,"")))</f>
        <v>0</v>
      </c>
      <c r="AA55" s="39">
        <f t="shared" si="13"/>
        <v>0</v>
      </c>
      <c r="AB55" s="40">
        <f>IF(OR(L55="",V55=0),"",IF(AND(N(I55)&gt;0,N(INDEX('07-تموز'!$I$2:$I$500,V55))&gt;0,INDEX('07-تموز'!$F$2:$F$500,V55)=F55),N(I55)/N(INDEX('07-تموز'!$I$2:$I$500,V55))-1,""))</f>
        <v>0</v>
      </c>
      <c r="AC55" t="str">
        <f>IF(L55="","",IF(AND($AO$2=1,ISNA(MATCH(L55,'09-أيلول'!$L$2:$L$500,0))),"محذوف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5.5000000000000003E-8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421</v>
      </c>
      <c r="B56">
        <v>0</v>
      </c>
      <c r="C56">
        <v>0</v>
      </c>
      <c r="D56">
        <v>0</v>
      </c>
      <c r="E56">
        <v>0</v>
      </c>
      <c r="F56" t="s">
        <v>389</v>
      </c>
      <c r="G56" t="s">
        <v>178</v>
      </c>
      <c r="H56" t="s">
        <v>176</v>
      </c>
      <c r="I56">
        <v>275</v>
      </c>
      <c r="K56" t="str">
        <f t="shared" si="0"/>
        <v/>
      </c>
      <c r="L56" t="str">
        <f t="shared" si="1"/>
        <v>لصاقة طابعة</v>
      </c>
      <c r="M56" s="36">
        <f t="shared" si="2"/>
        <v>7.5757575757575758E-5</v>
      </c>
      <c r="N56" s="37">
        <f t="shared" si="3"/>
        <v>2.0833333333333332E-2</v>
      </c>
      <c r="O56" s="37">
        <f t="shared" si="4"/>
        <v>0</v>
      </c>
      <c r="P56" s="38">
        <f t="shared" si="5"/>
        <v>0</v>
      </c>
      <c r="Q56" s="39">
        <f t="shared" si="6"/>
        <v>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IF(L56="","",IF($AO$1=1,IFERROR(MATCH(L56,'07-تموز'!$L$2:$L$500,0),0),0))</f>
        <v>52</v>
      </c>
      <c r="W56" t="str">
        <f t="shared" si="11"/>
        <v/>
      </c>
      <c r="X56" s="38">
        <f>IF(L56="","",IF(V56&gt;0,INDEX('07-تموز'!$P$2:$P$500,V56),IF($AO$1=1,0,"")))</f>
        <v>0</v>
      </c>
      <c r="Y56" s="38">
        <f t="shared" si="12"/>
        <v>0</v>
      </c>
      <c r="Z56" s="39">
        <f>IF(L56="","",IF(V56&gt;0,INDEX('07-تموز'!$Q$2:$Q$500,V56),IF($AO$1=1,0,"")))</f>
        <v>0</v>
      </c>
      <c r="AA56" s="39">
        <f t="shared" si="13"/>
        <v>0</v>
      </c>
      <c r="AB56" s="40">
        <f>IF(OR(L56="",V56=0),"",IF(AND(N(I56)&gt;0,N(INDEX('07-تموز'!$I$2:$I$500,V56))&gt;0,INDEX('07-تموز'!$F$2:$F$500,V56)=F56),N(I56)/N(INDEX('07-تموز'!$I$2:$I$500,V56))-1,""))</f>
        <v>0</v>
      </c>
      <c r="AC56" t="str">
        <f>IF(L56="","",IF(AND($AO$2=1,ISNA(MATCH(L56,'09-أيلول'!$L$2:$L$500,0))),"محذوف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5.5999999999999999E-8</v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5.5999999999999999E-8</v>
      </c>
      <c r="AL56">
        <f t="shared" si="19"/>
        <v>5.5999999999999999E-8</v>
      </c>
    </row>
    <row r="57" spans="1:38" ht="15">
      <c r="A57" t="s">
        <v>287</v>
      </c>
      <c r="B57">
        <v>0</v>
      </c>
      <c r="C57">
        <v>0</v>
      </c>
      <c r="D57">
        <v>0</v>
      </c>
      <c r="E57">
        <v>0</v>
      </c>
      <c r="F57" t="s">
        <v>268</v>
      </c>
      <c r="G57" t="s">
        <v>178</v>
      </c>
      <c r="H57" t="s">
        <v>176</v>
      </c>
      <c r="I57">
        <v>3.5</v>
      </c>
      <c r="K57" t="str">
        <f t="shared" si="0"/>
        <v/>
      </c>
      <c r="L57" t="str">
        <f t="shared" si="1"/>
        <v>لانيت 16 ماليزي</v>
      </c>
      <c r="M57" s="36">
        <f t="shared" si="2"/>
        <v>1</v>
      </c>
      <c r="N57" s="37">
        <f t="shared" si="3"/>
        <v>3.5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IF(L57="","",IF($AO$1=1,IFERROR(MATCH(L57,'07-تموز'!$L$2:$L$500,0),0),0))</f>
        <v>53</v>
      </c>
      <c r="W57" t="str">
        <f t="shared" si="11"/>
        <v/>
      </c>
      <c r="X57" s="38">
        <f>IF(L57="","",IF(V57&gt;0,INDEX('07-تموز'!$P$2:$P$500,V57),IF($AO$1=1,0,"")))</f>
        <v>0</v>
      </c>
      <c r="Y57" s="38">
        <f t="shared" si="12"/>
        <v>0</v>
      </c>
      <c r="Z57" s="39">
        <f>IF(L57="","",IF(V57&gt;0,INDEX('07-تموز'!$Q$2:$Q$500,V57),IF($AO$1=1,0,"")))</f>
        <v>0</v>
      </c>
      <c r="AA57" s="39">
        <f t="shared" si="13"/>
        <v>0</v>
      </c>
      <c r="AB57" s="40">
        <f>IF(OR(L57="",V57=0),"",IF(AND(N(I57)&gt;0,N(INDEX('07-تموز'!$I$2:$I$500,V57))&gt;0,INDEX('07-تموز'!$F$2:$F$500,V57)=F57),N(I57)/N(INDEX('07-تموز'!$I$2:$I$500,V57))-1,""))</f>
        <v>0</v>
      </c>
      <c r="AC57" t="str">
        <f>IF(L57="","",IF(AND($AO$2=1,ISNA(MATCH(L57,'09-أيلول'!$L$2:$L$500,0))),"محذوف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422</v>
      </c>
      <c r="B58">
        <v>0</v>
      </c>
      <c r="C58">
        <v>0</v>
      </c>
      <c r="D58">
        <v>0</v>
      </c>
      <c r="E58">
        <v>0</v>
      </c>
      <c r="F58" t="s">
        <v>389</v>
      </c>
      <c r="G58" t="s">
        <v>178</v>
      </c>
      <c r="H58" t="s">
        <v>12</v>
      </c>
      <c r="I58">
        <v>0</v>
      </c>
      <c r="K58" t="str">
        <f t="shared" si="0"/>
        <v/>
      </c>
      <c r="L58" t="str">
        <f t="shared" si="1"/>
        <v>لاصق</v>
      </c>
      <c r="M58" s="36">
        <f t="shared" si="2"/>
        <v>7.5757575757575758E-5</v>
      </c>
      <c r="N58" s="37">
        <f t="shared" si="3"/>
        <v>0</v>
      </c>
      <c r="O58" s="37">
        <f t="shared" si="4"/>
        <v>0</v>
      </c>
      <c r="P58" s="38">
        <f t="shared" si="5"/>
        <v>0</v>
      </c>
      <c r="Q58" s="39">
        <f t="shared" si="6"/>
        <v>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IF(L58="","",IF($AO$1=1,IFERROR(MATCH(L58,'07-تموز'!$L$2:$L$500,0),0),0))</f>
        <v>54</v>
      </c>
      <c r="W58" t="str">
        <f t="shared" si="11"/>
        <v/>
      </c>
      <c r="X58" s="38">
        <f>IF(L58="","",IF(V58&gt;0,INDEX('07-تموز'!$P$2:$P$500,V58),IF($AO$1=1,0,"")))</f>
        <v>0</v>
      </c>
      <c r="Y58" s="38">
        <f t="shared" si="12"/>
        <v>0</v>
      </c>
      <c r="Z58" s="39">
        <f>IF(L58="","",IF(V58&gt;0,INDEX('07-تموز'!$Q$2:$Q$500,V58),IF($AO$1=1,0,"")))</f>
        <v>0</v>
      </c>
      <c r="AA58" s="39">
        <f t="shared" si="13"/>
        <v>0</v>
      </c>
      <c r="AB58" s="40" t="str">
        <f>IF(OR(L58="",V58=0),"",IF(AND(N(I58)&gt;0,N(INDEX('07-تموز'!$I$2:$I$500,V58))&gt;0,INDEX('07-تموز'!$F$2:$F$500,V58)=F58),N(I58)/N(INDEX('07-تموز'!$I$2:$I$500,V58))-1,""))</f>
        <v/>
      </c>
      <c r="AC58" t="str">
        <f>IF(L58="","",IF(AND($AO$2=1,ISNA(MATCH(L58,'09-أيلول'!$L$2:$L$500,0))),"محذوف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5.8000000000000003E-8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5.8000000000000003E-8</v>
      </c>
      <c r="AL58">
        <f t="shared" si="19"/>
        <v>5.8000000000000003E-8</v>
      </c>
    </row>
    <row r="59" spans="1:38" ht="15">
      <c r="A59" t="s">
        <v>423</v>
      </c>
      <c r="B59">
        <v>2</v>
      </c>
      <c r="C59">
        <v>30000</v>
      </c>
      <c r="D59">
        <v>30000</v>
      </c>
      <c r="E59">
        <v>30000</v>
      </c>
      <c r="F59" t="s">
        <v>389</v>
      </c>
      <c r="G59" t="s">
        <v>178</v>
      </c>
      <c r="H59" t="s">
        <v>12</v>
      </c>
      <c r="I59">
        <v>20000</v>
      </c>
      <c r="K59" t="str">
        <f t="shared" si="0"/>
        <v/>
      </c>
      <c r="L59" t="str">
        <f t="shared" si="1"/>
        <v>كياس نايلون</v>
      </c>
      <c r="M59" s="36">
        <f t="shared" si="2"/>
        <v>7.5757575757575758E-5</v>
      </c>
      <c r="N59" s="37">
        <f t="shared" si="3"/>
        <v>1.5151515151515151</v>
      </c>
      <c r="O59" s="37">
        <f t="shared" si="4"/>
        <v>2.2727272727272729</v>
      </c>
      <c r="P59" s="38">
        <f t="shared" si="5"/>
        <v>2</v>
      </c>
      <c r="Q59" s="39">
        <f t="shared" si="6"/>
        <v>3.0303030303030303</v>
      </c>
      <c r="R59" s="39">
        <f t="shared" si="7"/>
        <v>4.5454545454545459</v>
      </c>
      <c r="S59">
        <f t="shared" si="8"/>
        <v>1</v>
      </c>
      <c r="T59" s="39">
        <f t="shared" si="9"/>
        <v>1.5151515151515156</v>
      </c>
      <c r="U59" t="str">
        <f t="shared" si="10"/>
        <v/>
      </c>
      <c r="V59">
        <f>IF(L59="","",IF($AO$1=1,IFERROR(MATCH(L59,'07-تموز'!$L$2:$L$500,0),0),0))</f>
        <v>55</v>
      </c>
      <c r="W59" t="str">
        <f t="shared" si="11"/>
        <v/>
      </c>
      <c r="X59" s="38">
        <f>IF(L59="","",IF(V59&gt;0,INDEX('07-تموز'!$P$2:$P$500,V59),IF($AO$1=1,0,"")))</f>
        <v>2</v>
      </c>
      <c r="Y59" s="38">
        <f t="shared" si="12"/>
        <v>0</v>
      </c>
      <c r="Z59" s="39">
        <f>IF(L59="","",IF(V59&gt;0,INDEX('07-تموز'!$Q$2:$Q$500,V59),IF($AO$1=1,0,"")))</f>
        <v>3.007518796992481</v>
      </c>
      <c r="AA59" s="39">
        <f t="shared" si="13"/>
        <v>2.278423331054924E-2</v>
      </c>
      <c r="AB59" s="40">
        <f>IF(OR(L59="",V59=0),"",IF(AND(N(I59)&gt;0,N(INDEX('07-تموز'!$I$2:$I$500,V59))&gt;0,INDEX('07-تموز'!$F$2:$F$500,V59)=F59),N(I59)/N(INDEX('07-تموز'!$I$2:$I$500,V59))-1,""))</f>
        <v>0</v>
      </c>
      <c r="AC59" t="str">
        <f>IF(L59="","",IF(AND($AO$2=1,ISNA(MATCH(L59,'09-أيلول'!$L$2:$L$500,0))),"محذوف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2.278429231054924E-2</v>
      </c>
      <c r="AH59" s="39">
        <f t="shared" si="15"/>
        <v>1.5151515151515156</v>
      </c>
      <c r="AI59" s="39">
        <f t="shared" si="16"/>
        <v>1.5151515151515156</v>
      </c>
      <c r="AJ59" s="39">
        <f t="shared" si="17"/>
        <v>1.5151515151515156</v>
      </c>
      <c r="AK59">
        <f t="shared" si="18"/>
        <v>3.0303030893030303</v>
      </c>
      <c r="AL59">
        <f t="shared" si="19"/>
        <v>1.5151515741515156</v>
      </c>
    </row>
    <row r="60" spans="1:38" ht="15">
      <c r="A60" t="s">
        <v>424</v>
      </c>
      <c r="B60">
        <v>0</v>
      </c>
      <c r="C60">
        <v>0</v>
      </c>
      <c r="D60">
        <v>0</v>
      </c>
      <c r="E60">
        <v>0</v>
      </c>
      <c r="F60" t="s">
        <v>389</v>
      </c>
      <c r="G60" t="s">
        <v>178</v>
      </c>
      <c r="H60" t="s">
        <v>12</v>
      </c>
      <c r="I60">
        <v>22500</v>
      </c>
      <c r="K60" t="str">
        <f t="shared" si="0"/>
        <v/>
      </c>
      <c r="L60" t="str">
        <f t="shared" si="1"/>
        <v>كياس قمامة</v>
      </c>
      <c r="M60" s="36">
        <f t="shared" si="2"/>
        <v>7.5757575757575758E-5</v>
      </c>
      <c r="N60" s="37">
        <f t="shared" si="3"/>
        <v>1.7045454545454546</v>
      </c>
      <c r="O60" s="37">
        <f t="shared" si="4"/>
        <v>0</v>
      </c>
      <c r="P60" s="38">
        <f t="shared" si="5"/>
        <v>0</v>
      </c>
      <c r="Q60" s="39">
        <f t="shared" si="6"/>
        <v>0</v>
      </c>
      <c r="R60" s="39">
        <f t="shared" si="7"/>
        <v>0</v>
      </c>
      <c r="S60">
        <f t="shared" si="8"/>
        <v>0</v>
      </c>
      <c r="T60" s="39">
        <f t="shared" si="9"/>
        <v>0</v>
      </c>
      <c r="U60" t="str">
        <f t="shared" si="10"/>
        <v/>
      </c>
      <c r="V60">
        <f>IF(L60="","",IF($AO$1=1,IFERROR(MATCH(L60,'07-تموز'!$L$2:$L$500,0),0),0))</f>
        <v>56</v>
      </c>
      <c r="W60" t="str">
        <f t="shared" si="11"/>
        <v/>
      </c>
      <c r="X60" s="38">
        <f>IF(L60="","",IF(V60&gt;0,INDEX('07-تموز'!$P$2:$P$500,V60),IF($AO$1=1,0,"")))</f>
        <v>0</v>
      </c>
      <c r="Y60" s="38">
        <f t="shared" si="12"/>
        <v>0</v>
      </c>
      <c r="Z60" s="39">
        <f>IF(L60="","",IF(V60&gt;0,INDEX('07-تموز'!$Q$2:$Q$500,V60),IF($AO$1=1,0,"")))</f>
        <v>0</v>
      </c>
      <c r="AA60" s="39">
        <f t="shared" si="13"/>
        <v>0</v>
      </c>
      <c r="AB60" s="40">
        <f>IF(OR(L60="",V60=0),"",IF(AND(N(I60)&gt;0,N(INDEX('07-تموز'!$I$2:$I$500,V60))&gt;0,INDEX('07-تموز'!$F$2:$F$500,V60)=F60),N(I60)/N(INDEX('07-تموز'!$I$2:$I$500,V60))-1,""))</f>
        <v>0</v>
      </c>
      <c r="AC60" t="str">
        <f>IF(L60="","",IF(AND($AO$2=1,ISNA(MATCH(L60,'09-أيلول'!$L$2:$L$500,0))),"محذوف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5.9999999999999995E-8</v>
      </c>
      <c r="AH60" s="39">
        <f t="shared" si="15"/>
        <v>0</v>
      </c>
      <c r="AI60" s="39">
        <f t="shared" si="16"/>
        <v>0</v>
      </c>
      <c r="AJ60" s="39">
        <f t="shared" si="17"/>
        <v>0</v>
      </c>
      <c r="AK60">
        <f t="shared" si="18"/>
        <v>5.9999999999999995E-8</v>
      </c>
      <c r="AL60">
        <f t="shared" si="19"/>
        <v>5.9999999999999995E-8</v>
      </c>
    </row>
    <row r="61" spans="1:38" ht="15">
      <c r="A61" t="s">
        <v>288</v>
      </c>
      <c r="B61">
        <v>13.6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18.75</v>
      </c>
      <c r="K61" t="str">
        <f t="shared" si="0"/>
        <v/>
      </c>
      <c r="L61" t="str">
        <f t="shared" si="1"/>
        <v>كوستيك-قطرونة</v>
      </c>
      <c r="M61" s="36">
        <f t="shared" si="2"/>
        <v>1</v>
      </c>
      <c r="N61" s="37">
        <f t="shared" si="3"/>
        <v>18.75</v>
      </c>
      <c r="O61" s="37">
        <f t="shared" si="4"/>
        <v>0</v>
      </c>
      <c r="P61" s="38">
        <f t="shared" si="5"/>
        <v>13.6</v>
      </c>
      <c r="Q61" s="39">
        <f t="shared" si="6"/>
        <v>255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IF(L61="","",IF($AO$1=1,IFERROR(MATCH(L61,'07-تموز'!$L$2:$L$500,0),0),0))</f>
        <v>57</v>
      </c>
      <c r="W61" t="str">
        <f t="shared" si="11"/>
        <v/>
      </c>
      <c r="X61" s="38">
        <f>IF(L61="","",IF(V61&gt;0,INDEX('07-تموز'!$P$2:$P$500,V61),IF($AO$1=1,0,"")))</f>
        <v>26.76</v>
      </c>
      <c r="Y61" s="38">
        <f t="shared" si="12"/>
        <v>-13.160000000000002</v>
      </c>
      <c r="Z61" s="39">
        <f>IF(L61="","",IF(V61&gt;0,INDEX('07-تموز'!$Q$2:$Q$500,V61),IF($AO$1=1,0,"")))</f>
        <v>501.75000000000006</v>
      </c>
      <c r="AA61" s="39">
        <f t="shared" si="13"/>
        <v>-246.75000000000006</v>
      </c>
      <c r="AB61" s="40">
        <f>IF(OR(L61="",V61=0),"",IF(AND(N(I61)&gt;0,N(INDEX('07-تموز'!$I$2:$I$500,V61))&gt;0,INDEX('07-تموز'!$F$2:$F$500,V61)=F61),N(I61)/N(INDEX('07-تموز'!$I$2:$I$500,V61))-1,""))</f>
        <v>0</v>
      </c>
      <c r="AC61" t="str">
        <f>IF(L61="","",IF(AND($AO$2=1,ISNA(MATCH(L61,'09-أيلول'!$L$2:$L$500,0))),"محذوف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246.75000006100007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255.00000006100001</v>
      </c>
      <c r="AL61">
        <f t="shared" si="19"/>
        <v>6.1000000000000004E-8</v>
      </c>
    </row>
    <row r="62" spans="1:38" ht="15">
      <c r="A62" t="s">
        <v>289</v>
      </c>
      <c r="B62">
        <v>49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2.25</v>
      </c>
      <c r="K62" t="str">
        <f t="shared" si="0"/>
        <v/>
      </c>
      <c r="L62" t="str">
        <f t="shared" si="1"/>
        <v>كمبرلان</v>
      </c>
      <c r="M62" s="36">
        <f t="shared" si="2"/>
        <v>1</v>
      </c>
      <c r="N62" s="37">
        <f t="shared" si="3"/>
        <v>2.25</v>
      </c>
      <c r="O62" s="37">
        <f t="shared" si="4"/>
        <v>0</v>
      </c>
      <c r="P62" s="38">
        <f t="shared" si="5"/>
        <v>49</v>
      </c>
      <c r="Q62" s="39">
        <f t="shared" si="6"/>
        <v>110.25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IF(L62="","",IF($AO$1=1,IFERROR(MATCH(L62,'07-تموز'!$L$2:$L$500,0),0),0))</f>
        <v>58</v>
      </c>
      <c r="W62" t="str">
        <f t="shared" si="11"/>
        <v/>
      </c>
      <c r="X62" s="38">
        <f>IF(L62="","",IF(V62&gt;0,INDEX('07-تموز'!$P$2:$P$500,V62),IF($AO$1=1,0,"")))</f>
        <v>0</v>
      </c>
      <c r="Y62" s="38">
        <f t="shared" si="12"/>
        <v>49</v>
      </c>
      <c r="Z62" s="39">
        <f>IF(L62="","",IF(V62&gt;0,INDEX('07-تموز'!$Q$2:$Q$500,V62),IF($AO$1=1,0,"")))</f>
        <v>0</v>
      </c>
      <c r="AA62" s="39">
        <f t="shared" si="13"/>
        <v>110.25</v>
      </c>
      <c r="AB62" s="40">
        <f>IF(OR(L62="",V62=0),"",IF(AND(N(I62)&gt;0,N(INDEX('07-تموز'!$I$2:$I$500,V62))&gt;0,INDEX('07-تموز'!$F$2:$F$500,V62)=F62),N(I62)/N(INDEX('07-تموز'!$I$2:$I$500,V62))-1,""))</f>
        <v>0</v>
      </c>
      <c r="AC62" t="str">
        <f>IF(L62="","",IF(AND($AO$2=1,ISNA(MATCH(L62,'09-أيلول'!$L$2:$L$500,0))),"محذوف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110.250000062</v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110.250000062</v>
      </c>
      <c r="AL62">
        <f t="shared" si="19"/>
        <v>6.1999999999999999E-8</v>
      </c>
    </row>
    <row r="63" spans="1:38" ht="15">
      <c r="A63" t="s">
        <v>425</v>
      </c>
      <c r="B63">
        <v>40</v>
      </c>
      <c r="C63">
        <v>13000</v>
      </c>
      <c r="D63">
        <v>13000</v>
      </c>
      <c r="E63">
        <v>13000</v>
      </c>
      <c r="F63" t="s">
        <v>389</v>
      </c>
      <c r="G63" t="s">
        <v>178</v>
      </c>
      <c r="H63" t="s">
        <v>12</v>
      </c>
      <c r="I63">
        <v>11000</v>
      </c>
      <c r="K63" t="str">
        <f t="shared" si="0"/>
        <v/>
      </c>
      <c r="L63" t="str">
        <f t="shared" si="1"/>
        <v>كمامات</v>
      </c>
      <c r="M63" s="36">
        <f t="shared" si="2"/>
        <v>7.5757575757575758E-5</v>
      </c>
      <c r="N63" s="37">
        <f t="shared" si="3"/>
        <v>0.83333333333333337</v>
      </c>
      <c r="O63" s="37">
        <f t="shared" si="4"/>
        <v>0.98484848484848486</v>
      </c>
      <c r="P63" s="38">
        <f t="shared" si="5"/>
        <v>40</v>
      </c>
      <c r="Q63" s="39">
        <f t="shared" si="6"/>
        <v>33.333333333333336</v>
      </c>
      <c r="R63" s="39">
        <f t="shared" si="7"/>
        <v>39.393939393939391</v>
      </c>
      <c r="S63">
        <f t="shared" si="8"/>
        <v>1</v>
      </c>
      <c r="T63" s="39">
        <f t="shared" si="9"/>
        <v>6.0606060606060552</v>
      </c>
      <c r="U63" t="str">
        <f t="shared" si="10"/>
        <v/>
      </c>
      <c r="V63">
        <f>IF(L63="","",IF($AO$1=1,IFERROR(MATCH(L63,'07-تموز'!$L$2:$L$500,0),0),0))</f>
        <v>59</v>
      </c>
      <c r="W63" t="str">
        <f t="shared" si="11"/>
        <v/>
      </c>
      <c r="X63" s="38">
        <f>IF(L63="","",IF(V63&gt;0,INDEX('07-تموز'!$P$2:$P$500,V63),IF($AO$1=1,0,"")))</f>
        <v>138</v>
      </c>
      <c r="Y63" s="38">
        <f t="shared" si="12"/>
        <v>-98</v>
      </c>
      <c r="Z63" s="39">
        <f>IF(L63="","",IF(V63&gt;0,INDEX('07-تموز'!$Q$2:$Q$500,V63),IF($AO$1=1,0,"")))</f>
        <v>114.13533834586465</v>
      </c>
      <c r="AA63" s="39">
        <f t="shared" si="13"/>
        <v>-80.802005012531311</v>
      </c>
      <c r="AB63" s="40">
        <f>IF(OR(L63="",V63=0),"",IF(AND(N(I63)&gt;0,N(INDEX('07-تموز'!$I$2:$I$500,V63))&gt;0,INDEX('07-تموز'!$F$2:$F$500,V63)=F63),N(I63)/N(INDEX('07-تموز'!$I$2:$I$500,V63))-1,""))</f>
        <v>0</v>
      </c>
      <c r="AC63" t="str">
        <f>IF(L63="","",IF(AND($AO$2=1,ISNA(MATCH(L63,'09-أيلول'!$L$2:$L$500,0))),"محذوف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80.802005075531312</v>
      </c>
      <c r="AH63" s="39">
        <f t="shared" si="15"/>
        <v>6.0606060606060597</v>
      </c>
      <c r="AI63" s="39">
        <f t="shared" si="16"/>
        <v>6.0606060606060597</v>
      </c>
      <c r="AJ63" s="39">
        <f t="shared" si="17"/>
        <v>6.0606060606060597</v>
      </c>
      <c r="AK63">
        <f t="shared" si="18"/>
        <v>33.333333396333337</v>
      </c>
      <c r="AL63">
        <f t="shared" si="19"/>
        <v>6.0606061236060551</v>
      </c>
    </row>
    <row r="64" spans="1:38" ht="15">
      <c r="A64" t="s">
        <v>290</v>
      </c>
      <c r="B64">
        <v>0</v>
      </c>
      <c r="C64">
        <v>0</v>
      </c>
      <c r="D64">
        <v>0</v>
      </c>
      <c r="E64">
        <v>0</v>
      </c>
      <c r="F64" t="s">
        <v>268</v>
      </c>
      <c r="G64" t="s">
        <v>178</v>
      </c>
      <c r="H64" t="s">
        <v>176</v>
      </c>
      <c r="I64">
        <v>17.8</v>
      </c>
      <c r="K64" t="str">
        <f t="shared" si="0"/>
        <v/>
      </c>
      <c r="L64" t="str">
        <f t="shared" si="1"/>
        <v>كليمازول</v>
      </c>
      <c r="M64" s="36">
        <f t="shared" si="2"/>
        <v>1</v>
      </c>
      <c r="N64" s="37">
        <f t="shared" si="3"/>
        <v>17.8</v>
      </c>
      <c r="O64" s="37">
        <f t="shared" si="4"/>
        <v>0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IF(L64="","",IF($AO$1=1,IFERROR(MATCH(L64,'07-تموز'!$L$2:$L$500,0),0),0))</f>
        <v>60</v>
      </c>
      <c r="W64" t="str">
        <f t="shared" si="11"/>
        <v/>
      </c>
      <c r="X64" s="38">
        <f>IF(L64="","",IF(V64&gt;0,INDEX('07-تموز'!$P$2:$P$500,V64),IF($AO$1=1,0,"")))</f>
        <v>0</v>
      </c>
      <c r="Y64" s="38">
        <f t="shared" si="12"/>
        <v>0</v>
      </c>
      <c r="Z64" s="39">
        <f>IF(L64="","",IF(V64&gt;0,INDEX('07-تموز'!$Q$2:$Q$500,V64),IF($AO$1=1,0,"")))</f>
        <v>0</v>
      </c>
      <c r="AA64" s="39">
        <f t="shared" si="13"/>
        <v>0</v>
      </c>
      <c r="AB64" s="40">
        <f>IF(OR(L64="",V64=0),"",IF(AND(N(I64)&gt;0,N(INDEX('07-تموز'!$I$2:$I$500,V64))&gt;0,INDEX('07-تموز'!$F$2:$F$500,V64)=F64),N(I64)/N(INDEX('07-تموز'!$I$2:$I$500,V64))-1,""))</f>
        <v>0</v>
      </c>
      <c r="AC64" t="str">
        <f>IF(L64="","",IF(AND($AO$2=1,ISNA(MATCH(L64,'09-أيلول'!$L$2:$L$500,0))),"محذوف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6.4000000000000004E-8</v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511</v>
      </c>
      <c r="B65">
        <v>6050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176</v>
      </c>
      <c r="I65">
        <v>0.13500000000000001</v>
      </c>
      <c r="K65" t="str">
        <f t="shared" si="0"/>
        <v/>
      </c>
      <c r="L65" t="str">
        <f t="shared" si="1"/>
        <v>كلور عبوة 1 لتر</v>
      </c>
      <c r="M65" s="36">
        <f t="shared" si="2"/>
        <v>1</v>
      </c>
      <c r="N65" s="37">
        <f t="shared" si="3"/>
        <v>0.13500000000000001</v>
      </c>
      <c r="O65" s="37">
        <f t="shared" si="4"/>
        <v>0</v>
      </c>
      <c r="P65" s="38">
        <f t="shared" si="5"/>
        <v>6050</v>
      </c>
      <c r="Q65" s="39">
        <f t="shared" si="6"/>
        <v>816.75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IF(L65="","",IF($AO$1=1,IFERROR(MATCH(L65,'07-تموز'!$L$2:$L$500,0),0),0))</f>
        <v>0</v>
      </c>
      <c r="W65" t="str">
        <f t="shared" si="11"/>
        <v>جديد</v>
      </c>
      <c r="X65" s="38">
        <f>IF(L65="","",IF(V65&gt;0,INDEX('07-تموز'!$P$2:$P$500,V65),IF($AO$1=1,0,"")))</f>
        <v>0</v>
      </c>
      <c r="Y65" s="38">
        <f t="shared" si="12"/>
        <v>6050</v>
      </c>
      <c r="Z65" s="39">
        <f>IF(L65="","",IF(V65&gt;0,INDEX('07-تموز'!$Q$2:$Q$500,V65),IF($AO$1=1,0,"")))</f>
        <v>0</v>
      </c>
      <c r="AA65" s="39">
        <f t="shared" si="13"/>
        <v>816.75</v>
      </c>
      <c r="AB65" s="40" t="str">
        <f>IF(OR(L65="",V65=0),"",IF(AND(N(I65)&gt;0,N(INDEX('07-تموز'!$I$2:$I$500,V65))&gt;0,INDEX('07-تموز'!$F$2:$F$500,V65)=F65),N(I65)/N(INDEX('07-تموز'!$I$2:$I$500,V65))-1,""))</f>
        <v/>
      </c>
      <c r="AC65" t="str">
        <f>IF(L65="","",IF(AND($AO$2=1,ISNA(MATCH(L65,'09-أيلول'!$L$2:$L$500,0))),"محذوف لاحقاً",""))</f>
        <v>محذوف لاحقاً</v>
      </c>
      <c r="AD65">
        <f>IF(W65="جديد",COUNTIF(W$2:W65,"جديد"),"")</f>
        <v>4</v>
      </c>
      <c r="AE65">
        <f>IF(AC65="محذوف لاحقاً",COUNTIF(AC$2:AC65,"محذوف لاحقاً"),"")</f>
        <v>1</v>
      </c>
      <c r="AF65" t="str">
        <f>IF(U65&lt;&gt;"",COUNTIF(U$2:U65,"?*"),"")</f>
        <v/>
      </c>
      <c r="AG65">
        <f t="shared" si="14"/>
        <v>816.75000006499999</v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816.75000006499999</v>
      </c>
      <c r="AL65">
        <f t="shared" si="19"/>
        <v>6.5E-8</v>
      </c>
    </row>
    <row r="66" spans="1:38" ht="15">
      <c r="A66" t="s">
        <v>291</v>
      </c>
      <c r="B66">
        <v>1089</v>
      </c>
      <c r="C66">
        <v>0.35</v>
      </c>
      <c r="D66">
        <v>0.35</v>
      </c>
      <c r="E66">
        <v>0.35</v>
      </c>
      <c r="F66" t="s">
        <v>268</v>
      </c>
      <c r="G66" t="s">
        <v>178</v>
      </c>
      <c r="H66" t="s">
        <v>176</v>
      </c>
      <c r="I66">
        <v>0.21</v>
      </c>
      <c r="K66" t="str">
        <f t="shared" ref="K66:K129" si="20">IF(L66="","",IF(U66&lt;&gt;"","⚠",""))</f>
        <v/>
      </c>
      <c r="L66" t="str">
        <f t="shared" ref="L66:L129" si="21">IF(A66="","",TRIM(A66))</f>
        <v>كلور خام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0.21</v>
      </c>
      <c r="O66" s="37">
        <f t="shared" ref="O66:O129" si="24">IF(L66="","",M66*CHOOSE($AO$4,N(C66),N(D66),N(E66)))</f>
        <v>0.35</v>
      </c>
      <c r="P66" s="38">
        <f t="shared" ref="P66:P129" si="25">IF(L66="","",MAX(N(B66),0))</f>
        <v>1089</v>
      </c>
      <c r="Q66" s="39">
        <f t="shared" ref="Q66:Q129" si="26">IF(L66="","",P66*N66)</f>
        <v>228.69</v>
      </c>
      <c r="R66" s="39">
        <f t="shared" ref="R66:R129" si="27">IF(L66="","",P66*O66)</f>
        <v>381.15</v>
      </c>
      <c r="S66">
        <f t="shared" ref="S66:S129" si="28">IF(L66="","",IF(AND(P66&gt;0,N66&gt;0,O66&gt;0),1,0))</f>
        <v>1</v>
      </c>
      <c r="T66" s="39">
        <f t="shared" ref="T66:T129" si="29">IF(L66="","",S66*(R66-Q66))</f>
        <v>152.45999999999998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IF(L66="","",IF($AO$1=1,IFERROR(MATCH(L66,'07-تموز'!$L$2:$L$500,0),0),0))</f>
        <v>61</v>
      </c>
      <c r="W66" t="str">
        <f t="shared" ref="W66:W129" si="31">IF(L66="","",IF(AND($AO$1=1,V66=0),"جديد",""))</f>
        <v/>
      </c>
      <c r="X66" s="38">
        <f>IF(L66="","",IF(V66&gt;0,INDEX('07-تموز'!$P$2:$P$500,V66),IF($AO$1=1,0,"")))</f>
        <v>1807</v>
      </c>
      <c r="Y66" s="38">
        <f t="shared" ref="Y66:Y129" si="32">IF(OR(L66="",X66=""),"",P66-X66)</f>
        <v>-718</v>
      </c>
      <c r="Z66" s="39">
        <f>IF(L66="","",IF(V66&gt;0,INDEX('07-تموز'!$Q$2:$Q$500,V66),IF($AO$1=1,0,"")))</f>
        <v>379.46999999999997</v>
      </c>
      <c r="AA66" s="39">
        <f t="shared" ref="AA66:AA129" si="33">IF(OR(L66="",Z66=""),"",Q66-Z66)</f>
        <v>-150.77999999999997</v>
      </c>
      <c r="AB66" s="40">
        <f>IF(OR(L66="",V66=0),"",IF(AND(N(I66)&gt;0,N(INDEX('07-تموز'!$I$2:$I$500,V66))&gt;0,INDEX('07-تموز'!$F$2:$F$500,V66)=F66),N(I66)/N(INDEX('07-تموز'!$I$2:$I$500,V66))-1,""))</f>
        <v>0</v>
      </c>
      <c r="AC66" t="str">
        <f>IF(L66="","",IF(AND($AO$2=1,ISNA(MATCH(L66,'09-أيلول'!$L$2:$L$500,0))),"محذوف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ref="AG66:AG129" si="34">IF(AA66="","",ABS(AA66)+ROW()/1000000000)</f>
        <v>150.78000006599999</v>
      </c>
      <c r="AH66" s="39">
        <f t="shared" ref="AH66:AH129" si="35">IF(L66="","",IF(AND(P66&gt;0,N66&gt;0,N(C66)&gt;0),P66*(M66*N(C66)-N66),0))</f>
        <v>152.45999999999998</v>
      </c>
      <c r="AI66" s="39">
        <f t="shared" ref="AI66:AI129" si="36">IF(L66="","",IF(AND(P66&gt;0,N66&gt;0,N(D66)&gt;0),P66*(M66*N(D66)-N66),0))</f>
        <v>152.45999999999998</v>
      </c>
      <c r="AJ66" s="39">
        <f t="shared" ref="AJ66:AJ129" si="37">IF(L66="","",IF(AND(P66&gt;0,N66&gt;0,N(E66)&gt;0),P66*(M66*N(E66)-N66),0))</f>
        <v>152.45999999999998</v>
      </c>
      <c r="AK66">
        <f t="shared" ref="AK66:AK129" si="38">IF(L66="","",Q66+ROW()/1000000000)</f>
        <v>228.69000006600001</v>
      </c>
      <c r="AL66">
        <f t="shared" ref="AL66:AL129" si="39">IF(L66="","",T66+ROW()/1000000000)</f>
        <v>152.46000006599999</v>
      </c>
    </row>
    <row r="67" spans="1:38" ht="15">
      <c r="A67" t="s">
        <v>426</v>
      </c>
      <c r="B67">
        <v>22</v>
      </c>
      <c r="C67">
        <v>16000</v>
      </c>
      <c r="D67">
        <v>16000</v>
      </c>
      <c r="E67">
        <v>16000</v>
      </c>
      <c r="F67" t="s">
        <v>389</v>
      </c>
      <c r="G67" t="s">
        <v>178</v>
      </c>
      <c r="H67" t="s">
        <v>12</v>
      </c>
      <c r="I67">
        <v>5700</v>
      </c>
      <c r="K67" t="str">
        <f t="shared" si="20"/>
        <v/>
      </c>
      <c r="L67" t="str">
        <f t="shared" si="21"/>
        <v>كلور 4 لتر</v>
      </c>
      <c r="M67" s="36">
        <f t="shared" si="22"/>
        <v>7.5757575757575758E-5</v>
      </c>
      <c r="N67" s="37">
        <f t="shared" si="23"/>
        <v>0.43181818181818182</v>
      </c>
      <c r="O67" s="37">
        <f t="shared" si="24"/>
        <v>1.2121212121212122</v>
      </c>
      <c r="P67" s="38">
        <f t="shared" si="25"/>
        <v>22</v>
      </c>
      <c r="Q67" s="39">
        <f t="shared" si="26"/>
        <v>9.5</v>
      </c>
      <c r="R67" s="39">
        <f t="shared" si="27"/>
        <v>26.666666666666668</v>
      </c>
      <c r="S67">
        <f t="shared" si="28"/>
        <v>1</v>
      </c>
      <c r="T67" s="39">
        <f t="shared" si="29"/>
        <v>17.166666666666668</v>
      </c>
      <c r="U67" t="str">
        <f t="shared" si="30"/>
        <v/>
      </c>
      <c r="V67">
        <f>IF(L67="","",IF($AO$1=1,IFERROR(MATCH(L67,'07-تموز'!$L$2:$L$500,0),0),0))</f>
        <v>62</v>
      </c>
      <c r="W67" t="str">
        <f t="shared" si="31"/>
        <v/>
      </c>
      <c r="X67" s="38">
        <f>IF(L67="","",IF(V67&gt;0,INDEX('07-تموز'!$P$2:$P$500,V67),IF($AO$1=1,0,"")))</f>
        <v>31</v>
      </c>
      <c r="Y67" s="38">
        <f t="shared" si="32"/>
        <v>-9</v>
      </c>
      <c r="Z67" s="39">
        <f>IF(L67="","",IF(V67&gt;0,INDEX('07-تموز'!$Q$2:$Q$500,V67),IF($AO$1=1,0,"")))</f>
        <v>13.285714285714285</v>
      </c>
      <c r="AA67" s="39">
        <f t="shared" si="33"/>
        <v>-3.7857142857142847</v>
      </c>
      <c r="AB67" s="40">
        <f>IF(OR(L67="",V67=0),"",IF(AND(N(I67)&gt;0,N(INDEX('07-تموز'!$I$2:$I$500,V67))&gt;0,INDEX('07-تموز'!$F$2:$F$500,V67)=F67),N(I67)/N(INDEX('07-تموز'!$I$2:$I$500,V67))-1,""))</f>
        <v>0</v>
      </c>
      <c r="AC67" t="str">
        <f>IF(L67="","",IF(AND($AO$2=1,ISNA(MATCH(L67,'09-أيلول'!$L$2:$L$500,0))),"محذوف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3.7857143527142849</v>
      </c>
      <c r="AH67" s="39">
        <f t="shared" si="35"/>
        <v>17.166666666666664</v>
      </c>
      <c r="AI67" s="39">
        <f t="shared" si="36"/>
        <v>17.166666666666664</v>
      </c>
      <c r="AJ67" s="39">
        <f t="shared" si="37"/>
        <v>17.166666666666664</v>
      </c>
      <c r="AK67">
        <f t="shared" si="38"/>
        <v>9.5000000670000002</v>
      </c>
      <c r="AL67">
        <f t="shared" si="39"/>
        <v>17.166666733666666</v>
      </c>
    </row>
    <row r="68" spans="1:38" ht="15">
      <c r="A68" t="s">
        <v>427</v>
      </c>
      <c r="B68">
        <v>112</v>
      </c>
      <c r="C68">
        <v>50000</v>
      </c>
      <c r="D68">
        <v>50000</v>
      </c>
      <c r="E68">
        <v>50000</v>
      </c>
      <c r="F68" t="s">
        <v>389</v>
      </c>
      <c r="G68" t="s">
        <v>178</v>
      </c>
      <c r="H68" t="s">
        <v>12</v>
      </c>
      <c r="I68">
        <v>38400</v>
      </c>
      <c r="K68" t="str">
        <f t="shared" si="20"/>
        <v/>
      </c>
      <c r="L68" t="str">
        <f t="shared" si="21"/>
        <v>كلور 1 لتر</v>
      </c>
      <c r="M68" s="36">
        <f t="shared" si="22"/>
        <v>7.5757575757575758E-5</v>
      </c>
      <c r="N68" s="37">
        <f t="shared" si="23"/>
        <v>2.9090909090909092</v>
      </c>
      <c r="O68" s="37">
        <f t="shared" si="24"/>
        <v>3.7878787878787881</v>
      </c>
      <c r="P68" s="38">
        <f t="shared" si="25"/>
        <v>112</v>
      </c>
      <c r="Q68" s="39">
        <f t="shared" si="26"/>
        <v>325.81818181818181</v>
      </c>
      <c r="R68" s="39">
        <f t="shared" si="27"/>
        <v>424.24242424242425</v>
      </c>
      <c r="S68">
        <f t="shared" si="28"/>
        <v>1</v>
      </c>
      <c r="T68" s="39">
        <f t="shared" si="29"/>
        <v>98.424242424242436</v>
      </c>
      <c r="U68" t="str">
        <f t="shared" si="30"/>
        <v/>
      </c>
      <c r="V68">
        <f>IF(L68="","",IF($AO$1=1,IFERROR(MATCH(L68,'07-تموز'!$L$2:$L$500,0),0),0))</f>
        <v>63</v>
      </c>
      <c r="W68" t="str">
        <f t="shared" si="31"/>
        <v/>
      </c>
      <c r="X68" s="38">
        <f>IF(L68="","",IF(V68&gt;0,INDEX('07-تموز'!$P$2:$P$500,V68),IF($AO$1=1,0,"")))</f>
        <v>113</v>
      </c>
      <c r="Y68" s="38">
        <f t="shared" si="32"/>
        <v>-1</v>
      </c>
      <c r="Z68" s="39">
        <f>IF(L68="","",IF(V68&gt;0,INDEX('07-تموز'!$Q$2:$Q$500,V68),IF($AO$1=1,0,"")))</f>
        <v>326.25563909774434</v>
      </c>
      <c r="AA68" s="39">
        <f t="shared" si="33"/>
        <v>-0.43745727956252267</v>
      </c>
      <c r="AB68" s="40">
        <f>IF(OR(L68="",V68=0),"",IF(AND(N(I68)&gt;0,N(INDEX('07-تموز'!$I$2:$I$500,V68))&gt;0,INDEX('07-تموز'!$F$2:$F$500,V68)=F68),N(I68)/N(INDEX('07-تموز'!$I$2:$I$500,V68))-1,""))</f>
        <v>0</v>
      </c>
      <c r="AC68" t="str">
        <f>IF(L68="","",IF(AND($AO$2=1,ISNA(MATCH(L68,'09-أيلول'!$L$2:$L$500,0))),"محذوف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0.43745734756252269</v>
      </c>
      <c r="AH68" s="39">
        <f t="shared" si="35"/>
        <v>98.424242424242436</v>
      </c>
      <c r="AI68" s="39">
        <f t="shared" si="36"/>
        <v>98.424242424242436</v>
      </c>
      <c r="AJ68" s="39">
        <f t="shared" si="37"/>
        <v>98.424242424242436</v>
      </c>
      <c r="AK68">
        <f t="shared" si="38"/>
        <v>325.81818188618183</v>
      </c>
      <c r="AL68">
        <f t="shared" si="39"/>
        <v>98.424242492242442</v>
      </c>
    </row>
    <row r="69" spans="1:38" ht="15">
      <c r="A69" t="s">
        <v>428</v>
      </c>
      <c r="B69">
        <v>92.25</v>
      </c>
      <c r="C69">
        <v>4500</v>
      </c>
      <c r="D69">
        <v>4500</v>
      </c>
      <c r="E69">
        <v>4500</v>
      </c>
      <c r="F69" t="s">
        <v>389</v>
      </c>
      <c r="G69" t="s">
        <v>178</v>
      </c>
      <c r="H69" t="s">
        <v>12</v>
      </c>
      <c r="I69">
        <v>680</v>
      </c>
      <c r="K69" t="str">
        <f t="shared" si="20"/>
        <v/>
      </c>
      <c r="L69" t="str">
        <f t="shared" si="21"/>
        <v>كلور / فرط</v>
      </c>
      <c r="M69" s="36">
        <f t="shared" si="22"/>
        <v>7.5757575757575758E-5</v>
      </c>
      <c r="N69" s="37">
        <f t="shared" si="23"/>
        <v>5.1515151515151514E-2</v>
      </c>
      <c r="O69" s="37">
        <f t="shared" si="24"/>
        <v>0.34090909090909088</v>
      </c>
      <c r="P69" s="38">
        <f t="shared" si="25"/>
        <v>92.25</v>
      </c>
      <c r="Q69" s="39">
        <f t="shared" si="26"/>
        <v>4.752272727272727</v>
      </c>
      <c r="R69" s="39">
        <f t="shared" si="27"/>
        <v>31.448863636363633</v>
      </c>
      <c r="S69">
        <f t="shared" si="28"/>
        <v>1</v>
      </c>
      <c r="T69" s="39">
        <f t="shared" si="29"/>
        <v>26.696590909090908</v>
      </c>
      <c r="U69" t="str">
        <f t="shared" si="30"/>
        <v/>
      </c>
      <c r="V69">
        <f>IF(L69="","",IF($AO$1=1,IFERROR(MATCH(L69,'07-تموز'!$L$2:$L$500,0),0),0))</f>
        <v>64</v>
      </c>
      <c r="W69" t="str">
        <f t="shared" si="31"/>
        <v/>
      </c>
      <c r="X69" s="38">
        <f>IF(L69="","",IF(V69&gt;0,INDEX('07-تموز'!$P$2:$P$500,V69),IF($AO$1=1,0,"")))</f>
        <v>776</v>
      </c>
      <c r="Y69" s="38">
        <f t="shared" si="32"/>
        <v>-683.75</v>
      </c>
      <c r="Z69" s="39">
        <f>IF(L69="","",IF(V69&gt;0,INDEX('07-تموز'!$Q$2:$Q$500,V69),IF($AO$1=1,0,"")))</f>
        <v>39.675187969924806</v>
      </c>
      <c r="AA69" s="39">
        <f t="shared" si="33"/>
        <v>-34.922915242652081</v>
      </c>
      <c r="AB69" s="40">
        <f>IF(OR(L69="",V69=0),"",IF(AND(N(I69)&gt;0,N(INDEX('07-تموز'!$I$2:$I$500,V69))&gt;0,INDEX('07-تموز'!$F$2:$F$500,V69)=F69),N(I69)/N(INDEX('07-تموز'!$I$2:$I$500,V69))-1,""))</f>
        <v>0</v>
      </c>
      <c r="AC69" t="str">
        <f>IF(L69="","",IF(AND($AO$2=1,ISNA(MATCH(L69,'09-أيلول'!$L$2:$L$500,0))),"محذوف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34.922915311652083</v>
      </c>
      <c r="AH69" s="39">
        <f t="shared" si="35"/>
        <v>26.696590909090908</v>
      </c>
      <c r="AI69" s="39">
        <f t="shared" si="36"/>
        <v>26.696590909090908</v>
      </c>
      <c r="AJ69" s="39">
        <f t="shared" si="37"/>
        <v>26.696590909090908</v>
      </c>
      <c r="AK69">
        <f t="shared" si="38"/>
        <v>4.7522727962727274</v>
      </c>
      <c r="AL69">
        <f t="shared" si="39"/>
        <v>26.696590978090907</v>
      </c>
    </row>
    <row r="70" spans="1:38" ht="15">
      <c r="A70" t="s">
        <v>429</v>
      </c>
      <c r="B70">
        <v>0</v>
      </c>
      <c r="C70">
        <v>370000</v>
      </c>
      <c r="D70">
        <v>370000</v>
      </c>
      <c r="E70">
        <v>330000</v>
      </c>
      <c r="F70" t="s">
        <v>389</v>
      </c>
      <c r="G70" t="s">
        <v>178</v>
      </c>
      <c r="H70" t="s">
        <v>12</v>
      </c>
      <c r="I70">
        <v>320000</v>
      </c>
      <c r="K70" t="str">
        <f t="shared" si="20"/>
        <v/>
      </c>
      <c r="L70" t="str">
        <f t="shared" si="21"/>
        <v>كفوف نايلون</v>
      </c>
      <c r="M70" s="36">
        <f t="shared" si="22"/>
        <v>7.5757575757575758E-5</v>
      </c>
      <c r="N70" s="37">
        <f t="shared" si="23"/>
        <v>24.242424242424242</v>
      </c>
      <c r="O70" s="37">
        <f t="shared" si="24"/>
        <v>28.030303030303031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IF(L70="","",IF($AO$1=1,IFERROR(MATCH(L70,'07-تموز'!$L$2:$L$500,0),0),0))</f>
        <v>65</v>
      </c>
      <c r="W70" t="str">
        <f t="shared" si="31"/>
        <v/>
      </c>
      <c r="X70" s="38">
        <f>IF(L70="","",IF(V70&gt;0,INDEX('07-تموز'!$P$2:$P$500,V70),IF($AO$1=1,0,"")))</f>
        <v>0</v>
      </c>
      <c r="Y70" s="38">
        <f t="shared" si="32"/>
        <v>0</v>
      </c>
      <c r="Z70" s="39">
        <f>IF(L70="","",IF(V70&gt;0,INDEX('07-تموز'!$Q$2:$Q$500,V70),IF($AO$1=1,0,"")))</f>
        <v>0</v>
      </c>
      <c r="AA70" s="39">
        <f t="shared" si="33"/>
        <v>0</v>
      </c>
      <c r="AB70" s="40">
        <f>IF(OR(L70="",V70=0),"",IF(AND(N(I70)&gt;0,N(INDEX('07-تموز'!$I$2:$I$500,V70))&gt;0,INDEX('07-تموز'!$F$2:$F$500,V70)=F70),N(I70)/N(INDEX('07-تموز'!$I$2:$I$500,V70))-1,""))</f>
        <v>0</v>
      </c>
      <c r="AC70" t="str">
        <f>IF(L70="","",IF(AND($AO$2=1,ISNA(MATCH(L70,'09-أيلول'!$L$2:$L$500,0))),"محذوف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7.0000000000000005E-8</v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430</v>
      </c>
      <c r="B71">
        <v>1</v>
      </c>
      <c r="C71">
        <v>576000</v>
      </c>
      <c r="D71">
        <v>576000</v>
      </c>
      <c r="E71">
        <v>576000</v>
      </c>
      <c r="F71" t="s">
        <v>389</v>
      </c>
      <c r="G71" t="s">
        <v>178</v>
      </c>
      <c r="H71" t="s">
        <v>12</v>
      </c>
      <c r="I71">
        <v>300000</v>
      </c>
      <c r="K71" t="str">
        <f t="shared" si="20"/>
        <v/>
      </c>
      <c r="L71" t="str">
        <f t="shared" si="21"/>
        <v>كفوف طبية</v>
      </c>
      <c r="M71" s="36">
        <f t="shared" si="22"/>
        <v>7.5757575757575758E-5</v>
      </c>
      <c r="N71" s="37">
        <f t="shared" si="23"/>
        <v>22.727272727272727</v>
      </c>
      <c r="O71" s="37">
        <f t="shared" si="24"/>
        <v>43.636363636363633</v>
      </c>
      <c r="P71" s="38">
        <f t="shared" si="25"/>
        <v>1</v>
      </c>
      <c r="Q71" s="39">
        <f t="shared" si="26"/>
        <v>22.727272727272727</v>
      </c>
      <c r="R71" s="39">
        <f t="shared" si="27"/>
        <v>43.636363636363633</v>
      </c>
      <c r="S71">
        <f t="shared" si="28"/>
        <v>1</v>
      </c>
      <c r="T71" s="39">
        <f t="shared" si="29"/>
        <v>20.909090909090907</v>
      </c>
      <c r="U71" t="str">
        <f t="shared" si="30"/>
        <v/>
      </c>
      <c r="V71">
        <f>IF(L71="","",IF($AO$1=1,IFERROR(MATCH(L71,'07-تموز'!$L$2:$L$500,0),0),0))</f>
        <v>66</v>
      </c>
      <c r="W71" t="str">
        <f t="shared" si="31"/>
        <v/>
      </c>
      <c r="X71" s="38">
        <f>IF(L71="","",IF(V71&gt;0,INDEX('07-تموز'!$P$2:$P$500,V71),IF($AO$1=1,0,"")))</f>
        <v>2.42</v>
      </c>
      <c r="Y71" s="38">
        <f t="shared" si="32"/>
        <v>-1.42</v>
      </c>
      <c r="Z71" s="39">
        <f>IF(L71="","",IF(V71&gt;0,INDEX('07-تموز'!$Q$2:$Q$500,V71),IF($AO$1=1,0,"")))</f>
        <v>54.586466165413533</v>
      </c>
      <c r="AA71" s="39">
        <f t="shared" si="33"/>
        <v>-31.859193438140807</v>
      </c>
      <c r="AB71" s="40">
        <f>IF(OR(L71="",V71=0),"",IF(AND(N(I71)&gt;0,N(INDEX('07-تموز'!$I$2:$I$500,V71))&gt;0,INDEX('07-تموز'!$F$2:$F$500,V71)=F71),N(I71)/N(INDEX('07-تموز'!$I$2:$I$500,V71))-1,""))</f>
        <v>0</v>
      </c>
      <c r="AC71" t="str">
        <f>IF(L71="","",IF(AND($AO$2=1,ISNA(MATCH(L71,'09-أيلول'!$L$2:$L$500,0))),"محذوف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31.859193509140805</v>
      </c>
      <c r="AH71" s="39">
        <f t="shared" si="35"/>
        <v>20.909090909090907</v>
      </c>
      <c r="AI71" s="39">
        <f t="shared" si="36"/>
        <v>20.909090909090907</v>
      </c>
      <c r="AJ71" s="39">
        <f t="shared" si="37"/>
        <v>20.909090909090907</v>
      </c>
      <c r="AK71">
        <f t="shared" si="38"/>
        <v>22.727272798272725</v>
      </c>
      <c r="AL71">
        <f t="shared" si="39"/>
        <v>20.909090980090905</v>
      </c>
    </row>
    <row r="72" spans="1:38" ht="15">
      <c r="A72" t="s">
        <v>431</v>
      </c>
      <c r="B72">
        <v>0.17</v>
      </c>
      <c r="C72">
        <v>300000</v>
      </c>
      <c r="D72">
        <v>300000</v>
      </c>
      <c r="E72">
        <v>300000</v>
      </c>
      <c r="F72" t="s">
        <v>389</v>
      </c>
      <c r="G72" t="s">
        <v>178</v>
      </c>
      <c r="H72" t="s">
        <v>12</v>
      </c>
      <c r="I72">
        <v>152000</v>
      </c>
      <c r="K72" t="str">
        <f t="shared" si="20"/>
        <v/>
      </c>
      <c r="L72" t="str">
        <f t="shared" si="21"/>
        <v>كفوف صناعية</v>
      </c>
      <c r="M72" s="36">
        <f t="shared" si="22"/>
        <v>7.5757575757575758E-5</v>
      </c>
      <c r="N72" s="37">
        <f t="shared" si="23"/>
        <v>11.515151515151516</v>
      </c>
      <c r="O72" s="37">
        <f t="shared" si="24"/>
        <v>22.727272727272727</v>
      </c>
      <c r="P72" s="38">
        <f t="shared" si="25"/>
        <v>0.17</v>
      </c>
      <c r="Q72" s="39">
        <f t="shared" si="26"/>
        <v>1.9575757575757577</v>
      </c>
      <c r="R72" s="39">
        <f t="shared" si="27"/>
        <v>3.8636363636363638</v>
      </c>
      <c r="S72">
        <f t="shared" si="28"/>
        <v>1</v>
      </c>
      <c r="T72" s="39">
        <f t="shared" si="29"/>
        <v>1.906060606060606</v>
      </c>
      <c r="U72" t="str">
        <f t="shared" si="30"/>
        <v/>
      </c>
      <c r="V72">
        <f>IF(L72="","",IF($AO$1=1,IFERROR(MATCH(L72,'07-تموز'!$L$2:$L$500,0),0),0))</f>
        <v>67</v>
      </c>
      <c r="W72" t="str">
        <f t="shared" si="31"/>
        <v/>
      </c>
      <c r="X72" s="38">
        <f>IF(L72="","",IF(V72&gt;0,INDEX('07-تموز'!$P$2:$P$500,V72),IF($AO$1=1,0,"")))</f>
        <v>0.42</v>
      </c>
      <c r="Y72" s="38">
        <f t="shared" si="32"/>
        <v>-0.24999999999999997</v>
      </c>
      <c r="Z72" s="39">
        <f>IF(L72="","",IF(V72&gt;0,INDEX('07-تموز'!$Q$2:$Q$500,V72),IF($AO$1=1,0,"")))</f>
        <v>4.8</v>
      </c>
      <c r="AA72" s="39">
        <f t="shared" si="33"/>
        <v>-2.8424242424242419</v>
      </c>
      <c r="AB72" s="40">
        <f>IF(OR(L72="",V72=0),"",IF(AND(N(I72)&gt;0,N(INDEX('07-تموز'!$I$2:$I$500,V72))&gt;0,INDEX('07-تموز'!$F$2:$F$500,V72)=F72),N(I72)/N(INDEX('07-تموز'!$I$2:$I$500,V72))-1,""))</f>
        <v>0</v>
      </c>
      <c r="AC72" t="str">
        <f>IF(L72="","",IF(AND($AO$2=1,ISNA(MATCH(L72,'09-أيلول'!$L$2:$L$500,0))),"محذوف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2.842424314424242</v>
      </c>
      <c r="AH72" s="39">
        <f t="shared" si="35"/>
        <v>1.906060606060606</v>
      </c>
      <c r="AI72" s="39">
        <f t="shared" si="36"/>
        <v>1.906060606060606</v>
      </c>
      <c r="AJ72" s="39">
        <f t="shared" si="37"/>
        <v>1.906060606060606</v>
      </c>
      <c r="AK72">
        <f t="shared" si="38"/>
        <v>1.9575758295757577</v>
      </c>
      <c r="AL72">
        <f t="shared" si="39"/>
        <v>1.906060678060606</v>
      </c>
    </row>
    <row r="73" spans="1:38" ht="15">
      <c r="A73" t="s">
        <v>432</v>
      </c>
      <c r="B73">
        <v>0</v>
      </c>
      <c r="C73">
        <v>25000</v>
      </c>
      <c r="D73">
        <v>25000</v>
      </c>
      <c r="E73">
        <v>25000</v>
      </c>
      <c r="F73" t="s">
        <v>389</v>
      </c>
      <c r="G73" t="s">
        <v>178</v>
      </c>
      <c r="H73" t="s">
        <v>12</v>
      </c>
      <c r="I73">
        <v>0</v>
      </c>
      <c r="K73" t="str">
        <f t="shared" si="20"/>
        <v/>
      </c>
      <c r="L73" t="str">
        <f t="shared" si="21"/>
        <v>كفوف جلي</v>
      </c>
      <c r="M73" s="36">
        <f t="shared" si="22"/>
        <v>7.5757575757575758E-5</v>
      </c>
      <c r="N73" s="37">
        <f t="shared" si="23"/>
        <v>0</v>
      </c>
      <c r="O73" s="37">
        <f t="shared" si="24"/>
        <v>1.893939393939394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IF(L73="","",IF($AO$1=1,IFERROR(MATCH(L73,'07-تموز'!$L$2:$L$500,0),0),0))</f>
        <v>68</v>
      </c>
      <c r="W73" t="str">
        <f t="shared" si="31"/>
        <v/>
      </c>
      <c r="X73" s="38">
        <f>IF(L73="","",IF(V73&gt;0,INDEX('07-تموز'!$P$2:$P$500,V73),IF($AO$1=1,0,"")))</f>
        <v>0</v>
      </c>
      <c r="Y73" s="38">
        <f t="shared" si="32"/>
        <v>0</v>
      </c>
      <c r="Z73" s="39">
        <f>IF(L73="","",IF(V73&gt;0,INDEX('07-تموز'!$Q$2:$Q$500,V73),IF($AO$1=1,0,"")))</f>
        <v>0</v>
      </c>
      <c r="AA73" s="39">
        <f t="shared" si="33"/>
        <v>0</v>
      </c>
      <c r="AB73" s="40" t="str">
        <f>IF(OR(L73="",V73=0),"",IF(AND(N(I73)&gt;0,N(INDEX('07-تموز'!$I$2:$I$500,V73))&gt;0,INDEX('07-تموز'!$F$2:$F$500,V73)=F73),N(I73)/N(INDEX('07-تموز'!$I$2:$I$500,V73))-1,""))</f>
        <v/>
      </c>
      <c r="AC73" t="str">
        <f>IF(L73="","",IF(AND($AO$2=1,ISNA(MATCH(L73,'09-أيلول'!$L$2:$L$500,0))),"محذوف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433</v>
      </c>
      <c r="B74">
        <v>24</v>
      </c>
      <c r="C74">
        <v>0</v>
      </c>
      <c r="D74">
        <v>0</v>
      </c>
      <c r="E74">
        <v>0</v>
      </c>
      <c r="F74" t="s">
        <v>389</v>
      </c>
      <c r="G74" t="s">
        <v>178</v>
      </c>
      <c r="H74" t="s">
        <v>176</v>
      </c>
      <c r="I74">
        <v>10000</v>
      </c>
      <c r="K74" t="str">
        <f t="shared" si="20"/>
        <v/>
      </c>
      <c r="L74" t="str">
        <f t="shared" si="21"/>
        <v>كريك بلاستيك</v>
      </c>
      <c r="M74" s="36">
        <f t="shared" si="22"/>
        <v>7.5757575757575758E-5</v>
      </c>
      <c r="N74" s="37">
        <f t="shared" si="23"/>
        <v>0.75757575757575757</v>
      </c>
      <c r="O74" s="37">
        <f t="shared" si="24"/>
        <v>0</v>
      </c>
      <c r="P74" s="38">
        <f t="shared" si="25"/>
        <v>24</v>
      </c>
      <c r="Q74" s="39">
        <f t="shared" si="26"/>
        <v>18.18181818181818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IF(L74="","",IF($AO$1=1,IFERROR(MATCH(L74,'07-تموز'!$L$2:$L$500,0),0),0))</f>
        <v>69</v>
      </c>
      <c r="W74" t="str">
        <f t="shared" si="31"/>
        <v/>
      </c>
      <c r="X74" s="38">
        <f>IF(L74="","",IF(V74&gt;0,INDEX('07-تموز'!$P$2:$P$500,V74),IF($AO$1=1,0,"")))</f>
        <v>4</v>
      </c>
      <c r="Y74" s="38">
        <f t="shared" si="32"/>
        <v>20</v>
      </c>
      <c r="Z74" s="39">
        <f>IF(L74="","",IF(V74&gt;0,INDEX('07-تموز'!$Q$2:$Q$500,V74),IF($AO$1=1,0,"")))</f>
        <v>3.007518796992481</v>
      </c>
      <c r="AA74" s="39">
        <f t="shared" si="33"/>
        <v>15.174299384825698</v>
      </c>
      <c r="AB74" s="40">
        <f>IF(OR(L74="",V74=0),"",IF(AND(N(I74)&gt;0,N(INDEX('07-تموز'!$I$2:$I$500,V74))&gt;0,INDEX('07-تموز'!$F$2:$F$500,V74)=F74),N(I74)/N(INDEX('07-تموز'!$I$2:$I$500,V74))-1,""))</f>
        <v>0</v>
      </c>
      <c r="AC74" t="str">
        <f>IF(L74="","",IF(AND($AO$2=1,ISNA(MATCH(L74,'09-أيلول'!$L$2:$L$500,0))),"محذوف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15.174299458825699</v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18.181818255818179</v>
      </c>
      <c r="AL74">
        <f t="shared" si="39"/>
        <v>7.4000000000000001E-8</v>
      </c>
    </row>
    <row r="75" spans="1:38" ht="15">
      <c r="A75" t="s">
        <v>512</v>
      </c>
      <c r="B75">
        <v>38.33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3.2</v>
      </c>
      <c r="K75" t="str">
        <f t="shared" si="20"/>
        <v/>
      </c>
      <c r="L75" t="str">
        <f t="shared" si="21"/>
        <v>كرتونة تغليف كلور</v>
      </c>
      <c r="M75" s="36">
        <f t="shared" si="22"/>
        <v>1</v>
      </c>
      <c r="N75" s="37">
        <f t="shared" si="23"/>
        <v>3.2</v>
      </c>
      <c r="O75" s="37">
        <f t="shared" si="24"/>
        <v>0</v>
      </c>
      <c r="P75" s="38">
        <f t="shared" si="25"/>
        <v>38.33</v>
      </c>
      <c r="Q75" s="39">
        <f t="shared" si="26"/>
        <v>122.65600000000001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IF(L75="","",IF($AO$1=1,IFERROR(MATCH(L75,'07-تموز'!$L$2:$L$500,0),0),0))</f>
        <v>0</v>
      </c>
      <c r="W75" t="str">
        <f t="shared" si="31"/>
        <v>جديد</v>
      </c>
      <c r="X75" s="38">
        <f>IF(L75="","",IF(V75&gt;0,INDEX('07-تموز'!$P$2:$P$500,V75),IF($AO$1=1,0,"")))</f>
        <v>0</v>
      </c>
      <c r="Y75" s="38">
        <f t="shared" si="32"/>
        <v>38.33</v>
      </c>
      <c r="Z75" s="39">
        <f>IF(L75="","",IF(V75&gt;0,INDEX('07-تموز'!$Q$2:$Q$500,V75),IF($AO$1=1,0,"")))</f>
        <v>0</v>
      </c>
      <c r="AA75" s="39">
        <f t="shared" si="33"/>
        <v>122.65600000000001</v>
      </c>
      <c r="AB75" s="40" t="str">
        <f>IF(OR(L75="",V75=0),"",IF(AND(N(I75)&gt;0,N(INDEX('07-تموز'!$I$2:$I$500,V75))&gt;0,INDEX('07-تموز'!$F$2:$F$500,V75)=F75),N(I75)/N(INDEX('07-تموز'!$I$2:$I$500,V75))-1,""))</f>
        <v/>
      </c>
      <c r="AC75" t="str">
        <f>IF(L75="","",IF(AND($AO$2=1,ISNA(MATCH(L75,'09-أيلول'!$L$2:$L$500,0))),"محذوف لاحقاً",""))</f>
        <v/>
      </c>
      <c r="AD75">
        <f>IF(W75="جديد",COUNTIF(W$2:W75,"جديد"),"")</f>
        <v>5</v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122.65600007500001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122.65600007500001</v>
      </c>
      <c r="AL75">
        <f t="shared" si="39"/>
        <v>7.4999999999999997E-8</v>
      </c>
    </row>
    <row r="76" spans="1:38" ht="15">
      <c r="A76" t="s">
        <v>513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176</v>
      </c>
      <c r="I76">
        <v>3.6</v>
      </c>
      <c r="K76" t="str">
        <f t="shared" si="20"/>
        <v/>
      </c>
      <c r="L76" t="str">
        <f t="shared" si="21"/>
        <v>كرتونة تغليف ريفا</v>
      </c>
      <c r="M76" s="36">
        <f t="shared" si="22"/>
        <v>1</v>
      </c>
      <c r="N76" s="37">
        <f t="shared" si="23"/>
        <v>3.6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IF(L76="","",IF($AO$1=1,IFERROR(MATCH(L76,'07-تموز'!$L$2:$L$500,0),0),0))</f>
        <v>0</v>
      </c>
      <c r="W76" t="str">
        <f t="shared" si="31"/>
        <v>جديد</v>
      </c>
      <c r="X76" s="38">
        <f>IF(L76="","",IF(V76&gt;0,INDEX('07-تموز'!$P$2:$P$500,V76),IF($AO$1=1,0,"")))</f>
        <v>0</v>
      </c>
      <c r="Y76" s="38">
        <f t="shared" si="32"/>
        <v>0</v>
      </c>
      <c r="Z76" s="39">
        <f>IF(L76="","",IF(V76&gt;0,INDEX('07-تموز'!$Q$2:$Q$500,V76),IF($AO$1=1,0,"")))</f>
        <v>0</v>
      </c>
      <c r="AA76" s="39">
        <f t="shared" si="33"/>
        <v>0</v>
      </c>
      <c r="AB76" s="40" t="str">
        <f>IF(OR(L76="",V76=0),"",IF(AND(N(I76)&gt;0,N(INDEX('07-تموز'!$I$2:$I$500,V76))&gt;0,INDEX('07-تموز'!$F$2:$F$500,V76)=F76),N(I76)/N(INDEX('07-تموز'!$I$2:$I$500,V76))-1,""))</f>
        <v/>
      </c>
      <c r="AC76" t="str">
        <f>IF(L76="","",IF(AND($AO$2=1,ISNA(MATCH(L76,'09-أيلول'!$L$2:$L$500,0))),"محذوف لاحقاً",""))</f>
        <v/>
      </c>
      <c r="AD76">
        <f>IF(W76="جديد",COUNTIF(W$2:W76,"جديد"),"")</f>
        <v>6</v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7.6000000000000006E-8</v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292</v>
      </c>
      <c r="B77">
        <v>24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176</v>
      </c>
      <c r="I77">
        <v>1.8</v>
      </c>
      <c r="K77" t="str">
        <f t="shared" si="20"/>
        <v/>
      </c>
      <c r="L77" t="str">
        <f t="shared" si="21"/>
        <v>كحول (ايثانول)</v>
      </c>
      <c r="M77" s="36">
        <f t="shared" si="22"/>
        <v>1</v>
      </c>
      <c r="N77" s="37">
        <f t="shared" si="23"/>
        <v>1.8</v>
      </c>
      <c r="O77" s="37">
        <f t="shared" si="24"/>
        <v>0</v>
      </c>
      <c r="P77" s="38">
        <f t="shared" si="25"/>
        <v>24</v>
      </c>
      <c r="Q77" s="39">
        <f t="shared" si="26"/>
        <v>43.2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IF(L77="","",IF($AO$1=1,IFERROR(MATCH(L77,'07-تموز'!$L$2:$L$500,0),0),0))</f>
        <v>70</v>
      </c>
      <c r="W77" t="str">
        <f t="shared" si="31"/>
        <v/>
      </c>
      <c r="X77" s="38">
        <f>IF(L77="","",IF(V77&gt;0,INDEX('07-تموز'!$P$2:$P$500,V77),IF($AO$1=1,0,"")))</f>
        <v>24</v>
      </c>
      <c r="Y77" s="38">
        <f t="shared" si="32"/>
        <v>0</v>
      </c>
      <c r="Z77" s="39">
        <f>IF(L77="","",IF(V77&gt;0,INDEX('07-تموز'!$Q$2:$Q$500,V77),IF($AO$1=1,0,"")))</f>
        <v>43.2</v>
      </c>
      <c r="AA77" s="39">
        <f t="shared" si="33"/>
        <v>0</v>
      </c>
      <c r="AB77" s="40">
        <f>IF(OR(L77="",V77=0),"",IF(AND(N(I77)&gt;0,N(INDEX('07-تموز'!$I$2:$I$500,V77))&gt;0,INDEX('07-تموز'!$F$2:$F$500,V77)=F77),N(I77)/N(INDEX('07-تموز'!$I$2:$I$500,V77))-1,""))</f>
        <v>0</v>
      </c>
      <c r="AC77" t="str">
        <f>IF(L77="","",IF(AND($AO$2=1,ISNA(MATCH(L77,'09-أيلول'!$L$2:$L$500,0))),"محذوف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7.7000000000000001E-8</v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43.200000077000006</v>
      </c>
      <c r="AL77">
        <f t="shared" si="39"/>
        <v>7.7000000000000001E-8</v>
      </c>
    </row>
    <row r="78" spans="1:38" ht="15">
      <c r="A78" t="s">
        <v>434</v>
      </c>
      <c r="B78">
        <v>13</v>
      </c>
      <c r="C78">
        <v>10000</v>
      </c>
      <c r="D78">
        <v>10000</v>
      </c>
      <c r="E78">
        <v>10000</v>
      </c>
      <c r="F78" t="s">
        <v>389</v>
      </c>
      <c r="G78" t="s">
        <v>178</v>
      </c>
      <c r="H78" t="s">
        <v>12</v>
      </c>
      <c r="I78">
        <v>8000</v>
      </c>
      <c r="K78" t="str">
        <f t="shared" si="20"/>
        <v/>
      </c>
      <c r="L78" t="str">
        <f t="shared" si="21"/>
        <v>كاسات شاي صغيرة 17 *6</v>
      </c>
      <c r="M78" s="36">
        <f t="shared" si="22"/>
        <v>7.5757575757575758E-5</v>
      </c>
      <c r="N78" s="37">
        <f t="shared" si="23"/>
        <v>0.60606060606060608</v>
      </c>
      <c r="O78" s="37">
        <f t="shared" si="24"/>
        <v>0.75757575757575757</v>
      </c>
      <c r="P78" s="38">
        <f t="shared" si="25"/>
        <v>13</v>
      </c>
      <c r="Q78" s="39">
        <f t="shared" si="26"/>
        <v>7.8787878787878789</v>
      </c>
      <c r="R78" s="39">
        <f t="shared" si="27"/>
        <v>9.8484848484848477</v>
      </c>
      <c r="S78">
        <f t="shared" si="28"/>
        <v>1</v>
      </c>
      <c r="T78" s="39">
        <f t="shared" si="29"/>
        <v>1.9696969696969688</v>
      </c>
      <c r="U78" t="str">
        <f t="shared" si="30"/>
        <v/>
      </c>
      <c r="V78">
        <f>IF(L78="","",IF($AO$1=1,IFERROR(MATCH(L78,'07-تموز'!$L$2:$L$500,0),0),0))</f>
        <v>71</v>
      </c>
      <c r="W78" t="str">
        <f t="shared" si="31"/>
        <v/>
      </c>
      <c r="X78" s="38">
        <f>IF(L78="","",IF(V78&gt;0,INDEX('07-تموز'!$P$2:$P$500,V78),IF($AO$1=1,0,"")))</f>
        <v>13</v>
      </c>
      <c r="Y78" s="38">
        <f t="shared" si="32"/>
        <v>0</v>
      </c>
      <c r="Z78" s="39">
        <f>IF(L78="","",IF(V78&gt;0,INDEX('07-تموز'!$Q$2:$Q$500,V78),IF($AO$1=1,0,"")))</f>
        <v>7.8195488721804507</v>
      </c>
      <c r="AA78" s="39">
        <f t="shared" si="33"/>
        <v>5.9239006607428202E-2</v>
      </c>
      <c r="AB78" s="40">
        <f>IF(OR(L78="",V78=0),"",IF(AND(N(I78)&gt;0,N(INDEX('07-تموز'!$I$2:$I$500,V78))&gt;0,INDEX('07-تموز'!$F$2:$F$500,V78)=F78),N(I78)/N(INDEX('07-تموز'!$I$2:$I$500,V78))-1,""))</f>
        <v>0</v>
      </c>
      <c r="AC78" t="str">
        <f>IF(L78="","",IF(AND($AO$2=1,ISNA(MATCH(L78,'09-أيلول'!$L$2:$L$500,0))),"محذوف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5.9239084607428202E-2</v>
      </c>
      <c r="AH78" s="39">
        <f t="shared" si="35"/>
        <v>1.9696969696969693</v>
      </c>
      <c r="AI78" s="39">
        <f t="shared" si="36"/>
        <v>1.9696969696969693</v>
      </c>
      <c r="AJ78" s="39">
        <f t="shared" si="37"/>
        <v>1.9696969696969693</v>
      </c>
      <c r="AK78">
        <f t="shared" si="38"/>
        <v>7.8787879567878791</v>
      </c>
      <c r="AL78">
        <f t="shared" si="39"/>
        <v>1.9696970476969689</v>
      </c>
    </row>
    <row r="79" spans="1:38" ht="15">
      <c r="A79" t="s">
        <v>293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25.4</v>
      </c>
      <c r="K79" t="str">
        <f t="shared" si="20"/>
        <v/>
      </c>
      <c r="L79" t="str">
        <f t="shared" si="21"/>
        <v>قاشط سيارات خام</v>
      </c>
      <c r="M79" s="36">
        <f t="shared" si="22"/>
        <v>1</v>
      </c>
      <c r="N79" s="37">
        <f t="shared" si="23"/>
        <v>25.4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IF(L79="","",IF($AO$1=1,IFERROR(MATCH(L79,'07-تموز'!$L$2:$L$500,0),0),0))</f>
        <v>72</v>
      </c>
      <c r="W79" t="str">
        <f t="shared" si="31"/>
        <v/>
      </c>
      <c r="X79" s="38">
        <f>IF(L79="","",IF(V79&gt;0,INDEX('07-تموز'!$P$2:$P$500,V79),IF($AO$1=1,0,"")))</f>
        <v>0</v>
      </c>
      <c r="Y79" s="38">
        <f t="shared" si="32"/>
        <v>0</v>
      </c>
      <c r="Z79" s="39">
        <f>IF(L79="","",IF(V79&gt;0,INDEX('07-تموز'!$Q$2:$Q$500,V79),IF($AO$1=1,0,"")))</f>
        <v>0</v>
      </c>
      <c r="AA79" s="39">
        <f t="shared" si="33"/>
        <v>0</v>
      </c>
      <c r="AB79" s="40">
        <f>IF(OR(L79="",V79=0),"",IF(AND(N(I79)&gt;0,N(INDEX('07-تموز'!$I$2:$I$500,V79))&gt;0,INDEX('07-تموز'!$F$2:$F$500,V79)=F79),N(I79)/N(INDEX('07-تموز'!$I$2:$I$500,V79))-1,""))</f>
        <v>0</v>
      </c>
      <c r="AC79" t="str">
        <f>IF(L79="","",IF(AND($AO$2=1,ISNA(MATCH(L79,'09-أيلول'!$L$2:$L$500,0))),"محذوف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7.9000000000000006E-8</v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435</v>
      </c>
      <c r="B80">
        <v>0</v>
      </c>
      <c r="C80">
        <v>7000</v>
      </c>
      <c r="D80">
        <v>7000</v>
      </c>
      <c r="E80">
        <v>7000</v>
      </c>
      <c r="F80" t="s">
        <v>389</v>
      </c>
      <c r="G80" t="s">
        <v>178</v>
      </c>
      <c r="H80" t="s">
        <v>12</v>
      </c>
      <c r="I80">
        <v>0</v>
      </c>
      <c r="K80" t="str">
        <f t="shared" si="20"/>
        <v/>
      </c>
      <c r="L80" t="str">
        <f t="shared" si="21"/>
        <v>قاشط سيارات / فرط</v>
      </c>
      <c r="M80" s="36">
        <f t="shared" si="22"/>
        <v>7.5757575757575758E-5</v>
      </c>
      <c r="N80" s="37">
        <f t="shared" si="23"/>
        <v>0</v>
      </c>
      <c r="O80" s="37">
        <f t="shared" si="24"/>
        <v>0.53030303030303028</v>
      </c>
      <c r="P80" s="38">
        <f t="shared" si="25"/>
        <v>0</v>
      </c>
      <c r="Q80" s="39">
        <f t="shared" si="26"/>
        <v>0</v>
      </c>
      <c r="R80" s="39">
        <f t="shared" si="27"/>
        <v>0</v>
      </c>
      <c r="S80">
        <f t="shared" si="28"/>
        <v>0</v>
      </c>
      <c r="T80" s="39">
        <f t="shared" si="29"/>
        <v>0</v>
      </c>
      <c r="U80" t="str">
        <f t="shared" si="30"/>
        <v/>
      </c>
      <c r="V80">
        <f>IF(L80="","",IF($AO$1=1,IFERROR(MATCH(L80,'07-تموز'!$L$2:$L$500,0),0),0))</f>
        <v>73</v>
      </c>
      <c r="W80" t="str">
        <f t="shared" si="31"/>
        <v/>
      </c>
      <c r="X80" s="38">
        <f>IF(L80="","",IF(V80&gt;0,INDEX('07-تموز'!$P$2:$P$500,V80),IF($AO$1=1,0,"")))</f>
        <v>0</v>
      </c>
      <c r="Y80" s="38">
        <f t="shared" si="32"/>
        <v>0</v>
      </c>
      <c r="Z80" s="39">
        <f>IF(L80="","",IF(V80&gt;0,INDEX('07-تموز'!$Q$2:$Q$500,V80),IF($AO$1=1,0,"")))</f>
        <v>0</v>
      </c>
      <c r="AA80" s="39">
        <f t="shared" si="33"/>
        <v>0</v>
      </c>
      <c r="AB80" s="40" t="str">
        <f>IF(OR(L80="",V80=0),"",IF(AND(N(I80)&gt;0,N(INDEX('07-تموز'!$I$2:$I$500,V80))&gt;0,INDEX('07-تموز'!$F$2:$F$500,V80)=F80),N(I80)/N(INDEX('07-تموز'!$I$2:$I$500,V80))-1,""))</f>
        <v/>
      </c>
      <c r="AC80" t="str">
        <f>IF(L80="","",IF(AND($AO$2=1,ISNA(MATCH(L80,'09-أيلول'!$L$2:$L$500,0))),"محذوف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8.0000000000000002E-8</v>
      </c>
      <c r="AH80" s="39">
        <f t="shared" si="35"/>
        <v>0</v>
      </c>
      <c r="AI80" s="39">
        <f t="shared" si="36"/>
        <v>0</v>
      </c>
      <c r="AJ80" s="39">
        <f t="shared" si="37"/>
        <v>0</v>
      </c>
      <c r="AK80">
        <f t="shared" si="38"/>
        <v>8.0000000000000002E-8</v>
      </c>
      <c r="AL80">
        <f t="shared" si="39"/>
        <v>8.0000000000000002E-8</v>
      </c>
    </row>
    <row r="81" spans="1:38" ht="15">
      <c r="A81" t="s">
        <v>294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414</v>
      </c>
      <c r="K81" t="str">
        <f t="shared" si="20"/>
        <v/>
      </c>
      <c r="L81" t="str">
        <f t="shared" si="21"/>
        <v>قاشط خام</v>
      </c>
      <c r="M81" s="36">
        <f t="shared" si="22"/>
        <v>1</v>
      </c>
      <c r="N81" s="37">
        <f t="shared" si="23"/>
        <v>414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IF(L81="","",IF($AO$1=1,IFERROR(MATCH(L81,'07-تموز'!$L$2:$L$500,0),0),0))</f>
        <v>74</v>
      </c>
      <c r="W81" t="str">
        <f t="shared" si="31"/>
        <v/>
      </c>
      <c r="X81" s="38">
        <f>IF(L81="","",IF(V81&gt;0,INDEX('07-تموز'!$P$2:$P$500,V81),IF($AO$1=1,0,"")))</f>
        <v>0</v>
      </c>
      <c r="Y81" s="38">
        <f t="shared" si="32"/>
        <v>0</v>
      </c>
      <c r="Z81" s="39">
        <f>IF(L81="","",IF(V81&gt;0,INDEX('07-تموز'!$Q$2:$Q$500,V81),IF($AO$1=1,0,"")))</f>
        <v>0</v>
      </c>
      <c r="AA81" s="39">
        <f t="shared" si="33"/>
        <v>0</v>
      </c>
      <c r="AB81" s="40">
        <f>IF(OR(L81="",V81=0),"",IF(AND(N(I81)&gt;0,N(INDEX('07-تموز'!$I$2:$I$500,V81))&gt;0,INDEX('07-تموز'!$F$2:$F$500,V81)=F81),N(I81)/N(INDEX('07-تموز'!$I$2:$I$500,V81))-1,""))</f>
        <v>0</v>
      </c>
      <c r="AC81" t="str">
        <f>IF(L81="","",IF(AND($AO$2=1,ISNA(MATCH(L81,'09-أيلول'!$L$2:$L$500,0))),"محذوف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436</v>
      </c>
      <c r="B82">
        <v>750.08</v>
      </c>
      <c r="C82">
        <v>13000</v>
      </c>
      <c r="D82">
        <v>13000</v>
      </c>
      <c r="E82">
        <v>13000</v>
      </c>
      <c r="F82" t="s">
        <v>389</v>
      </c>
      <c r="G82" t="s">
        <v>178</v>
      </c>
      <c r="H82" t="s">
        <v>12</v>
      </c>
      <c r="I82">
        <v>7200</v>
      </c>
      <c r="K82" t="str">
        <f t="shared" si="20"/>
        <v/>
      </c>
      <c r="L82" t="str">
        <f t="shared" si="21"/>
        <v>قاشط المينيوم - ساندي / فرط</v>
      </c>
      <c r="M82" s="36">
        <f t="shared" si="22"/>
        <v>7.5757575757575758E-5</v>
      </c>
      <c r="N82" s="37">
        <f t="shared" si="23"/>
        <v>0.54545454545454541</v>
      </c>
      <c r="O82" s="37">
        <f t="shared" si="24"/>
        <v>0.98484848484848486</v>
      </c>
      <c r="P82" s="38">
        <f t="shared" si="25"/>
        <v>750.08</v>
      </c>
      <c r="Q82" s="39">
        <f t="shared" si="26"/>
        <v>409.13454545454545</v>
      </c>
      <c r="R82" s="39">
        <f t="shared" si="27"/>
        <v>738.71515151515155</v>
      </c>
      <c r="S82">
        <f t="shared" si="28"/>
        <v>1</v>
      </c>
      <c r="T82" s="39">
        <f t="shared" si="29"/>
        <v>329.5806060606061</v>
      </c>
      <c r="U82" t="str">
        <f t="shared" si="30"/>
        <v/>
      </c>
      <c r="V82">
        <f>IF(L82="","",IF($AO$1=1,IFERROR(MATCH(L82,'07-تموز'!$L$2:$L$500,0),0),0))</f>
        <v>75</v>
      </c>
      <c r="W82" t="str">
        <f t="shared" si="31"/>
        <v/>
      </c>
      <c r="X82" s="38">
        <f>IF(L82="","",IF(V82&gt;0,INDEX('07-تموز'!$P$2:$P$500,V82),IF($AO$1=1,0,"")))</f>
        <v>760.5</v>
      </c>
      <c r="Y82" s="38">
        <f t="shared" si="32"/>
        <v>-10.419999999999959</v>
      </c>
      <c r="Z82" s="39">
        <f>IF(L82="","",IF(V82&gt;0,INDEX('07-تموز'!$Q$2:$Q$500,V82),IF($AO$1=1,0,"")))</f>
        <v>411.69924812030075</v>
      </c>
      <c r="AA82" s="39">
        <f t="shared" si="33"/>
        <v>-2.5647026657553056</v>
      </c>
      <c r="AB82" s="40">
        <f>IF(OR(L82="",V82=0),"",IF(AND(N(I82)&gt;0,N(INDEX('07-تموز'!$I$2:$I$500,V82))&gt;0,INDEX('07-تموز'!$F$2:$F$500,V82)=F82),N(I82)/N(INDEX('07-تموز'!$I$2:$I$500,V82))-1,""))</f>
        <v>0</v>
      </c>
      <c r="AC82" t="str">
        <f>IF(L82="","",IF(AND($AO$2=1,ISNA(MATCH(L82,'09-أيلول'!$L$2:$L$500,0))),"محذوف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2.5647027477553057</v>
      </c>
      <c r="AH82" s="39">
        <f t="shared" si="35"/>
        <v>329.5806060606061</v>
      </c>
      <c r="AI82" s="39">
        <f t="shared" si="36"/>
        <v>329.5806060606061</v>
      </c>
      <c r="AJ82" s="39">
        <f t="shared" si="37"/>
        <v>329.5806060606061</v>
      </c>
      <c r="AK82">
        <f t="shared" si="38"/>
        <v>409.13454553654543</v>
      </c>
      <c r="AL82">
        <f t="shared" si="39"/>
        <v>329.58060614260609</v>
      </c>
    </row>
    <row r="83" spans="1:38" ht="15">
      <c r="A83" t="s">
        <v>437</v>
      </c>
      <c r="B83">
        <v>156</v>
      </c>
      <c r="C83">
        <v>40000</v>
      </c>
      <c r="D83">
        <v>40000</v>
      </c>
      <c r="E83">
        <v>40000</v>
      </c>
      <c r="F83" t="s">
        <v>389</v>
      </c>
      <c r="G83" t="s">
        <v>178</v>
      </c>
      <c r="H83" t="s">
        <v>12</v>
      </c>
      <c r="I83">
        <v>25000</v>
      </c>
      <c r="K83" t="str">
        <f t="shared" si="20"/>
        <v/>
      </c>
      <c r="L83" t="str">
        <f t="shared" si="21"/>
        <v>قاشط المينيوم 3 لتر</v>
      </c>
      <c r="M83" s="36">
        <f t="shared" si="22"/>
        <v>7.5757575757575758E-5</v>
      </c>
      <c r="N83" s="37">
        <f t="shared" si="23"/>
        <v>1.893939393939394</v>
      </c>
      <c r="O83" s="37">
        <f t="shared" si="24"/>
        <v>3.0303030303030303</v>
      </c>
      <c r="P83" s="38">
        <f t="shared" si="25"/>
        <v>156</v>
      </c>
      <c r="Q83" s="39">
        <f t="shared" si="26"/>
        <v>295.4545454545455</v>
      </c>
      <c r="R83" s="39">
        <f t="shared" si="27"/>
        <v>472.72727272727275</v>
      </c>
      <c r="S83">
        <f t="shared" si="28"/>
        <v>1</v>
      </c>
      <c r="T83" s="39">
        <f t="shared" si="29"/>
        <v>177.27272727272725</v>
      </c>
      <c r="U83" t="str">
        <f t="shared" si="30"/>
        <v/>
      </c>
      <c r="V83">
        <f>IF(L83="","",IF($AO$1=1,IFERROR(MATCH(L83,'07-تموز'!$L$2:$L$500,0),0),0))</f>
        <v>76</v>
      </c>
      <c r="W83" t="str">
        <f t="shared" si="31"/>
        <v/>
      </c>
      <c r="X83" s="38">
        <f>IF(L83="","",IF(V83&gt;0,INDEX('07-تموز'!$P$2:$P$500,V83),IF($AO$1=1,0,"")))</f>
        <v>59</v>
      </c>
      <c r="Y83" s="38">
        <f t="shared" si="32"/>
        <v>97</v>
      </c>
      <c r="Z83" s="39">
        <f>IF(L83="","",IF(V83&gt;0,INDEX('07-تموز'!$Q$2:$Q$500,V83),IF($AO$1=1,0,"")))</f>
        <v>110.90225563909775</v>
      </c>
      <c r="AA83" s="39">
        <f t="shared" si="33"/>
        <v>184.55228981544775</v>
      </c>
      <c r="AB83" s="40">
        <f>IF(OR(L83="",V83=0),"",IF(AND(N(I83)&gt;0,N(INDEX('07-تموز'!$I$2:$I$500,V83))&gt;0,INDEX('07-تموز'!$F$2:$F$500,V83)=F83),N(I83)/N(INDEX('07-تموز'!$I$2:$I$500,V83))-1,""))</f>
        <v>0</v>
      </c>
      <c r="AC83" t="str">
        <f>IF(L83="","",IF(AND($AO$2=1,ISNA(MATCH(L83,'09-أيلول'!$L$2:$L$500,0))),"محذوف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184.55228989844775</v>
      </c>
      <c r="AH83" s="39">
        <f t="shared" si="35"/>
        <v>177.27272727272725</v>
      </c>
      <c r="AI83" s="39">
        <f t="shared" si="36"/>
        <v>177.27272727272725</v>
      </c>
      <c r="AJ83" s="39">
        <f t="shared" si="37"/>
        <v>177.27272727272725</v>
      </c>
      <c r="AK83">
        <f t="shared" si="38"/>
        <v>295.45454553754547</v>
      </c>
      <c r="AL83">
        <f t="shared" si="39"/>
        <v>177.27272735572726</v>
      </c>
    </row>
    <row r="84" spans="1:38" ht="15">
      <c r="A84" t="s">
        <v>295</v>
      </c>
      <c r="B84">
        <v>1.74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176</v>
      </c>
      <c r="I84">
        <v>28.8</v>
      </c>
      <c r="K84" t="str">
        <f t="shared" si="20"/>
        <v/>
      </c>
      <c r="L84" t="str">
        <f t="shared" si="21"/>
        <v>فورمول ( سم )</v>
      </c>
      <c r="M84" s="36">
        <f t="shared" si="22"/>
        <v>1</v>
      </c>
      <c r="N84" s="37">
        <f t="shared" si="23"/>
        <v>28.8</v>
      </c>
      <c r="O84" s="37">
        <f t="shared" si="24"/>
        <v>0</v>
      </c>
      <c r="P84" s="38">
        <f t="shared" si="25"/>
        <v>1.74</v>
      </c>
      <c r="Q84" s="39">
        <f t="shared" si="26"/>
        <v>50.112000000000002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IF(L84="","",IF($AO$1=1,IFERROR(MATCH(L84,'07-تموز'!$L$2:$L$500,0),0),0))</f>
        <v>77</v>
      </c>
      <c r="W84" t="str">
        <f t="shared" si="31"/>
        <v/>
      </c>
      <c r="X84" s="38">
        <f>IF(L84="","",IF(V84&gt;0,INDEX('07-تموز'!$P$2:$P$500,V84),IF($AO$1=1,0,"")))</f>
        <v>1.36</v>
      </c>
      <c r="Y84" s="38">
        <f t="shared" si="32"/>
        <v>0.37999999999999989</v>
      </c>
      <c r="Z84" s="39">
        <f>IF(L84="","",IF(V84&gt;0,INDEX('07-تموز'!$Q$2:$Q$500,V84),IF($AO$1=1,0,"")))</f>
        <v>39.168000000000006</v>
      </c>
      <c r="AA84" s="39">
        <f t="shared" si="33"/>
        <v>10.943999999999996</v>
      </c>
      <c r="AB84" s="40">
        <f>IF(OR(L84="",V84=0),"",IF(AND(N(I84)&gt;0,N(INDEX('07-تموز'!$I$2:$I$500,V84))&gt;0,INDEX('07-تموز'!$F$2:$F$500,V84)=F84),N(I84)/N(INDEX('07-تموز'!$I$2:$I$500,V84))-1,""))</f>
        <v>0</v>
      </c>
      <c r="AC84" t="str">
        <f>IF(L84="","",IF(AND($AO$2=1,ISNA(MATCH(L84,'09-أيلول'!$L$2:$L$500,0))),"محذوف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10.944000083999995</v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50.112000084000002</v>
      </c>
      <c r="AL84">
        <f t="shared" si="39"/>
        <v>8.3999999999999998E-8</v>
      </c>
    </row>
    <row r="85" spans="1:38" ht="15">
      <c r="A85" t="s">
        <v>438</v>
      </c>
      <c r="B85">
        <v>67</v>
      </c>
      <c r="C85">
        <v>18000</v>
      </c>
      <c r="D85">
        <v>18000</v>
      </c>
      <c r="E85">
        <v>18000</v>
      </c>
      <c r="F85" t="s">
        <v>389</v>
      </c>
      <c r="G85" t="s">
        <v>178</v>
      </c>
      <c r="H85" t="s">
        <v>12</v>
      </c>
      <c r="I85">
        <v>6250</v>
      </c>
      <c r="K85" t="str">
        <f t="shared" si="20"/>
        <v/>
      </c>
      <c r="L85" t="str">
        <f t="shared" si="21"/>
        <v>فلاش 4 لتر</v>
      </c>
      <c r="M85" s="36">
        <f t="shared" si="22"/>
        <v>7.5757575757575758E-5</v>
      </c>
      <c r="N85" s="37">
        <f t="shared" si="23"/>
        <v>0.47348484848484851</v>
      </c>
      <c r="O85" s="37">
        <f t="shared" si="24"/>
        <v>1.3636363636363635</v>
      </c>
      <c r="P85" s="38">
        <f t="shared" si="25"/>
        <v>67</v>
      </c>
      <c r="Q85" s="39">
        <f t="shared" si="26"/>
        <v>31.723484848484851</v>
      </c>
      <c r="R85" s="39">
        <f t="shared" si="27"/>
        <v>91.36363636363636</v>
      </c>
      <c r="S85">
        <f t="shared" si="28"/>
        <v>1</v>
      </c>
      <c r="T85" s="39">
        <f t="shared" si="29"/>
        <v>59.640151515151508</v>
      </c>
      <c r="U85" t="str">
        <f t="shared" si="30"/>
        <v/>
      </c>
      <c r="V85">
        <f>IF(L85="","",IF($AO$1=1,IFERROR(MATCH(L85,'07-تموز'!$L$2:$L$500,0),0),0))</f>
        <v>78</v>
      </c>
      <c r="W85" t="str">
        <f t="shared" si="31"/>
        <v/>
      </c>
      <c r="X85" s="38">
        <f>IF(L85="","",IF(V85&gt;0,INDEX('07-تموز'!$P$2:$P$500,V85),IF($AO$1=1,0,"")))</f>
        <v>108</v>
      </c>
      <c r="Y85" s="38">
        <f t="shared" si="32"/>
        <v>-41</v>
      </c>
      <c r="Z85" s="39">
        <f>IF(L85="","",IF(V85&gt;0,INDEX('07-تموز'!$Q$2:$Q$500,V85),IF($AO$1=1,0,"")))</f>
        <v>50.751879699248121</v>
      </c>
      <c r="AA85" s="39">
        <f t="shared" si="33"/>
        <v>-19.02839485076327</v>
      </c>
      <c r="AB85" s="40">
        <f>IF(OR(L85="",V85=0),"",IF(AND(N(I85)&gt;0,N(INDEX('07-تموز'!$I$2:$I$500,V85))&gt;0,INDEX('07-تموز'!$F$2:$F$500,V85)=F85),N(I85)/N(INDEX('07-تموز'!$I$2:$I$500,V85))-1,""))</f>
        <v>0</v>
      </c>
      <c r="AC85" t="str">
        <f>IF(L85="","",IF(AND($AO$2=1,ISNA(MATCH(L85,'09-أيلول'!$L$2:$L$500,0))),"محذوف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19.02839493576327</v>
      </c>
      <c r="AH85" s="39">
        <f t="shared" si="35"/>
        <v>59.640151515151508</v>
      </c>
      <c r="AI85" s="39">
        <f t="shared" si="36"/>
        <v>59.640151515151508</v>
      </c>
      <c r="AJ85" s="39">
        <f t="shared" si="37"/>
        <v>59.640151515151508</v>
      </c>
      <c r="AK85">
        <f t="shared" si="38"/>
        <v>31.723484933484851</v>
      </c>
      <c r="AL85">
        <f t="shared" si="39"/>
        <v>59.640151600151512</v>
      </c>
    </row>
    <row r="86" spans="1:38" ht="15">
      <c r="A86" t="s">
        <v>439</v>
      </c>
      <c r="B86">
        <v>90.8</v>
      </c>
      <c r="C86">
        <v>5000</v>
      </c>
      <c r="D86">
        <v>5000</v>
      </c>
      <c r="E86">
        <v>5000</v>
      </c>
      <c r="F86" t="s">
        <v>389</v>
      </c>
      <c r="G86" t="s">
        <v>178</v>
      </c>
      <c r="H86" t="s">
        <v>12</v>
      </c>
      <c r="I86">
        <v>1080</v>
      </c>
      <c r="K86" t="str">
        <f t="shared" si="20"/>
        <v/>
      </c>
      <c r="L86" t="str">
        <f t="shared" si="21"/>
        <v>فلاش / فرط</v>
      </c>
      <c r="M86" s="36">
        <f t="shared" si="22"/>
        <v>7.5757575757575758E-5</v>
      </c>
      <c r="N86" s="37">
        <f t="shared" si="23"/>
        <v>8.1818181818181818E-2</v>
      </c>
      <c r="O86" s="37">
        <f t="shared" si="24"/>
        <v>0.37878787878787878</v>
      </c>
      <c r="P86" s="38">
        <f t="shared" si="25"/>
        <v>90.8</v>
      </c>
      <c r="Q86" s="39">
        <f t="shared" si="26"/>
        <v>7.4290909090909087</v>
      </c>
      <c r="R86" s="39">
        <f t="shared" si="27"/>
        <v>34.393939393939391</v>
      </c>
      <c r="S86">
        <f t="shared" si="28"/>
        <v>1</v>
      </c>
      <c r="T86" s="39">
        <f t="shared" si="29"/>
        <v>26.964848484848481</v>
      </c>
      <c r="U86" t="str">
        <f t="shared" si="30"/>
        <v/>
      </c>
      <c r="V86">
        <f>IF(L86="","",IF($AO$1=1,IFERROR(MATCH(L86,'07-تموز'!$L$2:$L$500,0),0),0))</f>
        <v>79</v>
      </c>
      <c r="W86" t="str">
        <f t="shared" si="31"/>
        <v/>
      </c>
      <c r="X86" s="38">
        <f>IF(L86="","",IF(V86&gt;0,INDEX('07-تموز'!$P$2:$P$500,V86),IF($AO$1=1,0,"")))</f>
        <v>86</v>
      </c>
      <c r="Y86" s="38">
        <f t="shared" si="32"/>
        <v>4.7999999999999972</v>
      </c>
      <c r="Z86" s="39">
        <f>IF(L86="","",IF(V86&gt;0,INDEX('07-تموز'!$Q$2:$Q$500,V86),IF($AO$1=1,0,"")))</f>
        <v>6.9834586466165405</v>
      </c>
      <c r="AA86" s="39">
        <f t="shared" si="33"/>
        <v>0.44563226247436827</v>
      </c>
      <c r="AB86" s="40">
        <f>IF(OR(L86="",V86=0),"",IF(AND(N(I86)&gt;0,N(INDEX('07-تموز'!$I$2:$I$500,V86))&gt;0,INDEX('07-تموز'!$F$2:$F$500,V86)=F86),N(I86)/N(INDEX('07-تموز'!$I$2:$I$500,V86))-1,""))</f>
        <v>0</v>
      </c>
      <c r="AC86" t="str">
        <f>IF(L86="","",IF(AND($AO$2=1,ISNA(MATCH(L86,'09-أيلول'!$L$2:$L$500,0))),"محذوف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0.44563234847436828</v>
      </c>
      <c r="AH86" s="39">
        <f t="shared" si="35"/>
        <v>26.964848484848485</v>
      </c>
      <c r="AI86" s="39">
        <f t="shared" si="36"/>
        <v>26.964848484848485</v>
      </c>
      <c r="AJ86" s="39">
        <f t="shared" si="37"/>
        <v>26.964848484848485</v>
      </c>
      <c r="AK86">
        <f t="shared" si="38"/>
        <v>7.4290909950909088</v>
      </c>
      <c r="AL86">
        <f t="shared" si="39"/>
        <v>26.964848570848481</v>
      </c>
    </row>
    <row r="87" spans="1:38" ht="15">
      <c r="A87" t="s">
        <v>440</v>
      </c>
      <c r="B87">
        <v>0</v>
      </c>
      <c r="C87">
        <v>0</v>
      </c>
      <c r="D87">
        <v>0</v>
      </c>
      <c r="E87">
        <v>0</v>
      </c>
      <c r="F87" t="s">
        <v>389</v>
      </c>
      <c r="G87" t="s">
        <v>178</v>
      </c>
      <c r="H87" t="s">
        <v>12</v>
      </c>
      <c r="I87">
        <v>0</v>
      </c>
      <c r="K87" t="str">
        <f t="shared" si="20"/>
        <v/>
      </c>
      <c r="L87" t="str">
        <f t="shared" si="21"/>
        <v>فرشاية بسط</v>
      </c>
      <c r="M87" s="36">
        <f t="shared" si="22"/>
        <v>7.5757575757575758E-5</v>
      </c>
      <c r="N87" s="37">
        <f t="shared" si="23"/>
        <v>0</v>
      </c>
      <c r="O87" s="37">
        <f t="shared" si="24"/>
        <v>0</v>
      </c>
      <c r="P87" s="38">
        <f t="shared" si="25"/>
        <v>0</v>
      </c>
      <c r="Q87" s="39">
        <f t="shared" si="26"/>
        <v>0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IF(L87="","",IF($AO$1=1,IFERROR(MATCH(L87,'07-تموز'!$L$2:$L$500,0),0),0))</f>
        <v>80</v>
      </c>
      <c r="W87" t="str">
        <f t="shared" si="31"/>
        <v/>
      </c>
      <c r="X87" s="38">
        <f>IF(L87="","",IF(V87&gt;0,INDEX('07-تموز'!$P$2:$P$500,V87),IF($AO$1=1,0,"")))</f>
        <v>0</v>
      </c>
      <c r="Y87" s="38">
        <f t="shared" si="32"/>
        <v>0</v>
      </c>
      <c r="Z87" s="39">
        <f>IF(L87="","",IF(V87&gt;0,INDEX('07-تموز'!$Q$2:$Q$500,V87),IF($AO$1=1,0,"")))</f>
        <v>0</v>
      </c>
      <c r="AA87" s="39">
        <f t="shared" si="33"/>
        <v>0</v>
      </c>
      <c r="AB87" s="40" t="str">
        <f>IF(OR(L87="",V87=0),"",IF(AND(N(I87)&gt;0,N(INDEX('07-تموز'!$I$2:$I$500,V87))&gt;0,INDEX('07-تموز'!$F$2:$F$500,V87)=F87),N(I87)/N(INDEX('07-تموز'!$I$2:$I$500,V87))-1,""))</f>
        <v/>
      </c>
      <c r="AC87" t="str">
        <f>IF(L87="","",IF(AND($AO$2=1,ISNA(MATCH(L87,'09-أيلول'!$L$2:$L$500,0))),"محذوف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8.6999999999999998E-8</v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8.6999999999999998E-8</v>
      </c>
      <c r="AL87">
        <f t="shared" si="39"/>
        <v>8.6999999999999998E-8</v>
      </c>
    </row>
    <row r="88" spans="1:38" ht="15">
      <c r="A88" t="s">
        <v>441</v>
      </c>
      <c r="B88">
        <v>0</v>
      </c>
      <c r="C88">
        <v>0</v>
      </c>
      <c r="D88">
        <v>0</v>
      </c>
      <c r="E88">
        <v>0</v>
      </c>
      <c r="F88" t="s">
        <v>389</v>
      </c>
      <c r="G88" t="s">
        <v>178</v>
      </c>
      <c r="H88" t="s">
        <v>12</v>
      </c>
      <c r="I88">
        <v>0</v>
      </c>
      <c r="K88" t="str">
        <f t="shared" si="20"/>
        <v/>
      </c>
      <c r="L88" t="str">
        <f t="shared" si="21"/>
        <v>فرشاة حمام</v>
      </c>
      <c r="M88" s="36">
        <f t="shared" si="22"/>
        <v>7.5757575757575758E-5</v>
      </c>
      <c r="N88" s="37">
        <f t="shared" si="23"/>
        <v>0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IF(L88="","",IF($AO$1=1,IFERROR(MATCH(L88,'07-تموز'!$L$2:$L$500,0),0),0))</f>
        <v>81</v>
      </c>
      <c r="W88" t="str">
        <f t="shared" si="31"/>
        <v/>
      </c>
      <c r="X88" s="38">
        <f>IF(L88="","",IF(V88&gt;0,INDEX('07-تموز'!$P$2:$P$500,V88),IF($AO$1=1,0,"")))</f>
        <v>0</v>
      </c>
      <c r="Y88" s="38">
        <f t="shared" si="32"/>
        <v>0</v>
      </c>
      <c r="Z88" s="39">
        <f>IF(L88="","",IF(V88&gt;0,INDEX('07-تموز'!$Q$2:$Q$500,V88),IF($AO$1=1,0,"")))</f>
        <v>0</v>
      </c>
      <c r="AA88" s="39">
        <f t="shared" si="33"/>
        <v>0</v>
      </c>
      <c r="AB88" s="40" t="str">
        <f>IF(OR(L88="",V88=0),"",IF(AND(N(I88)&gt;0,N(INDEX('07-تموز'!$I$2:$I$500,V88))&gt;0,INDEX('07-تموز'!$F$2:$F$500,V88)=F88),N(I88)/N(INDEX('07-تموز'!$I$2:$I$500,V88))-1,""))</f>
        <v/>
      </c>
      <c r="AC88" t="str">
        <f>IF(L88="","",IF(AND($AO$2=1,ISNA(MATCH(L88,'09-أيلول'!$L$2:$L$500,0))),"محذوف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442</v>
      </c>
      <c r="B89">
        <v>0.5</v>
      </c>
      <c r="C89">
        <v>32000</v>
      </c>
      <c r="D89">
        <v>32000</v>
      </c>
      <c r="E89">
        <v>32000</v>
      </c>
      <c r="F89" t="s">
        <v>389</v>
      </c>
      <c r="G89" t="s">
        <v>178</v>
      </c>
      <c r="H89" t="s">
        <v>176</v>
      </c>
      <c r="I89">
        <v>21000</v>
      </c>
      <c r="K89" t="str">
        <f t="shared" si="20"/>
        <v/>
      </c>
      <c r="L89" t="str">
        <f t="shared" si="21"/>
        <v>فازلين</v>
      </c>
      <c r="M89" s="36">
        <f t="shared" si="22"/>
        <v>7.5757575757575758E-5</v>
      </c>
      <c r="N89" s="37">
        <f t="shared" si="23"/>
        <v>1.5909090909090908</v>
      </c>
      <c r="O89" s="37">
        <f t="shared" si="24"/>
        <v>2.4242424242424243</v>
      </c>
      <c r="P89" s="38">
        <f t="shared" si="25"/>
        <v>0.5</v>
      </c>
      <c r="Q89" s="39">
        <f t="shared" si="26"/>
        <v>0.79545454545454541</v>
      </c>
      <c r="R89" s="39">
        <f t="shared" si="27"/>
        <v>1.2121212121212122</v>
      </c>
      <c r="S89">
        <f t="shared" si="28"/>
        <v>1</v>
      </c>
      <c r="T89" s="39">
        <f t="shared" si="29"/>
        <v>0.41666666666666674</v>
      </c>
      <c r="U89" t="str">
        <f t="shared" si="30"/>
        <v/>
      </c>
      <c r="V89">
        <f>IF(L89="","",IF($AO$1=1,IFERROR(MATCH(L89,'07-تموز'!$L$2:$L$500,0),0),0))</f>
        <v>82</v>
      </c>
      <c r="W89" t="str">
        <f t="shared" si="31"/>
        <v/>
      </c>
      <c r="X89" s="38">
        <f>IF(L89="","",IF(V89&gt;0,INDEX('07-تموز'!$P$2:$P$500,V89),IF($AO$1=1,0,"")))</f>
        <v>0</v>
      </c>
      <c r="Y89" s="38">
        <f t="shared" si="32"/>
        <v>0.5</v>
      </c>
      <c r="Z89" s="39">
        <f>IF(L89="","",IF(V89&gt;0,INDEX('07-تموز'!$Q$2:$Q$500,V89),IF($AO$1=1,0,"")))</f>
        <v>0</v>
      </c>
      <c r="AA89" s="39">
        <f t="shared" si="33"/>
        <v>0.79545454545454541</v>
      </c>
      <c r="AB89" s="40">
        <f>IF(OR(L89="",V89=0),"",IF(AND(N(I89)&gt;0,N(INDEX('07-تموز'!$I$2:$I$500,V89))&gt;0,INDEX('07-تموز'!$F$2:$F$500,V89)=F89),N(I89)/N(INDEX('07-تموز'!$I$2:$I$500,V89))-1,""))</f>
        <v>0</v>
      </c>
      <c r="AC89" t="str">
        <f>IF(L89="","",IF(AND($AO$2=1,ISNA(MATCH(L89,'09-أيلول'!$L$2:$L$500,0))),"محذوف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0.79545463445454545</v>
      </c>
      <c r="AH89" s="39">
        <f t="shared" si="35"/>
        <v>0.41666666666666674</v>
      </c>
      <c r="AI89" s="39">
        <f t="shared" si="36"/>
        <v>0.41666666666666674</v>
      </c>
      <c r="AJ89" s="39">
        <f t="shared" si="37"/>
        <v>0.41666666666666674</v>
      </c>
      <c r="AK89">
        <f t="shared" si="38"/>
        <v>0.79545463445454545</v>
      </c>
      <c r="AL89">
        <f t="shared" si="39"/>
        <v>0.41666675566666672</v>
      </c>
    </row>
    <row r="90" spans="1:38" ht="15">
      <c r="A90" t="s">
        <v>443</v>
      </c>
      <c r="B90">
        <v>1</v>
      </c>
      <c r="C90">
        <v>5000</v>
      </c>
      <c r="D90">
        <v>5000</v>
      </c>
      <c r="E90">
        <v>5000</v>
      </c>
      <c r="F90" t="s">
        <v>389</v>
      </c>
      <c r="G90" t="s">
        <v>178</v>
      </c>
      <c r="H90" t="s">
        <v>12</v>
      </c>
      <c r="I90">
        <v>4500</v>
      </c>
      <c r="K90" t="str">
        <f t="shared" si="20"/>
        <v/>
      </c>
      <c r="L90" t="str">
        <f t="shared" si="21"/>
        <v>فاربن مزيل شعر</v>
      </c>
      <c r="M90" s="36">
        <f t="shared" si="22"/>
        <v>7.5757575757575758E-5</v>
      </c>
      <c r="N90" s="37">
        <f t="shared" si="23"/>
        <v>0.34090909090909088</v>
      </c>
      <c r="O90" s="37">
        <f t="shared" si="24"/>
        <v>0.37878787878787878</v>
      </c>
      <c r="P90" s="38">
        <f t="shared" si="25"/>
        <v>1</v>
      </c>
      <c r="Q90" s="39">
        <f t="shared" si="26"/>
        <v>0.34090909090909088</v>
      </c>
      <c r="R90" s="39">
        <f t="shared" si="27"/>
        <v>0.37878787878787878</v>
      </c>
      <c r="S90">
        <f t="shared" si="28"/>
        <v>1</v>
      </c>
      <c r="T90" s="39">
        <f t="shared" si="29"/>
        <v>3.7878787878787901E-2</v>
      </c>
      <c r="U90" t="str">
        <f t="shared" si="30"/>
        <v/>
      </c>
      <c r="V90">
        <f>IF(L90="","",IF($AO$1=1,IFERROR(MATCH(L90,'07-تموز'!$L$2:$L$500,0),0),0))</f>
        <v>83</v>
      </c>
      <c r="W90" t="str">
        <f t="shared" si="31"/>
        <v/>
      </c>
      <c r="X90" s="38">
        <f>IF(L90="","",IF(V90&gt;0,INDEX('07-تموز'!$P$2:$P$500,V90),IF($AO$1=1,0,"")))</f>
        <v>1</v>
      </c>
      <c r="Y90" s="38">
        <f t="shared" si="32"/>
        <v>0</v>
      </c>
      <c r="Z90" s="39">
        <f>IF(L90="","",IF(V90&gt;0,INDEX('07-تموز'!$Q$2:$Q$500,V90),IF($AO$1=1,0,"")))</f>
        <v>0.33834586466165412</v>
      </c>
      <c r="AA90" s="39">
        <f t="shared" si="33"/>
        <v>2.5632262474367673E-3</v>
      </c>
      <c r="AB90" s="40">
        <f>IF(OR(L90="",V90=0),"",IF(AND(N(I90)&gt;0,N(INDEX('07-تموز'!$I$2:$I$500,V90))&gt;0,INDEX('07-تموز'!$F$2:$F$500,V90)=F90),N(I90)/N(INDEX('07-تموز'!$I$2:$I$500,V90))-1,""))</f>
        <v>0</v>
      </c>
      <c r="AC90" t="str">
        <f>IF(L90="","",IF(AND($AO$2=1,ISNA(MATCH(L90,'09-أيلول'!$L$2:$L$500,0))),"محذوف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2.5633162474367672E-3</v>
      </c>
      <c r="AH90" s="39">
        <f t="shared" si="35"/>
        <v>3.7878787878787901E-2</v>
      </c>
      <c r="AI90" s="39">
        <f t="shared" si="36"/>
        <v>3.7878787878787901E-2</v>
      </c>
      <c r="AJ90" s="39">
        <f t="shared" si="37"/>
        <v>3.7878787878787901E-2</v>
      </c>
      <c r="AK90">
        <f t="shared" si="38"/>
        <v>0.34090918090909089</v>
      </c>
      <c r="AL90">
        <f t="shared" si="39"/>
        <v>3.7878877878787902E-2</v>
      </c>
    </row>
    <row r="91" spans="1:38" ht="15">
      <c r="A91" t="s">
        <v>296</v>
      </c>
      <c r="B91">
        <v>79.400000000000006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176</v>
      </c>
      <c r="I91">
        <v>3</v>
      </c>
      <c r="K91" t="str">
        <f t="shared" si="20"/>
        <v/>
      </c>
      <c r="L91" t="str">
        <f t="shared" si="21"/>
        <v>فاتي كحول</v>
      </c>
      <c r="M91" s="36">
        <f t="shared" si="22"/>
        <v>1</v>
      </c>
      <c r="N91" s="37">
        <f t="shared" si="23"/>
        <v>3</v>
      </c>
      <c r="O91" s="37">
        <f t="shared" si="24"/>
        <v>0</v>
      </c>
      <c r="P91" s="38">
        <f t="shared" si="25"/>
        <v>79.400000000000006</v>
      </c>
      <c r="Q91" s="39">
        <f t="shared" si="26"/>
        <v>238.20000000000002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IF(L91="","",IF($AO$1=1,IFERROR(MATCH(L91,'07-تموز'!$L$2:$L$500,0),0),0))</f>
        <v>84</v>
      </c>
      <c r="W91" t="str">
        <f t="shared" si="31"/>
        <v/>
      </c>
      <c r="X91" s="38">
        <f>IF(L91="","",IF(V91&gt;0,INDEX('07-تموز'!$P$2:$P$500,V91),IF($AO$1=1,0,"")))</f>
        <v>79.400000000000006</v>
      </c>
      <c r="Y91" s="38">
        <f t="shared" si="32"/>
        <v>0</v>
      </c>
      <c r="Z91" s="39">
        <f>IF(L91="","",IF(V91&gt;0,INDEX('07-تموز'!$Q$2:$Q$500,V91),IF($AO$1=1,0,"")))</f>
        <v>238.20000000000002</v>
      </c>
      <c r="AA91" s="39">
        <f t="shared" si="33"/>
        <v>0</v>
      </c>
      <c r="AB91" s="40">
        <f>IF(OR(L91="",V91=0),"",IF(AND(N(I91)&gt;0,N(INDEX('07-تموز'!$I$2:$I$500,V91))&gt;0,INDEX('07-تموز'!$F$2:$F$500,V91)=F91),N(I91)/N(INDEX('07-تموز'!$I$2:$I$500,V91))-1,""))</f>
        <v>0</v>
      </c>
      <c r="AC91" t="str">
        <f>IF(L91="","",IF(AND($AO$2=1,ISNA(MATCH(L91,'09-أيلول'!$L$2:$L$500,0))),"محذوف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9.0999999999999994E-8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238.20000009100002</v>
      </c>
      <c r="AL91">
        <f t="shared" si="39"/>
        <v>9.0999999999999994E-8</v>
      </c>
    </row>
    <row r="92" spans="1:38" ht="15">
      <c r="A92" t="s">
        <v>297</v>
      </c>
      <c r="B92">
        <v>69.5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2.2000000000000002</v>
      </c>
      <c r="K92" t="str">
        <f t="shared" si="20"/>
        <v/>
      </c>
      <c r="L92" t="str">
        <f t="shared" si="21"/>
        <v>غليسيرين</v>
      </c>
      <c r="M92" s="36">
        <f t="shared" si="22"/>
        <v>1</v>
      </c>
      <c r="N92" s="37">
        <f t="shared" si="23"/>
        <v>2.2000000000000002</v>
      </c>
      <c r="O92" s="37">
        <f t="shared" si="24"/>
        <v>0</v>
      </c>
      <c r="P92" s="38">
        <f t="shared" si="25"/>
        <v>69.5</v>
      </c>
      <c r="Q92" s="39">
        <f t="shared" si="26"/>
        <v>152.9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IF(L92="","",IF($AO$1=1,IFERROR(MATCH(L92,'07-تموز'!$L$2:$L$500,0),0),0))</f>
        <v>85</v>
      </c>
      <c r="W92" t="str">
        <f t="shared" si="31"/>
        <v/>
      </c>
      <c r="X92" s="38">
        <f>IF(L92="","",IF(V92&gt;0,INDEX('07-تموز'!$P$2:$P$500,V92),IF($AO$1=1,0,"")))</f>
        <v>100</v>
      </c>
      <c r="Y92" s="38">
        <f t="shared" si="32"/>
        <v>-30.5</v>
      </c>
      <c r="Z92" s="39">
        <f>IF(L92="","",IF(V92&gt;0,INDEX('07-تموز'!$Q$2:$Q$500,V92),IF($AO$1=1,0,"")))</f>
        <v>220.00000000000003</v>
      </c>
      <c r="AA92" s="39">
        <f t="shared" si="33"/>
        <v>-67.100000000000023</v>
      </c>
      <c r="AB92" s="40">
        <f>IF(OR(L92="",V92=0),"",IF(AND(N(I92)&gt;0,N(INDEX('07-تموز'!$I$2:$I$500,V92))&gt;0,INDEX('07-تموز'!$F$2:$F$500,V92)=F92),N(I92)/N(INDEX('07-تموز'!$I$2:$I$500,V92))-1,""))</f>
        <v>0</v>
      </c>
      <c r="AC92" t="str">
        <f>IF(L92="","",IF(AND($AO$2=1,ISNA(MATCH(L92,'09-أيلول'!$L$2:$L$500,0))),"محذوف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67.100000092000016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152.900000092</v>
      </c>
      <c r="AL92">
        <f t="shared" si="39"/>
        <v>9.2000000000000003E-8</v>
      </c>
    </row>
    <row r="93" spans="1:38" ht="15">
      <c r="A93" t="s">
        <v>298</v>
      </c>
      <c r="B93">
        <v>3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4.5</v>
      </c>
      <c r="K93" t="str">
        <f t="shared" si="20"/>
        <v/>
      </c>
      <c r="L93" t="str">
        <f t="shared" si="21"/>
        <v>غطا عبوة 3لتر</v>
      </c>
      <c r="M93" s="36">
        <f t="shared" si="22"/>
        <v>1</v>
      </c>
      <c r="N93" s="37">
        <f t="shared" si="23"/>
        <v>4.5</v>
      </c>
      <c r="O93" s="37">
        <f t="shared" si="24"/>
        <v>0</v>
      </c>
      <c r="P93" s="38">
        <f t="shared" si="25"/>
        <v>3</v>
      </c>
      <c r="Q93" s="39">
        <f t="shared" si="26"/>
        <v>13.5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IF(L93="","",IF($AO$1=1,IFERROR(MATCH(L93,'07-تموز'!$L$2:$L$500,0),0),0))</f>
        <v>86</v>
      </c>
      <c r="W93" t="str">
        <f t="shared" si="31"/>
        <v/>
      </c>
      <c r="X93" s="38">
        <f>IF(L93="","",IF(V93&gt;0,INDEX('07-تموز'!$P$2:$P$500,V93),IF($AO$1=1,0,"")))</f>
        <v>3</v>
      </c>
      <c r="Y93" s="38">
        <f t="shared" si="32"/>
        <v>0</v>
      </c>
      <c r="Z93" s="39">
        <f>IF(L93="","",IF(V93&gt;0,INDEX('07-تموز'!$Q$2:$Q$500,V93),IF($AO$1=1,0,"")))</f>
        <v>13.5</v>
      </c>
      <c r="AA93" s="39">
        <f t="shared" si="33"/>
        <v>0</v>
      </c>
      <c r="AB93" s="40">
        <f>IF(OR(L93="",V93=0),"",IF(AND(N(I93)&gt;0,N(INDEX('07-تموز'!$I$2:$I$500,V93))&gt;0,INDEX('07-تموز'!$F$2:$F$500,V93)=F93),N(I93)/N(INDEX('07-تموز'!$I$2:$I$500,V93))-1,""))</f>
        <v>0</v>
      </c>
      <c r="AC93" t="str">
        <f>IF(L93="","",IF(AND($AO$2=1,ISNA(MATCH(L93,'09-أيلول'!$L$2:$L$500,0))),"محذوف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9.2999999999999999E-8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13.500000093000001</v>
      </c>
      <c r="AL93">
        <f t="shared" si="39"/>
        <v>9.2999999999999999E-8</v>
      </c>
    </row>
    <row r="94" spans="1:38" ht="15">
      <c r="A94" t="s">
        <v>514</v>
      </c>
      <c r="B94">
        <v>1</v>
      </c>
      <c r="C94">
        <v>10.08</v>
      </c>
      <c r="D94">
        <v>10.08</v>
      </c>
      <c r="E94">
        <v>10.08</v>
      </c>
      <c r="F94" t="s">
        <v>268</v>
      </c>
      <c r="G94" t="s">
        <v>178</v>
      </c>
      <c r="H94" t="s">
        <v>12</v>
      </c>
      <c r="I94">
        <v>6</v>
      </c>
      <c r="K94" t="str">
        <f t="shared" si="20"/>
        <v/>
      </c>
      <c r="L94" t="str">
        <f t="shared" si="21"/>
        <v>عملاق ريفا 450 مم</v>
      </c>
      <c r="M94" s="36">
        <f t="shared" si="22"/>
        <v>1</v>
      </c>
      <c r="N94" s="37">
        <f t="shared" si="23"/>
        <v>6</v>
      </c>
      <c r="O94" s="37">
        <f t="shared" si="24"/>
        <v>10.08</v>
      </c>
      <c r="P94" s="38">
        <f t="shared" si="25"/>
        <v>1</v>
      </c>
      <c r="Q94" s="39">
        <f t="shared" si="26"/>
        <v>6</v>
      </c>
      <c r="R94" s="39">
        <f t="shared" si="27"/>
        <v>10.08</v>
      </c>
      <c r="S94">
        <f t="shared" si="28"/>
        <v>1</v>
      </c>
      <c r="T94" s="39">
        <f t="shared" si="29"/>
        <v>4.08</v>
      </c>
      <c r="U94" t="str">
        <f t="shared" si="30"/>
        <v/>
      </c>
      <c r="V94">
        <f>IF(L94="","",IF($AO$1=1,IFERROR(MATCH(L94,'07-تموز'!$L$2:$L$500,0),0),0))</f>
        <v>0</v>
      </c>
      <c r="W94" t="str">
        <f t="shared" si="31"/>
        <v>جديد</v>
      </c>
      <c r="X94" s="38">
        <f>IF(L94="","",IF(V94&gt;0,INDEX('07-تموز'!$P$2:$P$500,V94),IF($AO$1=1,0,"")))</f>
        <v>0</v>
      </c>
      <c r="Y94" s="38">
        <f t="shared" si="32"/>
        <v>1</v>
      </c>
      <c r="Z94" s="39">
        <f>IF(L94="","",IF(V94&gt;0,INDEX('07-تموز'!$Q$2:$Q$500,V94),IF($AO$1=1,0,"")))</f>
        <v>0</v>
      </c>
      <c r="AA94" s="39">
        <f t="shared" si="33"/>
        <v>6</v>
      </c>
      <c r="AB94" s="40" t="str">
        <f>IF(OR(L94="",V94=0),"",IF(AND(N(I94)&gt;0,N(INDEX('07-تموز'!$I$2:$I$500,V94))&gt;0,INDEX('07-تموز'!$F$2:$F$500,V94)=F94),N(I94)/N(INDEX('07-تموز'!$I$2:$I$500,V94))-1,""))</f>
        <v/>
      </c>
      <c r="AC94" t="str">
        <f>IF(L94="","",IF(AND($AO$2=1,ISNA(MATCH(L94,'09-أيلول'!$L$2:$L$500,0))),"محذوف لاحقاً",""))</f>
        <v/>
      </c>
      <c r="AD94">
        <f>IF(W94="جديد",COUNTIF(W$2:W94,"جديد"),"")</f>
        <v>7</v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6.0000000939999998</v>
      </c>
      <c r="AH94" s="39">
        <f t="shared" si="35"/>
        <v>4.08</v>
      </c>
      <c r="AI94" s="39">
        <f t="shared" si="36"/>
        <v>4.08</v>
      </c>
      <c r="AJ94" s="39">
        <f t="shared" si="37"/>
        <v>4.08</v>
      </c>
      <c r="AK94">
        <f t="shared" si="38"/>
        <v>6.0000000939999998</v>
      </c>
      <c r="AL94">
        <f t="shared" si="39"/>
        <v>4.0800000939999999</v>
      </c>
    </row>
    <row r="95" spans="1:38" ht="15">
      <c r="A95" t="s">
        <v>299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177</v>
      </c>
      <c r="I95">
        <v>165</v>
      </c>
      <c r="K95" t="str">
        <f t="shared" si="20"/>
        <v/>
      </c>
      <c r="L95" t="str">
        <f t="shared" si="21"/>
        <v>عملاق خام</v>
      </c>
      <c r="M95" s="36">
        <f t="shared" si="22"/>
        <v>1</v>
      </c>
      <c r="N95" s="37">
        <f t="shared" si="23"/>
        <v>165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IF(L95="","",IF($AO$1=1,IFERROR(MATCH(L95,'07-تموز'!$L$2:$L$500,0),0),0))</f>
        <v>87</v>
      </c>
      <c r="W95" t="str">
        <f t="shared" si="31"/>
        <v/>
      </c>
      <c r="X95" s="38">
        <f>IF(L95="","",IF(V95&gt;0,INDEX('07-تموز'!$P$2:$P$500,V95),IF($AO$1=1,0,"")))</f>
        <v>0</v>
      </c>
      <c r="Y95" s="38">
        <f t="shared" si="32"/>
        <v>0</v>
      </c>
      <c r="Z95" s="39">
        <f>IF(L95="","",IF(V95&gt;0,INDEX('07-تموز'!$Q$2:$Q$500,V95),IF($AO$1=1,0,"")))</f>
        <v>0</v>
      </c>
      <c r="AA95" s="39">
        <f t="shared" si="33"/>
        <v>0</v>
      </c>
      <c r="AB95" s="40">
        <f>IF(OR(L95="",V95=0),"",IF(AND(N(I95)&gt;0,N(INDEX('07-تموز'!$I$2:$I$500,V95))&gt;0,INDEX('07-تموز'!$F$2:$F$500,V95)=F95),N(I95)/N(INDEX('07-تموز'!$I$2:$I$500,V95))-1,""))</f>
        <v>0</v>
      </c>
      <c r="AC95" t="str">
        <f>IF(L95="","",IF(AND($AO$2=1,ISNA(MATCH(L95,'09-أيلول'!$L$2:$L$500,0))),"محذوف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9.5000000000000004E-8</v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444</v>
      </c>
      <c r="B96">
        <v>0</v>
      </c>
      <c r="C96">
        <v>0</v>
      </c>
      <c r="D96">
        <v>0</v>
      </c>
      <c r="E96">
        <v>0</v>
      </c>
      <c r="F96" t="s">
        <v>389</v>
      </c>
      <c r="G96" t="s">
        <v>178</v>
      </c>
      <c r="H96" t="s">
        <v>12</v>
      </c>
      <c r="I96">
        <v>0</v>
      </c>
      <c r="K96" t="str">
        <f t="shared" si="20"/>
        <v/>
      </c>
      <c r="L96" t="str">
        <f t="shared" si="21"/>
        <v>عملاق 3 لتر</v>
      </c>
      <c r="M96" s="36">
        <f t="shared" si="22"/>
        <v>7.5757575757575758E-5</v>
      </c>
      <c r="N96" s="37">
        <f t="shared" si="23"/>
        <v>0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IF(L96="","",IF($AO$1=1,IFERROR(MATCH(L96,'07-تموز'!$L$2:$L$500,0),0),0))</f>
        <v>88</v>
      </c>
      <c r="W96" t="str">
        <f t="shared" si="31"/>
        <v/>
      </c>
      <c r="X96" s="38">
        <f>IF(L96="","",IF(V96&gt;0,INDEX('07-تموز'!$P$2:$P$500,V96),IF($AO$1=1,0,"")))</f>
        <v>0</v>
      </c>
      <c r="Y96" s="38">
        <f t="shared" si="32"/>
        <v>0</v>
      </c>
      <c r="Z96" s="39">
        <f>IF(L96="","",IF(V96&gt;0,INDEX('07-تموز'!$Q$2:$Q$500,V96),IF($AO$1=1,0,"")))</f>
        <v>0</v>
      </c>
      <c r="AA96" s="39">
        <f t="shared" si="33"/>
        <v>0</v>
      </c>
      <c r="AB96" s="40" t="str">
        <f>IF(OR(L96="",V96=0),"",IF(AND(N(I96)&gt;0,N(INDEX('07-تموز'!$I$2:$I$500,V96))&gt;0,INDEX('07-تموز'!$F$2:$F$500,V96)=F96),N(I96)/N(INDEX('07-تموز'!$I$2:$I$500,V96))-1,""))</f>
        <v/>
      </c>
      <c r="AC96" t="str">
        <f>IF(L96="","",IF(AND($AO$2=1,ISNA(MATCH(L96,'09-أيلول'!$L$2:$L$500,0))),"محذوف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9.5999999999999999E-8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445</v>
      </c>
      <c r="B97">
        <v>279.33999999999997</v>
      </c>
      <c r="C97">
        <v>13000</v>
      </c>
      <c r="D97">
        <v>13000</v>
      </c>
      <c r="E97">
        <v>13000</v>
      </c>
      <c r="F97" t="s">
        <v>389</v>
      </c>
      <c r="G97" t="s">
        <v>178</v>
      </c>
      <c r="H97" t="s">
        <v>12</v>
      </c>
      <c r="I97">
        <v>9000</v>
      </c>
      <c r="K97" t="str">
        <f t="shared" si="20"/>
        <v/>
      </c>
      <c r="L97" t="str">
        <f t="shared" si="21"/>
        <v>عملاق</v>
      </c>
      <c r="M97" s="36">
        <f t="shared" si="22"/>
        <v>7.5757575757575758E-5</v>
      </c>
      <c r="N97" s="37">
        <f t="shared" si="23"/>
        <v>0.68181818181818177</v>
      </c>
      <c r="O97" s="37">
        <f t="shared" si="24"/>
        <v>0.98484848484848486</v>
      </c>
      <c r="P97" s="38">
        <f t="shared" si="25"/>
        <v>279.33999999999997</v>
      </c>
      <c r="Q97" s="39">
        <f t="shared" si="26"/>
        <v>190.45909090909089</v>
      </c>
      <c r="R97" s="39">
        <f t="shared" si="27"/>
        <v>275.10757575757572</v>
      </c>
      <c r="S97">
        <f t="shared" si="28"/>
        <v>1</v>
      </c>
      <c r="T97" s="39">
        <f t="shared" si="29"/>
        <v>84.648484848484827</v>
      </c>
      <c r="U97" t="str">
        <f t="shared" si="30"/>
        <v/>
      </c>
      <c r="V97">
        <f>IF(L97="","",IF($AO$1=1,IFERROR(MATCH(L97,'07-تموز'!$L$2:$L$500,0),0),0))</f>
        <v>89</v>
      </c>
      <c r="W97" t="str">
        <f t="shared" si="31"/>
        <v/>
      </c>
      <c r="X97" s="38">
        <f>IF(L97="","",IF(V97&gt;0,INDEX('07-تموز'!$P$2:$P$500,V97),IF($AO$1=1,0,"")))</f>
        <v>36.5</v>
      </c>
      <c r="Y97" s="38">
        <f t="shared" si="32"/>
        <v>242.83999999999997</v>
      </c>
      <c r="Z97" s="39">
        <f>IF(L97="","",IF(V97&gt;0,INDEX('07-تموز'!$Q$2:$Q$500,V97),IF($AO$1=1,0,"")))</f>
        <v>24.699248120300751</v>
      </c>
      <c r="AA97" s="39">
        <f t="shared" si="33"/>
        <v>165.75984278879014</v>
      </c>
      <c r="AB97" s="40">
        <f>IF(OR(L97="",V97=0),"",IF(AND(N(I97)&gt;0,N(INDEX('07-تموز'!$I$2:$I$500,V97))&gt;0,INDEX('07-تموز'!$F$2:$F$500,V97)=F97),N(I97)/N(INDEX('07-تموز'!$I$2:$I$500,V97))-1,""))</f>
        <v>0</v>
      </c>
      <c r="AC97" t="str">
        <f>IF(L97="","",IF(AND($AO$2=1,ISNA(MATCH(L97,'09-أيلول'!$L$2:$L$500,0))),"محذوف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165.75984288579014</v>
      </c>
      <c r="AH97" s="39">
        <f t="shared" si="35"/>
        <v>84.648484848484856</v>
      </c>
      <c r="AI97" s="39">
        <f t="shared" si="36"/>
        <v>84.648484848484856</v>
      </c>
      <c r="AJ97" s="39">
        <f t="shared" si="37"/>
        <v>84.648484848484856</v>
      </c>
      <c r="AK97">
        <f t="shared" si="38"/>
        <v>190.45909100609089</v>
      </c>
      <c r="AL97">
        <f t="shared" si="39"/>
        <v>84.648484945484824</v>
      </c>
    </row>
    <row r="98" spans="1:38" ht="15">
      <c r="A98" t="s">
        <v>300</v>
      </c>
      <c r="B98">
        <v>0.49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312.5</v>
      </c>
      <c r="K98" t="str">
        <f t="shared" si="20"/>
        <v/>
      </c>
      <c r="L98" t="str">
        <f t="shared" si="21"/>
        <v>عطر-نسيم-المحيط ocean-breeze - 327993</v>
      </c>
      <c r="M98" s="36">
        <f t="shared" si="22"/>
        <v>1</v>
      </c>
      <c r="N98" s="37">
        <f t="shared" si="23"/>
        <v>312.5</v>
      </c>
      <c r="O98" s="37">
        <f t="shared" si="24"/>
        <v>0</v>
      </c>
      <c r="P98" s="38">
        <f t="shared" si="25"/>
        <v>0.49</v>
      </c>
      <c r="Q98" s="39">
        <f t="shared" si="26"/>
        <v>153.125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IF(L98="","",IF($AO$1=1,IFERROR(MATCH(L98,'07-تموز'!$L$2:$L$500,0),0),0))</f>
        <v>90</v>
      </c>
      <c r="W98" t="str">
        <f t="shared" si="31"/>
        <v/>
      </c>
      <c r="X98" s="38">
        <f>IF(L98="","",IF(V98&gt;0,INDEX('07-تموز'!$P$2:$P$500,V98),IF($AO$1=1,0,"")))</f>
        <v>0.59</v>
      </c>
      <c r="Y98" s="38">
        <f t="shared" si="32"/>
        <v>-9.9999999999999978E-2</v>
      </c>
      <c r="Z98" s="39">
        <f>IF(L98="","",IF(V98&gt;0,INDEX('07-تموز'!$Q$2:$Q$500,V98),IF($AO$1=1,0,"")))</f>
        <v>184.375</v>
      </c>
      <c r="AA98" s="39">
        <f t="shared" si="33"/>
        <v>-31.25</v>
      </c>
      <c r="AB98" s="40">
        <f>IF(OR(L98="",V98=0),"",IF(AND(N(I98)&gt;0,N(INDEX('07-تموز'!$I$2:$I$500,V98))&gt;0,INDEX('07-تموز'!$F$2:$F$500,V98)=F98),N(I98)/N(INDEX('07-تموز'!$I$2:$I$500,V98))-1,""))</f>
        <v>0</v>
      </c>
      <c r="AC98" t="str">
        <f>IF(L98="","",IF(AND($AO$2=1,ISNA(MATCH(L98,'09-أيلول'!$L$2:$L$500,0))),"محذوف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31.250000098000001</v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153.12500009799999</v>
      </c>
      <c r="AL98">
        <f t="shared" si="39"/>
        <v>9.8000000000000004E-8</v>
      </c>
    </row>
    <row r="99" spans="1:38" ht="15">
      <c r="A99" t="s">
        <v>301</v>
      </c>
      <c r="B99">
        <v>0.52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175</v>
      </c>
      <c r="K99" t="str">
        <f t="shared" si="20"/>
        <v/>
      </c>
      <c r="L99" t="str">
        <f t="shared" si="21"/>
        <v>عطر-ليمون shiny-star - 485764</v>
      </c>
      <c r="M99" s="36">
        <f t="shared" si="22"/>
        <v>1</v>
      </c>
      <c r="N99" s="37">
        <f t="shared" si="23"/>
        <v>175</v>
      </c>
      <c r="O99" s="37">
        <f t="shared" si="24"/>
        <v>0</v>
      </c>
      <c r="P99" s="38">
        <f t="shared" si="25"/>
        <v>0.52</v>
      </c>
      <c r="Q99" s="39">
        <f t="shared" si="26"/>
        <v>91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IF(L99="","",IF($AO$1=1,IFERROR(MATCH(L99,'07-تموز'!$L$2:$L$500,0),0),0))</f>
        <v>91</v>
      </c>
      <c r="W99" t="str">
        <f t="shared" si="31"/>
        <v/>
      </c>
      <c r="X99" s="38">
        <f>IF(L99="","",IF(V99&gt;0,INDEX('07-تموز'!$P$2:$P$500,V99),IF($AO$1=1,0,"")))</f>
        <v>0.52</v>
      </c>
      <c r="Y99" s="38">
        <f t="shared" si="32"/>
        <v>0</v>
      </c>
      <c r="Z99" s="39">
        <f>IF(L99="","",IF(V99&gt;0,INDEX('07-تموز'!$Q$2:$Q$500,V99),IF($AO$1=1,0,"")))</f>
        <v>91</v>
      </c>
      <c r="AA99" s="39">
        <f t="shared" si="33"/>
        <v>0</v>
      </c>
      <c r="AB99" s="40">
        <f>IF(OR(L99="",V99=0),"",IF(AND(N(I99)&gt;0,N(INDEX('07-تموز'!$I$2:$I$500,V99))&gt;0,INDEX('07-تموز'!$F$2:$F$500,V99)=F99),N(I99)/N(INDEX('07-تموز'!$I$2:$I$500,V99))-1,""))</f>
        <v>0</v>
      </c>
      <c r="AC99" t="str">
        <f>IF(L99="","",IF(AND($AO$2=1,ISNA(MATCH(L99,'09-أيلول'!$L$2:$L$500,0))),"محذوف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91.000000099000005</v>
      </c>
      <c r="AL99">
        <f t="shared" si="39"/>
        <v>9.9E-8</v>
      </c>
    </row>
    <row r="100" spans="1:38" ht="15">
      <c r="A100" t="s">
        <v>302</v>
      </c>
      <c r="B100">
        <v>0.36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175</v>
      </c>
      <c r="K100" t="str">
        <f t="shared" si="20"/>
        <v/>
      </c>
      <c r="L100" t="str">
        <f t="shared" si="21"/>
        <v>عطر-ليمون citrus lemon new - 321639</v>
      </c>
      <c r="M100" s="36">
        <f t="shared" si="22"/>
        <v>1</v>
      </c>
      <c r="N100" s="37">
        <f t="shared" si="23"/>
        <v>175</v>
      </c>
      <c r="O100" s="37">
        <f t="shared" si="24"/>
        <v>0</v>
      </c>
      <c r="P100" s="38">
        <f t="shared" si="25"/>
        <v>0.36</v>
      </c>
      <c r="Q100" s="39">
        <f t="shared" si="26"/>
        <v>63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IF(L100="","",IF($AO$1=1,IFERROR(MATCH(L100,'07-تموز'!$L$2:$L$500,0),0),0))</f>
        <v>92</v>
      </c>
      <c r="W100" t="str">
        <f t="shared" si="31"/>
        <v/>
      </c>
      <c r="X100" s="38">
        <f>IF(L100="","",IF(V100&gt;0,INDEX('07-تموز'!$P$2:$P$500,V100),IF($AO$1=1,0,"")))</f>
        <v>0.36</v>
      </c>
      <c r="Y100" s="38">
        <f t="shared" si="32"/>
        <v>0</v>
      </c>
      <c r="Z100" s="39">
        <f>IF(L100="","",IF(V100&gt;0,INDEX('07-تموز'!$Q$2:$Q$500,V100),IF($AO$1=1,0,"")))</f>
        <v>63</v>
      </c>
      <c r="AA100" s="39">
        <f t="shared" si="33"/>
        <v>0</v>
      </c>
      <c r="AB100" s="40">
        <f>IF(OR(L100="",V100=0),"",IF(AND(N(I100)&gt;0,N(INDEX('07-تموز'!$I$2:$I$500,V100))&gt;0,INDEX('07-تموز'!$F$2:$F$500,V100)=F100),N(I100)/N(INDEX('07-تموز'!$I$2:$I$500,V100))-1,""))</f>
        <v>0</v>
      </c>
      <c r="AC100" t="str">
        <f>IF(L100="","",IF(AND($AO$2=1,ISNA(MATCH(L100,'09-أيلول'!$L$2:$L$500,0))),"محذوف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63.000000100000001</v>
      </c>
      <c r="AL100">
        <f t="shared" si="39"/>
        <v>9.9999999999999995E-8</v>
      </c>
    </row>
    <row r="101" spans="1:38" ht="15">
      <c r="A101" t="s">
        <v>303</v>
      </c>
      <c r="B101">
        <v>0.53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312.5</v>
      </c>
      <c r="K101" t="str">
        <f t="shared" si="20"/>
        <v/>
      </c>
      <c r="L101" t="str">
        <f t="shared" si="21"/>
        <v>عطر-ليلك ariel-sensation - 318728</v>
      </c>
      <c r="M101" s="36">
        <f t="shared" si="22"/>
        <v>1</v>
      </c>
      <c r="N101" s="37">
        <f t="shared" si="23"/>
        <v>312.5</v>
      </c>
      <c r="O101" s="37">
        <f t="shared" si="24"/>
        <v>0</v>
      </c>
      <c r="P101" s="38">
        <f t="shared" si="25"/>
        <v>0.53</v>
      </c>
      <c r="Q101" s="39">
        <f t="shared" si="26"/>
        <v>165.625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IF(L101="","",IF($AO$1=1,IFERROR(MATCH(L101,'07-تموز'!$L$2:$L$500,0),0),0))</f>
        <v>93</v>
      </c>
      <c r="W101" t="str">
        <f t="shared" si="31"/>
        <v/>
      </c>
      <c r="X101" s="38">
        <f>IF(L101="","",IF(V101&gt;0,INDEX('07-تموز'!$P$2:$P$500,V101),IF($AO$1=1,0,"")))</f>
        <v>0.74</v>
      </c>
      <c r="Y101" s="38">
        <f t="shared" si="32"/>
        <v>-0.20999999999999996</v>
      </c>
      <c r="Z101" s="39">
        <f>IF(L101="","",IF(V101&gt;0,INDEX('07-تموز'!$Q$2:$Q$500,V101),IF($AO$1=1,0,"")))</f>
        <v>231.25</v>
      </c>
      <c r="AA101" s="39">
        <f t="shared" si="33"/>
        <v>-65.625</v>
      </c>
      <c r="AB101" s="40">
        <f>IF(OR(L101="",V101=0),"",IF(AND(N(I101)&gt;0,N(INDEX('07-تموز'!$I$2:$I$500,V101))&gt;0,INDEX('07-تموز'!$F$2:$F$500,V101)=F101),N(I101)/N(INDEX('07-تموز'!$I$2:$I$500,V101))-1,""))</f>
        <v>0</v>
      </c>
      <c r="AC101" t="str">
        <f>IF(L101="","",IF(AND($AO$2=1,ISNA(MATCH(L101,'09-أيلول'!$L$2:$L$500,0))),"محذوف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65.625000100999998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165.62500010100001</v>
      </c>
      <c r="AL101">
        <f t="shared" si="39"/>
        <v>1.01E-7</v>
      </c>
    </row>
    <row r="102" spans="1:38" ht="15">
      <c r="A102" t="s">
        <v>304</v>
      </c>
      <c r="B102">
        <v>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312.5</v>
      </c>
      <c r="K102" t="str">
        <f t="shared" si="20"/>
        <v/>
      </c>
      <c r="L102" t="str">
        <f t="shared" si="21"/>
        <v>عطر-فريز</v>
      </c>
      <c r="M102" s="36">
        <f t="shared" si="22"/>
        <v>1</v>
      </c>
      <c r="N102" s="37">
        <f t="shared" si="23"/>
        <v>312.5</v>
      </c>
      <c r="O102" s="37">
        <f t="shared" si="24"/>
        <v>0</v>
      </c>
      <c r="P102" s="38">
        <f t="shared" si="25"/>
        <v>0</v>
      </c>
      <c r="Q102" s="39">
        <f t="shared" si="26"/>
        <v>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IF(L102="","",IF($AO$1=1,IFERROR(MATCH(L102,'07-تموز'!$L$2:$L$500,0),0),0))</f>
        <v>94</v>
      </c>
      <c r="W102" t="str">
        <f t="shared" si="31"/>
        <v/>
      </c>
      <c r="X102" s="38">
        <f>IF(L102="","",IF(V102&gt;0,INDEX('07-تموز'!$P$2:$P$500,V102),IF($AO$1=1,0,"")))</f>
        <v>0</v>
      </c>
      <c r="Y102" s="38">
        <f t="shared" si="32"/>
        <v>0</v>
      </c>
      <c r="Z102" s="39">
        <f>IF(L102="","",IF(V102&gt;0,INDEX('07-تموز'!$Q$2:$Q$500,V102),IF($AO$1=1,0,"")))</f>
        <v>0</v>
      </c>
      <c r="AA102" s="39">
        <f t="shared" si="33"/>
        <v>0</v>
      </c>
      <c r="AB102" s="40">
        <f>IF(OR(L102="",V102=0),"",IF(AND(N(I102)&gt;0,N(INDEX('07-تموز'!$I$2:$I$500,V102))&gt;0,INDEX('07-تموز'!$F$2:$F$500,V102)=F102),N(I102)/N(INDEX('07-تموز'!$I$2:$I$500,V102))-1,""))</f>
        <v>0</v>
      </c>
      <c r="AC102" t="str">
        <f>IF(L102="","",IF(AND($AO$2=1,ISNA(MATCH(L102,'09-أيلول'!$L$2:$L$500,0))),"محذوف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1.02E-7</v>
      </c>
      <c r="AL102">
        <f t="shared" si="39"/>
        <v>1.02E-7</v>
      </c>
    </row>
    <row r="103" spans="1:38" ht="15">
      <c r="A103" t="s">
        <v>305</v>
      </c>
      <c r="B103">
        <v>3.56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900</v>
      </c>
      <c r="K103" t="str">
        <f t="shared" si="20"/>
        <v/>
      </c>
      <c r="L103" t="str">
        <f t="shared" si="21"/>
        <v>عطر-سلطان</v>
      </c>
      <c r="M103" s="36">
        <f t="shared" si="22"/>
        <v>1</v>
      </c>
      <c r="N103" s="37">
        <f t="shared" si="23"/>
        <v>900</v>
      </c>
      <c r="O103" s="37">
        <f t="shared" si="24"/>
        <v>0</v>
      </c>
      <c r="P103" s="38">
        <f t="shared" si="25"/>
        <v>3.56</v>
      </c>
      <c r="Q103" s="39">
        <f t="shared" si="26"/>
        <v>3204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IF(L103="","",IF($AO$1=1,IFERROR(MATCH(L103,'07-تموز'!$L$2:$L$500,0),0),0))</f>
        <v>95</v>
      </c>
      <c r="W103" t="str">
        <f t="shared" si="31"/>
        <v/>
      </c>
      <c r="X103" s="38">
        <f>IF(L103="","",IF(V103&gt;0,INDEX('07-تموز'!$P$2:$P$500,V103),IF($AO$1=1,0,"")))</f>
        <v>2.5499999999999998</v>
      </c>
      <c r="Y103" s="38">
        <f t="shared" si="32"/>
        <v>1.0100000000000002</v>
      </c>
      <c r="Z103" s="39">
        <f>IF(L103="","",IF(V103&gt;0,INDEX('07-تموز'!$Q$2:$Q$500,V103),IF($AO$1=1,0,"")))</f>
        <v>2295</v>
      </c>
      <c r="AA103" s="39">
        <f t="shared" si="33"/>
        <v>909</v>
      </c>
      <c r="AB103" s="40">
        <f>IF(OR(L103="",V103=0),"",IF(AND(N(I103)&gt;0,N(INDEX('07-تموز'!$I$2:$I$500,V103))&gt;0,INDEX('07-تموز'!$F$2:$F$500,V103)=F103),N(I103)/N(INDEX('07-تموز'!$I$2:$I$500,V103))-1,""))</f>
        <v>0</v>
      </c>
      <c r="AC103" t="str">
        <f>IF(L103="","",IF(AND($AO$2=1,ISNA(MATCH(L103,'09-أيلول'!$L$2:$L$500,0))),"محذوف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909.00000010300005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3204.0000001029998</v>
      </c>
      <c r="AL103">
        <f t="shared" si="39"/>
        <v>1.03E-7</v>
      </c>
    </row>
    <row r="104" spans="1:38" ht="15">
      <c r="A104" t="s">
        <v>306</v>
      </c>
      <c r="B104">
        <v>0.53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225</v>
      </c>
      <c r="K104" t="str">
        <f t="shared" si="20"/>
        <v/>
      </c>
      <c r="L104" t="str">
        <f t="shared" si="21"/>
        <v>عطر-زهور lovely-petals - 485718</v>
      </c>
      <c r="M104" s="36">
        <f t="shared" si="22"/>
        <v>1</v>
      </c>
      <c r="N104" s="37">
        <f t="shared" si="23"/>
        <v>225</v>
      </c>
      <c r="O104" s="37">
        <f t="shared" si="24"/>
        <v>0</v>
      </c>
      <c r="P104" s="38">
        <f t="shared" si="25"/>
        <v>0.53</v>
      </c>
      <c r="Q104" s="39">
        <f t="shared" si="26"/>
        <v>119.25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IF(L104="","",IF($AO$1=1,IFERROR(MATCH(L104,'07-تموز'!$L$2:$L$500,0),0),0))</f>
        <v>96</v>
      </c>
      <c r="W104" t="str">
        <f t="shared" si="31"/>
        <v/>
      </c>
      <c r="X104" s="38">
        <f>IF(L104="","",IF(V104&gt;0,INDEX('07-تموز'!$P$2:$P$500,V104),IF($AO$1=1,0,"")))</f>
        <v>0.53</v>
      </c>
      <c r="Y104" s="38">
        <f t="shared" si="32"/>
        <v>0</v>
      </c>
      <c r="Z104" s="39">
        <f>IF(L104="","",IF(V104&gt;0,INDEX('07-تموز'!$Q$2:$Q$500,V104),IF($AO$1=1,0,"")))</f>
        <v>119.25</v>
      </c>
      <c r="AA104" s="39">
        <f t="shared" si="33"/>
        <v>0</v>
      </c>
      <c r="AB104" s="40">
        <f>IF(OR(L104="",V104=0),"",IF(AND(N(I104)&gt;0,N(INDEX('07-تموز'!$I$2:$I$500,V104))&gt;0,INDEX('07-تموز'!$F$2:$F$500,V104)=F104),N(I104)/N(INDEX('07-تموز'!$I$2:$I$500,V104))-1,""))</f>
        <v>0</v>
      </c>
      <c r="AC104" t="str">
        <f>IF(L104="","",IF(AND($AO$2=1,ISNA(MATCH(L104,'09-أيلول'!$L$2:$L$500,0))),"محذوف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1.04E-7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119.25000010399999</v>
      </c>
      <c r="AL104">
        <f t="shared" si="39"/>
        <v>1.04E-7</v>
      </c>
    </row>
    <row r="105" spans="1:38" ht="15">
      <c r="A105" t="s">
        <v>307</v>
      </c>
      <c r="B105">
        <v>0.62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312.5</v>
      </c>
      <c r="K105" t="str">
        <f t="shared" si="20"/>
        <v/>
      </c>
      <c r="L105" t="str">
        <f t="shared" si="21"/>
        <v>عطر-رمان apple grandada - 322730</v>
      </c>
      <c r="M105" s="36">
        <f t="shared" si="22"/>
        <v>1</v>
      </c>
      <c r="N105" s="37">
        <f t="shared" si="23"/>
        <v>312.5</v>
      </c>
      <c r="O105" s="37">
        <f t="shared" si="24"/>
        <v>0</v>
      </c>
      <c r="P105" s="38">
        <f t="shared" si="25"/>
        <v>0.62</v>
      </c>
      <c r="Q105" s="39">
        <f t="shared" si="26"/>
        <v>193.75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IF(L105="","",IF($AO$1=1,IFERROR(MATCH(L105,'07-تموز'!$L$2:$L$500,0),0),0))</f>
        <v>97</v>
      </c>
      <c r="W105" t="str">
        <f t="shared" si="31"/>
        <v/>
      </c>
      <c r="X105" s="38">
        <f>IF(L105="","",IF(V105&gt;0,INDEX('07-تموز'!$P$2:$P$500,V105),IF($AO$1=1,0,"")))</f>
        <v>0.62</v>
      </c>
      <c r="Y105" s="38">
        <f t="shared" si="32"/>
        <v>0</v>
      </c>
      <c r="Z105" s="39">
        <f>IF(L105="","",IF(V105&gt;0,INDEX('07-تموز'!$Q$2:$Q$500,V105),IF($AO$1=1,0,"")))</f>
        <v>193.75</v>
      </c>
      <c r="AA105" s="39">
        <f t="shared" si="33"/>
        <v>0</v>
      </c>
      <c r="AB105" s="40">
        <f>IF(OR(L105="",V105=0),"",IF(AND(N(I105)&gt;0,N(INDEX('07-تموز'!$I$2:$I$500,V105))&gt;0,INDEX('07-تموز'!$F$2:$F$500,V105)=F105),N(I105)/N(INDEX('07-تموز'!$I$2:$I$500,V105))-1,""))</f>
        <v>0</v>
      </c>
      <c r="AC105" t="str">
        <f>IF(L105="","",IF(AND($AO$2=1,ISNA(MATCH(L105,'09-أيلول'!$L$2:$L$500,0))),"محذوف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193.750000105</v>
      </c>
      <c r="AL105">
        <f t="shared" si="39"/>
        <v>1.05E-7</v>
      </c>
    </row>
    <row r="106" spans="1:38" ht="15">
      <c r="A106" t="s">
        <v>308</v>
      </c>
      <c r="B106">
        <v>0.6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287.5</v>
      </c>
      <c r="K106" t="str">
        <f t="shared" si="20"/>
        <v/>
      </c>
      <c r="L106" t="str">
        <f t="shared" si="21"/>
        <v>عطر-توليب fresh-scent-amour - 485833</v>
      </c>
      <c r="M106" s="36">
        <f t="shared" si="22"/>
        <v>1</v>
      </c>
      <c r="N106" s="37">
        <f t="shared" si="23"/>
        <v>287.5</v>
      </c>
      <c r="O106" s="37">
        <f t="shared" si="24"/>
        <v>0</v>
      </c>
      <c r="P106" s="38">
        <f t="shared" si="25"/>
        <v>0.6</v>
      </c>
      <c r="Q106" s="39">
        <f t="shared" si="26"/>
        <v>172.5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IF(L106="","",IF($AO$1=1,IFERROR(MATCH(L106,'07-تموز'!$L$2:$L$500,0),0),0))</f>
        <v>98</v>
      </c>
      <c r="W106" t="str">
        <f t="shared" si="31"/>
        <v/>
      </c>
      <c r="X106" s="38">
        <f>IF(L106="","",IF(V106&gt;0,INDEX('07-تموز'!$P$2:$P$500,V106),IF($AO$1=1,0,"")))</f>
        <v>0.6</v>
      </c>
      <c r="Y106" s="38">
        <f t="shared" si="32"/>
        <v>0</v>
      </c>
      <c r="Z106" s="39">
        <f>IF(L106="","",IF(V106&gt;0,INDEX('07-تموز'!$Q$2:$Q$500,V106),IF($AO$1=1,0,"")))</f>
        <v>172.5</v>
      </c>
      <c r="AA106" s="39">
        <f t="shared" si="33"/>
        <v>0</v>
      </c>
      <c r="AB106" s="40">
        <f>IF(OR(L106="",V106=0),"",IF(AND(N(I106)&gt;0,N(INDEX('07-تموز'!$I$2:$I$500,V106))&gt;0,INDEX('07-تموز'!$F$2:$F$500,V106)=F106),N(I106)/N(INDEX('07-تموز'!$I$2:$I$500,V106))-1,""))</f>
        <v>0</v>
      </c>
      <c r="AC106" t="str">
        <f>IF(L106="","",IF(AND($AO$2=1,ISNA(MATCH(L106,'09-أيلول'!$L$2:$L$500,0))),"محذوف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172.50000010599999</v>
      </c>
      <c r="AL106">
        <f t="shared" si="39"/>
        <v>1.06E-7</v>
      </c>
    </row>
    <row r="107" spans="1:38" ht="15">
      <c r="A107" t="s">
        <v>309</v>
      </c>
      <c r="B107">
        <v>0.47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300</v>
      </c>
      <c r="K107" t="str">
        <f t="shared" si="20"/>
        <v/>
      </c>
      <c r="L107" t="str">
        <f t="shared" si="21"/>
        <v>عطر-تفاح apple - 317691</v>
      </c>
      <c r="M107" s="36">
        <f t="shared" si="22"/>
        <v>1</v>
      </c>
      <c r="N107" s="37">
        <f t="shared" si="23"/>
        <v>300</v>
      </c>
      <c r="O107" s="37">
        <f t="shared" si="24"/>
        <v>0</v>
      </c>
      <c r="P107" s="38">
        <f t="shared" si="25"/>
        <v>0.47</v>
      </c>
      <c r="Q107" s="39">
        <f t="shared" si="26"/>
        <v>141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IF(L107="","",IF($AO$1=1,IFERROR(MATCH(L107,'07-تموز'!$L$2:$L$500,0),0),0))</f>
        <v>99</v>
      </c>
      <c r="W107" t="str">
        <f t="shared" si="31"/>
        <v/>
      </c>
      <c r="X107" s="38">
        <f>IF(L107="","",IF(V107&gt;0,INDEX('07-تموز'!$P$2:$P$500,V107),IF($AO$1=1,0,"")))</f>
        <v>0.47</v>
      </c>
      <c r="Y107" s="38">
        <f t="shared" si="32"/>
        <v>0</v>
      </c>
      <c r="Z107" s="39">
        <f>IF(L107="","",IF(V107&gt;0,INDEX('07-تموز'!$Q$2:$Q$500,V107),IF($AO$1=1,0,"")))</f>
        <v>141</v>
      </c>
      <c r="AA107" s="39">
        <f t="shared" si="33"/>
        <v>0</v>
      </c>
      <c r="AB107" s="40">
        <f>IF(OR(L107="",V107=0),"",IF(AND(N(I107)&gt;0,N(INDEX('07-تموز'!$I$2:$I$500,V107))&gt;0,INDEX('07-تموز'!$F$2:$F$500,V107)=F107),N(I107)/N(INDEX('07-تموز'!$I$2:$I$500,V107))-1,""))</f>
        <v>0</v>
      </c>
      <c r="AC107" t="str">
        <f>IF(L107="","",IF(AND($AO$2=1,ISNA(MATCH(L107,'09-أيلول'!$L$2:$L$500,0))),"محذوف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1.0700000000000001E-7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141.00000010700001</v>
      </c>
      <c r="AL107">
        <f t="shared" si="39"/>
        <v>1.0700000000000001E-7</v>
      </c>
    </row>
    <row r="108" spans="1:38" ht="15">
      <c r="A108" t="s">
        <v>310</v>
      </c>
      <c r="B108">
        <v>0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14.5</v>
      </c>
      <c r="K108" t="str">
        <f t="shared" si="20"/>
        <v/>
      </c>
      <c r="L108" t="str">
        <f t="shared" si="21"/>
        <v>عطر-برنس</v>
      </c>
      <c r="M108" s="36">
        <f t="shared" si="22"/>
        <v>1</v>
      </c>
      <c r="N108" s="37">
        <f t="shared" si="23"/>
        <v>14.5</v>
      </c>
      <c r="O108" s="37">
        <f t="shared" si="24"/>
        <v>0</v>
      </c>
      <c r="P108" s="38">
        <f t="shared" si="25"/>
        <v>0</v>
      </c>
      <c r="Q108" s="39">
        <f t="shared" si="26"/>
        <v>0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IF(L108="","",IF($AO$1=1,IFERROR(MATCH(L108,'07-تموز'!$L$2:$L$500,0),0),0))</f>
        <v>100</v>
      </c>
      <c r="W108" t="str">
        <f t="shared" si="31"/>
        <v/>
      </c>
      <c r="X108" s="38">
        <f>IF(L108="","",IF(V108&gt;0,INDEX('07-تموز'!$P$2:$P$500,V108),IF($AO$1=1,0,"")))</f>
        <v>0</v>
      </c>
      <c r="Y108" s="38">
        <f t="shared" si="32"/>
        <v>0</v>
      </c>
      <c r="Z108" s="39">
        <f>IF(L108="","",IF(V108&gt;0,INDEX('07-تموز'!$Q$2:$Q$500,V108),IF($AO$1=1,0,"")))</f>
        <v>0</v>
      </c>
      <c r="AA108" s="39">
        <f t="shared" si="33"/>
        <v>0</v>
      </c>
      <c r="AB108" s="40">
        <f>IF(OR(L108="",V108=0),"",IF(AND(N(I108)&gt;0,N(INDEX('07-تموز'!$I$2:$I$500,V108))&gt;0,INDEX('07-تموز'!$F$2:$F$500,V108)=F108),N(I108)/N(INDEX('07-تموز'!$I$2:$I$500,V108))-1,""))</f>
        <v>0</v>
      </c>
      <c r="AC108" t="str">
        <f>IF(L108="","",IF(AND($AO$2=1,ISNA(MATCH(L108,'09-أيلول'!$L$2:$L$500,0))),"محذوف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1.08E-7</v>
      </c>
      <c r="AL108">
        <f t="shared" si="39"/>
        <v>1.08E-7</v>
      </c>
    </row>
    <row r="109" spans="1:38" ht="15">
      <c r="A109" t="s">
        <v>311</v>
      </c>
      <c r="B109">
        <v>19.82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150</v>
      </c>
      <c r="K109" t="str">
        <f t="shared" si="20"/>
        <v/>
      </c>
      <c r="L109" t="str">
        <f t="shared" si="21"/>
        <v>عطر-ببوري ultimate-mixture - 485797</v>
      </c>
      <c r="M109" s="36">
        <f t="shared" si="22"/>
        <v>1</v>
      </c>
      <c r="N109" s="37">
        <f t="shared" si="23"/>
        <v>150</v>
      </c>
      <c r="O109" s="37">
        <f t="shared" si="24"/>
        <v>0</v>
      </c>
      <c r="P109" s="38">
        <f t="shared" si="25"/>
        <v>19.82</v>
      </c>
      <c r="Q109" s="39">
        <f t="shared" si="26"/>
        <v>2973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IF(L109="","",IF($AO$1=1,IFERROR(MATCH(L109,'07-تموز'!$L$2:$L$500,0),0),0))</f>
        <v>101</v>
      </c>
      <c r="W109" t="str">
        <f t="shared" si="31"/>
        <v/>
      </c>
      <c r="X109" s="38">
        <f>IF(L109="","",IF(V109&gt;0,INDEX('07-تموز'!$P$2:$P$500,V109),IF($AO$1=1,0,"")))</f>
        <v>20</v>
      </c>
      <c r="Y109" s="38">
        <f t="shared" si="32"/>
        <v>-0.17999999999999972</v>
      </c>
      <c r="Z109" s="39">
        <f>IF(L109="","",IF(V109&gt;0,INDEX('07-تموز'!$Q$2:$Q$500,V109),IF($AO$1=1,0,"")))</f>
        <v>3000</v>
      </c>
      <c r="AA109" s="39">
        <f t="shared" si="33"/>
        <v>-27</v>
      </c>
      <c r="AB109" s="40">
        <f>IF(OR(L109="",V109=0),"",IF(AND(N(I109)&gt;0,N(INDEX('07-تموز'!$I$2:$I$500,V109))&gt;0,INDEX('07-تموز'!$F$2:$F$500,V109)=F109),N(I109)/N(INDEX('07-تموز'!$I$2:$I$500,V109))-1,""))</f>
        <v>0</v>
      </c>
      <c r="AC109" t="str">
        <f>IF(L109="","",IF(AND($AO$2=1,ISNA(MATCH(L109,'09-أيلول'!$L$2:$L$500,0))),"محذوف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27.000000108999998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2973.0000001090002</v>
      </c>
      <c r="AL109">
        <f t="shared" si="39"/>
        <v>1.09E-7</v>
      </c>
    </row>
    <row r="110" spans="1:38" ht="15">
      <c r="A110" t="s">
        <v>312</v>
      </c>
      <c r="B110">
        <v>21.23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312.5</v>
      </c>
      <c r="K110" t="str">
        <f t="shared" si="20"/>
        <v/>
      </c>
      <c r="L110" t="str">
        <f t="shared" si="21"/>
        <v>عطر-ازهار-الربيع spring - 318643</v>
      </c>
      <c r="M110" s="36">
        <f t="shared" si="22"/>
        <v>1</v>
      </c>
      <c r="N110" s="37">
        <f t="shared" si="23"/>
        <v>312.5</v>
      </c>
      <c r="O110" s="37">
        <f t="shared" si="24"/>
        <v>0</v>
      </c>
      <c r="P110" s="38">
        <f t="shared" si="25"/>
        <v>21.23</v>
      </c>
      <c r="Q110" s="39">
        <f t="shared" si="26"/>
        <v>6634.375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IF(L110="","",IF($AO$1=1,IFERROR(MATCH(L110,'07-تموز'!$L$2:$L$500,0),0),0))</f>
        <v>102</v>
      </c>
      <c r="W110" t="str">
        <f t="shared" si="31"/>
        <v/>
      </c>
      <c r="X110" s="38">
        <f>IF(L110="","",IF(V110&gt;0,INDEX('07-تموز'!$P$2:$P$500,V110),IF($AO$1=1,0,"")))</f>
        <v>21.4</v>
      </c>
      <c r="Y110" s="38">
        <f t="shared" si="32"/>
        <v>-0.16999999999999815</v>
      </c>
      <c r="Z110" s="39">
        <f>IF(L110="","",IF(V110&gt;0,INDEX('07-تموز'!$Q$2:$Q$500,V110),IF($AO$1=1,0,"")))</f>
        <v>6687.5</v>
      </c>
      <c r="AA110" s="39">
        <f t="shared" si="33"/>
        <v>-53.125</v>
      </c>
      <c r="AB110" s="40">
        <f>IF(OR(L110="",V110=0),"",IF(AND(N(I110)&gt;0,N(INDEX('07-تموز'!$I$2:$I$500,V110))&gt;0,INDEX('07-تموز'!$F$2:$F$500,V110)=F110),N(I110)/N(INDEX('07-تموز'!$I$2:$I$500,V110))-1,""))</f>
        <v>0</v>
      </c>
      <c r="AC110" t="str">
        <f>IF(L110="","",IF(AND($AO$2=1,ISNA(MATCH(L110,'09-أيلول'!$L$2:$L$500,0))),"محذوف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53.125000110000002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6634.3750001099997</v>
      </c>
      <c r="AL110">
        <f t="shared" si="39"/>
        <v>1.1000000000000001E-7</v>
      </c>
    </row>
    <row r="111" spans="1:38" ht="15">
      <c r="A111" t="s">
        <v>313</v>
      </c>
      <c r="B111">
        <v>0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15</v>
      </c>
      <c r="K111" t="str">
        <f t="shared" si="20"/>
        <v/>
      </c>
      <c r="L111" t="str">
        <f t="shared" si="21"/>
        <v>عطر هامول</v>
      </c>
      <c r="M111" s="36">
        <f t="shared" si="22"/>
        <v>1</v>
      </c>
      <c r="N111" s="37">
        <f t="shared" si="23"/>
        <v>15</v>
      </c>
      <c r="O111" s="37">
        <f t="shared" si="24"/>
        <v>0</v>
      </c>
      <c r="P111" s="38">
        <f t="shared" si="25"/>
        <v>0</v>
      </c>
      <c r="Q111" s="39">
        <f t="shared" si="26"/>
        <v>0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IF(L111="","",IF($AO$1=1,IFERROR(MATCH(L111,'07-تموز'!$L$2:$L$500,0),0),0))</f>
        <v>103</v>
      </c>
      <c r="W111" t="str">
        <f t="shared" si="31"/>
        <v/>
      </c>
      <c r="X111" s="38">
        <f>IF(L111="","",IF(V111&gt;0,INDEX('07-تموز'!$P$2:$P$500,V111),IF($AO$1=1,0,"")))</f>
        <v>0</v>
      </c>
      <c r="Y111" s="38">
        <f t="shared" si="32"/>
        <v>0</v>
      </c>
      <c r="Z111" s="39">
        <f>IF(L111="","",IF(V111&gt;0,INDEX('07-تموز'!$Q$2:$Q$500,V111),IF($AO$1=1,0,"")))</f>
        <v>0</v>
      </c>
      <c r="AA111" s="39">
        <f t="shared" si="33"/>
        <v>0</v>
      </c>
      <c r="AB111" s="40">
        <f>IF(OR(L111="",V111=0),"",IF(AND(N(I111)&gt;0,N(INDEX('07-تموز'!$I$2:$I$500,V111))&gt;0,INDEX('07-تموز'!$F$2:$F$500,V111)=F111),N(I111)/N(INDEX('07-تموز'!$I$2:$I$500,V111))-1,""))</f>
        <v>0</v>
      </c>
      <c r="AC111" t="str">
        <f>IF(L111="","",IF(AND($AO$2=1,ISNA(MATCH(L111,'09-أيلول'!$L$2:$L$500,0))),"محذوف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1.11E-7</v>
      </c>
      <c r="AL111">
        <f t="shared" si="39"/>
        <v>1.11E-7</v>
      </c>
    </row>
    <row r="112" spans="1:38" ht="15">
      <c r="A112" t="s">
        <v>314</v>
      </c>
      <c r="B112">
        <v>2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16</v>
      </c>
      <c r="K112" t="str">
        <f t="shared" si="20"/>
        <v/>
      </c>
      <c r="L112" t="str">
        <f t="shared" si="21"/>
        <v>عطر مسك احمر</v>
      </c>
      <c r="M112" s="36">
        <f t="shared" si="22"/>
        <v>1</v>
      </c>
      <c r="N112" s="37">
        <f t="shared" si="23"/>
        <v>16</v>
      </c>
      <c r="O112" s="37">
        <f t="shared" si="24"/>
        <v>0</v>
      </c>
      <c r="P112" s="38">
        <f t="shared" si="25"/>
        <v>2</v>
      </c>
      <c r="Q112" s="39">
        <f t="shared" si="26"/>
        <v>32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IF(L112="","",IF($AO$1=1,IFERROR(MATCH(L112,'07-تموز'!$L$2:$L$500,0),0),0))</f>
        <v>104</v>
      </c>
      <c r="W112" t="str">
        <f t="shared" si="31"/>
        <v/>
      </c>
      <c r="X112" s="38">
        <f>IF(L112="","",IF(V112&gt;0,INDEX('07-تموز'!$P$2:$P$500,V112),IF($AO$1=1,0,"")))</f>
        <v>2</v>
      </c>
      <c r="Y112" s="38">
        <f t="shared" si="32"/>
        <v>0</v>
      </c>
      <c r="Z112" s="39">
        <f>IF(L112="","",IF(V112&gt;0,INDEX('07-تموز'!$Q$2:$Q$500,V112),IF($AO$1=1,0,"")))</f>
        <v>32</v>
      </c>
      <c r="AA112" s="39">
        <f t="shared" si="33"/>
        <v>0</v>
      </c>
      <c r="AB112" s="40">
        <f>IF(OR(L112="",V112=0),"",IF(AND(N(I112)&gt;0,N(INDEX('07-تموز'!$I$2:$I$500,V112))&gt;0,INDEX('07-تموز'!$F$2:$F$500,V112)=F112),N(I112)/N(INDEX('07-تموز'!$I$2:$I$500,V112))-1,""))</f>
        <v>0</v>
      </c>
      <c r="AC112" t="str">
        <f>IF(L112="","",IF(AND($AO$2=1,ISNA(MATCH(L112,'09-أيلول'!$L$2:$L$500,0))),"محذوف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1.12E-7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32.000000112000002</v>
      </c>
      <c r="AL112">
        <f t="shared" si="39"/>
        <v>1.12E-7</v>
      </c>
    </row>
    <row r="113" spans="1:38" ht="15">
      <c r="A113" t="s">
        <v>315</v>
      </c>
      <c r="B113">
        <v>3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15.5</v>
      </c>
      <c r="K113" t="str">
        <f t="shared" si="20"/>
        <v/>
      </c>
      <c r="L113" t="str">
        <f t="shared" si="21"/>
        <v>عطر مسك</v>
      </c>
      <c r="M113" s="36">
        <f t="shared" si="22"/>
        <v>1</v>
      </c>
      <c r="N113" s="37">
        <f t="shared" si="23"/>
        <v>15.5</v>
      </c>
      <c r="O113" s="37">
        <f t="shared" si="24"/>
        <v>0</v>
      </c>
      <c r="P113" s="38">
        <f t="shared" si="25"/>
        <v>3</v>
      </c>
      <c r="Q113" s="39">
        <f t="shared" si="26"/>
        <v>46.5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IF(L113="","",IF($AO$1=1,IFERROR(MATCH(L113,'07-تموز'!$L$2:$L$500,0),0),0))</f>
        <v>105</v>
      </c>
      <c r="W113" t="str">
        <f t="shared" si="31"/>
        <v/>
      </c>
      <c r="X113" s="38">
        <f>IF(L113="","",IF(V113&gt;0,INDEX('07-تموز'!$P$2:$P$500,V113),IF($AO$1=1,0,"")))</f>
        <v>3</v>
      </c>
      <c r="Y113" s="38">
        <f t="shared" si="32"/>
        <v>0</v>
      </c>
      <c r="Z113" s="39">
        <f>IF(L113="","",IF(V113&gt;0,INDEX('07-تموز'!$Q$2:$Q$500,V113),IF($AO$1=1,0,"")))</f>
        <v>46.5</v>
      </c>
      <c r="AA113" s="39">
        <f t="shared" si="33"/>
        <v>0</v>
      </c>
      <c r="AB113" s="40">
        <f>IF(OR(L113="",V113=0),"",IF(AND(N(I113)&gt;0,N(INDEX('07-تموز'!$I$2:$I$500,V113))&gt;0,INDEX('07-تموز'!$F$2:$F$500,V113)=F113),N(I113)/N(INDEX('07-تموز'!$I$2:$I$500,V113))-1,""))</f>
        <v>0</v>
      </c>
      <c r="AC113" t="str">
        <f>IF(L113="","",IF(AND($AO$2=1,ISNA(MATCH(L113,'09-أيلول'!$L$2:$L$500,0))),"محذوف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46.500000112999999</v>
      </c>
      <c r="AL113">
        <f t="shared" si="39"/>
        <v>1.1300000000000001E-7</v>
      </c>
    </row>
    <row r="114" spans="1:38" ht="15">
      <c r="A114" t="s">
        <v>316</v>
      </c>
      <c r="B114">
        <v>0.33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225</v>
      </c>
      <c r="K114" t="str">
        <f t="shared" si="20"/>
        <v/>
      </c>
      <c r="L114" t="str">
        <f t="shared" si="21"/>
        <v>عطر ليمون ماكسي</v>
      </c>
      <c r="M114" s="36">
        <f t="shared" si="22"/>
        <v>1</v>
      </c>
      <c r="N114" s="37">
        <f t="shared" si="23"/>
        <v>225</v>
      </c>
      <c r="O114" s="37">
        <f t="shared" si="24"/>
        <v>0</v>
      </c>
      <c r="P114" s="38">
        <f t="shared" si="25"/>
        <v>0.33</v>
      </c>
      <c r="Q114" s="39">
        <f t="shared" si="26"/>
        <v>74.25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IF(L114="","",IF($AO$1=1,IFERROR(MATCH(L114,'07-تموز'!$L$2:$L$500,0),0),0))</f>
        <v>106</v>
      </c>
      <c r="W114" t="str">
        <f t="shared" si="31"/>
        <v/>
      </c>
      <c r="X114" s="38">
        <f>IF(L114="","",IF(V114&gt;0,INDEX('07-تموز'!$P$2:$P$500,V114),IF($AO$1=1,0,"")))</f>
        <v>0.38</v>
      </c>
      <c r="Y114" s="38">
        <f t="shared" si="32"/>
        <v>-4.9999999999999989E-2</v>
      </c>
      <c r="Z114" s="39">
        <f>IF(L114="","",IF(V114&gt;0,INDEX('07-تموز'!$Q$2:$Q$500,V114),IF($AO$1=1,0,"")))</f>
        <v>85.5</v>
      </c>
      <c r="AA114" s="39">
        <f t="shared" si="33"/>
        <v>-11.25</v>
      </c>
      <c r="AB114" s="40">
        <f>IF(OR(L114="",V114=0),"",IF(AND(N(I114)&gt;0,N(INDEX('07-تموز'!$I$2:$I$500,V114))&gt;0,INDEX('07-تموز'!$F$2:$F$500,V114)=F114),N(I114)/N(INDEX('07-تموز'!$I$2:$I$500,V114))-1,""))</f>
        <v>0</v>
      </c>
      <c r="AC114" t="str">
        <f>IF(L114="","",IF(AND($AO$2=1,ISNA(MATCH(L114,'09-أيلول'!$L$2:$L$500,0))),"محذوف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11.250000114000001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74.250000114000002</v>
      </c>
      <c r="AL114">
        <f t="shared" si="39"/>
        <v>1.14E-7</v>
      </c>
    </row>
    <row r="115" spans="1:38" ht="15">
      <c r="A115" t="s">
        <v>515</v>
      </c>
      <c r="B115">
        <v>13.6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25</v>
      </c>
      <c r="K115" t="str">
        <f t="shared" si="20"/>
        <v/>
      </c>
      <c r="L115" t="str">
        <f t="shared" si="21"/>
        <v>عطر ليمون ريفا</v>
      </c>
      <c r="M115" s="36">
        <f t="shared" si="22"/>
        <v>1</v>
      </c>
      <c r="N115" s="37">
        <f t="shared" si="23"/>
        <v>25</v>
      </c>
      <c r="O115" s="37">
        <f t="shared" si="24"/>
        <v>0</v>
      </c>
      <c r="P115" s="38">
        <f t="shared" si="25"/>
        <v>13.6</v>
      </c>
      <c r="Q115" s="39">
        <f t="shared" si="26"/>
        <v>340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IF(L115="","",IF($AO$1=1,IFERROR(MATCH(L115,'07-تموز'!$L$2:$L$500,0),0),0))</f>
        <v>0</v>
      </c>
      <c r="W115" t="str">
        <f t="shared" si="31"/>
        <v>جديد</v>
      </c>
      <c r="X115" s="38">
        <f>IF(L115="","",IF(V115&gt;0,INDEX('07-تموز'!$P$2:$P$500,V115),IF($AO$1=1,0,"")))</f>
        <v>0</v>
      </c>
      <c r="Y115" s="38">
        <f t="shared" si="32"/>
        <v>13.6</v>
      </c>
      <c r="Z115" s="39">
        <f>IF(L115="","",IF(V115&gt;0,INDEX('07-تموز'!$Q$2:$Q$500,V115),IF($AO$1=1,0,"")))</f>
        <v>0</v>
      </c>
      <c r="AA115" s="39">
        <f t="shared" si="33"/>
        <v>340</v>
      </c>
      <c r="AB115" s="40" t="str">
        <f>IF(OR(L115="",V115=0),"",IF(AND(N(I115)&gt;0,N(INDEX('07-تموز'!$I$2:$I$500,V115))&gt;0,INDEX('07-تموز'!$F$2:$F$500,V115)=F115),N(I115)/N(INDEX('07-تموز'!$I$2:$I$500,V115))-1,""))</f>
        <v/>
      </c>
      <c r="AC115" t="str">
        <f>IF(L115="","",IF(AND($AO$2=1,ISNA(MATCH(L115,'09-أيلول'!$L$2:$L$500,0))),"محذوف لاحقاً",""))</f>
        <v/>
      </c>
      <c r="AD115">
        <f>IF(W115="جديد",COUNTIF(W$2:W115,"جديد"),"")</f>
        <v>8</v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340.00000011499998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340.00000011499998</v>
      </c>
      <c r="AL115">
        <f t="shared" si="39"/>
        <v>1.15E-7</v>
      </c>
    </row>
    <row r="116" spans="1:38" ht="15">
      <c r="A116" t="s">
        <v>516</v>
      </c>
      <c r="B116">
        <v>15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15</v>
      </c>
      <c r="K116" t="str">
        <f t="shared" si="20"/>
        <v/>
      </c>
      <c r="L116" t="str">
        <f t="shared" si="21"/>
        <v>عطر لافندر ريفا</v>
      </c>
      <c r="M116" s="36">
        <f t="shared" si="22"/>
        <v>1</v>
      </c>
      <c r="N116" s="37">
        <f t="shared" si="23"/>
        <v>15</v>
      </c>
      <c r="O116" s="37">
        <f t="shared" si="24"/>
        <v>0</v>
      </c>
      <c r="P116" s="38">
        <f t="shared" si="25"/>
        <v>15</v>
      </c>
      <c r="Q116" s="39">
        <f t="shared" si="26"/>
        <v>225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IF(L116="","",IF($AO$1=1,IFERROR(MATCH(L116,'07-تموز'!$L$2:$L$500,0),0),0))</f>
        <v>0</v>
      </c>
      <c r="W116" t="str">
        <f t="shared" si="31"/>
        <v>جديد</v>
      </c>
      <c r="X116" s="38">
        <f>IF(L116="","",IF(V116&gt;0,INDEX('07-تموز'!$P$2:$P$500,V116),IF($AO$1=1,0,"")))</f>
        <v>0</v>
      </c>
      <c r="Y116" s="38">
        <f t="shared" si="32"/>
        <v>15</v>
      </c>
      <c r="Z116" s="39">
        <f>IF(L116="","",IF(V116&gt;0,INDEX('07-تموز'!$Q$2:$Q$500,V116),IF($AO$1=1,0,"")))</f>
        <v>0</v>
      </c>
      <c r="AA116" s="39">
        <f t="shared" si="33"/>
        <v>225</v>
      </c>
      <c r="AB116" s="40" t="str">
        <f>IF(OR(L116="",V116=0),"",IF(AND(N(I116)&gt;0,N(INDEX('07-تموز'!$I$2:$I$500,V116))&gt;0,INDEX('07-تموز'!$F$2:$F$500,V116)=F116),N(I116)/N(INDEX('07-تموز'!$I$2:$I$500,V116))-1,""))</f>
        <v/>
      </c>
      <c r="AC116" t="str">
        <f>IF(L116="","",IF(AND($AO$2=1,ISNA(MATCH(L116,'09-أيلول'!$L$2:$L$500,0))),"محذوف لاحقاً",""))</f>
        <v/>
      </c>
      <c r="AD116">
        <f>IF(W116="جديد",COUNTIF(W$2:W116,"جديد"),"")</f>
        <v>9</v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225.000000116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225.000000116</v>
      </c>
      <c r="AL116">
        <f t="shared" si="39"/>
        <v>1.1600000000000001E-7</v>
      </c>
    </row>
    <row r="117" spans="1:38" ht="15">
      <c r="A117" t="s">
        <v>517</v>
      </c>
      <c r="B117">
        <v>46.8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18.5</v>
      </c>
      <c r="K117" t="str">
        <f t="shared" si="20"/>
        <v/>
      </c>
      <c r="L117" t="str">
        <f t="shared" si="21"/>
        <v>عطر عود</v>
      </c>
      <c r="M117" s="36">
        <f t="shared" si="22"/>
        <v>1</v>
      </c>
      <c r="N117" s="37">
        <f t="shared" si="23"/>
        <v>18.5</v>
      </c>
      <c r="O117" s="37">
        <f t="shared" si="24"/>
        <v>0</v>
      </c>
      <c r="P117" s="38">
        <f t="shared" si="25"/>
        <v>46.8</v>
      </c>
      <c r="Q117" s="39">
        <f t="shared" si="26"/>
        <v>865.8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IF(L117="","",IF($AO$1=1,IFERROR(MATCH(L117,'07-تموز'!$L$2:$L$500,0),0),0))</f>
        <v>0</v>
      </c>
      <c r="W117" t="str">
        <f t="shared" si="31"/>
        <v>جديد</v>
      </c>
      <c r="X117" s="38">
        <f>IF(L117="","",IF(V117&gt;0,INDEX('07-تموز'!$P$2:$P$500,V117),IF($AO$1=1,0,"")))</f>
        <v>0</v>
      </c>
      <c r="Y117" s="38">
        <f t="shared" si="32"/>
        <v>46.8</v>
      </c>
      <c r="Z117" s="39">
        <f>IF(L117="","",IF(V117&gt;0,INDEX('07-تموز'!$Q$2:$Q$500,V117),IF($AO$1=1,0,"")))</f>
        <v>0</v>
      </c>
      <c r="AA117" s="39">
        <f t="shared" si="33"/>
        <v>865.8</v>
      </c>
      <c r="AB117" s="40" t="str">
        <f>IF(OR(L117="",V117=0),"",IF(AND(N(I117)&gt;0,N(INDEX('07-تموز'!$I$2:$I$500,V117))&gt;0,INDEX('07-تموز'!$F$2:$F$500,V117)=F117),N(I117)/N(INDEX('07-تموز'!$I$2:$I$500,V117))-1,""))</f>
        <v/>
      </c>
      <c r="AC117" t="str">
        <f>IF(L117="","",IF(AND($AO$2=1,ISNA(MATCH(L117,'09-أيلول'!$L$2:$L$500,0))),"محذوف لاحقاً",""))</f>
        <v/>
      </c>
      <c r="AD117">
        <f>IF(W117="جديد",COUNTIF(W$2:W117,"جديد"),"")</f>
        <v>10</v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865.80000011699997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865.80000011699997</v>
      </c>
      <c r="AL117">
        <f t="shared" si="39"/>
        <v>1.17E-7</v>
      </c>
    </row>
    <row r="118" spans="1:38" ht="15">
      <c r="A118" t="s">
        <v>317</v>
      </c>
      <c r="B118">
        <v>1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16</v>
      </c>
      <c r="K118" t="str">
        <f t="shared" si="20"/>
        <v/>
      </c>
      <c r="L118" t="str">
        <f t="shared" si="21"/>
        <v>عطر عسل</v>
      </c>
      <c r="M118" s="36">
        <f t="shared" si="22"/>
        <v>1</v>
      </c>
      <c r="N118" s="37">
        <f t="shared" si="23"/>
        <v>16</v>
      </c>
      <c r="O118" s="37">
        <f t="shared" si="24"/>
        <v>0</v>
      </c>
      <c r="P118" s="38">
        <f t="shared" si="25"/>
        <v>1</v>
      </c>
      <c r="Q118" s="39">
        <f t="shared" si="26"/>
        <v>16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IF(L118="","",IF($AO$1=1,IFERROR(MATCH(L118,'07-تموز'!$L$2:$L$500,0),0),0))</f>
        <v>107</v>
      </c>
      <c r="W118" t="str">
        <f t="shared" si="31"/>
        <v/>
      </c>
      <c r="X118" s="38">
        <f>IF(L118="","",IF(V118&gt;0,INDEX('07-تموز'!$P$2:$P$500,V118),IF($AO$1=1,0,"")))</f>
        <v>1</v>
      </c>
      <c r="Y118" s="38">
        <f t="shared" si="32"/>
        <v>0</v>
      </c>
      <c r="Z118" s="39">
        <f>IF(L118="","",IF(V118&gt;0,INDEX('07-تموز'!$Q$2:$Q$500,V118),IF($AO$1=1,0,"")))</f>
        <v>16</v>
      </c>
      <c r="AA118" s="39">
        <f t="shared" si="33"/>
        <v>0</v>
      </c>
      <c r="AB118" s="40">
        <f>IF(OR(L118="",V118=0),"",IF(AND(N(I118)&gt;0,N(INDEX('07-تموز'!$I$2:$I$500,V118))&gt;0,INDEX('07-تموز'!$F$2:$F$500,V118)=F118),N(I118)/N(INDEX('07-تموز'!$I$2:$I$500,V118))-1,""))</f>
        <v>0</v>
      </c>
      <c r="AC118" t="str">
        <f>IF(L118="","",IF(AND($AO$2=1,ISNA(MATCH(L118,'09-أيلول'!$L$2:$L$500,0))),"محذوف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1.18E-7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16.000000117999999</v>
      </c>
      <c r="AL118">
        <f t="shared" si="39"/>
        <v>1.18E-7</v>
      </c>
    </row>
    <row r="119" spans="1:38" ht="15">
      <c r="A119" t="s">
        <v>505</v>
      </c>
      <c r="B119">
        <v>0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10</v>
      </c>
      <c r="K119" t="str">
        <f t="shared" si="20"/>
        <v/>
      </c>
      <c r="L119" t="str">
        <f t="shared" si="21"/>
        <v>عطر صنوبر</v>
      </c>
      <c r="M119" s="36">
        <f t="shared" si="22"/>
        <v>1</v>
      </c>
      <c r="N119" s="37">
        <f t="shared" si="23"/>
        <v>10</v>
      </c>
      <c r="O119" s="37">
        <f t="shared" si="24"/>
        <v>0</v>
      </c>
      <c r="P119" s="38">
        <f t="shared" si="25"/>
        <v>0</v>
      </c>
      <c r="Q119" s="39">
        <f t="shared" si="26"/>
        <v>0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IF(L119="","",IF($AO$1=1,IFERROR(MATCH(L119,'07-تموز'!$L$2:$L$500,0),0),0))</f>
        <v>108</v>
      </c>
      <c r="W119" t="str">
        <f t="shared" si="31"/>
        <v/>
      </c>
      <c r="X119" s="38">
        <f>IF(L119="","",IF(V119&gt;0,INDEX('07-تموز'!$P$2:$P$500,V119),IF($AO$1=1,0,"")))</f>
        <v>0</v>
      </c>
      <c r="Y119" s="38">
        <f t="shared" si="32"/>
        <v>0</v>
      </c>
      <c r="Z119" s="39">
        <f>IF(L119="","",IF(V119&gt;0,INDEX('07-تموز'!$Q$2:$Q$500,V119),IF($AO$1=1,0,"")))</f>
        <v>0</v>
      </c>
      <c r="AA119" s="39">
        <f t="shared" si="33"/>
        <v>0</v>
      </c>
      <c r="AB119" s="40">
        <f>IF(OR(L119="",V119=0),"",IF(AND(N(I119)&gt;0,N(INDEX('07-تموز'!$I$2:$I$500,V119))&gt;0,INDEX('07-تموز'!$F$2:$F$500,V119)=F119),N(I119)/N(INDEX('07-تموز'!$I$2:$I$500,V119))-1,""))</f>
        <v>0</v>
      </c>
      <c r="AC119" t="str">
        <f>IF(L119="","",IF(AND($AO$2=1,ISNA(MATCH(L119,'09-أيلول'!$L$2:$L$500,0))),"محذوف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1.1899999999999999E-7</v>
      </c>
      <c r="AL119">
        <f t="shared" si="39"/>
        <v>1.1899999999999999E-7</v>
      </c>
    </row>
    <row r="120" spans="1:38" ht="15">
      <c r="A120" t="s">
        <v>318</v>
      </c>
      <c r="B120">
        <v>0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13</v>
      </c>
      <c r="K120" t="str">
        <f t="shared" si="20"/>
        <v/>
      </c>
      <c r="L120" t="str">
        <f t="shared" si="21"/>
        <v>عطر جوز الهند</v>
      </c>
      <c r="M120" s="36">
        <f t="shared" si="22"/>
        <v>1</v>
      </c>
      <c r="N120" s="37">
        <f t="shared" si="23"/>
        <v>13</v>
      </c>
      <c r="O120" s="37">
        <f t="shared" si="24"/>
        <v>0</v>
      </c>
      <c r="P120" s="38">
        <f t="shared" si="25"/>
        <v>0</v>
      </c>
      <c r="Q120" s="39">
        <f t="shared" si="26"/>
        <v>0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IF(L120="","",IF($AO$1=1,IFERROR(MATCH(L120,'07-تموز'!$L$2:$L$500,0),0),0))</f>
        <v>109</v>
      </c>
      <c r="W120" t="str">
        <f t="shared" si="31"/>
        <v/>
      </c>
      <c r="X120" s="38">
        <f>IF(L120="","",IF(V120&gt;0,INDEX('07-تموز'!$P$2:$P$500,V120),IF($AO$1=1,0,"")))</f>
        <v>0</v>
      </c>
      <c r="Y120" s="38">
        <f t="shared" si="32"/>
        <v>0</v>
      </c>
      <c r="Z120" s="39">
        <f>IF(L120="","",IF(V120&gt;0,INDEX('07-تموز'!$Q$2:$Q$500,V120),IF($AO$1=1,0,"")))</f>
        <v>0</v>
      </c>
      <c r="AA120" s="39">
        <f t="shared" si="33"/>
        <v>0</v>
      </c>
      <c r="AB120" s="40">
        <f>IF(OR(L120="",V120=0),"",IF(AND(N(I120)&gt;0,N(INDEX('07-تموز'!$I$2:$I$500,V120))&gt;0,INDEX('07-تموز'!$F$2:$F$500,V120)=F120),N(I120)/N(INDEX('07-تموز'!$I$2:$I$500,V120))-1,""))</f>
        <v>0</v>
      </c>
      <c r="AC120" t="str">
        <f>IF(L120="","",IF(AND($AO$2=1,ISNA(MATCH(L120,'09-أيلول'!$L$2:$L$500,0))),"محذوف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1.1999999999999999E-7</v>
      </c>
      <c r="AL120">
        <f t="shared" si="39"/>
        <v>1.1999999999999999E-7</v>
      </c>
    </row>
    <row r="121" spans="1:38" ht="15">
      <c r="A121" t="s">
        <v>319</v>
      </c>
      <c r="B121">
        <v>22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18</v>
      </c>
      <c r="K121" t="str">
        <f t="shared" si="20"/>
        <v/>
      </c>
      <c r="L121" t="str">
        <f t="shared" si="21"/>
        <v>عطر بيشبه بيدون السلطان - 87287252-750</v>
      </c>
      <c r="M121" s="36">
        <f t="shared" si="22"/>
        <v>1</v>
      </c>
      <c r="N121" s="37">
        <f t="shared" si="23"/>
        <v>18</v>
      </c>
      <c r="O121" s="37">
        <f t="shared" si="24"/>
        <v>0</v>
      </c>
      <c r="P121" s="38">
        <f t="shared" si="25"/>
        <v>22</v>
      </c>
      <c r="Q121" s="39">
        <f t="shared" si="26"/>
        <v>396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IF(L121="","",IF($AO$1=1,IFERROR(MATCH(L121,'07-تموز'!$L$2:$L$500,0),0),0))</f>
        <v>110</v>
      </c>
      <c r="W121" t="str">
        <f t="shared" si="31"/>
        <v/>
      </c>
      <c r="X121" s="38">
        <f>IF(L121="","",IF(V121&gt;0,INDEX('07-تموز'!$P$2:$P$500,V121),IF($AO$1=1,0,"")))</f>
        <v>22</v>
      </c>
      <c r="Y121" s="38">
        <f t="shared" si="32"/>
        <v>0</v>
      </c>
      <c r="Z121" s="39">
        <f>IF(L121="","",IF(V121&gt;0,INDEX('07-تموز'!$Q$2:$Q$500,V121),IF($AO$1=1,0,"")))</f>
        <v>396</v>
      </c>
      <c r="AA121" s="39">
        <f t="shared" si="33"/>
        <v>0</v>
      </c>
      <c r="AB121" s="40">
        <f>IF(OR(L121="",V121=0),"",IF(AND(N(I121)&gt;0,N(INDEX('07-تموز'!$I$2:$I$500,V121))&gt;0,INDEX('07-تموز'!$F$2:$F$500,V121)=F121),N(I121)/N(INDEX('07-تموز'!$I$2:$I$500,V121))-1,""))</f>
        <v>0</v>
      </c>
      <c r="AC121" t="str">
        <f>IF(L121="","",IF(AND($AO$2=1,ISNA(MATCH(L121,'09-أيلول'!$L$2:$L$500,0))),"محذوف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1.2100000000000001E-7</v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396.00000012100003</v>
      </c>
      <c r="AL121">
        <f t="shared" si="39"/>
        <v>1.2100000000000001E-7</v>
      </c>
    </row>
    <row r="122" spans="1:38" ht="15">
      <c r="A122" t="s">
        <v>320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15</v>
      </c>
      <c r="K122" t="str">
        <f t="shared" si="20"/>
        <v/>
      </c>
      <c r="L122" t="str">
        <f t="shared" si="21"/>
        <v>عطر بانتين</v>
      </c>
      <c r="M122" s="36">
        <f t="shared" si="22"/>
        <v>1</v>
      </c>
      <c r="N122" s="37">
        <f t="shared" si="23"/>
        <v>15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IF(L122="","",IF($AO$1=1,IFERROR(MATCH(L122,'07-تموز'!$L$2:$L$500,0),0),0))</f>
        <v>111</v>
      </c>
      <c r="W122" t="str">
        <f t="shared" si="31"/>
        <v/>
      </c>
      <c r="X122" s="38">
        <f>IF(L122="","",IF(V122&gt;0,INDEX('07-تموز'!$P$2:$P$500,V122),IF($AO$1=1,0,"")))</f>
        <v>0</v>
      </c>
      <c r="Y122" s="38">
        <f t="shared" si="32"/>
        <v>0</v>
      </c>
      <c r="Z122" s="39">
        <f>IF(L122="","",IF(V122&gt;0,INDEX('07-تموز'!$Q$2:$Q$500,V122),IF($AO$1=1,0,"")))</f>
        <v>0</v>
      </c>
      <c r="AA122" s="39">
        <f t="shared" si="33"/>
        <v>0</v>
      </c>
      <c r="AB122" s="40">
        <f>IF(OR(L122="",V122=0),"",IF(AND(N(I122)&gt;0,N(INDEX('07-تموز'!$I$2:$I$500,V122))&gt;0,INDEX('07-تموز'!$F$2:$F$500,V122)=F122),N(I122)/N(INDEX('07-تموز'!$I$2:$I$500,V122))-1,""))</f>
        <v>0</v>
      </c>
      <c r="AC122" t="str">
        <f>IF(L122="","",IF(AND($AO$2=1,ISNA(MATCH(L122,'09-أيلول'!$L$2:$L$500,0))),"محذوف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321</v>
      </c>
      <c r="B123">
        <v>0</v>
      </c>
      <c r="C123">
        <v>0</v>
      </c>
      <c r="D123">
        <v>0</v>
      </c>
      <c r="E123">
        <v>0</v>
      </c>
      <c r="F123" t="s">
        <v>268</v>
      </c>
      <c r="G123" t="s">
        <v>178</v>
      </c>
      <c r="H123" t="s">
        <v>176</v>
      </c>
      <c r="I123">
        <v>13.2</v>
      </c>
      <c r="K123" t="str">
        <f t="shared" si="20"/>
        <v/>
      </c>
      <c r="L123" t="str">
        <f t="shared" si="21"/>
        <v>عطر اوليفا</v>
      </c>
      <c r="M123" s="36">
        <f t="shared" si="22"/>
        <v>1</v>
      </c>
      <c r="N123" s="37">
        <f t="shared" si="23"/>
        <v>13.2</v>
      </c>
      <c r="O123" s="37">
        <f t="shared" si="24"/>
        <v>0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IF(L123="","",IF($AO$1=1,IFERROR(MATCH(L123,'07-تموز'!$L$2:$L$500,0),0),0))</f>
        <v>112</v>
      </c>
      <c r="W123" t="str">
        <f t="shared" si="31"/>
        <v/>
      </c>
      <c r="X123" s="38">
        <f>IF(L123="","",IF(V123&gt;0,INDEX('07-تموز'!$P$2:$P$500,V123),IF($AO$1=1,0,"")))</f>
        <v>0</v>
      </c>
      <c r="Y123" s="38">
        <f t="shared" si="32"/>
        <v>0</v>
      </c>
      <c r="Z123" s="39">
        <f>IF(L123="","",IF(V123&gt;0,INDEX('07-تموز'!$Q$2:$Q$500,V123),IF($AO$1=1,0,"")))</f>
        <v>0</v>
      </c>
      <c r="AA123" s="39">
        <f t="shared" si="33"/>
        <v>0</v>
      </c>
      <c r="AB123" s="40">
        <f>IF(OR(L123="",V123=0),"",IF(AND(N(I123)&gt;0,N(INDEX('07-تموز'!$I$2:$I$500,V123))&gt;0,INDEX('07-تموز'!$F$2:$F$500,V123)=F123),N(I123)/N(INDEX('07-تموز'!$I$2:$I$500,V123))-1,""))</f>
        <v>0</v>
      </c>
      <c r="AC123" t="str">
        <f>IF(L123="","",IF(AND($AO$2=1,ISNA(MATCH(L123,'09-أيلول'!$L$2:$L$500,0))),"محذوف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1.23E-7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322</v>
      </c>
      <c r="B124">
        <v>2</v>
      </c>
      <c r="C124">
        <v>0</v>
      </c>
      <c r="D124">
        <v>0</v>
      </c>
      <c r="E124">
        <v>0</v>
      </c>
      <c r="F124" t="s">
        <v>268</v>
      </c>
      <c r="G124" t="s">
        <v>178</v>
      </c>
      <c r="H124" t="s">
        <v>176</v>
      </c>
      <c r="I124">
        <v>425</v>
      </c>
      <c r="K124" t="str">
        <f t="shared" si="20"/>
        <v/>
      </c>
      <c r="L124" t="str">
        <f t="shared" si="21"/>
        <v>عطر ramani-kodi-000110</v>
      </c>
      <c r="M124" s="36">
        <f t="shared" si="22"/>
        <v>1</v>
      </c>
      <c r="N124" s="37">
        <f t="shared" si="23"/>
        <v>425</v>
      </c>
      <c r="O124" s="37">
        <f t="shared" si="24"/>
        <v>0</v>
      </c>
      <c r="P124" s="38">
        <f t="shared" si="25"/>
        <v>2</v>
      </c>
      <c r="Q124" s="39">
        <f t="shared" si="26"/>
        <v>850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IF(L124="","",IF($AO$1=1,IFERROR(MATCH(L124,'07-تموز'!$L$2:$L$500,0),0),0))</f>
        <v>113</v>
      </c>
      <c r="W124" t="str">
        <f t="shared" si="31"/>
        <v/>
      </c>
      <c r="X124" s="38">
        <f>IF(L124="","",IF(V124&gt;0,INDEX('07-تموز'!$P$2:$P$500,V124),IF($AO$1=1,0,"")))</f>
        <v>2</v>
      </c>
      <c r="Y124" s="38">
        <f t="shared" si="32"/>
        <v>0</v>
      </c>
      <c r="Z124" s="39">
        <f>IF(L124="","",IF(V124&gt;0,INDEX('07-تموز'!$Q$2:$Q$500,V124),IF($AO$1=1,0,"")))</f>
        <v>850</v>
      </c>
      <c r="AA124" s="39">
        <f t="shared" si="33"/>
        <v>0</v>
      </c>
      <c r="AB124" s="40">
        <f>IF(OR(L124="",V124=0),"",IF(AND(N(I124)&gt;0,N(INDEX('07-تموز'!$I$2:$I$500,V124))&gt;0,INDEX('07-تموز'!$F$2:$F$500,V124)=F124),N(I124)/N(INDEX('07-تموز'!$I$2:$I$500,V124))-1,""))</f>
        <v>0</v>
      </c>
      <c r="AC124" t="str">
        <f>IF(L124="","",IF(AND($AO$2=1,ISNA(MATCH(L124,'09-أيلول'!$L$2:$L$500,0))),"محذوف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1.24E-7</v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850.00000012400005</v>
      </c>
      <c r="AL124">
        <f t="shared" si="39"/>
        <v>1.24E-7</v>
      </c>
    </row>
    <row r="125" spans="1:38" ht="15">
      <c r="A125" t="s">
        <v>323</v>
      </c>
      <c r="B125">
        <v>50</v>
      </c>
      <c r="C125">
        <v>0</v>
      </c>
      <c r="D125">
        <v>0</v>
      </c>
      <c r="E125">
        <v>0</v>
      </c>
      <c r="F125" t="s">
        <v>268</v>
      </c>
      <c r="G125" t="s">
        <v>178</v>
      </c>
      <c r="H125" t="s">
        <v>176</v>
      </c>
      <c r="I125">
        <v>22</v>
      </c>
      <c r="K125" t="str">
        <f t="shared" si="20"/>
        <v/>
      </c>
      <c r="L125" t="str">
        <f t="shared" si="21"/>
        <v>عطر magic sprel - 6168581</v>
      </c>
      <c r="M125" s="36">
        <f t="shared" si="22"/>
        <v>1</v>
      </c>
      <c r="N125" s="37">
        <f t="shared" si="23"/>
        <v>22</v>
      </c>
      <c r="O125" s="37">
        <f t="shared" si="24"/>
        <v>0</v>
      </c>
      <c r="P125" s="38">
        <f t="shared" si="25"/>
        <v>50</v>
      </c>
      <c r="Q125" s="39">
        <f t="shared" si="26"/>
        <v>1100</v>
      </c>
      <c r="R125" s="39">
        <f t="shared" si="27"/>
        <v>0</v>
      </c>
      <c r="S125">
        <f t="shared" si="28"/>
        <v>0</v>
      </c>
      <c r="T125" s="39">
        <f t="shared" si="29"/>
        <v>0</v>
      </c>
      <c r="U125" t="str">
        <f t="shared" si="30"/>
        <v/>
      </c>
      <c r="V125">
        <f>IF(L125="","",IF($AO$1=1,IFERROR(MATCH(L125,'07-تموز'!$L$2:$L$500,0),0),0))</f>
        <v>114</v>
      </c>
      <c r="W125" t="str">
        <f t="shared" si="31"/>
        <v/>
      </c>
      <c r="X125" s="38">
        <f>IF(L125="","",IF(V125&gt;0,INDEX('07-تموز'!$P$2:$P$500,V125),IF($AO$1=1,0,"")))</f>
        <v>50</v>
      </c>
      <c r="Y125" s="38">
        <f t="shared" si="32"/>
        <v>0</v>
      </c>
      <c r="Z125" s="39">
        <f>IF(L125="","",IF(V125&gt;0,INDEX('07-تموز'!$Q$2:$Q$500,V125),IF($AO$1=1,0,"")))</f>
        <v>1100</v>
      </c>
      <c r="AA125" s="39">
        <f t="shared" si="33"/>
        <v>0</v>
      </c>
      <c r="AB125" s="40">
        <f>IF(OR(L125="",V125=0),"",IF(AND(N(I125)&gt;0,N(INDEX('07-تموز'!$I$2:$I$500,V125))&gt;0,INDEX('07-تموز'!$F$2:$F$500,V125)=F125),N(I125)/N(INDEX('07-تموز'!$I$2:$I$500,V125))-1,""))</f>
        <v>0</v>
      </c>
      <c r="AC125" t="str">
        <f>IF(L125="","",IF(AND($AO$2=1,ISNA(MATCH(L125,'09-أيلول'!$L$2:$L$500,0))),"محذوف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1.2499999999999999E-7</v>
      </c>
      <c r="AH125" s="39">
        <f t="shared" si="35"/>
        <v>0</v>
      </c>
      <c r="AI125" s="39">
        <f t="shared" si="36"/>
        <v>0</v>
      </c>
      <c r="AJ125" s="39">
        <f t="shared" si="37"/>
        <v>0</v>
      </c>
      <c r="AK125">
        <f t="shared" si="38"/>
        <v>1100.000000125</v>
      </c>
      <c r="AL125">
        <f t="shared" si="39"/>
        <v>1.2499999999999999E-7</v>
      </c>
    </row>
    <row r="126" spans="1:38" ht="15">
      <c r="A126" t="s">
        <v>324</v>
      </c>
      <c r="B126">
        <v>4</v>
      </c>
      <c r="C126">
        <v>0</v>
      </c>
      <c r="D126">
        <v>0</v>
      </c>
      <c r="E126">
        <v>0</v>
      </c>
      <c r="F126" t="s">
        <v>268</v>
      </c>
      <c r="G126" t="s">
        <v>178</v>
      </c>
      <c r="H126" t="s">
        <v>176</v>
      </c>
      <c r="I126">
        <v>425</v>
      </c>
      <c r="K126" t="str">
        <f t="shared" si="20"/>
        <v/>
      </c>
      <c r="L126" t="str">
        <f t="shared" si="21"/>
        <v>عطر kavien-clein-eforia-000020</v>
      </c>
      <c r="M126" s="36">
        <f t="shared" si="22"/>
        <v>1</v>
      </c>
      <c r="N126" s="37">
        <f t="shared" si="23"/>
        <v>425</v>
      </c>
      <c r="O126" s="37">
        <f t="shared" si="24"/>
        <v>0</v>
      </c>
      <c r="P126" s="38">
        <f t="shared" si="25"/>
        <v>4</v>
      </c>
      <c r="Q126" s="39">
        <f t="shared" si="26"/>
        <v>1700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IF(L126="","",IF($AO$1=1,IFERROR(MATCH(L126,'07-تموز'!$L$2:$L$500,0),0),0))</f>
        <v>115</v>
      </c>
      <c r="W126" t="str">
        <f t="shared" si="31"/>
        <v/>
      </c>
      <c r="X126" s="38">
        <f>IF(L126="","",IF(V126&gt;0,INDEX('07-تموز'!$P$2:$P$500,V126),IF($AO$1=1,0,"")))</f>
        <v>4</v>
      </c>
      <c r="Y126" s="38">
        <f t="shared" si="32"/>
        <v>0</v>
      </c>
      <c r="Z126" s="39">
        <f>IF(L126="","",IF(V126&gt;0,INDEX('07-تموز'!$Q$2:$Q$500,V126),IF($AO$1=1,0,"")))</f>
        <v>1700</v>
      </c>
      <c r="AA126" s="39">
        <f t="shared" si="33"/>
        <v>0</v>
      </c>
      <c r="AB126" s="40">
        <f>IF(OR(L126="",V126=0),"",IF(AND(N(I126)&gt;0,N(INDEX('07-تموز'!$I$2:$I$500,V126))&gt;0,INDEX('07-تموز'!$F$2:$F$500,V126)=F126),N(I126)/N(INDEX('07-تموز'!$I$2:$I$500,V126))-1,""))</f>
        <v>0</v>
      </c>
      <c r="AC126" t="str">
        <f>IF(L126="","",IF(AND($AO$2=1,ISNA(MATCH(L126,'09-أيلول'!$L$2:$L$500,0))),"محذوف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1.2599999999999999E-7</v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1700.000000126</v>
      </c>
      <c r="AL126">
        <f t="shared" si="39"/>
        <v>1.2599999999999999E-7</v>
      </c>
    </row>
    <row r="127" spans="1:38" ht="15">
      <c r="A127" t="s">
        <v>325</v>
      </c>
      <c r="B127">
        <v>1.44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176</v>
      </c>
      <c r="I127">
        <v>400</v>
      </c>
      <c r="K127" t="str">
        <f t="shared" si="20"/>
        <v/>
      </c>
      <c r="L127" t="str">
        <f t="shared" si="21"/>
        <v>عطر energy-000400</v>
      </c>
      <c r="M127" s="36">
        <f t="shared" si="22"/>
        <v>1</v>
      </c>
      <c r="N127" s="37">
        <f t="shared" si="23"/>
        <v>400</v>
      </c>
      <c r="O127" s="37">
        <f t="shared" si="24"/>
        <v>0</v>
      </c>
      <c r="P127" s="38">
        <f t="shared" si="25"/>
        <v>1.44</v>
      </c>
      <c r="Q127" s="39">
        <f t="shared" si="26"/>
        <v>576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IF(L127="","",IF($AO$1=1,IFERROR(MATCH(L127,'07-تموز'!$L$2:$L$500,0),0),0))</f>
        <v>116</v>
      </c>
      <c r="W127" t="str">
        <f t="shared" si="31"/>
        <v/>
      </c>
      <c r="X127" s="38">
        <f>IF(L127="","",IF(V127&gt;0,INDEX('07-تموز'!$P$2:$P$500,V127),IF($AO$1=1,0,"")))</f>
        <v>1.44</v>
      </c>
      <c r="Y127" s="38">
        <f t="shared" si="32"/>
        <v>0</v>
      </c>
      <c r="Z127" s="39">
        <f>IF(L127="","",IF(V127&gt;0,INDEX('07-تموز'!$Q$2:$Q$500,V127),IF($AO$1=1,0,"")))</f>
        <v>576</v>
      </c>
      <c r="AA127" s="39">
        <f t="shared" si="33"/>
        <v>0</v>
      </c>
      <c r="AB127" s="40">
        <f>IF(OR(L127="",V127=0),"",IF(AND(N(I127)&gt;0,N(INDEX('07-تموز'!$I$2:$I$500,V127))&gt;0,INDEX('07-تموز'!$F$2:$F$500,V127)=F127),N(I127)/N(INDEX('07-تموز'!$I$2:$I$500,V127))-1,""))</f>
        <v>0</v>
      </c>
      <c r="AC127" t="str">
        <f>IF(L127="","",IF(AND($AO$2=1,ISNA(MATCH(L127,'09-أيلول'!$L$2:$L$500,0))),"محذوف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1.2700000000000001E-7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576.00000012700002</v>
      </c>
      <c r="AL127">
        <f t="shared" si="39"/>
        <v>1.2700000000000001E-7</v>
      </c>
    </row>
    <row r="128" spans="1:38" ht="15">
      <c r="A128" t="s">
        <v>326</v>
      </c>
      <c r="B128">
        <v>105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176</v>
      </c>
      <c r="I128">
        <v>24</v>
      </c>
      <c r="K128" t="str">
        <f t="shared" si="20"/>
        <v/>
      </c>
      <c r="L128" t="str">
        <f t="shared" si="21"/>
        <v>عطر Blue APC - 0001198620</v>
      </c>
      <c r="M128" s="36">
        <f t="shared" si="22"/>
        <v>1</v>
      </c>
      <c r="N128" s="37">
        <f t="shared" si="23"/>
        <v>24</v>
      </c>
      <c r="O128" s="37">
        <f t="shared" si="24"/>
        <v>0</v>
      </c>
      <c r="P128" s="38">
        <f t="shared" si="25"/>
        <v>105</v>
      </c>
      <c r="Q128" s="39">
        <f t="shared" si="26"/>
        <v>2520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IF(L128="","",IF($AO$1=1,IFERROR(MATCH(L128,'07-تموز'!$L$2:$L$500,0),0),0))</f>
        <v>117</v>
      </c>
      <c r="W128" t="str">
        <f t="shared" si="31"/>
        <v/>
      </c>
      <c r="X128" s="38">
        <f>IF(L128="","",IF(V128&gt;0,INDEX('07-تموز'!$P$2:$P$500,V128),IF($AO$1=1,0,"")))</f>
        <v>105</v>
      </c>
      <c r="Y128" s="38">
        <f t="shared" si="32"/>
        <v>0</v>
      </c>
      <c r="Z128" s="39">
        <f>IF(L128="","",IF(V128&gt;0,INDEX('07-تموز'!$Q$2:$Q$500,V128),IF($AO$1=1,0,"")))</f>
        <v>2520</v>
      </c>
      <c r="AA128" s="39">
        <f t="shared" si="33"/>
        <v>0</v>
      </c>
      <c r="AB128" s="40">
        <f>IF(OR(L128="",V128=0),"",IF(AND(N(I128)&gt;0,N(INDEX('07-تموز'!$I$2:$I$500,V128))&gt;0,INDEX('07-تموز'!$F$2:$F$500,V128)=F128),N(I128)/N(INDEX('07-تموز'!$I$2:$I$500,V128))-1,""))</f>
        <v>0</v>
      </c>
      <c r="AC128" t="str">
        <f>IF(L128="","",IF(AND($AO$2=1,ISNA(MATCH(L128,'09-أيلول'!$L$2:$L$500,0))),"محذوف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2520.000000128</v>
      </c>
      <c r="AL128">
        <f t="shared" si="39"/>
        <v>1.2800000000000001E-7</v>
      </c>
    </row>
    <row r="129" spans="1:38" ht="15">
      <c r="A129" t="s">
        <v>327</v>
      </c>
      <c r="B129">
        <v>4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176</v>
      </c>
      <c r="I129">
        <v>450</v>
      </c>
      <c r="K129" t="str">
        <f t="shared" si="20"/>
        <v/>
      </c>
      <c r="L129" t="str">
        <f t="shared" si="21"/>
        <v>عطر billionair-000250</v>
      </c>
      <c r="M129" s="36">
        <f t="shared" si="22"/>
        <v>1</v>
      </c>
      <c r="N129" s="37">
        <f t="shared" si="23"/>
        <v>450</v>
      </c>
      <c r="O129" s="37">
        <f t="shared" si="24"/>
        <v>0</v>
      </c>
      <c r="P129" s="38">
        <f t="shared" si="25"/>
        <v>4</v>
      </c>
      <c r="Q129" s="39">
        <f t="shared" si="26"/>
        <v>1800</v>
      </c>
      <c r="R129" s="39">
        <f t="shared" si="27"/>
        <v>0</v>
      </c>
      <c r="S129">
        <f t="shared" si="28"/>
        <v>0</v>
      </c>
      <c r="T129" s="39">
        <f t="shared" si="29"/>
        <v>0</v>
      </c>
      <c r="U129" t="str">
        <f t="shared" si="30"/>
        <v/>
      </c>
      <c r="V129">
        <f>IF(L129="","",IF($AO$1=1,IFERROR(MATCH(L129,'07-تموز'!$L$2:$L$500,0),0),0))</f>
        <v>118</v>
      </c>
      <c r="W129" t="str">
        <f t="shared" si="31"/>
        <v/>
      </c>
      <c r="X129" s="38">
        <f>IF(L129="","",IF(V129&gt;0,INDEX('07-تموز'!$P$2:$P$500,V129),IF($AO$1=1,0,"")))</f>
        <v>4</v>
      </c>
      <c r="Y129" s="38">
        <f t="shared" si="32"/>
        <v>0</v>
      </c>
      <c r="Z129" s="39">
        <f>IF(L129="","",IF(V129&gt;0,INDEX('07-تموز'!$Q$2:$Q$500,V129),IF($AO$1=1,0,"")))</f>
        <v>1800</v>
      </c>
      <c r="AA129" s="39">
        <f t="shared" si="33"/>
        <v>0</v>
      </c>
      <c r="AB129" s="40">
        <f>IF(OR(L129="",V129=0),"",IF(AND(N(I129)&gt;0,N(INDEX('07-تموز'!$I$2:$I$500,V129))&gt;0,INDEX('07-تموز'!$F$2:$F$500,V129)=F129),N(I129)/N(INDEX('07-تموز'!$I$2:$I$500,V129))-1,""))</f>
        <v>0</v>
      </c>
      <c r="AC129" t="str">
        <f>IF(L129="","",IF(AND($AO$2=1,ISNA(MATCH(L129,'09-أيلول'!$L$2:$L$500,0))),"محذوف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si="34"/>
        <v>1.29E-7</v>
      </c>
      <c r="AH129" s="39">
        <f t="shared" si="35"/>
        <v>0</v>
      </c>
      <c r="AI129" s="39">
        <f t="shared" si="36"/>
        <v>0</v>
      </c>
      <c r="AJ129" s="39">
        <f t="shared" si="37"/>
        <v>0</v>
      </c>
      <c r="AK129">
        <f t="shared" si="38"/>
        <v>1800.000000129</v>
      </c>
      <c r="AL129">
        <f t="shared" si="39"/>
        <v>1.29E-7</v>
      </c>
    </row>
    <row r="130" spans="1:38" ht="15">
      <c r="A130" t="s">
        <v>328</v>
      </c>
      <c r="B130">
        <v>2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187.5</v>
      </c>
      <c r="K130" t="str">
        <f t="shared" ref="K130:K193" si="40">IF(L130="","",IF(U130&lt;&gt;"","⚠",""))</f>
        <v/>
      </c>
      <c r="L130" t="str">
        <f t="shared" ref="L130:L193" si="41">IF(A130="","",TRIM(A130))</f>
        <v>عطر be-apple-000320</v>
      </c>
      <c r="M130" s="36">
        <f t="shared" ref="M130:M193" si="42">IF(L130="","",IF(ISNUMBER(SEARCH("دولار",F130)),1,IF(ISNUMBER(SEARCH("ليرة",F130)),IF($AO$3&gt;0,1/$AO$3,0),0)))</f>
        <v>1</v>
      </c>
      <c r="N130" s="37">
        <f t="shared" ref="N130:N193" si="43">IF(L130="","",N(I130)*M130)</f>
        <v>187.5</v>
      </c>
      <c r="O130" s="37">
        <f t="shared" ref="O130:O193" si="44">IF(L130="","",M130*CHOOSE($AO$4,N(C130),N(D130),N(E130)))</f>
        <v>0</v>
      </c>
      <c r="P130" s="38">
        <f t="shared" ref="P130:P193" si="45">IF(L130="","",MAX(N(B130),0))</f>
        <v>2</v>
      </c>
      <c r="Q130" s="39">
        <f t="shared" ref="Q130:Q193" si="46">IF(L130="","",P130*N130)</f>
        <v>375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IF(L130="","",IF($AO$1=1,IFERROR(MATCH(L130,'07-تموز'!$L$2:$L$500,0),0),0))</f>
        <v>119</v>
      </c>
      <c r="W130" t="str">
        <f t="shared" ref="W130:W193" si="51">IF(L130="","",IF(AND($AO$1=1,V130=0),"جديد",""))</f>
        <v/>
      </c>
      <c r="X130" s="38">
        <f>IF(L130="","",IF(V130&gt;0,INDEX('07-تموز'!$P$2:$P$500,V130),IF($AO$1=1,0,"")))</f>
        <v>2</v>
      </c>
      <c r="Y130" s="38">
        <f t="shared" ref="Y130:Y193" si="52">IF(OR(L130="",X130=""),"",P130-X130)</f>
        <v>0</v>
      </c>
      <c r="Z130" s="39">
        <f>IF(L130="","",IF(V130&gt;0,INDEX('07-تموز'!$Q$2:$Q$500,V130),IF($AO$1=1,0,"")))</f>
        <v>375</v>
      </c>
      <c r="AA130" s="39">
        <f t="shared" ref="AA130:AA193" si="53">IF(OR(L130="",Z130=""),"",Q130-Z130)</f>
        <v>0</v>
      </c>
      <c r="AB130" s="40">
        <f>IF(OR(L130="",V130=0),"",IF(AND(N(I130)&gt;0,N(INDEX('07-تموز'!$I$2:$I$500,V130))&gt;0,INDEX('07-تموز'!$F$2:$F$500,V130)=F130),N(I130)/N(INDEX('07-تموز'!$I$2:$I$500,V130))-1,""))</f>
        <v>0</v>
      </c>
      <c r="AC130" t="str">
        <f>IF(L130="","",IF(AND($AO$2=1,ISNA(MATCH(L130,'09-أيلول'!$L$2:$L$500,0))),"محذوف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ref="AG130:AG193" si="54">IF(AA130="","",ABS(AA130)+ROW()/1000000000)</f>
        <v>1.3E-7</v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375.00000012999999</v>
      </c>
      <c r="AL130">
        <f t="shared" ref="AL130:AL193" si="59">IF(L130="","",T130+ROW()/1000000000)</f>
        <v>1.3E-7</v>
      </c>
    </row>
    <row r="131" spans="1:38" ht="15">
      <c r="A131" t="s">
        <v>446</v>
      </c>
      <c r="B131">
        <v>0.04</v>
      </c>
      <c r="C131">
        <v>250000</v>
      </c>
      <c r="D131">
        <v>250000</v>
      </c>
      <c r="E131">
        <v>250000</v>
      </c>
      <c r="F131" t="s">
        <v>389</v>
      </c>
      <c r="G131" t="s">
        <v>178</v>
      </c>
      <c r="H131" t="s">
        <v>12</v>
      </c>
      <c r="I131">
        <v>200000</v>
      </c>
      <c r="K131" t="str">
        <f t="shared" si="40"/>
        <v/>
      </c>
      <c r="L131" t="str">
        <f t="shared" si="41"/>
        <v>عصايات</v>
      </c>
      <c r="M131" s="36">
        <f t="shared" si="42"/>
        <v>7.5757575757575758E-5</v>
      </c>
      <c r="N131" s="37">
        <f t="shared" si="43"/>
        <v>15.151515151515152</v>
      </c>
      <c r="O131" s="37">
        <f t="shared" si="44"/>
        <v>18.939393939393938</v>
      </c>
      <c r="P131" s="38">
        <f t="shared" si="45"/>
        <v>0.04</v>
      </c>
      <c r="Q131" s="39">
        <f t="shared" si="46"/>
        <v>0.60606060606060608</v>
      </c>
      <c r="R131" s="39">
        <f t="shared" si="47"/>
        <v>0.75757575757575757</v>
      </c>
      <c r="S131">
        <f t="shared" si="48"/>
        <v>1</v>
      </c>
      <c r="T131" s="39">
        <f t="shared" si="49"/>
        <v>0.15151515151515149</v>
      </c>
      <c r="U131" t="str">
        <f t="shared" si="50"/>
        <v/>
      </c>
      <c r="V131">
        <f>IF(L131="","",IF($AO$1=1,IFERROR(MATCH(L131,'07-تموز'!$L$2:$L$500,0),0),0))</f>
        <v>120</v>
      </c>
      <c r="W131" t="str">
        <f t="shared" si="51"/>
        <v/>
      </c>
      <c r="X131" s="38">
        <f>IF(L131="","",IF(V131&gt;0,INDEX('07-تموز'!$P$2:$P$500,V131),IF($AO$1=1,0,"")))</f>
        <v>0.4</v>
      </c>
      <c r="Y131" s="38">
        <f t="shared" si="52"/>
        <v>-0.36000000000000004</v>
      </c>
      <c r="Z131" s="39">
        <f>IF(L131="","",IF(V131&gt;0,INDEX('07-تموز'!$Q$2:$Q$500,V131),IF($AO$1=1,0,"")))</f>
        <v>6.015037593984963</v>
      </c>
      <c r="AA131" s="39">
        <f t="shared" si="53"/>
        <v>-5.4089769879243565</v>
      </c>
      <c r="AB131" s="40">
        <f>IF(OR(L131="",V131=0),"",IF(AND(N(I131)&gt;0,N(INDEX('07-تموز'!$I$2:$I$500,V131))&gt;0,INDEX('07-تموز'!$F$2:$F$500,V131)=F131),N(I131)/N(INDEX('07-تموز'!$I$2:$I$500,V131))-1,""))</f>
        <v>0</v>
      </c>
      <c r="AC131" t="str">
        <f>IF(L131="","",IF(AND($AO$2=1,ISNA(MATCH(L131,'09-أيلول'!$L$2:$L$500,0))),"محذوف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5.4089771189243567</v>
      </c>
      <c r="AH131" s="39">
        <f t="shared" si="55"/>
        <v>0.15151515151515141</v>
      </c>
      <c r="AI131" s="39">
        <f t="shared" si="56"/>
        <v>0.15151515151515141</v>
      </c>
      <c r="AJ131" s="39">
        <f t="shared" si="57"/>
        <v>0.15151515151515141</v>
      </c>
      <c r="AK131">
        <f t="shared" si="58"/>
        <v>0.60606073706060604</v>
      </c>
      <c r="AL131">
        <f t="shared" si="59"/>
        <v>0.15151528251515148</v>
      </c>
    </row>
    <row r="132" spans="1:38" ht="15">
      <c r="A132" t="s">
        <v>518</v>
      </c>
      <c r="B132">
        <v>0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5.4</v>
      </c>
      <c r="K132" t="str">
        <f t="shared" si="40"/>
        <v/>
      </c>
      <c r="L132" t="str">
        <f t="shared" si="41"/>
        <v>عبوة ريفا شفافة 750غ</v>
      </c>
      <c r="M132" s="36">
        <f t="shared" si="42"/>
        <v>1</v>
      </c>
      <c r="N132" s="37">
        <f t="shared" si="43"/>
        <v>5.4</v>
      </c>
      <c r="O132" s="37">
        <f t="shared" si="44"/>
        <v>0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IF(L132="","",IF($AO$1=1,IFERROR(MATCH(L132,'07-تموز'!$L$2:$L$500,0),0),0))</f>
        <v>0</v>
      </c>
      <c r="W132" t="str">
        <f t="shared" si="51"/>
        <v>جديد</v>
      </c>
      <c r="X132" s="38">
        <f>IF(L132="","",IF(V132&gt;0,INDEX('07-تموز'!$P$2:$P$500,V132),IF($AO$1=1,0,"")))</f>
        <v>0</v>
      </c>
      <c r="Y132" s="38">
        <f t="shared" si="52"/>
        <v>0</v>
      </c>
      <c r="Z132" s="39">
        <f>IF(L132="","",IF(V132&gt;0,INDEX('07-تموز'!$Q$2:$Q$500,V132),IF($AO$1=1,0,"")))</f>
        <v>0</v>
      </c>
      <c r="AA132" s="39">
        <f t="shared" si="53"/>
        <v>0</v>
      </c>
      <c r="AB132" s="40" t="str">
        <f>IF(OR(L132="",V132=0),"",IF(AND(N(I132)&gt;0,N(INDEX('07-تموز'!$I$2:$I$500,V132))&gt;0,INDEX('07-تموز'!$F$2:$F$500,V132)=F132),N(I132)/N(INDEX('07-تموز'!$I$2:$I$500,V132))-1,""))</f>
        <v/>
      </c>
      <c r="AC132" t="str">
        <f>IF(L132="","",IF(AND($AO$2=1,ISNA(MATCH(L132,'09-أيلول'!$L$2:$L$500,0))),"محذوف لاحقاً",""))</f>
        <v/>
      </c>
      <c r="AD132">
        <f>IF(W132="جديد",COUNTIF(W$2:W132,"جديد"),"")</f>
        <v>11</v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329</v>
      </c>
      <c r="B133">
        <v>0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0.8</v>
      </c>
      <c r="K133" t="str">
        <f t="shared" si="40"/>
        <v/>
      </c>
      <c r="L133" t="str">
        <f t="shared" si="41"/>
        <v>عبوة 1 لتر</v>
      </c>
      <c r="M133" s="36">
        <f t="shared" si="42"/>
        <v>1</v>
      </c>
      <c r="N133" s="37">
        <f t="shared" si="43"/>
        <v>0.8</v>
      </c>
      <c r="O133" s="37">
        <f t="shared" si="44"/>
        <v>0</v>
      </c>
      <c r="P133" s="38">
        <f t="shared" si="45"/>
        <v>0</v>
      </c>
      <c r="Q133" s="39">
        <f t="shared" si="46"/>
        <v>0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IF(L133="","",IF($AO$1=1,IFERROR(MATCH(L133,'07-تموز'!$L$2:$L$500,0),0),0))</f>
        <v>121</v>
      </c>
      <c r="W133" t="str">
        <f t="shared" si="51"/>
        <v/>
      </c>
      <c r="X133" s="38">
        <f>IF(L133="","",IF(V133&gt;0,INDEX('07-تموز'!$P$2:$P$500,V133),IF($AO$1=1,0,"")))</f>
        <v>0</v>
      </c>
      <c r="Y133" s="38">
        <f t="shared" si="52"/>
        <v>0</v>
      </c>
      <c r="Z133" s="39">
        <f>IF(L133="","",IF(V133&gt;0,INDEX('07-تموز'!$Q$2:$Q$500,V133),IF($AO$1=1,0,"")))</f>
        <v>0</v>
      </c>
      <c r="AA133" s="39">
        <f t="shared" si="53"/>
        <v>0</v>
      </c>
      <c r="AB133" s="40">
        <f>IF(OR(L133="",V133=0),"",IF(AND(N(I133)&gt;0,N(INDEX('07-تموز'!$I$2:$I$500,V133))&gt;0,INDEX('07-تموز'!$F$2:$F$500,V133)=F133),N(I133)/N(INDEX('07-تموز'!$I$2:$I$500,V133))-1,""))</f>
        <v>0</v>
      </c>
      <c r="AC133" t="str">
        <f>IF(L133="","",IF(AND($AO$2=1,ISNA(MATCH(L133,'09-أيلول'!$L$2:$L$500,0))),"محذوف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1.3300000000000001E-7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1.3300000000000001E-7</v>
      </c>
      <c r="AL133">
        <f t="shared" si="59"/>
        <v>1.3300000000000001E-7</v>
      </c>
    </row>
    <row r="134" spans="1:38" ht="15">
      <c r="A134" t="s">
        <v>447</v>
      </c>
      <c r="B134">
        <v>12.23</v>
      </c>
      <c r="C134">
        <v>90000</v>
      </c>
      <c r="D134">
        <v>90000</v>
      </c>
      <c r="E134">
        <v>90000</v>
      </c>
      <c r="F134" t="s">
        <v>389</v>
      </c>
      <c r="G134" t="s">
        <v>178</v>
      </c>
      <c r="H134" t="s">
        <v>176</v>
      </c>
      <c r="I134">
        <v>84000</v>
      </c>
      <c r="K134" t="str">
        <f t="shared" si="40"/>
        <v/>
      </c>
      <c r="L134" t="str">
        <f t="shared" si="41"/>
        <v>عبوات كلور + فلاش فارغة</v>
      </c>
      <c r="M134" s="36">
        <f t="shared" si="42"/>
        <v>7.5757575757575758E-5</v>
      </c>
      <c r="N134" s="37">
        <f t="shared" si="43"/>
        <v>6.3636363636363633</v>
      </c>
      <c r="O134" s="37">
        <f t="shared" si="44"/>
        <v>6.8181818181818183</v>
      </c>
      <c r="P134" s="38">
        <f t="shared" si="45"/>
        <v>12.23</v>
      </c>
      <c r="Q134" s="39">
        <f t="shared" si="46"/>
        <v>77.827272727272728</v>
      </c>
      <c r="R134" s="39">
        <f t="shared" si="47"/>
        <v>83.38636363636364</v>
      </c>
      <c r="S134">
        <f t="shared" si="48"/>
        <v>1</v>
      </c>
      <c r="T134" s="39">
        <f t="shared" si="49"/>
        <v>5.5590909090909122</v>
      </c>
      <c r="U134" t="str">
        <f t="shared" si="50"/>
        <v/>
      </c>
      <c r="V134">
        <f>IF(L134="","",IF($AO$1=1,IFERROR(MATCH(L134,'07-تموز'!$L$2:$L$500,0),0),0))</f>
        <v>122</v>
      </c>
      <c r="W134" t="str">
        <f t="shared" si="51"/>
        <v/>
      </c>
      <c r="X134" s="38">
        <f>IF(L134="","",IF(V134&gt;0,INDEX('07-تموز'!$P$2:$P$500,V134),IF($AO$1=1,0,"")))</f>
        <v>18.03</v>
      </c>
      <c r="Y134" s="38">
        <f t="shared" si="52"/>
        <v>-5.8000000000000007</v>
      </c>
      <c r="Z134" s="39">
        <f>IF(L134="","",IF(V134&gt;0,INDEX('07-تموز'!$Q$2:$Q$500,V134),IF($AO$1=1,0,"")))</f>
        <v>113.87368421052632</v>
      </c>
      <c r="AA134" s="39">
        <f t="shared" si="53"/>
        <v>-36.046411483253593</v>
      </c>
      <c r="AB134" s="40">
        <f>IF(OR(L134="",V134=0),"",IF(AND(N(I134)&gt;0,N(INDEX('07-تموز'!$I$2:$I$500,V134))&gt;0,INDEX('07-تموز'!$F$2:$F$500,V134)=F134),N(I134)/N(INDEX('07-تموز'!$I$2:$I$500,V134))-1,""))</f>
        <v>0</v>
      </c>
      <c r="AC134" t="str">
        <f>IF(L134="","",IF(AND($AO$2=1,ISNA(MATCH(L134,'09-أيلول'!$L$2:$L$500,0))),"محذوف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36.04641161725359</v>
      </c>
      <c r="AH134" s="39">
        <f t="shared" si="55"/>
        <v>5.5590909090909149</v>
      </c>
      <c r="AI134" s="39">
        <f t="shared" si="56"/>
        <v>5.5590909090909149</v>
      </c>
      <c r="AJ134" s="39">
        <f t="shared" si="57"/>
        <v>5.5590909090909149</v>
      </c>
      <c r="AK134">
        <f t="shared" si="58"/>
        <v>77.827272861272732</v>
      </c>
      <c r="AL134">
        <f t="shared" si="59"/>
        <v>5.5590910430909126</v>
      </c>
    </row>
    <row r="135" spans="1:38" ht="15">
      <c r="A135" t="s">
        <v>448</v>
      </c>
      <c r="B135">
        <v>17.32</v>
      </c>
      <c r="C135">
        <v>135000</v>
      </c>
      <c r="D135">
        <v>135000</v>
      </c>
      <c r="E135">
        <v>135000</v>
      </c>
      <c r="F135" t="s">
        <v>389</v>
      </c>
      <c r="G135" t="s">
        <v>178</v>
      </c>
      <c r="H135" t="s">
        <v>176</v>
      </c>
      <c r="I135">
        <v>126000</v>
      </c>
      <c r="K135" t="str">
        <f t="shared" si="40"/>
        <v/>
      </c>
      <c r="L135" t="str">
        <f t="shared" si="41"/>
        <v>عبوات شفافة 3 لتر</v>
      </c>
      <c r="M135" s="36">
        <f t="shared" si="42"/>
        <v>7.5757575757575758E-5</v>
      </c>
      <c r="N135" s="37">
        <f t="shared" si="43"/>
        <v>9.545454545454545</v>
      </c>
      <c r="O135" s="37">
        <f t="shared" si="44"/>
        <v>10.227272727272727</v>
      </c>
      <c r="P135" s="38">
        <f t="shared" si="45"/>
        <v>17.32</v>
      </c>
      <c r="Q135" s="39">
        <f t="shared" si="46"/>
        <v>165.32727272727271</v>
      </c>
      <c r="R135" s="39">
        <f t="shared" si="47"/>
        <v>177.13636363636363</v>
      </c>
      <c r="S135">
        <f t="shared" si="48"/>
        <v>1</v>
      </c>
      <c r="T135" s="39">
        <f t="shared" si="49"/>
        <v>11.809090909090912</v>
      </c>
      <c r="U135" t="str">
        <f t="shared" si="50"/>
        <v/>
      </c>
      <c r="V135">
        <f>IF(L135="","",IF($AO$1=1,IFERROR(MATCH(L135,'07-تموز'!$L$2:$L$500,0),0),0))</f>
        <v>123</v>
      </c>
      <c r="W135" t="str">
        <f t="shared" si="51"/>
        <v/>
      </c>
      <c r="X135" s="38">
        <f>IF(L135="","",IF(V135&gt;0,INDEX('07-تموز'!$P$2:$P$500,V135),IF($AO$1=1,0,"")))</f>
        <v>30.82</v>
      </c>
      <c r="Y135" s="38">
        <f t="shared" si="52"/>
        <v>-13.5</v>
      </c>
      <c r="Z135" s="39">
        <f>IF(L135="","",IF(V135&gt;0,INDEX('07-تموز'!$Q$2:$Q$500,V135),IF($AO$1=1,0,"")))</f>
        <v>291.97894736842102</v>
      </c>
      <c r="AA135" s="39">
        <f t="shared" si="53"/>
        <v>-126.6516746411483</v>
      </c>
      <c r="AB135" s="40">
        <f>IF(OR(L135="",V135=0),"",IF(AND(N(I135)&gt;0,N(INDEX('07-تموز'!$I$2:$I$500,V135))&gt;0,INDEX('07-تموز'!$F$2:$F$500,V135)=F135),N(I135)/N(INDEX('07-تموز'!$I$2:$I$500,V135))-1,""))</f>
        <v>0</v>
      </c>
      <c r="AC135" t="str">
        <f>IF(L135="","",IF(AND($AO$2=1,ISNA(MATCH(L135,'09-أيلول'!$L$2:$L$500,0))),"محذوف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126.6516747761483</v>
      </c>
      <c r="AH135" s="39">
        <f t="shared" si="55"/>
        <v>11.809090909090907</v>
      </c>
      <c r="AI135" s="39">
        <f t="shared" si="56"/>
        <v>11.809090909090907</v>
      </c>
      <c r="AJ135" s="39">
        <f t="shared" si="57"/>
        <v>11.809090909090907</v>
      </c>
      <c r="AK135">
        <f t="shared" si="58"/>
        <v>165.32727286227271</v>
      </c>
      <c r="AL135">
        <f t="shared" si="59"/>
        <v>11.809091044090913</v>
      </c>
    </row>
    <row r="136" spans="1:38" ht="15">
      <c r="A136" t="s">
        <v>449</v>
      </c>
      <c r="B136">
        <v>93.75</v>
      </c>
      <c r="C136">
        <v>128000</v>
      </c>
      <c r="D136">
        <v>128000</v>
      </c>
      <c r="E136">
        <v>128000</v>
      </c>
      <c r="F136" t="s">
        <v>389</v>
      </c>
      <c r="G136" t="s">
        <v>178</v>
      </c>
      <c r="H136" t="s">
        <v>176</v>
      </c>
      <c r="I136">
        <v>96000</v>
      </c>
      <c r="K136" t="str">
        <f t="shared" si="40"/>
        <v/>
      </c>
      <c r="L136" t="str">
        <f t="shared" si="41"/>
        <v>عبوات حليبي</v>
      </c>
      <c r="M136" s="36">
        <f t="shared" si="42"/>
        <v>7.5757575757575758E-5</v>
      </c>
      <c r="N136" s="37">
        <f t="shared" si="43"/>
        <v>7.2727272727272725</v>
      </c>
      <c r="O136" s="37">
        <f t="shared" si="44"/>
        <v>9.6969696969696972</v>
      </c>
      <c r="P136" s="38">
        <f t="shared" si="45"/>
        <v>93.75</v>
      </c>
      <c r="Q136" s="39">
        <f t="shared" si="46"/>
        <v>681.81818181818176</v>
      </c>
      <c r="R136" s="39">
        <f t="shared" si="47"/>
        <v>909.09090909090912</v>
      </c>
      <c r="S136">
        <f t="shared" si="48"/>
        <v>1</v>
      </c>
      <c r="T136" s="39">
        <f t="shared" si="49"/>
        <v>227.27272727272737</v>
      </c>
      <c r="U136" t="str">
        <f t="shared" si="50"/>
        <v/>
      </c>
      <c r="V136">
        <f>IF(L136="","",IF($AO$1=1,IFERROR(MATCH(L136,'07-تموز'!$L$2:$L$500,0),0),0))</f>
        <v>124</v>
      </c>
      <c r="W136" t="str">
        <f t="shared" si="51"/>
        <v/>
      </c>
      <c r="X136" s="38">
        <f>IF(L136="","",IF(V136&gt;0,INDEX('07-تموز'!$P$2:$P$500,V136),IF($AO$1=1,0,"")))</f>
        <v>93.75</v>
      </c>
      <c r="Y136" s="38">
        <f t="shared" si="52"/>
        <v>0</v>
      </c>
      <c r="Z136" s="39">
        <f>IF(L136="","",IF(V136&gt;0,INDEX('07-تموز'!$Q$2:$Q$500,V136),IF($AO$1=1,0,"")))</f>
        <v>676.69172932330821</v>
      </c>
      <c r="AA136" s="39">
        <f t="shared" si="53"/>
        <v>5.126452494873547</v>
      </c>
      <c r="AB136" s="40">
        <f>IF(OR(L136="",V136=0),"",IF(AND(N(I136)&gt;0,N(INDEX('07-تموز'!$I$2:$I$500,V136))&gt;0,INDEX('07-تموز'!$F$2:$F$500,V136)=F136),N(I136)/N(INDEX('07-تموز'!$I$2:$I$500,V136))-1,""))</f>
        <v>0</v>
      </c>
      <c r="AC136" t="str">
        <f>IF(L136="","",IF(AND($AO$2=1,ISNA(MATCH(L136,'09-أيلول'!$L$2:$L$500,0))),"محذوف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5.1264526308735467</v>
      </c>
      <c r="AH136" s="39">
        <f t="shared" si="55"/>
        <v>227.27272727272731</v>
      </c>
      <c r="AI136" s="39">
        <f t="shared" si="56"/>
        <v>227.27272727272731</v>
      </c>
      <c r="AJ136" s="39">
        <f t="shared" si="57"/>
        <v>227.27272727272731</v>
      </c>
      <c r="AK136">
        <f t="shared" si="58"/>
        <v>681.8181819541818</v>
      </c>
      <c r="AL136">
        <f t="shared" si="59"/>
        <v>227.27272740872738</v>
      </c>
    </row>
    <row r="137" spans="1:38" ht="15">
      <c r="A137" t="s">
        <v>450</v>
      </c>
      <c r="B137">
        <v>71</v>
      </c>
      <c r="C137">
        <v>18000</v>
      </c>
      <c r="D137">
        <v>18000</v>
      </c>
      <c r="E137">
        <v>18000</v>
      </c>
      <c r="F137" t="s">
        <v>389</v>
      </c>
      <c r="G137" t="s">
        <v>178</v>
      </c>
      <c r="H137" t="s">
        <v>12</v>
      </c>
      <c r="I137">
        <v>15000</v>
      </c>
      <c r="K137" t="str">
        <f t="shared" si="40"/>
        <v/>
      </c>
      <c r="L137" t="str">
        <f t="shared" si="41"/>
        <v>طواقي راس</v>
      </c>
      <c r="M137" s="36">
        <f t="shared" si="42"/>
        <v>7.5757575757575758E-5</v>
      </c>
      <c r="N137" s="37">
        <f t="shared" si="43"/>
        <v>1.1363636363636365</v>
      </c>
      <c r="O137" s="37">
        <f t="shared" si="44"/>
        <v>1.3636363636363635</v>
      </c>
      <c r="P137" s="38">
        <f t="shared" si="45"/>
        <v>71</v>
      </c>
      <c r="Q137" s="39">
        <f t="shared" si="46"/>
        <v>80.681818181818187</v>
      </c>
      <c r="R137" s="39">
        <f t="shared" si="47"/>
        <v>96.818181818181813</v>
      </c>
      <c r="S137">
        <f t="shared" si="48"/>
        <v>1</v>
      </c>
      <c r="T137" s="39">
        <f t="shared" si="49"/>
        <v>16.136363636363626</v>
      </c>
      <c r="U137" t="str">
        <f t="shared" si="50"/>
        <v/>
      </c>
      <c r="V137">
        <f>IF(L137="","",IF($AO$1=1,IFERROR(MATCH(L137,'07-تموز'!$L$2:$L$500,0),0),0))</f>
        <v>125</v>
      </c>
      <c r="W137" t="str">
        <f t="shared" si="51"/>
        <v/>
      </c>
      <c r="X137" s="38">
        <f>IF(L137="","",IF(V137&gt;0,INDEX('07-تموز'!$P$2:$P$500,V137),IF($AO$1=1,0,"")))</f>
        <v>80</v>
      </c>
      <c r="Y137" s="38">
        <f t="shared" si="52"/>
        <v>-9</v>
      </c>
      <c r="Z137" s="39">
        <f>IF(L137="","",IF(V137&gt;0,INDEX('07-تموز'!$Q$2:$Q$500,V137),IF($AO$1=1,0,"")))</f>
        <v>90.225563909774436</v>
      </c>
      <c r="AA137" s="39">
        <f t="shared" si="53"/>
        <v>-9.5437457279562494</v>
      </c>
      <c r="AB137" s="40">
        <f>IF(OR(L137="",V137=0),"",IF(AND(N(I137)&gt;0,N(INDEX('07-تموز'!$I$2:$I$500,V137))&gt;0,INDEX('07-تموز'!$F$2:$F$500,V137)=F137),N(I137)/N(INDEX('07-تموز'!$I$2:$I$500,V137))-1,""))</f>
        <v>0</v>
      </c>
      <c r="AC137" t="str">
        <f>IF(L137="","",IF(AND($AO$2=1,ISNA(MATCH(L137,'09-أيلول'!$L$2:$L$500,0))),"محذوف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9.5437458649562501</v>
      </c>
      <c r="AH137" s="39">
        <f t="shared" si="55"/>
        <v>16.136363636363622</v>
      </c>
      <c r="AI137" s="39">
        <f t="shared" si="56"/>
        <v>16.136363636363622</v>
      </c>
      <c r="AJ137" s="39">
        <f t="shared" si="57"/>
        <v>16.136363636363622</v>
      </c>
      <c r="AK137">
        <f t="shared" si="58"/>
        <v>80.681818318818188</v>
      </c>
      <c r="AL137">
        <f t="shared" si="59"/>
        <v>16.136363773363627</v>
      </c>
    </row>
    <row r="138" spans="1:38" ht="15">
      <c r="A138" t="s">
        <v>519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177</v>
      </c>
      <c r="I138">
        <v>0</v>
      </c>
      <c r="K138" t="str">
        <f t="shared" si="40"/>
        <v/>
      </c>
      <c r="L138" t="str">
        <f t="shared" si="41"/>
        <v>طبخة رابع معدلة</v>
      </c>
      <c r="M138" s="36">
        <f t="shared" si="42"/>
        <v>1</v>
      </c>
      <c r="N138" s="37">
        <f t="shared" si="43"/>
        <v>0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IF(L138="","",IF($AO$1=1,IFERROR(MATCH(L138,'07-تموز'!$L$2:$L$500,0),0),0))</f>
        <v>0</v>
      </c>
      <c r="W138" t="str">
        <f t="shared" si="51"/>
        <v>جديد</v>
      </c>
      <c r="X138" s="38">
        <f>IF(L138="","",IF(V138&gt;0,INDEX('07-تموز'!$P$2:$P$500,V138),IF($AO$1=1,0,"")))</f>
        <v>0</v>
      </c>
      <c r="Y138" s="38">
        <f t="shared" si="52"/>
        <v>0</v>
      </c>
      <c r="Z138" s="39">
        <f>IF(L138="","",IF(V138&gt;0,INDEX('07-تموز'!$Q$2:$Q$500,V138),IF($AO$1=1,0,"")))</f>
        <v>0</v>
      </c>
      <c r="AA138" s="39">
        <f t="shared" si="53"/>
        <v>0</v>
      </c>
      <c r="AB138" s="40" t="str">
        <f>IF(OR(L138="",V138=0),"",IF(AND(N(I138)&gt;0,N(INDEX('07-تموز'!$I$2:$I$500,V138))&gt;0,INDEX('07-تموز'!$F$2:$F$500,V138)=F138),N(I138)/N(INDEX('07-تموز'!$I$2:$I$500,V138))-1,""))</f>
        <v/>
      </c>
      <c r="AC138" t="str">
        <f>IF(L138="","",IF(AND($AO$2=1,ISNA(MATCH(L138,'09-أيلول'!$L$2:$L$500,0))),"محذوف لاحقاً",""))</f>
        <v/>
      </c>
      <c r="AD138">
        <f>IF(W138="جديد",COUNTIF(W$2:W138,"جديد"),"")</f>
        <v>12</v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330</v>
      </c>
      <c r="B139">
        <v>0</v>
      </c>
      <c r="C139">
        <v>0</v>
      </c>
      <c r="D139">
        <v>0</v>
      </c>
      <c r="E139">
        <v>0</v>
      </c>
      <c r="F139" t="s">
        <v>268</v>
      </c>
      <c r="G139" t="s">
        <v>178</v>
      </c>
      <c r="H139" t="s">
        <v>177</v>
      </c>
      <c r="I139">
        <v>0</v>
      </c>
      <c r="K139" t="str">
        <f t="shared" si="40"/>
        <v/>
      </c>
      <c r="L139" t="str">
        <f t="shared" si="41"/>
        <v>طبخة رابع مخصصة</v>
      </c>
      <c r="M139" s="36">
        <f t="shared" si="42"/>
        <v>1</v>
      </c>
      <c r="N139" s="37">
        <f t="shared" si="43"/>
        <v>0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IF(L139="","",IF($AO$1=1,IFERROR(MATCH(L139,'07-تموز'!$L$2:$L$500,0),0),0))</f>
        <v>126</v>
      </c>
      <c r="W139" t="str">
        <f t="shared" si="51"/>
        <v/>
      </c>
      <c r="X139" s="38">
        <f>IF(L139="","",IF(V139&gt;0,INDEX('07-تموز'!$P$2:$P$500,V139),IF($AO$1=1,0,"")))</f>
        <v>0</v>
      </c>
      <c r="Y139" s="38">
        <f t="shared" si="52"/>
        <v>0</v>
      </c>
      <c r="Z139" s="39">
        <f>IF(L139="","",IF(V139&gt;0,INDEX('07-تموز'!$Q$2:$Q$500,V139),IF($AO$1=1,0,"")))</f>
        <v>0</v>
      </c>
      <c r="AA139" s="39">
        <f t="shared" si="53"/>
        <v>0</v>
      </c>
      <c r="AB139" s="40" t="str">
        <f>IF(OR(L139="",V139=0),"",IF(AND(N(I139)&gt;0,N(INDEX('07-تموز'!$I$2:$I$500,V139))&gt;0,INDEX('07-تموز'!$F$2:$F$500,V139)=F139),N(I139)/N(INDEX('07-تموز'!$I$2:$I$500,V139))-1,""))</f>
        <v/>
      </c>
      <c r="AC139" t="str">
        <f>IF(L139="","",IF(AND($AO$2=1,ISNA(MATCH(L139,'09-أيلول'!$L$2:$L$500,0))),"محذوف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1.3899999999999999E-7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331</v>
      </c>
      <c r="B140">
        <v>0</v>
      </c>
      <c r="C140">
        <v>0</v>
      </c>
      <c r="D140">
        <v>0</v>
      </c>
      <c r="E140">
        <v>0</v>
      </c>
      <c r="F140" t="s">
        <v>268</v>
      </c>
      <c r="G140" t="s">
        <v>178</v>
      </c>
      <c r="H140" t="s">
        <v>177</v>
      </c>
      <c r="I140">
        <v>0</v>
      </c>
      <c r="K140" t="str">
        <f t="shared" si="40"/>
        <v/>
      </c>
      <c r="L140" t="str">
        <f t="shared" si="41"/>
        <v>طبخة رابع تنتح طبختين</v>
      </c>
      <c r="M140" s="36">
        <f t="shared" si="42"/>
        <v>1</v>
      </c>
      <c r="N140" s="37">
        <f t="shared" si="43"/>
        <v>0</v>
      </c>
      <c r="O140" s="37">
        <f t="shared" si="44"/>
        <v>0</v>
      </c>
      <c r="P140" s="38">
        <f t="shared" si="45"/>
        <v>0</v>
      </c>
      <c r="Q140" s="39">
        <f t="shared" si="46"/>
        <v>0</v>
      </c>
      <c r="R140" s="39">
        <f t="shared" si="47"/>
        <v>0</v>
      </c>
      <c r="S140">
        <f t="shared" si="48"/>
        <v>0</v>
      </c>
      <c r="T140" s="39">
        <f t="shared" si="49"/>
        <v>0</v>
      </c>
      <c r="U140" t="str">
        <f t="shared" si="50"/>
        <v/>
      </c>
      <c r="V140">
        <f>IF(L140="","",IF($AO$1=1,IFERROR(MATCH(L140,'07-تموز'!$L$2:$L$500,0),0),0))</f>
        <v>127</v>
      </c>
      <c r="W140" t="str">
        <f t="shared" si="51"/>
        <v/>
      </c>
      <c r="X140" s="38">
        <f>IF(L140="","",IF(V140&gt;0,INDEX('07-تموز'!$P$2:$P$500,V140),IF($AO$1=1,0,"")))</f>
        <v>0</v>
      </c>
      <c r="Y140" s="38">
        <f t="shared" si="52"/>
        <v>0</v>
      </c>
      <c r="Z140" s="39">
        <f>IF(L140="","",IF(V140&gt;0,INDEX('07-تموز'!$Q$2:$Q$500,V140),IF($AO$1=1,0,"")))</f>
        <v>0</v>
      </c>
      <c r="AA140" s="39">
        <f t="shared" si="53"/>
        <v>0</v>
      </c>
      <c r="AB140" s="40" t="str">
        <f>IF(OR(L140="",V140=0),"",IF(AND(N(I140)&gt;0,N(INDEX('07-تموز'!$I$2:$I$500,V140))&gt;0,INDEX('07-تموز'!$F$2:$F$500,V140)=F140),N(I140)/N(INDEX('07-تموز'!$I$2:$I$500,V140))-1,""))</f>
        <v/>
      </c>
      <c r="AC140" t="str">
        <f>IF(L140="","",IF(AND($AO$2=1,ISNA(MATCH(L140,'09-أيلول'!$L$2:$L$500,0))),"محذوف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1.4000000000000001E-7</v>
      </c>
      <c r="AH140" s="39">
        <f t="shared" si="55"/>
        <v>0</v>
      </c>
      <c r="AI140" s="39">
        <f t="shared" si="56"/>
        <v>0</v>
      </c>
      <c r="AJ140" s="39">
        <f t="shared" si="57"/>
        <v>0</v>
      </c>
      <c r="AK140">
        <f t="shared" si="58"/>
        <v>1.4000000000000001E-7</v>
      </c>
      <c r="AL140">
        <f t="shared" si="59"/>
        <v>1.4000000000000001E-7</v>
      </c>
    </row>
    <row r="141" spans="1:38" ht="15">
      <c r="A141" t="s">
        <v>332</v>
      </c>
      <c r="B141">
        <v>0</v>
      </c>
      <c r="C141">
        <v>0</v>
      </c>
      <c r="D141">
        <v>0</v>
      </c>
      <c r="E141">
        <v>0</v>
      </c>
      <c r="F141" t="s">
        <v>268</v>
      </c>
      <c r="G141" t="s">
        <v>178</v>
      </c>
      <c r="H141" t="s">
        <v>177</v>
      </c>
      <c r="I141">
        <v>642</v>
      </c>
      <c r="K141" t="str">
        <f t="shared" si="40"/>
        <v/>
      </c>
      <c r="L141" t="str">
        <f t="shared" si="41"/>
        <v>طبخة اول تنتج طبختين</v>
      </c>
      <c r="M141" s="36">
        <f t="shared" si="42"/>
        <v>1</v>
      </c>
      <c r="N141" s="37">
        <f t="shared" si="43"/>
        <v>642</v>
      </c>
      <c r="O141" s="37">
        <f t="shared" si="44"/>
        <v>0</v>
      </c>
      <c r="P141" s="38">
        <f t="shared" si="45"/>
        <v>0</v>
      </c>
      <c r="Q141" s="39">
        <f t="shared" si="46"/>
        <v>0</v>
      </c>
      <c r="R141" s="39">
        <f t="shared" si="47"/>
        <v>0</v>
      </c>
      <c r="S141">
        <f t="shared" si="48"/>
        <v>0</v>
      </c>
      <c r="T141" s="39">
        <f t="shared" si="49"/>
        <v>0</v>
      </c>
      <c r="U141" t="str">
        <f t="shared" si="50"/>
        <v/>
      </c>
      <c r="V141">
        <f>IF(L141="","",IF($AO$1=1,IFERROR(MATCH(L141,'07-تموز'!$L$2:$L$500,0),0),0))</f>
        <v>128</v>
      </c>
      <c r="W141" t="str">
        <f t="shared" si="51"/>
        <v/>
      </c>
      <c r="X141" s="38">
        <f>IF(L141="","",IF(V141&gt;0,INDEX('07-تموز'!$P$2:$P$500,V141),IF($AO$1=1,0,"")))</f>
        <v>0</v>
      </c>
      <c r="Y141" s="38">
        <f t="shared" si="52"/>
        <v>0</v>
      </c>
      <c r="Z141" s="39">
        <f>IF(L141="","",IF(V141&gt;0,INDEX('07-تموز'!$Q$2:$Q$500,V141),IF($AO$1=1,0,"")))</f>
        <v>0</v>
      </c>
      <c r="AA141" s="39">
        <f t="shared" si="53"/>
        <v>0</v>
      </c>
      <c r="AB141" s="40">
        <f>IF(OR(L141="",V141=0),"",IF(AND(N(I141)&gt;0,N(INDEX('07-تموز'!$I$2:$I$500,V141))&gt;0,INDEX('07-تموز'!$F$2:$F$500,V141)=F141),N(I141)/N(INDEX('07-تموز'!$I$2:$I$500,V141))-1,""))</f>
        <v>0</v>
      </c>
      <c r="AC141" t="str">
        <f>IF(L141="","",IF(AND($AO$2=1,ISNA(MATCH(L141,'09-أيلول'!$L$2:$L$500,0))),"محذوف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1.4100000000000001E-7</v>
      </c>
      <c r="AH141" s="39">
        <f t="shared" si="55"/>
        <v>0</v>
      </c>
      <c r="AI141" s="39">
        <f t="shared" si="56"/>
        <v>0</v>
      </c>
      <c r="AJ141" s="39">
        <f t="shared" si="57"/>
        <v>0</v>
      </c>
      <c r="AK141">
        <f t="shared" si="58"/>
        <v>1.4100000000000001E-7</v>
      </c>
      <c r="AL141">
        <f t="shared" si="59"/>
        <v>1.4100000000000001E-7</v>
      </c>
    </row>
    <row r="142" spans="1:38" ht="15">
      <c r="A142" t="s">
        <v>506</v>
      </c>
      <c r="B142">
        <v>0</v>
      </c>
      <c r="C142">
        <v>0</v>
      </c>
      <c r="D142">
        <v>0</v>
      </c>
      <c r="E142">
        <v>0</v>
      </c>
      <c r="F142" t="s">
        <v>268</v>
      </c>
      <c r="G142" t="s">
        <v>178</v>
      </c>
      <c r="H142" t="s">
        <v>176</v>
      </c>
      <c r="I142">
        <v>474</v>
      </c>
      <c r="K142" t="str">
        <f t="shared" si="40"/>
        <v/>
      </c>
      <c r="L142" t="str">
        <f t="shared" si="41"/>
        <v>طبخة الاندومي</v>
      </c>
      <c r="M142" s="36">
        <f t="shared" si="42"/>
        <v>1</v>
      </c>
      <c r="N142" s="37">
        <f t="shared" si="43"/>
        <v>474</v>
      </c>
      <c r="O142" s="37">
        <f t="shared" si="44"/>
        <v>0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IF(L142="","",IF($AO$1=1,IFERROR(MATCH(L142,'07-تموز'!$L$2:$L$500,0),0),0))</f>
        <v>129</v>
      </c>
      <c r="W142" t="str">
        <f t="shared" si="51"/>
        <v/>
      </c>
      <c r="X142" s="38">
        <f>IF(L142="","",IF(V142&gt;0,INDEX('07-تموز'!$P$2:$P$500,V142),IF($AO$1=1,0,"")))</f>
        <v>0</v>
      </c>
      <c r="Y142" s="38">
        <f t="shared" si="52"/>
        <v>0</v>
      </c>
      <c r="Z142" s="39">
        <f>IF(L142="","",IF(V142&gt;0,INDEX('07-تموز'!$Q$2:$Q$500,V142),IF($AO$1=1,0,"")))</f>
        <v>0</v>
      </c>
      <c r="AA142" s="39">
        <f t="shared" si="53"/>
        <v>0</v>
      </c>
      <c r="AB142" s="40" t="str">
        <f>IF(OR(L142="",V142=0),"",IF(AND(N(I142)&gt;0,N(INDEX('07-تموز'!$I$2:$I$500,V142))&gt;0,INDEX('07-تموز'!$F$2:$F$500,V142)=F142),N(I142)/N(INDEX('07-تموز'!$I$2:$I$500,V142))-1,""))</f>
        <v/>
      </c>
      <c r="AC142" t="str">
        <f>IF(L142="","",IF(AND($AO$2=1,ISNA(MATCH(L142,'09-أيلول'!$L$2:$L$500,0))),"محذوف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1.42E-7</v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333</v>
      </c>
      <c r="B143">
        <v>17</v>
      </c>
      <c r="C143">
        <v>8.5</v>
      </c>
      <c r="D143">
        <v>8.5</v>
      </c>
      <c r="E143">
        <v>8.5</v>
      </c>
      <c r="F143" t="s">
        <v>268</v>
      </c>
      <c r="G143" t="s">
        <v>178</v>
      </c>
      <c r="H143" t="s">
        <v>176</v>
      </c>
      <c r="I143">
        <v>8</v>
      </c>
      <c r="K143" t="str">
        <f t="shared" si="40"/>
        <v/>
      </c>
      <c r="L143" t="str">
        <f t="shared" si="41"/>
        <v>طبالي خشب</v>
      </c>
      <c r="M143" s="36">
        <f t="shared" si="42"/>
        <v>1</v>
      </c>
      <c r="N143" s="37">
        <f t="shared" si="43"/>
        <v>8</v>
      </c>
      <c r="O143" s="37">
        <f t="shared" si="44"/>
        <v>8.5</v>
      </c>
      <c r="P143" s="38">
        <f t="shared" si="45"/>
        <v>17</v>
      </c>
      <c r="Q143" s="39">
        <f t="shared" si="46"/>
        <v>136</v>
      </c>
      <c r="R143" s="39">
        <f t="shared" si="47"/>
        <v>144.5</v>
      </c>
      <c r="S143">
        <f t="shared" si="48"/>
        <v>1</v>
      </c>
      <c r="T143" s="39">
        <f t="shared" si="49"/>
        <v>8.5</v>
      </c>
      <c r="U143" t="str">
        <f t="shared" si="50"/>
        <v/>
      </c>
      <c r="V143">
        <f>IF(L143="","",IF($AO$1=1,IFERROR(MATCH(L143,'07-تموز'!$L$2:$L$500,0),0),0))</f>
        <v>130</v>
      </c>
      <c r="W143" t="str">
        <f t="shared" si="51"/>
        <v/>
      </c>
      <c r="X143" s="38">
        <f>IF(L143="","",IF(V143&gt;0,INDEX('07-تموز'!$P$2:$P$500,V143),IF($AO$1=1,0,"")))</f>
        <v>17</v>
      </c>
      <c r="Y143" s="38">
        <f t="shared" si="52"/>
        <v>0</v>
      </c>
      <c r="Z143" s="39">
        <f>IF(L143="","",IF(V143&gt;0,INDEX('07-تموز'!$Q$2:$Q$500,V143),IF($AO$1=1,0,"")))</f>
        <v>136</v>
      </c>
      <c r="AA143" s="39">
        <f t="shared" si="53"/>
        <v>0</v>
      </c>
      <c r="AB143" s="40">
        <f>IF(OR(L143="",V143=0),"",IF(AND(N(I143)&gt;0,N(INDEX('07-تموز'!$I$2:$I$500,V143))&gt;0,INDEX('07-تموز'!$F$2:$F$500,V143)=F143),N(I143)/N(INDEX('07-تموز'!$I$2:$I$500,V143))-1,""))</f>
        <v>0</v>
      </c>
      <c r="AC143" t="str">
        <f>IF(L143="","",IF(AND($AO$2=1,ISNA(MATCH(L143,'09-أيلول'!$L$2:$L$500,0))),"محذوف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8.5</v>
      </c>
      <c r="AI143" s="39">
        <f t="shared" si="56"/>
        <v>8.5</v>
      </c>
      <c r="AJ143" s="39">
        <f t="shared" si="57"/>
        <v>8.5</v>
      </c>
      <c r="AK143">
        <f t="shared" si="58"/>
        <v>136.00000014299999</v>
      </c>
      <c r="AL143">
        <f t="shared" si="59"/>
        <v>8.5000001429999994</v>
      </c>
    </row>
    <row r="144" spans="1:38" ht="15">
      <c r="A144" t="s">
        <v>334</v>
      </c>
      <c r="B144">
        <v>0</v>
      </c>
      <c r="C144">
        <v>0</v>
      </c>
      <c r="D144">
        <v>0</v>
      </c>
      <c r="E144">
        <v>0</v>
      </c>
      <c r="F144" t="s">
        <v>268</v>
      </c>
      <c r="G144" t="s">
        <v>178</v>
      </c>
      <c r="H144" t="s">
        <v>176</v>
      </c>
      <c r="I144">
        <v>0.6</v>
      </c>
      <c r="K144" t="str">
        <f t="shared" si="40"/>
        <v/>
      </c>
      <c r="L144" t="str">
        <f t="shared" si="41"/>
        <v>صودا أش</v>
      </c>
      <c r="M144" s="36">
        <f t="shared" si="42"/>
        <v>1</v>
      </c>
      <c r="N144" s="37">
        <f t="shared" si="43"/>
        <v>0.6</v>
      </c>
      <c r="O144" s="37">
        <f t="shared" si="44"/>
        <v>0</v>
      </c>
      <c r="P144" s="38">
        <f t="shared" si="45"/>
        <v>0</v>
      </c>
      <c r="Q144" s="39">
        <f t="shared" si="46"/>
        <v>0</v>
      </c>
      <c r="R144" s="39">
        <f t="shared" si="47"/>
        <v>0</v>
      </c>
      <c r="S144">
        <f t="shared" si="48"/>
        <v>0</v>
      </c>
      <c r="T144" s="39">
        <f t="shared" si="49"/>
        <v>0</v>
      </c>
      <c r="U144" t="str">
        <f t="shared" si="50"/>
        <v/>
      </c>
      <c r="V144">
        <f>IF(L144="","",IF($AO$1=1,IFERROR(MATCH(L144,'07-تموز'!$L$2:$L$500,0),0),0))</f>
        <v>131</v>
      </c>
      <c r="W144" t="str">
        <f t="shared" si="51"/>
        <v/>
      </c>
      <c r="X144" s="38">
        <f>IF(L144="","",IF(V144&gt;0,INDEX('07-تموز'!$P$2:$P$500,V144),IF($AO$1=1,0,"")))</f>
        <v>0</v>
      </c>
      <c r="Y144" s="38">
        <f t="shared" si="52"/>
        <v>0</v>
      </c>
      <c r="Z144" s="39">
        <f>IF(L144="","",IF(V144&gt;0,INDEX('07-تموز'!$Q$2:$Q$500,V144),IF($AO$1=1,0,"")))</f>
        <v>0</v>
      </c>
      <c r="AA144" s="39">
        <f t="shared" si="53"/>
        <v>0</v>
      </c>
      <c r="AB144" s="40">
        <f>IF(OR(L144="",V144=0),"",IF(AND(N(I144)&gt;0,N(INDEX('07-تموز'!$I$2:$I$500,V144))&gt;0,INDEX('07-تموز'!$F$2:$F$500,V144)=F144),N(I144)/N(INDEX('07-تموز'!$I$2:$I$500,V144))-1,""))</f>
        <v>0</v>
      </c>
      <c r="AC144" t="str">
        <f>IF(L144="","",IF(AND($AO$2=1,ISNA(MATCH(L144,'09-أيلول'!$L$2:$L$500,0))),"محذوف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1.4399999999999999E-7</v>
      </c>
      <c r="AH144" s="39">
        <f t="shared" si="55"/>
        <v>0</v>
      </c>
      <c r="AI144" s="39">
        <f t="shared" si="56"/>
        <v>0</v>
      </c>
      <c r="AJ144" s="39">
        <f t="shared" si="57"/>
        <v>0</v>
      </c>
      <c r="AK144">
        <f t="shared" si="58"/>
        <v>1.4399999999999999E-7</v>
      </c>
      <c r="AL144">
        <f t="shared" si="59"/>
        <v>1.4399999999999999E-7</v>
      </c>
    </row>
    <row r="145" spans="1:38" ht="15">
      <c r="A145" t="s">
        <v>335</v>
      </c>
      <c r="B145">
        <v>1.3</v>
      </c>
      <c r="C145">
        <v>0</v>
      </c>
      <c r="D145">
        <v>0</v>
      </c>
      <c r="E145">
        <v>0</v>
      </c>
      <c r="F145" t="s">
        <v>268</v>
      </c>
      <c r="G145" t="s">
        <v>178</v>
      </c>
      <c r="H145" t="s">
        <v>176</v>
      </c>
      <c r="I145">
        <v>9.17</v>
      </c>
      <c r="K145" t="str">
        <f t="shared" si="40"/>
        <v/>
      </c>
      <c r="L145" t="str">
        <f t="shared" si="41"/>
        <v>صبغة</v>
      </c>
      <c r="M145" s="36">
        <f t="shared" si="42"/>
        <v>1</v>
      </c>
      <c r="N145" s="37">
        <f t="shared" si="43"/>
        <v>9.17</v>
      </c>
      <c r="O145" s="37">
        <f t="shared" si="44"/>
        <v>0</v>
      </c>
      <c r="P145" s="38">
        <f t="shared" si="45"/>
        <v>1.3</v>
      </c>
      <c r="Q145" s="39">
        <f t="shared" si="46"/>
        <v>11.921000000000001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IF(L145="","",IF($AO$1=1,IFERROR(MATCH(L145,'07-تموز'!$L$2:$L$500,0),0),0))</f>
        <v>132</v>
      </c>
      <c r="W145" t="str">
        <f t="shared" si="51"/>
        <v/>
      </c>
      <c r="X145" s="38">
        <f>IF(L145="","",IF(V145&gt;0,INDEX('07-تموز'!$P$2:$P$500,V145),IF($AO$1=1,0,"")))</f>
        <v>1.36</v>
      </c>
      <c r="Y145" s="38">
        <f t="shared" si="52"/>
        <v>-6.0000000000000053E-2</v>
      </c>
      <c r="Z145" s="39">
        <f>IF(L145="","",IF(V145&gt;0,INDEX('07-تموز'!$Q$2:$Q$500,V145),IF($AO$1=1,0,"")))</f>
        <v>12.471200000000001</v>
      </c>
      <c r="AA145" s="39">
        <f t="shared" si="53"/>
        <v>-0.55020000000000024</v>
      </c>
      <c r="AB145" s="40">
        <f>IF(OR(L145="",V145=0),"",IF(AND(N(I145)&gt;0,N(INDEX('07-تموز'!$I$2:$I$500,V145))&gt;0,INDEX('07-تموز'!$F$2:$F$500,V145)=F145),N(I145)/N(INDEX('07-تموز'!$I$2:$I$500,V145))-1,""))</f>
        <v>0</v>
      </c>
      <c r="AC145" t="str">
        <f>IF(L145="","",IF(AND($AO$2=1,ISNA(MATCH(L145,'09-أيلول'!$L$2:$L$500,0))),"محذوف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0.55020014500000025</v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11.921000145000001</v>
      </c>
      <c r="AL145">
        <f t="shared" si="59"/>
        <v>1.4499999999999999E-7</v>
      </c>
    </row>
    <row r="146" spans="1:38" ht="15">
      <c r="A146" t="s">
        <v>451</v>
      </c>
      <c r="B146">
        <v>0</v>
      </c>
      <c r="C146">
        <v>0</v>
      </c>
      <c r="D146">
        <v>0</v>
      </c>
      <c r="E146">
        <v>0</v>
      </c>
      <c r="F146" t="s">
        <v>389</v>
      </c>
      <c r="G146" t="s">
        <v>178</v>
      </c>
      <c r="H146" t="s">
        <v>12</v>
      </c>
      <c r="I146">
        <v>170000</v>
      </c>
      <c r="K146" t="str">
        <f t="shared" si="40"/>
        <v/>
      </c>
      <c r="L146" t="str">
        <f t="shared" si="41"/>
        <v>صابون كرمل</v>
      </c>
      <c r="M146" s="36">
        <f t="shared" si="42"/>
        <v>7.5757575757575758E-5</v>
      </c>
      <c r="N146" s="37">
        <f t="shared" si="43"/>
        <v>12.878787878787879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IF(L146="","",IF($AO$1=1,IFERROR(MATCH(L146,'07-تموز'!$L$2:$L$500,0),0),0))</f>
        <v>133</v>
      </c>
      <c r="W146" t="str">
        <f t="shared" si="51"/>
        <v/>
      </c>
      <c r="X146" s="38">
        <f>IF(L146="","",IF(V146&gt;0,INDEX('07-تموز'!$P$2:$P$500,V146),IF($AO$1=1,0,"")))</f>
        <v>0</v>
      </c>
      <c r="Y146" s="38">
        <f t="shared" si="52"/>
        <v>0</v>
      </c>
      <c r="Z146" s="39">
        <f>IF(L146="","",IF(V146&gt;0,INDEX('07-تموز'!$Q$2:$Q$500,V146),IF($AO$1=1,0,"")))</f>
        <v>0</v>
      </c>
      <c r="AA146" s="39">
        <f t="shared" si="53"/>
        <v>0</v>
      </c>
      <c r="AB146" s="40">
        <f>IF(OR(L146="",V146=0),"",IF(AND(N(I146)&gt;0,N(INDEX('07-تموز'!$I$2:$I$500,V146))&gt;0,INDEX('07-تموز'!$F$2:$F$500,V146)=F146),N(I146)/N(INDEX('07-تموز'!$I$2:$I$500,V146))-1,""))</f>
        <v>0</v>
      </c>
      <c r="AC146" t="str">
        <f>IF(L146="","",IF(AND($AO$2=1,ISNA(MATCH(L146,'09-أيلول'!$L$2:$L$500,0))),"محذوف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336</v>
      </c>
      <c r="B147">
        <v>0</v>
      </c>
      <c r="C147">
        <v>0</v>
      </c>
      <c r="D147">
        <v>0</v>
      </c>
      <c r="E147">
        <v>0</v>
      </c>
      <c r="F147" t="s">
        <v>268</v>
      </c>
      <c r="G147" t="s">
        <v>178</v>
      </c>
      <c r="H147" t="s">
        <v>177</v>
      </c>
      <c r="I147">
        <v>423</v>
      </c>
      <c r="K147" t="str">
        <f t="shared" si="40"/>
        <v/>
      </c>
      <c r="L147" t="str">
        <f t="shared" si="41"/>
        <v>صابون سادة خام</v>
      </c>
      <c r="M147" s="36">
        <f t="shared" si="42"/>
        <v>1</v>
      </c>
      <c r="N147" s="37">
        <f t="shared" si="43"/>
        <v>423</v>
      </c>
      <c r="O147" s="37">
        <f t="shared" si="44"/>
        <v>0</v>
      </c>
      <c r="P147" s="38">
        <f t="shared" si="45"/>
        <v>0</v>
      </c>
      <c r="Q147" s="39">
        <f t="shared" si="46"/>
        <v>0</v>
      </c>
      <c r="R147" s="39">
        <f t="shared" si="47"/>
        <v>0</v>
      </c>
      <c r="S147">
        <f t="shared" si="48"/>
        <v>0</v>
      </c>
      <c r="T147" s="39">
        <f t="shared" si="49"/>
        <v>0</v>
      </c>
      <c r="U147" t="str">
        <f t="shared" si="50"/>
        <v/>
      </c>
      <c r="V147">
        <f>IF(L147="","",IF($AO$1=1,IFERROR(MATCH(L147,'07-تموز'!$L$2:$L$500,0),0),0))</f>
        <v>134</v>
      </c>
      <c r="W147" t="str">
        <f t="shared" si="51"/>
        <v/>
      </c>
      <c r="X147" s="38">
        <f>IF(L147="","",IF(V147&gt;0,INDEX('07-تموز'!$P$2:$P$500,V147),IF($AO$1=1,0,"")))</f>
        <v>0</v>
      </c>
      <c r="Y147" s="38">
        <f t="shared" si="52"/>
        <v>0</v>
      </c>
      <c r="Z147" s="39">
        <f>IF(L147="","",IF(V147&gt;0,INDEX('07-تموز'!$Q$2:$Q$500,V147),IF($AO$1=1,0,"")))</f>
        <v>0</v>
      </c>
      <c r="AA147" s="39">
        <f t="shared" si="53"/>
        <v>0</v>
      </c>
      <c r="AB147" s="40">
        <f>IF(OR(L147="",V147=0),"",IF(AND(N(I147)&gt;0,N(INDEX('07-تموز'!$I$2:$I$500,V147))&gt;0,INDEX('07-تموز'!$F$2:$F$500,V147)=F147),N(I147)/N(INDEX('07-تموز'!$I$2:$I$500,V147))-1,""))</f>
        <v>0</v>
      </c>
      <c r="AC147" t="str">
        <f>IF(L147="","",IF(AND($AO$2=1,ISNA(MATCH(L147,'09-أيلول'!$L$2:$L$500,0))),"محذوف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1.4700000000000001E-7</v>
      </c>
      <c r="AH147" s="39">
        <f t="shared" si="55"/>
        <v>0</v>
      </c>
      <c r="AI147" s="39">
        <f t="shared" si="56"/>
        <v>0</v>
      </c>
      <c r="AJ147" s="39">
        <f t="shared" si="57"/>
        <v>0</v>
      </c>
      <c r="AK147">
        <f t="shared" si="58"/>
        <v>1.4700000000000001E-7</v>
      </c>
      <c r="AL147">
        <f t="shared" si="59"/>
        <v>1.4700000000000001E-7</v>
      </c>
    </row>
    <row r="148" spans="1:38" ht="15">
      <c r="A148" t="s">
        <v>337</v>
      </c>
      <c r="B148">
        <v>0</v>
      </c>
      <c r="C148">
        <v>0</v>
      </c>
      <c r="D148">
        <v>0</v>
      </c>
      <c r="E148">
        <v>0</v>
      </c>
      <c r="F148" t="s">
        <v>268</v>
      </c>
      <c r="G148" t="s">
        <v>178</v>
      </c>
      <c r="H148" t="s">
        <v>177</v>
      </c>
      <c r="I148">
        <v>448</v>
      </c>
      <c r="K148" t="str">
        <f t="shared" si="40"/>
        <v/>
      </c>
      <c r="L148" t="str">
        <f t="shared" si="41"/>
        <v>صابون سائل ماء الذهب خام</v>
      </c>
      <c r="M148" s="36">
        <f t="shared" si="42"/>
        <v>1</v>
      </c>
      <c r="N148" s="37">
        <f t="shared" si="43"/>
        <v>448</v>
      </c>
      <c r="O148" s="37">
        <f t="shared" si="44"/>
        <v>0</v>
      </c>
      <c r="P148" s="38">
        <f t="shared" si="45"/>
        <v>0</v>
      </c>
      <c r="Q148" s="39">
        <f t="shared" si="46"/>
        <v>0</v>
      </c>
      <c r="R148" s="39">
        <f t="shared" si="47"/>
        <v>0</v>
      </c>
      <c r="S148">
        <f t="shared" si="48"/>
        <v>0</v>
      </c>
      <c r="T148" s="39">
        <f t="shared" si="49"/>
        <v>0</v>
      </c>
      <c r="U148" t="str">
        <f t="shared" si="50"/>
        <v/>
      </c>
      <c r="V148">
        <f>IF(L148="","",IF($AO$1=1,IFERROR(MATCH(L148,'07-تموز'!$L$2:$L$500,0),0),0))</f>
        <v>135</v>
      </c>
      <c r="W148" t="str">
        <f t="shared" si="51"/>
        <v/>
      </c>
      <c r="X148" s="38">
        <f>IF(L148="","",IF(V148&gt;0,INDEX('07-تموز'!$P$2:$P$500,V148),IF($AO$1=1,0,"")))</f>
        <v>0</v>
      </c>
      <c r="Y148" s="38">
        <f t="shared" si="52"/>
        <v>0</v>
      </c>
      <c r="Z148" s="39">
        <f>IF(L148="","",IF(V148&gt;0,INDEX('07-تموز'!$Q$2:$Q$500,V148),IF($AO$1=1,0,"")))</f>
        <v>0</v>
      </c>
      <c r="AA148" s="39">
        <f t="shared" si="53"/>
        <v>0</v>
      </c>
      <c r="AB148" s="40">
        <f>IF(OR(L148="",V148=0),"",IF(AND(N(I148)&gt;0,N(INDEX('07-تموز'!$I$2:$I$500,V148))&gt;0,INDEX('07-تموز'!$F$2:$F$500,V148)=F148),N(I148)/N(INDEX('07-تموز'!$I$2:$I$500,V148))-1,""))</f>
        <v>0</v>
      </c>
      <c r="AC148" t="str">
        <f>IF(L148="","",IF(AND($AO$2=1,ISNA(MATCH(L148,'09-أيلول'!$L$2:$L$500,0))),"محذوف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1.48E-7</v>
      </c>
      <c r="AH148" s="39">
        <f t="shared" si="55"/>
        <v>0</v>
      </c>
      <c r="AI148" s="39">
        <f t="shared" si="56"/>
        <v>0</v>
      </c>
      <c r="AJ148" s="39">
        <f t="shared" si="57"/>
        <v>0</v>
      </c>
      <c r="AK148">
        <f t="shared" si="58"/>
        <v>1.48E-7</v>
      </c>
      <c r="AL148">
        <f t="shared" si="59"/>
        <v>1.48E-7</v>
      </c>
    </row>
    <row r="149" spans="1:38" ht="15">
      <c r="A149" t="s">
        <v>338</v>
      </c>
      <c r="B149">
        <v>0</v>
      </c>
      <c r="C149">
        <v>0</v>
      </c>
      <c r="D149">
        <v>0</v>
      </c>
      <c r="E149">
        <v>0</v>
      </c>
      <c r="F149" t="s">
        <v>268</v>
      </c>
      <c r="G149" t="s">
        <v>178</v>
      </c>
      <c r="H149" t="s">
        <v>177</v>
      </c>
      <c r="I149">
        <v>448</v>
      </c>
      <c r="K149" t="str">
        <f t="shared" si="40"/>
        <v/>
      </c>
      <c r="L149" t="str">
        <f t="shared" si="41"/>
        <v>صابون سائل لافندر خام</v>
      </c>
      <c r="M149" s="36">
        <f t="shared" si="42"/>
        <v>1</v>
      </c>
      <c r="N149" s="37">
        <f t="shared" si="43"/>
        <v>448</v>
      </c>
      <c r="O149" s="37">
        <f t="shared" si="44"/>
        <v>0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IF(L149="","",IF($AO$1=1,IFERROR(MATCH(L149,'07-تموز'!$L$2:$L$500,0),0),0))</f>
        <v>136</v>
      </c>
      <c r="W149" t="str">
        <f t="shared" si="51"/>
        <v/>
      </c>
      <c r="X149" s="38">
        <f>IF(L149="","",IF(V149&gt;0,INDEX('07-تموز'!$P$2:$P$500,V149),IF($AO$1=1,0,"")))</f>
        <v>0</v>
      </c>
      <c r="Y149" s="38">
        <f t="shared" si="52"/>
        <v>0</v>
      </c>
      <c r="Z149" s="39">
        <f>IF(L149="","",IF(V149&gt;0,INDEX('07-تموز'!$Q$2:$Q$500,V149),IF($AO$1=1,0,"")))</f>
        <v>0</v>
      </c>
      <c r="AA149" s="39">
        <f t="shared" si="53"/>
        <v>0</v>
      </c>
      <c r="AB149" s="40">
        <f>IF(OR(L149="",V149=0),"",IF(AND(N(I149)&gt;0,N(INDEX('07-تموز'!$I$2:$I$500,V149))&gt;0,INDEX('07-تموز'!$F$2:$F$500,V149)=F149),N(I149)/N(INDEX('07-تموز'!$I$2:$I$500,V149))-1,""))</f>
        <v>0</v>
      </c>
      <c r="AC149" t="str">
        <f>IF(L149="","",IF(AND($AO$2=1,ISNA(MATCH(L149,'09-أيلول'!$L$2:$L$500,0))),"محذوف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339</v>
      </c>
      <c r="B150">
        <v>0</v>
      </c>
      <c r="C150">
        <v>0</v>
      </c>
      <c r="D150">
        <v>0</v>
      </c>
      <c r="E150">
        <v>0</v>
      </c>
      <c r="F150" t="s">
        <v>268</v>
      </c>
      <c r="G150" t="s">
        <v>178</v>
      </c>
      <c r="H150" t="s">
        <v>177</v>
      </c>
      <c r="I150">
        <v>448</v>
      </c>
      <c r="K150" t="str">
        <f t="shared" si="40"/>
        <v/>
      </c>
      <c r="L150" t="str">
        <f t="shared" si="41"/>
        <v>صابون سائل عود خام</v>
      </c>
      <c r="M150" s="36">
        <f t="shared" si="42"/>
        <v>1</v>
      </c>
      <c r="N150" s="37">
        <f t="shared" si="43"/>
        <v>448</v>
      </c>
      <c r="O150" s="37">
        <f t="shared" si="44"/>
        <v>0</v>
      </c>
      <c r="P150" s="38">
        <f t="shared" si="45"/>
        <v>0</v>
      </c>
      <c r="Q150" s="39">
        <f t="shared" si="46"/>
        <v>0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IF(L150="","",IF($AO$1=1,IFERROR(MATCH(L150,'07-تموز'!$L$2:$L$500,0),0),0))</f>
        <v>137</v>
      </c>
      <c r="W150" t="str">
        <f t="shared" si="51"/>
        <v/>
      </c>
      <c r="X150" s="38">
        <f>IF(L150="","",IF(V150&gt;0,INDEX('07-تموز'!$P$2:$P$500,V150),IF($AO$1=1,0,"")))</f>
        <v>0</v>
      </c>
      <c r="Y150" s="38">
        <f t="shared" si="52"/>
        <v>0</v>
      </c>
      <c r="Z150" s="39">
        <f>IF(L150="","",IF(V150&gt;0,INDEX('07-تموز'!$Q$2:$Q$500,V150),IF($AO$1=1,0,"")))</f>
        <v>0</v>
      </c>
      <c r="AA150" s="39">
        <f t="shared" si="53"/>
        <v>0</v>
      </c>
      <c r="AB150" s="40">
        <f>IF(OR(L150="",V150=0),"",IF(AND(N(I150)&gt;0,N(INDEX('07-تموز'!$I$2:$I$500,V150))&gt;0,INDEX('07-تموز'!$F$2:$F$500,V150)=F150),N(I150)/N(INDEX('07-تموز'!$I$2:$I$500,V150))-1,""))</f>
        <v>0</v>
      </c>
      <c r="AC150" t="str">
        <f>IF(L150="","",IF(AND($AO$2=1,ISNA(MATCH(L150,'09-أيلول'!$L$2:$L$500,0))),"محذوف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1.4999999999999999E-7</v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1.4999999999999999E-7</v>
      </c>
      <c r="AL150">
        <f t="shared" si="59"/>
        <v>1.4999999999999999E-7</v>
      </c>
    </row>
    <row r="151" spans="1:38" ht="15">
      <c r="A151" t="s">
        <v>452</v>
      </c>
      <c r="B151">
        <v>0</v>
      </c>
      <c r="C151">
        <v>0</v>
      </c>
      <c r="D151">
        <v>0</v>
      </c>
      <c r="E151">
        <v>0</v>
      </c>
      <c r="F151" t="s">
        <v>389</v>
      </c>
      <c r="G151" t="s">
        <v>178</v>
      </c>
      <c r="H151" t="s">
        <v>12</v>
      </c>
      <c r="I151">
        <v>0</v>
      </c>
      <c r="K151" t="str">
        <f t="shared" si="40"/>
        <v/>
      </c>
      <c r="L151" t="str">
        <f t="shared" si="41"/>
        <v>صابون سائل</v>
      </c>
      <c r="M151" s="36">
        <f t="shared" si="42"/>
        <v>7.5757575757575758E-5</v>
      </c>
      <c r="N151" s="37">
        <f t="shared" si="43"/>
        <v>0</v>
      </c>
      <c r="O151" s="37">
        <f t="shared" si="44"/>
        <v>0</v>
      </c>
      <c r="P151" s="38">
        <f t="shared" si="45"/>
        <v>0</v>
      </c>
      <c r="Q151" s="39">
        <f t="shared" si="46"/>
        <v>0</v>
      </c>
      <c r="R151" s="39">
        <f t="shared" si="47"/>
        <v>0</v>
      </c>
      <c r="S151">
        <f t="shared" si="48"/>
        <v>0</v>
      </c>
      <c r="T151" s="39">
        <f t="shared" si="49"/>
        <v>0</v>
      </c>
      <c r="U151" t="str">
        <f t="shared" si="50"/>
        <v/>
      </c>
      <c r="V151">
        <f>IF(L151="","",IF($AO$1=1,IFERROR(MATCH(L151,'07-تموز'!$L$2:$L$500,0),0),0))</f>
        <v>138</v>
      </c>
      <c r="W151" t="str">
        <f t="shared" si="51"/>
        <v/>
      </c>
      <c r="X151" s="38">
        <f>IF(L151="","",IF(V151&gt;0,INDEX('07-تموز'!$P$2:$P$500,V151),IF($AO$1=1,0,"")))</f>
        <v>0</v>
      </c>
      <c r="Y151" s="38">
        <f t="shared" si="52"/>
        <v>0</v>
      </c>
      <c r="Z151" s="39">
        <f>IF(L151="","",IF(V151&gt;0,INDEX('07-تموز'!$Q$2:$Q$500,V151),IF($AO$1=1,0,"")))</f>
        <v>0</v>
      </c>
      <c r="AA151" s="39">
        <f t="shared" si="53"/>
        <v>0</v>
      </c>
      <c r="AB151" s="40" t="str">
        <f>IF(OR(L151="",V151=0),"",IF(AND(N(I151)&gt;0,N(INDEX('07-تموز'!$I$2:$I$500,V151))&gt;0,INDEX('07-تموز'!$F$2:$F$500,V151)=F151),N(I151)/N(INDEX('07-تموز'!$I$2:$I$500,V151))-1,""))</f>
        <v/>
      </c>
      <c r="AC151" t="str">
        <f>IF(L151="","",IF(AND($AO$2=1,ISNA(MATCH(L151,'09-أيلول'!$L$2:$L$500,0))),"محذوف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1.5099999999999999E-7</v>
      </c>
      <c r="AH151" s="39">
        <f t="shared" si="55"/>
        <v>0</v>
      </c>
      <c r="AI151" s="39">
        <f t="shared" si="56"/>
        <v>0</v>
      </c>
      <c r="AJ151" s="39">
        <f t="shared" si="57"/>
        <v>0</v>
      </c>
      <c r="AK151">
        <f t="shared" si="58"/>
        <v>1.5099999999999999E-7</v>
      </c>
      <c r="AL151">
        <f t="shared" si="59"/>
        <v>1.5099999999999999E-7</v>
      </c>
    </row>
    <row r="152" spans="1:38" ht="15">
      <c r="A152" t="s">
        <v>453</v>
      </c>
      <c r="B152">
        <v>1876.8</v>
      </c>
      <c r="C152">
        <v>10000</v>
      </c>
      <c r="D152">
        <v>10000</v>
      </c>
      <c r="E152">
        <v>10000</v>
      </c>
      <c r="F152" t="s">
        <v>389</v>
      </c>
      <c r="G152" t="s">
        <v>178</v>
      </c>
      <c r="H152" t="s">
        <v>12</v>
      </c>
      <c r="I152">
        <v>6500</v>
      </c>
      <c r="K152" t="str">
        <f t="shared" si="40"/>
        <v/>
      </c>
      <c r="L152" t="str">
        <f t="shared" si="41"/>
        <v>صابون super / فرط</v>
      </c>
      <c r="M152" s="36">
        <f t="shared" si="42"/>
        <v>7.5757575757575758E-5</v>
      </c>
      <c r="N152" s="37">
        <f t="shared" si="43"/>
        <v>0.49242424242424243</v>
      </c>
      <c r="O152" s="37">
        <f t="shared" si="44"/>
        <v>0.75757575757575757</v>
      </c>
      <c r="P152" s="38">
        <f t="shared" si="45"/>
        <v>1876.8</v>
      </c>
      <c r="Q152" s="39">
        <f t="shared" si="46"/>
        <v>924.18181818181813</v>
      </c>
      <c r="R152" s="39">
        <f t="shared" si="47"/>
        <v>1421.8181818181818</v>
      </c>
      <c r="S152">
        <f t="shared" si="48"/>
        <v>1</v>
      </c>
      <c r="T152" s="39">
        <f t="shared" si="49"/>
        <v>497.63636363636363</v>
      </c>
      <c r="U152" t="str">
        <f t="shared" si="50"/>
        <v/>
      </c>
      <c r="V152">
        <f>IF(L152="","",IF($AO$1=1,IFERROR(MATCH(L152,'07-تموز'!$L$2:$L$500,0),0),0))</f>
        <v>139</v>
      </c>
      <c r="W152" t="str">
        <f t="shared" si="51"/>
        <v/>
      </c>
      <c r="X152" s="38">
        <f>IF(L152="","",IF(V152&gt;0,INDEX('07-تموز'!$P$2:$P$500,V152),IF($AO$1=1,0,"")))</f>
        <v>2196.5</v>
      </c>
      <c r="Y152" s="38">
        <f t="shared" si="52"/>
        <v>-319.70000000000005</v>
      </c>
      <c r="Z152" s="39">
        <f>IF(L152="","",IF(V152&gt;0,INDEX('07-تموز'!$Q$2:$Q$500,V152),IF($AO$1=1,0,"")))</f>
        <v>1073.4774436090224</v>
      </c>
      <c r="AA152" s="39">
        <f t="shared" si="53"/>
        <v>-149.2956254272043</v>
      </c>
      <c r="AB152" s="40">
        <f>IF(OR(L152="",V152=0),"",IF(AND(N(I152)&gt;0,N(INDEX('07-تموز'!$I$2:$I$500,V152))&gt;0,INDEX('07-تموز'!$F$2:$F$500,V152)=F152),N(I152)/N(INDEX('07-تموز'!$I$2:$I$500,V152))-1,""))</f>
        <v>0</v>
      </c>
      <c r="AC152" t="str">
        <f>IF(L152="","",IF(AND($AO$2=1,ISNA(MATCH(L152,'09-أيلول'!$L$2:$L$500,0))),"محذوف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149.29562557920431</v>
      </c>
      <c r="AH152" s="39">
        <f t="shared" si="55"/>
        <v>497.63636363636363</v>
      </c>
      <c r="AI152" s="39">
        <f t="shared" si="56"/>
        <v>497.63636363636363</v>
      </c>
      <c r="AJ152" s="39">
        <f t="shared" si="57"/>
        <v>497.63636363636363</v>
      </c>
      <c r="AK152">
        <f t="shared" si="58"/>
        <v>924.18181833381811</v>
      </c>
      <c r="AL152">
        <f t="shared" si="59"/>
        <v>497.63636378836361</v>
      </c>
    </row>
    <row r="153" spans="1:38" ht="15">
      <c r="A153" t="s">
        <v>454</v>
      </c>
      <c r="B153">
        <v>108</v>
      </c>
      <c r="C153">
        <v>33000</v>
      </c>
      <c r="D153">
        <v>33000</v>
      </c>
      <c r="E153">
        <v>33000</v>
      </c>
      <c r="F153" t="s">
        <v>389</v>
      </c>
      <c r="G153" t="s">
        <v>178</v>
      </c>
      <c r="H153" t="s">
        <v>12</v>
      </c>
      <c r="I153">
        <v>23000</v>
      </c>
      <c r="K153" t="str">
        <f t="shared" si="40"/>
        <v/>
      </c>
      <c r="L153" t="str">
        <f t="shared" si="41"/>
        <v>صابون super / عبوة 3 لتر</v>
      </c>
      <c r="M153" s="36">
        <f t="shared" si="42"/>
        <v>7.5757575757575758E-5</v>
      </c>
      <c r="N153" s="37">
        <f t="shared" si="43"/>
        <v>1.7424242424242424</v>
      </c>
      <c r="O153" s="37">
        <f t="shared" si="44"/>
        <v>2.5</v>
      </c>
      <c r="P153" s="38">
        <f t="shared" si="45"/>
        <v>108</v>
      </c>
      <c r="Q153" s="39">
        <f t="shared" si="46"/>
        <v>188.18181818181819</v>
      </c>
      <c r="R153" s="39">
        <f t="shared" si="47"/>
        <v>270</v>
      </c>
      <c r="S153">
        <f t="shared" si="48"/>
        <v>1</v>
      </c>
      <c r="T153" s="39">
        <f t="shared" si="49"/>
        <v>81.818181818181813</v>
      </c>
      <c r="U153" t="str">
        <f t="shared" si="50"/>
        <v/>
      </c>
      <c r="V153">
        <f>IF(L153="","",IF($AO$1=1,IFERROR(MATCH(L153,'07-تموز'!$L$2:$L$500,0),0),0))</f>
        <v>140</v>
      </c>
      <c r="W153" t="str">
        <f t="shared" si="51"/>
        <v/>
      </c>
      <c r="X153" s="38">
        <f>IF(L153="","",IF(V153&gt;0,INDEX('07-تموز'!$P$2:$P$500,V153),IF($AO$1=1,0,"")))</f>
        <v>124</v>
      </c>
      <c r="Y153" s="38">
        <f t="shared" si="52"/>
        <v>-16</v>
      </c>
      <c r="Z153" s="39">
        <f>IF(L153="","",IF(V153&gt;0,INDEX('07-تموز'!$Q$2:$Q$500,V153),IF($AO$1=1,0,"")))</f>
        <v>214.4360902255639</v>
      </c>
      <c r="AA153" s="39">
        <f t="shared" si="53"/>
        <v>-26.254272043745715</v>
      </c>
      <c r="AB153" s="40">
        <f>IF(OR(L153="",V153=0),"",IF(AND(N(I153)&gt;0,N(INDEX('07-تموز'!$I$2:$I$500,V153))&gt;0,INDEX('07-تموز'!$F$2:$F$500,V153)=F153),N(I153)/N(INDEX('07-تموز'!$I$2:$I$500,V153))-1,""))</f>
        <v>0</v>
      </c>
      <c r="AC153" t="str">
        <f>IF(L153="","",IF(AND($AO$2=1,ISNA(MATCH(L153,'09-أيلول'!$L$2:$L$500,0))),"محذوف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26.254272196745713</v>
      </c>
      <c r="AH153" s="39">
        <f t="shared" si="55"/>
        <v>81.818181818181813</v>
      </c>
      <c r="AI153" s="39">
        <f t="shared" si="56"/>
        <v>81.818181818181813</v>
      </c>
      <c r="AJ153" s="39">
        <f t="shared" si="57"/>
        <v>81.818181818181813</v>
      </c>
      <c r="AK153">
        <f t="shared" si="58"/>
        <v>188.18181833481819</v>
      </c>
      <c r="AL153">
        <f t="shared" si="59"/>
        <v>81.818181971181815</v>
      </c>
    </row>
    <row r="154" spans="1:38" ht="15">
      <c r="A154" t="s">
        <v>455</v>
      </c>
      <c r="B154">
        <v>327.8</v>
      </c>
      <c r="C154">
        <v>6000</v>
      </c>
      <c r="D154">
        <v>6000</v>
      </c>
      <c r="E154">
        <v>6000</v>
      </c>
      <c r="F154" t="s">
        <v>389</v>
      </c>
      <c r="G154" t="s">
        <v>178</v>
      </c>
      <c r="H154" t="s">
        <v>12</v>
      </c>
      <c r="I154">
        <v>3000</v>
      </c>
      <c r="K154" t="str">
        <f t="shared" si="40"/>
        <v/>
      </c>
      <c r="L154" t="str">
        <f t="shared" si="41"/>
        <v>شامبو سيارات</v>
      </c>
      <c r="M154" s="36">
        <f t="shared" si="42"/>
        <v>7.5757575757575758E-5</v>
      </c>
      <c r="N154" s="37">
        <f t="shared" si="43"/>
        <v>0.22727272727272727</v>
      </c>
      <c r="O154" s="37">
        <f t="shared" si="44"/>
        <v>0.45454545454545453</v>
      </c>
      <c r="P154" s="38">
        <f t="shared" si="45"/>
        <v>327.8</v>
      </c>
      <c r="Q154" s="39">
        <f t="shared" si="46"/>
        <v>74.5</v>
      </c>
      <c r="R154" s="39">
        <f t="shared" si="47"/>
        <v>149</v>
      </c>
      <c r="S154">
        <f t="shared" si="48"/>
        <v>1</v>
      </c>
      <c r="T154" s="39">
        <f t="shared" si="49"/>
        <v>74.5</v>
      </c>
      <c r="U154" t="str">
        <f t="shared" si="50"/>
        <v/>
      </c>
      <c r="V154">
        <f>IF(L154="","",IF($AO$1=1,IFERROR(MATCH(L154,'07-تموز'!$L$2:$L$500,0),0),0))</f>
        <v>141</v>
      </c>
      <c r="W154" t="str">
        <f t="shared" si="51"/>
        <v/>
      </c>
      <c r="X154" s="38">
        <f>IF(L154="","",IF(V154&gt;0,INDEX('07-تموز'!$P$2:$P$500,V154),IF($AO$1=1,0,"")))</f>
        <v>0</v>
      </c>
      <c r="Y154" s="38">
        <f t="shared" si="52"/>
        <v>327.8</v>
      </c>
      <c r="Z154" s="39">
        <f>IF(L154="","",IF(V154&gt;0,INDEX('07-تموز'!$Q$2:$Q$500,V154),IF($AO$1=1,0,"")))</f>
        <v>0</v>
      </c>
      <c r="AA154" s="39">
        <f t="shared" si="53"/>
        <v>74.5</v>
      </c>
      <c r="AB154" s="40">
        <f>IF(OR(L154="",V154=0),"",IF(AND(N(I154)&gt;0,N(INDEX('07-تموز'!$I$2:$I$500,V154))&gt;0,INDEX('07-تموز'!$F$2:$F$500,V154)=F154),N(I154)/N(INDEX('07-تموز'!$I$2:$I$500,V154))-1,""))</f>
        <v>0</v>
      </c>
      <c r="AC154" t="str">
        <f>IF(L154="","",IF(AND($AO$2=1,ISNA(MATCH(L154,'09-أيلول'!$L$2:$L$500,0))),"محذوف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74.500000154000006</v>
      </c>
      <c r="AH154" s="39">
        <f t="shared" si="55"/>
        <v>74.5</v>
      </c>
      <c r="AI154" s="39">
        <f t="shared" si="56"/>
        <v>74.5</v>
      </c>
      <c r="AJ154" s="39">
        <f t="shared" si="57"/>
        <v>74.5</v>
      </c>
      <c r="AK154">
        <f t="shared" si="58"/>
        <v>74.500000154000006</v>
      </c>
      <c r="AL154">
        <f t="shared" si="59"/>
        <v>74.500000154000006</v>
      </c>
    </row>
    <row r="155" spans="1:38" ht="15">
      <c r="A155" t="s">
        <v>340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618</v>
      </c>
      <c r="K155" t="str">
        <f t="shared" si="40"/>
        <v/>
      </c>
      <c r="L155" t="str">
        <f t="shared" si="41"/>
        <v>شامبو خام</v>
      </c>
      <c r="M155" s="36">
        <f t="shared" si="42"/>
        <v>1</v>
      </c>
      <c r="N155" s="37">
        <f t="shared" si="43"/>
        <v>618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IF(L155="","",IF($AO$1=1,IFERROR(MATCH(L155,'07-تموز'!$L$2:$L$500,0),0),0))</f>
        <v>142</v>
      </c>
      <c r="W155" t="str">
        <f t="shared" si="51"/>
        <v/>
      </c>
      <c r="X155" s="38">
        <f>IF(L155="","",IF(V155&gt;0,INDEX('07-تموز'!$P$2:$P$500,V155),IF($AO$1=1,0,"")))</f>
        <v>0</v>
      </c>
      <c r="Y155" s="38">
        <f t="shared" si="52"/>
        <v>0</v>
      </c>
      <c r="Z155" s="39">
        <f>IF(L155="","",IF(V155&gt;0,INDEX('07-تموز'!$Q$2:$Q$500,V155),IF($AO$1=1,0,"")))</f>
        <v>0</v>
      </c>
      <c r="AA155" s="39">
        <f t="shared" si="53"/>
        <v>0</v>
      </c>
      <c r="AB155" s="40">
        <f>IF(OR(L155="",V155=0),"",IF(AND(N(I155)&gt;0,N(INDEX('07-تموز'!$I$2:$I$500,V155))&gt;0,INDEX('07-تموز'!$F$2:$F$500,V155)=F155),N(I155)/N(INDEX('07-تموز'!$I$2:$I$500,V155))-1,""))</f>
        <v>0</v>
      </c>
      <c r="AC155" t="str">
        <f>IF(L155="","",IF(AND($AO$2=1,ISNA(MATCH(L155,'09-أيلول'!$L$2:$L$500,0))),"محذوف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456</v>
      </c>
      <c r="B156">
        <v>5.08</v>
      </c>
      <c r="C156">
        <v>480000</v>
      </c>
      <c r="D156">
        <v>480000</v>
      </c>
      <c r="E156">
        <v>480000</v>
      </c>
      <c r="F156" t="s">
        <v>389</v>
      </c>
      <c r="G156" t="s">
        <v>178</v>
      </c>
      <c r="H156" t="s">
        <v>12</v>
      </c>
      <c r="I156">
        <v>302400</v>
      </c>
      <c r="K156" t="str">
        <f t="shared" si="40"/>
        <v/>
      </c>
      <c r="L156" t="str">
        <f t="shared" si="41"/>
        <v>شامبو 3 لتر</v>
      </c>
      <c r="M156" s="36">
        <f t="shared" si="42"/>
        <v>7.5757575757575758E-5</v>
      </c>
      <c r="N156" s="37">
        <f t="shared" si="43"/>
        <v>22.90909090909091</v>
      </c>
      <c r="O156" s="37">
        <f t="shared" si="44"/>
        <v>36.363636363636367</v>
      </c>
      <c r="P156" s="38">
        <f t="shared" si="45"/>
        <v>5.08</v>
      </c>
      <c r="Q156" s="39">
        <f t="shared" si="46"/>
        <v>116.37818181818183</v>
      </c>
      <c r="R156" s="39">
        <f t="shared" si="47"/>
        <v>184.72727272727275</v>
      </c>
      <c r="S156">
        <f t="shared" si="48"/>
        <v>1</v>
      </c>
      <c r="T156" s="39">
        <f t="shared" si="49"/>
        <v>68.349090909090918</v>
      </c>
      <c r="U156" t="str">
        <f t="shared" si="50"/>
        <v/>
      </c>
      <c r="V156">
        <f>IF(L156="","",IF($AO$1=1,IFERROR(MATCH(L156,'07-تموز'!$L$2:$L$500,0),0),0))</f>
        <v>143</v>
      </c>
      <c r="W156" t="str">
        <f t="shared" si="51"/>
        <v/>
      </c>
      <c r="X156" s="38">
        <f>IF(L156="","",IF(V156&gt;0,INDEX('07-تموز'!$P$2:$P$500,V156),IF($AO$1=1,0,"")))</f>
        <v>2.25</v>
      </c>
      <c r="Y156" s="38">
        <f t="shared" si="52"/>
        <v>2.83</v>
      </c>
      <c r="Z156" s="39">
        <f>IF(L156="","",IF(V156&gt;0,INDEX('07-تموز'!$Q$2:$Q$500,V156),IF($AO$1=1,0,"")))</f>
        <v>51.157894736842103</v>
      </c>
      <c r="AA156" s="39">
        <f t="shared" si="53"/>
        <v>65.220287081339734</v>
      </c>
      <c r="AB156" s="40">
        <f>IF(OR(L156="",V156=0),"",IF(AND(N(I156)&gt;0,N(INDEX('07-تموز'!$I$2:$I$500,V156))&gt;0,INDEX('07-تموز'!$F$2:$F$500,V156)=F156),N(I156)/N(INDEX('07-تموز'!$I$2:$I$500,V156))-1,""))</f>
        <v>0</v>
      </c>
      <c r="AC156" t="str">
        <f>IF(L156="","",IF(AND($AO$2=1,ISNA(MATCH(L156,'09-أيلول'!$L$2:$L$500,0))),"محذوف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65.220287237339733</v>
      </c>
      <c r="AH156" s="39">
        <f t="shared" si="55"/>
        <v>68.349090909090918</v>
      </c>
      <c r="AI156" s="39">
        <f t="shared" si="56"/>
        <v>68.349090909090918</v>
      </c>
      <c r="AJ156" s="39">
        <f t="shared" si="57"/>
        <v>68.349090909090918</v>
      </c>
      <c r="AK156">
        <f t="shared" si="58"/>
        <v>116.37818197418183</v>
      </c>
      <c r="AL156">
        <f t="shared" si="59"/>
        <v>68.349091065090917</v>
      </c>
    </row>
    <row r="157" spans="1:38" ht="15">
      <c r="A157" t="s">
        <v>457</v>
      </c>
      <c r="B157">
        <v>538.36</v>
      </c>
      <c r="C157">
        <v>15000</v>
      </c>
      <c r="D157">
        <v>15000</v>
      </c>
      <c r="E157">
        <v>15000</v>
      </c>
      <c r="F157" t="s">
        <v>389</v>
      </c>
      <c r="G157" t="s">
        <v>178</v>
      </c>
      <c r="H157" t="s">
        <v>12</v>
      </c>
      <c r="I157">
        <v>7500</v>
      </c>
      <c r="K157" t="str">
        <f t="shared" si="40"/>
        <v/>
      </c>
      <c r="L157" t="str">
        <f t="shared" si="41"/>
        <v>شامبو</v>
      </c>
      <c r="M157" s="36">
        <f t="shared" si="42"/>
        <v>7.5757575757575758E-5</v>
      </c>
      <c r="N157" s="37">
        <f t="shared" si="43"/>
        <v>0.56818181818181823</v>
      </c>
      <c r="O157" s="37">
        <f t="shared" si="44"/>
        <v>1.1363636363636365</v>
      </c>
      <c r="P157" s="38">
        <f t="shared" si="45"/>
        <v>538.36</v>
      </c>
      <c r="Q157" s="39">
        <f t="shared" si="46"/>
        <v>305.88636363636368</v>
      </c>
      <c r="R157" s="39">
        <f t="shared" si="47"/>
        <v>611.77272727272737</v>
      </c>
      <c r="S157">
        <f t="shared" si="48"/>
        <v>1</v>
      </c>
      <c r="T157" s="39">
        <f t="shared" si="49"/>
        <v>305.88636363636368</v>
      </c>
      <c r="U157" t="str">
        <f t="shared" si="50"/>
        <v/>
      </c>
      <c r="V157">
        <f>IF(L157="","",IF($AO$1=1,IFERROR(MATCH(L157,'07-تموز'!$L$2:$L$500,0),0),0))</f>
        <v>144</v>
      </c>
      <c r="W157" t="str">
        <f t="shared" si="51"/>
        <v/>
      </c>
      <c r="X157" s="38">
        <f>IF(L157="","",IF(V157&gt;0,INDEX('07-تموز'!$P$2:$P$500,V157),IF($AO$1=1,0,"")))</f>
        <v>785</v>
      </c>
      <c r="Y157" s="38">
        <f t="shared" si="52"/>
        <v>-246.64</v>
      </c>
      <c r="Z157" s="39">
        <f>IF(L157="","",IF(V157&gt;0,INDEX('07-تموز'!$Q$2:$Q$500,V157),IF($AO$1=1,0,"")))</f>
        <v>442.66917293233087</v>
      </c>
      <c r="AA157" s="39">
        <f t="shared" si="53"/>
        <v>-136.78280929596718</v>
      </c>
      <c r="AB157" s="40">
        <f>IF(OR(L157="",V157=0),"",IF(AND(N(I157)&gt;0,N(INDEX('07-تموز'!$I$2:$I$500,V157))&gt;0,INDEX('07-تموز'!$F$2:$F$500,V157)=F157),N(I157)/N(INDEX('07-تموز'!$I$2:$I$500,V157))-1,""))</f>
        <v>0</v>
      </c>
      <c r="AC157" t="str">
        <f>IF(L157="","",IF(AND($AO$2=1,ISNA(MATCH(L157,'09-أيلول'!$L$2:$L$500,0))),"محذوف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136.78280945296717</v>
      </c>
      <c r="AH157" s="39">
        <f t="shared" si="55"/>
        <v>305.88636363636368</v>
      </c>
      <c r="AI157" s="39">
        <f t="shared" si="56"/>
        <v>305.88636363636368</v>
      </c>
      <c r="AJ157" s="39">
        <f t="shared" si="57"/>
        <v>305.88636363636368</v>
      </c>
      <c r="AK157">
        <f t="shared" si="58"/>
        <v>305.88636379336367</v>
      </c>
      <c r="AL157">
        <f t="shared" si="59"/>
        <v>305.88636379336367</v>
      </c>
    </row>
    <row r="158" spans="1:38" ht="15">
      <c r="A158" t="s">
        <v>341</v>
      </c>
      <c r="B158">
        <v>0</v>
      </c>
      <c r="C158">
        <v>0</v>
      </c>
      <c r="D158">
        <v>0</v>
      </c>
      <c r="E158">
        <v>0</v>
      </c>
      <c r="F158" t="s">
        <v>268</v>
      </c>
      <c r="G158" t="s">
        <v>178</v>
      </c>
      <c r="H158" t="s">
        <v>176</v>
      </c>
      <c r="I158">
        <v>0.55000000000000004</v>
      </c>
      <c r="K158" t="str">
        <f t="shared" si="40"/>
        <v/>
      </c>
      <c r="L158" t="str">
        <f t="shared" si="41"/>
        <v>سيليكات سائلة</v>
      </c>
      <c r="M158" s="36">
        <f t="shared" si="42"/>
        <v>1</v>
      </c>
      <c r="N158" s="37">
        <f t="shared" si="43"/>
        <v>0.55000000000000004</v>
      </c>
      <c r="O158" s="37">
        <f t="shared" si="44"/>
        <v>0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IF(L158="","",IF($AO$1=1,IFERROR(MATCH(L158,'07-تموز'!$L$2:$L$500,0),0),0))</f>
        <v>145</v>
      </c>
      <c r="W158" t="str">
        <f t="shared" si="51"/>
        <v/>
      </c>
      <c r="X158" s="38">
        <f>IF(L158="","",IF(V158&gt;0,INDEX('07-تموز'!$P$2:$P$500,V158),IF($AO$1=1,0,"")))</f>
        <v>0</v>
      </c>
      <c r="Y158" s="38">
        <f t="shared" si="52"/>
        <v>0</v>
      </c>
      <c r="Z158" s="39">
        <f>IF(L158="","",IF(V158&gt;0,INDEX('07-تموز'!$Q$2:$Q$500,V158),IF($AO$1=1,0,"")))</f>
        <v>0</v>
      </c>
      <c r="AA158" s="39">
        <f t="shared" si="53"/>
        <v>0</v>
      </c>
      <c r="AB158" s="40">
        <f>IF(OR(L158="",V158=0),"",IF(AND(N(I158)&gt;0,N(INDEX('07-تموز'!$I$2:$I$500,V158))&gt;0,INDEX('07-تموز'!$F$2:$F$500,V158)=F158),N(I158)/N(INDEX('07-تموز'!$I$2:$I$500,V158))-1,""))</f>
        <v>0</v>
      </c>
      <c r="AC158" t="str">
        <f>IF(L158="","",IF(AND($AO$2=1,ISNA(MATCH(L158,'09-أيلول'!$L$2:$L$500,0))),"محذوف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1.5800000000000001E-7</v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458</v>
      </c>
      <c r="B159">
        <v>6</v>
      </c>
      <c r="C159">
        <v>25000</v>
      </c>
      <c r="D159">
        <v>25000</v>
      </c>
      <c r="E159">
        <v>25000</v>
      </c>
      <c r="F159" t="s">
        <v>389</v>
      </c>
      <c r="G159" t="s">
        <v>178</v>
      </c>
      <c r="H159" t="s">
        <v>12</v>
      </c>
      <c r="I159">
        <v>17000</v>
      </c>
      <c r="K159" t="str">
        <f t="shared" si="40"/>
        <v/>
      </c>
      <c r="L159" t="str">
        <f t="shared" si="41"/>
        <v>سيف عائلاتي</v>
      </c>
      <c r="M159" s="36">
        <f t="shared" si="42"/>
        <v>7.5757575757575758E-5</v>
      </c>
      <c r="N159" s="37">
        <f t="shared" si="43"/>
        <v>1.2878787878787878</v>
      </c>
      <c r="O159" s="37">
        <f t="shared" si="44"/>
        <v>1.893939393939394</v>
      </c>
      <c r="P159" s="38">
        <f t="shared" si="45"/>
        <v>6</v>
      </c>
      <c r="Q159" s="39">
        <f t="shared" si="46"/>
        <v>7.7272727272727266</v>
      </c>
      <c r="R159" s="39">
        <f t="shared" si="47"/>
        <v>11.363636363636363</v>
      </c>
      <c r="S159">
        <f t="shared" si="48"/>
        <v>1</v>
      </c>
      <c r="T159" s="39">
        <f t="shared" si="49"/>
        <v>3.6363636363636367</v>
      </c>
      <c r="U159" t="str">
        <f t="shared" si="50"/>
        <v/>
      </c>
      <c r="V159">
        <f>IF(L159="","",IF($AO$1=1,IFERROR(MATCH(L159,'07-تموز'!$L$2:$L$500,0),0),0))</f>
        <v>146</v>
      </c>
      <c r="W159" t="str">
        <f t="shared" si="51"/>
        <v/>
      </c>
      <c r="X159" s="38">
        <f>IF(L159="","",IF(V159&gt;0,INDEX('07-تموز'!$P$2:$P$500,V159),IF($AO$1=1,0,"")))</f>
        <v>7.9</v>
      </c>
      <c r="Y159" s="38">
        <f t="shared" si="52"/>
        <v>-1.9000000000000004</v>
      </c>
      <c r="Z159" s="39">
        <f>IF(L159="","",IF(V159&gt;0,INDEX('07-تموز'!$Q$2:$Q$500,V159),IF($AO$1=1,0,"")))</f>
        <v>10.097744360902256</v>
      </c>
      <c r="AA159" s="39">
        <f t="shared" si="53"/>
        <v>-2.3704716336295295</v>
      </c>
      <c r="AB159" s="40">
        <f>IF(OR(L159="",V159=0),"",IF(AND(N(I159)&gt;0,N(INDEX('07-تموز'!$I$2:$I$500,V159))&gt;0,INDEX('07-تموز'!$F$2:$F$500,V159)=F159),N(I159)/N(INDEX('07-تموز'!$I$2:$I$500,V159))-1,""))</f>
        <v>0</v>
      </c>
      <c r="AC159" t="str">
        <f>IF(L159="","",IF(AND($AO$2=1,ISNA(MATCH(L159,'09-أيلول'!$L$2:$L$500,0))),"محذوف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2.3704717926295293</v>
      </c>
      <c r="AH159" s="39">
        <f t="shared" si="55"/>
        <v>3.6363636363636371</v>
      </c>
      <c r="AI159" s="39">
        <f t="shared" si="56"/>
        <v>3.6363636363636371</v>
      </c>
      <c r="AJ159" s="39">
        <f t="shared" si="57"/>
        <v>3.6363636363636371</v>
      </c>
      <c r="AK159">
        <f t="shared" si="58"/>
        <v>7.7272728862727265</v>
      </c>
      <c r="AL159">
        <f t="shared" si="59"/>
        <v>3.6363637953636365</v>
      </c>
    </row>
    <row r="160" spans="1:38" ht="15">
      <c r="A160" t="s">
        <v>459</v>
      </c>
      <c r="B160">
        <v>45.6</v>
      </c>
      <c r="C160">
        <v>50000</v>
      </c>
      <c r="D160">
        <v>50000</v>
      </c>
      <c r="E160">
        <v>50000</v>
      </c>
      <c r="F160" t="s">
        <v>389</v>
      </c>
      <c r="G160" t="s">
        <v>178</v>
      </c>
      <c r="H160" t="s">
        <v>12</v>
      </c>
      <c r="I160">
        <v>35000</v>
      </c>
      <c r="K160" t="str">
        <f t="shared" si="40"/>
        <v/>
      </c>
      <c r="L160" t="str">
        <f t="shared" si="41"/>
        <v>سيف بريفيت</v>
      </c>
      <c r="M160" s="36">
        <f t="shared" si="42"/>
        <v>7.5757575757575758E-5</v>
      </c>
      <c r="N160" s="37">
        <f t="shared" si="43"/>
        <v>2.6515151515151514</v>
      </c>
      <c r="O160" s="37">
        <f t="shared" si="44"/>
        <v>3.7878787878787881</v>
      </c>
      <c r="P160" s="38">
        <f t="shared" si="45"/>
        <v>45.6</v>
      </c>
      <c r="Q160" s="39">
        <f t="shared" si="46"/>
        <v>120.90909090909091</v>
      </c>
      <c r="R160" s="39">
        <f t="shared" si="47"/>
        <v>172.72727272727275</v>
      </c>
      <c r="S160">
        <f t="shared" si="48"/>
        <v>1</v>
      </c>
      <c r="T160" s="39">
        <f t="shared" si="49"/>
        <v>51.818181818181841</v>
      </c>
      <c r="U160" t="str">
        <f t="shared" si="50"/>
        <v/>
      </c>
      <c r="V160">
        <f>IF(L160="","",IF($AO$1=1,IFERROR(MATCH(L160,'07-تموز'!$L$2:$L$500,0),0),0))</f>
        <v>147</v>
      </c>
      <c r="W160" t="str">
        <f t="shared" si="51"/>
        <v/>
      </c>
      <c r="X160" s="38">
        <f>IF(L160="","",IF(V160&gt;0,INDEX('07-تموز'!$P$2:$P$500,V160),IF($AO$1=1,0,"")))</f>
        <v>67.599999999999994</v>
      </c>
      <c r="Y160" s="38">
        <f t="shared" si="52"/>
        <v>-21.999999999999993</v>
      </c>
      <c r="Z160" s="39">
        <f>IF(L160="","",IF(V160&gt;0,INDEX('07-تموز'!$Q$2:$Q$500,V160),IF($AO$1=1,0,"")))</f>
        <v>177.89473684210523</v>
      </c>
      <c r="AA160" s="39">
        <f t="shared" si="53"/>
        <v>-56.985645933014325</v>
      </c>
      <c r="AB160" s="40">
        <f>IF(OR(L160="",V160=0),"",IF(AND(N(I160)&gt;0,N(INDEX('07-تموز'!$I$2:$I$500,V160))&gt;0,INDEX('07-تموز'!$F$2:$F$500,V160)=F160),N(I160)/N(INDEX('07-تموز'!$I$2:$I$500,V160))-1,""))</f>
        <v>0</v>
      </c>
      <c r="AC160" t="str">
        <f>IF(L160="","",IF(AND($AO$2=1,ISNA(MATCH(L160,'09-أيلول'!$L$2:$L$500,0))),"محذوف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56.985646093014324</v>
      </c>
      <c r="AH160" s="39">
        <f t="shared" si="55"/>
        <v>51.818181818181834</v>
      </c>
      <c r="AI160" s="39">
        <f t="shared" si="56"/>
        <v>51.818181818181834</v>
      </c>
      <c r="AJ160" s="39">
        <f t="shared" si="57"/>
        <v>51.818181818181834</v>
      </c>
      <c r="AK160">
        <f t="shared" si="58"/>
        <v>120.90909106909091</v>
      </c>
      <c r="AL160">
        <f t="shared" si="59"/>
        <v>51.81818197818184</v>
      </c>
    </row>
    <row r="161" spans="1:38" ht="15">
      <c r="A161" t="s">
        <v>460</v>
      </c>
      <c r="B161">
        <v>2</v>
      </c>
      <c r="C161">
        <v>19000</v>
      </c>
      <c r="D161">
        <v>19000</v>
      </c>
      <c r="E161">
        <v>19000</v>
      </c>
      <c r="F161" t="s">
        <v>389</v>
      </c>
      <c r="G161" t="s">
        <v>178</v>
      </c>
      <c r="H161" t="s">
        <v>12</v>
      </c>
      <c r="I161">
        <v>16000</v>
      </c>
      <c r="K161" t="str">
        <f t="shared" si="40"/>
        <v/>
      </c>
      <c r="L161" t="str">
        <f t="shared" si="41"/>
        <v>سيف برلنت</v>
      </c>
      <c r="M161" s="36">
        <f t="shared" si="42"/>
        <v>7.5757575757575758E-5</v>
      </c>
      <c r="N161" s="37">
        <f t="shared" si="43"/>
        <v>1.2121212121212122</v>
      </c>
      <c r="O161" s="37">
        <f t="shared" si="44"/>
        <v>1.4393939393939394</v>
      </c>
      <c r="P161" s="38">
        <f t="shared" si="45"/>
        <v>2</v>
      </c>
      <c r="Q161" s="39">
        <f t="shared" si="46"/>
        <v>2.4242424242424243</v>
      </c>
      <c r="R161" s="39">
        <f t="shared" si="47"/>
        <v>2.8787878787878789</v>
      </c>
      <c r="S161">
        <f t="shared" si="48"/>
        <v>1</v>
      </c>
      <c r="T161" s="39">
        <f t="shared" si="49"/>
        <v>0.45454545454545459</v>
      </c>
      <c r="U161" t="str">
        <f t="shared" si="50"/>
        <v/>
      </c>
      <c r="V161">
        <f>IF(L161="","",IF($AO$1=1,IFERROR(MATCH(L161,'07-تموز'!$L$2:$L$500,0),0),0))</f>
        <v>148</v>
      </c>
      <c r="W161" t="str">
        <f t="shared" si="51"/>
        <v/>
      </c>
      <c r="X161" s="38">
        <f>IF(L161="","",IF(V161&gt;0,INDEX('07-تموز'!$P$2:$P$500,V161),IF($AO$1=1,0,"")))</f>
        <v>0</v>
      </c>
      <c r="Y161" s="38">
        <f t="shared" si="52"/>
        <v>2</v>
      </c>
      <c r="Z161" s="39">
        <f>IF(L161="","",IF(V161&gt;0,INDEX('07-تموز'!$Q$2:$Q$500,V161),IF($AO$1=1,0,"")))</f>
        <v>0</v>
      </c>
      <c r="AA161" s="39">
        <f t="shared" si="53"/>
        <v>2.4242424242424243</v>
      </c>
      <c r="AB161" s="40">
        <f>IF(OR(L161="",V161=0),"",IF(AND(N(I161)&gt;0,N(INDEX('07-تموز'!$I$2:$I$500,V161))&gt;0,INDEX('07-تموز'!$F$2:$F$500,V161)=F161),N(I161)/N(INDEX('07-تموز'!$I$2:$I$500,V161))-1,""))</f>
        <v>0</v>
      </c>
      <c r="AC161" t="str">
        <f>IF(L161="","",IF(AND($AO$2=1,ISNA(MATCH(L161,'09-أيلول'!$L$2:$L$500,0))),"محذوف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2.4242425852424243</v>
      </c>
      <c r="AH161" s="39">
        <f t="shared" si="55"/>
        <v>0.45454545454545459</v>
      </c>
      <c r="AI161" s="39">
        <f t="shared" si="56"/>
        <v>0.45454545454545459</v>
      </c>
      <c r="AJ161" s="39">
        <f t="shared" si="57"/>
        <v>0.45454545454545459</v>
      </c>
      <c r="AK161">
        <f t="shared" si="58"/>
        <v>2.4242425852424243</v>
      </c>
      <c r="AL161">
        <f t="shared" si="59"/>
        <v>0.45454561554545458</v>
      </c>
    </row>
    <row r="162" spans="1:38" ht="15">
      <c r="A162" t="s">
        <v>520</v>
      </c>
      <c r="B162">
        <v>25</v>
      </c>
      <c r="C162">
        <v>5000</v>
      </c>
      <c r="D162">
        <v>5000</v>
      </c>
      <c r="E162">
        <v>5000</v>
      </c>
      <c r="F162" t="s">
        <v>389</v>
      </c>
      <c r="G162" t="s">
        <v>178</v>
      </c>
      <c r="H162" t="s">
        <v>12</v>
      </c>
      <c r="I162">
        <v>1285</v>
      </c>
      <c r="K162" t="str">
        <f t="shared" si="40"/>
        <v/>
      </c>
      <c r="L162" t="str">
        <f t="shared" si="41"/>
        <v>سيف بالكيلو</v>
      </c>
      <c r="M162" s="36">
        <f t="shared" si="42"/>
        <v>7.5757575757575758E-5</v>
      </c>
      <c r="N162" s="37">
        <f t="shared" si="43"/>
        <v>9.7348484848484851E-2</v>
      </c>
      <c r="O162" s="37">
        <f t="shared" si="44"/>
        <v>0.37878787878787878</v>
      </c>
      <c r="P162" s="38">
        <f t="shared" si="45"/>
        <v>25</v>
      </c>
      <c r="Q162" s="39">
        <f t="shared" si="46"/>
        <v>2.4337121212121211</v>
      </c>
      <c r="R162" s="39">
        <f t="shared" si="47"/>
        <v>9.4696969696969688</v>
      </c>
      <c r="S162">
        <f t="shared" si="48"/>
        <v>1</v>
      </c>
      <c r="T162" s="39">
        <f t="shared" si="49"/>
        <v>7.0359848484848477</v>
      </c>
      <c r="U162" t="str">
        <f t="shared" si="50"/>
        <v/>
      </c>
      <c r="V162">
        <f>IF(L162="","",IF($AO$1=1,IFERROR(MATCH(L162,'07-تموز'!$L$2:$L$500,0),0),0))</f>
        <v>0</v>
      </c>
      <c r="W162" t="str">
        <f t="shared" si="51"/>
        <v>جديد</v>
      </c>
      <c r="X162" s="38">
        <f>IF(L162="","",IF(V162&gt;0,INDEX('07-تموز'!$P$2:$P$500,V162),IF($AO$1=1,0,"")))</f>
        <v>0</v>
      </c>
      <c r="Y162" s="38">
        <f t="shared" si="52"/>
        <v>25</v>
      </c>
      <c r="Z162" s="39">
        <f>IF(L162="","",IF(V162&gt;0,INDEX('07-تموز'!$Q$2:$Q$500,V162),IF($AO$1=1,0,"")))</f>
        <v>0</v>
      </c>
      <c r="AA162" s="39">
        <f t="shared" si="53"/>
        <v>2.4337121212121211</v>
      </c>
      <c r="AB162" s="40" t="str">
        <f>IF(OR(L162="",V162=0),"",IF(AND(N(I162)&gt;0,N(INDEX('07-تموز'!$I$2:$I$500,V162))&gt;0,INDEX('07-تموز'!$F$2:$F$500,V162)=F162),N(I162)/N(INDEX('07-تموز'!$I$2:$I$500,V162))-1,""))</f>
        <v/>
      </c>
      <c r="AC162" t="str">
        <f>IF(L162="","",IF(AND($AO$2=1,ISNA(MATCH(L162,'09-أيلول'!$L$2:$L$500,0))),"محذوف لاحقاً",""))</f>
        <v/>
      </c>
      <c r="AD162">
        <f>IF(W162="جديد",COUNTIF(W$2:W162,"جديد"),"")</f>
        <v>13</v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2.4337122832121212</v>
      </c>
      <c r="AH162" s="39">
        <f t="shared" si="55"/>
        <v>7.0359848484848486</v>
      </c>
      <c r="AI162" s="39">
        <f t="shared" si="56"/>
        <v>7.0359848484848486</v>
      </c>
      <c r="AJ162" s="39">
        <f t="shared" si="57"/>
        <v>7.0359848484848486</v>
      </c>
      <c r="AK162">
        <f t="shared" si="58"/>
        <v>2.4337122832121212</v>
      </c>
      <c r="AL162">
        <f t="shared" si="59"/>
        <v>7.0359850104848478</v>
      </c>
    </row>
    <row r="163" spans="1:38" ht="15">
      <c r="A163" t="s">
        <v>461</v>
      </c>
      <c r="B163">
        <v>0</v>
      </c>
      <c r="C163">
        <v>21000</v>
      </c>
      <c r="D163">
        <v>21000</v>
      </c>
      <c r="E163">
        <v>21000</v>
      </c>
      <c r="F163" t="s">
        <v>389</v>
      </c>
      <c r="G163" t="s">
        <v>178</v>
      </c>
      <c r="H163" t="s">
        <v>12</v>
      </c>
      <c r="I163">
        <v>9000</v>
      </c>
      <c r="K163" t="str">
        <f t="shared" si="40"/>
        <v/>
      </c>
      <c r="L163" t="str">
        <f t="shared" si="41"/>
        <v>سيف الكرار نخب اول</v>
      </c>
      <c r="M163" s="36">
        <f t="shared" si="42"/>
        <v>7.5757575757575758E-5</v>
      </c>
      <c r="N163" s="37">
        <f t="shared" si="43"/>
        <v>0.68181818181818177</v>
      </c>
      <c r="O163" s="37">
        <f t="shared" si="44"/>
        <v>1.5909090909090908</v>
      </c>
      <c r="P163" s="38">
        <f t="shared" si="45"/>
        <v>0</v>
      </c>
      <c r="Q163" s="39">
        <f t="shared" si="46"/>
        <v>0</v>
      </c>
      <c r="R163" s="39">
        <f t="shared" si="47"/>
        <v>0</v>
      </c>
      <c r="S163">
        <f t="shared" si="48"/>
        <v>0</v>
      </c>
      <c r="T163" s="39">
        <f t="shared" si="49"/>
        <v>0</v>
      </c>
      <c r="U163" t="str">
        <f t="shared" si="50"/>
        <v/>
      </c>
      <c r="V163">
        <f>IF(L163="","",IF($AO$1=1,IFERROR(MATCH(L163,'07-تموز'!$L$2:$L$500,0),0),0))</f>
        <v>149</v>
      </c>
      <c r="W163" t="str">
        <f t="shared" si="51"/>
        <v/>
      </c>
      <c r="X163" s="38">
        <f>IF(L163="","",IF(V163&gt;0,INDEX('07-تموز'!$P$2:$P$500,V163),IF($AO$1=1,0,"")))</f>
        <v>14</v>
      </c>
      <c r="Y163" s="38">
        <f t="shared" si="52"/>
        <v>-14</v>
      </c>
      <c r="Z163" s="39">
        <f>IF(L163="","",IF(V163&gt;0,INDEX('07-تموز'!$Q$2:$Q$500,V163),IF($AO$1=1,0,"")))</f>
        <v>9.473684210526315</v>
      </c>
      <c r="AA163" s="39">
        <f t="shared" si="53"/>
        <v>-9.473684210526315</v>
      </c>
      <c r="AB163" s="40">
        <f>IF(OR(L163="",V163=0),"",IF(AND(N(I163)&gt;0,N(INDEX('07-تموز'!$I$2:$I$500,V163))&gt;0,INDEX('07-تموز'!$F$2:$F$500,V163)=F163),N(I163)/N(INDEX('07-تموز'!$I$2:$I$500,V163))-1,""))</f>
        <v>0</v>
      </c>
      <c r="AC163" t="str">
        <f>IF(L163="","",IF(AND($AO$2=1,ISNA(MATCH(L163,'09-أيلول'!$L$2:$L$500,0))),"محذوف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9.4736843735263143</v>
      </c>
      <c r="AH163" s="39">
        <f t="shared" si="55"/>
        <v>0</v>
      </c>
      <c r="AI163" s="39">
        <f t="shared" si="56"/>
        <v>0</v>
      </c>
      <c r="AJ163" s="39">
        <f t="shared" si="57"/>
        <v>0</v>
      </c>
      <c r="AK163">
        <f t="shared" si="58"/>
        <v>1.6299999999999999E-7</v>
      </c>
      <c r="AL163">
        <f t="shared" si="59"/>
        <v>1.6299999999999999E-7</v>
      </c>
    </row>
    <row r="164" spans="1:38" ht="15">
      <c r="A164" t="s">
        <v>462</v>
      </c>
      <c r="B164">
        <v>0</v>
      </c>
      <c r="C164">
        <v>200000</v>
      </c>
      <c r="D164">
        <v>200000</v>
      </c>
      <c r="E164">
        <v>200000</v>
      </c>
      <c r="F164" t="s">
        <v>389</v>
      </c>
      <c r="G164" t="s">
        <v>178</v>
      </c>
      <c r="H164" t="s">
        <v>12</v>
      </c>
      <c r="I164">
        <v>150000</v>
      </c>
      <c r="K164" t="str">
        <f t="shared" si="40"/>
        <v/>
      </c>
      <c r="L164" t="str">
        <f t="shared" si="41"/>
        <v>سيف الكرار 2602</v>
      </c>
      <c r="M164" s="36">
        <f t="shared" si="42"/>
        <v>7.5757575757575758E-5</v>
      </c>
      <c r="N164" s="37">
        <f t="shared" si="43"/>
        <v>11.363636363636363</v>
      </c>
      <c r="O164" s="37">
        <f t="shared" si="44"/>
        <v>15.151515151515152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IF(L164="","",IF($AO$1=1,IFERROR(MATCH(L164,'07-تموز'!$L$2:$L$500,0),0),0))</f>
        <v>150</v>
      </c>
      <c r="W164" t="str">
        <f t="shared" si="51"/>
        <v/>
      </c>
      <c r="X164" s="38">
        <f>IF(L164="","",IF(V164&gt;0,INDEX('07-تموز'!$P$2:$P$500,V164),IF($AO$1=1,0,"")))</f>
        <v>4</v>
      </c>
      <c r="Y164" s="38">
        <f t="shared" si="52"/>
        <v>-4</v>
      </c>
      <c r="Z164" s="39">
        <f>IF(L164="","",IF(V164&gt;0,INDEX('07-تموز'!$Q$2:$Q$500,V164),IF($AO$1=1,0,"")))</f>
        <v>45.112781954887218</v>
      </c>
      <c r="AA164" s="39">
        <f t="shared" si="53"/>
        <v>-45.112781954887218</v>
      </c>
      <c r="AB164" s="40">
        <f>IF(OR(L164="",V164=0),"",IF(AND(N(I164)&gt;0,N(INDEX('07-تموز'!$I$2:$I$500,V164))&gt;0,INDEX('07-تموز'!$F$2:$F$500,V164)=F164),N(I164)/N(INDEX('07-تموز'!$I$2:$I$500,V164))-1,""))</f>
        <v>0</v>
      </c>
      <c r="AC164" t="str">
        <f>IF(L164="","",IF(AND($AO$2=1,ISNA(MATCH(L164,'09-أيلول'!$L$2:$L$500,0))),"محذوف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45.112782118887218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521</v>
      </c>
      <c r="B165">
        <v>28.5</v>
      </c>
      <c r="C165">
        <v>0</v>
      </c>
      <c r="D165">
        <v>0</v>
      </c>
      <c r="E165">
        <v>0</v>
      </c>
      <c r="F165" t="s">
        <v>268</v>
      </c>
      <c r="G165" t="s">
        <v>178</v>
      </c>
      <c r="H165" t="s">
        <v>176</v>
      </c>
      <c r="I165">
        <v>0.9</v>
      </c>
      <c r="K165" t="str">
        <f t="shared" si="40"/>
        <v/>
      </c>
      <c r="L165" t="str">
        <f t="shared" si="41"/>
        <v>سم مضروب</v>
      </c>
      <c r="M165" s="36">
        <f t="shared" si="42"/>
        <v>1</v>
      </c>
      <c r="N165" s="37">
        <f t="shared" si="43"/>
        <v>0.9</v>
      </c>
      <c r="O165" s="37">
        <f t="shared" si="44"/>
        <v>0</v>
      </c>
      <c r="P165" s="38">
        <f t="shared" si="45"/>
        <v>28.5</v>
      </c>
      <c r="Q165" s="39">
        <f t="shared" si="46"/>
        <v>25.650000000000002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IF(L165="","",IF($AO$1=1,IFERROR(MATCH(L165,'07-تموز'!$L$2:$L$500,0),0),0))</f>
        <v>0</v>
      </c>
      <c r="W165" t="str">
        <f t="shared" si="51"/>
        <v>جديد</v>
      </c>
      <c r="X165" s="38">
        <f>IF(L165="","",IF(V165&gt;0,INDEX('07-تموز'!$P$2:$P$500,V165),IF($AO$1=1,0,"")))</f>
        <v>0</v>
      </c>
      <c r="Y165" s="38">
        <f t="shared" si="52"/>
        <v>28.5</v>
      </c>
      <c r="Z165" s="39">
        <f>IF(L165="","",IF(V165&gt;0,INDEX('07-تموز'!$Q$2:$Q$500,V165),IF($AO$1=1,0,"")))</f>
        <v>0</v>
      </c>
      <c r="AA165" s="39">
        <f t="shared" si="53"/>
        <v>25.650000000000002</v>
      </c>
      <c r="AB165" s="40" t="str">
        <f>IF(OR(L165="",V165=0),"",IF(AND(N(I165)&gt;0,N(INDEX('07-تموز'!$I$2:$I$500,V165))&gt;0,INDEX('07-تموز'!$F$2:$F$500,V165)=F165),N(I165)/N(INDEX('07-تموز'!$I$2:$I$500,V165))-1,""))</f>
        <v/>
      </c>
      <c r="AC165" t="str">
        <f>IF(L165="","",IF(AND($AO$2=1,ISNA(MATCH(L165,'09-أيلول'!$L$2:$L$500,0))),"محذوف لاحقاً",""))</f>
        <v/>
      </c>
      <c r="AD165">
        <f>IF(W165="جديد",COUNTIF(W$2:W165,"جديد"),"")</f>
        <v>14</v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25.650000165000002</v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25.650000165000002</v>
      </c>
      <c r="AL165">
        <f t="shared" si="59"/>
        <v>1.6500000000000001E-7</v>
      </c>
    </row>
    <row r="166" spans="1:38" ht="15">
      <c r="A166" t="s">
        <v>463</v>
      </c>
      <c r="B166">
        <v>0</v>
      </c>
      <c r="C166">
        <v>30000</v>
      </c>
      <c r="D166">
        <v>30000</v>
      </c>
      <c r="E166">
        <v>30000</v>
      </c>
      <c r="F166" t="s">
        <v>389</v>
      </c>
      <c r="G166" t="s">
        <v>178</v>
      </c>
      <c r="H166" t="s">
        <v>12</v>
      </c>
      <c r="I166">
        <v>20000</v>
      </c>
      <c r="K166" t="str">
        <f t="shared" si="40"/>
        <v/>
      </c>
      <c r="L166" t="str">
        <f t="shared" si="41"/>
        <v>سلة غسيل</v>
      </c>
      <c r="M166" s="36">
        <f t="shared" si="42"/>
        <v>7.5757575757575758E-5</v>
      </c>
      <c r="N166" s="37">
        <f t="shared" si="43"/>
        <v>1.5151515151515151</v>
      </c>
      <c r="O166" s="37">
        <f t="shared" si="44"/>
        <v>2.2727272727272729</v>
      </c>
      <c r="P166" s="38">
        <f t="shared" si="45"/>
        <v>0</v>
      </c>
      <c r="Q166" s="39">
        <f t="shared" si="46"/>
        <v>0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IF(L166="","",IF($AO$1=1,IFERROR(MATCH(L166,'07-تموز'!$L$2:$L$500,0),0),0))</f>
        <v>151</v>
      </c>
      <c r="W166" t="str">
        <f t="shared" si="51"/>
        <v/>
      </c>
      <c r="X166" s="38">
        <f>IF(L166="","",IF(V166&gt;0,INDEX('07-تموز'!$P$2:$P$500,V166),IF($AO$1=1,0,"")))</f>
        <v>0</v>
      </c>
      <c r="Y166" s="38">
        <f t="shared" si="52"/>
        <v>0</v>
      </c>
      <c r="Z166" s="39">
        <f>IF(L166="","",IF(V166&gt;0,INDEX('07-تموز'!$Q$2:$Q$500,V166),IF($AO$1=1,0,"")))</f>
        <v>0</v>
      </c>
      <c r="AA166" s="39">
        <f t="shared" si="53"/>
        <v>0</v>
      </c>
      <c r="AB166" s="40">
        <f>IF(OR(L166="",V166=0),"",IF(AND(N(I166)&gt;0,N(INDEX('07-تموز'!$I$2:$I$500,V166))&gt;0,INDEX('07-تموز'!$F$2:$F$500,V166)=F166),N(I166)/N(INDEX('07-تموز'!$I$2:$I$500,V166))-1,""))</f>
        <v>0</v>
      </c>
      <c r="AC166" t="str">
        <f>IF(L166="","",IF(AND($AO$2=1,ISNA(MATCH(L166,'09-أيلول'!$L$2:$L$500,0))),"محذوف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1.66E-7</v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1.66E-7</v>
      </c>
      <c r="AL166">
        <f t="shared" si="59"/>
        <v>1.66E-7</v>
      </c>
    </row>
    <row r="167" spans="1:38" ht="15">
      <c r="A167" t="s">
        <v>464</v>
      </c>
      <c r="B167">
        <v>2335</v>
      </c>
      <c r="C167">
        <v>4000</v>
      </c>
      <c r="D167">
        <v>4000</v>
      </c>
      <c r="E167">
        <v>4000</v>
      </c>
      <c r="F167" t="s">
        <v>389</v>
      </c>
      <c r="G167" t="s">
        <v>178</v>
      </c>
      <c r="H167" t="s">
        <v>12</v>
      </c>
      <c r="I167">
        <v>2500</v>
      </c>
      <c r="K167" t="str">
        <f t="shared" si="40"/>
        <v/>
      </c>
      <c r="L167" t="str">
        <f t="shared" si="41"/>
        <v>سائل مغسل</v>
      </c>
      <c r="M167" s="36">
        <f t="shared" si="42"/>
        <v>7.5757575757575758E-5</v>
      </c>
      <c r="N167" s="37">
        <f t="shared" si="43"/>
        <v>0.18939393939393939</v>
      </c>
      <c r="O167" s="37">
        <f t="shared" si="44"/>
        <v>0.30303030303030304</v>
      </c>
      <c r="P167" s="38">
        <f t="shared" si="45"/>
        <v>2335</v>
      </c>
      <c r="Q167" s="39">
        <f t="shared" si="46"/>
        <v>442.2348484848485</v>
      </c>
      <c r="R167" s="39">
        <f t="shared" si="47"/>
        <v>707.57575757575762</v>
      </c>
      <c r="S167">
        <f t="shared" si="48"/>
        <v>1</v>
      </c>
      <c r="T167" s="39">
        <f t="shared" si="49"/>
        <v>265.34090909090912</v>
      </c>
      <c r="U167" t="str">
        <f t="shared" si="50"/>
        <v/>
      </c>
      <c r="V167">
        <f>IF(L167="","",IF($AO$1=1,IFERROR(MATCH(L167,'07-تموز'!$L$2:$L$500,0),0),0))</f>
        <v>152</v>
      </c>
      <c r="W167" t="str">
        <f t="shared" si="51"/>
        <v/>
      </c>
      <c r="X167" s="38">
        <f>IF(L167="","",IF(V167&gt;0,INDEX('07-تموز'!$P$2:$P$500,V167),IF($AO$1=1,0,"")))</f>
        <v>2335</v>
      </c>
      <c r="Y167" s="38">
        <f t="shared" si="52"/>
        <v>0</v>
      </c>
      <c r="Z167" s="39">
        <f>IF(L167="","",IF(V167&gt;0,INDEX('07-تموز'!$Q$2:$Q$500,V167),IF($AO$1=1,0,"")))</f>
        <v>438.90977443609017</v>
      </c>
      <c r="AA167" s="39">
        <f t="shared" si="53"/>
        <v>3.3250740487583244</v>
      </c>
      <c r="AB167" s="40">
        <f>IF(OR(L167="",V167=0),"",IF(AND(N(I167)&gt;0,N(INDEX('07-تموز'!$I$2:$I$500,V167))&gt;0,INDEX('07-تموز'!$F$2:$F$500,V167)=F167),N(I167)/N(INDEX('07-تموز'!$I$2:$I$500,V167))-1,""))</f>
        <v>0</v>
      </c>
      <c r="AC167" t="str">
        <f>IF(L167="","",IF(AND($AO$2=1,ISNA(MATCH(L167,'09-أيلول'!$L$2:$L$500,0))),"محذوف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3.3250742157583244</v>
      </c>
      <c r="AH167" s="39">
        <f t="shared" si="55"/>
        <v>265.34090909090912</v>
      </c>
      <c r="AI167" s="39">
        <f t="shared" si="56"/>
        <v>265.34090909090912</v>
      </c>
      <c r="AJ167" s="39">
        <f t="shared" si="57"/>
        <v>265.34090909090912</v>
      </c>
      <c r="AK167">
        <f t="shared" si="58"/>
        <v>442.23484865184849</v>
      </c>
      <c r="AL167">
        <f t="shared" si="59"/>
        <v>265.34090925790912</v>
      </c>
    </row>
    <row r="168" spans="1:38" ht="15">
      <c r="A168" t="s">
        <v>465</v>
      </c>
      <c r="B168">
        <v>29</v>
      </c>
      <c r="C168">
        <v>13000</v>
      </c>
      <c r="D168">
        <v>13000</v>
      </c>
      <c r="E168">
        <v>13000</v>
      </c>
      <c r="F168" t="s">
        <v>389</v>
      </c>
      <c r="G168" t="s">
        <v>178</v>
      </c>
      <c r="H168" t="s">
        <v>12</v>
      </c>
      <c r="I168">
        <v>12800</v>
      </c>
      <c r="K168" t="str">
        <f t="shared" si="40"/>
        <v/>
      </c>
      <c r="L168" t="str">
        <f t="shared" si="41"/>
        <v>سائل غسيل زهري</v>
      </c>
      <c r="M168" s="36">
        <f t="shared" si="42"/>
        <v>7.5757575757575758E-5</v>
      </c>
      <c r="N168" s="37">
        <f t="shared" si="43"/>
        <v>0.96969696969696972</v>
      </c>
      <c r="O168" s="37">
        <f t="shared" si="44"/>
        <v>0.98484848484848486</v>
      </c>
      <c r="P168" s="38">
        <f t="shared" si="45"/>
        <v>29</v>
      </c>
      <c r="Q168" s="39">
        <f t="shared" si="46"/>
        <v>28.121212121212121</v>
      </c>
      <c r="R168" s="39">
        <f t="shared" si="47"/>
        <v>28.560606060606062</v>
      </c>
      <c r="S168">
        <f t="shared" si="48"/>
        <v>1</v>
      </c>
      <c r="T168" s="39">
        <f t="shared" si="49"/>
        <v>0.43939393939394122</v>
      </c>
      <c r="U168" t="str">
        <f t="shared" si="50"/>
        <v/>
      </c>
      <c r="V168">
        <f>IF(L168="","",IF($AO$1=1,IFERROR(MATCH(L168,'07-تموز'!$L$2:$L$500,0),0),0))</f>
        <v>153</v>
      </c>
      <c r="W168" t="str">
        <f t="shared" si="51"/>
        <v/>
      </c>
      <c r="X168" s="38">
        <f>IF(L168="","",IF(V168&gt;0,INDEX('07-تموز'!$P$2:$P$500,V168),IF($AO$1=1,0,"")))</f>
        <v>29</v>
      </c>
      <c r="Y168" s="38">
        <f t="shared" si="52"/>
        <v>0</v>
      </c>
      <c r="Z168" s="39">
        <f>IF(L168="","",IF(V168&gt;0,INDEX('07-تموز'!$Q$2:$Q$500,V168),IF($AO$1=1,0,"")))</f>
        <v>27.909774436090224</v>
      </c>
      <c r="AA168" s="39">
        <f t="shared" si="53"/>
        <v>0.21143768512189709</v>
      </c>
      <c r="AB168" s="40">
        <f>IF(OR(L168="",V168=0),"",IF(AND(N(I168)&gt;0,N(INDEX('07-تموز'!$I$2:$I$500,V168))&gt;0,INDEX('07-تموز'!$F$2:$F$500,V168)=F168),N(I168)/N(INDEX('07-تموز'!$I$2:$I$500,V168))-1,""))</f>
        <v>0</v>
      </c>
      <c r="AC168" t="str">
        <f>IF(L168="","",IF(AND($AO$2=1,ISNA(MATCH(L168,'09-أيلول'!$L$2:$L$500,0))),"محذوف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0.21143785312189708</v>
      </c>
      <c r="AH168" s="39">
        <f t="shared" si="55"/>
        <v>0.439393939393939</v>
      </c>
      <c r="AI168" s="39">
        <f t="shared" si="56"/>
        <v>0.439393939393939</v>
      </c>
      <c r="AJ168" s="39">
        <f t="shared" si="57"/>
        <v>0.439393939393939</v>
      </c>
      <c r="AK168">
        <f t="shared" si="58"/>
        <v>28.121212289212121</v>
      </c>
      <c r="AL168">
        <f t="shared" si="59"/>
        <v>0.43939410739394125</v>
      </c>
    </row>
    <row r="169" spans="1:38" ht="15">
      <c r="A169" t="s">
        <v>342</v>
      </c>
      <c r="B169">
        <v>0</v>
      </c>
      <c r="C169">
        <v>0</v>
      </c>
      <c r="D169">
        <v>0</v>
      </c>
      <c r="E169">
        <v>0</v>
      </c>
      <c r="F169" t="s">
        <v>268</v>
      </c>
      <c r="G169" t="s">
        <v>178</v>
      </c>
      <c r="H169" t="s">
        <v>177</v>
      </c>
      <c r="I169">
        <v>918</v>
      </c>
      <c r="K169" t="str">
        <f t="shared" si="40"/>
        <v/>
      </c>
      <c r="L169" t="str">
        <f t="shared" si="41"/>
        <v>سائل غسيل اتوماتيك خام</v>
      </c>
      <c r="M169" s="36">
        <f t="shared" si="42"/>
        <v>1</v>
      </c>
      <c r="N169" s="37">
        <f t="shared" si="43"/>
        <v>918</v>
      </c>
      <c r="O169" s="37">
        <f t="shared" si="44"/>
        <v>0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IF(L169="","",IF($AO$1=1,IFERROR(MATCH(L169,'07-تموز'!$L$2:$L$500,0),0),0))</f>
        <v>154</v>
      </c>
      <c r="W169" t="str">
        <f t="shared" si="51"/>
        <v/>
      </c>
      <c r="X169" s="38">
        <f>IF(L169="","",IF(V169&gt;0,INDEX('07-تموز'!$P$2:$P$500,V169),IF($AO$1=1,0,"")))</f>
        <v>0</v>
      </c>
      <c r="Y169" s="38">
        <f t="shared" si="52"/>
        <v>0</v>
      </c>
      <c r="Z169" s="39">
        <f>IF(L169="","",IF(V169&gt;0,INDEX('07-تموز'!$Q$2:$Q$500,V169),IF($AO$1=1,0,"")))</f>
        <v>0</v>
      </c>
      <c r="AA169" s="39">
        <f t="shared" si="53"/>
        <v>0</v>
      </c>
      <c r="AB169" s="40">
        <f>IF(OR(L169="",V169=0),"",IF(AND(N(I169)&gt;0,N(INDEX('07-تموز'!$I$2:$I$500,V169))&gt;0,INDEX('07-تموز'!$F$2:$F$500,V169)=F169),N(I169)/N(INDEX('07-تموز'!$I$2:$I$500,V169))-1,""))</f>
        <v>0</v>
      </c>
      <c r="AC169" t="str">
        <f>IF(L169="","",IF(AND($AO$2=1,ISNA(MATCH(L169,'09-أيلول'!$L$2:$L$500,0))),"محذوف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466</v>
      </c>
      <c r="B170">
        <v>50</v>
      </c>
      <c r="C170">
        <v>58000</v>
      </c>
      <c r="D170">
        <v>58000</v>
      </c>
      <c r="E170">
        <v>58000</v>
      </c>
      <c r="F170" t="s">
        <v>389</v>
      </c>
      <c r="G170" t="s">
        <v>178</v>
      </c>
      <c r="H170" t="s">
        <v>12</v>
      </c>
      <c r="I170">
        <v>41500</v>
      </c>
      <c r="K170" t="str">
        <f t="shared" si="40"/>
        <v/>
      </c>
      <c r="L170" t="str">
        <f t="shared" si="41"/>
        <v>سائل غسيل اتوماتيك 3 لتر</v>
      </c>
      <c r="M170" s="36">
        <f t="shared" si="42"/>
        <v>7.5757575757575758E-5</v>
      </c>
      <c r="N170" s="37">
        <f t="shared" si="43"/>
        <v>3.143939393939394</v>
      </c>
      <c r="O170" s="37">
        <f t="shared" si="44"/>
        <v>4.3939393939393936</v>
      </c>
      <c r="P170" s="38">
        <f t="shared" si="45"/>
        <v>50</v>
      </c>
      <c r="Q170" s="39">
        <f t="shared" si="46"/>
        <v>157.19696969696969</v>
      </c>
      <c r="R170" s="39">
        <f t="shared" si="47"/>
        <v>219.69696969696969</v>
      </c>
      <c r="S170">
        <f t="shared" si="48"/>
        <v>1</v>
      </c>
      <c r="T170" s="39">
        <f t="shared" si="49"/>
        <v>62.5</v>
      </c>
      <c r="U170" t="str">
        <f t="shared" si="50"/>
        <v/>
      </c>
      <c r="V170">
        <f>IF(L170="","",IF($AO$1=1,IFERROR(MATCH(L170,'07-تموز'!$L$2:$L$500,0),0),0))</f>
        <v>155</v>
      </c>
      <c r="W170" t="str">
        <f t="shared" si="51"/>
        <v/>
      </c>
      <c r="X170" s="38">
        <f>IF(L170="","",IF(V170&gt;0,INDEX('07-تموز'!$P$2:$P$500,V170),IF($AO$1=1,0,"")))</f>
        <v>38</v>
      </c>
      <c r="Y170" s="38">
        <f t="shared" si="52"/>
        <v>12</v>
      </c>
      <c r="Z170" s="39">
        <f>IF(L170="","",IF(V170&gt;0,INDEX('07-تموز'!$Q$2:$Q$500,V170),IF($AO$1=1,0,"")))</f>
        <v>118.57142857142857</v>
      </c>
      <c r="AA170" s="39">
        <f t="shared" si="53"/>
        <v>38.625541125541119</v>
      </c>
      <c r="AB170" s="40">
        <f>IF(OR(L170="",V170=0),"",IF(AND(N(I170)&gt;0,N(INDEX('07-تموز'!$I$2:$I$500,V170))&gt;0,INDEX('07-تموز'!$F$2:$F$500,V170)=F170),N(I170)/N(INDEX('07-تموز'!$I$2:$I$500,V170))-1,""))</f>
        <v>0</v>
      </c>
      <c r="AC170" t="str">
        <f>IF(L170="","",IF(AND($AO$2=1,ISNA(MATCH(L170,'09-أيلول'!$L$2:$L$500,0))),"محذوف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38.625541295541119</v>
      </c>
      <c r="AH170" s="39">
        <f t="shared" si="55"/>
        <v>62.499999999999979</v>
      </c>
      <c r="AI170" s="39">
        <f t="shared" si="56"/>
        <v>62.499999999999979</v>
      </c>
      <c r="AJ170" s="39">
        <f t="shared" si="57"/>
        <v>62.499999999999979</v>
      </c>
      <c r="AK170">
        <f t="shared" si="58"/>
        <v>157.19696986696968</v>
      </c>
      <c r="AL170">
        <f t="shared" si="59"/>
        <v>62.50000017</v>
      </c>
    </row>
    <row r="171" spans="1:38" ht="15">
      <c r="A171" t="s">
        <v>467</v>
      </c>
      <c r="B171">
        <v>53.74</v>
      </c>
      <c r="C171">
        <v>15000</v>
      </c>
      <c r="D171">
        <v>15000</v>
      </c>
      <c r="E171">
        <v>15000</v>
      </c>
      <c r="F171" t="s">
        <v>389</v>
      </c>
      <c r="G171" t="s">
        <v>178</v>
      </c>
      <c r="H171" t="s">
        <v>12</v>
      </c>
      <c r="I171">
        <v>12800</v>
      </c>
      <c r="K171" t="str">
        <f t="shared" si="40"/>
        <v/>
      </c>
      <c r="L171" t="str">
        <f t="shared" si="41"/>
        <v>سائل غسيل اتوماتيك / فرط</v>
      </c>
      <c r="M171" s="36">
        <f t="shared" si="42"/>
        <v>7.5757575757575758E-5</v>
      </c>
      <c r="N171" s="37">
        <f t="shared" si="43"/>
        <v>0.96969696969696972</v>
      </c>
      <c r="O171" s="37">
        <f t="shared" si="44"/>
        <v>1.1363636363636365</v>
      </c>
      <c r="P171" s="38">
        <f t="shared" si="45"/>
        <v>53.74</v>
      </c>
      <c r="Q171" s="39">
        <f t="shared" si="46"/>
        <v>52.111515151515157</v>
      </c>
      <c r="R171" s="39">
        <f t="shared" si="47"/>
        <v>61.068181818181827</v>
      </c>
      <c r="S171">
        <f t="shared" si="48"/>
        <v>1</v>
      </c>
      <c r="T171" s="39">
        <f t="shared" si="49"/>
        <v>8.9566666666666706</v>
      </c>
      <c r="U171" t="str">
        <f t="shared" si="50"/>
        <v/>
      </c>
      <c r="V171">
        <f>IF(L171="","",IF($AO$1=1,IFERROR(MATCH(L171,'07-تموز'!$L$2:$L$500,0),0),0))</f>
        <v>156</v>
      </c>
      <c r="W171" t="str">
        <f t="shared" si="51"/>
        <v/>
      </c>
      <c r="X171" s="38">
        <f>IF(L171="","",IF(V171&gt;0,INDEX('07-تموز'!$P$2:$P$500,V171),IF($AO$1=1,0,"")))</f>
        <v>104</v>
      </c>
      <c r="Y171" s="38">
        <f t="shared" si="52"/>
        <v>-50.26</v>
      </c>
      <c r="Z171" s="39">
        <f>IF(L171="","",IF(V171&gt;0,INDEX('07-تموز'!$Q$2:$Q$500,V171),IF($AO$1=1,0,"")))</f>
        <v>100.09022556390977</v>
      </c>
      <c r="AA171" s="39">
        <f t="shared" si="53"/>
        <v>-47.978710412394612</v>
      </c>
      <c r="AB171" s="40">
        <f>IF(OR(L171="",V171=0),"",IF(AND(N(I171)&gt;0,N(INDEX('07-تموز'!$I$2:$I$500,V171))&gt;0,INDEX('07-تموز'!$F$2:$F$500,V171)=F171),N(I171)/N(INDEX('07-تموز'!$I$2:$I$500,V171))-1,""))</f>
        <v>0</v>
      </c>
      <c r="AC171" t="str">
        <f>IF(L171="","",IF(AND($AO$2=1,ISNA(MATCH(L171,'09-أيلول'!$L$2:$L$500,0))),"محذوف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47.978710583394616</v>
      </c>
      <c r="AH171" s="39">
        <f t="shared" si="55"/>
        <v>8.9566666666666706</v>
      </c>
      <c r="AI171" s="39">
        <f t="shared" si="56"/>
        <v>8.9566666666666706</v>
      </c>
      <c r="AJ171" s="39">
        <f t="shared" si="57"/>
        <v>8.9566666666666706</v>
      </c>
      <c r="AK171">
        <f t="shared" si="58"/>
        <v>52.11151532251516</v>
      </c>
      <c r="AL171">
        <f t="shared" si="59"/>
        <v>8.9566668376666705</v>
      </c>
    </row>
    <row r="172" spans="1:38" ht="15">
      <c r="A172" t="s">
        <v>468</v>
      </c>
      <c r="B172">
        <v>0</v>
      </c>
      <c r="C172">
        <v>13000</v>
      </c>
      <c r="D172">
        <v>13000</v>
      </c>
      <c r="E172">
        <v>13000</v>
      </c>
      <c r="F172" t="s">
        <v>389</v>
      </c>
      <c r="G172" t="s">
        <v>178</v>
      </c>
      <c r="H172" t="s">
        <v>12</v>
      </c>
      <c r="I172">
        <v>11000</v>
      </c>
      <c r="K172" t="str">
        <f t="shared" si="40"/>
        <v/>
      </c>
      <c r="L172" t="str">
        <f t="shared" si="41"/>
        <v>سائل جلي متعدد الاستعمالات كرمل</v>
      </c>
      <c r="M172" s="36">
        <f t="shared" si="42"/>
        <v>7.5757575757575758E-5</v>
      </c>
      <c r="N172" s="37">
        <f t="shared" si="43"/>
        <v>0.83333333333333337</v>
      </c>
      <c r="O172" s="37">
        <f t="shared" si="44"/>
        <v>0.98484848484848486</v>
      </c>
      <c r="P172" s="38">
        <f t="shared" si="45"/>
        <v>0</v>
      </c>
      <c r="Q172" s="39">
        <f t="shared" si="46"/>
        <v>0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IF(L172="","",IF($AO$1=1,IFERROR(MATCH(L172,'07-تموز'!$L$2:$L$500,0),0),0))</f>
        <v>157</v>
      </c>
      <c r="W172" t="str">
        <f t="shared" si="51"/>
        <v/>
      </c>
      <c r="X172" s="38">
        <f>IF(L172="","",IF(V172&gt;0,INDEX('07-تموز'!$P$2:$P$500,V172),IF($AO$1=1,0,"")))</f>
        <v>0</v>
      </c>
      <c r="Y172" s="38">
        <f t="shared" si="52"/>
        <v>0</v>
      </c>
      <c r="Z172" s="39">
        <f>IF(L172="","",IF(V172&gt;0,INDEX('07-تموز'!$Q$2:$Q$500,V172),IF($AO$1=1,0,"")))</f>
        <v>0</v>
      </c>
      <c r="AA172" s="39">
        <f t="shared" si="53"/>
        <v>0</v>
      </c>
      <c r="AB172" s="40">
        <f>IF(OR(L172="",V172=0),"",IF(AND(N(I172)&gt;0,N(INDEX('07-تموز'!$I$2:$I$500,V172))&gt;0,INDEX('07-تموز'!$F$2:$F$500,V172)=F172),N(I172)/N(INDEX('07-تموز'!$I$2:$I$500,V172))-1,""))</f>
        <v>0</v>
      </c>
      <c r="AC172" t="str">
        <f>IF(L172="","",IF(AND($AO$2=1,ISNA(MATCH(L172,'09-أيلول'!$L$2:$L$500,0))),"محذوف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1.72E-7</v>
      </c>
      <c r="AL172">
        <f t="shared" si="59"/>
        <v>1.72E-7</v>
      </c>
    </row>
    <row r="173" spans="1:38" ht="15">
      <c r="A173" t="s">
        <v>469</v>
      </c>
      <c r="B173">
        <v>4</v>
      </c>
      <c r="C173">
        <v>11000</v>
      </c>
      <c r="D173">
        <v>11000</v>
      </c>
      <c r="E173">
        <v>11000</v>
      </c>
      <c r="F173" t="s">
        <v>389</v>
      </c>
      <c r="G173" t="s">
        <v>178</v>
      </c>
      <c r="H173" t="s">
        <v>12</v>
      </c>
      <c r="I173">
        <v>9000</v>
      </c>
      <c r="K173" t="str">
        <f t="shared" si="40"/>
        <v/>
      </c>
      <c r="L173" t="str">
        <f t="shared" si="41"/>
        <v>سائل جلي متعدد الإستعمالات - غولدن هاوس 1 لتر</v>
      </c>
      <c r="M173" s="36">
        <f t="shared" si="42"/>
        <v>7.5757575757575758E-5</v>
      </c>
      <c r="N173" s="37">
        <f t="shared" si="43"/>
        <v>0.68181818181818177</v>
      </c>
      <c r="O173" s="37">
        <f t="shared" si="44"/>
        <v>0.83333333333333337</v>
      </c>
      <c r="P173" s="38">
        <f t="shared" si="45"/>
        <v>4</v>
      </c>
      <c r="Q173" s="39">
        <f t="shared" si="46"/>
        <v>2.7272727272727271</v>
      </c>
      <c r="R173" s="39">
        <f t="shared" si="47"/>
        <v>3.3333333333333335</v>
      </c>
      <c r="S173">
        <f t="shared" si="48"/>
        <v>1</v>
      </c>
      <c r="T173" s="39">
        <f t="shared" si="49"/>
        <v>0.60606060606060641</v>
      </c>
      <c r="U173" t="str">
        <f t="shared" si="50"/>
        <v/>
      </c>
      <c r="V173">
        <f>IF(L173="","",IF($AO$1=1,IFERROR(MATCH(L173,'07-تموز'!$L$2:$L$500,0),0),0))</f>
        <v>158</v>
      </c>
      <c r="W173" t="str">
        <f t="shared" si="51"/>
        <v/>
      </c>
      <c r="X173" s="38">
        <f>IF(L173="","",IF(V173&gt;0,INDEX('07-تموز'!$P$2:$P$500,V173),IF($AO$1=1,0,"")))</f>
        <v>4</v>
      </c>
      <c r="Y173" s="38">
        <f t="shared" si="52"/>
        <v>0</v>
      </c>
      <c r="Z173" s="39">
        <f>IF(L173="","",IF(V173&gt;0,INDEX('07-تموز'!$Q$2:$Q$500,V173),IF($AO$1=1,0,"")))</f>
        <v>2.7067669172932329</v>
      </c>
      <c r="AA173" s="39">
        <f t="shared" si="53"/>
        <v>2.0505809979494138E-2</v>
      </c>
      <c r="AB173" s="40">
        <f>IF(OR(L173="",V173=0),"",IF(AND(N(I173)&gt;0,N(INDEX('07-تموز'!$I$2:$I$500,V173))&gt;0,INDEX('07-تموز'!$F$2:$F$500,V173)=F173),N(I173)/N(INDEX('07-تموز'!$I$2:$I$500,V173))-1,""))</f>
        <v>0</v>
      </c>
      <c r="AC173" t="str">
        <f>IF(L173="","",IF(AND($AO$2=1,ISNA(MATCH(L173,'09-أيلول'!$L$2:$L$500,0))),"محذوف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2.0505982979494138E-2</v>
      </c>
      <c r="AH173" s="39">
        <f t="shared" si="55"/>
        <v>0.60606060606060641</v>
      </c>
      <c r="AI173" s="39">
        <f t="shared" si="56"/>
        <v>0.60606060606060641</v>
      </c>
      <c r="AJ173" s="39">
        <f t="shared" si="57"/>
        <v>0.60606060606060641</v>
      </c>
      <c r="AK173">
        <f t="shared" si="58"/>
        <v>2.7272729002727272</v>
      </c>
      <c r="AL173">
        <f t="shared" si="59"/>
        <v>0.6060607790606064</v>
      </c>
    </row>
    <row r="174" spans="1:38" ht="15">
      <c r="A174" t="s">
        <v>522</v>
      </c>
      <c r="B174">
        <v>0</v>
      </c>
      <c r="C174">
        <v>0</v>
      </c>
      <c r="D174">
        <v>0</v>
      </c>
      <c r="E174">
        <v>0</v>
      </c>
      <c r="F174" t="s">
        <v>389</v>
      </c>
      <c r="G174" t="s">
        <v>178</v>
      </c>
      <c r="H174" t="s">
        <v>177</v>
      </c>
      <c r="I174">
        <v>7750000</v>
      </c>
      <c r="K174" t="str">
        <f t="shared" si="40"/>
        <v/>
      </c>
      <c r="L174" t="str">
        <f t="shared" si="41"/>
        <v>سائل جلي ليمون ريفا - 15% خام</v>
      </c>
      <c r="M174" s="36">
        <f t="shared" si="42"/>
        <v>7.5757575757575758E-5</v>
      </c>
      <c r="N174" s="37">
        <f t="shared" si="43"/>
        <v>587.12121212121212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IF(L174="","",IF($AO$1=1,IFERROR(MATCH(L174,'07-تموز'!$L$2:$L$500,0),0),0))</f>
        <v>0</v>
      </c>
      <c r="W174" t="str">
        <f t="shared" si="51"/>
        <v>جديد</v>
      </c>
      <c r="X174" s="38">
        <f>IF(L174="","",IF(V174&gt;0,INDEX('07-تموز'!$P$2:$P$500,V174),IF($AO$1=1,0,"")))</f>
        <v>0</v>
      </c>
      <c r="Y174" s="38">
        <f t="shared" si="52"/>
        <v>0</v>
      </c>
      <c r="Z174" s="39">
        <f>IF(L174="","",IF(V174&gt;0,INDEX('07-تموز'!$Q$2:$Q$500,V174),IF($AO$1=1,0,"")))</f>
        <v>0</v>
      </c>
      <c r="AA174" s="39">
        <f t="shared" si="53"/>
        <v>0</v>
      </c>
      <c r="AB174" s="40" t="str">
        <f>IF(OR(L174="",V174=0),"",IF(AND(N(I174)&gt;0,N(INDEX('07-تموز'!$I$2:$I$500,V174))&gt;0,INDEX('07-تموز'!$F$2:$F$500,V174)=F174),N(I174)/N(INDEX('07-تموز'!$I$2:$I$500,V174))-1,""))</f>
        <v/>
      </c>
      <c r="AC174" t="str">
        <f>IF(L174="","",IF(AND($AO$2=1,ISNA(MATCH(L174,'09-أيلول'!$L$2:$L$500,0))),"محذوف لاحقاً",""))</f>
        <v/>
      </c>
      <c r="AD174">
        <f>IF(W174="جديد",COUNTIF(W$2:W174,"جديد"),"")</f>
        <v>15</v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1.74E-7</v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343</v>
      </c>
      <c r="B175">
        <v>0</v>
      </c>
      <c r="C175">
        <v>0</v>
      </c>
      <c r="D175">
        <v>0</v>
      </c>
      <c r="E175">
        <v>0</v>
      </c>
      <c r="F175" t="s">
        <v>268</v>
      </c>
      <c r="G175" t="s">
        <v>178</v>
      </c>
      <c r="H175" t="s">
        <v>177</v>
      </c>
      <c r="I175">
        <v>191</v>
      </c>
      <c r="K175" t="str">
        <f t="shared" si="40"/>
        <v/>
      </c>
      <c r="L175" t="str">
        <f t="shared" si="41"/>
        <v>سائل جلي ليمون رابع خام</v>
      </c>
      <c r="M175" s="36">
        <f t="shared" si="42"/>
        <v>1</v>
      </c>
      <c r="N175" s="37">
        <f t="shared" si="43"/>
        <v>191</v>
      </c>
      <c r="O175" s="37">
        <f t="shared" si="44"/>
        <v>0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IF(L175="","",IF($AO$1=1,IFERROR(MATCH(L175,'07-تموز'!$L$2:$L$500,0),0),0))</f>
        <v>159</v>
      </c>
      <c r="W175" t="str">
        <f t="shared" si="51"/>
        <v/>
      </c>
      <c r="X175" s="38">
        <f>IF(L175="","",IF(V175&gt;0,INDEX('07-تموز'!$P$2:$P$500,V175),IF($AO$1=1,0,"")))</f>
        <v>0</v>
      </c>
      <c r="Y175" s="38">
        <f t="shared" si="52"/>
        <v>0</v>
      </c>
      <c r="Z175" s="39">
        <f>IF(L175="","",IF(V175&gt;0,INDEX('07-تموز'!$Q$2:$Q$500,V175),IF($AO$1=1,0,"")))</f>
        <v>0</v>
      </c>
      <c r="AA175" s="39">
        <f t="shared" si="53"/>
        <v>0</v>
      </c>
      <c r="AB175" s="40">
        <f>IF(OR(L175="",V175=0),"",IF(AND(N(I175)&gt;0,N(INDEX('07-تموز'!$I$2:$I$500,V175))&gt;0,INDEX('07-تموز'!$F$2:$F$500,V175)=F175),N(I175)/N(INDEX('07-تموز'!$I$2:$I$500,V175))-1,""))</f>
        <v>0</v>
      </c>
      <c r="AC175" t="str">
        <f>IF(L175="","",IF(AND($AO$2=1,ISNA(MATCH(L175,'09-أيلول'!$L$2:$L$500,0))),"محذوف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1.7499999999999999E-7</v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344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294</v>
      </c>
      <c r="K176" t="str">
        <f t="shared" si="40"/>
        <v/>
      </c>
      <c r="L176" t="str">
        <f t="shared" si="41"/>
        <v>سائل جلي ليمون ثاني خام</v>
      </c>
      <c r="M176" s="36">
        <f t="shared" si="42"/>
        <v>1</v>
      </c>
      <c r="N176" s="37">
        <f t="shared" si="43"/>
        <v>294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IF(L176="","",IF($AO$1=1,IFERROR(MATCH(L176,'07-تموز'!$L$2:$L$500,0),0),0))</f>
        <v>160</v>
      </c>
      <c r="W176" t="str">
        <f t="shared" si="51"/>
        <v/>
      </c>
      <c r="X176" s="38">
        <f>IF(L176="","",IF(V176&gt;0,INDEX('07-تموز'!$P$2:$P$500,V176),IF($AO$1=1,0,"")))</f>
        <v>0</v>
      </c>
      <c r="Y176" s="38">
        <f t="shared" si="52"/>
        <v>0</v>
      </c>
      <c r="Z176" s="39">
        <f>IF(L176="","",IF(V176&gt;0,INDEX('07-تموز'!$Q$2:$Q$500,V176),IF($AO$1=1,0,"")))</f>
        <v>0</v>
      </c>
      <c r="AA176" s="39">
        <f t="shared" si="53"/>
        <v>0</v>
      </c>
      <c r="AB176" s="40">
        <f>IF(OR(L176="",V176=0),"",IF(AND(N(I176)&gt;0,N(INDEX('07-تموز'!$I$2:$I$500,V176))&gt;0,INDEX('07-تموز'!$F$2:$F$500,V176)=F176),N(I176)/N(INDEX('07-تموز'!$I$2:$I$500,V176))-1,""))</f>
        <v>0</v>
      </c>
      <c r="AC176" t="str">
        <f>IF(L176="","",IF(AND($AO$2=1,ISNA(MATCH(L176,'09-أيلول'!$L$2:$L$500,0))),"محذوف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345</v>
      </c>
      <c r="B177">
        <v>0</v>
      </c>
      <c r="C177">
        <v>0</v>
      </c>
      <c r="D177">
        <v>0</v>
      </c>
      <c r="E177">
        <v>0</v>
      </c>
      <c r="F177" t="s">
        <v>268</v>
      </c>
      <c r="G177" t="s">
        <v>178</v>
      </c>
      <c r="H177" t="s">
        <v>177</v>
      </c>
      <c r="I177">
        <v>248</v>
      </c>
      <c r="K177" t="str">
        <f t="shared" si="40"/>
        <v/>
      </c>
      <c r="L177" t="str">
        <f t="shared" si="41"/>
        <v>سائل جلي ليمون ثالث خام</v>
      </c>
      <c r="M177" s="36">
        <f t="shared" si="42"/>
        <v>1</v>
      </c>
      <c r="N177" s="37">
        <f t="shared" si="43"/>
        <v>248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IF(L177="","",IF($AO$1=1,IFERROR(MATCH(L177,'07-تموز'!$L$2:$L$500,0),0),0))</f>
        <v>161</v>
      </c>
      <c r="W177" t="str">
        <f t="shared" si="51"/>
        <v/>
      </c>
      <c r="X177" s="38">
        <f>IF(L177="","",IF(V177&gt;0,INDEX('07-تموز'!$P$2:$P$500,V177),IF($AO$1=1,0,"")))</f>
        <v>0</v>
      </c>
      <c r="Y177" s="38">
        <f t="shared" si="52"/>
        <v>0</v>
      </c>
      <c r="Z177" s="39">
        <f>IF(L177="","",IF(V177&gt;0,INDEX('07-تموز'!$Q$2:$Q$500,V177),IF($AO$1=1,0,"")))</f>
        <v>0</v>
      </c>
      <c r="AA177" s="39">
        <f t="shared" si="53"/>
        <v>0</v>
      </c>
      <c r="AB177" s="40">
        <f>IF(OR(L177="",V177=0),"",IF(AND(N(I177)&gt;0,N(INDEX('07-تموز'!$I$2:$I$500,V177))&gt;0,INDEX('07-تموز'!$F$2:$F$500,V177)=F177),N(I177)/N(INDEX('07-تموز'!$I$2:$I$500,V177))-1,""))</f>
        <v>0</v>
      </c>
      <c r="AC177" t="str">
        <f>IF(L177="","",IF(AND($AO$2=1,ISNA(MATCH(L177,'09-أيلول'!$L$2:$L$500,0))),"محذوف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1.7700000000000001E-7</v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346</v>
      </c>
      <c r="B178">
        <v>0</v>
      </c>
      <c r="C178">
        <v>0</v>
      </c>
      <c r="D178">
        <v>0</v>
      </c>
      <c r="E178">
        <v>0</v>
      </c>
      <c r="F178" t="s">
        <v>268</v>
      </c>
      <c r="G178" t="s">
        <v>178</v>
      </c>
      <c r="H178" t="s">
        <v>177</v>
      </c>
      <c r="I178">
        <v>669</v>
      </c>
      <c r="K178" t="str">
        <f t="shared" si="40"/>
        <v/>
      </c>
      <c r="L178" t="str">
        <f t="shared" si="41"/>
        <v>سائل جلي ليمون اول خام</v>
      </c>
      <c r="M178" s="36">
        <f t="shared" si="42"/>
        <v>1</v>
      </c>
      <c r="N178" s="37">
        <f t="shared" si="43"/>
        <v>669</v>
      </c>
      <c r="O178" s="37">
        <f t="shared" si="44"/>
        <v>0</v>
      </c>
      <c r="P178" s="38">
        <f t="shared" si="45"/>
        <v>0</v>
      </c>
      <c r="Q178" s="39">
        <f t="shared" si="46"/>
        <v>0</v>
      </c>
      <c r="R178" s="39">
        <f t="shared" si="47"/>
        <v>0</v>
      </c>
      <c r="S178">
        <f t="shared" si="48"/>
        <v>0</v>
      </c>
      <c r="T178" s="39">
        <f t="shared" si="49"/>
        <v>0</v>
      </c>
      <c r="U178" t="str">
        <f t="shared" si="50"/>
        <v/>
      </c>
      <c r="V178">
        <f>IF(L178="","",IF($AO$1=1,IFERROR(MATCH(L178,'07-تموز'!$L$2:$L$500,0),0),0))</f>
        <v>162</v>
      </c>
      <c r="W178" t="str">
        <f t="shared" si="51"/>
        <v/>
      </c>
      <c r="X178" s="38">
        <f>IF(L178="","",IF(V178&gt;0,INDEX('07-تموز'!$P$2:$P$500,V178),IF($AO$1=1,0,"")))</f>
        <v>0</v>
      </c>
      <c r="Y178" s="38">
        <f t="shared" si="52"/>
        <v>0</v>
      </c>
      <c r="Z178" s="39">
        <f>IF(L178="","",IF(V178&gt;0,INDEX('07-تموز'!$Q$2:$Q$500,V178),IF($AO$1=1,0,"")))</f>
        <v>0</v>
      </c>
      <c r="AA178" s="39">
        <f t="shared" si="53"/>
        <v>0</v>
      </c>
      <c r="AB178" s="40">
        <f>IF(OR(L178="",V178=0),"",IF(AND(N(I178)&gt;0,N(INDEX('07-تموز'!$I$2:$I$500,V178))&gt;0,INDEX('07-تموز'!$F$2:$F$500,V178)=F178),N(I178)/N(INDEX('07-تموز'!$I$2:$I$500,V178))-1,""))</f>
        <v>0</v>
      </c>
      <c r="AC178" t="str">
        <f>IF(L178="","",IF(AND($AO$2=1,ISNA(MATCH(L178,'09-أيلول'!$L$2:$L$500,0))),"محذوف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1.7800000000000001E-7</v>
      </c>
      <c r="AH178" s="39">
        <f t="shared" si="55"/>
        <v>0</v>
      </c>
      <c r="AI178" s="39">
        <f t="shared" si="56"/>
        <v>0</v>
      </c>
      <c r="AJ178" s="39">
        <f t="shared" si="57"/>
        <v>0</v>
      </c>
      <c r="AK178">
        <f t="shared" si="58"/>
        <v>1.7800000000000001E-7</v>
      </c>
      <c r="AL178">
        <f t="shared" si="59"/>
        <v>1.7800000000000001E-7</v>
      </c>
    </row>
    <row r="179" spans="1:38" ht="15">
      <c r="A179" t="s">
        <v>523</v>
      </c>
      <c r="B179">
        <v>0</v>
      </c>
      <c r="C179">
        <v>0</v>
      </c>
      <c r="D179">
        <v>0</v>
      </c>
      <c r="E179">
        <v>0</v>
      </c>
      <c r="F179" t="s">
        <v>389</v>
      </c>
      <c r="G179" t="s">
        <v>178</v>
      </c>
      <c r="H179" t="s">
        <v>177</v>
      </c>
      <c r="I179">
        <v>7750000</v>
      </c>
      <c r="K179" t="str">
        <f t="shared" si="40"/>
        <v/>
      </c>
      <c r="L179" t="str">
        <f t="shared" si="41"/>
        <v>سائل جلي ليلك ريفا - 15% خام</v>
      </c>
      <c r="M179" s="36">
        <f t="shared" si="42"/>
        <v>7.5757575757575758E-5</v>
      </c>
      <c r="N179" s="37">
        <f t="shared" si="43"/>
        <v>587.12121212121212</v>
      </c>
      <c r="O179" s="37">
        <f t="shared" si="44"/>
        <v>0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IF(L179="","",IF($AO$1=1,IFERROR(MATCH(L179,'07-تموز'!$L$2:$L$500,0),0),0))</f>
        <v>0</v>
      </c>
      <c r="W179" t="str">
        <f t="shared" si="51"/>
        <v>جديد</v>
      </c>
      <c r="X179" s="38">
        <f>IF(L179="","",IF(V179&gt;0,INDEX('07-تموز'!$P$2:$P$500,V179),IF($AO$1=1,0,"")))</f>
        <v>0</v>
      </c>
      <c r="Y179" s="38">
        <f t="shared" si="52"/>
        <v>0</v>
      </c>
      <c r="Z179" s="39">
        <f>IF(L179="","",IF(V179&gt;0,INDEX('07-تموز'!$Q$2:$Q$500,V179),IF($AO$1=1,0,"")))</f>
        <v>0</v>
      </c>
      <c r="AA179" s="39">
        <f t="shared" si="53"/>
        <v>0</v>
      </c>
      <c r="AB179" s="40" t="str">
        <f>IF(OR(L179="",V179=0),"",IF(AND(N(I179)&gt;0,N(INDEX('07-تموز'!$I$2:$I$500,V179))&gt;0,INDEX('07-تموز'!$F$2:$F$500,V179)=F179),N(I179)/N(INDEX('07-تموز'!$I$2:$I$500,V179))-1,""))</f>
        <v/>
      </c>
      <c r="AC179" t="str">
        <f>IF(L179="","",IF(AND($AO$2=1,ISNA(MATCH(L179,'09-أيلول'!$L$2:$L$500,0))),"محذوف لاحقاً",""))</f>
        <v/>
      </c>
      <c r="AD179">
        <f>IF(W179="جديد",COUNTIF(W$2:W179,"جديد"),"")</f>
        <v>16</v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347</v>
      </c>
      <c r="B180">
        <v>0</v>
      </c>
      <c r="C180">
        <v>0</v>
      </c>
      <c r="D180">
        <v>0</v>
      </c>
      <c r="E180">
        <v>0</v>
      </c>
      <c r="F180" t="s">
        <v>268</v>
      </c>
      <c r="G180" t="s">
        <v>178</v>
      </c>
      <c r="H180" t="s">
        <v>177</v>
      </c>
      <c r="I180">
        <v>191</v>
      </c>
      <c r="K180" t="str">
        <f t="shared" si="40"/>
        <v/>
      </c>
      <c r="L180" t="str">
        <f t="shared" si="41"/>
        <v>سائل جلي ليلك رابع خام</v>
      </c>
      <c r="M180" s="36">
        <f t="shared" si="42"/>
        <v>1</v>
      </c>
      <c r="N180" s="37">
        <f t="shared" si="43"/>
        <v>191</v>
      </c>
      <c r="O180" s="37">
        <f t="shared" si="44"/>
        <v>0</v>
      </c>
      <c r="P180" s="38">
        <f t="shared" si="45"/>
        <v>0</v>
      </c>
      <c r="Q180" s="39">
        <f t="shared" si="46"/>
        <v>0</v>
      </c>
      <c r="R180" s="39">
        <f t="shared" si="47"/>
        <v>0</v>
      </c>
      <c r="S180">
        <f t="shared" si="48"/>
        <v>0</v>
      </c>
      <c r="T180" s="39">
        <f t="shared" si="49"/>
        <v>0</v>
      </c>
      <c r="U180" t="str">
        <f t="shared" si="50"/>
        <v/>
      </c>
      <c r="V180">
        <f>IF(L180="","",IF($AO$1=1,IFERROR(MATCH(L180,'07-تموز'!$L$2:$L$500,0),0),0))</f>
        <v>163</v>
      </c>
      <c r="W180" t="str">
        <f t="shared" si="51"/>
        <v/>
      </c>
      <c r="X180" s="38">
        <f>IF(L180="","",IF(V180&gt;0,INDEX('07-تموز'!$P$2:$P$500,V180),IF($AO$1=1,0,"")))</f>
        <v>0</v>
      </c>
      <c r="Y180" s="38">
        <f t="shared" si="52"/>
        <v>0</v>
      </c>
      <c r="Z180" s="39">
        <f>IF(L180="","",IF(V180&gt;0,INDEX('07-تموز'!$Q$2:$Q$500,V180),IF($AO$1=1,0,"")))</f>
        <v>0</v>
      </c>
      <c r="AA180" s="39">
        <f t="shared" si="53"/>
        <v>0</v>
      </c>
      <c r="AB180" s="40">
        <f>IF(OR(L180="",V180=0),"",IF(AND(N(I180)&gt;0,N(INDEX('07-تموز'!$I$2:$I$500,V180))&gt;0,INDEX('07-تموز'!$F$2:$F$500,V180)=F180),N(I180)/N(INDEX('07-تموز'!$I$2:$I$500,V180))-1,""))</f>
        <v>0</v>
      </c>
      <c r="AC180" t="str">
        <f>IF(L180="","",IF(AND($AO$2=1,ISNA(MATCH(L180,'09-أيلول'!$L$2:$L$500,0))),"محذوف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1.8E-7</v>
      </c>
      <c r="AH180" s="39">
        <f t="shared" si="55"/>
        <v>0</v>
      </c>
      <c r="AI180" s="39">
        <f t="shared" si="56"/>
        <v>0</v>
      </c>
      <c r="AJ180" s="39">
        <f t="shared" si="57"/>
        <v>0</v>
      </c>
      <c r="AK180">
        <f t="shared" si="58"/>
        <v>1.8E-7</v>
      </c>
      <c r="AL180">
        <f t="shared" si="59"/>
        <v>1.8E-7</v>
      </c>
    </row>
    <row r="181" spans="1:38" ht="15">
      <c r="A181" t="s">
        <v>348</v>
      </c>
      <c r="B181">
        <v>0</v>
      </c>
      <c r="C181">
        <v>0</v>
      </c>
      <c r="D181">
        <v>0</v>
      </c>
      <c r="E181">
        <v>0</v>
      </c>
      <c r="F181" t="s">
        <v>268</v>
      </c>
      <c r="G181" t="s">
        <v>178</v>
      </c>
      <c r="H181" t="s">
        <v>177</v>
      </c>
      <c r="I181">
        <v>294</v>
      </c>
      <c r="K181" t="str">
        <f t="shared" si="40"/>
        <v/>
      </c>
      <c r="L181" t="str">
        <f t="shared" si="41"/>
        <v>سائل جلي ليلك ثاني خام</v>
      </c>
      <c r="M181" s="36">
        <f t="shared" si="42"/>
        <v>1</v>
      </c>
      <c r="N181" s="37">
        <f t="shared" si="43"/>
        <v>294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IF(L181="","",IF($AO$1=1,IFERROR(MATCH(L181,'07-تموز'!$L$2:$L$500,0),0),0))</f>
        <v>164</v>
      </c>
      <c r="W181" t="str">
        <f t="shared" si="51"/>
        <v/>
      </c>
      <c r="X181" s="38">
        <f>IF(L181="","",IF(V181&gt;0,INDEX('07-تموز'!$P$2:$P$500,V181),IF($AO$1=1,0,"")))</f>
        <v>0</v>
      </c>
      <c r="Y181" s="38">
        <f t="shared" si="52"/>
        <v>0</v>
      </c>
      <c r="Z181" s="39">
        <f>IF(L181="","",IF(V181&gt;0,INDEX('07-تموز'!$Q$2:$Q$500,V181),IF($AO$1=1,0,"")))</f>
        <v>0</v>
      </c>
      <c r="AA181" s="39">
        <f t="shared" si="53"/>
        <v>0</v>
      </c>
      <c r="AB181" s="40">
        <f>IF(OR(L181="",V181=0),"",IF(AND(N(I181)&gt;0,N(INDEX('07-تموز'!$I$2:$I$500,V181))&gt;0,INDEX('07-تموز'!$F$2:$F$500,V181)=F181),N(I181)/N(INDEX('07-تموز'!$I$2:$I$500,V181))-1,""))</f>
        <v>0</v>
      </c>
      <c r="AC181" t="str">
        <f>IF(L181="","",IF(AND($AO$2=1,ISNA(MATCH(L181,'09-أيلول'!$L$2:$L$500,0))),"محذوف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349</v>
      </c>
      <c r="B182">
        <v>0</v>
      </c>
      <c r="C182">
        <v>0</v>
      </c>
      <c r="D182">
        <v>0</v>
      </c>
      <c r="E182">
        <v>0</v>
      </c>
      <c r="F182" t="s">
        <v>268</v>
      </c>
      <c r="G182" t="s">
        <v>178</v>
      </c>
      <c r="H182" t="s">
        <v>177</v>
      </c>
      <c r="I182">
        <v>294</v>
      </c>
      <c r="K182" t="str">
        <f t="shared" si="40"/>
        <v/>
      </c>
      <c r="L182" t="str">
        <f t="shared" si="41"/>
        <v>سائل جلي ليلك ثالث خام</v>
      </c>
      <c r="M182" s="36">
        <f t="shared" si="42"/>
        <v>1</v>
      </c>
      <c r="N182" s="37">
        <f t="shared" si="43"/>
        <v>294</v>
      </c>
      <c r="O182" s="37">
        <f t="shared" si="44"/>
        <v>0</v>
      </c>
      <c r="P182" s="38">
        <f t="shared" si="45"/>
        <v>0</v>
      </c>
      <c r="Q182" s="39">
        <f t="shared" si="46"/>
        <v>0</v>
      </c>
      <c r="R182" s="39">
        <f t="shared" si="47"/>
        <v>0</v>
      </c>
      <c r="S182">
        <f t="shared" si="48"/>
        <v>0</v>
      </c>
      <c r="T182" s="39">
        <f t="shared" si="49"/>
        <v>0</v>
      </c>
      <c r="U182" t="str">
        <f t="shared" si="50"/>
        <v/>
      </c>
      <c r="V182">
        <f>IF(L182="","",IF($AO$1=1,IFERROR(MATCH(L182,'07-تموز'!$L$2:$L$500,0),0),0))</f>
        <v>165</v>
      </c>
      <c r="W182" t="str">
        <f t="shared" si="51"/>
        <v/>
      </c>
      <c r="X182" s="38">
        <f>IF(L182="","",IF(V182&gt;0,INDEX('07-تموز'!$P$2:$P$500,V182),IF($AO$1=1,0,"")))</f>
        <v>0</v>
      </c>
      <c r="Y182" s="38">
        <f t="shared" si="52"/>
        <v>0</v>
      </c>
      <c r="Z182" s="39">
        <f>IF(L182="","",IF(V182&gt;0,INDEX('07-تموز'!$Q$2:$Q$500,V182),IF($AO$1=1,0,"")))</f>
        <v>0</v>
      </c>
      <c r="AA182" s="39">
        <f t="shared" si="53"/>
        <v>0</v>
      </c>
      <c r="AB182" s="40">
        <f>IF(OR(L182="",V182=0),"",IF(AND(N(I182)&gt;0,N(INDEX('07-تموز'!$I$2:$I$500,V182))&gt;0,INDEX('07-تموز'!$F$2:$F$500,V182)=F182),N(I182)/N(INDEX('07-تموز'!$I$2:$I$500,V182))-1,""))</f>
        <v>0</v>
      </c>
      <c r="AC182" t="str">
        <f>IF(L182="","",IF(AND($AO$2=1,ISNA(MATCH(L182,'09-أيلول'!$L$2:$L$500,0))),"محذوف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1.8199999999999999E-7</v>
      </c>
      <c r="AH182" s="39">
        <f t="shared" si="55"/>
        <v>0</v>
      </c>
      <c r="AI182" s="39">
        <f t="shared" si="56"/>
        <v>0</v>
      </c>
      <c r="AJ182" s="39">
        <f t="shared" si="57"/>
        <v>0</v>
      </c>
      <c r="AK182">
        <f t="shared" si="58"/>
        <v>1.8199999999999999E-7</v>
      </c>
      <c r="AL182">
        <f t="shared" si="59"/>
        <v>1.8199999999999999E-7</v>
      </c>
    </row>
    <row r="183" spans="1:38" ht="15">
      <c r="A183" t="s">
        <v>350</v>
      </c>
      <c r="B183">
        <v>0</v>
      </c>
      <c r="C183">
        <v>0</v>
      </c>
      <c r="D183">
        <v>0</v>
      </c>
      <c r="E183">
        <v>0</v>
      </c>
      <c r="F183" t="s">
        <v>268</v>
      </c>
      <c r="G183" t="s">
        <v>178</v>
      </c>
      <c r="H183" t="s">
        <v>177</v>
      </c>
      <c r="I183">
        <v>669</v>
      </c>
      <c r="K183" t="str">
        <f t="shared" si="40"/>
        <v/>
      </c>
      <c r="L183" t="str">
        <f t="shared" si="41"/>
        <v>سائل جلي ليلك اول خام</v>
      </c>
      <c r="M183" s="36">
        <f t="shared" si="42"/>
        <v>1</v>
      </c>
      <c r="N183" s="37">
        <f t="shared" si="43"/>
        <v>669</v>
      </c>
      <c r="O183" s="37">
        <f t="shared" si="44"/>
        <v>0</v>
      </c>
      <c r="P183" s="38">
        <f t="shared" si="45"/>
        <v>0</v>
      </c>
      <c r="Q183" s="39">
        <f t="shared" si="46"/>
        <v>0</v>
      </c>
      <c r="R183" s="39">
        <f t="shared" si="47"/>
        <v>0</v>
      </c>
      <c r="S183">
        <f t="shared" si="48"/>
        <v>0</v>
      </c>
      <c r="T183" s="39">
        <f t="shared" si="49"/>
        <v>0</v>
      </c>
      <c r="U183" t="str">
        <f t="shared" si="50"/>
        <v/>
      </c>
      <c r="V183">
        <f>IF(L183="","",IF($AO$1=1,IFERROR(MATCH(L183,'07-تموز'!$L$2:$L$500,0),0),0))</f>
        <v>166</v>
      </c>
      <c r="W183" t="str">
        <f t="shared" si="51"/>
        <v/>
      </c>
      <c r="X183" s="38">
        <f>IF(L183="","",IF(V183&gt;0,INDEX('07-تموز'!$P$2:$P$500,V183),IF($AO$1=1,0,"")))</f>
        <v>0</v>
      </c>
      <c r="Y183" s="38">
        <f t="shared" si="52"/>
        <v>0</v>
      </c>
      <c r="Z183" s="39">
        <f>IF(L183="","",IF(V183&gt;0,INDEX('07-تموز'!$Q$2:$Q$500,V183),IF($AO$1=1,0,"")))</f>
        <v>0</v>
      </c>
      <c r="AA183" s="39">
        <f t="shared" si="53"/>
        <v>0</v>
      </c>
      <c r="AB183" s="40">
        <f>IF(OR(L183="",V183=0),"",IF(AND(N(I183)&gt;0,N(INDEX('07-تموز'!$I$2:$I$500,V183))&gt;0,INDEX('07-تموز'!$F$2:$F$500,V183)=F183),N(I183)/N(INDEX('07-تموز'!$I$2:$I$500,V183))-1,""))</f>
        <v>0</v>
      </c>
      <c r="AC183" t="str">
        <f>IF(L183="","",IF(AND($AO$2=1,ISNA(MATCH(L183,'09-أيلول'!$L$2:$L$500,0))),"محذوف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1.8300000000000001E-7</v>
      </c>
      <c r="AH183" s="39">
        <f t="shared" si="55"/>
        <v>0</v>
      </c>
      <c r="AI183" s="39">
        <f t="shared" si="56"/>
        <v>0</v>
      </c>
      <c r="AJ183" s="39">
        <f t="shared" si="57"/>
        <v>0</v>
      </c>
      <c r="AK183">
        <f t="shared" si="58"/>
        <v>1.8300000000000001E-7</v>
      </c>
      <c r="AL183">
        <f t="shared" si="59"/>
        <v>1.8300000000000001E-7</v>
      </c>
    </row>
    <row r="184" spans="1:38" ht="15">
      <c r="A184" t="s">
        <v>351</v>
      </c>
      <c r="B184">
        <v>0</v>
      </c>
      <c r="C184">
        <v>0</v>
      </c>
      <c r="D184">
        <v>0</v>
      </c>
      <c r="E184">
        <v>0</v>
      </c>
      <c r="F184" t="s">
        <v>268</v>
      </c>
      <c r="G184" t="s">
        <v>178</v>
      </c>
      <c r="H184" t="s">
        <v>177</v>
      </c>
      <c r="I184">
        <v>191</v>
      </c>
      <c r="K184" t="str">
        <f t="shared" si="40"/>
        <v/>
      </c>
      <c r="L184" t="str">
        <f t="shared" si="41"/>
        <v>سائل جلي فريز رابع خام</v>
      </c>
      <c r="M184" s="36">
        <f t="shared" si="42"/>
        <v>1</v>
      </c>
      <c r="N184" s="37">
        <f t="shared" si="43"/>
        <v>191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IF(L184="","",IF($AO$1=1,IFERROR(MATCH(L184,'07-تموز'!$L$2:$L$500,0),0),0))</f>
        <v>167</v>
      </c>
      <c r="W184" t="str">
        <f t="shared" si="51"/>
        <v/>
      </c>
      <c r="X184" s="38">
        <f>IF(L184="","",IF(V184&gt;0,INDEX('07-تموز'!$P$2:$P$500,V184),IF($AO$1=1,0,"")))</f>
        <v>0</v>
      </c>
      <c r="Y184" s="38">
        <f t="shared" si="52"/>
        <v>0</v>
      </c>
      <c r="Z184" s="39">
        <f>IF(L184="","",IF(V184&gt;0,INDEX('07-تموز'!$Q$2:$Q$500,V184),IF($AO$1=1,0,"")))</f>
        <v>0</v>
      </c>
      <c r="AA184" s="39">
        <f t="shared" si="53"/>
        <v>0</v>
      </c>
      <c r="AB184" s="40">
        <f>IF(OR(L184="",V184=0),"",IF(AND(N(I184)&gt;0,N(INDEX('07-تموز'!$I$2:$I$500,V184))&gt;0,INDEX('07-تموز'!$F$2:$F$500,V184)=F184),N(I184)/N(INDEX('07-تموز'!$I$2:$I$500,V184))-1,""))</f>
        <v>0</v>
      </c>
      <c r="AC184" t="str">
        <f>IF(L184="","",IF(AND($AO$2=1,ISNA(MATCH(L184,'09-أيلول'!$L$2:$L$500,0))),"محذوف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1.8400000000000001E-7</v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352</v>
      </c>
      <c r="B185">
        <v>0</v>
      </c>
      <c r="C185">
        <v>0</v>
      </c>
      <c r="D185">
        <v>0</v>
      </c>
      <c r="E185">
        <v>0</v>
      </c>
      <c r="F185" t="s">
        <v>268</v>
      </c>
      <c r="G185" t="s">
        <v>178</v>
      </c>
      <c r="H185" t="s">
        <v>177</v>
      </c>
      <c r="I185">
        <v>294</v>
      </c>
      <c r="K185" t="str">
        <f t="shared" si="40"/>
        <v/>
      </c>
      <c r="L185" t="str">
        <f t="shared" si="41"/>
        <v>سائل جلي فريز ثاني خام</v>
      </c>
      <c r="M185" s="36">
        <f t="shared" si="42"/>
        <v>1</v>
      </c>
      <c r="N185" s="37">
        <f t="shared" si="43"/>
        <v>294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IF(L185="","",IF($AO$1=1,IFERROR(MATCH(L185,'07-تموز'!$L$2:$L$500,0),0),0))</f>
        <v>168</v>
      </c>
      <c r="W185" t="str">
        <f t="shared" si="51"/>
        <v/>
      </c>
      <c r="X185" s="38">
        <f>IF(L185="","",IF(V185&gt;0,INDEX('07-تموز'!$P$2:$P$500,V185),IF($AO$1=1,0,"")))</f>
        <v>0</v>
      </c>
      <c r="Y185" s="38">
        <f t="shared" si="52"/>
        <v>0</v>
      </c>
      <c r="Z185" s="39">
        <f>IF(L185="","",IF(V185&gt;0,INDEX('07-تموز'!$Q$2:$Q$500,V185),IF($AO$1=1,0,"")))</f>
        <v>0</v>
      </c>
      <c r="AA185" s="39">
        <f t="shared" si="53"/>
        <v>0</v>
      </c>
      <c r="AB185" s="40">
        <f>IF(OR(L185="",V185=0),"",IF(AND(N(I185)&gt;0,N(INDEX('07-تموز'!$I$2:$I$500,V185))&gt;0,INDEX('07-تموز'!$F$2:$F$500,V185)=F185),N(I185)/N(INDEX('07-تموز'!$I$2:$I$500,V185))-1,""))</f>
        <v>0</v>
      </c>
      <c r="AC185" t="str">
        <f>IF(L185="","",IF(AND($AO$2=1,ISNA(MATCH(L185,'09-أيلول'!$L$2:$L$500,0))),"محذوف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1.85E-7</v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353</v>
      </c>
      <c r="B186">
        <v>0</v>
      </c>
      <c r="C186">
        <v>0</v>
      </c>
      <c r="D186">
        <v>0</v>
      </c>
      <c r="E186">
        <v>0</v>
      </c>
      <c r="F186" t="s">
        <v>268</v>
      </c>
      <c r="G186" t="s">
        <v>178</v>
      </c>
      <c r="H186" t="s">
        <v>177</v>
      </c>
      <c r="I186">
        <v>248</v>
      </c>
      <c r="K186" t="str">
        <f t="shared" si="40"/>
        <v/>
      </c>
      <c r="L186" t="str">
        <f t="shared" si="41"/>
        <v>سائل جلي فريز ثالث خام</v>
      </c>
      <c r="M186" s="36">
        <f t="shared" si="42"/>
        <v>1</v>
      </c>
      <c r="N186" s="37">
        <f t="shared" si="43"/>
        <v>248</v>
      </c>
      <c r="O186" s="37">
        <f t="shared" si="44"/>
        <v>0</v>
      </c>
      <c r="P186" s="38">
        <f t="shared" si="45"/>
        <v>0</v>
      </c>
      <c r="Q186" s="39">
        <f t="shared" si="46"/>
        <v>0</v>
      </c>
      <c r="R186" s="39">
        <f t="shared" si="47"/>
        <v>0</v>
      </c>
      <c r="S186">
        <f t="shared" si="48"/>
        <v>0</v>
      </c>
      <c r="T186" s="39">
        <f t="shared" si="49"/>
        <v>0</v>
      </c>
      <c r="U186" t="str">
        <f t="shared" si="50"/>
        <v/>
      </c>
      <c r="V186">
        <f>IF(L186="","",IF($AO$1=1,IFERROR(MATCH(L186,'07-تموز'!$L$2:$L$500,0),0),0))</f>
        <v>169</v>
      </c>
      <c r="W186" t="str">
        <f t="shared" si="51"/>
        <v/>
      </c>
      <c r="X186" s="38">
        <f>IF(L186="","",IF(V186&gt;0,INDEX('07-تموز'!$P$2:$P$500,V186),IF($AO$1=1,0,"")))</f>
        <v>0</v>
      </c>
      <c r="Y186" s="38">
        <f t="shared" si="52"/>
        <v>0</v>
      </c>
      <c r="Z186" s="39">
        <f>IF(L186="","",IF(V186&gt;0,INDEX('07-تموز'!$Q$2:$Q$500,V186),IF($AO$1=1,0,"")))</f>
        <v>0</v>
      </c>
      <c r="AA186" s="39">
        <f t="shared" si="53"/>
        <v>0</v>
      </c>
      <c r="AB186" s="40">
        <f>IF(OR(L186="",V186=0),"",IF(AND(N(I186)&gt;0,N(INDEX('07-تموز'!$I$2:$I$500,V186))&gt;0,INDEX('07-تموز'!$F$2:$F$500,V186)=F186),N(I186)/N(INDEX('07-تموز'!$I$2:$I$500,V186))-1,""))</f>
        <v>0</v>
      </c>
      <c r="AC186" t="str">
        <f>IF(L186="","",IF(AND($AO$2=1,ISNA(MATCH(L186,'09-أيلول'!$L$2:$L$500,0))),"محذوف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1.86E-7</v>
      </c>
      <c r="AH186" s="39">
        <f t="shared" si="55"/>
        <v>0</v>
      </c>
      <c r="AI186" s="39">
        <f t="shared" si="56"/>
        <v>0</v>
      </c>
      <c r="AJ186" s="39">
        <f t="shared" si="57"/>
        <v>0</v>
      </c>
      <c r="AK186">
        <f t="shared" si="58"/>
        <v>1.86E-7</v>
      </c>
      <c r="AL186">
        <f t="shared" si="59"/>
        <v>1.86E-7</v>
      </c>
    </row>
    <row r="187" spans="1:38" ht="15">
      <c r="A187" t="s">
        <v>354</v>
      </c>
      <c r="B187">
        <v>0</v>
      </c>
      <c r="C187">
        <v>0</v>
      </c>
      <c r="D187">
        <v>0</v>
      </c>
      <c r="E187">
        <v>0</v>
      </c>
      <c r="F187" t="s">
        <v>268</v>
      </c>
      <c r="G187" t="s">
        <v>178</v>
      </c>
      <c r="H187" t="s">
        <v>177</v>
      </c>
      <c r="I187">
        <v>669</v>
      </c>
      <c r="K187" t="str">
        <f t="shared" si="40"/>
        <v/>
      </c>
      <c r="L187" t="str">
        <f t="shared" si="41"/>
        <v>سائل جلي فريز اول خام</v>
      </c>
      <c r="M187" s="36">
        <f t="shared" si="42"/>
        <v>1</v>
      </c>
      <c r="N187" s="37">
        <f t="shared" si="43"/>
        <v>669</v>
      </c>
      <c r="O187" s="37">
        <f t="shared" si="44"/>
        <v>0</v>
      </c>
      <c r="P187" s="38">
        <f t="shared" si="45"/>
        <v>0</v>
      </c>
      <c r="Q187" s="39">
        <f t="shared" si="46"/>
        <v>0</v>
      </c>
      <c r="R187" s="39">
        <f t="shared" si="47"/>
        <v>0</v>
      </c>
      <c r="S187">
        <f t="shared" si="48"/>
        <v>0</v>
      </c>
      <c r="T187" s="39">
        <f t="shared" si="49"/>
        <v>0</v>
      </c>
      <c r="U187" t="str">
        <f t="shared" si="50"/>
        <v/>
      </c>
      <c r="V187">
        <f>IF(L187="","",IF($AO$1=1,IFERROR(MATCH(L187,'07-تموز'!$L$2:$L$500,0),0),0))</f>
        <v>170</v>
      </c>
      <c r="W187" t="str">
        <f t="shared" si="51"/>
        <v/>
      </c>
      <c r="X187" s="38">
        <f>IF(L187="","",IF(V187&gt;0,INDEX('07-تموز'!$P$2:$P$500,V187),IF($AO$1=1,0,"")))</f>
        <v>0</v>
      </c>
      <c r="Y187" s="38">
        <f t="shared" si="52"/>
        <v>0</v>
      </c>
      <c r="Z187" s="39">
        <f>IF(L187="","",IF(V187&gt;0,INDEX('07-تموز'!$Q$2:$Q$500,V187),IF($AO$1=1,0,"")))</f>
        <v>0</v>
      </c>
      <c r="AA187" s="39">
        <f t="shared" si="53"/>
        <v>0</v>
      </c>
      <c r="AB187" s="40">
        <f>IF(OR(L187="",V187=0),"",IF(AND(N(I187)&gt;0,N(INDEX('07-تموز'!$I$2:$I$500,V187))&gt;0,INDEX('07-تموز'!$F$2:$F$500,V187)=F187),N(I187)/N(INDEX('07-تموز'!$I$2:$I$500,V187))-1,""))</f>
        <v>0</v>
      </c>
      <c r="AC187" t="str">
        <f>IF(L187="","",IF(AND($AO$2=1,ISNA(MATCH(L187,'09-أيلول'!$L$2:$L$500,0))),"محذوف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1.8699999999999999E-7</v>
      </c>
      <c r="AH187" s="39">
        <f t="shared" si="55"/>
        <v>0</v>
      </c>
      <c r="AI187" s="39">
        <f t="shared" si="56"/>
        <v>0</v>
      </c>
      <c r="AJ187" s="39">
        <f t="shared" si="57"/>
        <v>0</v>
      </c>
      <c r="AK187">
        <f t="shared" si="58"/>
        <v>1.8699999999999999E-7</v>
      </c>
      <c r="AL187">
        <f t="shared" si="59"/>
        <v>1.8699999999999999E-7</v>
      </c>
    </row>
    <row r="188" spans="1:38" ht="15">
      <c r="A188" t="s">
        <v>470</v>
      </c>
      <c r="B188">
        <v>0</v>
      </c>
      <c r="C188">
        <v>4000</v>
      </c>
      <c r="D188">
        <v>4000</v>
      </c>
      <c r="E188">
        <v>4000</v>
      </c>
      <c r="F188" t="s">
        <v>389</v>
      </c>
      <c r="G188" t="s">
        <v>178</v>
      </c>
      <c r="H188" t="s">
        <v>12</v>
      </c>
      <c r="I188">
        <v>2300</v>
      </c>
      <c r="K188" t="str">
        <f t="shared" si="40"/>
        <v/>
      </c>
      <c r="L188" t="str">
        <f t="shared" si="41"/>
        <v>سائل جلي شفاف مع عطر / فرط</v>
      </c>
      <c r="M188" s="36">
        <f t="shared" si="42"/>
        <v>7.5757575757575758E-5</v>
      </c>
      <c r="N188" s="37">
        <f t="shared" si="43"/>
        <v>0.17424242424242425</v>
      </c>
      <c r="O188" s="37">
        <f t="shared" si="44"/>
        <v>0.30303030303030304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IF(L188="","",IF($AO$1=1,IFERROR(MATCH(L188,'07-تموز'!$L$2:$L$500,0),0),0))</f>
        <v>171</v>
      </c>
      <c r="W188" t="str">
        <f t="shared" si="51"/>
        <v/>
      </c>
      <c r="X188" s="38">
        <f>IF(L188="","",IF(V188&gt;0,INDEX('07-تموز'!$P$2:$P$500,V188),IF($AO$1=1,0,"")))</f>
        <v>0</v>
      </c>
      <c r="Y188" s="38">
        <f t="shared" si="52"/>
        <v>0</v>
      </c>
      <c r="Z188" s="39">
        <f>IF(L188="","",IF(V188&gt;0,INDEX('07-تموز'!$Q$2:$Q$500,V188),IF($AO$1=1,0,"")))</f>
        <v>0</v>
      </c>
      <c r="AA188" s="39">
        <f t="shared" si="53"/>
        <v>0</v>
      </c>
      <c r="AB188" s="40">
        <f>IF(OR(L188="",V188=0),"",IF(AND(N(I188)&gt;0,N(INDEX('07-تموز'!$I$2:$I$500,V188))&gt;0,INDEX('07-تموز'!$F$2:$F$500,V188)=F188),N(I188)/N(INDEX('07-تموز'!$I$2:$I$500,V188))-1,""))</f>
        <v>0</v>
      </c>
      <c r="AC188" t="str">
        <f>IF(L188="","",IF(AND($AO$2=1,ISNA(MATCH(L188,'09-أيلول'!$L$2:$L$500,0))),"محذوف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1.8799999999999999E-7</v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355</v>
      </c>
      <c r="B189">
        <v>0</v>
      </c>
      <c r="C189">
        <v>0</v>
      </c>
      <c r="D189">
        <v>0</v>
      </c>
      <c r="E189">
        <v>0</v>
      </c>
      <c r="F189" t="s">
        <v>268</v>
      </c>
      <c r="G189" t="s">
        <v>178</v>
      </c>
      <c r="H189" t="s">
        <v>177</v>
      </c>
      <c r="I189">
        <v>185</v>
      </c>
      <c r="K189" t="str">
        <f t="shared" si="40"/>
        <v/>
      </c>
      <c r="L189" t="str">
        <f t="shared" si="41"/>
        <v>سائل جلي سادة رابع خام</v>
      </c>
      <c r="M189" s="36">
        <f t="shared" si="42"/>
        <v>1</v>
      </c>
      <c r="N189" s="37">
        <f t="shared" si="43"/>
        <v>185</v>
      </c>
      <c r="O189" s="37">
        <f t="shared" si="44"/>
        <v>0</v>
      </c>
      <c r="P189" s="38">
        <f t="shared" si="45"/>
        <v>0</v>
      </c>
      <c r="Q189" s="39">
        <f t="shared" si="46"/>
        <v>0</v>
      </c>
      <c r="R189" s="39">
        <f t="shared" si="47"/>
        <v>0</v>
      </c>
      <c r="S189">
        <f t="shared" si="48"/>
        <v>0</v>
      </c>
      <c r="T189" s="39">
        <f t="shared" si="49"/>
        <v>0</v>
      </c>
      <c r="U189" t="str">
        <f t="shared" si="50"/>
        <v/>
      </c>
      <c r="V189">
        <f>IF(L189="","",IF($AO$1=1,IFERROR(MATCH(L189,'07-تموز'!$L$2:$L$500,0),0),0))</f>
        <v>172</v>
      </c>
      <c r="W189" t="str">
        <f t="shared" si="51"/>
        <v/>
      </c>
      <c r="X189" s="38">
        <f>IF(L189="","",IF(V189&gt;0,INDEX('07-تموز'!$P$2:$P$500,V189),IF($AO$1=1,0,"")))</f>
        <v>0</v>
      </c>
      <c r="Y189" s="38">
        <f t="shared" si="52"/>
        <v>0</v>
      </c>
      <c r="Z189" s="39">
        <f>IF(L189="","",IF(V189&gt;0,INDEX('07-تموز'!$Q$2:$Q$500,V189),IF($AO$1=1,0,"")))</f>
        <v>0</v>
      </c>
      <c r="AA189" s="39">
        <f t="shared" si="53"/>
        <v>0</v>
      </c>
      <c r="AB189" s="40">
        <f>IF(OR(L189="",V189=0),"",IF(AND(N(I189)&gt;0,N(INDEX('07-تموز'!$I$2:$I$500,V189))&gt;0,INDEX('07-تموز'!$F$2:$F$500,V189)=F189),N(I189)/N(INDEX('07-تموز'!$I$2:$I$500,V189))-1,""))</f>
        <v>0</v>
      </c>
      <c r="AC189" t="str">
        <f>IF(L189="","",IF(AND($AO$2=1,ISNA(MATCH(L189,'09-أيلول'!$L$2:$L$500,0))),"محذوف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1.8900000000000001E-7</v>
      </c>
      <c r="AH189" s="39">
        <f t="shared" si="55"/>
        <v>0</v>
      </c>
      <c r="AI189" s="39">
        <f t="shared" si="56"/>
        <v>0</v>
      </c>
      <c r="AJ189" s="39">
        <f t="shared" si="57"/>
        <v>0</v>
      </c>
      <c r="AK189">
        <f t="shared" si="58"/>
        <v>1.8900000000000001E-7</v>
      </c>
      <c r="AL189">
        <f t="shared" si="59"/>
        <v>1.8900000000000001E-7</v>
      </c>
    </row>
    <row r="190" spans="1:38" ht="15">
      <c r="A190" t="s">
        <v>356</v>
      </c>
      <c r="B190">
        <v>0</v>
      </c>
      <c r="C190">
        <v>0</v>
      </c>
      <c r="D190">
        <v>0</v>
      </c>
      <c r="E190">
        <v>0</v>
      </c>
      <c r="F190" t="s">
        <v>268</v>
      </c>
      <c r="G190" t="s">
        <v>178</v>
      </c>
      <c r="H190" t="s">
        <v>177</v>
      </c>
      <c r="I190">
        <v>340</v>
      </c>
      <c r="K190" t="str">
        <f t="shared" si="40"/>
        <v/>
      </c>
      <c r="L190" t="str">
        <f t="shared" si="41"/>
        <v>سائل جلي سادة ثاني خام</v>
      </c>
      <c r="M190" s="36">
        <f t="shared" si="42"/>
        <v>1</v>
      </c>
      <c r="N190" s="37">
        <f t="shared" si="43"/>
        <v>340</v>
      </c>
      <c r="O190" s="37">
        <f t="shared" si="44"/>
        <v>0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IF(L190="","",IF($AO$1=1,IFERROR(MATCH(L190,'07-تموز'!$L$2:$L$500,0),0),0))</f>
        <v>173</v>
      </c>
      <c r="W190" t="str">
        <f t="shared" si="51"/>
        <v/>
      </c>
      <c r="X190" s="38">
        <f>IF(L190="","",IF(V190&gt;0,INDEX('07-تموز'!$P$2:$P$500,V190),IF($AO$1=1,0,"")))</f>
        <v>0</v>
      </c>
      <c r="Y190" s="38">
        <f t="shared" si="52"/>
        <v>0</v>
      </c>
      <c r="Z190" s="39">
        <f>IF(L190="","",IF(V190&gt;0,INDEX('07-تموز'!$Q$2:$Q$500,V190),IF($AO$1=1,0,"")))</f>
        <v>0</v>
      </c>
      <c r="AA190" s="39">
        <f t="shared" si="53"/>
        <v>0</v>
      </c>
      <c r="AB190" s="40">
        <f>IF(OR(L190="",V190=0),"",IF(AND(N(I190)&gt;0,N(INDEX('07-تموز'!$I$2:$I$500,V190))&gt;0,INDEX('07-تموز'!$F$2:$F$500,V190)=F190),N(I190)/N(INDEX('07-تموز'!$I$2:$I$500,V190))-1,""))</f>
        <v>0</v>
      </c>
      <c r="AC190" t="str">
        <f>IF(L190="","",IF(AND($AO$2=1,ISNA(MATCH(L190,'09-أيلول'!$L$2:$L$500,0))),"محذوف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357</v>
      </c>
      <c r="B191">
        <v>0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177</v>
      </c>
      <c r="I191">
        <v>242</v>
      </c>
      <c r="K191" t="str">
        <f t="shared" si="40"/>
        <v/>
      </c>
      <c r="L191" t="str">
        <f t="shared" si="41"/>
        <v>سائل جلي سادة ثالث خام</v>
      </c>
      <c r="M191" s="36">
        <f t="shared" si="42"/>
        <v>1</v>
      </c>
      <c r="N191" s="37">
        <f t="shared" si="43"/>
        <v>242</v>
      </c>
      <c r="O191" s="37">
        <f t="shared" si="44"/>
        <v>0</v>
      </c>
      <c r="P191" s="38">
        <f t="shared" si="45"/>
        <v>0</v>
      </c>
      <c r="Q191" s="39">
        <f t="shared" si="46"/>
        <v>0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IF(L191="","",IF($AO$1=1,IFERROR(MATCH(L191,'07-تموز'!$L$2:$L$500,0),0),0))</f>
        <v>174</v>
      </c>
      <c r="W191" t="str">
        <f t="shared" si="51"/>
        <v/>
      </c>
      <c r="X191" s="38">
        <f>IF(L191="","",IF(V191&gt;0,INDEX('07-تموز'!$P$2:$P$500,V191),IF($AO$1=1,0,"")))</f>
        <v>0</v>
      </c>
      <c r="Y191" s="38">
        <f t="shared" si="52"/>
        <v>0</v>
      </c>
      <c r="Z191" s="39">
        <f>IF(L191="","",IF(V191&gt;0,INDEX('07-تموز'!$Q$2:$Q$500,V191),IF($AO$1=1,0,"")))</f>
        <v>0</v>
      </c>
      <c r="AA191" s="39">
        <f t="shared" si="53"/>
        <v>0</v>
      </c>
      <c r="AB191" s="40">
        <f>IF(OR(L191="",V191=0),"",IF(AND(N(I191)&gt;0,N(INDEX('07-تموز'!$I$2:$I$500,V191))&gt;0,INDEX('07-تموز'!$F$2:$F$500,V191)=F191),N(I191)/N(INDEX('07-تموز'!$I$2:$I$500,V191))-1,""))</f>
        <v>0</v>
      </c>
      <c r="AC191" t="str">
        <f>IF(L191="","",IF(AND($AO$2=1,ISNA(MATCH(L191,'09-أيلول'!$L$2:$L$500,0))),"محذوف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1.91E-7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1.91E-7</v>
      </c>
      <c r="AL191">
        <f t="shared" si="59"/>
        <v>1.91E-7</v>
      </c>
    </row>
    <row r="192" spans="1:38" ht="15">
      <c r="A192" t="s">
        <v>358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177</v>
      </c>
      <c r="I192">
        <v>0</v>
      </c>
      <c r="K192" t="str">
        <f t="shared" si="40"/>
        <v/>
      </c>
      <c r="L192" t="str">
        <f t="shared" si="41"/>
        <v>سائل جلي سادة اول خام 500 كغ</v>
      </c>
      <c r="M192" s="36">
        <f t="shared" si="42"/>
        <v>1</v>
      </c>
      <c r="N192" s="37">
        <f t="shared" si="43"/>
        <v>0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IF(L192="","",IF($AO$1=1,IFERROR(MATCH(L192,'07-تموز'!$L$2:$L$500,0),0),0))</f>
        <v>175</v>
      </c>
      <c r="W192" t="str">
        <f t="shared" si="51"/>
        <v/>
      </c>
      <c r="X192" s="38">
        <f>IF(L192="","",IF(V192&gt;0,INDEX('07-تموز'!$P$2:$P$500,V192),IF($AO$1=1,0,"")))</f>
        <v>0</v>
      </c>
      <c r="Y192" s="38">
        <f t="shared" si="52"/>
        <v>0</v>
      </c>
      <c r="Z192" s="39">
        <f>IF(L192="","",IF(V192&gt;0,INDEX('07-تموز'!$Q$2:$Q$500,V192),IF($AO$1=1,0,"")))</f>
        <v>0</v>
      </c>
      <c r="AA192" s="39">
        <f t="shared" si="53"/>
        <v>0</v>
      </c>
      <c r="AB192" s="40" t="str">
        <f>IF(OR(L192="",V192=0),"",IF(AND(N(I192)&gt;0,N(INDEX('07-تموز'!$I$2:$I$500,V192))&gt;0,INDEX('07-تموز'!$F$2:$F$500,V192)=F192),N(I192)/N(INDEX('07-تموز'!$I$2:$I$500,V192))-1,""))</f>
        <v/>
      </c>
      <c r="AC192" t="str">
        <f>IF(L192="","",IF(AND($AO$2=1,ISNA(MATCH(L192,'09-أيلول'!$L$2:$L$500,0))),"محذوف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359</v>
      </c>
      <c r="B193">
        <v>0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177</v>
      </c>
      <c r="I193">
        <v>657</v>
      </c>
      <c r="K193" t="str">
        <f t="shared" si="40"/>
        <v/>
      </c>
      <c r="L193" t="str">
        <f t="shared" si="41"/>
        <v>سائل جلي سادة اول خام</v>
      </c>
      <c r="M193" s="36">
        <f t="shared" si="42"/>
        <v>1</v>
      </c>
      <c r="N193" s="37">
        <f t="shared" si="43"/>
        <v>657</v>
      </c>
      <c r="O193" s="37">
        <f t="shared" si="44"/>
        <v>0</v>
      </c>
      <c r="P193" s="38">
        <f t="shared" si="45"/>
        <v>0</v>
      </c>
      <c r="Q193" s="39">
        <f t="shared" si="46"/>
        <v>0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IF(L193="","",IF($AO$1=1,IFERROR(MATCH(L193,'07-تموز'!$L$2:$L$500,0),0),0))</f>
        <v>176</v>
      </c>
      <c r="W193" t="str">
        <f t="shared" si="51"/>
        <v/>
      </c>
      <c r="X193" s="38">
        <f>IF(L193="","",IF(V193&gt;0,INDEX('07-تموز'!$P$2:$P$500,V193),IF($AO$1=1,0,"")))</f>
        <v>0</v>
      </c>
      <c r="Y193" s="38">
        <f t="shared" si="52"/>
        <v>0</v>
      </c>
      <c r="Z193" s="39">
        <f>IF(L193="","",IF(V193&gt;0,INDEX('07-تموز'!$Q$2:$Q$500,V193),IF($AO$1=1,0,"")))</f>
        <v>0</v>
      </c>
      <c r="AA193" s="39">
        <f t="shared" si="53"/>
        <v>0</v>
      </c>
      <c r="AB193" s="40">
        <f>IF(OR(L193="",V193=0),"",IF(AND(N(I193)&gt;0,N(INDEX('07-تموز'!$I$2:$I$500,V193))&gt;0,INDEX('07-تموز'!$F$2:$F$500,V193)=F193),N(I193)/N(INDEX('07-تموز'!$I$2:$I$500,V193))-1,""))</f>
        <v>0</v>
      </c>
      <c r="AC193" t="str">
        <f>IF(L193="","",IF(AND($AO$2=1,ISNA(MATCH(L193,'09-أيلول'!$L$2:$L$500,0))),"محذوف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si="54"/>
        <v>1.9299999999999999E-7</v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1.9299999999999999E-7</v>
      </c>
      <c r="AL193">
        <f t="shared" si="59"/>
        <v>1.9299999999999999E-7</v>
      </c>
    </row>
    <row r="194" spans="1:38" ht="15">
      <c r="A194" t="s">
        <v>524</v>
      </c>
      <c r="B194">
        <v>153</v>
      </c>
      <c r="C194">
        <v>13000</v>
      </c>
      <c r="D194">
        <v>13000</v>
      </c>
      <c r="E194">
        <v>13000</v>
      </c>
      <c r="F194" t="s">
        <v>389</v>
      </c>
      <c r="G194" t="s">
        <v>178</v>
      </c>
      <c r="H194" t="s">
        <v>12</v>
      </c>
      <c r="I194">
        <v>7750</v>
      </c>
      <c r="K194" t="str">
        <f t="shared" ref="K194:K257" si="60">IF(L194="","",IF(U194&lt;&gt;"","⚠",""))</f>
        <v/>
      </c>
      <c r="L194" t="str">
        <f t="shared" ref="L194:L257" si="61">IF(A194="","",TRIM(A194))</f>
        <v>سائل جلي ريفا 15% super / فرط</v>
      </c>
      <c r="M194" s="36">
        <f t="shared" ref="M194:M257" si="62">IF(L194="","",IF(ISNUMBER(SEARCH("دولار",F194)),1,IF(ISNUMBER(SEARCH("ليرة",F194)),IF($AO$3&gt;0,1/$AO$3,0),0)))</f>
        <v>7.5757575757575758E-5</v>
      </c>
      <c r="N194" s="37">
        <f t="shared" ref="N194:N257" si="63">IF(L194="","",N(I194)*M194)</f>
        <v>0.58712121212121215</v>
      </c>
      <c r="O194" s="37">
        <f t="shared" ref="O194:O257" si="64">IF(L194="","",M194*CHOOSE($AO$4,N(C194),N(D194),N(E194)))</f>
        <v>0.98484848484848486</v>
      </c>
      <c r="P194" s="38">
        <f t="shared" ref="P194:P257" si="65">IF(L194="","",MAX(N(B194),0))</f>
        <v>153</v>
      </c>
      <c r="Q194" s="39">
        <f t="shared" ref="Q194:Q257" si="66">IF(L194="","",P194*N194)</f>
        <v>89.829545454545453</v>
      </c>
      <c r="R194" s="39">
        <f t="shared" ref="R194:R257" si="67">IF(L194="","",P194*O194)</f>
        <v>150.68181818181819</v>
      </c>
      <c r="S194">
        <f t="shared" ref="S194:S257" si="68">IF(L194="","",IF(AND(P194&gt;0,N194&gt;0,O194&gt;0),1,0))</f>
        <v>1</v>
      </c>
      <c r="T194" s="39">
        <f t="shared" ref="T194:T257" si="69">IF(L194="","",S194*(R194-Q194))</f>
        <v>60.852272727272734</v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IF(L194="","",IF($AO$1=1,IFERROR(MATCH(L194,'07-تموز'!$L$2:$L$500,0),0),0))</f>
        <v>0</v>
      </c>
      <c r="W194" t="str">
        <f t="shared" ref="W194:W257" si="71">IF(L194="","",IF(AND($AO$1=1,V194=0),"جديد",""))</f>
        <v>جديد</v>
      </c>
      <c r="X194" s="38">
        <f>IF(L194="","",IF(V194&gt;0,INDEX('07-تموز'!$P$2:$P$500,V194),IF($AO$1=1,0,"")))</f>
        <v>0</v>
      </c>
      <c r="Y194" s="38">
        <f t="shared" ref="Y194:Y257" si="72">IF(OR(L194="",X194=""),"",P194-X194)</f>
        <v>153</v>
      </c>
      <c r="Z194" s="39">
        <f>IF(L194="","",IF(V194&gt;0,INDEX('07-تموز'!$Q$2:$Q$500,V194),IF($AO$1=1,0,"")))</f>
        <v>0</v>
      </c>
      <c r="AA194" s="39">
        <f t="shared" ref="AA194:AA257" si="73">IF(OR(L194="",Z194=""),"",Q194-Z194)</f>
        <v>89.829545454545453</v>
      </c>
      <c r="AB194" s="40" t="str">
        <f>IF(OR(L194="",V194=0),"",IF(AND(N(I194)&gt;0,N(INDEX('07-تموز'!$I$2:$I$500,V194))&gt;0,INDEX('07-تموز'!$F$2:$F$500,V194)=F194),N(I194)/N(INDEX('07-تموز'!$I$2:$I$500,V194))-1,""))</f>
        <v/>
      </c>
      <c r="AC194" t="str">
        <f>IF(L194="","",IF(AND($AO$2=1,ISNA(MATCH(L194,'09-أيلول'!$L$2:$L$500,0))),"محذوف لاحقاً",""))</f>
        <v/>
      </c>
      <c r="AD194">
        <f>IF(W194="جديد",COUNTIF(W$2:W194,"جديد"),"")</f>
        <v>17</v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ref="AG194:AG257" si="74">IF(AA194="","",ABS(AA194)+ROW()/1000000000)</f>
        <v>89.829545648545448</v>
      </c>
      <c r="AH194" s="39">
        <f t="shared" ref="AH194:AH257" si="75">IF(L194="","",IF(AND(P194&gt;0,N194&gt;0,N(C194)&gt;0),P194*(M194*N(C194)-N194),0))</f>
        <v>60.852272727272727</v>
      </c>
      <c r="AI194" s="39">
        <f t="shared" ref="AI194:AI257" si="76">IF(L194="","",IF(AND(P194&gt;0,N194&gt;0,N(D194)&gt;0),P194*(M194*N(D194)-N194),0))</f>
        <v>60.852272727272727</v>
      </c>
      <c r="AJ194" s="39">
        <f t="shared" ref="AJ194:AJ257" si="77">IF(L194="","",IF(AND(P194&gt;0,N194&gt;0,N(E194)&gt;0),P194*(M194*N(E194)-N194),0))</f>
        <v>60.852272727272727</v>
      </c>
      <c r="AK194">
        <f t="shared" ref="AK194:AK257" si="78">IF(L194="","",Q194+ROW()/1000000000)</f>
        <v>89.829545648545448</v>
      </c>
      <c r="AL194">
        <f t="shared" ref="AL194:AL257" si="79">IF(L194="","",T194+ROW()/1000000000)</f>
        <v>60.852272921272736</v>
      </c>
    </row>
    <row r="195" spans="1:38" ht="15">
      <c r="A195" t="s">
        <v>525</v>
      </c>
      <c r="B195">
        <v>174.42</v>
      </c>
      <c r="C195">
        <v>13000</v>
      </c>
      <c r="D195">
        <v>13000</v>
      </c>
      <c r="E195">
        <v>13000</v>
      </c>
      <c r="F195" t="s">
        <v>389</v>
      </c>
      <c r="G195" t="s">
        <v>178</v>
      </c>
      <c r="H195" t="s">
        <v>12</v>
      </c>
      <c r="I195">
        <v>7700</v>
      </c>
      <c r="K195" t="str">
        <f t="shared" si="60"/>
        <v/>
      </c>
      <c r="L195" t="str">
        <f t="shared" si="61"/>
        <v>سائل جلي ريفا - عبوة 750غ</v>
      </c>
      <c r="M195" s="36">
        <f t="shared" si="62"/>
        <v>7.5757575757575758E-5</v>
      </c>
      <c r="N195" s="37">
        <f t="shared" si="63"/>
        <v>0.58333333333333337</v>
      </c>
      <c r="O195" s="37">
        <f t="shared" si="64"/>
        <v>0.98484848484848486</v>
      </c>
      <c r="P195" s="38">
        <f t="shared" si="65"/>
        <v>174.42</v>
      </c>
      <c r="Q195" s="39">
        <f t="shared" si="66"/>
        <v>101.745</v>
      </c>
      <c r="R195" s="39">
        <f t="shared" si="67"/>
        <v>171.77727272727273</v>
      </c>
      <c r="S195">
        <f t="shared" si="68"/>
        <v>1</v>
      </c>
      <c r="T195" s="39">
        <f t="shared" si="69"/>
        <v>70.032272727272726</v>
      </c>
      <c r="U195" t="str">
        <f t="shared" si="70"/>
        <v/>
      </c>
      <c r="V195">
        <f>IF(L195="","",IF($AO$1=1,IFERROR(MATCH(L195,'07-تموز'!$L$2:$L$500,0),0),0))</f>
        <v>0</v>
      </c>
      <c r="W195" t="str">
        <f t="shared" si="71"/>
        <v>جديد</v>
      </c>
      <c r="X195" s="38">
        <f>IF(L195="","",IF(V195&gt;0,INDEX('07-تموز'!$P$2:$P$500,V195),IF($AO$1=1,0,"")))</f>
        <v>0</v>
      </c>
      <c r="Y195" s="38">
        <f t="shared" si="72"/>
        <v>174.42</v>
      </c>
      <c r="Z195" s="39">
        <f>IF(L195="","",IF(V195&gt;0,INDEX('07-تموز'!$Q$2:$Q$500,V195),IF($AO$1=1,0,"")))</f>
        <v>0</v>
      </c>
      <c r="AA195" s="39">
        <f t="shared" si="73"/>
        <v>101.745</v>
      </c>
      <c r="AB195" s="40" t="str">
        <f>IF(OR(L195="",V195=0),"",IF(AND(N(I195)&gt;0,N(INDEX('07-تموز'!$I$2:$I$500,V195))&gt;0,INDEX('07-تموز'!$F$2:$F$500,V195)=F195),N(I195)/N(INDEX('07-تموز'!$I$2:$I$500,V195))-1,""))</f>
        <v/>
      </c>
      <c r="AC195" t="str">
        <f>IF(L195="","",IF(AND($AO$2=1,ISNA(MATCH(L195,'09-أيلول'!$L$2:$L$500,0))),"محذوف لاحقاً",""))</f>
        <v/>
      </c>
      <c r="AD195">
        <f>IF(W195="جديد",COUNTIF(W$2:W195,"جديد"),"")</f>
        <v>18</v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101.745000195</v>
      </c>
      <c r="AH195" s="39">
        <f t="shared" si="75"/>
        <v>70.032272727272712</v>
      </c>
      <c r="AI195" s="39">
        <f t="shared" si="76"/>
        <v>70.032272727272712</v>
      </c>
      <c r="AJ195" s="39">
        <f t="shared" si="77"/>
        <v>70.032272727272712</v>
      </c>
      <c r="AK195">
        <f t="shared" si="78"/>
        <v>101.745000195</v>
      </c>
      <c r="AL195">
        <f t="shared" si="79"/>
        <v>70.032272922272725</v>
      </c>
    </row>
    <row r="196" spans="1:38" ht="15">
      <c r="A196" t="s">
        <v>360</v>
      </c>
      <c r="B196">
        <v>0</v>
      </c>
      <c r="C196">
        <v>0</v>
      </c>
      <c r="D196">
        <v>0</v>
      </c>
      <c r="E196">
        <v>0</v>
      </c>
      <c r="F196" t="s">
        <v>268</v>
      </c>
      <c r="G196" t="s">
        <v>178</v>
      </c>
      <c r="H196" t="s">
        <v>177</v>
      </c>
      <c r="I196">
        <v>191</v>
      </c>
      <c r="K196" t="str">
        <f t="shared" si="60"/>
        <v/>
      </c>
      <c r="L196" t="str">
        <f t="shared" si="61"/>
        <v>سائل جلي تفاح رابع خام</v>
      </c>
      <c r="M196" s="36">
        <f t="shared" si="62"/>
        <v>1</v>
      </c>
      <c r="N196" s="37">
        <f t="shared" si="63"/>
        <v>191</v>
      </c>
      <c r="O196" s="37">
        <f t="shared" si="64"/>
        <v>0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IF(L196="","",IF($AO$1=1,IFERROR(MATCH(L196,'07-تموز'!$L$2:$L$500,0),0),0))</f>
        <v>177</v>
      </c>
      <c r="W196" t="str">
        <f t="shared" si="71"/>
        <v/>
      </c>
      <c r="X196" s="38">
        <f>IF(L196="","",IF(V196&gt;0,INDEX('07-تموز'!$P$2:$P$500,V196),IF($AO$1=1,0,"")))</f>
        <v>0</v>
      </c>
      <c r="Y196" s="38">
        <f t="shared" si="72"/>
        <v>0</v>
      </c>
      <c r="Z196" s="39">
        <f>IF(L196="","",IF(V196&gt;0,INDEX('07-تموز'!$Q$2:$Q$500,V196),IF($AO$1=1,0,"")))</f>
        <v>0</v>
      </c>
      <c r="AA196" s="39">
        <f t="shared" si="73"/>
        <v>0</v>
      </c>
      <c r="AB196" s="40">
        <f>IF(OR(L196="",V196=0),"",IF(AND(N(I196)&gt;0,N(INDEX('07-تموز'!$I$2:$I$500,V196))&gt;0,INDEX('07-تموز'!$F$2:$F$500,V196)=F196),N(I196)/N(INDEX('07-تموز'!$I$2:$I$500,V196))-1,""))</f>
        <v>0</v>
      </c>
      <c r="AC196" t="str">
        <f>IF(L196="","",IF(AND($AO$2=1,ISNA(MATCH(L196,'09-أيلول'!$L$2:$L$500,0))),"محذوف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361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177</v>
      </c>
      <c r="I197">
        <v>294</v>
      </c>
      <c r="K197" t="str">
        <f t="shared" si="60"/>
        <v/>
      </c>
      <c r="L197" t="str">
        <f t="shared" si="61"/>
        <v>سائل جلي تفاح ثاني خام</v>
      </c>
      <c r="M197" s="36">
        <f t="shared" si="62"/>
        <v>1</v>
      </c>
      <c r="N197" s="37">
        <f t="shared" si="63"/>
        <v>294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IF(L197="","",IF($AO$1=1,IFERROR(MATCH(L197,'07-تموز'!$L$2:$L$500,0),0),0))</f>
        <v>178</v>
      </c>
      <c r="W197" t="str">
        <f t="shared" si="71"/>
        <v/>
      </c>
      <c r="X197" s="38">
        <f>IF(L197="","",IF(V197&gt;0,INDEX('07-تموز'!$P$2:$P$500,V197),IF($AO$1=1,0,"")))</f>
        <v>0</v>
      </c>
      <c r="Y197" s="38">
        <f t="shared" si="72"/>
        <v>0</v>
      </c>
      <c r="Z197" s="39">
        <f>IF(L197="","",IF(V197&gt;0,INDEX('07-تموز'!$Q$2:$Q$500,V197),IF($AO$1=1,0,"")))</f>
        <v>0</v>
      </c>
      <c r="AA197" s="39">
        <f t="shared" si="73"/>
        <v>0</v>
      </c>
      <c r="AB197" s="40">
        <f>IF(OR(L197="",V197=0),"",IF(AND(N(I197)&gt;0,N(INDEX('07-تموز'!$I$2:$I$500,V197))&gt;0,INDEX('07-تموز'!$F$2:$F$500,V197)=F197),N(I197)/N(INDEX('07-تموز'!$I$2:$I$500,V197))-1,""))</f>
        <v>0</v>
      </c>
      <c r="AC197" t="str">
        <f>IF(L197="","",IF(AND($AO$2=1,ISNA(MATCH(L197,'09-أيلول'!$L$2:$L$500,0))),"محذوف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362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177</v>
      </c>
      <c r="I198">
        <v>248</v>
      </c>
      <c r="K198" t="str">
        <f t="shared" si="60"/>
        <v/>
      </c>
      <c r="L198" t="str">
        <f t="shared" si="61"/>
        <v>سائل جلي تفاح ثالث خام</v>
      </c>
      <c r="M198" s="36">
        <f t="shared" si="62"/>
        <v>1</v>
      </c>
      <c r="N198" s="37">
        <f t="shared" si="63"/>
        <v>248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IF(L198="","",IF($AO$1=1,IFERROR(MATCH(L198,'07-تموز'!$L$2:$L$500,0),0),0))</f>
        <v>179</v>
      </c>
      <c r="W198" t="str">
        <f t="shared" si="71"/>
        <v/>
      </c>
      <c r="X198" s="38">
        <f>IF(L198="","",IF(V198&gt;0,INDEX('07-تموز'!$P$2:$P$500,V198),IF($AO$1=1,0,"")))</f>
        <v>0</v>
      </c>
      <c r="Y198" s="38">
        <f t="shared" si="72"/>
        <v>0</v>
      </c>
      <c r="Z198" s="39">
        <f>IF(L198="","",IF(V198&gt;0,INDEX('07-تموز'!$Q$2:$Q$500,V198),IF($AO$1=1,0,"")))</f>
        <v>0</v>
      </c>
      <c r="AA198" s="39">
        <f t="shared" si="73"/>
        <v>0</v>
      </c>
      <c r="AB198" s="40">
        <f>IF(OR(L198="",V198=0),"",IF(AND(N(I198)&gt;0,N(INDEX('07-تموز'!$I$2:$I$500,V198))&gt;0,INDEX('07-تموز'!$F$2:$F$500,V198)=F198),N(I198)/N(INDEX('07-تموز'!$I$2:$I$500,V198))-1,""))</f>
        <v>0</v>
      </c>
      <c r="AC198" t="str">
        <f>IF(L198="","",IF(AND($AO$2=1,ISNA(MATCH(L198,'09-أيلول'!$L$2:$L$500,0))),"محذوف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1.98E-7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363</v>
      </c>
      <c r="B199">
        <v>0</v>
      </c>
      <c r="C199">
        <v>0</v>
      </c>
      <c r="D199">
        <v>0</v>
      </c>
      <c r="E199">
        <v>0</v>
      </c>
      <c r="F199" t="s">
        <v>268</v>
      </c>
      <c r="G199" t="s">
        <v>178</v>
      </c>
      <c r="H199" t="s">
        <v>177</v>
      </c>
      <c r="I199">
        <v>669</v>
      </c>
      <c r="K199" t="str">
        <f t="shared" si="60"/>
        <v/>
      </c>
      <c r="L199" t="str">
        <f t="shared" si="61"/>
        <v>سائل جلي تفاح اول خام</v>
      </c>
      <c r="M199" s="36">
        <f t="shared" si="62"/>
        <v>1</v>
      </c>
      <c r="N199" s="37">
        <f t="shared" si="63"/>
        <v>669</v>
      </c>
      <c r="O199" s="37">
        <f t="shared" si="64"/>
        <v>0</v>
      </c>
      <c r="P199" s="38">
        <f t="shared" si="65"/>
        <v>0</v>
      </c>
      <c r="Q199" s="39">
        <f t="shared" si="66"/>
        <v>0</v>
      </c>
      <c r="R199" s="39">
        <f t="shared" si="67"/>
        <v>0</v>
      </c>
      <c r="S199">
        <f t="shared" si="68"/>
        <v>0</v>
      </c>
      <c r="T199" s="39">
        <f t="shared" si="69"/>
        <v>0</v>
      </c>
      <c r="U199" t="str">
        <f t="shared" si="70"/>
        <v/>
      </c>
      <c r="V199">
        <f>IF(L199="","",IF($AO$1=1,IFERROR(MATCH(L199,'07-تموز'!$L$2:$L$500,0),0),0))</f>
        <v>180</v>
      </c>
      <c r="W199" t="str">
        <f t="shared" si="71"/>
        <v/>
      </c>
      <c r="X199" s="38">
        <f>IF(L199="","",IF(V199&gt;0,INDEX('07-تموز'!$P$2:$P$500,V199),IF($AO$1=1,0,"")))</f>
        <v>0</v>
      </c>
      <c r="Y199" s="38">
        <f t="shared" si="72"/>
        <v>0</v>
      </c>
      <c r="Z199" s="39">
        <f>IF(L199="","",IF(V199&gt;0,INDEX('07-تموز'!$Q$2:$Q$500,V199),IF($AO$1=1,0,"")))</f>
        <v>0</v>
      </c>
      <c r="AA199" s="39">
        <f t="shared" si="73"/>
        <v>0</v>
      </c>
      <c r="AB199" s="40">
        <f>IF(OR(L199="",V199=0),"",IF(AND(N(I199)&gt;0,N(INDEX('07-تموز'!$I$2:$I$500,V199))&gt;0,INDEX('07-تموز'!$F$2:$F$500,V199)=F199),N(I199)/N(INDEX('07-تموز'!$I$2:$I$500,V199))-1,""))</f>
        <v>0</v>
      </c>
      <c r="AC199" t="str">
        <f>IF(L199="","",IF(AND($AO$2=1,ISNA(MATCH(L199,'09-أيلول'!$L$2:$L$500,0))),"محذوف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1.99E-7</v>
      </c>
      <c r="AH199" s="39">
        <f t="shared" si="75"/>
        <v>0</v>
      </c>
      <c r="AI199" s="39">
        <f t="shared" si="76"/>
        <v>0</v>
      </c>
      <c r="AJ199" s="39">
        <f t="shared" si="77"/>
        <v>0</v>
      </c>
      <c r="AK199">
        <f t="shared" si="78"/>
        <v>1.99E-7</v>
      </c>
      <c r="AL199">
        <f t="shared" si="79"/>
        <v>1.99E-7</v>
      </c>
    </row>
    <row r="200" spans="1:38" ht="15">
      <c r="A200" t="s">
        <v>471</v>
      </c>
      <c r="B200">
        <v>4293</v>
      </c>
      <c r="C200">
        <v>6000</v>
      </c>
      <c r="D200">
        <v>6000</v>
      </c>
      <c r="E200">
        <v>6000</v>
      </c>
      <c r="F200" t="s">
        <v>389</v>
      </c>
      <c r="G200" t="s">
        <v>178</v>
      </c>
      <c r="H200" t="s">
        <v>12</v>
      </c>
      <c r="I200">
        <v>2980</v>
      </c>
      <c r="K200" t="str">
        <f t="shared" si="60"/>
        <v/>
      </c>
      <c r="L200" t="str">
        <f t="shared" si="61"/>
        <v>سائل جلي super / فرط 2604</v>
      </c>
      <c r="M200" s="36">
        <f t="shared" si="62"/>
        <v>7.5757575757575758E-5</v>
      </c>
      <c r="N200" s="37">
        <f t="shared" si="63"/>
        <v>0.22575757575757577</v>
      </c>
      <c r="O200" s="37">
        <f t="shared" si="64"/>
        <v>0.45454545454545453</v>
      </c>
      <c r="P200" s="38">
        <f t="shared" si="65"/>
        <v>4293</v>
      </c>
      <c r="Q200" s="39">
        <f t="shared" si="66"/>
        <v>969.17727272727279</v>
      </c>
      <c r="R200" s="39">
        <f t="shared" si="67"/>
        <v>1951.3636363636363</v>
      </c>
      <c r="S200">
        <f t="shared" si="68"/>
        <v>1</v>
      </c>
      <c r="T200" s="39">
        <f t="shared" si="69"/>
        <v>982.18636363636347</v>
      </c>
      <c r="U200" t="str">
        <f t="shared" si="70"/>
        <v/>
      </c>
      <c r="V200">
        <f>IF(L200="","",IF($AO$1=1,IFERROR(MATCH(L200,'07-تموز'!$L$2:$L$500,0),0),0))</f>
        <v>181</v>
      </c>
      <c r="W200" t="str">
        <f t="shared" si="71"/>
        <v/>
      </c>
      <c r="X200" s="38">
        <f>IF(L200="","",IF(V200&gt;0,INDEX('07-تموز'!$P$2:$P$500,V200),IF($AO$1=1,0,"")))</f>
        <v>6359.2</v>
      </c>
      <c r="Y200" s="38">
        <f t="shared" si="72"/>
        <v>-2066.1999999999998</v>
      </c>
      <c r="Z200" s="39">
        <f>IF(L200="","",IF(V200&gt;0,INDEX('07-تموز'!$Q$2:$Q$500,V200),IF($AO$1=1,0,"")))</f>
        <v>1424.8433082706767</v>
      </c>
      <c r="AA200" s="39">
        <f t="shared" si="73"/>
        <v>-455.66603554340395</v>
      </c>
      <c r="AB200" s="40">
        <f>IF(OR(L200="",V200=0),"",IF(AND(N(I200)&gt;0,N(INDEX('07-تموز'!$I$2:$I$500,V200))&gt;0,INDEX('07-تموز'!$F$2:$F$500,V200)=F200),N(I200)/N(INDEX('07-تموز'!$I$2:$I$500,V200))-1,""))</f>
        <v>0</v>
      </c>
      <c r="AC200" t="str">
        <f>IF(L200="","",IF(AND($AO$2=1,ISNA(MATCH(L200,'09-أيلول'!$L$2:$L$500,0))),"محذوف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455.66603574340394</v>
      </c>
      <c r="AH200" s="39">
        <f t="shared" si="75"/>
        <v>982.18636363636358</v>
      </c>
      <c r="AI200" s="39">
        <f t="shared" si="76"/>
        <v>982.18636363636358</v>
      </c>
      <c r="AJ200" s="39">
        <f t="shared" si="77"/>
        <v>982.18636363636358</v>
      </c>
      <c r="AK200">
        <f t="shared" si="78"/>
        <v>969.17727292727284</v>
      </c>
      <c r="AL200">
        <f t="shared" si="79"/>
        <v>982.18636383636351</v>
      </c>
    </row>
    <row r="201" spans="1:38" ht="15">
      <c r="A201" t="s">
        <v>472</v>
      </c>
      <c r="B201">
        <v>3741.5</v>
      </c>
      <c r="C201">
        <v>7000</v>
      </c>
      <c r="D201">
        <v>7000</v>
      </c>
      <c r="E201">
        <v>7000</v>
      </c>
      <c r="F201" t="s">
        <v>389</v>
      </c>
      <c r="G201" t="s">
        <v>178</v>
      </c>
      <c r="H201" t="s">
        <v>12</v>
      </c>
      <c r="I201">
        <v>4000</v>
      </c>
      <c r="K201" t="str">
        <f t="shared" si="60"/>
        <v/>
      </c>
      <c r="L201" t="str">
        <f t="shared" si="61"/>
        <v>سائل جلي super / فرط 2603</v>
      </c>
      <c r="M201" s="36">
        <f t="shared" si="62"/>
        <v>7.5757575757575758E-5</v>
      </c>
      <c r="N201" s="37">
        <f t="shared" si="63"/>
        <v>0.30303030303030304</v>
      </c>
      <c r="O201" s="37">
        <f t="shared" si="64"/>
        <v>0.53030303030303028</v>
      </c>
      <c r="P201" s="38">
        <f t="shared" si="65"/>
        <v>3741.5</v>
      </c>
      <c r="Q201" s="39">
        <f t="shared" si="66"/>
        <v>1133.7878787878788</v>
      </c>
      <c r="R201" s="39">
        <f t="shared" si="67"/>
        <v>1984.1287878787878</v>
      </c>
      <c r="S201">
        <f t="shared" si="68"/>
        <v>1</v>
      </c>
      <c r="T201" s="39">
        <f t="shared" si="69"/>
        <v>850.34090909090901</v>
      </c>
      <c r="U201" t="str">
        <f t="shared" si="70"/>
        <v/>
      </c>
      <c r="V201">
        <f>IF(L201="","",IF($AO$1=1,IFERROR(MATCH(L201,'07-تموز'!$L$2:$L$500,0),0),0))</f>
        <v>182</v>
      </c>
      <c r="W201" t="str">
        <f t="shared" si="71"/>
        <v/>
      </c>
      <c r="X201" s="38">
        <f>IF(L201="","",IF(V201&gt;0,INDEX('07-تموز'!$P$2:$P$500,V201),IF($AO$1=1,0,"")))</f>
        <v>3756</v>
      </c>
      <c r="Y201" s="38">
        <f t="shared" si="72"/>
        <v>-14.5</v>
      </c>
      <c r="Z201" s="39">
        <f>IF(L201="","",IF(V201&gt;0,INDEX('07-تموز'!$Q$2:$Q$500,V201),IF($AO$1=1,0,"")))</f>
        <v>1129.624060150376</v>
      </c>
      <c r="AA201" s="39">
        <f t="shared" si="73"/>
        <v>4.1638186375027999</v>
      </c>
      <c r="AB201" s="40">
        <f>IF(OR(L201="",V201=0),"",IF(AND(N(I201)&gt;0,N(INDEX('07-تموز'!$I$2:$I$500,V201))&gt;0,INDEX('07-تموز'!$F$2:$F$500,V201)=F201),N(I201)/N(INDEX('07-تموز'!$I$2:$I$500,V201))-1,""))</f>
        <v>0</v>
      </c>
      <c r="AC201" t="str">
        <f>IF(L201="","",IF(AND($AO$2=1,ISNA(MATCH(L201,'09-أيلول'!$L$2:$L$500,0))),"محذوف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4.1638188385027997</v>
      </c>
      <c r="AH201" s="39">
        <f t="shared" si="75"/>
        <v>850.34090909090901</v>
      </c>
      <c r="AI201" s="39">
        <f t="shared" si="76"/>
        <v>850.34090909090901</v>
      </c>
      <c r="AJ201" s="39">
        <f t="shared" si="77"/>
        <v>850.34090909090901</v>
      </c>
      <c r="AK201">
        <f t="shared" si="78"/>
        <v>1133.7878789888787</v>
      </c>
      <c r="AL201">
        <f t="shared" si="79"/>
        <v>850.34090929190904</v>
      </c>
    </row>
    <row r="202" spans="1:38" ht="15">
      <c r="A202" t="s">
        <v>473</v>
      </c>
      <c r="B202">
        <v>2479</v>
      </c>
      <c r="C202">
        <v>8000</v>
      </c>
      <c r="D202">
        <v>8000</v>
      </c>
      <c r="E202">
        <v>8000</v>
      </c>
      <c r="F202" t="s">
        <v>389</v>
      </c>
      <c r="G202" t="s">
        <v>178</v>
      </c>
      <c r="H202" t="s">
        <v>12</v>
      </c>
      <c r="I202">
        <v>5200</v>
      </c>
      <c r="K202" t="str">
        <f t="shared" si="60"/>
        <v/>
      </c>
      <c r="L202" t="str">
        <f t="shared" si="61"/>
        <v>سائل جلي super / فرط 2602</v>
      </c>
      <c r="M202" s="36">
        <f t="shared" si="62"/>
        <v>7.5757575757575758E-5</v>
      </c>
      <c r="N202" s="37">
        <f t="shared" si="63"/>
        <v>0.39393939393939392</v>
      </c>
      <c r="O202" s="37">
        <f t="shared" si="64"/>
        <v>0.60606060606060608</v>
      </c>
      <c r="P202" s="38">
        <f t="shared" si="65"/>
        <v>2479</v>
      </c>
      <c r="Q202" s="39">
        <f t="shared" si="66"/>
        <v>976.57575757575751</v>
      </c>
      <c r="R202" s="39">
        <f t="shared" si="67"/>
        <v>1502.4242424242425</v>
      </c>
      <c r="S202">
        <f t="shared" si="68"/>
        <v>1</v>
      </c>
      <c r="T202" s="39">
        <f t="shared" si="69"/>
        <v>525.84848484848499</v>
      </c>
      <c r="U202" t="str">
        <f t="shared" si="70"/>
        <v/>
      </c>
      <c r="V202">
        <f>IF(L202="","",IF($AO$1=1,IFERROR(MATCH(L202,'07-تموز'!$L$2:$L$500,0),0),0))</f>
        <v>183</v>
      </c>
      <c r="W202" t="str">
        <f t="shared" si="71"/>
        <v/>
      </c>
      <c r="X202" s="38">
        <f>IF(L202="","",IF(V202&gt;0,INDEX('07-تموز'!$P$2:$P$500,V202),IF($AO$1=1,0,"")))</f>
        <v>1934</v>
      </c>
      <c r="Y202" s="38">
        <f t="shared" si="72"/>
        <v>545</v>
      </c>
      <c r="Z202" s="39">
        <f>IF(L202="","",IF(V202&gt;0,INDEX('07-تموز'!$Q$2:$Q$500,V202),IF($AO$1=1,0,"")))</f>
        <v>756.1503759398496</v>
      </c>
      <c r="AA202" s="39">
        <f t="shared" si="73"/>
        <v>220.42538163590791</v>
      </c>
      <c r="AB202" s="40">
        <f>IF(OR(L202="",V202=0),"",IF(AND(N(I202)&gt;0,N(INDEX('07-تموز'!$I$2:$I$500,V202))&gt;0,INDEX('07-تموز'!$F$2:$F$500,V202)=F202),N(I202)/N(INDEX('07-تموز'!$I$2:$I$500,V202))-1,""))</f>
        <v>0</v>
      </c>
      <c r="AC202" t="str">
        <f>IF(L202="","",IF(AND($AO$2=1,ISNA(MATCH(L202,'09-أيلول'!$L$2:$L$500,0))),"محذوف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220.42538183790791</v>
      </c>
      <c r="AH202" s="39">
        <f t="shared" si="75"/>
        <v>525.84848484848499</v>
      </c>
      <c r="AI202" s="39">
        <f t="shared" si="76"/>
        <v>525.84848484848499</v>
      </c>
      <c r="AJ202" s="39">
        <f t="shared" si="77"/>
        <v>525.84848484848499</v>
      </c>
      <c r="AK202">
        <f t="shared" si="78"/>
        <v>976.57575777775753</v>
      </c>
      <c r="AL202">
        <f t="shared" si="79"/>
        <v>525.84848505048501</v>
      </c>
    </row>
    <row r="203" spans="1:38" ht="15">
      <c r="A203" t="s">
        <v>474</v>
      </c>
      <c r="B203">
        <v>2039</v>
      </c>
      <c r="C203">
        <v>15000</v>
      </c>
      <c r="D203">
        <v>15000</v>
      </c>
      <c r="E203">
        <v>15000</v>
      </c>
      <c r="F203" t="s">
        <v>389</v>
      </c>
      <c r="G203" t="s">
        <v>178</v>
      </c>
      <c r="H203" t="s">
        <v>12</v>
      </c>
      <c r="I203">
        <v>11600</v>
      </c>
      <c r="K203" t="str">
        <f t="shared" si="60"/>
        <v/>
      </c>
      <c r="L203" t="str">
        <f t="shared" si="61"/>
        <v>سائل جلي super / فرط 2601</v>
      </c>
      <c r="M203" s="36">
        <f t="shared" si="62"/>
        <v>7.5757575757575758E-5</v>
      </c>
      <c r="N203" s="37">
        <f t="shared" si="63"/>
        <v>0.87878787878787878</v>
      </c>
      <c r="O203" s="37">
        <f t="shared" si="64"/>
        <v>1.1363636363636365</v>
      </c>
      <c r="P203" s="38">
        <f t="shared" si="65"/>
        <v>2039</v>
      </c>
      <c r="Q203" s="39">
        <f t="shared" si="66"/>
        <v>1791.8484848484848</v>
      </c>
      <c r="R203" s="39">
        <f t="shared" si="67"/>
        <v>2317.045454545455</v>
      </c>
      <c r="S203">
        <f t="shared" si="68"/>
        <v>1</v>
      </c>
      <c r="T203" s="39">
        <f t="shared" si="69"/>
        <v>525.1969696969702</v>
      </c>
      <c r="U203" t="str">
        <f t="shared" si="70"/>
        <v/>
      </c>
      <c r="V203">
        <f>IF(L203="","",IF($AO$1=1,IFERROR(MATCH(L203,'07-تموز'!$L$2:$L$500,0),0),0))</f>
        <v>184</v>
      </c>
      <c r="W203" t="str">
        <f t="shared" si="71"/>
        <v/>
      </c>
      <c r="X203" s="38">
        <f>IF(L203="","",IF(V203&gt;0,INDEX('07-تموز'!$P$2:$P$500,V203),IF($AO$1=1,0,"")))</f>
        <v>1566</v>
      </c>
      <c r="Y203" s="38">
        <f t="shared" si="72"/>
        <v>473</v>
      </c>
      <c r="Z203" s="39">
        <f>IF(L203="","",IF(V203&gt;0,INDEX('07-تموز'!$Q$2:$Q$500,V203),IF($AO$1=1,0,"")))</f>
        <v>1365.8345864661653</v>
      </c>
      <c r="AA203" s="39">
        <f t="shared" si="73"/>
        <v>426.01389838231944</v>
      </c>
      <c r="AB203" s="40">
        <f>IF(OR(L203="",V203=0),"",IF(AND(N(I203)&gt;0,N(INDEX('07-تموز'!$I$2:$I$500,V203))&gt;0,INDEX('07-تموز'!$F$2:$F$500,V203)=F203),N(I203)/N(INDEX('07-تموز'!$I$2:$I$500,V203))-1,""))</f>
        <v>0</v>
      </c>
      <c r="AC203" t="str">
        <f>IF(L203="","",IF(AND($AO$2=1,ISNA(MATCH(L203,'09-أيلول'!$L$2:$L$500,0))),"محذوف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426.01389858531945</v>
      </c>
      <c r="AH203" s="39">
        <f t="shared" si="75"/>
        <v>525.19696969696986</v>
      </c>
      <c r="AI203" s="39">
        <f t="shared" si="76"/>
        <v>525.19696969696986</v>
      </c>
      <c r="AJ203" s="39">
        <f t="shared" si="77"/>
        <v>525.19696969696986</v>
      </c>
      <c r="AK203">
        <f t="shared" si="78"/>
        <v>1791.8484850514847</v>
      </c>
      <c r="AL203">
        <f t="shared" si="79"/>
        <v>525.19696989997021</v>
      </c>
    </row>
    <row r="204" spans="1:38" ht="15">
      <c r="A204" t="s">
        <v>475</v>
      </c>
      <c r="B204">
        <v>79</v>
      </c>
      <c r="C204">
        <v>22000</v>
      </c>
      <c r="D204">
        <v>22000</v>
      </c>
      <c r="E204">
        <v>22000</v>
      </c>
      <c r="F204" t="s">
        <v>389</v>
      </c>
      <c r="G204" t="s">
        <v>178</v>
      </c>
      <c r="H204" t="s">
        <v>12</v>
      </c>
      <c r="I204">
        <v>11940</v>
      </c>
      <c r="K204" t="str">
        <f t="shared" si="60"/>
        <v/>
      </c>
      <c r="L204" t="str">
        <f t="shared" si="61"/>
        <v>سائل جلي super / عبوة 3 لتر 2604</v>
      </c>
      <c r="M204" s="36">
        <f t="shared" si="62"/>
        <v>7.5757575757575758E-5</v>
      </c>
      <c r="N204" s="37">
        <f t="shared" si="63"/>
        <v>0.90454545454545454</v>
      </c>
      <c r="O204" s="37">
        <f t="shared" si="64"/>
        <v>1.6666666666666667</v>
      </c>
      <c r="P204" s="38">
        <f t="shared" si="65"/>
        <v>79</v>
      </c>
      <c r="Q204" s="39">
        <f t="shared" si="66"/>
        <v>71.459090909090904</v>
      </c>
      <c r="R204" s="39">
        <f t="shared" si="67"/>
        <v>131.66666666666669</v>
      </c>
      <c r="S204">
        <f t="shared" si="68"/>
        <v>1</v>
      </c>
      <c r="T204" s="39">
        <f t="shared" si="69"/>
        <v>60.207575757575782</v>
      </c>
      <c r="U204" t="str">
        <f t="shared" si="70"/>
        <v/>
      </c>
      <c r="V204">
        <f>IF(L204="","",IF($AO$1=1,IFERROR(MATCH(L204,'07-تموز'!$L$2:$L$500,0),0),0))</f>
        <v>185</v>
      </c>
      <c r="W204" t="str">
        <f t="shared" si="71"/>
        <v/>
      </c>
      <c r="X204" s="38">
        <f>IF(L204="","",IF(V204&gt;0,INDEX('07-تموز'!$P$2:$P$500,V204),IF($AO$1=1,0,"")))</f>
        <v>34</v>
      </c>
      <c r="Y204" s="38">
        <f t="shared" si="72"/>
        <v>45</v>
      </c>
      <c r="Z204" s="39">
        <f>IF(L204="","",IF(V204&gt;0,INDEX('07-تموز'!$Q$2:$Q$500,V204),IF($AO$1=1,0,"")))</f>
        <v>30.52330827067669</v>
      </c>
      <c r="AA204" s="39">
        <f t="shared" si="73"/>
        <v>40.93578263841421</v>
      </c>
      <c r="AB204" s="40">
        <f>IF(OR(L204="",V204=0),"",IF(AND(N(I204)&gt;0,N(INDEX('07-تموز'!$I$2:$I$500,V204))&gt;0,INDEX('07-تموز'!$F$2:$F$500,V204)=F204),N(I204)/N(INDEX('07-تموز'!$I$2:$I$500,V204))-1,""))</f>
        <v>0</v>
      </c>
      <c r="AC204" t="str">
        <f>IF(L204="","",IF(AND($AO$2=1,ISNA(MATCH(L204,'09-أيلول'!$L$2:$L$500,0))),"محذوف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40.935782842414213</v>
      </c>
      <c r="AH204" s="39">
        <f t="shared" si="75"/>
        <v>60.207575757575761</v>
      </c>
      <c r="AI204" s="39">
        <f t="shared" si="76"/>
        <v>60.207575757575761</v>
      </c>
      <c r="AJ204" s="39">
        <f t="shared" si="77"/>
        <v>60.207575757575761</v>
      </c>
      <c r="AK204">
        <f t="shared" si="78"/>
        <v>71.459091113090906</v>
      </c>
      <c r="AL204">
        <f t="shared" si="79"/>
        <v>60.207575961575785</v>
      </c>
    </row>
    <row r="205" spans="1:38" ht="15">
      <c r="A205" t="s">
        <v>476</v>
      </c>
      <c r="B205">
        <v>59</v>
      </c>
      <c r="C205">
        <v>25000</v>
      </c>
      <c r="D205">
        <v>25000</v>
      </c>
      <c r="E205">
        <v>25000</v>
      </c>
      <c r="F205" t="s">
        <v>389</v>
      </c>
      <c r="G205" t="s">
        <v>178</v>
      </c>
      <c r="H205" t="s">
        <v>12</v>
      </c>
      <c r="I205">
        <v>15000</v>
      </c>
      <c r="K205" t="str">
        <f t="shared" si="60"/>
        <v/>
      </c>
      <c r="L205" t="str">
        <f t="shared" si="61"/>
        <v>سائل جلي super / عبوة 3 لتر 2603</v>
      </c>
      <c r="M205" s="36">
        <f t="shared" si="62"/>
        <v>7.5757575757575758E-5</v>
      </c>
      <c r="N205" s="37">
        <f t="shared" si="63"/>
        <v>1.1363636363636365</v>
      </c>
      <c r="O205" s="37">
        <f t="shared" si="64"/>
        <v>1.893939393939394</v>
      </c>
      <c r="P205" s="38">
        <f t="shared" si="65"/>
        <v>59</v>
      </c>
      <c r="Q205" s="39">
        <f t="shared" si="66"/>
        <v>67.045454545454547</v>
      </c>
      <c r="R205" s="39">
        <f t="shared" si="67"/>
        <v>111.74242424242425</v>
      </c>
      <c r="S205">
        <f t="shared" si="68"/>
        <v>1</v>
      </c>
      <c r="T205" s="39">
        <f t="shared" si="69"/>
        <v>44.696969696969703</v>
      </c>
      <c r="U205" t="str">
        <f t="shared" si="70"/>
        <v/>
      </c>
      <c r="V205">
        <f>IF(L205="","",IF($AO$1=1,IFERROR(MATCH(L205,'07-تموز'!$L$2:$L$500,0),0),0))</f>
        <v>186</v>
      </c>
      <c r="W205" t="str">
        <f t="shared" si="71"/>
        <v/>
      </c>
      <c r="X205" s="38">
        <f>IF(L205="","",IF(V205&gt;0,INDEX('07-تموز'!$P$2:$P$500,V205),IF($AO$1=1,0,"")))</f>
        <v>65</v>
      </c>
      <c r="Y205" s="38">
        <f t="shared" si="72"/>
        <v>-6</v>
      </c>
      <c r="Z205" s="39">
        <f>IF(L205="","",IF(V205&gt;0,INDEX('07-تموز'!$Q$2:$Q$500,V205),IF($AO$1=1,0,"")))</f>
        <v>73.308270676691734</v>
      </c>
      <c r="AA205" s="39">
        <f t="shared" si="73"/>
        <v>-6.2628161312371873</v>
      </c>
      <c r="AB205" s="40">
        <f>IF(OR(L205="",V205=0),"",IF(AND(N(I205)&gt;0,N(INDEX('07-تموز'!$I$2:$I$500,V205))&gt;0,INDEX('07-تموز'!$F$2:$F$500,V205)=F205),N(I205)/N(INDEX('07-تموز'!$I$2:$I$500,V205))-1,""))</f>
        <v>0</v>
      </c>
      <c r="AC205" t="str">
        <f>IF(L205="","",IF(AND($AO$2=1,ISNA(MATCH(L205,'09-أيلول'!$L$2:$L$500,0))),"محذوف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6.2628163362371874</v>
      </c>
      <c r="AH205" s="39">
        <f t="shared" si="75"/>
        <v>44.696969696969695</v>
      </c>
      <c r="AI205" s="39">
        <f t="shared" si="76"/>
        <v>44.696969696969695</v>
      </c>
      <c r="AJ205" s="39">
        <f t="shared" si="77"/>
        <v>44.696969696969695</v>
      </c>
      <c r="AK205">
        <f t="shared" si="78"/>
        <v>67.045454750454553</v>
      </c>
      <c r="AL205">
        <f t="shared" si="79"/>
        <v>44.696969901969702</v>
      </c>
    </row>
    <row r="206" spans="1:38" ht="15">
      <c r="A206" t="s">
        <v>477</v>
      </c>
      <c r="B206">
        <v>550</v>
      </c>
      <c r="C206">
        <v>27000</v>
      </c>
      <c r="D206">
        <v>27000</v>
      </c>
      <c r="E206">
        <v>27000</v>
      </c>
      <c r="F206" t="s">
        <v>389</v>
      </c>
      <c r="G206" t="s">
        <v>178</v>
      </c>
      <c r="H206" t="s">
        <v>12</v>
      </c>
      <c r="I206">
        <v>18600</v>
      </c>
      <c r="K206" t="str">
        <f t="shared" si="60"/>
        <v/>
      </c>
      <c r="L206" t="str">
        <f t="shared" si="61"/>
        <v>سائل جلي super / عبوة 3 لتر 2602</v>
      </c>
      <c r="M206" s="36">
        <f t="shared" si="62"/>
        <v>7.5757575757575758E-5</v>
      </c>
      <c r="N206" s="37">
        <f t="shared" si="63"/>
        <v>1.4090909090909092</v>
      </c>
      <c r="O206" s="37">
        <f t="shared" si="64"/>
        <v>2.0454545454545454</v>
      </c>
      <c r="P206" s="38">
        <f t="shared" si="65"/>
        <v>550</v>
      </c>
      <c r="Q206" s="39">
        <f t="shared" si="66"/>
        <v>775</v>
      </c>
      <c r="R206" s="39">
        <f t="shared" si="67"/>
        <v>1125</v>
      </c>
      <c r="S206">
        <f t="shared" si="68"/>
        <v>1</v>
      </c>
      <c r="T206" s="39">
        <f t="shared" si="69"/>
        <v>350</v>
      </c>
      <c r="U206" t="str">
        <f t="shared" si="70"/>
        <v/>
      </c>
      <c r="V206">
        <f>IF(L206="","",IF($AO$1=1,IFERROR(MATCH(L206,'07-تموز'!$L$2:$L$500,0),0),0))</f>
        <v>187</v>
      </c>
      <c r="W206" t="str">
        <f t="shared" si="71"/>
        <v/>
      </c>
      <c r="X206" s="38">
        <f>IF(L206="","",IF(V206&gt;0,INDEX('07-تموز'!$P$2:$P$500,V206),IF($AO$1=1,0,"")))</f>
        <v>427</v>
      </c>
      <c r="Y206" s="38">
        <f t="shared" si="72"/>
        <v>123</v>
      </c>
      <c r="Z206" s="39">
        <f>IF(L206="","",IF(V206&gt;0,INDEX('07-تموز'!$Q$2:$Q$500,V206),IF($AO$1=1,0,"")))</f>
        <v>597.15789473684208</v>
      </c>
      <c r="AA206" s="39">
        <f t="shared" si="73"/>
        <v>177.84210526315792</v>
      </c>
      <c r="AB206" s="40">
        <f>IF(OR(L206="",V206=0),"",IF(AND(N(I206)&gt;0,N(INDEX('07-تموز'!$I$2:$I$500,V206))&gt;0,INDEX('07-تموز'!$F$2:$F$500,V206)=F206),N(I206)/N(INDEX('07-تموز'!$I$2:$I$500,V206))-1,""))</f>
        <v>0</v>
      </c>
      <c r="AC206" t="str">
        <f>IF(L206="","",IF(AND($AO$2=1,ISNA(MATCH(L206,'09-أيلول'!$L$2:$L$500,0))),"محذوف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177.84210546915793</v>
      </c>
      <c r="AH206" s="39">
        <f t="shared" si="75"/>
        <v>349.99999999999994</v>
      </c>
      <c r="AI206" s="39">
        <f t="shared" si="76"/>
        <v>349.99999999999994</v>
      </c>
      <c r="AJ206" s="39">
        <f t="shared" si="77"/>
        <v>349.99999999999994</v>
      </c>
      <c r="AK206">
        <f t="shared" si="78"/>
        <v>775.00000020599998</v>
      </c>
      <c r="AL206">
        <f t="shared" si="79"/>
        <v>350.00000020599998</v>
      </c>
    </row>
    <row r="207" spans="1:38" ht="15">
      <c r="A207" t="s">
        <v>478</v>
      </c>
      <c r="B207">
        <v>35</v>
      </c>
      <c r="C207">
        <v>48000</v>
      </c>
      <c r="D207">
        <v>48000</v>
      </c>
      <c r="E207">
        <v>48000</v>
      </c>
      <c r="F207" t="s">
        <v>389</v>
      </c>
      <c r="G207" t="s">
        <v>178</v>
      </c>
      <c r="H207" t="s">
        <v>12</v>
      </c>
      <c r="I207">
        <v>38000</v>
      </c>
      <c r="K207" t="str">
        <f t="shared" si="60"/>
        <v/>
      </c>
      <c r="L207" t="str">
        <f t="shared" si="61"/>
        <v>سائل جلي super / عبوة 3 لتر 2601</v>
      </c>
      <c r="M207" s="36">
        <f t="shared" si="62"/>
        <v>7.5757575757575758E-5</v>
      </c>
      <c r="N207" s="37">
        <f t="shared" si="63"/>
        <v>2.8787878787878789</v>
      </c>
      <c r="O207" s="37">
        <f t="shared" si="64"/>
        <v>3.6363636363636362</v>
      </c>
      <c r="P207" s="38">
        <f t="shared" si="65"/>
        <v>35</v>
      </c>
      <c r="Q207" s="39">
        <f t="shared" si="66"/>
        <v>100.75757575757576</v>
      </c>
      <c r="R207" s="39">
        <f t="shared" si="67"/>
        <v>127.27272727272727</v>
      </c>
      <c r="S207">
        <f t="shared" si="68"/>
        <v>1</v>
      </c>
      <c r="T207" s="39">
        <f t="shared" si="69"/>
        <v>26.515151515151501</v>
      </c>
      <c r="U207" t="str">
        <f t="shared" si="70"/>
        <v/>
      </c>
      <c r="V207">
        <f>IF(L207="","",IF($AO$1=1,IFERROR(MATCH(L207,'07-تموز'!$L$2:$L$500,0),0),0))</f>
        <v>188</v>
      </c>
      <c r="W207" t="str">
        <f t="shared" si="71"/>
        <v/>
      </c>
      <c r="X207" s="38">
        <f>IF(L207="","",IF(V207&gt;0,INDEX('07-تموز'!$P$2:$P$500,V207),IF($AO$1=1,0,"")))</f>
        <v>41</v>
      </c>
      <c r="Y207" s="38">
        <f t="shared" si="72"/>
        <v>-6</v>
      </c>
      <c r="Z207" s="39">
        <f>IF(L207="","",IF(V207&gt;0,INDEX('07-تموز'!$Q$2:$Q$500,V207),IF($AO$1=1,0,"")))</f>
        <v>117.14285714285714</v>
      </c>
      <c r="AA207" s="39">
        <f t="shared" si="73"/>
        <v>-16.385281385281374</v>
      </c>
      <c r="AB207" s="40">
        <f>IF(OR(L207="",V207=0),"",IF(AND(N(I207)&gt;0,N(INDEX('07-تموز'!$I$2:$I$500,V207))&gt;0,INDEX('07-تموز'!$F$2:$F$500,V207)=F207),N(I207)/N(INDEX('07-تموز'!$I$2:$I$500,V207))-1,""))</f>
        <v>0</v>
      </c>
      <c r="AC207" t="str">
        <f>IF(L207="","",IF(AND($AO$2=1,ISNA(MATCH(L207,'09-أيلول'!$L$2:$L$500,0))),"محذوف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16.385281592281373</v>
      </c>
      <c r="AH207" s="39">
        <f t="shared" si="75"/>
        <v>26.515151515151508</v>
      </c>
      <c r="AI207" s="39">
        <f t="shared" si="76"/>
        <v>26.515151515151508</v>
      </c>
      <c r="AJ207" s="39">
        <f t="shared" si="77"/>
        <v>26.515151515151508</v>
      </c>
      <c r="AK207">
        <f t="shared" si="78"/>
        <v>100.75757596457576</v>
      </c>
      <c r="AL207">
        <f t="shared" si="79"/>
        <v>26.515151722151501</v>
      </c>
    </row>
    <row r="208" spans="1:38" ht="15">
      <c r="A208" t="s">
        <v>479</v>
      </c>
      <c r="B208">
        <v>0</v>
      </c>
      <c r="C208">
        <v>270000</v>
      </c>
      <c r="D208">
        <v>270000</v>
      </c>
      <c r="E208">
        <v>270000</v>
      </c>
      <c r="F208" t="s">
        <v>389</v>
      </c>
      <c r="G208" t="s">
        <v>178</v>
      </c>
      <c r="H208" t="s">
        <v>12</v>
      </c>
      <c r="I208">
        <v>119500</v>
      </c>
      <c r="K208" t="str">
        <f t="shared" si="60"/>
        <v/>
      </c>
      <c r="L208" t="str">
        <f t="shared" si="61"/>
        <v>زيت صنوبر 3 لتر</v>
      </c>
      <c r="M208" s="36">
        <f t="shared" si="62"/>
        <v>7.5757575757575758E-5</v>
      </c>
      <c r="N208" s="37">
        <f t="shared" si="63"/>
        <v>9.0530303030303028</v>
      </c>
      <c r="O208" s="37">
        <f t="shared" si="64"/>
        <v>20.454545454545453</v>
      </c>
      <c r="P208" s="38">
        <f t="shared" si="65"/>
        <v>0</v>
      </c>
      <c r="Q208" s="39">
        <f t="shared" si="66"/>
        <v>0</v>
      </c>
      <c r="R208" s="39">
        <f t="shared" si="67"/>
        <v>0</v>
      </c>
      <c r="S208">
        <f t="shared" si="68"/>
        <v>0</v>
      </c>
      <c r="T208" s="39">
        <f t="shared" si="69"/>
        <v>0</v>
      </c>
      <c r="U208" t="str">
        <f t="shared" si="70"/>
        <v/>
      </c>
      <c r="V208">
        <f>IF(L208="","",IF($AO$1=1,IFERROR(MATCH(L208,'07-تموز'!$L$2:$L$500,0),0),0))</f>
        <v>189</v>
      </c>
      <c r="W208" t="str">
        <f t="shared" si="71"/>
        <v/>
      </c>
      <c r="X208" s="38">
        <f>IF(L208="","",IF(V208&gt;0,INDEX('07-تموز'!$P$2:$P$500,V208),IF($AO$1=1,0,"")))</f>
        <v>0</v>
      </c>
      <c r="Y208" s="38">
        <f t="shared" si="72"/>
        <v>0</v>
      </c>
      <c r="Z208" s="39">
        <f>IF(L208="","",IF(V208&gt;0,INDEX('07-تموز'!$Q$2:$Q$500,V208),IF($AO$1=1,0,"")))</f>
        <v>0</v>
      </c>
      <c r="AA208" s="39">
        <f t="shared" si="73"/>
        <v>0</v>
      </c>
      <c r="AB208" s="40">
        <f>IF(OR(L208="",V208=0),"",IF(AND(N(I208)&gt;0,N(INDEX('07-تموز'!$I$2:$I$500,V208))&gt;0,INDEX('07-تموز'!$F$2:$F$500,V208)=F208),N(I208)/N(INDEX('07-تموز'!$I$2:$I$500,V208))-1,""))</f>
        <v>0</v>
      </c>
      <c r="AC208" t="str">
        <f>IF(L208="","",IF(AND($AO$2=1,ISNA(MATCH(L208,'09-أيلول'!$L$2:$L$500,0))),"محذوف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2.0800000000000001E-7</v>
      </c>
      <c r="AH208" s="39">
        <f t="shared" si="75"/>
        <v>0</v>
      </c>
      <c r="AI208" s="39">
        <f t="shared" si="76"/>
        <v>0</v>
      </c>
      <c r="AJ208" s="39">
        <f t="shared" si="77"/>
        <v>0</v>
      </c>
      <c r="AK208">
        <f t="shared" si="78"/>
        <v>2.0800000000000001E-7</v>
      </c>
      <c r="AL208">
        <f t="shared" si="79"/>
        <v>2.0800000000000001E-7</v>
      </c>
    </row>
    <row r="209" spans="1:38" ht="15">
      <c r="A209" t="s">
        <v>364</v>
      </c>
      <c r="B209">
        <v>16</v>
      </c>
      <c r="C209">
        <v>0</v>
      </c>
      <c r="D209">
        <v>0</v>
      </c>
      <c r="E209">
        <v>0</v>
      </c>
      <c r="F209" t="s">
        <v>268</v>
      </c>
      <c r="G209" t="s">
        <v>178</v>
      </c>
      <c r="H209" t="s">
        <v>176</v>
      </c>
      <c r="I209">
        <v>5</v>
      </c>
      <c r="K209" t="str">
        <f t="shared" si="60"/>
        <v/>
      </c>
      <c r="L209" t="str">
        <f t="shared" si="61"/>
        <v>زيت الصنوبر</v>
      </c>
      <c r="M209" s="36">
        <f t="shared" si="62"/>
        <v>1</v>
      </c>
      <c r="N209" s="37">
        <f t="shared" si="63"/>
        <v>5</v>
      </c>
      <c r="O209" s="37">
        <f t="shared" si="64"/>
        <v>0</v>
      </c>
      <c r="P209" s="38">
        <f t="shared" si="65"/>
        <v>16</v>
      </c>
      <c r="Q209" s="39">
        <f t="shared" si="66"/>
        <v>80</v>
      </c>
      <c r="R209" s="39">
        <f t="shared" si="67"/>
        <v>0</v>
      </c>
      <c r="S209">
        <f t="shared" si="68"/>
        <v>0</v>
      </c>
      <c r="T209" s="39">
        <f t="shared" si="69"/>
        <v>0</v>
      </c>
      <c r="U209" t="str">
        <f t="shared" si="70"/>
        <v/>
      </c>
      <c r="V209">
        <f>IF(L209="","",IF($AO$1=1,IFERROR(MATCH(L209,'07-تموز'!$L$2:$L$500,0),0),0))</f>
        <v>190</v>
      </c>
      <c r="W209" t="str">
        <f t="shared" si="71"/>
        <v/>
      </c>
      <c r="X209" s="38">
        <f>IF(L209="","",IF(V209&gt;0,INDEX('07-تموز'!$P$2:$P$500,V209),IF($AO$1=1,0,"")))</f>
        <v>11</v>
      </c>
      <c r="Y209" s="38">
        <f t="shared" si="72"/>
        <v>5</v>
      </c>
      <c r="Z209" s="39">
        <f>IF(L209="","",IF(V209&gt;0,INDEX('07-تموز'!$Q$2:$Q$500,V209),IF($AO$1=1,0,"")))</f>
        <v>55</v>
      </c>
      <c r="AA209" s="39">
        <f t="shared" si="73"/>
        <v>25</v>
      </c>
      <c r="AB209" s="40">
        <f>IF(OR(L209="",V209=0),"",IF(AND(N(I209)&gt;0,N(INDEX('07-تموز'!$I$2:$I$500,V209))&gt;0,INDEX('07-تموز'!$F$2:$F$500,V209)=F209),N(I209)/N(INDEX('07-تموز'!$I$2:$I$500,V209))-1,""))</f>
        <v>0</v>
      </c>
      <c r="AC209" t="str">
        <f>IF(L209="","",IF(AND($AO$2=1,ISNA(MATCH(L209,'09-أيلول'!$L$2:$L$500,0))),"محذوف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25.000000209</v>
      </c>
      <c r="AH209" s="39">
        <f t="shared" si="75"/>
        <v>0</v>
      </c>
      <c r="AI209" s="39">
        <f t="shared" si="76"/>
        <v>0</v>
      </c>
      <c r="AJ209" s="39">
        <f t="shared" si="77"/>
        <v>0</v>
      </c>
      <c r="AK209">
        <f t="shared" si="78"/>
        <v>80.000000209000007</v>
      </c>
      <c r="AL209">
        <f t="shared" si="79"/>
        <v>2.0900000000000001E-7</v>
      </c>
    </row>
    <row r="210" spans="1:38" ht="15">
      <c r="A210" t="s">
        <v>507</v>
      </c>
      <c r="B210">
        <v>0</v>
      </c>
      <c r="C210">
        <v>0</v>
      </c>
      <c r="D210">
        <v>0</v>
      </c>
      <c r="E210">
        <v>0</v>
      </c>
      <c r="F210" t="s">
        <v>268</v>
      </c>
      <c r="G210" t="s">
        <v>178</v>
      </c>
      <c r="H210" t="s">
        <v>176</v>
      </c>
      <c r="I210">
        <v>100</v>
      </c>
      <c r="K210" t="str">
        <f t="shared" si="60"/>
        <v/>
      </c>
      <c r="L210" t="str">
        <f t="shared" si="61"/>
        <v>زنجارة</v>
      </c>
      <c r="M210" s="36">
        <f t="shared" si="62"/>
        <v>1</v>
      </c>
      <c r="N210" s="37">
        <f t="shared" si="63"/>
        <v>100</v>
      </c>
      <c r="O210" s="37">
        <f t="shared" si="64"/>
        <v>0</v>
      </c>
      <c r="P210" s="38">
        <f t="shared" si="65"/>
        <v>0</v>
      </c>
      <c r="Q210" s="39">
        <f t="shared" si="66"/>
        <v>0</v>
      </c>
      <c r="R210" s="39">
        <f t="shared" si="67"/>
        <v>0</v>
      </c>
      <c r="S210">
        <f t="shared" si="68"/>
        <v>0</v>
      </c>
      <c r="T210" s="39">
        <f t="shared" si="69"/>
        <v>0</v>
      </c>
      <c r="U210" t="str">
        <f t="shared" si="70"/>
        <v/>
      </c>
      <c r="V210">
        <f>IF(L210="","",IF($AO$1=1,IFERROR(MATCH(L210,'07-تموز'!$L$2:$L$500,0),0),0))</f>
        <v>191</v>
      </c>
      <c r="W210" t="str">
        <f t="shared" si="71"/>
        <v/>
      </c>
      <c r="X210" s="38">
        <f>IF(L210="","",IF(V210&gt;0,INDEX('07-تموز'!$P$2:$P$500,V210),IF($AO$1=1,0,"")))</f>
        <v>0</v>
      </c>
      <c r="Y210" s="38">
        <f t="shared" si="72"/>
        <v>0</v>
      </c>
      <c r="Z210" s="39">
        <f>IF(L210="","",IF(V210&gt;0,INDEX('07-تموز'!$Q$2:$Q$500,V210),IF($AO$1=1,0,"")))</f>
        <v>0</v>
      </c>
      <c r="AA210" s="39">
        <f t="shared" si="73"/>
        <v>0</v>
      </c>
      <c r="AB210" s="40">
        <f>IF(OR(L210="",V210=0),"",IF(AND(N(I210)&gt;0,N(INDEX('07-تموز'!$I$2:$I$500,V210))&gt;0,INDEX('07-تموز'!$F$2:$F$500,V210)=F210),N(I210)/N(INDEX('07-تموز'!$I$2:$I$500,V210))-1,""))</f>
        <v>0</v>
      </c>
      <c r="AC210" t="str">
        <f>IF(L210="","",IF(AND($AO$2=1,ISNA(MATCH(L210,'09-أيلول'!$L$2:$L$500,0))),"محذوف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2.1E-7</v>
      </c>
      <c r="AH210" s="39">
        <f t="shared" si="75"/>
        <v>0</v>
      </c>
      <c r="AI210" s="39">
        <f t="shared" si="76"/>
        <v>0</v>
      </c>
      <c r="AJ210" s="39">
        <f t="shared" si="77"/>
        <v>0</v>
      </c>
      <c r="AK210">
        <f t="shared" si="78"/>
        <v>2.1E-7</v>
      </c>
      <c r="AL210">
        <f t="shared" si="79"/>
        <v>2.1E-7</v>
      </c>
    </row>
    <row r="211" spans="1:38" ht="15">
      <c r="A211" t="s">
        <v>526</v>
      </c>
      <c r="B211">
        <v>305</v>
      </c>
      <c r="C211">
        <v>0</v>
      </c>
      <c r="D211">
        <v>0</v>
      </c>
      <c r="E211">
        <v>0</v>
      </c>
      <c r="F211" t="s">
        <v>268</v>
      </c>
      <c r="G211" t="s">
        <v>178</v>
      </c>
      <c r="H211" t="s">
        <v>176</v>
      </c>
      <c r="I211">
        <v>3</v>
      </c>
      <c r="K211" t="str">
        <f t="shared" si="60"/>
        <v/>
      </c>
      <c r="L211" t="str">
        <f t="shared" si="61"/>
        <v>زفتة قديمة</v>
      </c>
      <c r="M211" s="36">
        <f t="shared" si="62"/>
        <v>1</v>
      </c>
      <c r="N211" s="37">
        <f t="shared" si="63"/>
        <v>3</v>
      </c>
      <c r="O211" s="37">
        <f t="shared" si="64"/>
        <v>0</v>
      </c>
      <c r="P211" s="38">
        <f t="shared" si="65"/>
        <v>305</v>
      </c>
      <c r="Q211" s="39">
        <f t="shared" si="66"/>
        <v>915</v>
      </c>
      <c r="R211" s="39">
        <f t="shared" si="67"/>
        <v>0</v>
      </c>
      <c r="S211">
        <f t="shared" si="68"/>
        <v>0</v>
      </c>
      <c r="T211" s="39">
        <f t="shared" si="69"/>
        <v>0</v>
      </c>
      <c r="U211" t="str">
        <f t="shared" si="70"/>
        <v/>
      </c>
      <c r="V211">
        <f>IF(L211="","",IF($AO$1=1,IFERROR(MATCH(L211,'07-تموز'!$L$2:$L$500,0),0),0))</f>
        <v>0</v>
      </c>
      <c r="W211" t="str">
        <f t="shared" si="71"/>
        <v>جديد</v>
      </c>
      <c r="X211" s="38">
        <f>IF(L211="","",IF(V211&gt;0,INDEX('07-تموز'!$P$2:$P$500,V211),IF($AO$1=1,0,"")))</f>
        <v>0</v>
      </c>
      <c r="Y211" s="38">
        <f t="shared" si="72"/>
        <v>305</v>
      </c>
      <c r="Z211" s="39">
        <f>IF(L211="","",IF(V211&gt;0,INDEX('07-تموز'!$Q$2:$Q$500,V211),IF($AO$1=1,0,"")))</f>
        <v>0</v>
      </c>
      <c r="AA211" s="39">
        <f t="shared" si="73"/>
        <v>915</v>
      </c>
      <c r="AB211" s="40" t="str">
        <f>IF(OR(L211="",V211=0),"",IF(AND(N(I211)&gt;0,N(INDEX('07-تموز'!$I$2:$I$500,V211))&gt;0,INDEX('07-تموز'!$F$2:$F$500,V211)=F211),N(I211)/N(INDEX('07-تموز'!$I$2:$I$500,V211))-1,""))</f>
        <v/>
      </c>
      <c r="AC211" t="str">
        <f>IF(L211="","",IF(AND($AO$2=1,ISNA(MATCH(L211,'09-أيلول'!$L$2:$L$500,0))),"محذوف لاحقاً",""))</f>
        <v/>
      </c>
      <c r="AD211">
        <f>IF(W211="جديد",COUNTIF(W$2:W211,"جديد"),"")</f>
        <v>19</v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915.00000021100004</v>
      </c>
      <c r="AH211" s="39">
        <f t="shared" si="75"/>
        <v>0</v>
      </c>
      <c r="AI211" s="39">
        <f t="shared" si="76"/>
        <v>0</v>
      </c>
      <c r="AJ211" s="39">
        <f t="shared" si="77"/>
        <v>0</v>
      </c>
      <c r="AK211">
        <f t="shared" si="78"/>
        <v>915.00000021100004</v>
      </c>
      <c r="AL211">
        <f t="shared" si="79"/>
        <v>2.11E-7</v>
      </c>
    </row>
    <row r="212" spans="1:38" ht="15">
      <c r="A212" t="s">
        <v>365</v>
      </c>
      <c r="B212">
        <v>970</v>
      </c>
      <c r="C212">
        <v>0</v>
      </c>
      <c r="D212">
        <v>0</v>
      </c>
      <c r="E212">
        <v>0</v>
      </c>
      <c r="F212" t="s">
        <v>268</v>
      </c>
      <c r="G212" t="s">
        <v>178</v>
      </c>
      <c r="H212" t="s">
        <v>176</v>
      </c>
      <c r="I212">
        <v>3</v>
      </c>
      <c r="K212" t="str">
        <f t="shared" si="60"/>
        <v/>
      </c>
      <c r="L212" t="str">
        <f t="shared" si="61"/>
        <v>زفتة</v>
      </c>
      <c r="M212" s="36">
        <f t="shared" si="62"/>
        <v>1</v>
      </c>
      <c r="N212" s="37">
        <f t="shared" si="63"/>
        <v>3</v>
      </c>
      <c r="O212" s="37">
        <f t="shared" si="64"/>
        <v>0</v>
      </c>
      <c r="P212" s="38">
        <f t="shared" si="65"/>
        <v>970</v>
      </c>
      <c r="Q212" s="39">
        <f t="shared" si="66"/>
        <v>2910</v>
      </c>
      <c r="R212" s="39">
        <f t="shared" si="67"/>
        <v>0</v>
      </c>
      <c r="S212">
        <f t="shared" si="68"/>
        <v>0</v>
      </c>
      <c r="T212" s="39">
        <f t="shared" si="69"/>
        <v>0</v>
      </c>
      <c r="U212" t="str">
        <f t="shared" si="70"/>
        <v/>
      </c>
      <c r="V212">
        <f>IF(L212="","",IF($AO$1=1,IFERROR(MATCH(L212,'07-تموز'!$L$2:$L$500,0),0),0))</f>
        <v>192</v>
      </c>
      <c r="W212" t="str">
        <f t="shared" si="71"/>
        <v/>
      </c>
      <c r="X212" s="38">
        <f>IF(L212="","",IF(V212&gt;0,INDEX('07-تموز'!$P$2:$P$500,V212),IF($AO$1=1,0,"")))</f>
        <v>1731</v>
      </c>
      <c r="Y212" s="38">
        <f t="shared" si="72"/>
        <v>-761</v>
      </c>
      <c r="Z212" s="39">
        <f>IF(L212="","",IF(V212&gt;0,INDEX('07-تموز'!$Q$2:$Q$500,V212),IF($AO$1=1,0,"")))</f>
        <v>5193</v>
      </c>
      <c r="AA212" s="39">
        <f t="shared" si="73"/>
        <v>-2283</v>
      </c>
      <c r="AB212" s="40">
        <f>IF(OR(L212="",V212=0),"",IF(AND(N(I212)&gt;0,N(INDEX('07-تموز'!$I$2:$I$500,V212))&gt;0,INDEX('07-تموز'!$F$2:$F$500,V212)=F212),N(I212)/N(INDEX('07-تموز'!$I$2:$I$500,V212))-1,""))</f>
        <v>0</v>
      </c>
      <c r="AC212" t="str">
        <f>IF(L212="","",IF(AND($AO$2=1,ISNA(MATCH(L212,'09-أيلول'!$L$2:$L$500,0))),"محذوف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2283.000000212</v>
      </c>
      <c r="AH212" s="39">
        <f t="shared" si="75"/>
        <v>0</v>
      </c>
      <c r="AI212" s="39">
        <f t="shared" si="76"/>
        <v>0</v>
      </c>
      <c r="AJ212" s="39">
        <f t="shared" si="77"/>
        <v>0</v>
      </c>
      <c r="AK212">
        <f t="shared" si="78"/>
        <v>2910.000000212</v>
      </c>
      <c r="AL212">
        <f t="shared" si="79"/>
        <v>2.1199999999999999E-7</v>
      </c>
    </row>
    <row r="213" spans="1:38" ht="15">
      <c r="A213" t="s">
        <v>480</v>
      </c>
      <c r="B213">
        <v>7.0000000000000007E-2</v>
      </c>
      <c r="C213">
        <v>1750000</v>
      </c>
      <c r="D213">
        <v>1750000</v>
      </c>
      <c r="E213">
        <v>1750000</v>
      </c>
      <c r="F213" t="s">
        <v>389</v>
      </c>
      <c r="G213" t="s">
        <v>178</v>
      </c>
      <c r="H213" t="s">
        <v>176</v>
      </c>
      <c r="I213">
        <v>812500</v>
      </c>
      <c r="K213" t="str">
        <f t="shared" si="60"/>
        <v/>
      </c>
      <c r="L213" t="str">
        <f t="shared" si="61"/>
        <v>ديتول خام</v>
      </c>
      <c r="M213" s="36">
        <f t="shared" si="62"/>
        <v>7.5757575757575758E-5</v>
      </c>
      <c r="N213" s="37">
        <f t="shared" si="63"/>
        <v>61.553030303030305</v>
      </c>
      <c r="O213" s="37">
        <f t="shared" si="64"/>
        <v>132.57575757575756</v>
      </c>
      <c r="P213" s="38">
        <f t="shared" si="65"/>
        <v>7.0000000000000007E-2</v>
      </c>
      <c r="Q213" s="39">
        <f t="shared" si="66"/>
        <v>4.308712121212122</v>
      </c>
      <c r="R213" s="39">
        <f t="shared" si="67"/>
        <v>9.2803030303030312</v>
      </c>
      <c r="S213">
        <f t="shared" si="68"/>
        <v>1</v>
      </c>
      <c r="T213" s="39">
        <f t="shared" si="69"/>
        <v>4.9715909090909092</v>
      </c>
      <c r="U213" t="str">
        <f t="shared" si="70"/>
        <v/>
      </c>
      <c r="V213">
        <f>IF(L213="","",IF($AO$1=1,IFERROR(MATCH(L213,'07-تموز'!$L$2:$L$500,0),0),0))</f>
        <v>193</v>
      </c>
      <c r="W213" t="str">
        <f t="shared" si="71"/>
        <v/>
      </c>
      <c r="X213" s="38">
        <f>IF(L213="","",IF(V213&gt;0,INDEX('07-تموز'!$P$2:$P$500,V213),IF($AO$1=1,0,"")))</f>
        <v>0.2</v>
      </c>
      <c r="Y213" s="38">
        <f t="shared" si="72"/>
        <v>-0.13</v>
      </c>
      <c r="Z213" s="39">
        <f>IF(L213="","",IF(V213&gt;0,INDEX('07-تموز'!$Q$2:$Q$500,V213),IF($AO$1=1,0,"")))</f>
        <v>12.218045112781954</v>
      </c>
      <c r="AA213" s="39">
        <f t="shared" si="73"/>
        <v>-7.9093329915698325</v>
      </c>
      <c r="AB213" s="40">
        <f>IF(OR(L213="",V213=0),"",IF(AND(N(I213)&gt;0,N(INDEX('07-تموز'!$I$2:$I$500,V213))&gt;0,INDEX('07-تموز'!$F$2:$F$500,V213)=F213),N(I213)/N(INDEX('07-تموز'!$I$2:$I$500,V213))-1,""))</f>
        <v>0</v>
      </c>
      <c r="AC213" t="str">
        <f>IF(L213="","",IF(AND($AO$2=1,ISNA(MATCH(L213,'09-أيلول'!$L$2:$L$500,0))),"محذوف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7.9093332045698324</v>
      </c>
      <c r="AH213" s="39">
        <f t="shared" si="75"/>
        <v>4.9715909090909083</v>
      </c>
      <c r="AI213" s="39">
        <f t="shared" si="76"/>
        <v>4.9715909090909083</v>
      </c>
      <c r="AJ213" s="39">
        <f t="shared" si="77"/>
        <v>4.9715909090909083</v>
      </c>
      <c r="AK213">
        <f t="shared" si="78"/>
        <v>4.3087123342121219</v>
      </c>
      <c r="AL213">
        <f t="shared" si="79"/>
        <v>4.971591122090909</v>
      </c>
    </row>
    <row r="214" spans="1:38" ht="15">
      <c r="A214" t="s">
        <v>481</v>
      </c>
      <c r="B214">
        <v>0</v>
      </c>
      <c r="C214">
        <v>49000</v>
      </c>
      <c r="D214">
        <v>49000</v>
      </c>
      <c r="E214">
        <v>49000</v>
      </c>
      <c r="F214" t="s">
        <v>389</v>
      </c>
      <c r="G214" t="s">
        <v>178</v>
      </c>
      <c r="H214" t="s">
        <v>12</v>
      </c>
      <c r="I214">
        <v>24500</v>
      </c>
      <c r="K214" t="str">
        <f t="shared" si="60"/>
        <v/>
      </c>
      <c r="L214" t="str">
        <f t="shared" si="61"/>
        <v>ديتول 3 لتر</v>
      </c>
      <c r="M214" s="36">
        <f t="shared" si="62"/>
        <v>7.5757575757575758E-5</v>
      </c>
      <c r="N214" s="37">
        <f t="shared" si="63"/>
        <v>1.856060606060606</v>
      </c>
      <c r="O214" s="37">
        <f t="shared" si="64"/>
        <v>3.7121212121212119</v>
      </c>
      <c r="P214" s="38">
        <f t="shared" si="65"/>
        <v>0</v>
      </c>
      <c r="Q214" s="39">
        <f t="shared" si="66"/>
        <v>0</v>
      </c>
      <c r="R214" s="39">
        <f t="shared" si="67"/>
        <v>0</v>
      </c>
      <c r="S214">
        <f t="shared" si="68"/>
        <v>0</v>
      </c>
      <c r="T214" s="39">
        <f t="shared" si="69"/>
        <v>0</v>
      </c>
      <c r="U214" t="str">
        <f t="shared" si="70"/>
        <v/>
      </c>
      <c r="V214">
        <f>IF(L214="","",IF($AO$1=1,IFERROR(MATCH(L214,'07-تموز'!$L$2:$L$500,0),0),0))</f>
        <v>194</v>
      </c>
      <c r="W214" t="str">
        <f t="shared" si="71"/>
        <v/>
      </c>
      <c r="X214" s="38">
        <f>IF(L214="","",IF(V214&gt;0,INDEX('07-تموز'!$P$2:$P$500,V214),IF($AO$1=1,0,"")))</f>
        <v>0</v>
      </c>
      <c r="Y214" s="38">
        <f t="shared" si="72"/>
        <v>0</v>
      </c>
      <c r="Z214" s="39">
        <f>IF(L214="","",IF(V214&gt;0,INDEX('07-تموز'!$Q$2:$Q$500,V214),IF($AO$1=1,0,"")))</f>
        <v>0</v>
      </c>
      <c r="AA214" s="39">
        <f t="shared" si="73"/>
        <v>0</v>
      </c>
      <c r="AB214" s="40">
        <f>IF(OR(L214="",V214=0),"",IF(AND(N(I214)&gt;0,N(INDEX('07-تموز'!$I$2:$I$500,V214))&gt;0,INDEX('07-تموز'!$F$2:$F$500,V214)=F214),N(I214)/N(INDEX('07-تموز'!$I$2:$I$500,V214))-1,""))</f>
        <v>0</v>
      </c>
      <c r="AC214" t="str">
        <f>IF(L214="","",IF(AND($AO$2=1,ISNA(MATCH(L214,'09-أيلول'!$L$2:$L$500,0))),"محذوف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2.1400000000000001E-7</v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2.1400000000000001E-7</v>
      </c>
      <c r="AL214">
        <f t="shared" si="79"/>
        <v>2.1400000000000001E-7</v>
      </c>
    </row>
    <row r="215" spans="1:38" ht="15">
      <c r="A215" t="s">
        <v>482</v>
      </c>
      <c r="B215">
        <v>0</v>
      </c>
      <c r="C215">
        <v>14000</v>
      </c>
      <c r="D215">
        <v>14000</v>
      </c>
      <c r="E215">
        <v>14000</v>
      </c>
      <c r="F215" t="s">
        <v>389</v>
      </c>
      <c r="G215" t="s">
        <v>178</v>
      </c>
      <c r="H215" t="s">
        <v>12</v>
      </c>
      <c r="I215">
        <v>7000</v>
      </c>
      <c r="K215" t="str">
        <f t="shared" si="60"/>
        <v/>
      </c>
      <c r="L215" t="str">
        <f t="shared" si="61"/>
        <v>ديتول / فرط</v>
      </c>
      <c r="M215" s="36">
        <f t="shared" si="62"/>
        <v>7.5757575757575758E-5</v>
      </c>
      <c r="N215" s="37">
        <f t="shared" si="63"/>
        <v>0.53030303030303028</v>
      </c>
      <c r="O215" s="37">
        <f t="shared" si="64"/>
        <v>1.0606060606060606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IF(L215="","",IF($AO$1=1,IFERROR(MATCH(L215,'07-تموز'!$L$2:$L$500,0),0),0))</f>
        <v>195</v>
      </c>
      <c r="W215" t="str">
        <f t="shared" si="71"/>
        <v/>
      </c>
      <c r="X215" s="38">
        <f>IF(L215="","",IF(V215&gt;0,INDEX('07-تموز'!$P$2:$P$500,V215),IF($AO$1=1,0,"")))</f>
        <v>0</v>
      </c>
      <c r="Y215" s="38">
        <f t="shared" si="72"/>
        <v>0</v>
      </c>
      <c r="Z215" s="39">
        <f>IF(L215="","",IF(V215&gt;0,INDEX('07-تموز'!$Q$2:$Q$500,V215),IF($AO$1=1,0,"")))</f>
        <v>0</v>
      </c>
      <c r="AA215" s="39">
        <f t="shared" si="73"/>
        <v>0</v>
      </c>
      <c r="AB215" s="40">
        <f>IF(OR(L215="",V215=0),"",IF(AND(N(I215)&gt;0,N(INDEX('07-تموز'!$I$2:$I$500,V215))&gt;0,INDEX('07-تموز'!$F$2:$F$500,V215)=F215),N(I215)/N(INDEX('07-تموز'!$I$2:$I$500,V215))-1,""))</f>
        <v>0</v>
      </c>
      <c r="AC215" t="str">
        <f>IF(L215="","",IF(AND($AO$2=1,ISNA(MATCH(L215,'09-أيلول'!$L$2:$L$500,0))),"محذوف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366</v>
      </c>
      <c r="B216">
        <v>0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0</v>
      </c>
      <c r="K216" t="str">
        <f t="shared" si="60"/>
        <v/>
      </c>
      <c r="L216" t="str">
        <f t="shared" si="61"/>
        <v>ديباتيول فينب</v>
      </c>
      <c r="M216" s="36">
        <f t="shared" si="62"/>
        <v>1</v>
      </c>
      <c r="N216" s="37">
        <f t="shared" si="63"/>
        <v>0</v>
      </c>
      <c r="O216" s="37">
        <f t="shared" si="64"/>
        <v>0</v>
      </c>
      <c r="P216" s="38">
        <f t="shared" si="65"/>
        <v>0</v>
      </c>
      <c r="Q216" s="39">
        <f t="shared" si="66"/>
        <v>0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IF(L216="","",IF($AO$1=1,IFERROR(MATCH(L216,'07-تموز'!$L$2:$L$500,0),0),0))</f>
        <v>196</v>
      </c>
      <c r="W216" t="str">
        <f t="shared" si="71"/>
        <v/>
      </c>
      <c r="X216" s="38">
        <f>IF(L216="","",IF(V216&gt;0,INDEX('07-تموز'!$P$2:$P$500,V216),IF($AO$1=1,0,"")))</f>
        <v>0</v>
      </c>
      <c r="Y216" s="38">
        <f t="shared" si="72"/>
        <v>0</v>
      </c>
      <c r="Z216" s="39">
        <f>IF(L216="","",IF(V216&gt;0,INDEX('07-تموز'!$Q$2:$Q$500,V216),IF($AO$1=1,0,"")))</f>
        <v>0</v>
      </c>
      <c r="AA216" s="39">
        <f t="shared" si="73"/>
        <v>0</v>
      </c>
      <c r="AB216" s="40" t="str">
        <f>IF(OR(L216="",V216=0),"",IF(AND(N(I216)&gt;0,N(INDEX('07-تموز'!$I$2:$I$500,V216))&gt;0,INDEX('07-تموز'!$F$2:$F$500,V216)=F216),N(I216)/N(INDEX('07-تموز'!$I$2:$I$500,V216))-1,""))</f>
        <v/>
      </c>
      <c r="AC216" t="str">
        <f>IF(L216="","",IF(AND($AO$2=1,ISNA(MATCH(L216,'09-أيلول'!$L$2:$L$500,0))),"محذوف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2.16E-7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2.16E-7</v>
      </c>
      <c r="AL216">
        <f t="shared" si="79"/>
        <v>2.16E-7</v>
      </c>
    </row>
    <row r="217" spans="1:38" ht="15">
      <c r="A217" t="s">
        <v>367</v>
      </c>
      <c r="B217">
        <v>0</v>
      </c>
      <c r="C217">
        <v>0</v>
      </c>
      <c r="D217">
        <v>0</v>
      </c>
      <c r="E217">
        <v>0</v>
      </c>
      <c r="F217" t="s">
        <v>268</v>
      </c>
      <c r="G217" t="s">
        <v>178</v>
      </c>
      <c r="H217" t="s">
        <v>176</v>
      </c>
      <c r="I217">
        <v>0.66</v>
      </c>
      <c r="K217" t="str">
        <f t="shared" si="60"/>
        <v/>
      </c>
      <c r="L217" t="str">
        <f t="shared" si="61"/>
        <v>دواء غسيل نصف مصنع</v>
      </c>
      <c r="M217" s="36">
        <f t="shared" si="62"/>
        <v>1</v>
      </c>
      <c r="N217" s="37">
        <f t="shared" si="63"/>
        <v>0.66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IF(L217="","",IF($AO$1=1,IFERROR(MATCH(L217,'07-تموز'!$L$2:$L$500,0),0),0))</f>
        <v>197</v>
      </c>
      <c r="W217" t="str">
        <f t="shared" si="71"/>
        <v/>
      </c>
      <c r="X217" s="38">
        <f>IF(L217="","",IF(V217&gt;0,INDEX('07-تموز'!$P$2:$P$500,V217),IF($AO$1=1,0,"")))</f>
        <v>0</v>
      </c>
      <c r="Y217" s="38">
        <f t="shared" si="72"/>
        <v>0</v>
      </c>
      <c r="Z217" s="39">
        <f>IF(L217="","",IF(V217&gt;0,INDEX('07-تموز'!$Q$2:$Q$500,V217),IF($AO$1=1,0,"")))</f>
        <v>0</v>
      </c>
      <c r="AA217" s="39">
        <f t="shared" si="73"/>
        <v>0</v>
      </c>
      <c r="AB217" s="40">
        <f>IF(OR(L217="",V217=0),"",IF(AND(N(I217)&gt;0,N(INDEX('07-تموز'!$I$2:$I$500,V217))&gt;0,INDEX('07-تموز'!$F$2:$F$500,V217)=F217),N(I217)/N(INDEX('07-تموز'!$I$2:$I$500,V217))-1,""))</f>
        <v>0</v>
      </c>
      <c r="AC217" t="str">
        <f>IF(L217="","",IF(AND($AO$2=1,ISNA(MATCH(L217,'09-أيلول'!$L$2:$L$500,0))),"محذوف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483</v>
      </c>
      <c r="B218">
        <v>391.89</v>
      </c>
      <c r="C218">
        <v>11000</v>
      </c>
      <c r="D218">
        <v>11000</v>
      </c>
      <c r="E218">
        <v>11000</v>
      </c>
      <c r="F218" t="s">
        <v>389</v>
      </c>
      <c r="G218" t="s">
        <v>178</v>
      </c>
      <c r="H218" t="s">
        <v>12</v>
      </c>
      <c r="I218">
        <v>9000</v>
      </c>
      <c r="K218" t="str">
        <f t="shared" si="60"/>
        <v/>
      </c>
      <c r="L218" t="str">
        <f t="shared" si="61"/>
        <v>دواء غسيل بودرا</v>
      </c>
      <c r="M218" s="36">
        <f t="shared" si="62"/>
        <v>7.5757575757575758E-5</v>
      </c>
      <c r="N218" s="37">
        <f t="shared" si="63"/>
        <v>0.68181818181818177</v>
      </c>
      <c r="O218" s="37">
        <f t="shared" si="64"/>
        <v>0.83333333333333337</v>
      </c>
      <c r="P218" s="38">
        <f t="shared" si="65"/>
        <v>391.89</v>
      </c>
      <c r="Q218" s="39">
        <f t="shared" si="66"/>
        <v>267.19772727272726</v>
      </c>
      <c r="R218" s="39">
        <f t="shared" si="67"/>
        <v>326.57499999999999</v>
      </c>
      <c r="S218">
        <f t="shared" si="68"/>
        <v>1</v>
      </c>
      <c r="T218" s="39">
        <f t="shared" si="69"/>
        <v>59.377272727272725</v>
      </c>
      <c r="U218" t="str">
        <f t="shared" si="70"/>
        <v/>
      </c>
      <c r="V218">
        <f>IF(L218="","",IF($AO$1=1,IFERROR(MATCH(L218,'07-تموز'!$L$2:$L$500,0),0),0))</f>
        <v>198</v>
      </c>
      <c r="W218" t="str">
        <f t="shared" si="71"/>
        <v/>
      </c>
      <c r="X218" s="38">
        <f>IF(L218="","",IF(V218&gt;0,INDEX('07-تموز'!$P$2:$P$500,V218),IF($AO$1=1,0,"")))</f>
        <v>541</v>
      </c>
      <c r="Y218" s="38">
        <f t="shared" si="72"/>
        <v>-149.11000000000001</v>
      </c>
      <c r="Z218" s="39">
        <f>IF(L218="","",IF(V218&gt;0,INDEX('07-تموز'!$Q$2:$Q$500,V218),IF($AO$1=1,0,"")))</f>
        <v>366.09022556390977</v>
      </c>
      <c r="AA218" s="39">
        <f t="shared" si="73"/>
        <v>-98.892498291182505</v>
      </c>
      <c r="AB218" s="40">
        <f>IF(OR(L218="",V218=0),"",IF(AND(N(I218)&gt;0,N(INDEX('07-تموز'!$I$2:$I$500,V218))&gt;0,INDEX('07-تموز'!$F$2:$F$500,V218)=F218),N(I218)/N(INDEX('07-تموز'!$I$2:$I$500,V218))-1,""))</f>
        <v>0</v>
      </c>
      <c r="AC218" t="str">
        <f>IF(L218="","",IF(AND($AO$2=1,ISNA(MATCH(L218,'09-أيلول'!$L$2:$L$500,0))),"محذوف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98.892498509182502</v>
      </c>
      <c r="AH218" s="39">
        <f t="shared" si="75"/>
        <v>59.377272727272761</v>
      </c>
      <c r="AI218" s="39">
        <f t="shared" si="76"/>
        <v>59.377272727272761</v>
      </c>
      <c r="AJ218" s="39">
        <f t="shared" si="77"/>
        <v>59.377272727272761</v>
      </c>
      <c r="AK218">
        <f t="shared" si="78"/>
        <v>267.19772749072729</v>
      </c>
      <c r="AL218">
        <f t="shared" si="79"/>
        <v>59.377272945272722</v>
      </c>
    </row>
    <row r="219" spans="1:38" ht="15">
      <c r="A219" t="s">
        <v>484</v>
      </c>
      <c r="B219">
        <v>0</v>
      </c>
      <c r="C219">
        <v>200000</v>
      </c>
      <c r="D219">
        <v>200000</v>
      </c>
      <c r="E219">
        <v>200000</v>
      </c>
      <c r="F219" t="s">
        <v>389</v>
      </c>
      <c r="G219" t="s">
        <v>178</v>
      </c>
      <c r="H219" t="s">
        <v>12</v>
      </c>
      <c r="I219">
        <v>144000</v>
      </c>
      <c r="K219" t="str">
        <f t="shared" si="60"/>
        <v/>
      </c>
      <c r="L219" t="str">
        <f t="shared" si="61"/>
        <v>دوا غسيل نورا</v>
      </c>
      <c r="M219" s="36">
        <f t="shared" si="62"/>
        <v>7.5757575757575758E-5</v>
      </c>
      <c r="N219" s="37">
        <f t="shared" si="63"/>
        <v>10.909090909090908</v>
      </c>
      <c r="O219" s="37">
        <f t="shared" si="64"/>
        <v>15.151515151515152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IF(L219="","",IF($AO$1=1,IFERROR(MATCH(L219,'07-تموز'!$L$2:$L$500,0),0),0))</f>
        <v>199</v>
      </c>
      <c r="W219" t="str">
        <f t="shared" si="71"/>
        <v/>
      </c>
      <c r="X219" s="38">
        <f>IF(L219="","",IF(V219&gt;0,INDEX('07-تموز'!$P$2:$P$500,V219),IF($AO$1=1,0,"")))</f>
        <v>0</v>
      </c>
      <c r="Y219" s="38">
        <f t="shared" si="72"/>
        <v>0</v>
      </c>
      <c r="Z219" s="39">
        <f>IF(L219="","",IF(V219&gt;0,INDEX('07-تموز'!$Q$2:$Q$500,V219),IF($AO$1=1,0,"")))</f>
        <v>0</v>
      </c>
      <c r="AA219" s="39">
        <f t="shared" si="73"/>
        <v>0</v>
      </c>
      <c r="AB219" s="40">
        <f>IF(OR(L219="",V219=0),"",IF(AND(N(I219)&gt;0,N(INDEX('07-تموز'!$I$2:$I$500,V219))&gt;0,INDEX('07-تموز'!$F$2:$F$500,V219)=F219),N(I219)/N(INDEX('07-تموز'!$I$2:$I$500,V219))-1,""))</f>
        <v>0</v>
      </c>
      <c r="AC219" t="str">
        <f>IF(L219="","",IF(AND($AO$2=1,ISNA(MATCH(L219,'09-أيلول'!$L$2:$L$500,0))),"محذوف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2.1899999999999999E-7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368</v>
      </c>
      <c r="B220">
        <v>0</v>
      </c>
      <c r="C220">
        <v>0</v>
      </c>
      <c r="D220">
        <v>0</v>
      </c>
      <c r="E220">
        <v>0</v>
      </c>
      <c r="F220" t="s">
        <v>268</v>
      </c>
      <c r="G220" t="s">
        <v>178</v>
      </c>
      <c r="H220" t="s">
        <v>177</v>
      </c>
      <c r="I220">
        <v>69</v>
      </c>
      <c r="K220" t="str">
        <f t="shared" si="60"/>
        <v/>
      </c>
      <c r="L220" t="str">
        <f t="shared" si="61"/>
        <v>دوا غسيل بودرا 60 كغ خام</v>
      </c>
      <c r="M220" s="36">
        <f t="shared" si="62"/>
        <v>1</v>
      </c>
      <c r="N220" s="37">
        <f t="shared" si="63"/>
        <v>69</v>
      </c>
      <c r="O220" s="37">
        <f t="shared" si="64"/>
        <v>0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IF(L220="","",IF($AO$1=1,IFERROR(MATCH(L220,'07-تموز'!$L$2:$L$500,0),0),0))</f>
        <v>200</v>
      </c>
      <c r="W220" t="str">
        <f t="shared" si="71"/>
        <v/>
      </c>
      <c r="X220" s="38">
        <f>IF(L220="","",IF(V220&gt;0,INDEX('07-تموز'!$P$2:$P$500,V220),IF($AO$1=1,0,"")))</f>
        <v>0</v>
      </c>
      <c r="Y220" s="38">
        <f t="shared" si="72"/>
        <v>0</v>
      </c>
      <c r="Z220" s="39">
        <f>IF(L220="","",IF(V220&gt;0,INDEX('07-تموز'!$Q$2:$Q$500,V220),IF($AO$1=1,0,"")))</f>
        <v>0</v>
      </c>
      <c r="AA220" s="39">
        <f t="shared" si="73"/>
        <v>0</v>
      </c>
      <c r="AB220" s="40">
        <f>IF(OR(L220="",V220=0),"",IF(AND(N(I220)&gt;0,N(INDEX('07-تموز'!$I$2:$I$500,V220))&gt;0,INDEX('07-تموز'!$F$2:$F$500,V220)=F220),N(I220)/N(INDEX('07-تموز'!$I$2:$I$500,V220))-1,""))</f>
        <v>0</v>
      </c>
      <c r="AC220" t="str">
        <f>IF(L220="","",IF(AND($AO$2=1,ISNA(MATCH(L220,'09-أيلول'!$L$2:$L$500,0))),"محذوف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2.2000000000000001E-7</v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369</v>
      </c>
      <c r="B221">
        <v>0</v>
      </c>
      <c r="C221">
        <v>0</v>
      </c>
      <c r="D221">
        <v>0</v>
      </c>
      <c r="E221">
        <v>0</v>
      </c>
      <c r="F221" t="s">
        <v>268</v>
      </c>
      <c r="G221" t="s">
        <v>178</v>
      </c>
      <c r="H221" t="s">
        <v>177</v>
      </c>
      <c r="I221">
        <v>105.4</v>
      </c>
      <c r="K221" t="str">
        <f t="shared" si="60"/>
        <v/>
      </c>
      <c r="L221" t="str">
        <f t="shared" si="61"/>
        <v>دوا غسيل بودرا 170 كغ خام</v>
      </c>
      <c r="M221" s="36">
        <f t="shared" si="62"/>
        <v>1</v>
      </c>
      <c r="N221" s="37">
        <f t="shared" si="63"/>
        <v>105.4</v>
      </c>
      <c r="O221" s="37">
        <f t="shared" si="64"/>
        <v>0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IF(L221="","",IF($AO$1=1,IFERROR(MATCH(L221,'07-تموز'!$L$2:$L$500,0),0),0))</f>
        <v>201</v>
      </c>
      <c r="W221" t="str">
        <f t="shared" si="71"/>
        <v/>
      </c>
      <c r="X221" s="38">
        <f>IF(L221="","",IF(V221&gt;0,INDEX('07-تموز'!$P$2:$P$500,V221),IF($AO$1=1,0,"")))</f>
        <v>0</v>
      </c>
      <c r="Y221" s="38">
        <f t="shared" si="72"/>
        <v>0</v>
      </c>
      <c r="Z221" s="39">
        <f>IF(L221="","",IF(V221&gt;0,INDEX('07-تموز'!$Q$2:$Q$500,V221),IF($AO$1=1,0,"")))</f>
        <v>0</v>
      </c>
      <c r="AA221" s="39">
        <f t="shared" si="73"/>
        <v>0</v>
      </c>
      <c r="AB221" s="40">
        <f>IF(OR(L221="",V221=0),"",IF(AND(N(I221)&gt;0,N(INDEX('07-تموز'!$I$2:$I$500,V221))&gt;0,INDEX('07-تموز'!$F$2:$F$500,V221)=F221),N(I221)/N(INDEX('07-تموز'!$I$2:$I$500,V221))-1,""))</f>
        <v>0</v>
      </c>
      <c r="AC221" t="str">
        <f>IF(L221="","",IF(AND($AO$2=1,ISNA(MATCH(L221,'09-أيلول'!$L$2:$L$500,0))),"محذوف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370</v>
      </c>
      <c r="B222">
        <v>0</v>
      </c>
      <c r="C222">
        <v>0</v>
      </c>
      <c r="D222">
        <v>0</v>
      </c>
      <c r="E222">
        <v>0</v>
      </c>
      <c r="F222" t="s">
        <v>268</v>
      </c>
      <c r="G222" t="s">
        <v>178</v>
      </c>
      <c r="H222" t="s">
        <v>177</v>
      </c>
      <c r="I222">
        <v>60.48</v>
      </c>
      <c r="K222" t="str">
        <f t="shared" si="60"/>
        <v/>
      </c>
      <c r="L222" t="str">
        <f t="shared" si="61"/>
        <v>دوا غسيل بودرا &amp;&amp; كغ خام</v>
      </c>
      <c r="M222" s="36">
        <f t="shared" si="62"/>
        <v>1</v>
      </c>
      <c r="N222" s="37">
        <f t="shared" si="63"/>
        <v>60.48</v>
      </c>
      <c r="O222" s="37">
        <f t="shared" si="64"/>
        <v>0</v>
      </c>
      <c r="P222" s="38">
        <f t="shared" si="65"/>
        <v>0</v>
      </c>
      <c r="Q222" s="39">
        <f t="shared" si="66"/>
        <v>0</v>
      </c>
      <c r="R222" s="39">
        <f t="shared" si="67"/>
        <v>0</v>
      </c>
      <c r="S222">
        <f t="shared" si="68"/>
        <v>0</v>
      </c>
      <c r="T222" s="39">
        <f t="shared" si="69"/>
        <v>0</v>
      </c>
      <c r="U222" t="str">
        <f t="shared" si="70"/>
        <v/>
      </c>
      <c r="V222">
        <f>IF(L222="","",IF($AO$1=1,IFERROR(MATCH(L222,'07-تموز'!$L$2:$L$500,0),0),0))</f>
        <v>202</v>
      </c>
      <c r="W222" t="str">
        <f t="shared" si="71"/>
        <v/>
      </c>
      <c r="X222" s="38">
        <f>IF(L222="","",IF(V222&gt;0,INDEX('07-تموز'!$P$2:$P$500,V222),IF($AO$1=1,0,"")))</f>
        <v>0</v>
      </c>
      <c r="Y222" s="38">
        <f t="shared" si="72"/>
        <v>0</v>
      </c>
      <c r="Z222" s="39">
        <f>IF(L222="","",IF(V222&gt;0,INDEX('07-تموز'!$Q$2:$Q$500,V222),IF($AO$1=1,0,"")))</f>
        <v>0</v>
      </c>
      <c r="AA222" s="39">
        <f t="shared" si="73"/>
        <v>0</v>
      </c>
      <c r="AB222" s="40">
        <f>IF(OR(L222="",V222=0),"",IF(AND(N(I222)&gt;0,N(INDEX('07-تموز'!$I$2:$I$500,V222))&gt;0,INDEX('07-تموز'!$F$2:$F$500,V222)=F222),N(I222)/N(INDEX('07-تموز'!$I$2:$I$500,V222))-1,""))</f>
        <v>0</v>
      </c>
      <c r="AC222" t="str">
        <f>IF(L222="","",IF(AND($AO$2=1,ISNA(MATCH(L222,'09-أيلول'!$L$2:$L$500,0))),"محذوف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2.22E-7</v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2.22E-7</v>
      </c>
      <c r="AL222">
        <f t="shared" si="79"/>
        <v>2.22E-7</v>
      </c>
    </row>
    <row r="223" spans="1:38" ht="15">
      <c r="A223" t="s">
        <v>485</v>
      </c>
      <c r="B223">
        <v>0</v>
      </c>
      <c r="C223">
        <v>13000</v>
      </c>
      <c r="D223">
        <v>13000</v>
      </c>
      <c r="E223">
        <v>13000</v>
      </c>
      <c r="F223" t="s">
        <v>389</v>
      </c>
      <c r="G223" t="s">
        <v>178</v>
      </c>
      <c r="H223" t="s">
        <v>12</v>
      </c>
      <c r="I223">
        <v>5500</v>
      </c>
      <c r="K223" t="str">
        <f t="shared" si="60"/>
        <v/>
      </c>
      <c r="L223" t="str">
        <f t="shared" si="61"/>
        <v>دفتر</v>
      </c>
      <c r="M223" s="36">
        <f t="shared" si="62"/>
        <v>7.5757575757575758E-5</v>
      </c>
      <c r="N223" s="37">
        <f t="shared" si="63"/>
        <v>0.41666666666666669</v>
      </c>
      <c r="O223" s="37">
        <f t="shared" si="64"/>
        <v>0.98484848484848486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IF(L223="","",IF($AO$1=1,IFERROR(MATCH(L223,'07-تموز'!$L$2:$L$500,0),0),0))</f>
        <v>203</v>
      </c>
      <c r="W223" t="str">
        <f t="shared" si="71"/>
        <v/>
      </c>
      <c r="X223" s="38">
        <f>IF(L223="","",IF(V223&gt;0,INDEX('07-تموز'!$P$2:$P$500,V223),IF($AO$1=1,0,"")))</f>
        <v>0</v>
      </c>
      <c r="Y223" s="38">
        <f t="shared" si="72"/>
        <v>0</v>
      </c>
      <c r="Z223" s="39">
        <f>IF(L223="","",IF(V223&gt;0,INDEX('07-تموز'!$Q$2:$Q$500,V223),IF($AO$1=1,0,"")))</f>
        <v>0</v>
      </c>
      <c r="AA223" s="39">
        <f t="shared" si="73"/>
        <v>0</v>
      </c>
      <c r="AB223" s="40">
        <f>IF(OR(L223="",V223=0),"",IF(AND(N(I223)&gt;0,N(INDEX('07-تموز'!$I$2:$I$500,V223))&gt;0,INDEX('07-تموز'!$F$2:$F$500,V223)=F223),N(I223)/N(INDEX('07-تموز'!$I$2:$I$500,V223))-1,""))</f>
        <v>0</v>
      </c>
      <c r="AC223" t="str">
        <f>IF(L223="","",IF(AND($AO$2=1,ISNA(MATCH(L223,'09-أيلول'!$L$2:$L$500,0))),"محذوف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486</v>
      </c>
      <c r="B224">
        <v>42</v>
      </c>
      <c r="C224">
        <v>0</v>
      </c>
      <c r="D224">
        <v>0</v>
      </c>
      <c r="E224">
        <v>0</v>
      </c>
      <c r="F224" t="s">
        <v>389</v>
      </c>
      <c r="G224" t="s">
        <v>178</v>
      </c>
      <c r="H224" t="s">
        <v>176</v>
      </c>
      <c r="I224">
        <v>28000</v>
      </c>
      <c r="K224" t="str">
        <f t="shared" si="60"/>
        <v/>
      </c>
      <c r="L224" t="str">
        <f t="shared" si="61"/>
        <v>دبجانة 50 كغ</v>
      </c>
      <c r="M224" s="36">
        <f t="shared" si="62"/>
        <v>7.5757575757575758E-5</v>
      </c>
      <c r="N224" s="37">
        <f t="shared" si="63"/>
        <v>2.1212121212121211</v>
      </c>
      <c r="O224" s="37">
        <f t="shared" si="64"/>
        <v>0</v>
      </c>
      <c r="P224" s="38">
        <f t="shared" si="65"/>
        <v>42</v>
      </c>
      <c r="Q224" s="39">
        <f t="shared" si="66"/>
        <v>89.090909090909093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IF(L224="","",IF($AO$1=1,IFERROR(MATCH(L224,'07-تموز'!$L$2:$L$500,0),0),0))</f>
        <v>204</v>
      </c>
      <c r="W224" t="str">
        <f t="shared" si="71"/>
        <v/>
      </c>
      <c r="X224" s="38">
        <f>IF(L224="","",IF(V224&gt;0,INDEX('07-تموز'!$P$2:$P$500,V224),IF($AO$1=1,0,"")))</f>
        <v>2</v>
      </c>
      <c r="Y224" s="38">
        <f t="shared" si="72"/>
        <v>40</v>
      </c>
      <c r="Z224" s="39">
        <f>IF(L224="","",IF(V224&gt;0,INDEX('07-تموز'!$Q$2:$Q$500,V224),IF($AO$1=1,0,"")))</f>
        <v>4.2105263157894735</v>
      </c>
      <c r="AA224" s="39">
        <f t="shared" si="73"/>
        <v>84.880382775119614</v>
      </c>
      <c r="AB224" s="40">
        <f>IF(OR(L224="",V224=0),"",IF(AND(N(I224)&gt;0,N(INDEX('07-تموز'!$I$2:$I$500,V224))&gt;0,INDEX('07-تموز'!$F$2:$F$500,V224)=F224),N(I224)/N(INDEX('07-تموز'!$I$2:$I$500,V224))-1,""))</f>
        <v>0</v>
      </c>
      <c r="AC224" t="str">
        <f>IF(L224="","",IF(AND($AO$2=1,ISNA(MATCH(L224,'09-أيلول'!$L$2:$L$500,0))),"محذوف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84.880382999119618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89.090909314909098</v>
      </c>
      <c r="AL224">
        <f t="shared" si="79"/>
        <v>2.2399999999999999E-7</v>
      </c>
    </row>
    <row r="225" spans="1:38" ht="15">
      <c r="A225" t="s">
        <v>487</v>
      </c>
      <c r="B225">
        <v>0</v>
      </c>
      <c r="C225">
        <v>0</v>
      </c>
      <c r="D225">
        <v>0</v>
      </c>
      <c r="E225">
        <v>0</v>
      </c>
      <c r="F225" t="s">
        <v>389</v>
      </c>
      <c r="G225" t="s">
        <v>178</v>
      </c>
      <c r="H225" t="s">
        <v>12</v>
      </c>
      <c r="I225">
        <v>0</v>
      </c>
      <c r="K225" t="str">
        <f t="shared" si="60"/>
        <v/>
      </c>
      <c r="L225" t="str">
        <f t="shared" si="61"/>
        <v>خردة وبلاستيك</v>
      </c>
      <c r="M225" s="36">
        <f t="shared" si="62"/>
        <v>7.5757575757575758E-5</v>
      </c>
      <c r="N225" s="37">
        <f t="shared" si="63"/>
        <v>0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IF(L225="","",IF($AO$1=1,IFERROR(MATCH(L225,'07-تموز'!$L$2:$L$500,0),0),0))</f>
        <v>205</v>
      </c>
      <c r="W225" t="str">
        <f t="shared" si="71"/>
        <v/>
      </c>
      <c r="X225" s="38">
        <f>IF(L225="","",IF(V225&gt;0,INDEX('07-تموز'!$P$2:$P$500,V225),IF($AO$1=1,0,"")))</f>
        <v>0</v>
      </c>
      <c r="Y225" s="38">
        <f t="shared" si="72"/>
        <v>0</v>
      </c>
      <c r="Z225" s="39">
        <f>IF(L225="","",IF(V225&gt;0,INDEX('07-تموز'!$Q$2:$Q$500,V225),IF($AO$1=1,0,"")))</f>
        <v>0</v>
      </c>
      <c r="AA225" s="39">
        <f t="shared" si="73"/>
        <v>0</v>
      </c>
      <c r="AB225" s="40" t="str">
        <f>IF(OR(L225="",V225=0),"",IF(AND(N(I225)&gt;0,N(INDEX('07-تموز'!$I$2:$I$500,V225))&gt;0,INDEX('07-تموز'!$F$2:$F$500,V225)=F225),N(I225)/N(INDEX('07-تموز'!$I$2:$I$500,V225))-1,""))</f>
        <v/>
      </c>
      <c r="AC225" t="str">
        <f>IF(L225="","",IF(AND($AO$2=1,ISNA(MATCH(L225,'09-أيلول'!$L$2:$L$500,0))),"محذوف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2.2499999999999999E-7</v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371</v>
      </c>
      <c r="B226">
        <v>1</v>
      </c>
      <c r="C226">
        <v>0</v>
      </c>
      <c r="D226">
        <v>0</v>
      </c>
      <c r="E226">
        <v>0</v>
      </c>
      <c r="F226" t="s">
        <v>268</v>
      </c>
      <c r="G226" t="s">
        <v>178</v>
      </c>
      <c r="H226" t="s">
        <v>176</v>
      </c>
      <c r="I226">
        <v>0.875</v>
      </c>
      <c r="K226" t="str">
        <f t="shared" si="60"/>
        <v/>
      </c>
      <c r="L226" t="str">
        <f t="shared" si="61"/>
        <v>حمض الليمون</v>
      </c>
      <c r="M226" s="36">
        <f t="shared" si="62"/>
        <v>1</v>
      </c>
      <c r="N226" s="37">
        <f t="shared" si="63"/>
        <v>0.875</v>
      </c>
      <c r="O226" s="37">
        <f t="shared" si="64"/>
        <v>0</v>
      </c>
      <c r="P226" s="38">
        <f t="shared" si="65"/>
        <v>1</v>
      </c>
      <c r="Q226" s="39">
        <f t="shared" si="66"/>
        <v>0.875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IF(L226="","",IF($AO$1=1,IFERROR(MATCH(L226,'07-تموز'!$L$2:$L$500,0),0),0))</f>
        <v>206</v>
      </c>
      <c r="W226" t="str">
        <f t="shared" si="71"/>
        <v/>
      </c>
      <c r="X226" s="38">
        <f>IF(L226="","",IF(V226&gt;0,INDEX('07-تموز'!$P$2:$P$500,V226),IF($AO$1=1,0,"")))</f>
        <v>1</v>
      </c>
      <c r="Y226" s="38">
        <f t="shared" si="72"/>
        <v>0</v>
      </c>
      <c r="Z226" s="39">
        <f>IF(L226="","",IF(V226&gt;0,INDEX('07-تموز'!$Q$2:$Q$500,V226),IF($AO$1=1,0,"")))</f>
        <v>0.875</v>
      </c>
      <c r="AA226" s="39">
        <f t="shared" si="73"/>
        <v>0</v>
      </c>
      <c r="AB226" s="40">
        <f>IF(OR(L226="",V226=0),"",IF(AND(N(I226)&gt;0,N(INDEX('07-تموز'!$I$2:$I$500,V226))&gt;0,INDEX('07-تموز'!$F$2:$F$500,V226)=F226),N(I226)/N(INDEX('07-تموز'!$I$2:$I$500,V226))-1,""))</f>
        <v>0</v>
      </c>
      <c r="AC226" t="str">
        <f>IF(L226="","",IF(AND($AO$2=1,ISNA(MATCH(L226,'09-أيلول'!$L$2:$L$500,0))),"محذوف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0.87500022600000005</v>
      </c>
      <c r="AL226">
        <f t="shared" si="79"/>
        <v>2.2600000000000001E-7</v>
      </c>
    </row>
    <row r="227" spans="1:38" ht="15">
      <c r="A227" t="s">
        <v>372</v>
      </c>
      <c r="B227">
        <v>0</v>
      </c>
      <c r="C227">
        <v>0</v>
      </c>
      <c r="D227">
        <v>0</v>
      </c>
      <c r="E227">
        <v>0</v>
      </c>
      <c r="F227" t="s">
        <v>268</v>
      </c>
      <c r="G227" t="s">
        <v>178</v>
      </c>
      <c r="H227" t="s">
        <v>176</v>
      </c>
      <c r="I227">
        <v>0.65</v>
      </c>
      <c r="K227" t="str">
        <f t="shared" si="60"/>
        <v/>
      </c>
      <c r="L227" t="str">
        <f t="shared" si="61"/>
        <v>حمض الكبريت</v>
      </c>
      <c r="M227" s="36">
        <f t="shared" si="62"/>
        <v>1</v>
      </c>
      <c r="N227" s="37">
        <f t="shared" si="63"/>
        <v>0.65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IF(L227="","",IF($AO$1=1,IFERROR(MATCH(L227,'07-تموز'!$L$2:$L$500,0),0),0))</f>
        <v>207</v>
      </c>
      <c r="W227" t="str">
        <f t="shared" si="71"/>
        <v/>
      </c>
      <c r="X227" s="38">
        <f>IF(L227="","",IF(V227&gt;0,INDEX('07-تموز'!$P$2:$P$500,V227),IF($AO$1=1,0,"")))</f>
        <v>0</v>
      </c>
      <c r="Y227" s="38">
        <f t="shared" si="72"/>
        <v>0</v>
      </c>
      <c r="Z227" s="39">
        <f>IF(L227="","",IF(V227&gt;0,INDEX('07-تموز'!$Q$2:$Q$500,V227),IF($AO$1=1,0,"")))</f>
        <v>0</v>
      </c>
      <c r="AA227" s="39">
        <f t="shared" si="73"/>
        <v>0</v>
      </c>
      <c r="AB227" s="40">
        <f>IF(OR(L227="",V227=0),"",IF(AND(N(I227)&gt;0,N(INDEX('07-تموز'!$I$2:$I$500,V227))&gt;0,INDEX('07-تموز'!$F$2:$F$500,V227)=F227),N(I227)/N(INDEX('07-تموز'!$I$2:$I$500,V227))-1,""))</f>
        <v>0</v>
      </c>
      <c r="AC227" t="str">
        <f>IF(L227="","",IF(AND($AO$2=1,ISNA(MATCH(L227,'09-أيلول'!$L$2:$L$500,0))),"محذوف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373</v>
      </c>
      <c r="B228">
        <v>1</v>
      </c>
      <c r="C228">
        <v>0</v>
      </c>
      <c r="D228">
        <v>0</v>
      </c>
      <c r="E228">
        <v>0</v>
      </c>
      <c r="F228" t="s">
        <v>268</v>
      </c>
      <c r="G228" t="s">
        <v>178</v>
      </c>
      <c r="H228" t="s">
        <v>176</v>
      </c>
      <c r="I228">
        <v>0.91600000000000004</v>
      </c>
      <c r="K228" t="str">
        <f t="shared" si="60"/>
        <v/>
      </c>
      <c r="L228" t="str">
        <f t="shared" si="61"/>
        <v>حمض الخل</v>
      </c>
      <c r="M228" s="36">
        <f t="shared" si="62"/>
        <v>1</v>
      </c>
      <c r="N228" s="37">
        <f t="shared" si="63"/>
        <v>0.91600000000000004</v>
      </c>
      <c r="O228" s="37">
        <f t="shared" si="64"/>
        <v>0</v>
      </c>
      <c r="P228" s="38">
        <f t="shared" si="65"/>
        <v>1</v>
      </c>
      <c r="Q228" s="39">
        <f t="shared" si="66"/>
        <v>0.91600000000000004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IF(L228="","",IF($AO$1=1,IFERROR(MATCH(L228,'07-تموز'!$L$2:$L$500,0),0),0))</f>
        <v>208</v>
      </c>
      <c r="W228" t="str">
        <f t="shared" si="71"/>
        <v/>
      </c>
      <c r="X228" s="38">
        <f>IF(L228="","",IF(V228&gt;0,INDEX('07-تموز'!$P$2:$P$500,V228),IF($AO$1=1,0,"")))</f>
        <v>1</v>
      </c>
      <c r="Y228" s="38">
        <f t="shared" si="72"/>
        <v>0</v>
      </c>
      <c r="Z228" s="39">
        <f>IF(L228="","",IF(V228&gt;0,INDEX('07-تموز'!$Q$2:$Q$500,V228),IF($AO$1=1,0,"")))</f>
        <v>0.91600000000000004</v>
      </c>
      <c r="AA228" s="39">
        <f t="shared" si="73"/>
        <v>0</v>
      </c>
      <c r="AB228" s="40">
        <f>IF(OR(L228="",V228=0),"",IF(AND(N(I228)&gt;0,N(INDEX('07-تموز'!$I$2:$I$500,V228))&gt;0,INDEX('07-تموز'!$F$2:$F$500,V228)=F228),N(I228)/N(INDEX('07-تموز'!$I$2:$I$500,V228))-1,""))</f>
        <v>0</v>
      </c>
      <c r="AC228" t="str">
        <f>IF(L228="","",IF(AND($AO$2=1,ISNA(MATCH(L228,'09-أيلول'!$L$2:$L$500,0))),"محذوف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0.91600022800000003</v>
      </c>
      <c r="AL228">
        <f t="shared" si="79"/>
        <v>2.28E-7</v>
      </c>
    </row>
    <row r="229" spans="1:38" ht="15">
      <c r="A229" t="s">
        <v>374</v>
      </c>
      <c r="B229">
        <v>0.8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176</v>
      </c>
      <c r="I229">
        <v>300</v>
      </c>
      <c r="K229" t="str">
        <f t="shared" si="60"/>
        <v/>
      </c>
      <c r="L229" t="str">
        <f t="shared" si="61"/>
        <v>حليب التين</v>
      </c>
      <c r="M229" s="36">
        <f t="shared" si="62"/>
        <v>1</v>
      </c>
      <c r="N229" s="37">
        <f t="shared" si="63"/>
        <v>300</v>
      </c>
      <c r="O229" s="37">
        <f t="shared" si="64"/>
        <v>0</v>
      </c>
      <c r="P229" s="38">
        <f t="shared" si="65"/>
        <v>0.8</v>
      </c>
      <c r="Q229" s="39">
        <f t="shared" si="66"/>
        <v>240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IF(L229="","",IF($AO$1=1,IFERROR(MATCH(L229,'07-تموز'!$L$2:$L$500,0),0),0))</f>
        <v>209</v>
      </c>
      <c r="W229" t="str">
        <f t="shared" si="71"/>
        <v/>
      </c>
      <c r="X229" s="38">
        <f>IF(L229="","",IF(V229&gt;0,INDEX('07-تموز'!$P$2:$P$500,V229),IF($AO$1=1,0,"")))</f>
        <v>0.83</v>
      </c>
      <c r="Y229" s="38">
        <f t="shared" si="72"/>
        <v>-2.9999999999999916E-2</v>
      </c>
      <c r="Z229" s="39">
        <f>IF(L229="","",IF(V229&gt;0,INDEX('07-تموز'!$Q$2:$Q$500,V229),IF($AO$1=1,0,"")))</f>
        <v>249</v>
      </c>
      <c r="AA229" s="39">
        <f t="shared" si="73"/>
        <v>-9</v>
      </c>
      <c r="AB229" s="40">
        <f>IF(OR(L229="",V229=0),"",IF(AND(N(I229)&gt;0,N(INDEX('07-تموز'!$I$2:$I$500,V229))&gt;0,INDEX('07-تموز'!$F$2:$F$500,V229)=F229),N(I229)/N(INDEX('07-تموز'!$I$2:$I$500,V229))-1,""))</f>
        <v>0</v>
      </c>
      <c r="AC229" t="str">
        <f>IF(L229="","",IF(AND($AO$2=1,ISNA(MATCH(L229,'09-أيلول'!$L$2:$L$500,0))),"محذوف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9.0000002289999994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240.00000022899999</v>
      </c>
      <c r="AL229">
        <f t="shared" si="79"/>
        <v>2.29E-7</v>
      </c>
    </row>
    <row r="230" spans="1:38" ht="15">
      <c r="A230" t="s">
        <v>375</v>
      </c>
      <c r="B230">
        <v>0</v>
      </c>
      <c r="C230">
        <v>0</v>
      </c>
      <c r="D230">
        <v>0</v>
      </c>
      <c r="E230">
        <v>0</v>
      </c>
      <c r="F230" t="s">
        <v>268</v>
      </c>
      <c r="G230" t="s">
        <v>178</v>
      </c>
      <c r="H230" t="s">
        <v>176</v>
      </c>
      <c r="I230">
        <v>0.5</v>
      </c>
      <c r="K230" t="str">
        <f t="shared" si="60"/>
        <v/>
      </c>
      <c r="L230" t="str">
        <f t="shared" si="61"/>
        <v>حبيبات ملونة</v>
      </c>
      <c r="M230" s="36">
        <f t="shared" si="62"/>
        <v>1</v>
      </c>
      <c r="N230" s="37">
        <f t="shared" si="63"/>
        <v>0.5</v>
      </c>
      <c r="O230" s="37">
        <f t="shared" si="64"/>
        <v>0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IF(L230="","",IF($AO$1=1,IFERROR(MATCH(L230,'07-تموز'!$L$2:$L$500,0),0),0))</f>
        <v>210</v>
      </c>
      <c r="W230" t="str">
        <f t="shared" si="71"/>
        <v/>
      </c>
      <c r="X230" s="38">
        <f>IF(L230="","",IF(V230&gt;0,INDEX('07-تموز'!$P$2:$P$500,V230),IF($AO$1=1,0,"")))</f>
        <v>0</v>
      </c>
      <c r="Y230" s="38">
        <f t="shared" si="72"/>
        <v>0</v>
      </c>
      <c r="Z230" s="39">
        <f>IF(L230="","",IF(V230&gt;0,INDEX('07-تموز'!$Q$2:$Q$500,V230),IF($AO$1=1,0,"")))</f>
        <v>0</v>
      </c>
      <c r="AA230" s="39">
        <f t="shared" si="73"/>
        <v>0</v>
      </c>
      <c r="AB230" s="40">
        <f>IF(OR(L230="",V230=0),"",IF(AND(N(I230)&gt;0,N(INDEX('07-تموز'!$I$2:$I$500,V230))&gt;0,INDEX('07-تموز'!$F$2:$F$500,V230)=F230),N(I230)/N(INDEX('07-تموز'!$I$2:$I$500,V230))-1,""))</f>
        <v>0</v>
      </c>
      <c r="AC230" t="str">
        <f>IF(L230="","",IF(AND($AO$2=1,ISNA(MATCH(L230,'09-أيلول'!$L$2:$L$500,0))),"محذوف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488</v>
      </c>
      <c r="B231">
        <v>70.8</v>
      </c>
      <c r="C231">
        <v>20000</v>
      </c>
      <c r="D231">
        <v>20000</v>
      </c>
      <c r="E231">
        <v>20000</v>
      </c>
      <c r="F231" t="s">
        <v>389</v>
      </c>
      <c r="G231" t="s">
        <v>178</v>
      </c>
      <c r="H231" t="s">
        <v>12</v>
      </c>
      <c r="I231">
        <v>15000</v>
      </c>
      <c r="K231" t="str">
        <f t="shared" si="60"/>
        <v/>
      </c>
      <c r="L231" t="str">
        <f t="shared" si="61"/>
        <v>جاطات + طشوطة بلاستيك</v>
      </c>
      <c r="M231" s="36">
        <f t="shared" si="62"/>
        <v>7.5757575757575758E-5</v>
      </c>
      <c r="N231" s="37">
        <f t="shared" si="63"/>
        <v>1.1363636363636365</v>
      </c>
      <c r="O231" s="37">
        <f t="shared" si="64"/>
        <v>1.5151515151515151</v>
      </c>
      <c r="P231" s="38">
        <f t="shared" si="65"/>
        <v>70.8</v>
      </c>
      <c r="Q231" s="39">
        <f t="shared" si="66"/>
        <v>80.454545454545453</v>
      </c>
      <c r="R231" s="39">
        <f t="shared" si="67"/>
        <v>107.27272727272727</v>
      </c>
      <c r="S231">
        <f t="shared" si="68"/>
        <v>1</v>
      </c>
      <c r="T231" s="39">
        <f t="shared" si="69"/>
        <v>26.818181818181813</v>
      </c>
      <c r="U231" t="str">
        <f t="shared" si="70"/>
        <v/>
      </c>
      <c r="V231">
        <f>IF(L231="","",IF($AO$1=1,IFERROR(MATCH(L231,'07-تموز'!$L$2:$L$500,0),0),0))</f>
        <v>211</v>
      </c>
      <c r="W231" t="str">
        <f t="shared" si="71"/>
        <v/>
      </c>
      <c r="X231" s="38">
        <f>IF(L231="","",IF(V231&gt;0,INDEX('07-تموز'!$P$2:$P$500,V231),IF($AO$1=1,0,"")))</f>
        <v>70.8</v>
      </c>
      <c r="Y231" s="38">
        <f t="shared" si="72"/>
        <v>0</v>
      </c>
      <c r="Z231" s="39">
        <f>IF(L231="","",IF(V231&gt;0,INDEX('07-تموز'!$Q$2:$Q$500,V231),IF($AO$1=1,0,"")))</f>
        <v>79.849624060150376</v>
      </c>
      <c r="AA231" s="39">
        <f t="shared" si="73"/>
        <v>0.60492139439507753</v>
      </c>
      <c r="AB231" s="40">
        <f>IF(OR(L231="",V231=0),"",IF(AND(N(I231)&gt;0,N(INDEX('07-تموز'!$I$2:$I$500,V231))&gt;0,INDEX('07-تموز'!$F$2:$F$500,V231)=F231),N(I231)/N(INDEX('07-تموز'!$I$2:$I$500,V231))-1,""))</f>
        <v>0</v>
      </c>
      <c r="AC231" t="str">
        <f>IF(L231="","",IF(AND($AO$2=1,ISNA(MATCH(L231,'09-أيلول'!$L$2:$L$500,0))),"محذوف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0.60492162539507754</v>
      </c>
      <c r="AH231" s="39">
        <f t="shared" si="75"/>
        <v>26.818181818181809</v>
      </c>
      <c r="AI231" s="39">
        <f t="shared" si="76"/>
        <v>26.818181818181809</v>
      </c>
      <c r="AJ231" s="39">
        <f t="shared" si="77"/>
        <v>26.818181818181809</v>
      </c>
      <c r="AK231">
        <f t="shared" si="78"/>
        <v>80.454545685545455</v>
      </c>
      <c r="AL231">
        <f t="shared" si="79"/>
        <v>26.818182049181814</v>
      </c>
    </row>
    <row r="232" spans="1:38" ht="15">
      <c r="A232" t="s">
        <v>376</v>
      </c>
      <c r="B232">
        <v>400</v>
      </c>
      <c r="C232">
        <v>0</v>
      </c>
      <c r="D232">
        <v>0</v>
      </c>
      <c r="E232">
        <v>0</v>
      </c>
      <c r="F232" t="s">
        <v>268</v>
      </c>
      <c r="G232" t="s">
        <v>178</v>
      </c>
      <c r="H232" t="s">
        <v>176</v>
      </c>
      <c r="I232">
        <v>2.5</v>
      </c>
      <c r="K232" t="str">
        <f t="shared" si="60"/>
        <v/>
      </c>
      <c r="L232" t="str">
        <f t="shared" si="61"/>
        <v>تكسبون</v>
      </c>
      <c r="M232" s="36">
        <f t="shared" si="62"/>
        <v>1</v>
      </c>
      <c r="N232" s="37">
        <f t="shared" si="63"/>
        <v>2.5</v>
      </c>
      <c r="O232" s="37">
        <f t="shared" si="64"/>
        <v>0</v>
      </c>
      <c r="P232" s="38">
        <f t="shared" si="65"/>
        <v>400</v>
      </c>
      <c r="Q232" s="39">
        <f t="shared" si="66"/>
        <v>1000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IF(L232="","",IF($AO$1=1,IFERROR(MATCH(L232,'07-تموز'!$L$2:$L$500,0),0),0))</f>
        <v>212</v>
      </c>
      <c r="W232" t="str">
        <f t="shared" si="71"/>
        <v/>
      </c>
      <c r="X232" s="38">
        <f>IF(L232="","",IF(V232&gt;0,INDEX('07-تموز'!$P$2:$P$500,V232),IF($AO$1=1,0,"")))</f>
        <v>1393</v>
      </c>
      <c r="Y232" s="38">
        <f t="shared" si="72"/>
        <v>-993</v>
      </c>
      <c r="Z232" s="39">
        <f>IF(L232="","",IF(V232&gt;0,INDEX('07-تموز'!$Q$2:$Q$500,V232),IF($AO$1=1,0,"")))</f>
        <v>3482.5</v>
      </c>
      <c r="AA232" s="39">
        <f t="shared" si="73"/>
        <v>-2482.5</v>
      </c>
      <c r="AB232" s="40">
        <f>IF(OR(L232="",V232=0),"",IF(AND(N(I232)&gt;0,N(INDEX('07-تموز'!$I$2:$I$500,V232))&gt;0,INDEX('07-تموز'!$F$2:$F$500,V232)=F232),N(I232)/N(INDEX('07-تموز'!$I$2:$I$500,V232))-1,""))</f>
        <v>0</v>
      </c>
      <c r="AC232" t="str">
        <f>IF(L232="","",IF(AND($AO$2=1,ISNA(MATCH(L232,'09-أيلول'!$L$2:$L$500,0))),"محذوف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2482.5000002319998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1000.000000232</v>
      </c>
      <c r="AL232">
        <f t="shared" si="79"/>
        <v>2.3200000000000001E-7</v>
      </c>
    </row>
    <row r="233" spans="1:38" ht="15">
      <c r="A233" t="s">
        <v>527</v>
      </c>
      <c r="B233">
        <v>2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6.23</v>
      </c>
      <c r="K233" t="str">
        <f t="shared" si="60"/>
        <v/>
      </c>
      <c r="L233" t="str">
        <f t="shared" si="61"/>
        <v>تري ايثانول سعودي امين</v>
      </c>
      <c r="M233" s="36">
        <f t="shared" si="62"/>
        <v>1</v>
      </c>
      <c r="N233" s="37">
        <f t="shared" si="63"/>
        <v>6.23</v>
      </c>
      <c r="O233" s="37">
        <f t="shared" si="64"/>
        <v>0</v>
      </c>
      <c r="P233" s="38">
        <f t="shared" si="65"/>
        <v>2</v>
      </c>
      <c r="Q233" s="39">
        <f t="shared" si="66"/>
        <v>12.46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IF(L233="","",IF($AO$1=1,IFERROR(MATCH(L233,'07-تموز'!$L$2:$L$500,0),0),0))</f>
        <v>0</v>
      </c>
      <c r="W233" t="str">
        <f t="shared" si="71"/>
        <v>جديد</v>
      </c>
      <c r="X233" s="38">
        <f>IF(L233="","",IF(V233&gt;0,INDEX('07-تموز'!$P$2:$P$500,V233),IF($AO$1=1,0,"")))</f>
        <v>0</v>
      </c>
      <c r="Y233" s="38">
        <f t="shared" si="72"/>
        <v>2</v>
      </c>
      <c r="Z233" s="39">
        <f>IF(L233="","",IF(V233&gt;0,INDEX('07-تموز'!$Q$2:$Q$500,V233),IF($AO$1=1,0,"")))</f>
        <v>0</v>
      </c>
      <c r="AA233" s="39">
        <f t="shared" si="73"/>
        <v>12.46</v>
      </c>
      <c r="AB233" s="40" t="str">
        <f>IF(OR(L233="",V233=0),"",IF(AND(N(I233)&gt;0,N(INDEX('07-تموز'!$I$2:$I$500,V233))&gt;0,INDEX('07-تموز'!$F$2:$F$500,V233)=F233),N(I233)/N(INDEX('07-تموز'!$I$2:$I$500,V233))-1,""))</f>
        <v/>
      </c>
      <c r="AC233" t="str">
        <f>IF(L233="","",IF(AND($AO$2=1,ISNA(MATCH(L233,'09-أيلول'!$L$2:$L$500,0))),"محذوف لاحقاً",""))</f>
        <v/>
      </c>
      <c r="AD233">
        <f>IF(W233="جديد",COUNTIF(W$2:W233,"جديد"),"")</f>
        <v>20</v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12.460000233000001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12.460000233000001</v>
      </c>
      <c r="AL233">
        <f t="shared" si="79"/>
        <v>2.3300000000000001E-7</v>
      </c>
    </row>
    <row r="234" spans="1:38" ht="15">
      <c r="A234" t="s">
        <v>489</v>
      </c>
      <c r="B234">
        <v>4</v>
      </c>
      <c r="C234">
        <v>6000</v>
      </c>
      <c r="D234">
        <v>6000</v>
      </c>
      <c r="E234">
        <v>6000</v>
      </c>
      <c r="F234" t="s">
        <v>389</v>
      </c>
      <c r="G234" t="s">
        <v>178</v>
      </c>
      <c r="H234" t="s">
        <v>12</v>
      </c>
      <c r="I234">
        <v>6000</v>
      </c>
      <c r="K234" t="str">
        <f t="shared" si="60"/>
        <v/>
      </c>
      <c r="L234" t="str">
        <f t="shared" si="61"/>
        <v>بيدون سعة 5 كغ</v>
      </c>
      <c r="M234" s="36">
        <f t="shared" si="62"/>
        <v>7.5757575757575758E-5</v>
      </c>
      <c r="N234" s="37">
        <f t="shared" si="63"/>
        <v>0.45454545454545453</v>
      </c>
      <c r="O234" s="37">
        <f t="shared" si="64"/>
        <v>0.45454545454545453</v>
      </c>
      <c r="P234" s="38">
        <f t="shared" si="65"/>
        <v>4</v>
      </c>
      <c r="Q234" s="39">
        <f t="shared" si="66"/>
        <v>1.8181818181818181</v>
      </c>
      <c r="R234" s="39">
        <f t="shared" si="67"/>
        <v>1.8181818181818181</v>
      </c>
      <c r="S234">
        <f t="shared" si="68"/>
        <v>1</v>
      </c>
      <c r="T234" s="39">
        <f t="shared" si="69"/>
        <v>0</v>
      </c>
      <c r="U234" t="str">
        <f t="shared" si="70"/>
        <v/>
      </c>
      <c r="V234">
        <f>IF(L234="","",IF($AO$1=1,IFERROR(MATCH(L234,'07-تموز'!$L$2:$L$500,0),0),0))</f>
        <v>213</v>
      </c>
      <c r="W234" t="str">
        <f t="shared" si="71"/>
        <v/>
      </c>
      <c r="X234" s="38">
        <f>IF(L234="","",IF(V234&gt;0,INDEX('07-تموز'!$P$2:$P$500,V234),IF($AO$1=1,0,"")))</f>
        <v>4</v>
      </c>
      <c r="Y234" s="38">
        <f t="shared" si="72"/>
        <v>0</v>
      </c>
      <c r="Z234" s="39">
        <f>IF(L234="","",IF(V234&gt;0,INDEX('07-تموز'!$Q$2:$Q$500,V234),IF($AO$1=1,0,"")))</f>
        <v>1.8045112781954886</v>
      </c>
      <c r="AA234" s="39">
        <f t="shared" si="73"/>
        <v>1.36705399863295E-2</v>
      </c>
      <c r="AB234" s="40">
        <f>IF(OR(L234="",V234=0),"",IF(AND(N(I234)&gt;0,N(INDEX('07-تموز'!$I$2:$I$500,V234))&gt;0,INDEX('07-تموز'!$F$2:$F$500,V234)=F234),N(I234)/N(INDEX('07-تموز'!$I$2:$I$500,V234))-1,""))</f>
        <v>0</v>
      </c>
      <c r="AC234" t="str">
        <f>IF(L234="","",IF(AND($AO$2=1,ISNA(MATCH(L234,'09-أيلول'!$L$2:$L$500,0))),"محذوف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1.36707739863295E-2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1.8181820521818182</v>
      </c>
      <c r="AL234">
        <f t="shared" si="79"/>
        <v>2.34E-7</v>
      </c>
    </row>
    <row r="235" spans="1:38" ht="15">
      <c r="A235" t="s">
        <v>490</v>
      </c>
      <c r="B235">
        <v>0</v>
      </c>
      <c r="C235">
        <v>0</v>
      </c>
      <c r="D235">
        <v>0</v>
      </c>
      <c r="E235">
        <v>0</v>
      </c>
      <c r="F235" t="s">
        <v>389</v>
      </c>
      <c r="G235" t="s">
        <v>178</v>
      </c>
      <c r="H235" t="s">
        <v>176</v>
      </c>
      <c r="I235">
        <v>0</v>
      </c>
      <c r="K235" t="str">
        <f t="shared" si="60"/>
        <v/>
      </c>
      <c r="L235" t="str">
        <f t="shared" si="61"/>
        <v>بيدون سعة 10 كغ</v>
      </c>
      <c r="M235" s="36">
        <f t="shared" si="62"/>
        <v>7.5757575757575758E-5</v>
      </c>
      <c r="N235" s="37">
        <f t="shared" si="63"/>
        <v>0</v>
      </c>
      <c r="O235" s="37">
        <f t="shared" si="64"/>
        <v>0</v>
      </c>
      <c r="P235" s="38">
        <f t="shared" si="65"/>
        <v>0</v>
      </c>
      <c r="Q235" s="39">
        <f t="shared" si="66"/>
        <v>0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IF(L235="","",IF($AO$1=1,IFERROR(MATCH(L235,'07-تموز'!$L$2:$L$500,0),0),0))</f>
        <v>214</v>
      </c>
      <c r="W235" t="str">
        <f t="shared" si="71"/>
        <v/>
      </c>
      <c r="X235" s="38">
        <f>IF(L235="","",IF(V235&gt;0,INDEX('07-تموز'!$P$2:$P$500,V235),IF($AO$1=1,0,"")))</f>
        <v>0</v>
      </c>
      <c r="Y235" s="38">
        <f t="shared" si="72"/>
        <v>0</v>
      </c>
      <c r="Z235" s="39">
        <f>IF(L235="","",IF(V235&gt;0,INDEX('07-تموز'!$Q$2:$Q$500,V235),IF($AO$1=1,0,"")))</f>
        <v>0</v>
      </c>
      <c r="AA235" s="39">
        <f t="shared" si="73"/>
        <v>0</v>
      </c>
      <c r="AB235" s="40" t="str">
        <f>IF(OR(L235="",V235=0),"",IF(AND(N(I235)&gt;0,N(INDEX('07-تموز'!$I$2:$I$500,V235))&gt;0,INDEX('07-تموز'!$F$2:$F$500,V235)=F235),N(I235)/N(INDEX('07-تموز'!$I$2:$I$500,V235))-1,""))</f>
        <v/>
      </c>
      <c r="AC235" t="str">
        <f>IF(L235="","",IF(AND($AO$2=1,ISNA(MATCH(L235,'09-أيلول'!$L$2:$L$500,0))),"محذوف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2.35E-7</v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2.35E-7</v>
      </c>
      <c r="AL235">
        <f t="shared" si="79"/>
        <v>2.35E-7</v>
      </c>
    </row>
    <row r="236" spans="1:38" ht="15">
      <c r="A236" t="s">
        <v>377</v>
      </c>
      <c r="B236">
        <v>12</v>
      </c>
      <c r="C236">
        <v>0</v>
      </c>
      <c r="D236">
        <v>0</v>
      </c>
      <c r="E236">
        <v>0</v>
      </c>
      <c r="F236" t="s">
        <v>268</v>
      </c>
      <c r="G236" t="s">
        <v>178</v>
      </c>
      <c r="H236" t="s">
        <v>176</v>
      </c>
      <c r="I236">
        <v>0.21</v>
      </c>
      <c r="K236" t="str">
        <f t="shared" si="60"/>
        <v/>
      </c>
      <c r="L236" t="str">
        <f t="shared" si="61"/>
        <v>بيدون 4 لتر</v>
      </c>
      <c r="M236" s="36">
        <f t="shared" si="62"/>
        <v>1</v>
      </c>
      <c r="N236" s="37">
        <f t="shared" si="63"/>
        <v>0.21</v>
      </c>
      <c r="O236" s="37">
        <f t="shared" si="64"/>
        <v>0</v>
      </c>
      <c r="P236" s="38">
        <f t="shared" si="65"/>
        <v>12</v>
      </c>
      <c r="Q236" s="39">
        <f t="shared" si="66"/>
        <v>2.52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IF(L236="","",IF($AO$1=1,IFERROR(MATCH(L236,'07-تموز'!$L$2:$L$500,0),0),0))</f>
        <v>215</v>
      </c>
      <c r="W236" t="str">
        <f t="shared" si="71"/>
        <v/>
      </c>
      <c r="X236" s="38">
        <f>IF(L236="","",IF(V236&gt;0,INDEX('07-تموز'!$P$2:$P$500,V236),IF($AO$1=1,0,"")))</f>
        <v>12</v>
      </c>
      <c r="Y236" s="38">
        <f t="shared" si="72"/>
        <v>0</v>
      </c>
      <c r="Z236" s="39">
        <f>IF(L236="","",IF(V236&gt;0,INDEX('07-تموز'!$Q$2:$Q$500,V236),IF($AO$1=1,0,"")))</f>
        <v>2.52</v>
      </c>
      <c r="AA236" s="39">
        <f t="shared" si="73"/>
        <v>0</v>
      </c>
      <c r="AB236" s="40">
        <f>IF(OR(L236="",V236=0),"",IF(AND(N(I236)&gt;0,N(INDEX('07-تموز'!$I$2:$I$500,V236))&gt;0,INDEX('07-تموز'!$F$2:$F$500,V236)=F236),N(I236)/N(INDEX('07-تموز'!$I$2:$I$500,V236))-1,""))</f>
        <v>0</v>
      </c>
      <c r="AC236" t="str">
        <f>IF(L236="","",IF(AND($AO$2=1,ISNA(MATCH(L236,'09-أيلول'!$L$2:$L$500,0))),"محذوف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2.520000236</v>
      </c>
      <c r="AL236">
        <f t="shared" si="79"/>
        <v>2.36E-7</v>
      </c>
    </row>
    <row r="237" spans="1:38" ht="15">
      <c r="A237" t="s">
        <v>491</v>
      </c>
      <c r="B237">
        <v>0</v>
      </c>
      <c r="C237">
        <v>0</v>
      </c>
      <c r="D237">
        <v>0</v>
      </c>
      <c r="E237">
        <v>0</v>
      </c>
      <c r="F237" t="s">
        <v>389</v>
      </c>
      <c r="G237" t="s">
        <v>178</v>
      </c>
      <c r="H237" t="s">
        <v>12</v>
      </c>
      <c r="I237">
        <v>0</v>
      </c>
      <c r="K237" t="str">
        <f t="shared" si="60"/>
        <v/>
      </c>
      <c r="L237" t="str">
        <f t="shared" si="61"/>
        <v>بيدون !</v>
      </c>
      <c r="M237" s="36">
        <f t="shared" si="62"/>
        <v>7.5757575757575758E-5</v>
      </c>
      <c r="N237" s="37">
        <f t="shared" si="63"/>
        <v>0</v>
      </c>
      <c r="O237" s="37">
        <f t="shared" si="64"/>
        <v>0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IF(L237="","",IF($AO$1=1,IFERROR(MATCH(L237,'07-تموز'!$L$2:$L$500,0),0),0))</f>
        <v>216</v>
      </c>
      <c r="W237" t="str">
        <f t="shared" si="71"/>
        <v/>
      </c>
      <c r="X237" s="38">
        <f>IF(L237="","",IF(V237&gt;0,INDEX('07-تموز'!$P$2:$P$500,V237),IF($AO$1=1,0,"")))</f>
        <v>0</v>
      </c>
      <c r="Y237" s="38">
        <f t="shared" si="72"/>
        <v>0</v>
      </c>
      <c r="Z237" s="39">
        <f>IF(L237="","",IF(V237&gt;0,INDEX('07-تموز'!$Q$2:$Q$500,V237),IF($AO$1=1,0,"")))</f>
        <v>0</v>
      </c>
      <c r="AA237" s="39">
        <f t="shared" si="73"/>
        <v>0</v>
      </c>
      <c r="AB237" s="40" t="str">
        <f>IF(OR(L237="",V237=0),"",IF(AND(N(I237)&gt;0,N(INDEX('07-تموز'!$I$2:$I$500,V237))&gt;0,INDEX('07-تموز'!$F$2:$F$500,V237)=F237),N(I237)/N(INDEX('07-تموز'!$I$2:$I$500,V237))-1,""))</f>
        <v/>
      </c>
      <c r="AC237" t="str">
        <f>IF(L237="","",IF(AND($AO$2=1,ISNA(MATCH(L237,'09-أيلول'!$L$2:$L$500,0))),"محذوف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2.3699999999999999E-7</v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A238" t="s">
        <v>378</v>
      </c>
      <c r="B238">
        <v>290</v>
      </c>
      <c r="C238">
        <v>0</v>
      </c>
      <c r="D238">
        <v>0</v>
      </c>
      <c r="E238">
        <v>0</v>
      </c>
      <c r="F238" t="s">
        <v>268</v>
      </c>
      <c r="G238" t="s">
        <v>178</v>
      </c>
      <c r="H238" t="s">
        <v>176</v>
      </c>
      <c r="I238">
        <v>1.35</v>
      </c>
      <c r="K238" t="str">
        <f t="shared" si="60"/>
        <v/>
      </c>
      <c r="L238" t="str">
        <f t="shared" si="61"/>
        <v>بيتائين</v>
      </c>
      <c r="M238" s="36">
        <f t="shared" si="62"/>
        <v>1</v>
      </c>
      <c r="N238" s="37">
        <f t="shared" si="63"/>
        <v>1.35</v>
      </c>
      <c r="O238" s="37">
        <f t="shared" si="64"/>
        <v>0</v>
      </c>
      <c r="P238" s="38">
        <f t="shared" si="65"/>
        <v>290</v>
      </c>
      <c r="Q238" s="39">
        <f t="shared" si="66"/>
        <v>391.5</v>
      </c>
      <c r="R238" s="39">
        <f t="shared" si="67"/>
        <v>0</v>
      </c>
      <c r="S238">
        <f t="shared" si="68"/>
        <v>0</v>
      </c>
      <c r="T238" s="39">
        <f t="shared" si="69"/>
        <v>0</v>
      </c>
      <c r="U238" t="str">
        <f t="shared" si="70"/>
        <v/>
      </c>
      <c r="V238">
        <f>IF(L238="","",IF($AO$1=1,IFERROR(MATCH(L238,'07-تموز'!$L$2:$L$500,0),0),0))</f>
        <v>217</v>
      </c>
      <c r="W238" t="str">
        <f t="shared" si="71"/>
        <v/>
      </c>
      <c r="X238" s="38">
        <f>IF(L238="","",IF(V238&gt;0,INDEX('07-تموز'!$P$2:$P$500,V238),IF($AO$1=1,0,"")))</f>
        <v>617.5</v>
      </c>
      <c r="Y238" s="38">
        <f t="shared" si="72"/>
        <v>-327.5</v>
      </c>
      <c r="Z238" s="39">
        <f>IF(L238="","",IF(V238&gt;0,INDEX('07-تموز'!$Q$2:$Q$500,V238),IF($AO$1=1,0,"")))</f>
        <v>833.625</v>
      </c>
      <c r="AA238" s="39">
        <f t="shared" si="73"/>
        <v>-442.125</v>
      </c>
      <c r="AB238" s="40">
        <f>IF(OR(L238="",V238=0),"",IF(AND(N(I238)&gt;0,N(INDEX('07-تموز'!$I$2:$I$500,V238))&gt;0,INDEX('07-تموز'!$F$2:$F$500,V238)=F238),N(I238)/N(INDEX('07-تموز'!$I$2:$I$500,V238))-1,""))</f>
        <v>0</v>
      </c>
      <c r="AC238" t="str">
        <f>IF(L238="","",IF(AND($AO$2=1,ISNA(MATCH(L238,'09-أيلول'!$L$2:$L$500,0))),"محذوف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442.12500023799998</v>
      </c>
      <c r="AH238" s="39">
        <f t="shared" si="75"/>
        <v>0</v>
      </c>
      <c r="AI238" s="39">
        <f t="shared" si="76"/>
        <v>0</v>
      </c>
      <c r="AJ238" s="39">
        <f t="shared" si="77"/>
        <v>0</v>
      </c>
      <c r="AK238">
        <f t="shared" si="78"/>
        <v>391.50000023799998</v>
      </c>
      <c r="AL238">
        <f t="shared" si="79"/>
        <v>2.3799999999999999E-7</v>
      </c>
    </row>
    <row r="239" spans="1:38" ht="15">
      <c r="A239" t="s">
        <v>492</v>
      </c>
      <c r="B239">
        <v>0</v>
      </c>
      <c r="C239">
        <v>0</v>
      </c>
      <c r="D239">
        <v>0</v>
      </c>
      <c r="E239">
        <v>0</v>
      </c>
      <c r="F239" t="s">
        <v>389</v>
      </c>
      <c r="G239" t="s">
        <v>178</v>
      </c>
      <c r="H239" t="s">
        <v>12</v>
      </c>
      <c r="I239">
        <v>0</v>
      </c>
      <c r="K239" t="str">
        <f t="shared" si="60"/>
        <v/>
      </c>
      <c r="L239" t="str">
        <f t="shared" si="61"/>
        <v>بي اتش 3 لتر</v>
      </c>
      <c r="M239" s="36">
        <f t="shared" si="62"/>
        <v>7.5757575757575758E-5</v>
      </c>
      <c r="N239" s="37">
        <f t="shared" si="63"/>
        <v>0</v>
      </c>
      <c r="O239" s="37">
        <f t="shared" si="64"/>
        <v>0</v>
      </c>
      <c r="P239" s="38">
        <f t="shared" si="65"/>
        <v>0</v>
      </c>
      <c r="Q239" s="39">
        <f t="shared" si="66"/>
        <v>0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IF(L239="","",IF($AO$1=1,IFERROR(MATCH(L239,'07-تموز'!$L$2:$L$500,0),0),0))</f>
        <v>218</v>
      </c>
      <c r="W239" t="str">
        <f t="shared" si="71"/>
        <v/>
      </c>
      <c r="X239" s="38">
        <f>IF(L239="","",IF(V239&gt;0,INDEX('07-تموز'!$P$2:$P$500,V239),IF($AO$1=1,0,"")))</f>
        <v>0</v>
      </c>
      <c r="Y239" s="38">
        <f t="shared" si="72"/>
        <v>0</v>
      </c>
      <c r="Z239" s="39">
        <f>IF(L239="","",IF(V239&gt;0,INDEX('07-تموز'!$Q$2:$Q$500,V239),IF($AO$1=1,0,"")))</f>
        <v>0</v>
      </c>
      <c r="AA239" s="39">
        <f t="shared" si="73"/>
        <v>0</v>
      </c>
      <c r="AB239" s="40" t="str">
        <f>IF(OR(L239="",V239=0),"",IF(AND(N(I239)&gt;0,N(INDEX('07-تموز'!$I$2:$I$500,V239))&gt;0,INDEX('07-تموز'!$F$2:$F$500,V239)=F239),N(I239)/N(INDEX('07-تموز'!$I$2:$I$500,V239))-1,""))</f>
        <v/>
      </c>
      <c r="AC239" t="str">
        <f>IF(L239="","",IF(AND($AO$2=1,ISNA(MATCH(L239,'09-أيلول'!$L$2:$L$500,0))),"محذوف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2.3900000000000001E-7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2.3900000000000001E-7</v>
      </c>
      <c r="AL239">
        <f t="shared" si="79"/>
        <v>2.3900000000000001E-7</v>
      </c>
    </row>
    <row r="240" spans="1:38" ht="15">
      <c r="A240" t="s">
        <v>493</v>
      </c>
      <c r="B240">
        <v>0</v>
      </c>
      <c r="C240">
        <v>118000</v>
      </c>
      <c r="D240">
        <v>118000</v>
      </c>
      <c r="E240">
        <v>118000</v>
      </c>
      <c r="F240" t="s">
        <v>389</v>
      </c>
      <c r="G240" t="s">
        <v>178</v>
      </c>
      <c r="H240" t="s">
        <v>12</v>
      </c>
      <c r="I240">
        <v>105000</v>
      </c>
      <c r="K240" t="str">
        <f t="shared" si="60"/>
        <v/>
      </c>
      <c r="L240" t="str">
        <f t="shared" si="61"/>
        <v>بي اتش - كرتونة</v>
      </c>
      <c r="M240" s="36">
        <f t="shared" si="62"/>
        <v>7.5757575757575758E-5</v>
      </c>
      <c r="N240" s="37">
        <f t="shared" si="63"/>
        <v>7.9545454545454541</v>
      </c>
      <c r="O240" s="37">
        <f t="shared" si="64"/>
        <v>8.9393939393939394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IF(L240="","",IF($AO$1=1,IFERROR(MATCH(L240,'07-تموز'!$L$2:$L$500,0),0),0))</f>
        <v>219</v>
      </c>
      <c r="W240" t="str">
        <f t="shared" si="71"/>
        <v/>
      </c>
      <c r="X240" s="38">
        <f>IF(L240="","",IF(V240&gt;0,INDEX('07-تموز'!$P$2:$P$500,V240),IF($AO$1=1,0,"")))</f>
        <v>0</v>
      </c>
      <c r="Y240" s="38">
        <f t="shared" si="72"/>
        <v>0</v>
      </c>
      <c r="Z240" s="39">
        <f>IF(L240="","",IF(V240&gt;0,INDEX('07-تموز'!$Q$2:$Q$500,V240),IF($AO$1=1,0,"")))</f>
        <v>0</v>
      </c>
      <c r="AA240" s="39">
        <f t="shared" si="73"/>
        <v>0</v>
      </c>
      <c r="AB240" s="40">
        <f>IF(OR(L240="",V240=0),"",IF(AND(N(I240)&gt;0,N(INDEX('07-تموز'!$I$2:$I$500,V240))&gt;0,INDEX('07-تموز'!$F$2:$F$500,V240)=F240),N(I240)/N(INDEX('07-تموز'!$I$2:$I$500,V240))-1,""))</f>
        <v>0</v>
      </c>
      <c r="AC240" t="str">
        <f>IF(L240="","",IF(AND($AO$2=1,ISNA(MATCH(L240,'09-أيلول'!$L$2:$L$500,0))),"محذوف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2.3999999999999998E-7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:38" ht="15">
      <c r="A241" t="s">
        <v>379</v>
      </c>
      <c r="B241">
        <v>0</v>
      </c>
      <c r="C241">
        <v>0</v>
      </c>
      <c r="D241">
        <v>0</v>
      </c>
      <c r="E241">
        <v>0</v>
      </c>
      <c r="F241" t="s">
        <v>268</v>
      </c>
      <c r="G241" t="s">
        <v>178</v>
      </c>
      <c r="H241" t="s">
        <v>177</v>
      </c>
      <c r="I241">
        <v>450</v>
      </c>
      <c r="K241" t="str">
        <f t="shared" si="60"/>
        <v/>
      </c>
      <c r="L241" t="str">
        <f t="shared" si="61"/>
        <v>بي اتش - BH خام</v>
      </c>
      <c r="M241" s="36">
        <f t="shared" si="62"/>
        <v>1</v>
      </c>
      <c r="N241" s="37">
        <f t="shared" si="63"/>
        <v>450</v>
      </c>
      <c r="O241" s="37">
        <f t="shared" si="64"/>
        <v>0</v>
      </c>
      <c r="P241" s="38">
        <f t="shared" si="65"/>
        <v>0</v>
      </c>
      <c r="Q241" s="39">
        <f t="shared" si="66"/>
        <v>0</v>
      </c>
      <c r="R241" s="39">
        <f t="shared" si="67"/>
        <v>0</v>
      </c>
      <c r="S241">
        <f t="shared" si="68"/>
        <v>0</v>
      </c>
      <c r="T241" s="39">
        <f t="shared" si="69"/>
        <v>0</v>
      </c>
      <c r="U241" t="str">
        <f t="shared" si="70"/>
        <v/>
      </c>
      <c r="V241">
        <f>IF(L241="","",IF($AO$1=1,IFERROR(MATCH(L241,'07-تموز'!$L$2:$L$500,0),0),0))</f>
        <v>220</v>
      </c>
      <c r="W241" t="str">
        <f t="shared" si="71"/>
        <v/>
      </c>
      <c r="X241" s="38">
        <f>IF(L241="","",IF(V241&gt;0,INDEX('07-تموز'!$P$2:$P$500,V241),IF($AO$1=1,0,"")))</f>
        <v>0</v>
      </c>
      <c r="Y241" s="38">
        <f t="shared" si="72"/>
        <v>0</v>
      </c>
      <c r="Z241" s="39">
        <f>IF(L241="","",IF(V241&gt;0,INDEX('07-تموز'!$Q$2:$Q$500,V241),IF($AO$1=1,0,"")))</f>
        <v>0</v>
      </c>
      <c r="AA241" s="39">
        <f t="shared" si="73"/>
        <v>0</v>
      </c>
      <c r="AB241" s="40">
        <f>IF(OR(L241="",V241=0),"",IF(AND(N(I241)&gt;0,N(INDEX('07-تموز'!$I$2:$I$500,V241))&gt;0,INDEX('07-تموز'!$F$2:$F$500,V241)=F241),N(I241)/N(INDEX('07-تموز'!$I$2:$I$500,V241))-1,""))</f>
        <v>0</v>
      </c>
      <c r="AC241" t="str">
        <f>IF(L241="","",IF(AND($AO$2=1,ISNA(MATCH(L241,'09-أيلول'!$L$2:$L$500,0))),"محذوف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>
        <f t="shared" si="74"/>
        <v>2.41E-7</v>
      </c>
      <c r="AH241" s="39">
        <f t="shared" si="75"/>
        <v>0</v>
      </c>
      <c r="AI241" s="39">
        <f t="shared" si="76"/>
        <v>0</v>
      </c>
      <c r="AJ241" s="39">
        <f t="shared" si="77"/>
        <v>0</v>
      </c>
      <c r="AK241">
        <f t="shared" si="78"/>
        <v>2.41E-7</v>
      </c>
      <c r="AL241">
        <f t="shared" si="79"/>
        <v>2.41E-7</v>
      </c>
    </row>
    <row r="242" spans="1:38" ht="15">
      <c r="A242" t="s">
        <v>494</v>
      </c>
      <c r="B242">
        <v>304</v>
      </c>
      <c r="C242">
        <v>6000</v>
      </c>
      <c r="D242">
        <v>6000</v>
      </c>
      <c r="E242">
        <v>6000</v>
      </c>
      <c r="F242" t="s">
        <v>389</v>
      </c>
      <c r="G242" t="s">
        <v>178</v>
      </c>
      <c r="H242" t="s">
        <v>12</v>
      </c>
      <c r="I242">
        <v>5500</v>
      </c>
      <c r="K242" t="str">
        <f t="shared" si="60"/>
        <v/>
      </c>
      <c r="L242" t="str">
        <f t="shared" si="61"/>
        <v>بي اتش - BH / فرط</v>
      </c>
      <c r="M242" s="36">
        <f t="shared" si="62"/>
        <v>7.5757575757575758E-5</v>
      </c>
      <c r="N242" s="37">
        <f t="shared" si="63"/>
        <v>0.41666666666666669</v>
      </c>
      <c r="O242" s="37">
        <f t="shared" si="64"/>
        <v>0.45454545454545453</v>
      </c>
      <c r="P242" s="38">
        <f t="shared" si="65"/>
        <v>304</v>
      </c>
      <c r="Q242" s="39">
        <f t="shared" si="66"/>
        <v>126.66666666666667</v>
      </c>
      <c r="R242" s="39">
        <f t="shared" si="67"/>
        <v>138.18181818181819</v>
      </c>
      <c r="S242">
        <f t="shared" si="68"/>
        <v>1</v>
      </c>
      <c r="T242" s="39">
        <f t="shared" si="69"/>
        <v>11.515151515151516</v>
      </c>
      <c r="U242" t="str">
        <f t="shared" si="70"/>
        <v/>
      </c>
      <c r="V242">
        <f>IF(L242="","",IF($AO$1=1,IFERROR(MATCH(L242,'07-تموز'!$L$2:$L$500,0),0),0))</f>
        <v>221</v>
      </c>
      <c r="W242" t="str">
        <f t="shared" si="71"/>
        <v/>
      </c>
      <c r="X242" s="38">
        <f>IF(L242="","",IF(V242&gt;0,INDEX('07-تموز'!$P$2:$P$500,V242),IF($AO$1=1,0,"")))</f>
        <v>504</v>
      </c>
      <c r="Y242" s="38">
        <f t="shared" si="72"/>
        <v>-200</v>
      </c>
      <c r="Z242" s="39">
        <f>IF(L242="","",IF(V242&gt;0,INDEX('07-تموز'!$Q$2:$Q$500,V242),IF($AO$1=1,0,"")))</f>
        <v>208.42105263157893</v>
      </c>
      <c r="AA242" s="39">
        <f t="shared" si="73"/>
        <v>-81.75438596491226</v>
      </c>
      <c r="AB242" s="40">
        <f>IF(OR(L242="",V242=0),"",IF(AND(N(I242)&gt;0,N(INDEX('07-تموز'!$I$2:$I$500,V242))&gt;0,INDEX('07-تموز'!$F$2:$F$500,V242)=F242),N(I242)/N(INDEX('07-تموز'!$I$2:$I$500,V242))-1,""))</f>
        <v>0</v>
      </c>
      <c r="AC242" t="str">
        <f>IF(L242="","",IF(AND($AO$2=1,ISNA(MATCH(L242,'09-أيلول'!$L$2:$L$500,0))),"محذوف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>
        <f t="shared" si="74"/>
        <v>81.754386206912258</v>
      </c>
      <c r="AH242" s="39">
        <f t="shared" si="75"/>
        <v>11.515151515151505</v>
      </c>
      <c r="AI242" s="39">
        <f t="shared" si="76"/>
        <v>11.515151515151505</v>
      </c>
      <c r="AJ242" s="39">
        <f t="shared" si="77"/>
        <v>11.515151515151505</v>
      </c>
      <c r="AK242">
        <f t="shared" si="78"/>
        <v>126.66666690866667</v>
      </c>
      <c r="AL242">
        <f t="shared" si="79"/>
        <v>11.515151757151516</v>
      </c>
    </row>
    <row r="243" spans="1:38" ht="15">
      <c r="A243" t="s">
        <v>495</v>
      </c>
      <c r="B243">
        <v>0</v>
      </c>
      <c r="C243">
        <v>0</v>
      </c>
      <c r="D243">
        <v>0</v>
      </c>
      <c r="E243">
        <v>0</v>
      </c>
      <c r="F243" t="s">
        <v>389</v>
      </c>
      <c r="G243" t="s">
        <v>178</v>
      </c>
      <c r="H243" t="s">
        <v>12</v>
      </c>
      <c r="I243">
        <v>0</v>
      </c>
      <c r="K243" t="str">
        <f t="shared" si="60"/>
        <v/>
      </c>
      <c r="L243" t="str">
        <f t="shared" si="61"/>
        <v>بي أتش ph الكرمل</v>
      </c>
      <c r="M243" s="36">
        <f t="shared" si="62"/>
        <v>7.5757575757575758E-5</v>
      </c>
      <c r="N243" s="37">
        <f t="shared" si="63"/>
        <v>0</v>
      </c>
      <c r="O243" s="37">
        <f t="shared" si="64"/>
        <v>0</v>
      </c>
      <c r="P243" s="38">
        <f t="shared" si="65"/>
        <v>0</v>
      </c>
      <c r="Q243" s="39">
        <f t="shared" si="66"/>
        <v>0</v>
      </c>
      <c r="R243" s="39">
        <f t="shared" si="67"/>
        <v>0</v>
      </c>
      <c r="S243">
        <f t="shared" si="68"/>
        <v>0</v>
      </c>
      <c r="T243" s="39">
        <f t="shared" si="69"/>
        <v>0</v>
      </c>
      <c r="U243" t="str">
        <f t="shared" si="70"/>
        <v/>
      </c>
      <c r="V243">
        <f>IF(L243="","",IF($AO$1=1,IFERROR(MATCH(L243,'07-تموز'!$L$2:$L$500,0),0),0))</f>
        <v>222</v>
      </c>
      <c r="W243" t="str">
        <f t="shared" si="71"/>
        <v/>
      </c>
      <c r="X243" s="38">
        <f>IF(L243="","",IF(V243&gt;0,INDEX('07-تموز'!$P$2:$P$500,V243),IF($AO$1=1,0,"")))</f>
        <v>0</v>
      </c>
      <c r="Y243" s="38">
        <f t="shared" si="72"/>
        <v>0</v>
      </c>
      <c r="Z243" s="39">
        <f>IF(L243="","",IF(V243&gt;0,INDEX('07-تموز'!$Q$2:$Q$500,V243),IF($AO$1=1,0,"")))</f>
        <v>0</v>
      </c>
      <c r="AA243" s="39">
        <f t="shared" si="73"/>
        <v>0</v>
      </c>
      <c r="AB243" s="40" t="str">
        <f>IF(OR(L243="",V243=0),"",IF(AND(N(I243)&gt;0,N(INDEX('07-تموز'!$I$2:$I$500,V243))&gt;0,INDEX('07-تموز'!$F$2:$F$500,V243)=F243),N(I243)/N(INDEX('07-تموز'!$I$2:$I$500,V243))-1,""))</f>
        <v/>
      </c>
      <c r="AC243" t="str">
        <f>IF(L243="","",IF(AND($AO$2=1,ISNA(MATCH(L243,'09-أيلول'!$L$2:$L$500,0))),"محذوف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>
        <f t="shared" si="74"/>
        <v>2.4299999999999999E-7</v>
      </c>
      <c r="AH243" s="39">
        <f t="shared" si="75"/>
        <v>0</v>
      </c>
      <c r="AI243" s="39">
        <f t="shared" si="76"/>
        <v>0</v>
      </c>
      <c r="AJ243" s="39">
        <f t="shared" si="77"/>
        <v>0</v>
      </c>
      <c r="AK243">
        <f t="shared" si="78"/>
        <v>2.4299999999999999E-7</v>
      </c>
      <c r="AL243">
        <f t="shared" si="79"/>
        <v>2.4299999999999999E-7</v>
      </c>
    </row>
    <row r="244" spans="1:38" ht="15">
      <c r="A244" t="s">
        <v>380</v>
      </c>
      <c r="B244">
        <v>0</v>
      </c>
      <c r="C244">
        <v>0</v>
      </c>
      <c r="D244">
        <v>0</v>
      </c>
      <c r="E244">
        <v>0</v>
      </c>
      <c r="F244" t="s">
        <v>268</v>
      </c>
      <c r="G244" t="s">
        <v>178</v>
      </c>
      <c r="H244" t="s">
        <v>176</v>
      </c>
      <c r="I244">
        <v>2</v>
      </c>
      <c r="K244" t="str">
        <f t="shared" si="60"/>
        <v/>
      </c>
      <c r="L244" t="str">
        <f t="shared" si="61"/>
        <v>بوتيل غليكول</v>
      </c>
      <c r="M244" s="36">
        <f t="shared" si="62"/>
        <v>1</v>
      </c>
      <c r="N244" s="37">
        <f t="shared" si="63"/>
        <v>2</v>
      </c>
      <c r="O244" s="37">
        <f t="shared" si="64"/>
        <v>0</v>
      </c>
      <c r="P244" s="38">
        <f t="shared" si="65"/>
        <v>0</v>
      </c>
      <c r="Q244" s="39">
        <f t="shared" si="66"/>
        <v>0</v>
      </c>
      <c r="R244" s="39">
        <f t="shared" si="67"/>
        <v>0</v>
      </c>
      <c r="S244">
        <f t="shared" si="68"/>
        <v>0</v>
      </c>
      <c r="T244" s="39">
        <f t="shared" si="69"/>
        <v>0</v>
      </c>
      <c r="U244" t="str">
        <f t="shared" si="70"/>
        <v/>
      </c>
      <c r="V244">
        <f>IF(L244="","",IF($AO$1=1,IFERROR(MATCH(L244,'07-تموز'!$L$2:$L$500,0),0),0))</f>
        <v>223</v>
      </c>
      <c r="W244" t="str">
        <f t="shared" si="71"/>
        <v/>
      </c>
      <c r="X244" s="38">
        <f>IF(L244="","",IF(V244&gt;0,INDEX('07-تموز'!$P$2:$P$500,V244),IF($AO$1=1,0,"")))</f>
        <v>0</v>
      </c>
      <c r="Y244" s="38">
        <f t="shared" si="72"/>
        <v>0</v>
      </c>
      <c r="Z244" s="39">
        <f>IF(L244="","",IF(V244&gt;0,INDEX('07-تموز'!$Q$2:$Q$500,V244),IF($AO$1=1,0,"")))</f>
        <v>0</v>
      </c>
      <c r="AA244" s="39">
        <f t="shared" si="73"/>
        <v>0</v>
      </c>
      <c r="AB244" s="40">
        <f>IF(OR(L244="",V244=0),"",IF(AND(N(I244)&gt;0,N(INDEX('07-تموز'!$I$2:$I$500,V244))&gt;0,INDEX('07-تموز'!$F$2:$F$500,V244)=F244),N(I244)/N(INDEX('07-تموز'!$I$2:$I$500,V244))-1,""))</f>
        <v>0</v>
      </c>
      <c r="AC244" t="str">
        <f>IF(L244="","",IF(AND($AO$2=1,ISNA(MATCH(L244,'09-أيلول'!$L$2:$L$500,0))),"محذوف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>
        <f t="shared" si="74"/>
        <v>2.4400000000000001E-7</v>
      </c>
      <c r="AH244" s="39">
        <f t="shared" si="75"/>
        <v>0</v>
      </c>
      <c r="AI244" s="39">
        <f t="shared" si="76"/>
        <v>0</v>
      </c>
      <c r="AJ244" s="39">
        <f t="shared" si="77"/>
        <v>0</v>
      </c>
      <c r="AK244">
        <f t="shared" si="78"/>
        <v>2.4400000000000001E-7</v>
      </c>
      <c r="AL244">
        <f t="shared" si="79"/>
        <v>2.4400000000000001E-7</v>
      </c>
    </row>
    <row r="245" spans="1:38" ht="15">
      <c r="A245" t="s">
        <v>381</v>
      </c>
      <c r="B245">
        <v>0</v>
      </c>
      <c r="C245">
        <v>0</v>
      </c>
      <c r="D245">
        <v>0</v>
      </c>
      <c r="E245">
        <v>0</v>
      </c>
      <c r="F245" t="s">
        <v>268</v>
      </c>
      <c r="G245" t="s">
        <v>178</v>
      </c>
      <c r="H245" t="s">
        <v>177</v>
      </c>
      <c r="I245">
        <v>89.3</v>
      </c>
      <c r="K245" t="str">
        <f t="shared" si="60"/>
        <v/>
      </c>
      <c r="L245" t="str">
        <f t="shared" si="61"/>
        <v>بلسم خام</v>
      </c>
      <c r="M245" s="36">
        <f t="shared" si="62"/>
        <v>1</v>
      </c>
      <c r="N245" s="37">
        <f t="shared" si="63"/>
        <v>89.3</v>
      </c>
      <c r="O245" s="37">
        <f t="shared" si="64"/>
        <v>0</v>
      </c>
      <c r="P245" s="38">
        <f t="shared" si="65"/>
        <v>0</v>
      </c>
      <c r="Q245" s="39">
        <f t="shared" si="66"/>
        <v>0</v>
      </c>
      <c r="R245" s="39">
        <f t="shared" si="67"/>
        <v>0</v>
      </c>
      <c r="S245">
        <f t="shared" si="68"/>
        <v>0</v>
      </c>
      <c r="T245" s="39">
        <f t="shared" si="69"/>
        <v>0</v>
      </c>
      <c r="U245" t="str">
        <f t="shared" si="70"/>
        <v/>
      </c>
      <c r="V245">
        <f>IF(L245="","",IF($AO$1=1,IFERROR(MATCH(L245,'07-تموز'!$L$2:$L$500,0),0),0))</f>
        <v>224</v>
      </c>
      <c r="W245" t="str">
        <f t="shared" si="71"/>
        <v/>
      </c>
      <c r="X245" s="38">
        <f>IF(L245="","",IF(V245&gt;0,INDEX('07-تموز'!$P$2:$P$500,V245),IF($AO$1=1,0,"")))</f>
        <v>0</v>
      </c>
      <c r="Y245" s="38">
        <f t="shared" si="72"/>
        <v>0</v>
      </c>
      <c r="Z245" s="39">
        <f>IF(L245="","",IF(V245&gt;0,INDEX('07-تموز'!$Q$2:$Q$500,V245),IF($AO$1=1,0,"")))</f>
        <v>0</v>
      </c>
      <c r="AA245" s="39">
        <f t="shared" si="73"/>
        <v>0</v>
      </c>
      <c r="AB245" s="40">
        <f>IF(OR(L245="",V245=0),"",IF(AND(N(I245)&gt;0,N(INDEX('07-تموز'!$I$2:$I$500,V245))&gt;0,INDEX('07-تموز'!$F$2:$F$500,V245)=F245),N(I245)/N(INDEX('07-تموز'!$I$2:$I$500,V245))-1,""))</f>
        <v>0</v>
      </c>
      <c r="AC245" t="str">
        <f>IF(L245="","",IF(AND($AO$2=1,ISNA(MATCH(L245,'09-أيلول'!$L$2:$L$500,0))),"محذوف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>
        <f t="shared" si="74"/>
        <v>2.4499999999999998E-7</v>
      </c>
      <c r="AH245" s="39">
        <f t="shared" si="75"/>
        <v>0</v>
      </c>
      <c r="AI245" s="39">
        <f t="shared" si="76"/>
        <v>0</v>
      </c>
      <c r="AJ245" s="39">
        <f t="shared" si="77"/>
        <v>0</v>
      </c>
      <c r="AK245">
        <f t="shared" si="78"/>
        <v>2.4499999999999998E-7</v>
      </c>
      <c r="AL245">
        <f t="shared" si="79"/>
        <v>2.4499999999999998E-7</v>
      </c>
    </row>
    <row r="246" spans="1:38" ht="15">
      <c r="A246" t="s">
        <v>382</v>
      </c>
      <c r="B246">
        <v>3</v>
      </c>
      <c r="C246">
        <v>0</v>
      </c>
      <c r="D246">
        <v>0</v>
      </c>
      <c r="E246">
        <v>0</v>
      </c>
      <c r="F246" t="s">
        <v>268</v>
      </c>
      <c r="G246" t="s">
        <v>178</v>
      </c>
      <c r="H246" t="s">
        <v>176</v>
      </c>
      <c r="I246">
        <v>2</v>
      </c>
      <c r="K246" t="str">
        <f t="shared" si="60"/>
        <v/>
      </c>
      <c r="L246" t="str">
        <f t="shared" si="61"/>
        <v>بلسم جامد</v>
      </c>
      <c r="M246" s="36">
        <f t="shared" si="62"/>
        <v>1</v>
      </c>
      <c r="N246" s="37">
        <f t="shared" si="63"/>
        <v>2</v>
      </c>
      <c r="O246" s="37">
        <f t="shared" si="64"/>
        <v>0</v>
      </c>
      <c r="P246" s="38">
        <f t="shared" si="65"/>
        <v>3</v>
      </c>
      <c r="Q246" s="39">
        <f t="shared" si="66"/>
        <v>6</v>
      </c>
      <c r="R246" s="39">
        <f t="shared" si="67"/>
        <v>0</v>
      </c>
      <c r="S246">
        <f t="shared" si="68"/>
        <v>0</v>
      </c>
      <c r="T246" s="39">
        <f t="shared" si="69"/>
        <v>0</v>
      </c>
      <c r="U246" t="str">
        <f t="shared" si="70"/>
        <v/>
      </c>
      <c r="V246">
        <f>IF(L246="","",IF($AO$1=1,IFERROR(MATCH(L246,'07-تموز'!$L$2:$L$500,0),0),0))</f>
        <v>225</v>
      </c>
      <c r="W246" t="str">
        <f t="shared" si="71"/>
        <v/>
      </c>
      <c r="X246" s="38">
        <f>IF(L246="","",IF(V246&gt;0,INDEX('07-تموز'!$P$2:$P$500,V246),IF($AO$1=1,0,"")))</f>
        <v>3</v>
      </c>
      <c r="Y246" s="38">
        <f t="shared" si="72"/>
        <v>0</v>
      </c>
      <c r="Z246" s="39">
        <f>IF(L246="","",IF(V246&gt;0,INDEX('07-تموز'!$Q$2:$Q$500,V246),IF($AO$1=1,0,"")))</f>
        <v>6</v>
      </c>
      <c r="AA246" s="39">
        <f t="shared" si="73"/>
        <v>0</v>
      </c>
      <c r="AB246" s="40">
        <f>IF(OR(L246="",V246=0),"",IF(AND(N(I246)&gt;0,N(INDEX('07-تموز'!$I$2:$I$500,V246))&gt;0,INDEX('07-تموز'!$F$2:$F$500,V246)=F246),N(I246)/N(INDEX('07-تموز'!$I$2:$I$500,V246))-1,""))</f>
        <v>0</v>
      </c>
      <c r="AC246" t="str">
        <f>IF(L246="","",IF(AND($AO$2=1,ISNA(MATCH(L246,'09-أيلول'!$L$2:$L$500,0))),"محذوف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>
        <f t="shared" si="74"/>
        <v>2.4600000000000001E-7</v>
      </c>
      <c r="AH246" s="39">
        <f t="shared" si="75"/>
        <v>0</v>
      </c>
      <c r="AI246" s="39">
        <f t="shared" si="76"/>
        <v>0</v>
      </c>
      <c r="AJ246" s="39">
        <f t="shared" si="77"/>
        <v>0</v>
      </c>
      <c r="AK246">
        <f t="shared" si="78"/>
        <v>6.0000002459999999</v>
      </c>
      <c r="AL246">
        <f t="shared" si="79"/>
        <v>2.4600000000000001E-7</v>
      </c>
    </row>
    <row r="247" spans="1:38" ht="15">
      <c r="A247" t="s">
        <v>496</v>
      </c>
      <c r="B247">
        <v>0</v>
      </c>
      <c r="C247">
        <v>0</v>
      </c>
      <c r="D247">
        <v>0</v>
      </c>
      <c r="E247">
        <v>0</v>
      </c>
      <c r="F247" t="s">
        <v>389</v>
      </c>
      <c r="G247" t="s">
        <v>178</v>
      </c>
      <c r="H247" t="s">
        <v>12</v>
      </c>
      <c r="I247">
        <v>0</v>
      </c>
      <c r="K247" t="str">
        <f t="shared" si="60"/>
        <v/>
      </c>
      <c r="L247" t="str">
        <f t="shared" si="61"/>
        <v>بلسم 3 لتر</v>
      </c>
      <c r="M247" s="36">
        <f t="shared" si="62"/>
        <v>7.5757575757575758E-5</v>
      </c>
      <c r="N247" s="37">
        <f t="shared" si="63"/>
        <v>0</v>
      </c>
      <c r="O247" s="37">
        <f t="shared" si="64"/>
        <v>0</v>
      </c>
      <c r="P247" s="38">
        <f t="shared" si="65"/>
        <v>0</v>
      </c>
      <c r="Q247" s="39">
        <f t="shared" si="66"/>
        <v>0</v>
      </c>
      <c r="R247" s="39">
        <f t="shared" si="67"/>
        <v>0</v>
      </c>
      <c r="S247">
        <f t="shared" si="68"/>
        <v>0</v>
      </c>
      <c r="T247" s="39">
        <f t="shared" si="69"/>
        <v>0</v>
      </c>
      <c r="U247" t="str">
        <f t="shared" si="70"/>
        <v/>
      </c>
      <c r="V247">
        <f>IF(L247="","",IF($AO$1=1,IFERROR(MATCH(L247,'07-تموز'!$L$2:$L$500,0),0),0))</f>
        <v>226</v>
      </c>
      <c r="W247" t="str">
        <f t="shared" si="71"/>
        <v/>
      </c>
      <c r="X247" s="38">
        <f>IF(L247="","",IF(V247&gt;0,INDEX('07-تموز'!$P$2:$P$500,V247),IF($AO$1=1,0,"")))</f>
        <v>0</v>
      </c>
      <c r="Y247" s="38">
        <f t="shared" si="72"/>
        <v>0</v>
      </c>
      <c r="Z247" s="39">
        <f>IF(L247="","",IF(V247&gt;0,INDEX('07-تموز'!$Q$2:$Q$500,V247),IF($AO$1=1,0,"")))</f>
        <v>0</v>
      </c>
      <c r="AA247" s="39">
        <f t="shared" si="73"/>
        <v>0</v>
      </c>
      <c r="AB247" s="40" t="str">
        <f>IF(OR(L247="",V247=0),"",IF(AND(N(I247)&gt;0,N(INDEX('07-تموز'!$I$2:$I$500,V247))&gt;0,INDEX('07-تموز'!$F$2:$F$500,V247)=F247),N(I247)/N(INDEX('07-تموز'!$I$2:$I$500,V247))-1,""))</f>
        <v/>
      </c>
      <c r="AC247" t="str">
        <f>IF(L247="","",IF(AND($AO$2=1,ISNA(MATCH(L247,'09-أيلول'!$L$2:$L$500,0))),"محذوف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>
        <f t="shared" si="74"/>
        <v>2.4699999999999998E-7</v>
      </c>
      <c r="AH247" s="39">
        <f t="shared" si="75"/>
        <v>0</v>
      </c>
      <c r="AI247" s="39">
        <f t="shared" si="76"/>
        <v>0</v>
      </c>
      <c r="AJ247" s="39">
        <f t="shared" si="77"/>
        <v>0</v>
      </c>
      <c r="AK247">
        <f t="shared" si="78"/>
        <v>2.4699999999999998E-7</v>
      </c>
      <c r="AL247">
        <f t="shared" si="79"/>
        <v>2.4699999999999998E-7</v>
      </c>
    </row>
    <row r="248" spans="1:38" ht="15">
      <c r="A248" t="s">
        <v>497</v>
      </c>
      <c r="B248">
        <v>25</v>
      </c>
      <c r="C248">
        <v>15000</v>
      </c>
      <c r="D248">
        <v>15000</v>
      </c>
      <c r="E248">
        <v>15000</v>
      </c>
      <c r="F248" t="s">
        <v>389</v>
      </c>
      <c r="G248" t="s">
        <v>178</v>
      </c>
      <c r="H248" t="s">
        <v>12</v>
      </c>
      <c r="I248">
        <v>4250</v>
      </c>
      <c r="K248" t="str">
        <f t="shared" si="60"/>
        <v/>
      </c>
      <c r="L248" t="str">
        <f t="shared" si="61"/>
        <v>بلسم / فرط</v>
      </c>
      <c r="M248" s="36">
        <f t="shared" si="62"/>
        <v>7.5757575757575758E-5</v>
      </c>
      <c r="N248" s="37">
        <f t="shared" si="63"/>
        <v>0.32196969696969696</v>
      </c>
      <c r="O248" s="37">
        <f t="shared" si="64"/>
        <v>1.1363636363636365</v>
      </c>
      <c r="P248" s="38">
        <f t="shared" si="65"/>
        <v>25</v>
      </c>
      <c r="Q248" s="39">
        <f t="shared" si="66"/>
        <v>8.0492424242424239</v>
      </c>
      <c r="R248" s="39">
        <f t="shared" si="67"/>
        <v>28.40909090909091</v>
      </c>
      <c r="S248">
        <f t="shared" si="68"/>
        <v>1</v>
      </c>
      <c r="T248" s="39">
        <f t="shared" si="69"/>
        <v>20.359848484848484</v>
      </c>
      <c r="U248" t="str">
        <f t="shared" si="70"/>
        <v/>
      </c>
      <c r="V248">
        <f>IF(L248="","",IF($AO$1=1,IFERROR(MATCH(L248,'07-تموز'!$L$2:$L$500,0),0),0))</f>
        <v>227</v>
      </c>
      <c r="W248" t="str">
        <f t="shared" si="71"/>
        <v/>
      </c>
      <c r="X248" s="38">
        <f>IF(L248="","",IF(V248&gt;0,INDEX('07-تموز'!$P$2:$P$500,V248),IF($AO$1=1,0,"")))</f>
        <v>0</v>
      </c>
      <c r="Y248" s="38">
        <f t="shared" si="72"/>
        <v>25</v>
      </c>
      <c r="Z248" s="39">
        <f>IF(L248="","",IF(V248&gt;0,INDEX('07-تموز'!$Q$2:$Q$500,V248),IF($AO$1=1,0,"")))</f>
        <v>0</v>
      </c>
      <c r="AA248" s="39">
        <f t="shared" si="73"/>
        <v>8.0492424242424239</v>
      </c>
      <c r="AB248" s="40" t="str">
        <f>IF(OR(L248="",V248=0),"",IF(AND(N(I248)&gt;0,N(INDEX('07-تموز'!$I$2:$I$500,V248))&gt;0,INDEX('07-تموز'!$F$2:$F$500,V248)=F248),N(I248)/N(INDEX('07-تموز'!$I$2:$I$500,V248))-1,""))</f>
        <v/>
      </c>
      <c r="AC248" t="str">
        <f>IF(L248="","",IF(AND($AO$2=1,ISNA(MATCH(L248,'09-أيلول'!$L$2:$L$500,0))),"محذوف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>
        <f t="shared" si="74"/>
        <v>8.0492426722424231</v>
      </c>
      <c r="AH248" s="39">
        <f t="shared" si="75"/>
        <v>20.359848484848484</v>
      </c>
      <c r="AI248" s="39">
        <f t="shared" si="76"/>
        <v>20.359848484848484</v>
      </c>
      <c r="AJ248" s="39">
        <f t="shared" si="77"/>
        <v>20.359848484848484</v>
      </c>
      <c r="AK248">
        <f t="shared" si="78"/>
        <v>8.0492426722424231</v>
      </c>
      <c r="AL248">
        <f t="shared" si="79"/>
        <v>20.359848732848484</v>
      </c>
    </row>
    <row r="249" spans="1:38" ht="15">
      <c r="A249" t="s">
        <v>383</v>
      </c>
      <c r="B249">
        <v>0</v>
      </c>
      <c r="C249">
        <v>0</v>
      </c>
      <c r="D249">
        <v>0</v>
      </c>
      <c r="E249">
        <v>0</v>
      </c>
      <c r="F249" t="s">
        <v>268</v>
      </c>
      <c r="G249" t="s">
        <v>178</v>
      </c>
      <c r="H249" t="s">
        <v>176</v>
      </c>
      <c r="I249">
        <v>1.625</v>
      </c>
      <c r="K249" t="str">
        <f t="shared" si="60"/>
        <v/>
      </c>
      <c r="L249" t="str">
        <f t="shared" si="61"/>
        <v>بروبلين - فينب</v>
      </c>
      <c r="M249" s="36">
        <f t="shared" si="62"/>
        <v>1</v>
      </c>
      <c r="N249" s="37">
        <f t="shared" si="63"/>
        <v>1.625</v>
      </c>
      <c r="O249" s="37">
        <f t="shared" si="64"/>
        <v>0</v>
      </c>
      <c r="P249" s="38">
        <f t="shared" si="65"/>
        <v>0</v>
      </c>
      <c r="Q249" s="39">
        <f t="shared" si="66"/>
        <v>0</v>
      </c>
      <c r="R249" s="39">
        <f t="shared" si="67"/>
        <v>0</v>
      </c>
      <c r="S249">
        <f t="shared" si="68"/>
        <v>0</v>
      </c>
      <c r="T249" s="39">
        <f t="shared" si="69"/>
        <v>0</v>
      </c>
      <c r="U249" t="str">
        <f t="shared" si="70"/>
        <v/>
      </c>
      <c r="V249">
        <f>IF(L249="","",IF($AO$1=1,IFERROR(MATCH(L249,'07-تموز'!$L$2:$L$500,0),0),0))</f>
        <v>228</v>
      </c>
      <c r="W249" t="str">
        <f t="shared" si="71"/>
        <v/>
      </c>
      <c r="X249" s="38">
        <f>IF(L249="","",IF(V249&gt;0,INDEX('07-تموز'!$P$2:$P$500,V249),IF($AO$1=1,0,"")))</f>
        <v>0</v>
      </c>
      <c r="Y249" s="38">
        <f t="shared" si="72"/>
        <v>0</v>
      </c>
      <c r="Z249" s="39">
        <f>IF(L249="","",IF(V249&gt;0,INDEX('07-تموز'!$Q$2:$Q$500,V249),IF($AO$1=1,0,"")))</f>
        <v>0</v>
      </c>
      <c r="AA249" s="39">
        <f t="shared" si="73"/>
        <v>0</v>
      </c>
      <c r="AB249" s="40">
        <f>IF(OR(L249="",V249=0),"",IF(AND(N(I249)&gt;0,N(INDEX('07-تموز'!$I$2:$I$500,V249))&gt;0,INDEX('07-تموز'!$F$2:$F$500,V249)=F249),N(I249)/N(INDEX('07-تموز'!$I$2:$I$500,V249))-1,""))</f>
        <v>0</v>
      </c>
      <c r="AC249" t="str">
        <f>IF(L249="","",IF(AND($AO$2=1,ISNA(MATCH(L249,'09-أيلول'!$L$2:$L$500,0))),"محذوف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>
        <f t="shared" si="74"/>
        <v>2.4900000000000002E-7</v>
      </c>
      <c r="AH249" s="39">
        <f t="shared" si="75"/>
        <v>0</v>
      </c>
      <c r="AI249" s="39">
        <f t="shared" si="76"/>
        <v>0</v>
      </c>
      <c r="AJ249" s="39">
        <f t="shared" si="77"/>
        <v>0</v>
      </c>
      <c r="AK249">
        <f t="shared" si="78"/>
        <v>2.4900000000000002E-7</v>
      </c>
      <c r="AL249">
        <f t="shared" si="79"/>
        <v>2.4900000000000002E-7</v>
      </c>
    </row>
    <row r="250" spans="1:38" ht="15">
      <c r="A250" t="s">
        <v>498</v>
      </c>
      <c r="B250">
        <v>4</v>
      </c>
      <c r="C250">
        <v>49000</v>
      </c>
      <c r="D250">
        <v>49000</v>
      </c>
      <c r="E250">
        <v>49000</v>
      </c>
      <c r="F250" t="s">
        <v>389</v>
      </c>
      <c r="G250" t="s">
        <v>178</v>
      </c>
      <c r="H250" t="s">
        <v>12</v>
      </c>
      <c r="I250">
        <v>20000</v>
      </c>
      <c r="K250" t="str">
        <f t="shared" si="60"/>
        <v/>
      </c>
      <c r="L250" t="str">
        <f t="shared" si="61"/>
        <v>برميل كرتون</v>
      </c>
      <c r="M250" s="36">
        <f t="shared" si="62"/>
        <v>7.5757575757575758E-5</v>
      </c>
      <c r="N250" s="37">
        <f t="shared" si="63"/>
        <v>1.5151515151515151</v>
      </c>
      <c r="O250" s="37">
        <f t="shared" si="64"/>
        <v>3.7121212121212119</v>
      </c>
      <c r="P250" s="38">
        <f t="shared" si="65"/>
        <v>4</v>
      </c>
      <c r="Q250" s="39">
        <f t="shared" si="66"/>
        <v>6.0606060606060606</v>
      </c>
      <c r="R250" s="39">
        <f t="shared" si="67"/>
        <v>14.848484848484848</v>
      </c>
      <c r="S250">
        <f t="shared" si="68"/>
        <v>1</v>
      </c>
      <c r="T250" s="39">
        <f t="shared" si="69"/>
        <v>8.7878787878787872</v>
      </c>
      <c r="U250" t="str">
        <f t="shared" si="70"/>
        <v/>
      </c>
      <c r="V250">
        <f>IF(L250="","",IF($AO$1=1,IFERROR(MATCH(L250,'07-تموز'!$L$2:$L$500,0),0),0))</f>
        <v>229</v>
      </c>
      <c r="W250" t="str">
        <f t="shared" si="71"/>
        <v/>
      </c>
      <c r="X250" s="38">
        <f>IF(L250="","",IF(V250&gt;0,INDEX('07-تموز'!$P$2:$P$500,V250),IF($AO$1=1,0,"")))</f>
        <v>0</v>
      </c>
      <c r="Y250" s="38">
        <f t="shared" si="72"/>
        <v>4</v>
      </c>
      <c r="Z250" s="39">
        <f>IF(L250="","",IF(V250&gt;0,INDEX('07-تموز'!$Q$2:$Q$500,V250),IF($AO$1=1,0,"")))</f>
        <v>0</v>
      </c>
      <c r="AA250" s="39">
        <f t="shared" si="73"/>
        <v>6.0606060606060606</v>
      </c>
      <c r="AB250" s="40">
        <f>IF(OR(L250="",V250=0),"",IF(AND(N(I250)&gt;0,N(INDEX('07-تموز'!$I$2:$I$500,V250))&gt;0,INDEX('07-تموز'!$F$2:$F$500,V250)=F250),N(I250)/N(INDEX('07-تموز'!$I$2:$I$500,V250))-1,""))</f>
        <v>0</v>
      </c>
      <c r="AC250" t="str">
        <f>IF(L250="","",IF(AND($AO$2=1,ISNA(MATCH(L250,'09-أيلول'!$L$2:$L$500,0))),"محذوف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>
        <f t="shared" si="74"/>
        <v>6.0606063106060608</v>
      </c>
      <c r="AH250" s="39">
        <f t="shared" si="75"/>
        <v>8.7878787878787872</v>
      </c>
      <c r="AI250" s="39">
        <f t="shared" si="76"/>
        <v>8.7878787878787872</v>
      </c>
      <c r="AJ250" s="39">
        <f t="shared" si="77"/>
        <v>8.7878787878787872</v>
      </c>
      <c r="AK250">
        <f t="shared" si="78"/>
        <v>6.0606063106060608</v>
      </c>
      <c r="AL250">
        <f t="shared" si="79"/>
        <v>8.7878790378787865</v>
      </c>
    </row>
    <row r="251" spans="1:38" ht="15">
      <c r="A251" t="s">
        <v>499</v>
      </c>
      <c r="B251">
        <v>0</v>
      </c>
      <c r="C251">
        <v>0</v>
      </c>
      <c r="D251">
        <v>0</v>
      </c>
      <c r="E251">
        <v>0</v>
      </c>
      <c r="F251" t="s">
        <v>389</v>
      </c>
      <c r="G251" t="s">
        <v>178</v>
      </c>
      <c r="H251" t="s">
        <v>12</v>
      </c>
      <c r="I251">
        <v>0</v>
      </c>
      <c r="K251" t="str">
        <f t="shared" si="60"/>
        <v/>
      </c>
      <c r="L251" t="str">
        <f t="shared" si="61"/>
        <v>برميل تكسبون فارغ</v>
      </c>
      <c r="M251" s="36">
        <f t="shared" si="62"/>
        <v>7.5757575757575758E-5</v>
      </c>
      <c r="N251" s="37">
        <f t="shared" si="63"/>
        <v>0</v>
      </c>
      <c r="O251" s="37">
        <f t="shared" si="64"/>
        <v>0</v>
      </c>
      <c r="P251" s="38">
        <f t="shared" si="65"/>
        <v>0</v>
      </c>
      <c r="Q251" s="39">
        <f t="shared" si="66"/>
        <v>0</v>
      </c>
      <c r="R251" s="39">
        <f t="shared" si="67"/>
        <v>0</v>
      </c>
      <c r="S251">
        <f t="shared" si="68"/>
        <v>0</v>
      </c>
      <c r="T251" s="39">
        <f t="shared" si="69"/>
        <v>0</v>
      </c>
      <c r="U251" t="str">
        <f t="shared" si="70"/>
        <v/>
      </c>
      <c r="V251">
        <f>IF(L251="","",IF($AO$1=1,IFERROR(MATCH(L251,'07-تموز'!$L$2:$L$500,0),0),0))</f>
        <v>230</v>
      </c>
      <c r="W251" t="str">
        <f t="shared" si="71"/>
        <v/>
      </c>
      <c r="X251" s="38">
        <f>IF(L251="","",IF(V251&gt;0,INDEX('07-تموز'!$P$2:$P$500,V251),IF($AO$1=1,0,"")))</f>
        <v>0</v>
      </c>
      <c r="Y251" s="38">
        <f t="shared" si="72"/>
        <v>0</v>
      </c>
      <c r="Z251" s="39">
        <f>IF(L251="","",IF(V251&gt;0,INDEX('07-تموز'!$Q$2:$Q$500,V251),IF($AO$1=1,0,"")))</f>
        <v>0</v>
      </c>
      <c r="AA251" s="39">
        <f t="shared" si="73"/>
        <v>0</v>
      </c>
      <c r="AB251" s="40" t="str">
        <f>IF(OR(L251="",V251=0),"",IF(AND(N(I251)&gt;0,N(INDEX('07-تموز'!$I$2:$I$500,V251))&gt;0,INDEX('07-تموز'!$F$2:$F$500,V251)=F251),N(I251)/N(INDEX('07-تموز'!$I$2:$I$500,V251))-1,""))</f>
        <v/>
      </c>
      <c r="AC251" t="str">
        <f>IF(L251="","",IF(AND($AO$2=1,ISNA(MATCH(L251,'09-أيلول'!$L$2:$L$500,0))),"محذوف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>
        <f t="shared" si="74"/>
        <v>2.5100000000000001E-7</v>
      </c>
      <c r="AH251" s="39">
        <f t="shared" si="75"/>
        <v>0</v>
      </c>
      <c r="AI251" s="39">
        <f t="shared" si="76"/>
        <v>0</v>
      </c>
      <c r="AJ251" s="39">
        <f t="shared" si="77"/>
        <v>0</v>
      </c>
      <c r="AK251">
        <f t="shared" si="78"/>
        <v>2.5100000000000001E-7</v>
      </c>
      <c r="AL251">
        <f t="shared" si="79"/>
        <v>2.5100000000000001E-7</v>
      </c>
    </row>
    <row r="252" spans="1:38" ht="15">
      <c r="A252" t="s">
        <v>500</v>
      </c>
      <c r="B252">
        <v>0</v>
      </c>
      <c r="C252">
        <v>0</v>
      </c>
      <c r="D252">
        <v>0</v>
      </c>
      <c r="E252">
        <v>0</v>
      </c>
      <c r="F252" t="s">
        <v>389</v>
      </c>
      <c r="G252" t="s">
        <v>178</v>
      </c>
      <c r="H252" t="s">
        <v>176</v>
      </c>
      <c r="I252">
        <v>0</v>
      </c>
      <c r="K252" t="str">
        <f t="shared" si="60"/>
        <v/>
      </c>
      <c r="L252" t="str">
        <f t="shared" si="61"/>
        <v>برميل بلاستيك</v>
      </c>
      <c r="M252" s="36">
        <f t="shared" si="62"/>
        <v>7.5757575757575758E-5</v>
      </c>
      <c r="N252" s="37">
        <f t="shared" si="63"/>
        <v>0</v>
      </c>
      <c r="O252" s="37">
        <f t="shared" si="64"/>
        <v>0</v>
      </c>
      <c r="P252" s="38">
        <f t="shared" si="65"/>
        <v>0</v>
      </c>
      <c r="Q252" s="39">
        <f t="shared" si="66"/>
        <v>0</v>
      </c>
      <c r="R252" s="39">
        <f t="shared" si="67"/>
        <v>0</v>
      </c>
      <c r="S252">
        <f t="shared" si="68"/>
        <v>0</v>
      </c>
      <c r="T252" s="39">
        <f t="shared" si="69"/>
        <v>0</v>
      </c>
      <c r="U252" t="str">
        <f t="shared" si="70"/>
        <v/>
      </c>
      <c r="V252">
        <f>IF(L252="","",IF($AO$1=1,IFERROR(MATCH(L252,'07-تموز'!$L$2:$L$500,0),0),0))</f>
        <v>231</v>
      </c>
      <c r="W252" t="str">
        <f t="shared" si="71"/>
        <v/>
      </c>
      <c r="X252" s="38">
        <f>IF(L252="","",IF(V252&gt;0,INDEX('07-تموز'!$P$2:$P$500,V252),IF($AO$1=1,0,"")))</f>
        <v>0</v>
      </c>
      <c r="Y252" s="38">
        <f t="shared" si="72"/>
        <v>0</v>
      </c>
      <c r="Z252" s="39">
        <f>IF(L252="","",IF(V252&gt;0,INDEX('07-تموز'!$Q$2:$Q$500,V252),IF($AO$1=1,0,"")))</f>
        <v>0</v>
      </c>
      <c r="AA252" s="39">
        <f t="shared" si="73"/>
        <v>0</v>
      </c>
      <c r="AB252" s="40" t="str">
        <f>IF(OR(L252="",V252=0),"",IF(AND(N(I252)&gt;0,N(INDEX('07-تموز'!$I$2:$I$500,V252))&gt;0,INDEX('07-تموز'!$F$2:$F$500,V252)=F252),N(I252)/N(INDEX('07-تموز'!$I$2:$I$500,V252))-1,""))</f>
        <v/>
      </c>
      <c r="AC252" t="str">
        <f>IF(L252="","",IF(AND($AO$2=1,ISNA(MATCH(L252,'09-أيلول'!$L$2:$L$500,0))),"محذوف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>
        <f t="shared" si="74"/>
        <v>2.5199999999999998E-7</v>
      </c>
      <c r="AH252" s="39">
        <f t="shared" si="75"/>
        <v>0</v>
      </c>
      <c r="AI252" s="39">
        <f t="shared" si="76"/>
        <v>0</v>
      </c>
      <c r="AJ252" s="39">
        <f t="shared" si="77"/>
        <v>0</v>
      </c>
      <c r="AK252">
        <f t="shared" si="78"/>
        <v>2.5199999999999998E-7</v>
      </c>
      <c r="AL252">
        <f t="shared" si="79"/>
        <v>2.5199999999999998E-7</v>
      </c>
    </row>
    <row r="253" spans="1:38" ht="15">
      <c r="A253" t="s">
        <v>528</v>
      </c>
      <c r="B253">
        <v>29</v>
      </c>
      <c r="C253">
        <v>0</v>
      </c>
      <c r="D253">
        <v>0</v>
      </c>
      <c r="E253">
        <v>0</v>
      </c>
      <c r="F253" t="s">
        <v>268</v>
      </c>
      <c r="G253" t="s">
        <v>178</v>
      </c>
      <c r="H253" t="s">
        <v>176</v>
      </c>
      <c r="I253">
        <v>0.9</v>
      </c>
      <c r="K253" t="str">
        <f t="shared" si="60"/>
        <v/>
      </c>
      <c r="L253" t="str">
        <f t="shared" si="61"/>
        <v>بديل فورمول</v>
      </c>
      <c r="M253" s="36">
        <f t="shared" si="62"/>
        <v>1</v>
      </c>
      <c r="N253" s="37">
        <f t="shared" si="63"/>
        <v>0.9</v>
      </c>
      <c r="O253" s="37">
        <f t="shared" si="64"/>
        <v>0</v>
      </c>
      <c r="P253" s="38">
        <f t="shared" si="65"/>
        <v>29</v>
      </c>
      <c r="Q253" s="39">
        <f t="shared" si="66"/>
        <v>26.1</v>
      </c>
      <c r="R253" s="39">
        <f t="shared" si="67"/>
        <v>0</v>
      </c>
      <c r="S253">
        <f t="shared" si="68"/>
        <v>0</v>
      </c>
      <c r="T253" s="39">
        <f t="shared" si="69"/>
        <v>0</v>
      </c>
      <c r="U253" t="str">
        <f t="shared" si="70"/>
        <v/>
      </c>
      <c r="V253">
        <f>IF(L253="","",IF($AO$1=1,IFERROR(MATCH(L253,'07-تموز'!$L$2:$L$500,0),0),0))</f>
        <v>0</v>
      </c>
      <c r="W253" t="str">
        <f t="shared" si="71"/>
        <v>جديد</v>
      </c>
      <c r="X253" s="38">
        <f>IF(L253="","",IF(V253&gt;0,INDEX('07-تموز'!$P$2:$P$500,V253),IF($AO$1=1,0,"")))</f>
        <v>0</v>
      </c>
      <c r="Y253" s="38">
        <f t="shared" si="72"/>
        <v>29</v>
      </c>
      <c r="Z253" s="39">
        <f>IF(L253="","",IF(V253&gt;0,INDEX('07-تموز'!$Q$2:$Q$500,V253),IF($AO$1=1,0,"")))</f>
        <v>0</v>
      </c>
      <c r="AA253" s="39">
        <f t="shared" si="73"/>
        <v>26.1</v>
      </c>
      <c r="AB253" s="40" t="str">
        <f>IF(OR(L253="",V253=0),"",IF(AND(N(I253)&gt;0,N(INDEX('07-تموز'!$I$2:$I$500,V253))&gt;0,INDEX('07-تموز'!$F$2:$F$500,V253)=F253),N(I253)/N(INDEX('07-تموز'!$I$2:$I$500,V253))-1,""))</f>
        <v/>
      </c>
      <c r="AC253" t="str">
        <f>IF(L253="","",IF(AND($AO$2=1,ISNA(MATCH(L253,'09-أيلول'!$L$2:$L$500,0))),"محذوف لاحقاً",""))</f>
        <v/>
      </c>
      <c r="AD253">
        <f>IF(W253="جديد",COUNTIF(W$2:W253,"جديد"),"")</f>
        <v>21</v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>
        <f t="shared" si="74"/>
        <v>26.100000253000001</v>
      </c>
      <c r="AH253" s="39">
        <f t="shared" si="75"/>
        <v>0</v>
      </c>
      <c r="AI253" s="39">
        <f t="shared" si="76"/>
        <v>0</v>
      </c>
      <c r="AJ253" s="39">
        <f t="shared" si="77"/>
        <v>0</v>
      </c>
      <c r="AK253">
        <f t="shared" si="78"/>
        <v>26.100000253000001</v>
      </c>
      <c r="AL253">
        <f t="shared" si="79"/>
        <v>2.53E-7</v>
      </c>
    </row>
    <row r="254" spans="1:38" ht="15">
      <c r="A254" t="s">
        <v>529</v>
      </c>
      <c r="B254">
        <v>24.3</v>
      </c>
      <c r="C254">
        <v>0</v>
      </c>
      <c r="D254">
        <v>0</v>
      </c>
      <c r="E254">
        <v>0</v>
      </c>
      <c r="F254" t="s">
        <v>268</v>
      </c>
      <c r="G254" t="s">
        <v>178</v>
      </c>
      <c r="H254" t="s">
        <v>176</v>
      </c>
      <c r="I254">
        <v>3</v>
      </c>
      <c r="K254" t="str">
        <f t="shared" si="60"/>
        <v/>
      </c>
      <c r="L254" t="str">
        <f t="shared" si="61"/>
        <v>ايمولجين وقف</v>
      </c>
      <c r="M254" s="36">
        <f t="shared" si="62"/>
        <v>1</v>
      </c>
      <c r="N254" s="37">
        <f t="shared" si="63"/>
        <v>3</v>
      </c>
      <c r="O254" s="37">
        <f t="shared" si="64"/>
        <v>0</v>
      </c>
      <c r="P254" s="38">
        <f t="shared" si="65"/>
        <v>24.3</v>
      </c>
      <c r="Q254" s="39">
        <f t="shared" si="66"/>
        <v>72.900000000000006</v>
      </c>
      <c r="R254" s="39">
        <f t="shared" si="67"/>
        <v>0</v>
      </c>
      <c r="S254">
        <f t="shared" si="68"/>
        <v>0</v>
      </c>
      <c r="T254" s="39">
        <f t="shared" si="69"/>
        <v>0</v>
      </c>
      <c r="U254" t="str">
        <f t="shared" si="70"/>
        <v/>
      </c>
      <c r="V254">
        <f>IF(L254="","",IF($AO$1=1,IFERROR(MATCH(L254,'07-تموز'!$L$2:$L$500,0),0),0))</f>
        <v>0</v>
      </c>
      <c r="W254" t="str">
        <f t="shared" si="71"/>
        <v>جديد</v>
      </c>
      <c r="X254" s="38">
        <f>IF(L254="","",IF(V254&gt;0,INDEX('07-تموز'!$P$2:$P$500,V254),IF($AO$1=1,0,"")))</f>
        <v>0</v>
      </c>
      <c r="Y254" s="38">
        <f t="shared" si="72"/>
        <v>24.3</v>
      </c>
      <c r="Z254" s="39">
        <f>IF(L254="","",IF(V254&gt;0,INDEX('07-تموز'!$Q$2:$Q$500,V254),IF($AO$1=1,0,"")))</f>
        <v>0</v>
      </c>
      <c r="AA254" s="39">
        <f t="shared" si="73"/>
        <v>72.900000000000006</v>
      </c>
      <c r="AB254" s="40" t="str">
        <f>IF(OR(L254="",V254=0),"",IF(AND(N(I254)&gt;0,N(INDEX('07-تموز'!$I$2:$I$500,V254))&gt;0,INDEX('07-تموز'!$F$2:$F$500,V254)=F254),N(I254)/N(INDEX('07-تموز'!$I$2:$I$500,V254))-1,""))</f>
        <v/>
      </c>
      <c r="AC254" t="str">
        <f>IF(L254="","",IF(AND($AO$2=1,ISNA(MATCH(L254,'09-أيلول'!$L$2:$L$500,0))),"محذوف لاحقاً",""))</f>
        <v/>
      </c>
      <c r="AD254">
        <f>IF(W254="جديد",COUNTIF(W$2:W254,"جديد"),"")</f>
        <v>22</v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>
        <f t="shared" si="74"/>
        <v>72.900000254000005</v>
      </c>
      <c r="AH254" s="39">
        <f t="shared" si="75"/>
        <v>0</v>
      </c>
      <c r="AI254" s="39">
        <f t="shared" si="76"/>
        <v>0</v>
      </c>
      <c r="AJ254" s="39">
        <f t="shared" si="77"/>
        <v>0</v>
      </c>
      <c r="AK254">
        <f t="shared" si="78"/>
        <v>72.900000254000005</v>
      </c>
      <c r="AL254">
        <f t="shared" si="79"/>
        <v>2.5400000000000002E-7</v>
      </c>
    </row>
    <row r="255" spans="1:38" ht="15">
      <c r="A255" t="s">
        <v>384</v>
      </c>
      <c r="B255">
        <v>2</v>
      </c>
      <c r="C255">
        <v>0</v>
      </c>
      <c r="D255">
        <v>0</v>
      </c>
      <c r="E255">
        <v>0</v>
      </c>
      <c r="F255" t="s">
        <v>268</v>
      </c>
      <c r="G255" t="s">
        <v>178</v>
      </c>
      <c r="H255" t="s">
        <v>176</v>
      </c>
      <c r="I255">
        <v>3</v>
      </c>
      <c r="K255" t="str">
        <f t="shared" si="60"/>
        <v/>
      </c>
      <c r="L255" t="str">
        <f t="shared" si="61"/>
        <v>ايمولجين</v>
      </c>
      <c r="M255" s="36">
        <f t="shared" si="62"/>
        <v>1</v>
      </c>
      <c r="N255" s="37">
        <f t="shared" si="63"/>
        <v>3</v>
      </c>
      <c r="O255" s="37">
        <f t="shared" si="64"/>
        <v>0</v>
      </c>
      <c r="P255" s="38">
        <f t="shared" si="65"/>
        <v>2</v>
      </c>
      <c r="Q255" s="39">
        <f t="shared" si="66"/>
        <v>6</v>
      </c>
      <c r="R255" s="39">
        <f t="shared" si="67"/>
        <v>0</v>
      </c>
      <c r="S255">
        <f t="shared" si="68"/>
        <v>0</v>
      </c>
      <c r="T255" s="39">
        <f t="shared" si="69"/>
        <v>0</v>
      </c>
      <c r="U255" t="str">
        <f t="shared" si="70"/>
        <v/>
      </c>
      <c r="V255">
        <f>IF(L255="","",IF($AO$1=1,IFERROR(MATCH(L255,'07-تموز'!$L$2:$L$500,0),0),0))</f>
        <v>232</v>
      </c>
      <c r="W255" t="str">
        <f t="shared" si="71"/>
        <v/>
      </c>
      <c r="X255" s="38">
        <f>IF(L255="","",IF(V255&gt;0,INDEX('07-تموز'!$P$2:$P$500,V255),IF($AO$1=1,0,"")))</f>
        <v>0</v>
      </c>
      <c r="Y255" s="38">
        <f t="shared" si="72"/>
        <v>2</v>
      </c>
      <c r="Z255" s="39">
        <f>IF(L255="","",IF(V255&gt;0,INDEX('07-تموز'!$Q$2:$Q$500,V255),IF($AO$1=1,0,"")))</f>
        <v>0</v>
      </c>
      <c r="AA255" s="39">
        <f t="shared" si="73"/>
        <v>6</v>
      </c>
      <c r="AB255" s="40">
        <f>IF(OR(L255="",V255=0),"",IF(AND(N(I255)&gt;0,N(INDEX('07-تموز'!$I$2:$I$500,V255))&gt;0,INDEX('07-تموز'!$F$2:$F$500,V255)=F255),N(I255)/N(INDEX('07-تموز'!$I$2:$I$500,V255))-1,""))</f>
        <v>0</v>
      </c>
      <c r="AC255" t="str">
        <f>IF(L255="","",IF(AND($AO$2=1,ISNA(MATCH(L255,'09-أيلول'!$L$2:$L$500,0))),"محذوف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>
        <f t="shared" si="74"/>
        <v>6.0000002549999998</v>
      </c>
      <c r="AH255" s="39">
        <f t="shared" si="75"/>
        <v>0</v>
      </c>
      <c r="AI255" s="39">
        <f t="shared" si="76"/>
        <v>0</v>
      </c>
      <c r="AJ255" s="39">
        <f t="shared" si="77"/>
        <v>0</v>
      </c>
      <c r="AK255">
        <f t="shared" si="78"/>
        <v>6.0000002549999998</v>
      </c>
      <c r="AL255">
        <f t="shared" si="79"/>
        <v>2.5499999999999999E-7</v>
      </c>
    </row>
    <row r="256" spans="1:38" ht="15">
      <c r="A256" t="s">
        <v>385</v>
      </c>
      <c r="B256">
        <v>16.5</v>
      </c>
      <c r="C256">
        <v>0</v>
      </c>
      <c r="D256">
        <v>0</v>
      </c>
      <c r="E256">
        <v>0</v>
      </c>
      <c r="F256" t="s">
        <v>268</v>
      </c>
      <c r="G256" t="s">
        <v>178</v>
      </c>
      <c r="H256" t="s">
        <v>176</v>
      </c>
      <c r="I256">
        <v>3.335</v>
      </c>
      <c r="K256" t="str">
        <f t="shared" si="60"/>
        <v/>
      </c>
      <c r="L256" t="str">
        <f t="shared" si="61"/>
        <v>ايديتا</v>
      </c>
      <c r="M256" s="36">
        <f t="shared" si="62"/>
        <v>1</v>
      </c>
      <c r="N256" s="37">
        <f t="shared" si="63"/>
        <v>3.335</v>
      </c>
      <c r="O256" s="37">
        <f t="shared" si="64"/>
        <v>0</v>
      </c>
      <c r="P256" s="38">
        <f t="shared" si="65"/>
        <v>16.5</v>
      </c>
      <c r="Q256" s="39">
        <f t="shared" si="66"/>
        <v>55.027499999999996</v>
      </c>
      <c r="R256" s="39">
        <f t="shared" si="67"/>
        <v>0</v>
      </c>
      <c r="S256">
        <f t="shared" si="68"/>
        <v>0</v>
      </c>
      <c r="T256" s="39">
        <f t="shared" si="69"/>
        <v>0</v>
      </c>
      <c r="U256" t="str">
        <f t="shared" si="70"/>
        <v/>
      </c>
      <c r="V256">
        <f>IF(L256="","",IF($AO$1=1,IFERROR(MATCH(L256,'07-تموز'!$L$2:$L$500,0),0),0))</f>
        <v>233</v>
      </c>
      <c r="W256" t="str">
        <f t="shared" si="71"/>
        <v/>
      </c>
      <c r="X256" s="38">
        <f>IF(L256="","",IF(V256&gt;0,INDEX('07-تموز'!$P$2:$P$500,V256),IF($AO$1=1,0,"")))</f>
        <v>16.5</v>
      </c>
      <c r="Y256" s="38">
        <f t="shared" si="72"/>
        <v>0</v>
      </c>
      <c r="Z256" s="39">
        <f>IF(L256="","",IF(V256&gt;0,INDEX('07-تموز'!$Q$2:$Q$500,V256),IF($AO$1=1,0,"")))</f>
        <v>55.027499999999996</v>
      </c>
      <c r="AA256" s="39">
        <f t="shared" si="73"/>
        <v>0</v>
      </c>
      <c r="AB256" s="40">
        <f>IF(OR(L256="",V256=0),"",IF(AND(N(I256)&gt;0,N(INDEX('07-تموز'!$I$2:$I$500,V256))&gt;0,INDEX('07-تموز'!$F$2:$F$500,V256)=F256),N(I256)/N(INDEX('07-تموز'!$I$2:$I$500,V256))-1,""))</f>
        <v>0</v>
      </c>
      <c r="AC256" t="str">
        <f>IF(L256="","",IF(AND($AO$2=1,ISNA(MATCH(L256,'09-أيلول'!$L$2:$L$500,0))),"محذوف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>
        <f t="shared" si="74"/>
        <v>2.5600000000000002E-7</v>
      </c>
      <c r="AH256" s="39">
        <f t="shared" si="75"/>
        <v>0</v>
      </c>
      <c r="AI256" s="39">
        <f t="shared" si="76"/>
        <v>0</v>
      </c>
      <c r="AJ256" s="39">
        <f t="shared" si="77"/>
        <v>0</v>
      </c>
      <c r="AK256">
        <f t="shared" si="78"/>
        <v>55.027500255999996</v>
      </c>
      <c r="AL256">
        <f t="shared" si="79"/>
        <v>2.5600000000000002E-7</v>
      </c>
    </row>
    <row r="257" spans="1:38" ht="15">
      <c r="A257" t="s">
        <v>501</v>
      </c>
      <c r="B257">
        <v>224</v>
      </c>
      <c r="C257">
        <v>65000</v>
      </c>
      <c r="D257">
        <v>65000</v>
      </c>
      <c r="E257">
        <v>65000</v>
      </c>
      <c r="F257" t="s">
        <v>389</v>
      </c>
      <c r="G257" t="s">
        <v>178</v>
      </c>
      <c r="H257" t="s">
        <v>12</v>
      </c>
      <c r="I257">
        <v>55000</v>
      </c>
      <c r="K257" t="str">
        <f t="shared" si="60"/>
        <v/>
      </c>
      <c r="L257" t="str">
        <f t="shared" si="61"/>
        <v>اقراص كلور</v>
      </c>
      <c r="M257" s="36">
        <f t="shared" si="62"/>
        <v>7.5757575757575758E-5</v>
      </c>
      <c r="N257" s="37">
        <f t="shared" si="63"/>
        <v>4.166666666666667</v>
      </c>
      <c r="O257" s="37">
        <f t="shared" si="64"/>
        <v>4.9242424242424239</v>
      </c>
      <c r="P257" s="38">
        <f t="shared" si="65"/>
        <v>224</v>
      </c>
      <c r="Q257" s="39">
        <f t="shared" si="66"/>
        <v>933.33333333333337</v>
      </c>
      <c r="R257" s="39">
        <f t="shared" si="67"/>
        <v>1103.030303030303</v>
      </c>
      <c r="S257">
        <f t="shared" si="68"/>
        <v>1</v>
      </c>
      <c r="T257" s="39">
        <f t="shared" si="69"/>
        <v>169.69696969696963</v>
      </c>
      <c r="U257" t="str">
        <f t="shared" si="70"/>
        <v/>
      </c>
      <c r="V257">
        <f>IF(L257="","",IF($AO$1=1,IFERROR(MATCH(L257,'07-تموز'!$L$2:$L$500,0),0),0))</f>
        <v>234</v>
      </c>
      <c r="W257" t="str">
        <f t="shared" si="71"/>
        <v/>
      </c>
      <c r="X257" s="38">
        <f>IF(L257="","",IF(V257&gt;0,INDEX('07-تموز'!$P$2:$P$500,V257),IF($AO$1=1,0,"")))</f>
        <v>230.4</v>
      </c>
      <c r="Y257" s="38">
        <f t="shared" si="72"/>
        <v>-6.4000000000000057</v>
      </c>
      <c r="Z257" s="39">
        <f>IF(L257="","",IF(V257&gt;0,INDEX('07-تموز'!$Q$2:$Q$500,V257),IF($AO$1=1,0,"")))</f>
        <v>952.78195488721803</v>
      </c>
      <c r="AA257" s="39">
        <f t="shared" si="73"/>
        <v>-19.448621553884664</v>
      </c>
      <c r="AB257" s="40">
        <f>IF(OR(L257="",V257=0),"",IF(AND(N(I257)&gt;0,N(INDEX('07-تموز'!$I$2:$I$500,V257))&gt;0,INDEX('07-تموز'!$F$2:$F$500,V257)=F257),N(I257)/N(INDEX('07-تموز'!$I$2:$I$500,V257))-1,""))</f>
        <v>0</v>
      </c>
      <c r="AC257" t="str">
        <f>IF(L257="","",IF(AND($AO$2=1,ISNA(MATCH(L257,'09-أيلول'!$L$2:$L$500,0))),"محذوف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>
        <f t="shared" si="74"/>
        <v>19.448621810884664</v>
      </c>
      <c r="AH257" s="39">
        <f t="shared" si="75"/>
        <v>169.69696969696955</v>
      </c>
      <c r="AI257" s="39">
        <f t="shared" si="76"/>
        <v>169.69696969696955</v>
      </c>
      <c r="AJ257" s="39">
        <f t="shared" si="77"/>
        <v>169.69696969696955</v>
      </c>
      <c r="AK257">
        <f t="shared" si="78"/>
        <v>933.33333359033338</v>
      </c>
      <c r="AL257">
        <f t="shared" si="79"/>
        <v>169.69696995396964</v>
      </c>
    </row>
    <row r="258" spans="1:38" ht="15">
      <c r="A258" t="s">
        <v>502</v>
      </c>
      <c r="B258">
        <v>1</v>
      </c>
      <c r="C258">
        <v>45000</v>
      </c>
      <c r="D258">
        <v>45000</v>
      </c>
      <c r="E258">
        <v>45000</v>
      </c>
      <c r="F258" t="s">
        <v>389</v>
      </c>
      <c r="G258" t="s">
        <v>178</v>
      </c>
      <c r="H258" t="s">
        <v>12</v>
      </c>
      <c r="I258">
        <v>18300</v>
      </c>
      <c r="K258" t="str">
        <f t="shared" ref="K258:K321" si="80">IF(L258="","",IF(U258&lt;&gt;"","⚠",""))</f>
        <v/>
      </c>
      <c r="L258" t="str">
        <f t="shared" ref="L258:L321" si="81">IF(A258="","",TRIM(A258))</f>
        <v>اسيد 3 لتر</v>
      </c>
      <c r="M258" s="36">
        <f t="shared" ref="M258:M321" si="82">IF(L258="","",IF(ISNUMBER(SEARCH("دولار",F258)),1,IF(ISNUMBER(SEARCH("ليرة",F258)),IF($AO$3&gt;0,1/$AO$3,0),0)))</f>
        <v>7.5757575757575758E-5</v>
      </c>
      <c r="N258" s="37">
        <f t="shared" ref="N258:N321" si="83">IF(L258="","",N(I258)*M258)</f>
        <v>1.3863636363636365</v>
      </c>
      <c r="O258" s="37">
        <f t="shared" ref="O258:O321" si="84">IF(L258="","",M258*CHOOSE($AO$4,N(C258),N(D258),N(E258)))</f>
        <v>3.4090909090909092</v>
      </c>
      <c r="P258" s="38">
        <f t="shared" ref="P258:P321" si="85">IF(L258="","",MAX(N(B258),0))</f>
        <v>1</v>
      </c>
      <c r="Q258" s="39">
        <f t="shared" ref="Q258:Q321" si="86">IF(L258="","",P258*N258)</f>
        <v>1.3863636363636365</v>
      </c>
      <c r="R258" s="39">
        <f t="shared" ref="R258:R321" si="87">IF(L258="","",P258*O258)</f>
        <v>3.4090909090909092</v>
      </c>
      <c r="S258">
        <f t="shared" ref="S258:S321" si="88">IF(L258="","",IF(AND(P258&gt;0,N258&gt;0,O258&gt;0),1,0))</f>
        <v>1</v>
      </c>
      <c r="T258" s="39">
        <f t="shared" ref="T258:T321" si="89">IF(L258="","",S258*(R258-Q258))</f>
        <v>2.0227272727272725</v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>
        <f>IF(L258="","",IF($AO$1=1,IFERROR(MATCH(L258,'07-تموز'!$L$2:$L$500,0),0),0))</f>
        <v>235</v>
      </c>
      <c r="W258" t="str">
        <f t="shared" ref="W258:W321" si="91">IF(L258="","",IF(AND($AO$1=1,V258=0),"جديد",""))</f>
        <v/>
      </c>
      <c r="X258" s="38">
        <f>IF(L258="","",IF(V258&gt;0,INDEX('07-تموز'!$P$2:$P$500,V258),IF($AO$1=1,0,"")))</f>
        <v>0</v>
      </c>
      <c r="Y258" s="38">
        <f t="shared" ref="Y258:Y321" si="92">IF(OR(L258="",X258=""),"",P258-X258)</f>
        <v>1</v>
      </c>
      <c r="Z258" s="39">
        <f>IF(L258="","",IF(V258&gt;0,INDEX('07-تموز'!$Q$2:$Q$500,V258),IF($AO$1=1,0,"")))</f>
        <v>0</v>
      </c>
      <c r="AA258" s="39">
        <f t="shared" ref="AA258:AA321" si="93">IF(OR(L258="",Z258=""),"",Q258-Z258)</f>
        <v>1.3863636363636365</v>
      </c>
      <c r="AB258" s="40" t="str">
        <f>IF(OR(L258="",V258=0),"",IF(AND(N(I258)&gt;0,N(INDEX('07-تموز'!$I$2:$I$500,V258))&gt;0,INDEX('07-تموز'!$F$2:$F$500,V258)=F258),N(I258)/N(INDEX('07-تموز'!$I$2:$I$500,V258))-1,""))</f>
        <v/>
      </c>
      <c r="AC258" t="str">
        <f>IF(L258="","",IF(AND($AO$2=1,ISNA(MATCH(L258,'09-أيلول'!$L$2:$L$500,0))),"محذوف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>
        <f t="shared" ref="AG258:AG321" si="94">IF(AA258="","",ABS(AA258)+ROW()/1000000000)</f>
        <v>1.3863638943636365</v>
      </c>
      <c r="AH258" s="39">
        <f t="shared" ref="AH258:AH321" si="95">IF(L258="","",IF(AND(P258&gt;0,N258&gt;0,N(C258)&gt;0),P258*(M258*N(C258)-N258),0))</f>
        <v>2.0227272727272725</v>
      </c>
      <c r="AI258" s="39">
        <f t="shared" ref="AI258:AI321" si="96">IF(L258="","",IF(AND(P258&gt;0,N258&gt;0,N(D258)&gt;0),P258*(M258*N(D258)-N258),0))</f>
        <v>2.0227272727272725</v>
      </c>
      <c r="AJ258" s="39">
        <f t="shared" ref="AJ258:AJ321" si="97">IF(L258="","",IF(AND(P258&gt;0,N258&gt;0,N(E258)&gt;0),P258*(M258*N(E258)-N258),0))</f>
        <v>2.0227272727272725</v>
      </c>
      <c r="AK258">
        <f t="shared" ref="AK258:AK321" si="98">IF(L258="","",Q258+ROW()/1000000000)</f>
        <v>1.3863638943636365</v>
      </c>
      <c r="AL258">
        <f t="shared" ref="AL258:AL321" si="99">IF(L258="","",T258+ROW()/1000000000)</f>
        <v>2.0227275307272725</v>
      </c>
    </row>
    <row r="259" spans="1:38" ht="15">
      <c r="A259" t="s">
        <v>386</v>
      </c>
      <c r="B259">
        <v>1653.6</v>
      </c>
      <c r="C259">
        <v>0.5</v>
      </c>
      <c r="D259">
        <v>0.5</v>
      </c>
      <c r="E259">
        <v>0.5</v>
      </c>
      <c r="F259" t="s">
        <v>268</v>
      </c>
      <c r="G259" t="s">
        <v>178</v>
      </c>
      <c r="H259" t="s">
        <v>176</v>
      </c>
      <c r="I259">
        <v>0.21</v>
      </c>
      <c r="K259" t="str">
        <f t="shared" si="80"/>
        <v/>
      </c>
      <c r="L259" t="str">
        <f t="shared" si="81"/>
        <v>اسيد - روح الملح - حمض كلور الماء</v>
      </c>
      <c r="M259" s="36">
        <f t="shared" si="82"/>
        <v>1</v>
      </c>
      <c r="N259" s="37">
        <f t="shared" si="83"/>
        <v>0.21</v>
      </c>
      <c r="O259" s="37">
        <f t="shared" si="84"/>
        <v>0.5</v>
      </c>
      <c r="P259" s="38">
        <f t="shared" si="85"/>
        <v>1653.6</v>
      </c>
      <c r="Q259" s="39">
        <f t="shared" si="86"/>
        <v>347.25599999999997</v>
      </c>
      <c r="R259" s="39">
        <f t="shared" si="87"/>
        <v>826.8</v>
      </c>
      <c r="S259">
        <f t="shared" si="88"/>
        <v>1</v>
      </c>
      <c r="T259" s="39">
        <f t="shared" si="89"/>
        <v>479.54399999999998</v>
      </c>
      <c r="U259" t="str">
        <f t="shared" si="90"/>
        <v/>
      </c>
      <c r="V259">
        <f>IF(L259="","",IF($AO$1=1,IFERROR(MATCH(L259,'07-تموز'!$L$2:$L$500,0),0),0))</f>
        <v>236</v>
      </c>
      <c r="W259" t="str">
        <f t="shared" si="91"/>
        <v/>
      </c>
      <c r="X259" s="38">
        <f>IF(L259="","",IF(V259&gt;0,INDEX('07-تموز'!$P$2:$P$500,V259),IF($AO$1=1,0,"")))</f>
        <v>625</v>
      </c>
      <c r="Y259" s="38">
        <f t="shared" si="92"/>
        <v>1028.5999999999999</v>
      </c>
      <c r="Z259" s="39">
        <f>IF(L259="","",IF(V259&gt;0,INDEX('07-تموز'!$Q$2:$Q$500,V259),IF($AO$1=1,0,"")))</f>
        <v>131.25</v>
      </c>
      <c r="AA259" s="39">
        <f t="shared" si="93"/>
        <v>216.00599999999997</v>
      </c>
      <c r="AB259" s="40">
        <f>IF(OR(L259="",V259=0),"",IF(AND(N(I259)&gt;0,N(INDEX('07-تموز'!$I$2:$I$500,V259))&gt;0,INDEX('07-تموز'!$F$2:$F$500,V259)=F259),N(I259)/N(INDEX('07-تموز'!$I$2:$I$500,V259))-1,""))</f>
        <v>0</v>
      </c>
      <c r="AC259" t="str">
        <f>IF(L259="","",IF(AND($AO$2=1,ISNA(MATCH(L259,'09-أيلول'!$L$2:$L$500,0))),"محذوف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>
        <f t="shared" si="94"/>
        <v>216.00600025899996</v>
      </c>
      <c r="AH259" s="39">
        <f t="shared" si="95"/>
        <v>479.54400000000004</v>
      </c>
      <c r="AI259" s="39">
        <f t="shared" si="96"/>
        <v>479.54400000000004</v>
      </c>
      <c r="AJ259" s="39">
        <f t="shared" si="97"/>
        <v>479.54400000000004</v>
      </c>
      <c r="AK259">
        <f t="shared" si="98"/>
        <v>347.25600025899996</v>
      </c>
      <c r="AL259">
        <f t="shared" si="99"/>
        <v>479.54400025899997</v>
      </c>
    </row>
    <row r="260" spans="1:38" ht="15">
      <c r="A260" t="s">
        <v>387</v>
      </c>
      <c r="B260">
        <v>212</v>
      </c>
      <c r="C260">
        <v>0</v>
      </c>
      <c r="D260">
        <v>0</v>
      </c>
      <c r="E260">
        <v>0</v>
      </c>
      <c r="F260" t="s">
        <v>268</v>
      </c>
      <c r="G260" t="s">
        <v>178</v>
      </c>
      <c r="H260" t="s">
        <v>176</v>
      </c>
      <c r="I260">
        <v>0.65</v>
      </c>
      <c r="K260" t="str">
        <f t="shared" si="80"/>
        <v/>
      </c>
      <c r="L260" t="str">
        <f t="shared" si="81"/>
        <v>اسيتون</v>
      </c>
      <c r="M260" s="36">
        <f t="shared" si="82"/>
        <v>1</v>
      </c>
      <c r="N260" s="37">
        <f t="shared" si="83"/>
        <v>0.65</v>
      </c>
      <c r="O260" s="37">
        <f t="shared" si="84"/>
        <v>0</v>
      </c>
      <c r="P260" s="38">
        <f t="shared" si="85"/>
        <v>212</v>
      </c>
      <c r="Q260" s="39">
        <f t="shared" si="86"/>
        <v>137.80000000000001</v>
      </c>
      <c r="R260" s="39">
        <f t="shared" si="87"/>
        <v>0</v>
      </c>
      <c r="S260">
        <f t="shared" si="88"/>
        <v>0</v>
      </c>
      <c r="T260" s="39">
        <f t="shared" si="89"/>
        <v>0</v>
      </c>
      <c r="U260" t="str">
        <f t="shared" si="90"/>
        <v/>
      </c>
      <c r="V260">
        <f>IF(L260="","",IF($AO$1=1,IFERROR(MATCH(L260,'07-تموز'!$L$2:$L$500,0),0),0))</f>
        <v>237</v>
      </c>
      <c r="W260" t="str">
        <f t="shared" si="91"/>
        <v/>
      </c>
      <c r="X260" s="38">
        <f>IF(L260="","",IF(V260&gt;0,INDEX('07-تموز'!$P$2:$P$500,V260),IF($AO$1=1,0,"")))</f>
        <v>207.5</v>
      </c>
      <c r="Y260" s="38">
        <f t="shared" si="92"/>
        <v>4.5</v>
      </c>
      <c r="Z260" s="39">
        <f>IF(L260="","",IF(V260&gt;0,INDEX('07-تموز'!$Q$2:$Q$500,V260),IF($AO$1=1,0,"")))</f>
        <v>134.875</v>
      </c>
      <c r="AA260" s="39">
        <f t="shared" si="93"/>
        <v>2.9250000000000114</v>
      </c>
      <c r="AB260" s="40">
        <f>IF(OR(L260="",V260=0),"",IF(AND(N(I260)&gt;0,N(INDEX('07-تموز'!$I$2:$I$500,V260))&gt;0,INDEX('07-تموز'!$F$2:$F$500,V260)=F260),N(I260)/N(INDEX('07-تموز'!$I$2:$I$500,V260))-1,""))</f>
        <v>0</v>
      </c>
      <c r="AC260" t="str">
        <f>IF(L260="","",IF(AND($AO$2=1,ISNA(MATCH(L260,'09-أيلول'!$L$2:$L$500,0))),"محذوف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>
        <f t="shared" si="94"/>
        <v>2.9250002600000116</v>
      </c>
      <c r="AH260" s="39">
        <f t="shared" si="95"/>
        <v>0</v>
      </c>
      <c r="AI260" s="39">
        <f t="shared" si="96"/>
        <v>0</v>
      </c>
      <c r="AJ260" s="39">
        <f t="shared" si="97"/>
        <v>0</v>
      </c>
      <c r="AK260">
        <f t="shared" si="98"/>
        <v>137.80000026000002</v>
      </c>
      <c r="AL260">
        <f t="shared" si="99"/>
        <v>2.6E-7</v>
      </c>
    </row>
    <row r="261" spans="1:38" ht="15">
      <c r="A261" t="s">
        <v>503</v>
      </c>
      <c r="B261">
        <v>0</v>
      </c>
      <c r="C261">
        <v>27000</v>
      </c>
      <c r="D261">
        <v>27000</v>
      </c>
      <c r="E261">
        <v>27000</v>
      </c>
      <c r="F261" t="s">
        <v>389</v>
      </c>
      <c r="G261" t="s">
        <v>178</v>
      </c>
      <c r="H261" t="s">
        <v>12</v>
      </c>
      <c r="I261">
        <v>10700</v>
      </c>
      <c r="K261" t="str">
        <f t="shared" si="80"/>
        <v/>
      </c>
      <c r="L261" t="str">
        <f t="shared" si="81"/>
        <v>أسيد 3 لتر</v>
      </c>
      <c r="M261" s="36">
        <f t="shared" si="82"/>
        <v>7.5757575757575758E-5</v>
      </c>
      <c r="N261" s="37">
        <f t="shared" si="83"/>
        <v>0.81060606060606055</v>
      </c>
      <c r="O261" s="37">
        <f t="shared" si="84"/>
        <v>2.0454545454545454</v>
      </c>
      <c r="P261" s="38">
        <f t="shared" si="85"/>
        <v>0</v>
      </c>
      <c r="Q261" s="39">
        <f t="shared" si="86"/>
        <v>0</v>
      </c>
      <c r="R261" s="39">
        <f t="shared" si="87"/>
        <v>0</v>
      </c>
      <c r="S261">
        <f t="shared" si="88"/>
        <v>0</v>
      </c>
      <c r="T261" s="39">
        <f t="shared" si="89"/>
        <v>0</v>
      </c>
      <c r="U261" t="str">
        <f t="shared" si="90"/>
        <v/>
      </c>
      <c r="V261">
        <f>IF(L261="","",IF($AO$1=1,IFERROR(MATCH(L261,'07-تموز'!$L$2:$L$500,0),0),0))</f>
        <v>235</v>
      </c>
      <c r="W261" t="str">
        <f t="shared" si="91"/>
        <v/>
      </c>
      <c r="X261" s="38">
        <f>IF(L261="","",IF(V261&gt;0,INDEX('07-تموز'!$P$2:$P$500,V261),IF($AO$1=1,0,"")))</f>
        <v>0</v>
      </c>
      <c r="Y261" s="38">
        <f t="shared" si="92"/>
        <v>0</v>
      </c>
      <c r="Z261" s="39">
        <f>IF(L261="","",IF(V261&gt;0,INDEX('07-تموز'!$Q$2:$Q$500,V261),IF($AO$1=1,0,"")))</f>
        <v>0</v>
      </c>
      <c r="AA261" s="39">
        <f t="shared" si="93"/>
        <v>0</v>
      </c>
      <c r="AB261" s="40" t="str">
        <f>IF(OR(L261="",V261=0),"",IF(AND(N(I261)&gt;0,N(INDEX('07-تموز'!$I$2:$I$500,V261))&gt;0,INDEX('07-تموز'!$F$2:$F$500,V261)=F261),N(I261)/N(INDEX('07-تموز'!$I$2:$I$500,V261))-1,""))</f>
        <v/>
      </c>
      <c r="AC261" t="str">
        <f>IF(L261="","",IF(AND($AO$2=1,ISNA(MATCH(L261,'09-أيلول'!$L$2:$L$500,0))),"محذوف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>
        <f t="shared" si="94"/>
        <v>2.6100000000000002E-7</v>
      </c>
      <c r="AH261" s="39">
        <f t="shared" si="95"/>
        <v>0</v>
      </c>
      <c r="AI261" s="39">
        <f t="shared" si="96"/>
        <v>0</v>
      </c>
      <c r="AJ261" s="39">
        <f t="shared" si="97"/>
        <v>0</v>
      </c>
      <c r="AK261">
        <f t="shared" si="98"/>
        <v>2.6100000000000002E-7</v>
      </c>
      <c r="AL261">
        <f t="shared" si="99"/>
        <v>2.6100000000000002E-7</v>
      </c>
    </row>
    <row r="262" spans="1:38" ht="15">
      <c r="A262" t="s">
        <v>504</v>
      </c>
      <c r="B262">
        <v>0</v>
      </c>
      <c r="C262">
        <v>5500</v>
      </c>
      <c r="D262">
        <v>5500</v>
      </c>
      <c r="E262">
        <v>5500</v>
      </c>
      <c r="F262" t="s">
        <v>389</v>
      </c>
      <c r="G262" t="s">
        <v>178</v>
      </c>
      <c r="H262" t="s">
        <v>12</v>
      </c>
      <c r="I262">
        <v>3500</v>
      </c>
      <c r="K262" t="str">
        <f t="shared" si="80"/>
        <v/>
      </c>
      <c r="L262" t="str">
        <f t="shared" si="81"/>
        <v>أسيد 1 لتر</v>
      </c>
      <c r="M262" s="36">
        <f t="shared" si="82"/>
        <v>7.5757575757575758E-5</v>
      </c>
      <c r="N262" s="37">
        <f t="shared" si="83"/>
        <v>0.26515151515151514</v>
      </c>
      <c r="O262" s="37">
        <f t="shared" si="84"/>
        <v>0.41666666666666669</v>
      </c>
      <c r="P262" s="38">
        <f t="shared" si="85"/>
        <v>0</v>
      </c>
      <c r="Q262" s="39">
        <f t="shared" si="86"/>
        <v>0</v>
      </c>
      <c r="R262" s="39">
        <f t="shared" si="87"/>
        <v>0</v>
      </c>
      <c r="S262">
        <f t="shared" si="88"/>
        <v>0</v>
      </c>
      <c r="T262" s="39">
        <f t="shared" si="89"/>
        <v>0</v>
      </c>
      <c r="U262" t="str">
        <f t="shared" si="90"/>
        <v/>
      </c>
      <c r="V262">
        <f>IF(L262="","",IF($AO$1=1,IFERROR(MATCH(L262,'07-تموز'!$L$2:$L$500,0),0),0))</f>
        <v>239</v>
      </c>
      <c r="W262" t="str">
        <f t="shared" si="91"/>
        <v/>
      </c>
      <c r="X262" s="38">
        <f>IF(L262="","",IF(V262&gt;0,INDEX('07-تموز'!$P$2:$P$500,V262),IF($AO$1=1,0,"")))</f>
        <v>0</v>
      </c>
      <c r="Y262" s="38">
        <f t="shared" si="92"/>
        <v>0</v>
      </c>
      <c r="Z262" s="39">
        <f>IF(L262="","",IF(V262&gt;0,INDEX('07-تموز'!$Q$2:$Q$500,V262),IF($AO$1=1,0,"")))</f>
        <v>0</v>
      </c>
      <c r="AA262" s="39">
        <f t="shared" si="93"/>
        <v>0</v>
      </c>
      <c r="AB262" s="40">
        <f>IF(OR(L262="",V262=0),"",IF(AND(N(I262)&gt;0,N(INDEX('07-تموز'!$I$2:$I$500,V262))&gt;0,INDEX('07-تموز'!$F$2:$F$500,V262)=F262),N(I262)/N(INDEX('07-تموز'!$I$2:$I$500,V262))-1,""))</f>
        <v>0</v>
      </c>
      <c r="AC262" t="str">
        <f>IF(L262="","",IF(AND($AO$2=1,ISNA(MATCH(L262,'09-أيلول'!$L$2:$L$500,0))),"محذوف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>
        <f t="shared" si="94"/>
        <v>2.6199999999999999E-7</v>
      </c>
      <c r="AH262" s="39">
        <f t="shared" si="95"/>
        <v>0</v>
      </c>
      <c r="AI262" s="39">
        <f t="shared" si="96"/>
        <v>0</v>
      </c>
      <c r="AJ262" s="39">
        <f t="shared" si="97"/>
        <v>0</v>
      </c>
      <c r="AK262">
        <f t="shared" si="98"/>
        <v>2.6199999999999999E-7</v>
      </c>
      <c r="AL262">
        <f t="shared" si="99"/>
        <v>2.6199999999999999E-7</v>
      </c>
    </row>
    <row r="263" spans="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IF(L263="","",IF($AO$1=1,IFERROR(MATCH(L263,'07-تموز'!$L$2:$L$500,0),0),0))</f>
        <v/>
      </c>
      <c r="W263" t="str">
        <f t="shared" si="91"/>
        <v/>
      </c>
      <c r="X263" s="38" t="str">
        <f>IF(L263="","",IF(V263&gt;0,INDEX('07-تموز'!$P$2:$P$500,V263),IF($AO$1=1,0,"")))</f>
        <v/>
      </c>
      <c r="Y263" s="38" t="str">
        <f t="shared" si="92"/>
        <v/>
      </c>
      <c r="Z263" s="39" t="str">
        <f>IF(L263="","",IF(V263&gt;0,INDEX('07-تموز'!$Q$2:$Q$500,V263),IF($AO$1=1,0,"")))</f>
        <v/>
      </c>
      <c r="AA263" s="39" t="str">
        <f t="shared" si="93"/>
        <v/>
      </c>
      <c r="AB263" s="40" t="str">
        <f>IF(OR(L263="",V263=0),"",IF(AND(N(I263)&gt;0,N(INDEX('07-تموز'!$I$2:$I$500,V263))&gt;0,INDEX('07-تموز'!$F$2:$F$500,V263)=F263),N(I263)/N(INDEX('07-تموز'!$I$2:$I$500,V263))-1,""))</f>
        <v/>
      </c>
      <c r="AC263" t="str">
        <f>IF(L263="","",IF(AND($AO$2=1,ISNA(MATCH(L263,'09-أيلول'!$L$2:$L$500,0))),"محذوف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IF(L264="","",IF($AO$1=1,IFERROR(MATCH(L264,'07-تموز'!$L$2:$L$500,0),0),0))</f>
        <v/>
      </c>
      <c r="W264" t="str">
        <f t="shared" si="91"/>
        <v/>
      </c>
      <c r="X264" s="38" t="str">
        <f>IF(L264="","",IF(V264&gt;0,INDEX('07-تموز'!$P$2:$P$500,V264),IF($AO$1=1,0,"")))</f>
        <v/>
      </c>
      <c r="Y264" s="38" t="str">
        <f t="shared" si="92"/>
        <v/>
      </c>
      <c r="Z264" s="39" t="str">
        <f>IF(L264="","",IF(V264&gt;0,INDEX('07-تموز'!$Q$2:$Q$500,V264),IF($AO$1=1,0,"")))</f>
        <v/>
      </c>
      <c r="AA264" s="39" t="str">
        <f t="shared" si="93"/>
        <v/>
      </c>
      <c r="AB264" s="40" t="str">
        <f>IF(OR(L264="",V264=0),"",IF(AND(N(I264)&gt;0,N(INDEX('07-تموز'!$I$2:$I$500,V264))&gt;0,INDEX('07-تموز'!$F$2:$F$500,V264)=F264),N(I264)/N(INDEX('07-تموز'!$I$2:$I$500,V264))-1,""))</f>
        <v/>
      </c>
      <c r="AC264" t="str">
        <f>IF(L264="","",IF(AND($AO$2=1,ISNA(MATCH(L264,'09-أيلول'!$L$2:$L$500,0))),"محذوف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IF(L265="","",IF($AO$1=1,IFERROR(MATCH(L265,'07-تموز'!$L$2:$L$500,0),0),0))</f>
        <v/>
      </c>
      <c r="W265" t="str">
        <f t="shared" si="91"/>
        <v/>
      </c>
      <c r="X265" s="38" t="str">
        <f>IF(L265="","",IF(V265&gt;0,INDEX('07-تموز'!$P$2:$P$500,V265),IF($AO$1=1,0,"")))</f>
        <v/>
      </c>
      <c r="Y265" s="38" t="str">
        <f t="shared" si="92"/>
        <v/>
      </c>
      <c r="Z265" s="39" t="str">
        <f>IF(L265="","",IF(V265&gt;0,INDEX('07-تموز'!$Q$2:$Q$500,V265),IF($AO$1=1,0,"")))</f>
        <v/>
      </c>
      <c r="AA265" s="39" t="str">
        <f t="shared" si="93"/>
        <v/>
      </c>
      <c r="AB265" s="40" t="str">
        <f>IF(OR(L265="",V265=0),"",IF(AND(N(I265)&gt;0,N(INDEX('07-تموز'!$I$2:$I$500,V265))&gt;0,INDEX('07-تموز'!$F$2:$F$500,V265)=F265),N(I265)/N(INDEX('07-تموز'!$I$2:$I$500,V265))-1,""))</f>
        <v/>
      </c>
      <c r="AC265" t="str">
        <f>IF(L265="","",IF(AND($AO$2=1,ISNA(MATCH(L265,'09-أيلول'!$L$2:$L$500,0))),"محذوف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IF(L266="","",IF($AO$1=1,IFERROR(MATCH(L266,'07-تموز'!$L$2:$L$500,0),0),0))</f>
        <v/>
      </c>
      <c r="W266" t="str">
        <f t="shared" si="91"/>
        <v/>
      </c>
      <c r="X266" s="38" t="str">
        <f>IF(L266="","",IF(V266&gt;0,INDEX('07-تموز'!$P$2:$P$500,V266),IF($AO$1=1,0,"")))</f>
        <v/>
      </c>
      <c r="Y266" s="38" t="str">
        <f t="shared" si="92"/>
        <v/>
      </c>
      <c r="Z266" s="39" t="str">
        <f>IF(L266="","",IF(V266&gt;0,INDEX('07-تموز'!$Q$2:$Q$500,V266),IF($AO$1=1,0,"")))</f>
        <v/>
      </c>
      <c r="AA266" s="39" t="str">
        <f t="shared" si="93"/>
        <v/>
      </c>
      <c r="AB266" s="40" t="str">
        <f>IF(OR(L266="",V266=0),"",IF(AND(N(I266)&gt;0,N(INDEX('07-تموز'!$I$2:$I$500,V266))&gt;0,INDEX('07-تموز'!$F$2:$F$500,V266)=F266),N(I266)/N(INDEX('07-تموز'!$I$2:$I$500,V266))-1,""))</f>
        <v/>
      </c>
      <c r="AC266" t="str">
        <f>IF(L266="","",IF(AND($AO$2=1,ISNA(MATCH(L266,'09-أيلول'!$L$2:$L$500,0))),"محذوف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IF(L267="","",IF($AO$1=1,IFERROR(MATCH(L267,'07-تموز'!$L$2:$L$500,0),0),0))</f>
        <v/>
      </c>
      <c r="W267" t="str">
        <f t="shared" si="91"/>
        <v/>
      </c>
      <c r="X267" s="38" t="str">
        <f>IF(L267="","",IF(V267&gt;0,INDEX('07-تموز'!$P$2:$P$500,V267),IF($AO$1=1,0,"")))</f>
        <v/>
      </c>
      <c r="Y267" s="38" t="str">
        <f t="shared" si="92"/>
        <v/>
      </c>
      <c r="Z267" s="39" t="str">
        <f>IF(L267="","",IF(V267&gt;0,INDEX('07-تموز'!$Q$2:$Q$500,V267),IF($AO$1=1,0,"")))</f>
        <v/>
      </c>
      <c r="AA267" s="39" t="str">
        <f t="shared" si="93"/>
        <v/>
      </c>
      <c r="AB267" s="40" t="str">
        <f>IF(OR(L267="",V267=0),"",IF(AND(N(I267)&gt;0,N(INDEX('07-تموز'!$I$2:$I$500,V267))&gt;0,INDEX('07-تموز'!$F$2:$F$500,V267)=F267),N(I267)/N(INDEX('07-تموز'!$I$2:$I$500,V267))-1,""))</f>
        <v/>
      </c>
      <c r="AC267" t="str">
        <f>IF(L267="","",IF(AND($AO$2=1,ISNA(MATCH(L267,'09-أيلول'!$L$2:$L$500,0))),"محذوف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IF(L268="","",IF($AO$1=1,IFERROR(MATCH(L268,'07-تموز'!$L$2:$L$500,0),0),0))</f>
        <v/>
      </c>
      <c r="W268" t="str">
        <f t="shared" si="91"/>
        <v/>
      </c>
      <c r="X268" s="38" t="str">
        <f>IF(L268="","",IF(V268&gt;0,INDEX('07-تموز'!$P$2:$P$500,V268),IF($AO$1=1,0,"")))</f>
        <v/>
      </c>
      <c r="Y268" s="38" t="str">
        <f t="shared" si="92"/>
        <v/>
      </c>
      <c r="Z268" s="39" t="str">
        <f>IF(L268="","",IF(V268&gt;0,INDEX('07-تموز'!$Q$2:$Q$500,V268),IF($AO$1=1,0,"")))</f>
        <v/>
      </c>
      <c r="AA268" s="39" t="str">
        <f t="shared" si="93"/>
        <v/>
      </c>
      <c r="AB268" s="40" t="str">
        <f>IF(OR(L268="",V268=0),"",IF(AND(N(I268)&gt;0,N(INDEX('07-تموز'!$I$2:$I$500,V268))&gt;0,INDEX('07-تموز'!$F$2:$F$500,V268)=F268),N(I268)/N(INDEX('07-تموز'!$I$2:$I$500,V268))-1,""))</f>
        <v/>
      </c>
      <c r="AC268" t="str">
        <f>IF(L268="","",IF(AND($AO$2=1,ISNA(MATCH(L268,'09-أيلول'!$L$2:$L$500,0))),"محذوف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IF(L269="","",IF($AO$1=1,IFERROR(MATCH(L269,'07-تموز'!$L$2:$L$500,0),0),0))</f>
        <v/>
      </c>
      <c r="W269" t="str">
        <f t="shared" si="91"/>
        <v/>
      </c>
      <c r="X269" s="38" t="str">
        <f>IF(L269="","",IF(V269&gt;0,INDEX('07-تموز'!$P$2:$P$500,V269),IF($AO$1=1,0,"")))</f>
        <v/>
      </c>
      <c r="Y269" s="38" t="str">
        <f t="shared" si="92"/>
        <v/>
      </c>
      <c r="Z269" s="39" t="str">
        <f>IF(L269="","",IF(V269&gt;0,INDEX('07-تموز'!$Q$2:$Q$500,V269),IF($AO$1=1,0,"")))</f>
        <v/>
      </c>
      <c r="AA269" s="39" t="str">
        <f t="shared" si="93"/>
        <v/>
      </c>
      <c r="AB269" s="40" t="str">
        <f>IF(OR(L269="",V269=0),"",IF(AND(N(I269)&gt;0,N(INDEX('07-تموز'!$I$2:$I$500,V269))&gt;0,INDEX('07-تموز'!$F$2:$F$500,V269)=F269),N(I269)/N(INDEX('07-تموز'!$I$2:$I$500,V269))-1,""))</f>
        <v/>
      </c>
      <c r="AC269" t="str">
        <f>IF(L269="","",IF(AND($AO$2=1,ISNA(MATCH(L269,'09-أيلول'!$L$2:$L$500,0))),"محذوف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IF(L270="","",IF($AO$1=1,IFERROR(MATCH(L270,'07-تموز'!$L$2:$L$500,0),0),0))</f>
        <v/>
      </c>
      <c r="W270" t="str">
        <f t="shared" si="91"/>
        <v/>
      </c>
      <c r="X270" s="38" t="str">
        <f>IF(L270="","",IF(V270&gt;0,INDEX('07-تموز'!$P$2:$P$500,V270),IF($AO$1=1,0,"")))</f>
        <v/>
      </c>
      <c r="Y270" s="38" t="str">
        <f t="shared" si="92"/>
        <v/>
      </c>
      <c r="Z270" s="39" t="str">
        <f>IF(L270="","",IF(V270&gt;0,INDEX('07-تموز'!$Q$2:$Q$500,V270),IF($AO$1=1,0,"")))</f>
        <v/>
      </c>
      <c r="AA270" s="39" t="str">
        <f t="shared" si="93"/>
        <v/>
      </c>
      <c r="AB270" s="40" t="str">
        <f>IF(OR(L270="",V270=0),"",IF(AND(N(I270)&gt;0,N(INDEX('07-تموز'!$I$2:$I$500,V270))&gt;0,INDEX('07-تموز'!$F$2:$F$500,V270)=F270),N(I270)/N(INDEX('07-تموز'!$I$2:$I$500,V270))-1,""))</f>
        <v/>
      </c>
      <c r="AC270" t="str">
        <f>IF(L270="","",IF(AND($AO$2=1,ISNA(MATCH(L270,'09-أيلول'!$L$2:$L$500,0))),"محذوف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IF(L271="","",IF($AO$1=1,IFERROR(MATCH(L271,'07-تموز'!$L$2:$L$500,0),0),0))</f>
        <v/>
      </c>
      <c r="W271" t="str">
        <f t="shared" si="91"/>
        <v/>
      </c>
      <c r="X271" s="38" t="str">
        <f>IF(L271="","",IF(V271&gt;0,INDEX('07-تموز'!$P$2:$P$500,V271),IF($AO$1=1,0,"")))</f>
        <v/>
      </c>
      <c r="Y271" s="38" t="str">
        <f t="shared" si="92"/>
        <v/>
      </c>
      <c r="Z271" s="39" t="str">
        <f>IF(L271="","",IF(V271&gt;0,INDEX('07-تموز'!$Q$2:$Q$500,V271),IF($AO$1=1,0,"")))</f>
        <v/>
      </c>
      <c r="AA271" s="39" t="str">
        <f t="shared" si="93"/>
        <v/>
      </c>
      <c r="AB271" s="40" t="str">
        <f>IF(OR(L271="",V271=0),"",IF(AND(N(I271)&gt;0,N(INDEX('07-تموز'!$I$2:$I$500,V271))&gt;0,INDEX('07-تموز'!$F$2:$F$500,V271)=F271),N(I271)/N(INDEX('07-تموز'!$I$2:$I$500,V271))-1,""))</f>
        <v/>
      </c>
      <c r="AC271" t="str">
        <f>IF(L271="","",IF(AND($AO$2=1,ISNA(MATCH(L271,'09-أيلول'!$L$2:$L$500,0))),"محذوف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IF(L272="","",IF($AO$1=1,IFERROR(MATCH(L272,'07-تموز'!$L$2:$L$500,0),0),0))</f>
        <v/>
      </c>
      <c r="W272" t="str">
        <f t="shared" si="91"/>
        <v/>
      </c>
      <c r="X272" s="38" t="str">
        <f>IF(L272="","",IF(V272&gt;0,INDEX('07-تموز'!$P$2:$P$500,V272),IF($AO$1=1,0,"")))</f>
        <v/>
      </c>
      <c r="Y272" s="38" t="str">
        <f t="shared" si="92"/>
        <v/>
      </c>
      <c r="Z272" s="39" t="str">
        <f>IF(L272="","",IF(V272&gt;0,INDEX('07-تموز'!$Q$2:$Q$500,V272),IF($AO$1=1,0,"")))</f>
        <v/>
      </c>
      <c r="AA272" s="39" t="str">
        <f t="shared" si="93"/>
        <v/>
      </c>
      <c r="AB272" s="40" t="str">
        <f>IF(OR(L272="",V272=0),"",IF(AND(N(I272)&gt;0,N(INDEX('07-تموز'!$I$2:$I$500,V272))&gt;0,INDEX('07-تموز'!$F$2:$F$500,V272)=F272),N(I272)/N(INDEX('07-تموز'!$I$2:$I$500,V272))-1,""))</f>
        <v/>
      </c>
      <c r="AC272" t="str">
        <f>IF(L272="","",IF(AND($AO$2=1,ISNA(MATCH(L272,'09-أيلول'!$L$2:$L$500,0))),"محذوف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IF(L273="","",IF($AO$1=1,IFERROR(MATCH(L273,'07-تموز'!$L$2:$L$500,0),0),0))</f>
        <v/>
      </c>
      <c r="W273" t="str">
        <f t="shared" si="91"/>
        <v/>
      </c>
      <c r="X273" s="38" t="str">
        <f>IF(L273="","",IF(V273&gt;0,INDEX('07-تموز'!$P$2:$P$500,V273),IF($AO$1=1,0,"")))</f>
        <v/>
      </c>
      <c r="Y273" s="38" t="str">
        <f t="shared" si="92"/>
        <v/>
      </c>
      <c r="Z273" s="39" t="str">
        <f>IF(L273="","",IF(V273&gt;0,INDEX('07-تموز'!$Q$2:$Q$500,V273),IF($AO$1=1,0,"")))</f>
        <v/>
      </c>
      <c r="AA273" s="39" t="str">
        <f t="shared" si="93"/>
        <v/>
      </c>
      <c r="AB273" s="40" t="str">
        <f>IF(OR(L273="",V273=0),"",IF(AND(N(I273)&gt;0,N(INDEX('07-تموز'!$I$2:$I$500,V273))&gt;0,INDEX('07-تموز'!$F$2:$F$500,V273)=F273),N(I273)/N(INDEX('07-تموز'!$I$2:$I$500,V273))-1,""))</f>
        <v/>
      </c>
      <c r="AC273" t="str">
        <f>IF(L273="","",IF(AND($AO$2=1,ISNA(MATCH(L273,'09-أيلول'!$L$2:$L$500,0))),"محذوف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IF(L274="","",IF($AO$1=1,IFERROR(MATCH(L274,'07-تموز'!$L$2:$L$500,0),0),0))</f>
        <v/>
      </c>
      <c r="W274" t="str">
        <f t="shared" si="91"/>
        <v/>
      </c>
      <c r="X274" s="38" t="str">
        <f>IF(L274="","",IF(V274&gt;0,INDEX('07-تموز'!$P$2:$P$500,V274),IF($AO$1=1,0,"")))</f>
        <v/>
      </c>
      <c r="Y274" s="38" t="str">
        <f t="shared" si="92"/>
        <v/>
      </c>
      <c r="Z274" s="39" t="str">
        <f>IF(L274="","",IF(V274&gt;0,INDEX('07-تموز'!$Q$2:$Q$500,V274),IF($AO$1=1,0,"")))</f>
        <v/>
      </c>
      <c r="AA274" s="39" t="str">
        <f t="shared" si="93"/>
        <v/>
      </c>
      <c r="AB274" s="40" t="str">
        <f>IF(OR(L274="",V274=0),"",IF(AND(N(I274)&gt;0,N(INDEX('07-تموز'!$I$2:$I$500,V274))&gt;0,INDEX('07-تموز'!$F$2:$F$500,V274)=F274),N(I274)/N(INDEX('07-تموز'!$I$2:$I$500,V274))-1,""))</f>
        <v/>
      </c>
      <c r="AC274" t="str">
        <f>IF(L274="","",IF(AND($AO$2=1,ISNA(MATCH(L274,'09-أيلول'!$L$2:$L$500,0))),"محذوف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IF(L275="","",IF($AO$1=1,IFERROR(MATCH(L275,'07-تموز'!$L$2:$L$500,0),0),0))</f>
        <v/>
      </c>
      <c r="W275" t="str">
        <f t="shared" si="91"/>
        <v/>
      </c>
      <c r="X275" s="38" t="str">
        <f>IF(L275="","",IF(V275&gt;0,INDEX('07-تموز'!$P$2:$P$500,V275),IF($AO$1=1,0,"")))</f>
        <v/>
      </c>
      <c r="Y275" s="38" t="str">
        <f t="shared" si="92"/>
        <v/>
      </c>
      <c r="Z275" s="39" t="str">
        <f>IF(L275="","",IF(V275&gt;0,INDEX('07-تموز'!$Q$2:$Q$500,V275),IF($AO$1=1,0,"")))</f>
        <v/>
      </c>
      <c r="AA275" s="39" t="str">
        <f t="shared" si="93"/>
        <v/>
      </c>
      <c r="AB275" s="40" t="str">
        <f>IF(OR(L275="",V275=0),"",IF(AND(N(I275)&gt;0,N(INDEX('07-تموز'!$I$2:$I$500,V275))&gt;0,INDEX('07-تموز'!$F$2:$F$500,V275)=F275),N(I275)/N(INDEX('07-تموز'!$I$2:$I$500,V275))-1,""))</f>
        <v/>
      </c>
      <c r="AC275" t="str">
        <f>IF(L275="","",IF(AND($AO$2=1,ISNA(MATCH(L275,'09-أيلول'!$L$2:$L$500,0))),"محذوف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IF(L276="","",IF($AO$1=1,IFERROR(MATCH(L276,'07-تموز'!$L$2:$L$500,0),0),0))</f>
        <v/>
      </c>
      <c r="W276" t="str">
        <f t="shared" si="91"/>
        <v/>
      </c>
      <c r="X276" s="38" t="str">
        <f>IF(L276="","",IF(V276&gt;0,INDEX('07-تموز'!$P$2:$P$500,V276),IF($AO$1=1,0,"")))</f>
        <v/>
      </c>
      <c r="Y276" s="38" t="str">
        <f t="shared" si="92"/>
        <v/>
      </c>
      <c r="Z276" s="39" t="str">
        <f>IF(L276="","",IF(V276&gt;0,INDEX('07-تموز'!$Q$2:$Q$500,V276),IF($AO$1=1,0,"")))</f>
        <v/>
      </c>
      <c r="AA276" s="39" t="str">
        <f t="shared" si="93"/>
        <v/>
      </c>
      <c r="AB276" s="40" t="str">
        <f>IF(OR(L276="",V276=0),"",IF(AND(N(I276)&gt;0,N(INDEX('07-تموز'!$I$2:$I$500,V276))&gt;0,INDEX('07-تموز'!$F$2:$F$500,V276)=F276),N(I276)/N(INDEX('07-تموز'!$I$2:$I$500,V276))-1,""))</f>
        <v/>
      </c>
      <c r="AC276" t="str">
        <f>IF(L276="","",IF(AND($AO$2=1,ISNA(MATCH(L276,'09-أيلول'!$L$2:$L$500,0))),"محذوف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IF(L277="","",IF($AO$1=1,IFERROR(MATCH(L277,'07-تموز'!$L$2:$L$500,0),0),0))</f>
        <v/>
      </c>
      <c r="W277" t="str">
        <f t="shared" si="91"/>
        <v/>
      </c>
      <c r="X277" s="38" t="str">
        <f>IF(L277="","",IF(V277&gt;0,INDEX('07-تموز'!$P$2:$P$500,V277),IF($AO$1=1,0,"")))</f>
        <v/>
      </c>
      <c r="Y277" s="38" t="str">
        <f t="shared" si="92"/>
        <v/>
      </c>
      <c r="Z277" s="39" t="str">
        <f>IF(L277="","",IF(V277&gt;0,INDEX('07-تموز'!$Q$2:$Q$500,V277),IF($AO$1=1,0,"")))</f>
        <v/>
      </c>
      <c r="AA277" s="39" t="str">
        <f t="shared" si="93"/>
        <v/>
      </c>
      <c r="AB277" s="40" t="str">
        <f>IF(OR(L277="",V277=0),"",IF(AND(N(I277)&gt;0,N(INDEX('07-تموز'!$I$2:$I$500,V277))&gt;0,INDEX('07-تموز'!$F$2:$F$500,V277)=F277),N(I277)/N(INDEX('07-تموز'!$I$2:$I$500,V277))-1,""))</f>
        <v/>
      </c>
      <c r="AC277" t="str">
        <f>IF(L277="","",IF(AND($AO$2=1,ISNA(MATCH(L277,'09-أيلول'!$L$2:$L$500,0))),"محذوف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IF(L278="","",IF($AO$1=1,IFERROR(MATCH(L278,'07-تموز'!$L$2:$L$500,0),0),0))</f>
        <v/>
      </c>
      <c r="W278" t="str">
        <f t="shared" si="91"/>
        <v/>
      </c>
      <c r="X278" s="38" t="str">
        <f>IF(L278="","",IF(V278&gt;0,INDEX('07-تموز'!$P$2:$P$500,V278),IF($AO$1=1,0,"")))</f>
        <v/>
      </c>
      <c r="Y278" s="38" t="str">
        <f t="shared" si="92"/>
        <v/>
      </c>
      <c r="Z278" s="39" t="str">
        <f>IF(L278="","",IF(V278&gt;0,INDEX('07-تموز'!$Q$2:$Q$500,V278),IF($AO$1=1,0,"")))</f>
        <v/>
      </c>
      <c r="AA278" s="39" t="str">
        <f t="shared" si="93"/>
        <v/>
      </c>
      <c r="AB278" s="40" t="str">
        <f>IF(OR(L278="",V278=0),"",IF(AND(N(I278)&gt;0,N(INDEX('07-تموز'!$I$2:$I$500,V278))&gt;0,INDEX('07-تموز'!$F$2:$F$500,V278)=F278),N(I278)/N(INDEX('07-تموز'!$I$2:$I$500,V278))-1,""))</f>
        <v/>
      </c>
      <c r="AC278" t="str">
        <f>IF(L278="","",IF(AND($AO$2=1,ISNA(MATCH(L278,'09-أيلول'!$L$2:$L$500,0))),"محذوف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IF(L279="","",IF($AO$1=1,IFERROR(MATCH(L279,'07-تموز'!$L$2:$L$500,0),0),0))</f>
        <v/>
      </c>
      <c r="W279" t="str">
        <f t="shared" si="91"/>
        <v/>
      </c>
      <c r="X279" s="38" t="str">
        <f>IF(L279="","",IF(V279&gt;0,INDEX('07-تموز'!$P$2:$P$500,V279),IF($AO$1=1,0,"")))</f>
        <v/>
      </c>
      <c r="Y279" s="38" t="str">
        <f t="shared" si="92"/>
        <v/>
      </c>
      <c r="Z279" s="39" t="str">
        <f>IF(L279="","",IF(V279&gt;0,INDEX('07-تموز'!$Q$2:$Q$500,V279),IF($AO$1=1,0,"")))</f>
        <v/>
      </c>
      <c r="AA279" s="39" t="str">
        <f t="shared" si="93"/>
        <v/>
      </c>
      <c r="AB279" s="40" t="str">
        <f>IF(OR(L279="",V279=0),"",IF(AND(N(I279)&gt;0,N(INDEX('07-تموز'!$I$2:$I$500,V279))&gt;0,INDEX('07-تموز'!$F$2:$F$500,V279)=F279),N(I279)/N(INDEX('07-تموز'!$I$2:$I$500,V279))-1,""))</f>
        <v/>
      </c>
      <c r="AC279" t="str">
        <f>IF(L279="","",IF(AND($AO$2=1,ISNA(MATCH(L279,'09-أيلول'!$L$2:$L$500,0))),"محذوف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IF(L280="","",IF($AO$1=1,IFERROR(MATCH(L280,'07-تموز'!$L$2:$L$500,0),0),0))</f>
        <v/>
      </c>
      <c r="W280" t="str">
        <f t="shared" si="91"/>
        <v/>
      </c>
      <c r="X280" s="38" t="str">
        <f>IF(L280="","",IF(V280&gt;0,INDEX('07-تموز'!$P$2:$P$500,V280),IF($AO$1=1,0,"")))</f>
        <v/>
      </c>
      <c r="Y280" s="38" t="str">
        <f t="shared" si="92"/>
        <v/>
      </c>
      <c r="Z280" s="39" t="str">
        <f>IF(L280="","",IF(V280&gt;0,INDEX('07-تموز'!$Q$2:$Q$500,V280),IF($AO$1=1,0,"")))</f>
        <v/>
      </c>
      <c r="AA280" s="39" t="str">
        <f t="shared" si="93"/>
        <v/>
      </c>
      <c r="AB280" s="40" t="str">
        <f>IF(OR(L280="",V280=0),"",IF(AND(N(I280)&gt;0,N(INDEX('07-تموز'!$I$2:$I$500,V280))&gt;0,INDEX('07-تموز'!$F$2:$F$500,V280)=F280),N(I280)/N(INDEX('07-تموز'!$I$2:$I$500,V280))-1,""))</f>
        <v/>
      </c>
      <c r="AC280" t="str">
        <f>IF(L280="","",IF(AND($AO$2=1,ISNA(MATCH(L280,'09-أيلول'!$L$2:$L$500,0))),"محذوف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IF(L281="","",IF($AO$1=1,IFERROR(MATCH(L281,'07-تموز'!$L$2:$L$500,0),0),0))</f>
        <v/>
      </c>
      <c r="W281" t="str">
        <f t="shared" si="91"/>
        <v/>
      </c>
      <c r="X281" s="38" t="str">
        <f>IF(L281="","",IF(V281&gt;0,INDEX('07-تموز'!$P$2:$P$500,V281),IF($AO$1=1,0,"")))</f>
        <v/>
      </c>
      <c r="Y281" s="38" t="str">
        <f t="shared" si="92"/>
        <v/>
      </c>
      <c r="Z281" s="39" t="str">
        <f>IF(L281="","",IF(V281&gt;0,INDEX('07-تموز'!$Q$2:$Q$500,V281),IF($AO$1=1,0,"")))</f>
        <v/>
      </c>
      <c r="AA281" s="39" t="str">
        <f t="shared" si="93"/>
        <v/>
      </c>
      <c r="AB281" s="40" t="str">
        <f>IF(OR(L281="",V281=0),"",IF(AND(N(I281)&gt;0,N(INDEX('07-تموز'!$I$2:$I$500,V281))&gt;0,INDEX('07-تموز'!$F$2:$F$500,V281)=F281),N(I281)/N(INDEX('07-تموز'!$I$2:$I$500,V281))-1,""))</f>
        <v/>
      </c>
      <c r="AC281" t="str">
        <f>IF(L281="","",IF(AND($AO$2=1,ISNA(MATCH(L281,'09-أيلول'!$L$2:$L$500,0))),"محذوف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IF(L282="","",IF($AO$1=1,IFERROR(MATCH(L282,'07-تموز'!$L$2:$L$500,0),0),0))</f>
        <v/>
      </c>
      <c r="W282" t="str">
        <f t="shared" si="91"/>
        <v/>
      </c>
      <c r="X282" s="38" t="str">
        <f>IF(L282="","",IF(V282&gt;0,INDEX('07-تموز'!$P$2:$P$500,V282),IF($AO$1=1,0,"")))</f>
        <v/>
      </c>
      <c r="Y282" s="38" t="str">
        <f t="shared" si="92"/>
        <v/>
      </c>
      <c r="Z282" s="39" t="str">
        <f>IF(L282="","",IF(V282&gt;0,INDEX('07-تموز'!$Q$2:$Q$500,V282),IF($AO$1=1,0,"")))</f>
        <v/>
      </c>
      <c r="AA282" s="39" t="str">
        <f t="shared" si="93"/>
        <v/>
      </c>
      <c r="AB282" s="40" t="str">
        <f>IF(OR(L282="",V282=0),"",IF(AND(N(I282)&gt;0,N(INDEX('07-تموز'!$I$2:$I$500,V282))&gt;0,INDEX('07-تموز'!$F$2:$F$500,V282)=F282),N(I282)/N(INDEX('07-تموز'!$I$2:$I$500,V282))-1,""))</f>
        <v/>
      </c>
      <c r="AC282" t="str">
        <f>IF(L282="","",IF(AND($AO$2=1,ISNA(MATCH(L282,'09-أيلول'!$L$2:$L$500,0))),"محذوف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IF(L283="","",IF($AO$1=1,IFERROR(MATCH(L283,'07-تموز'!$L$2:$L$500,0),0),0))</f>
        <v/>
      </c>
      <c r="W283" t="str">
        <f t="shared" si="91"/>
        <v/>
      </c>
      <c r="X283" s="38" t="str">
        <f>IF(L283="","",IF(V283&gt;0,INDEX('07-تموز'!$P$2:$P$500,V283),IF($AO$1=1,0,"")))</f>
        <v/>
      </c>
      <c r="Y283" s="38" t="str">
        <f t="shared" si="92"/>
        <v/>
      </c>
      <c r="Z283" s="39" t="str">
        <f>IF(L283="","",IF(V283&gt;0,INDEX('07-تموز'!$Q$2:$Q$500,V283),IF($AO$1=1,0,"")))</f>
        <v/>
      </c>
      <c r="AA283" s="39" t="str">
        <f t="shared" si="93"/>
        <v/>
      </c>
      <c r="AB283" s="40" t="str">
        <f>IF(OR(L283="",V283=0),"",IF(AND(N(I283)&gt;0,N(INDEX('07-تموز'!$I$2:$I$500,V283))&gt;0,INDEX('07-تموز'!$F$2:$F$500,V283)=F283),N(I283)/N(INDEX('07-تموز'!$I$2:$I$500,V283))-1,""))</f>
        <v/>
      </c>
      <c r="AC283" t="str">
        <f>IF(L283="","",IF(AND($AO$2=1,ISNA(MATCH(L283,'09-أيلول'!$L$2:$L$500,0))),"محذوف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IF(L284="","",IF($AO$1=1,IFERROR(MATCH(L284,'07-تموز'!$L$2:$L$500,0),0),0))</f>
        <v/>
      </c>
      <c r="W284" t="str">
        <f t="shared" si="91"/>
        <v/>
      </c>
      <c r="X284" s="38" t="str">
        <f>IF(L284="","",IF(V284&gt;0,INDEX('07-تموز'!$P$2:$P$500,V284),IF($AO$1=1,0,"")))</f>
        <v/>
      </c>
      <c r="Y284" s="38" t="str">
        <f t="shared" si="92"/>
        <v/>
      </c>
      <c r="Z284" s="39" t="str">
        <f>IF(L284="","",IF(V284&gt;0,INDEX('07-تموز'!$Q$2:$Q$500,V284),IF($AO$1=1,0,"")))</f>
        <v/>
      </c>
      <c r="AA284" s="39" t="str">
        <f t="shared" si="93"/>
        <v/>
      </c>
      <c r="AB284" s="40" t="str">
        <f>IF(OR(L284="",V284=0),"",IF(AND(N(I284)&gt;0,N(INDEX('07-تموز'!$I$2:$I$500,V284))&gt;0,INDEX('07-تموز'!$F$2:$F$500,V284)=F284),N(I284)/N(INDEX('07-تموز'!$I$2:$I$500,V284))-1,""))</f>
        <v/>
      </c>
      <c r="AC284" t="str">
        <f>IF(L284="","",IF(AND($AO$2=1,ISNA(MATCH(L284,'09-أيلول'!$L$2:$L$500,0))),"محذوف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IF(L285="","",IF($AO$1=1,IFERROR(MATCH(L285,'07-تموز'!$L$2:$L$500,0),0),0))</f>
        <v/>
      </c>
      <c r="W285" t="str">
        <f t="shared" si="91"/>
        <v/>
      </c>
      <c r="X285" s="38" t="str">
        <f>IF(L285="","",IF(V285&gt;0,INDEX('07-تموز'!$P$2:$P$500,V285),IF($AO$1=1,0,"")))</f>
        <v/>
      </c>
      <c r="Y285" s="38" t="str">
        <f t="shared" si="92"/>
        <v/>
      </c>
      <c r="Z285" s="39" t="str">
        <f>IF(L285="","",IF(V285&gt;0,INDEX('07-تموز'!$Q$2:$Q$500,V285),IF($AO$1=1,0,"")))</f>
        <v/>
      </c>
      <c r="AA285" s="39" t="str">
        <f t="shared" si="93"/>
        <v/>
      </c>
      <c r="AB285" s="40" t="str">
        <f>IF(OR(L285="",V285=0),"",IF(AND(N(I285)&gt;0,N(INDEX('07-تموز'!$I$2:$I$500,V285))&gt;0,INDEX('07-تموز'!$F$2:$F$500,V285)=F285),N(I285)/N(INDEX('07-تموز'!$I$2:$I$500,V285))-1,""))</f>
        <v/>
      </c>
      <c r="AC285" t="str">
        <f>IF(L285="","",IF(AND($AO$2=1,ISNA(MATCH(L285,'09-أيلول'!$L$2:$L$500,0))),"محذوف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IF(L286="","",IF($AO$1=1,IFERROR(MATCH(L286,'07-تموز'!$L$2:$L$500,0),0),0))</f>
        <v/>
      </c>
      <c r="W286" t="str">
        <f t="shared" si="91"/>
        <v/>
      </c>
      <c r="X286" s="38" t="str">
        <f>IF(L286="","",IF(V286&gt;0,INDEX('07-تموز'!$P$2:$P$500,V286),IF($AO$1=1,0,"")))</f>
        <v/>
      </c>
      <c r="Y286" s="38" t="str">
        <f t="shared" si="92"/>
        <v/>
      </c>
      <c r="Z286" s="39" t="str">
        <f>IF(L286="","",IF(V286&gt;0,INDEX('07-تموز'!$Q$2:$Q$500,V286),IF($AO$1=1,0,"")))</f>
        <v/>
      </c>
      <c r="AA286" s="39" t="str">
        <f t="shared" si="93"/>
        <v/>
      </c>
      <c r="AB286" s="40" t="str">
        <f>IF(OR(L286="",V286=0),"",IF(AND(N(I286)&gt;0,N(INDEX('07-تموز'!$I$2:$I$500,V286))&gt;0,INDEX('07-تموز'!$F$2:$F$500,V286)=F286),N(I286)/N(INDEX('07-تموز'!$I$2:$I$500,V286))-1,""))</f>
        <v/>
      </c>
      <c r="AC286" t="str">
        <f>IF(L286="","",IF(AND($AO$2=1,ISNA(MATCH(L286,'09-أيلول'!$L$2:$L$500,0))),"محذوف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IF(L287="","",IF($AO$1=1,IFERROR(MATCH(L287,'07-تموز'!$L$2:$L$500,0),0),0))</f>
        <v/>
      </c>
      <c r="W287" t="str">
        <f t="shared" si="91"/>
        <v/>
      </c>
      <c r="X287" s="38" t="str">
        <f>IF(L287="","",IF(V287&gt;0,INDEX('07-تموز'!$P$2:$P$500,V287),IF($AO$1=1,0,"")))</f>
        <v/>
      </c>
      <c r="Y287" s="38" t="str">
        <f t="shared" si="92"/>
        <v/>
      </c>
      <c r="Z287" s="39" t="str">
        <f>IF(L287="","",IF(V287&gt;0,INDEX('07-تموز'!$Q$2:$Q$500,V287),IF($AO$1=1,0,"")))</f>
        <v/>
      </c>
      <c r="AA287" s="39" t="str">
        <f t="shared" si="93"/>
        <v/>
      </c>
      <c r="AB287" s="40" t="str">
        <f>IF(OR(L287="",V287=0),"",IF(AND(N(I287)&gt;0,N(INDEX('07-تموز'!$I$2:$I$500,V287))&gt;0,INDEX('07-تموز'!$F$2:$F$500,V287)=F287),N(I287)/N(INDEX('07-تموز'!$I$2:$I$500,V287))-1,""))</f>
        <v/>
      </c>
      <c r="AC287" t="str">
        <f>IF(L287="","",IF(AND($AO$2=1,ISNA(MATCH(L287,'09-أيلول'!$L$2:$L$500,0))),"محذوف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IF(L288="","",IF($AO$1=1,IFERROR(MATCH(L288,'07-تموز'!$L$2:$L$500,0),0),0))</f>
        <v/>
      </c>
      <c r="W288" t="str">
        <f t="shared" si="91"/>
        <v/>
      </c>
      <c r="X288" s="38" t="str">
        <f>IF(L288="","",IF(V288&gt;0,INDEX('07-تموز'!$P$2:$P$500,V288),IF($AO$1=1,0,"")))</f>
        <v/>
      </c>
      <c r="Y288" s="38" t="str">
        <f t="shared" si="92"/>
        <v/>
      </c>
      <c r="Z288" s="39" t="str">
        <f>IF(L288="","",IF(V288&gt;0,INDEX('07-تموز'!$Q$2:$Q$500,V288),IF($AO$1=1,0,"")))</f>
        <v/>
      </c>
      <c r="AA288" s="39" t="str">
        <f t="shared" si="93"/>
        <v/>
      </c>
      <c r="AB288" s="40" t="str">
        <f>IF(OR(L288="",V288=0),"",IF(AND(N(I288)&gt;0,N(INDEX('07-تموز'!$I$2:$I$500,V288))&gt;0,INDEX('07-تموز'!$F$2:$F$500,V288)=F288),N(I288)/N(INDEX('07-تموز'!$I$2:$I$500,V288))-1,""))</f>
        <v/>
      </c>
      <c r="AC288" t="str">
        <f>IF(L288="","",IF(AND($AO$2=1,ISNA(MATCH(L288,'09-أيلول'!$L$2:$L$500,0))),"محذوف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IF(L289="","",IF($AO$1=1,IFERROR(MATCH(L289,'07-تموز'!$L$2:$L$500,0),0),0))</f>
        <v/>
      </c>
      <c r="W289" t="str">
        <f t="shared" si="91"/>
        <v/>
      </c>
      <c r="X289" s="38" t="str">
        <f>IF(L289="","",IF(V289&gt;0,INDEX('07-تموز'!$P$2:$P$500,V289),IF($AO$1=1,0,"")))</f>
        <v/>
      </c>
      <c r="Y289" s="38" t="str">
        <f t="shared" si="92"/>
        <v/>
      </c>
      <c r="Z289" s="39" t="str">
        <f>IF(L289="","",IF(V289&gt;0,INDEX('07-تموز'!$Q$2:$Q$500,V289),IF($AO$1=1,0,"")))</f>
        <v/>
      </c>
      <c r="AA289" s="39" t="str">
        <f t="shared" si="93"/>
        <v/>
      </c>
      <c r="AB289" s="40" t="str">
        <f>IF(OR(L289="",V289=0),"",IF(AND(N(I289)&gt;0,N(INDEX('07-تموز'!$I$2:$I$500,V289))&gt;0,INDEX('07-تموز'!$F$2:$F$500,V289)=F289),N(I289)/N(INDEX('07-تموز'!$I$2:$I$500,V289))-1,""))</f>
        <v/>
      </c>
      <c r="AC289" t="str">
        <f>IF(L289="","",IF(AND($AO$2=1,ISNA(MATCH(L289,'09-أيلول'!$L$2:$L$500,0))),"محذوف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IF(L290="","",IF($AO$1=1,IFERROR(MATCH(L290,'07-تموز'!$L$2:$L$500,0),0),0))</f>
        <v/>
      </c>
      <c r="W290" t="str">
        <f t="shared" si="91"/>
        <v/>
      </c>
      <c r="X290" s="38" t="str">
        <f>IF(L290="","",IF(V290&gt;0,INDEX('07-تموز'!$P$2:$P$500,V290),IF($AO$1=1,0,"")))</f>
        <v/>
      </c>
      <c r="Y290" s="38" t="str">
        <f t="shared" si="92"/>
        <v/>
      </c>
      <c r="Z290" s="39" t="str">
        <f>IF(L290="","",IF(V290&gt;0,INDEX('07-تموز'!$Q$2:$Q$500,V290),IF($AO$1=1,0,"")))</f>
        <v/>
      </c>
      <c r="AA290" s="39" t="str">
        <f t="shared" si="93"/>
        <v/>
      </c>
      <c r="AB290" s="40" t="str">
        <f>IF(OR(L290="",V290=0),"",IF(AND(N(I290)&gt;0,N(INDEX('07-تموز'!$I$2:$I$500,V290))&gt;0,INDEX('07-تموز'!$F$2:$F$500,V290)=F290),N(I290)/N(INDEX('07-تموز'!$I$2:$I$500,V290))-1,""))</f>
        <v/>
      </c>
      <c r="AC290" t="str">
        <f>IF(L290="","",IF(AND($AO$2=1,ISNA(MATCH(L290,'09-أيلول'!$L$2:$L$500,0))),"محذوف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IF(L291="","",IF($AO$1=1,IFERROR(MATCH(L291,'07-تموز'!$L$2:$L$500,0),0),0))</f>
        <v/>
      </c>
      <c r="W291" t="str">
        <f t="shared" si="91"/>
        <v/>
      </c>
      <c r="X291" s="38" t="str">
        <f>IF(L291="","",IF(V291&gt;0,INDEX('07-تموز'!$P$2:$P$500,V291),IF($AO$1=1,0,"")))</f>
        <v/>
      </c>
      <c r="Y291" s="38" t="str">
        <f t="shared" si="92"/>
        <v/>
      </c>
      <c r="Z291" s="39" t="str">
        <f>IF(L291="","",IF(V291&gt;0,INDEX('07-تموز'!$Q$2:$Q$500,V291),IF($AO$1=1,0,"")))</f>
        <v/>
      </c>
      <c r="AA291" s="39" t="str">
        <f t="shared" si="93"/>
        <v/>
      </c>
      <c r="AB291" s="40" t="str">
        <f>IF(OR(L291="",V291=0),"",IF(AND(N(I291)&gt;0,N(INDEX('07-تموز'!$I$2:$I$500,V291))&gt;0,INDEX('07-تموز'!$F$2:$F$500,V291)=F291),N(I291)/N(INDEX('07-تموز'!$I$2:$I$500,V291))-1,""))</f>
        <v/>
      </c>
      <c r="AC291" t="str">
        <f>IF(L291="","",IF(AND($AO$2=1,ISNA(MATCH(L291,'09-أيلول'!$L$2:$L$500,0))),"محذوف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IF(L292="","",IF($AO$1=1,IFERROR(MATCH(L292,'07-تموز'!$L$2:$L$500,0),0),0))</f>
        <v/>
      </c>
      <c r="W292" t="str">
        <f t="shared" si="91"/>
        <v/>
      </c>
      <c r="X292" s="38" t="str">
        <f>IF(L292="","",IF(V292&gt;0,INDEX('07-تموز'!$P$2:$P$500,V292),IF($AO$1=1,0,"")))</f>
        <v/>
      </c>
      <c r="Y292" s="38" t="str">
        <f t="shared" si="92"/>
        <v/>
      </c>
      <c r="Z292" s="39" t="str">
        <f>IF(L292="","",IF(V292&gt;0,INDEX('07-تموز'!$Q$2:$Q$500,V292),IF($AO$1=1,0,"")))</f>
        <v/>
      </c>
      <c r="AA292" s="39" t="str">
        <f t="shared" si="93"/>
        <v/>
      </c>
      <c r="AB292" s="40" t="str">
        <f>IF(OR(L292="",V292=0),"",IF(AND(N(I292)&gt;0,N(INDEX('07-تموز'!$I$2:$I$500,V292))&gt;0,INDEX('07-تموز'!$F$2:$F$500,V292)=F292),N(I292)/N(INDEX('07-تموز'!$I$2:$I$500,V292))-1,""))</f>
        <v/>
      </c>
      <c r="AC292" t="str">
        <f>IF(L292="","",IF(AND($AO$2=1,ISNA(MATCH(L292,'09-أيلول'!$L$2:$L$500,0))),"محذوف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IF(L293="","",IF($AO$1=1,IFERROR(MATCH(L293,'07-تموز'!$L$2:$L$500,0),0),0))</f>
        <v/>
      </c>
      <c r="W293" t="str">
        <f t="shared" si="91"/>
        <v/>
      </c>
      <c r="X293" s="38" t="str">
        <f>IF(L293="","",IF(V293&gt;0,INDEX('07-تموز'!$P$2:$P$500,V293),IF($AO$1=1,0,"")))</f>
        <v/>
      </c>
      <c r="Y293" s="38" t="str">
        <f t="shared" si="92"/>
        <v/>
      </c>
      <c r="Z293" s="39" t="str">
        <f>IF(L293="","",IF(V293&gt;0,INDEX('07-تموز'!$Q$2:$Q$500,V293),IF($AO$1=1,0,"")))</f>
        <v/>
      </c>
      <c r="AA293" s="39" t="str">
        <f t="shared" si="93"/>
        <v/>
      </c>
      <c r="AB293" s="40" t="str">
        <f>IF(OR(L293="",V293=0),"",IF(AND(N(I293)&gt;0,N(INDEX('07-تموز'!$I$2:$I$500,V293))&gt;0,INDEX('07-تموز'!$F$2:$F$500,V293)=F293),N(I293)/N(INDEX('07-تموز'!$I$2:$I$500,V293))-1,""))</f>
        <v/>
      </c>
      <c r="AC293" t="str">
        <f>IF(L293="","",IF(AND($AO$2=1,ISNA(MATCH(L293,'09-أيلول'!$L$2:$L$500,0))),"محذوف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IF(L294="","",IF($AO$1=1,IFERROR(MATCH(L294,'07-تموز'!$L$2:$L$500,0),0),0))</f>
        <v/>
      </c>
      <c r="W294" t="str">
        <f t="shared" si="91"/>
        <v/>
      </c>
      <c r="X294" s="38" t="str">
        <f>IF(L294="","",IF(V294&gt;0,INDEX('07-تموز'!$P$2:$P$500,V294),IF($AO$1=1,0,"")))</f>
        <v/>
      </c>
      <c r="Y294" s="38" t="str">
        <f t="shared" si="92"/>
        <v/>
      </c>
      <c r="Z294" s="39" t="str">
        <f>IF(L294="","",IF(V294&gt;0,INDEX('07-تموز'!$Q$2:$Q$500,V294),IF($AO$1=1,0,"")))</f>
        <v/>
      </c>
      <c r="AA294" s="39" t="str">
        <f t="shared" si="93"/>
        <v/>
      </c>
      <c r="AB294" s="40" t="str">
        <f>IF(OR(L294="",V294=0),"",IF(AND(N(I294)&gt;0,N(INDEX('07-تموز'!$I$2:$I$500,V294))&gt;0,INDEX('07-تموز'!$F$2:$F$500,V294)=F294),N(I294)/N(INDEX('07-تموز'!$I$2:$I$500,V294))-1,""))</f>
        <v/>
      </c>
      <c r="AC294" t="str">
        <f>IF(L294="","",IF(AND($AO$2=1,ISNA(MATCH(L294,'09-أيلول'!$L$2:$L$500,0))),"محذوف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IF(L295="","",IF($AO$1=1,IFERROR(MATCH(L295,'07-تموز'!$L$2:$L$500,0),0),0))</f>
        <v/>
      </c>
      <c r="W295" t="str">
        <f t="shared" si="91"/>
        <v/>
      </c>
      <c r="X295" s="38" t="str">
        <f>IF(L295="","",IF(V295&gt;0,INDEX('07-تموز'!$P$2:$P$500,V295),IF($AO$1=1,0,"")))</f>
        <v/>
      </c>
      <c r="Y295" s="38" t="str">
        <f t="shared" si="92"/>
        <v/>
      </c>
      <c r="Z295" s="39" t="str">
        <f>IF(L295="","",IF(V295&gt;0,INDEX('07-تموز'!$Q$2:$Q$500,V295),IF($AO$1=1,0,"")))</f>
        <v/>
      </c>
      <c r="AA295" s="39" t="str">
        <f t="shared" si="93"/>
        <v/>
      </c>
      <c r="AB295" s="40" t="str">
        <f>IF(OR(L295="",V295=0),"",IF(AND(N(I295)&gt;0,N(INDEX('07-تموز'!$I$2:$I$500,V295))&gt;0,INDEX('07-تموز'!$F$2:$F$500,V295)=F295),N(I295)/N(INDEX('07-تموز'!$I$2:$I$500,V295))-1,""))</f>
        <v/>
      </c>
      <c r="AC295" t="str">
        <f>IF(L295="","",IF(AND($AO$2=1,ISNA(MATCH(L295,'09-أيلول'!$L$2:$L$500,0))),"محذوف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IF(L296="","",IF($AO$1=1,IFERROR(MATCH(L296,'07-تموز'!$L$2:$L$500,0),0),0))</f>
        <v/>
      </c>
      <c r="W296" t="str">
        <f t="shared" si="91"/>
        <v/>
      </c>
      <c r="X296" s="38" t="str">
        <f>IF(L296="","",IF(V296&gt;0,INDEX('07-تموز'!$P$2:$P$500,V296),IF($AO$1=1,0,"")))</f>
        <v/>
      </c>
      <c r="Y296" s="38" t="str">
        <f t="shared" si="92"/>
        <v/>
      </c>
      <c r="Z296" s="39" t="str">
        <f>IF(L296="","",IF(V296&gt;0,INDEX('07-تموز'!$Q$2:$Q$500,V296),IF($AO$1=1,0,"")))</f>
        <v/>
      </c>
      <c r="AA296" s="39" t="str">
        <f t="shared" si="93"/>
        <v/>
      </c>
      <c r="AB296" s="40" t="str">
        <f>IF(OR(L296="",V296=0),"",IF(AND(N(I296)&gt;0,N(INDEX('07-تموز'!$I$2:$I$500,V296))&gt;0,INDEX('07-تموز'!$F$2:$F$500,V296)=F296),N(I296)/N(INDEX('07-تموز'!$I$2:$I$500,V296))-1,""))</f>
        <v/>
      </c>
      <c r="AC296" t="str">
        <f>IF(L296="","",IF(AND($AO$2=1,ISNA(MATCH(L296,'09-أيلول'!$L$2:$L$500,0))),"محذوف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IF(L297="","",IF($AO$1=1,IFERROR(MATCH(L297,'07-تموز'!$L$2:$L$500,0),0),0))</f>
        <v/>
      </c>
      <c r="W297" t="str">
        <f t="shared" si="91"/>
        <v/>
      </c>
      <c r="X297" s="38" t="str">
        <f>IF(L297="","",IF(V297&gt;0,INDEX('07-تموز'!$P$2:$P$500,V297),IF($AO$1=1,0,"")))</f>
        <v/>
      </c>
      <c r="Y297" s="38" t="str">
        <f t="shared" si="92"/>
        <v/>
      </c>
      <c r="Z297" s="39" t="str">
        <f>IF(L297="","",IF(V297&gt;0,INDEX('07-تموز'!$Q$2:$Q$500,V297),IF($AO$1=1,0,"")))</f>
        <v/>
      </c>
      <c r="AA297" s="39" t="str">
        <f t="shared" si="93"/>
        <v/>
      </c>
      <c r="AB297" s="40" t="str">
        <f>IF(OR(L297="",V297=0),"",IF(AND(N(I297)&gt;0,N(INDEX('07-تموز'!$I$2:$I$500,V297))&gt;0,INDEX('07-تموز'!$F$2:$F$500,V297)=F297),N(I297)/N(INDEX('07-تموز'!$I$2:$I$500,V297))-1,""))</f>
        <v/>
      </c>
      <c r="AC297" t="str">
        <f>IF(L297="","",IF(AND($AO$2=1,ISNA(MATCH(L297,'09-أيلول'!$L$2:$L$500,0))),"محذوف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IF(L298="","",IF($AO$1=1,IFERROR(MATCH(L298,'07-تموز'!$L$2:$L$500,0),0),0))</f>
        <v/>
      </c>
      <c r="W298" t="str">
        <f t="shared" si="91"/>
        <v/>
      </c>
      <c r="X298" s="38" t="str">
        <f>IF(L298="","",IF(V298&gt;0,INDEX('07-تموز'!$P$2:$P$500,V298),IF($AO$1=1,0,"")))</f>
        <v/>
      </c>
      <c r="Y298" s="38" t="str">
        <f t="shared" si="92"/>
        <v/>
      </c>
      <c r="Z298" s="39" t="str">
        <f>IF(L298="","",IF(V298&gt;0,INDEX('07-تموز'!$Q$2:$Q$500,V298),IF($AO$1=1,0,"")))</f>
        <v/>
      </c>
      <c r="AA298" s="39" t="str">
        <f t="shared" si="93"/>
        <v/>
      </c>
      <c r="AB298" s="40" t="str">
        <f>IF(OR(L298="",V298=0),"",IF(AND(N(I298)&gt;0,N(INDEX('07-تموز'!$I$2:$I$500,V298))&gt;0,INDEX('07-تموز'!$F$2:$F$500,V298)=F298),N(I298)/N(INDEX('07-تموز'!$I$2:$I$500,V298))-1,""))</f>
        <v/>
      </c>
      <c r="AC298" t="str">
        <f>IF(L298="","",IF(AND($AO$2=1,ISNA(MATCH(L298,'09-أيلول'!$L$2:$L$500,0))),"محذوف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IF(L299="","",IF($AO$1=1,IFERROR(MATCH(L299,'07-تموز'!$L$2:$L$500,0),0),0))</f>
        <v/>
      </c>
      <c r="W299" t="str">
        <f t="shared" si="91"/>
        <v/>
      </c>
      <c r="X299" s="38" t="str">
        <f>IF(L299="","",IF(V299&gt;0,INDEX('07-تموز'!$P$2:$P$500,V299),IF($AO$1=1,0,"")))</f>
        <v/>
      </c>
      <c r="Y299" s="38" t="str">
        <f t="shared" si="92"/>
        <v/>
      </c>
      <c r="Z299" s="39" t="str">
        <f>IF(L299="","",IF(V299&gt;0,INDEX('07-تموز'!$Q$2:$Q$500,V299),IF($AO$1=1,0,"")))</f>
        <v/>
      </c>
      <c r="AA299" s="39" t="str">
        <f t="shared" si="93"/>
        <v/>
      </c>
      <c r="AB299" s="40" t="str">
        <f>IF(OR(L299="",V299=0),"",IF(AND(N(I299)&gt;0,N(INDEX('07-تموز'!$I$2:$I$500,V299))&gt;0,INDEX('07-تموز'!$F$2:$F$500,V299)=F299),N(I299)/N(INDEX('07-تموز'!$I$2:$I$500,V299))-1,""))</f>
        <v/>
      </c>
      <c r="AC299" t="str">
        <f>IF(L299="","",IF(AND($AO$2=1,ISNA(MATCH(L299,'09-أيلول'!$L$2:$L$500,0))),"محذوف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IF(L300="","",IF($AO$1=1,IFERROR(MATCH(L300,'07-تموز'!$L$2:$L$500,0),0),0))</f>
        <v/>
      </c>
      <c r="W300" t="str">
        <f t="shared" si="91"/>
        <v/>
      </c>
      <c r="X300" s="38" t="str">
        <f>IF(L300="","",IF(V300&gt;0,INDEX('07-تموز'!$P$2:$P$500,V300),IF($AO$1=1,0,"")))</f>
        <v/>
      </c>
      <c r="Y300" s="38" t="str">
        <f t="shared" si="92"/>
        <v/>
      </c>
      <c r="Z300" s="39" t="str">
        <f>IF(L300="","",IF(V300&gt;0,INDEX('07-تموز'!$Q$2:$Q$500,V300),IF($AO$1=1,0,"")))</f>
        <v/>
      </c>
      <c r="AA300" s="39" t="str">
        <f t="shared" si="93"/>
        <v/>
      </c>
      <c r="AB300" s="40" t="str">
        <f>IF(OR(L300="",V300=0),"",IF(AND(N(I300)&gt;0,N(INDEX('07-تموز'!$I$2:$I$500,V300))&gt;0,INDEX('07-تموز'!$F$2:$F$500,V300)=F300),N(I300)/N(INDEX('07-تموز'!$I$2:$I$500,V300))-1,""))</f>
        <v/>
      </c>
      <c r="AC300" t="str">
        <f>IF(L300="","",IF(AND($AO$2=1,ISNA(MATCH(L300,'09-أيلول'!$L$2:$L$500,0))),"محذوف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IF(L301="","",IF($AO$1=1,IFERROR(MATCH(L301,'07-تموز'!$L$2:$L$500,0),0),0))</f>
        <v/>
      </c>
      <c r="W301" t="str">
        <f t="shared" si="91"/>
        <v/>
      </c>
      <c r="X301" s="38" t="str">
        <f>IF(L301="","",IF(V301&gt;0,INDEX('07-تموز'!$P$2:$P$500,V301),IF($AO$1=1,0,"")))</f>
        <v/>
      </c>
      <c r="Y301" s="38" t="str">
        <f t="shared" si="92"/>
        <v/>
      </c>
      <c r="Z301" s="39" t="str">
        <f>IF(L301="","",IF(V301&gt;0,INDEX('07-تموز'!$Q$2:$Q$500,V301),IF($AO$1=1,0,"")))</f>
        <v/>
      </c>
      <c r="AA301" s="39" t="str">
        <f t="shared" si="93"/>
        <v/>
      </c>
      <c r="AB301" s="40" t="str">
        <f>IF(OR(L301="",V301=0),"",IF(AND(N(I301)&gt;0,N(INDEX('07-تموز'!$I$2:$I$500,V301))&gt;0,INDEX('07-تموز'!$F$2:$F$500,V301)=F301),N(I301)/N(INDEX('07-تموز'!$I$2:$I$500,V301))-1,""))</f>
        <v/>
      </c>
      <c r="AC301" t="str">
        <f>IF(L301="","",IF(AND($AO$2=1,ISNA(MATCH(L301,'09-أيلول'!$L$2:$L$500,0))),"محذوف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IF(L302="","",IF($AO$1=1,IFERROR(MATCH(L302,'07-تموز'!$L$2:$L$500,0),0),0))</f>
        <v/>
      </c>
      <c r="W302" t="str">
        <f t="shared" si="91"/>
        <v/>
      </c>
      <c r="X302" s="38" t="str">
        <f>IF(L302="","",IF(V302&gt;0,INDEX('07-تموز'!$P$2:$P$500,V302),IF($AO$1=1,0,"")))</f>
        <v/>
      </c>
      <c r="Y302" s="38" t="str">
        <f t="shared" si="92"/>
        <v/>
      </c>
      <c r="Z302" s="39" t="str">
        <f>IF(L302="","",IF(V302&gt;0,INDEX('07-تموز'!$Q$2:$Q$500,V302),IF($AO$1=1,0,"")))</f>
        <v/>
      </c>
      <c r="AA302" s="39" t="str">
        <f t="shared" si="93"/>
        <v/>
      </c>
      <c r="AB302" s="40" t="str">
        <f>IF(OR(L302="",V302=0),"",IF(AND(N(I302)&gt;0,N(INDEX('07-تموز'!$I$2:$I$500,V302))&gt;0,INDEX('07-تموز'!$F$2:$F$500,V302)=F302),N(I302)/N(INDEX('07-تموز'!$I$2:$I$500,V302))-1,""))</f>
        <v/>
      </c>
      <c r="AC302" t="str">
        <f>IF(L302="","",IF(AND($AO$2=1,ISNA(MATCH(L302,'09-أيلول'!$L$2:$L$500,0))),"محذوف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IF(L303="","",IF($AO$1=1,IFERROR(MATCH(L303,'07-تموز'!$L$2:$L$500,0),0),0))</f>
        <v/>
      </c>
      <c r="W303" t="str">
        <f t="shared" si="91"/>
        <v/>
      </c>
      <c r="X303" s="38" t="str">
        <f>IF(L303="","",IF(V303&gt;0,INDEX('07-تموز'!$P$2:$P$500,V303),IF($AO$1=1,0,"")))</f>
        <v/>
      </c>
      <c r="Y303" s="38" t="str">
        <f t="shared" si="92"/>
        <v/>
      </c>
      <c r="Z303" s="39" t="str">
        <f>IF(L303="","",IF(V303&gt;0,INDEX('07-تموز'!$Q$2:$Q$500,V303),IF($AO$1=1,0,"")))</f>
        <v/>
      </c>
      <c r="AA303" s="39" t="str">
        <f t="shared" si="93"/>
        <v/>
      </c>
      <c r="AB303" s="40" t="str">
        <f>IF(OR(L303="",V303=0),"",IF(AND(N(I303)&gt;0,N(INDEX('07-تموز'!$I$2:$I$500,V303))&gt;0,INDEX('07-تموز'!$F$2:$F$500,V303)=F303),N(I303)/N(INDEX('07-تموز'!$I$2:$I$500,V303))-1,""))</f>
        <v/>
      </c>
      <c r="AC303" t="str">
        <f>IF(L303="","",IF(AND($AO$2=1,ISNA(MATCH(L303,'09-أيلول'!$L$2:$L$500,0))),"محذوف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IF(L304="","",IF($AO$1=1,IFERROR(MATCH(L304,'07-تموز'!$L$2:$L$500,0),0),0))</f>
        <v/>
      </c>
      <c r="W304" t="str">
        <f t="shared" si="91"/>
        <v/>
      </c>
      <c r="X304" s="38" t="str">
        <f>IF(L304="","",IF(V304&gt;0,INDEX('07-تموز'!$P$2:$P$500,V304),IF($AO$1=1,0,"")))</f>
        <v/>
      </c>
      <c r="Y304" s="38" t="str">
        <f t="shared" si="92"/>
        <v/>
      </c>
      <c r="Z304" s="39" t="str">
        <f>IF(L304="","",IF(V304&gt;0,INDEX('07-تموز'!$Q$2:$Q$500,V304),IF($AO$1=1,0,"")))</f>
        <v/>
      </c>
      <c r="AA304" s="39" t="str">
        <f t="shared" si="93"/>
        <v/>
      </c>
      <c r="AB304" s="40" t="str">
        <f>IF(OR(L304="",V304=0),"",IF(AND(N(I304)&gt;0,N(INDEX('07-تموز'!$I$2:$I$500,V304))&gt;0,INDEX('07-تموز'!$F$2:$F$500,V304)=F304),N(I304)/N(INDEX('07-تموز'!$I$2:$I$500,V304))-1,""))</f>
        <v/>
      </c>
      <c r="AC304" t="str">
        <f>IF(L304="","",IF(AND($AO$2=1,ISNA(MATCH(L304,'09-أيلول'!$L$2:$L$500,0))),"محذوف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IF(L305="","",IF($AO$1=1,IFERROR(MATCH(L305,'07-تموز'!$L$2:$L$500,0),0),0))</f>
        <v/>
      </c>
      <c r="W305" t="str">
        <f t="shared" si="91"/>
        <v/>
      </c>
      <c r="X305" s="38" t="str">
        <f>IF(L305="","",IF(V305&gt;0,INDEX('07-تموز'!$P$2:$P$500,V305),IF($AO$1=1,0,"")))</f>
        <v/>
      </c>
      <c r="Y305" s="38" t="str">
        <f t="shared" si="92"/>
        <v/>
      </c>
      <c r="Z305" s="39" t="str">
        <f>IF(L305="","",IF(V305&gt;0,INDEX('07-تموز'!$Q$2:$Q$500,V305),IF($AO$1=1,0,"")))</f>
        <v/>
      </c>
      <c r="AA305" s="39" t="str">
        <f t="shared" si="93"/>
        <v/>
      </c>
      <c r="AB305" s="40" t="str">
        <f>IF(OR(L305="",V305=0),"",IF(AND(N(I305)&gt;0,N(INDEX('07-تموز'!$I$2:$I$500,V305))&gt;0,INDEX('07-تموز'!$F$2:$F$500,V305)=F305),N(I305)/N(INDEX('07-تموز'!$I$2:$I$500,V305))-1,""))</f>
        <v/>
      </c>
      <c r="AC305" t="str">
        <f>IF(L305="","",IF(AND($AO$2=1,ISNA(MATCH(L305,'09-أيلول'!$L$2:$L$500,0))),"محذوف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IF(L306="","",IF($AO$1=1,IFERROR(MATCH(L306,'07-تموز'!$L$2:$L$500,0),0),0))</f>
        <v/>
      </c>
      <c r="W306" t="str">
        <f t="shared" si="91"/>
        <v/>
      </c>
      <c r="X306" s="38" t="str">
        <f>IF(L306="","",IF(V306&gt;0,INDEX('07-تموز'!$P$2:$P$500,V306),IF($AO$1=1,0,"")))</f>
        <v/>
      </c>
      <c r="Y306" s="38" t="str">
        <f t="shared" si="92"/>
        <v/>
      </c>
      <c r="Z306" s="39" t="str">
        <f>IF(L306="","",IF(V306&gt;0,INDEX('07-تموز'!$Q$2:$Q$500,V306),IF($AO$1=1,0,"")))</f>
        <v/>
      </c>
      <c r="AA306" s="39" t="str">
        <f t="shared" si="93"/>
        <v/>
      </c>
      <c r="AB306" s="40" t="str">
        <f>IF(OR(L306="",V306=0),"",IF(AND(N(I306)&gt;0,N(INDEX('07-تموز'!$I$2:$I$500,V306))&gt;0,INDEX('07-تموز'!$F$2:$F$500,V306)=F306),N(I306)/N(INDEX('07-تموز'!$I$2:$I$500,V306))-1,""))</f>
        <v/>
      </c>
      <c r="AC306" t="str">
        <f>IF(L306="","",IF(AND($AO$2=1,ISNA(MATCH(L306,'09-أيلول'!$L$2:$L$500,0))),"محذوف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IF(L307="","",IF($AO$1=1,IFERROR(MATCH(L307,'07-تموز'!$L$2:$L$500,0),0),0))</f>
        <v/>
      </c>
      <c r="W307" t="str">
        <f t="shared" si="91"/>
        <v/>
      </c>
      <c r="X307" s="38" t="str">
        <f>IF(L307="","",IF(V307&gt;0,INDEX('07-تموز'!$P$2:$P$500,V307),IF($AO$1=1,0,"")))</f>
        <v/>
      </c>
      <c r="Y307" s="38" t="str">
        <f t="shared" si="92"/>
        <v/>
      </c>
      <c r="Z307" s="39" t="str">
        <f>IF(L307="","",IF(V307&gt;0,INDEX('07-تموز'!$Q$2:$Q$500,V307),IF($AO$1=1,0,"")))</f>
        <v/>
      </c>
      <c r="AA307" s="39" t="str">
        <f t="shared" si="93"/>
        <v/>
      </c>
      <c r="AB307" s="40" t="str">
        <f>IF(OR(L307="",V307=0),"",IF(AND(N(I307)&gt;0,N(INDEX('07-تموز'!$I$2:$I$500,V307))&gt;0,INDEX('07-تموز'!$F$2:$F$500,V307)=F307),N(I307)/N(INDEX('07-تموز'!$I$2:$I$500,V307))-1,""))</f>
        <v/>
      </c>
      <c r="AC307" t="str">
        <f>IF(L307="","",IF(AND($AO$2=1,ISNA(MATCH(L307,'09-أيلول'!$L$2:$L$500,0))),"محذوف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IF(L308="","",IF($AO$1=1,IFERROR(MATCH(L308,'07-تموز'!$L$2:$L$500,0),0),0))</f>
        <v/>
      </c>
      <c r="W308" t="str">
        <f t="shared" si="91"/>
        <v/>
      </c>
      <c r="X308" s="38" t="str">
        <f>IF(L308="","",IF(V308&gt;0,INDEX('07-تموز'!$P$2:$P$500,V308),IF($AO$1=1,0,"")))</f>
        <v/>
      </c>
      <c r="Y308" s="38" t="str">
        <f t="shared" si="92"/>
        <v/>
      </c>
      <c r="Z308" s="39" t="str">
        <f>IF(L308="","",IF(V308&gt;0,INDEX('07-تموز'!$Q$2:$Q$500,V308),IF($AO$1=1,0,"")))</f>
        <v/>
      </c>
      <c r="AA308" s="39" t="str">
        <f t="shared" si="93"/>
        <v/>
      </c>
      <c r="AB308" s="40" t="str">
        <f>IF(OR(L308="",V308=0),"",IF(AND(N(I308)&gt;0,N(INDEX('07-تموز'!$I$2:$I$500,V308))&gt;0,INDEX('07-تموز'!$F$2:$F$500,V308)=F308),N(I308)/N(INDEX('07-تموز'!$I$2:$I$500,V308))-1,""))</f>
        <v/>
      </c>
      <c r="AC308" t="str">
        <f>IF(L308="","",IF(AND($AO$2=1,ISNA(MATCH(L308,'09-أيلول'!$L$2:$L$500,0))),"محذوف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IF(L309="","",IF($AO$1=1,IFERROR(MATCH(L309,'07-تموز'!$L$2:$L$500,0),0),0))</f>
        <v/>
      </c>
      <c r="W309" t="str">
        <f t="shared" si="91"/>
        <v/>
      </c>
      <c r="X309" s="38" t="str">
        <f>IF(L309="","",IF(V309&gt;0,INDEX('07-تموز'!$P$2:$P$500,V309),IF($AO$1=1,0,"")))</f>
        <v/>
      </c>
      <c r="Y309" s="38" t="str">
        <f t="shared" si="92"/>
        <v/>
      </c>
      <c r="Z309" s="39" t="str">
        <f>IF(L309="","",IF(V309&gt;0,INDEX('07-تموز'!$Q$2:$Q$500,V309),IF($AO$1=1,0,"")))</f>
        <v/>
      </c>
      <c r="AA309" s="39" t="str">
        <f t="shared" si="93"/>
        <v/>
      </c>
      <c r="AB309" s="40" t="str">
        <f>IF(OR(L309="",V309=0),"",IF(AND(N(I309)&gt;0,N(INDEX('07-تموز'!$I$2:$I$500,V309))&gt;0,INDEX('07-تموز'!$F$2:$F$500,V309)=F309),N(I309)/N(INDEX('07-تموز'!$I$2:$I$500,V309))-1,""))</f>
        <v/>
      </c>
      <c r="AC309" t="str">
        <f>IF(L309="","",IF(AND($AO$2=1,ISNA(MATCH(L309,'09-أيلول'!$L$2:$L$500,0))),"محذوف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IF(L310="","",IF($AO$1=1,IFERROR(MATCH(L310,'07-تموز'!$L$2:$L$500,0),0),0))</f>
        <v/>
      </c>
      <c r="W310" t="str">
        <f t="shared" si="91"/>
        <v/>
      </c>
      <c r="X310" s="38" t="str">
        <f>IF(L310="","",IF(V310&gt;0,INDEX('07-تموز'!$P$2:$P$500,V310),IF($AO$1=1,0,"")))</f>
        <v/>
      </c>
      <c r="Y310" s="38" t="str">
        <f t="shared" si="92"/>
        <v/>
      </c>
      <c r="Z310" s="39" t="str">
        <f>IF(L310="","",IF(V310&gt;0,INDEX('07-تموز'!$Q$2:$Q$500,V310),IF($AO$1=1,0,"")))</f>
        <v/>
      </c>
      <c r="AA310" s="39" t="str">
        <f t="shared" si="93"/>
        <v/>
      </c>
      <c r="AB310" s="40" t="str">
        <f>IF(OR(L310="",V310=0),"",IF(AND(N(I310)&gt;0,N(INDEX('07-تموز'!$I$2:$I$500,V310))&gt;0,INDEX('07-تموز'!$F$2:$F$500,V310)=F310),N(I310)/N(INDEX('07-تموز'!$I$2:$I$500,V310))-1,""))</f>
        <v/>
      </c>
      <c r="AC310" t="str">
        <f>IF(L310="","",IF(AND($AO$2=1,ISNA(MATCH(L310,'09-أيلول'!$L$2:$L$500,0))),"محذوف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IF(L311="","",IF($AO$1=1,IFERROR(MATCH(L311,'07-تموز'!$L$2:$L$500,0),0),0))</f>
        <v/>
      </c>
      <c r="W311" t="str">
        <f t="shared" si="91"/>
        <v/>
      </c>
      <c r="X311" s="38" t="str">
        <f>IF(L311="","",IF(V311&gt;0,INDEX('07-تموز'!$P$2:$P$500,V311),IF($AO$1=1,0,"")))</f>
        <v/>
      </c>
      <c r="Y311" s="38" t="str">
        <f t="shared" si="92"/>
        <v/>
      </c>
      <c r="Z311" s="39" t="str">
        <f>IF(L311="","",IF(V311&gt;0,INDEX('07-تموز'!$Q$2:$Q$500,V311),IF($AO$1=1,0,"")))</f>
        <v/>
      </c>
      <c r="AA311" s="39" t="str">
        <f t="shared" si="93"/>
        <v/>
      </c>
      <c r="AB311" s="40" t="str">
        <f>IF(OR(L311="",V311=0),"",IF(AND(N(I311)&gt;0,N(INDEX('07-تموز'!$I$2:$I$500,V311))&gt;0,INDEX('07-تموز'!$F$2:$F$500,V311)=F311),N(I311)/N(INDEX('07-تموز'!$I$2:$I$500,V311))-1,""))</f>
        <v/>
      </c>
      <c r="AC311" t="str">
        <f>IF(L311="","",IF(AND($AO$2=1,ISNA(MATCH(L311,'09-أيلول'!$L$2:$L$500,0))),"محذوف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IF(L312="","",IF($AO$1=1,IFERROR(MATCH(L312,'07-تموز'!$L$2:$L$500,0),0),0))</f>
        <v/>
      </c>
      <c r="W312" t="str">
        <f t="shared" si="91"/>
        <v/>
      </c>
      <c r="X312" s="38" t="str">
        <f>IF(L312="","",IF(V312&gt;0,INDEX('07-تموز'!$P$2:$P$500,V312),IF($AO$1=1,0,"")))</f>
        <v/>
      </c>
      <c r="Y312" s="38" t="str">
        <f t="shared" si="92"/>
        <v/>
      </c>
      <c r="Z312" s="39" t="str">
        <f>IF(L312="","",IF(V312&gt;0,INDEX('07-تموز'!$Q$2:$Q$500,V312),IF($AO$1=1,0,"")))</f>
        <v/>
      </c>
      <c r="AA312" s="39" t="str">
        <f t="shared" si="93"/>
        <v/>
      </c>
      <c r="AB312" s="40" t="str">
        <f>IF(OR(L312="",V312=0),"",IF(AND(N(I312)&gt;0,N(INDEX('07-تموز'!$I$2:$I$500,V312))&gt;0,INDEX('07-تموز'!$F$2:$F$500,V312)=F312),N(I312)/N(INDEX('07-تموز'!$I$2:$I$500,V312))-1,""))</f>
        <v/>
      </c>
      <c r="AC312" t="str">
        <f>IF(L312="","",IF(AND($AO$2=1,ISNA(MATCH(L312,'09-أيلول'!$L$2:$L$500,0))),"محذوف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IF(L313="","",IF($AO$1=1,IFERROR(MATCH(L313,'07-تموز'!$L$2:$L$500,0),0),0))</f>
        <v/>
      </c>
      <c r="W313" t="str">
        <f t="shared" si="91"/>
        <v/>
      </c>
      <c r="X313" s="38" t="str">
        <f>IF(L313="","",IF(V313&gt;0,INDEX('07-تموز'!$P$2:$P$500,V313),IF($AO$1=1,0,"")))</f>
        <v/>
      </c>
      <c r="Y313" s="38" t="str">
        <f t="shared" si="92"/>
        <v/>
      </c>
      <c r="Z313" s="39" t="str">
        <f>IF(L313="","",IF(V313&gt;0,INDEX('07-تموز'!$Q$2:$Q$500,V313),IF($AO$1=1,0,"")))</f>
        <v/>
      </c>
      <c r="AA313" s="39" t="str">
        <f t="shared" si="93"/>
        <v/>
      </c>
      <c r="AB313" s="40" t="str">
        <f>IF(OR(L313="",V313=0),"",IF(AND(N(I313)&gt;0,N(INDEX('07-تموز'!$I$2:$I$500,V313))&gt;0,INDEX('07-تموز'!$F$2:$F$500,V313)=F313),N(I313)/N(INDEX('07-تموز'!$I$2:$I$500,V313))-1,""))</f>
        <v/>
      </c>
      <c r="AC313" t="str">
        <f>IF(L313="","",IF(AND($AO$2=1,ISNA(MATCH(L313,'09-أيلول'!$L$2:$L$500,0))),"محذوف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IF(L314="","",IF($AO$1=1,IFERROR(MATCH(L314,'07-تموز'!$L$2:$L$500,0),0),0))</f>
        <v/>
      </c>
      <c r="W314" t="str">
        <f t="shared" si="91"/>
        <v/>
      </c>
      <c r="X314" s="38" t="str">
        <f>IF(L314="","",IF(V314&gt;0,INDEX('07-تموز'!$P$2:$P$500,V314),IF($AO$1=1,0,"")))</f>
        <v/>
      </c>
      <c r="Y314" s="38" t="str">
        <f t="shared" si="92"/>
        <v/>
      </c>
      <c r="Z314" s="39" t="str">
        <f>IF(L314="","",IF(V314&gt;0,INDEX('07-تموز'!$Q$2:$Q$500,V314),IF($AO$1=1,0,"")))</f>
        <v/>
      </c>
      <c r="AA314" s="39" t="str">
        <f t="shared" si="93"/>
        <v/>
      </c>
      <c r="AB314" s="40" t="str">
        <f>IF(OR(L314="",V314=0),"",IF(AND(N(I314)&gt;0,N(INDEX('07-تموز'!$I$2:$I$500,V314))&gt;0,INDEX('07-تموز'!$F$2:$F$500,V314)=F314),N(I314)/N(INDEX('07-تموز'!$I$2:$I$500,V314))-1,""))</f>
        <v/>
      </c>
      <c r="AC314" t="str">
        <f>IF(L314="","",IF(AND($AO$2=1,ISNA(MATCH(L314,'09-أيلول'!$L$2:$L$500,0))),"محذوف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IF(L315="","",IF($AO$1=1,IFERROR(MATCH(L315,'07-تموز'!$L$2:$L$500,0),0),0))</f>
        <v/>
      </c>
      <c r="W315" t="str">
        <f t="shared" si="91"/>
        <v/>
      </c>
      <c r="X315" s="38" t="str">
        <f>IF(L315="","",IF(V315&gt;0,INDEX('07-تموز'!$P$2:$P$500,V315),IF($AO$1=1,0,"")))</f>
        <v/>
      </c>
      <c r="Y315" s="38" t="str">
        <f t="shared" si="92"/>
        <v/>
      </c>
      <c r="Z315" s="39" t="str">
        <f>IF(L315="","",IF(V315&gt;0,INDEX('07-تموز'!$Q$2:$Q$500,V315),IF($AO$1=1,0,"")))</f>
        <v/>
      </c>
      <c r="AA315" s="39" t="str">
        <f t="shared" si="93"/>
        <v/>
      </c>
      <c r="AB315" s="40" t="str">
        <f>IF(OR(L315="",V315=0),"",IF(AND(N(I315)&gt;0,N(INDEX('07-تموز'!$I$2:$I$500,V315))&gt;0,INDEX('07-تموز'!$F$2:$F$500,V315)=F315),N(I315)/N(INDEX('07-تموز'!$I$2:$I$500,V315))-1,""))</f>
        <v/>
      </c>
      <c r="AC315" t="str">
        <f>IF(L315="","",IF(AND($AO$2=1,ISNA(MATCH(L315,'09-أيلول'!$L$2:$L$500,0))),"محذوف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IF(L316="","",IF($AO$1=1,IFERROR(MATCH(L316,'07-تموز'!$L$2:$L$500,0),0),0))</f>
        <v/>
      </c>
      <c r="W316" t="str">
        <f t="shared" si="91"/>
        <v/>
      </c>
      <c r="X316" s="38" t="str">
        <f>IF(L316="","",IF(V316&gt;0,INDEX('07-تموز'!$P$2:$P$500,V316),IF($AO$1=1,0,"")))</f>
        <v/>
      </c>
      <c r="Y316" s="38" t="str">
        <f t="shared" si="92"/>
        <v/>
      </c>
      <c r="Z316" s="39" t="str">
        <f>IF(L316="","",IF(V316&gt;0,INDEX('07-تموز'!$Q$2:$Q$500,V316),IF($AO$1=1,0,"")))</f>
        <v/>
      </c>
      <c r="AA316" s="39" t="str">
        <f t="shared" si="93"/>
        <v/>
      </c>
      <c r="AB316" s="40" t="str">
        <f>IF(OR(L316="",V316=0),"",IF(AND(N(I316)&gt;0,N(INDEX('07-تموز'!$I$2:$I$500,V316))&gt;0,INDEX('07-تموز'!$F$2:$F$500,V316)=F316),N(I316)/N(INDEX('07-تموز'!$I$2:$I$500,V316))-1,""))</f>
        <v/>
      </c>
      <c r="AC316" t="str">
        <f>IF(L316="","",IF(AND($AO$2=1,ISNA(MATCH(L316,'09-أيلول'!$L$2:$L$500,0))),"محذوف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IF(L317="","",IF($AO$1=1,IFERROR(MATCH(L317,'07-تموز'!$L$2:$L$500,0),0),0))</f>
        <v/>
      </c>
      <c r="W317" t="str">
        <f t="shared" si="91"/>
        <v/>
      </c>
      <c r="X317" s="38" t="str">
        <f>IF(L317="","",IF(V317&gt;0,INDEX('07-تموز'!$P$2:$P$500,V317),IF($AO$1=1,0,"")))</f>
        <v/>
      </c>
      <c r="Y317" s="38" t="str">
        <f t="shared" si="92"/>
        <v/>
      </c>
      <c r="Z317" s="39" t="str">
        <f>IF(L317="","",IF(V317&gt;0,INDEX('07-تموز'!$Q$2:$Q$500,V317),IF($AO$1=1,0,"")))</f>
        <v/>
      </c>
      <c r="AA317" s="39" t="str">
        <f t="shared" si="93"/>
        <v/>
      </c>
      <c r="AB317" s="40" t="str">
        <f>IF(OR(L317="",V317=0),"",IF(AND(N(I317)&gt;0,N(INDEX('07-تموز'!$I$2:$I$500,V317))&gt;0,INDEX('07-تموز'!$F$2:$F$500,V317)=F317),N(I317)/N(INDEX('07-تموز'!$I$2:$I$500,V317))-1,""))</f>
        <v/>
      </c>
      <c r="AC317" t="str">
        <f>IF(L317="","",IF(AND($AO$2=1,ISNA(MATCH(L317,'09-أيلول'!$L$2:$L$500,0))),"محذوف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IF(L318="","",IF($AO$1=1,IFERROR(MATCH(L318,'07-تموز'!$L$2:$L$500,0),0),0))</f>
        <v/>
      </c>
      <c r="W318" t="str">
        <f t="shared" si="91"/>
        <v/>
      </c>
      <c r="X318" s="38" t="str">
        <f>IF(L318="","",IF(V318&gt;0,INDEX('07-تموز'!$P$2:$P$500,V318),IF($AO$1=1,0,"")))</f>
        <v/>
      </c>
      <c r="Y318" s="38" t="str">
        <f t="shared" si="92"/>
        <v/>
      </c>
      <c r="Z318" s="39" t="str">
        <f>IF(L318="","",IF(V318&gt;0,INDEX('07-تموز'!$Q$2:$Q$500,V318),IF($AO$1=1,0,"")))</f>
        <v/>
      </c>
      <c r="AA318" s="39" t="str">
        <f t="shared" si="93"/>
        <v/>
      </c>
      <c r="AB318" s="40" t="str">
        <f>IF(OR(L318="",V318=0),"",IF(AND(N(I318)&gt;0,N(INDEX('07-تموز'!$I$2:$I$500,V318))&gt;0,INDEX('07-تموز'!$F$2:$F$500,V318)=F318),N(I318)/N(INDEX('07-تموز'!$I$2:$I$500,V318))-1,""))</f>
        <v/>
      </c>
      <c r="AC318" t="str">
        <f>IF(L318="","",IF(AND($AO$2=1,ISNA(MATCH(L318,'09-أيلول'!$L$2:$L$500,0))),"محذوف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IF(L319="","",IF($AO$1=1,IFERROR(MATCH(L319,'07-تموز'!$L$2:$L$500,0),0),0))</f>
        <v/>
      </c>
      <c r="W319" t="str">
        <f t="shared" si="91"/>
        <v/>
      </c>
      <c r="X319" s="38" t="str">
        <f>IF(L319="","",IF(V319&gt;0,INDEX('07-تموز'!$P$2:$P$500,V319),IF($AO$1=1,0,"")))</f>
        <v/>
      </c>
      <c r="Y319" s="38" t="str">
        <f t="shared" si="92"/>
        <v/>
      </c>
      <c r="Z319" s="39" t="str">
        <f>IF(L319="","",IF(V319&gt;0,INDEX('07-تموز'!$Q$2:$Q$500,V319),IF($AO$1=1,0,"")))</f>
        <v/>
      </c>
      <c r="AA319" s="39" t="str">
        <f t="shared" si="93"/>
        <v/>
      </c>
      <c r="AB319" s="40" t="str">
        <f>IF(OR(L319="",V319=0),"",IF(AND(N(I319)&gt;0,N(INDEX('07-تموز'!$I$2:$I$500,V319))&gt;0,INDEX('07-تموز'!$F$2:$F$500,V319)=F319),N(I319)/N(INDEX('07-تموز'!$I$2:$I$500,V319))-1,""))</f>
        <v/>
      </c>
      <c r="AC319" t="str">
        <f>IF(L319="","",IF(AND($AO$2=1,ISNA(MATCH(L319,'09-أيلول'!$L$2:$L$500,0))),"محذوف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IF(L320="","",IF($AO$1=1,IFERROR(MATCH(L320,'07-تموز'!$L$2:$L$500,0),0),0))</f>
        <v/>
      </c>
      <c r="W320" t="str">
        <f t="shared" si="91"/>
        <v/>
      </c>
      <c r="X320" s="38" t="str">
        <f>IF(L320="","",IF(V320&gt;0,INDEX('07-تموز'!$P$2:$P$500,V320),IF($AO$1=1,0,"")))</f>
        <v/>
      </c>
      <c r="Y320" s="38" t="str">
        <f t="shared" si="92"/>
        <v/>
      </c>
      <c r="Z320" s="39" t="str">
        <f>IF(L320="","",IF(V320&gt;0,INDEX('07-تموز'!$Q$2:$Q$500,V320),IF($AO$1=1,0,"")))</f>
        <v/>
      </c>
      <c r="AA320" s="39" t="str">
        <f t="shared" si="93"/>
        <v/>
      </c>
      <c r="AB320" s="40" t="str">
        <f>IF(OR(L320="",V320=0),"",IF(AND(N(I320)&gt;0,N(INDEX('07-تموز'!$I$2:$I$500,V320))&gt;0,INDEX('07-تموز'!$F$2:$F$500,V320)=F320),N(I320)/N(INDEX('07-تموز'!$I$2:$I$500,V320))-1,""))</f>
        <v/>
      </c>
      <c r="AC320" t="str">
        <f>IF(L320="","",IF(AND($AO$2=1,ISNA(MATCH(L320,'09-أيلول'!$L$2:$L$500,0))),"محذوف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IF(L321="","",IF($AO$1=1,IFERROR(MATCH(L321,'07-تموز'!$L$2:$L$500,0),0),0))</f>
        <v/>
      </c>
      <c r="W321" t="str">
        <f t="shared" si="91"/>
        <v/>
      </c>
      <c r="X321" s="38" t="str">
        <f>IF(L321="","",IF(V321&gt;0,INDEX('07-تموز'!$P$2:$P$500,V321),IF($AO$1=1,0,"")))</f>
        <v/>
      </c>
      <c r="Y321" s="38" t="str">
        <f t="shared" si="92"/>
        <v/>
      </c>
      <c r="Z321" s="39" t="str">
        <f>IF(L321="","",IF(V321&gt;0,INDEX('07-تموز'!$Q$2:$Q$500,V321),IF($AO$1=1,0,"")))</f>
        <v/>
      </c>
      <c r="AA321" s="39" t="str">
        <f t="shared" si="93"/>
        <v/>
      </c>
      <c r="AB321" s="40" t="str">
        <f>IF(OR(L321="",V321=0),"",IF(AND(N(I321)&gt;0,N(INDEX('07-تموز'!$I$2:$I$500,V321))&gt;0,INDEX('07-تموز'!$F$2:$F$500,V321)=F321),N(I321)/N(INDEX('07-تموز'!$I$2:$I$500,V321))-1,""))</f>
        <v/>
      </c>
      <c r="AC321" t="str">
        <f>IF(L321="","",IF(AND($AO$2=1,ISNA(MATCH(L321,'09-أيلول'!$L$2:$L$500,0))),"محذوف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IF(L322="","",IF($AO$1=1,IFERROR(MATCH(L322,'07-تموز'!$L$2:$L$500,0),0),0))</f>
        <v/>
      </c>
      <c r="W322" t="str">
        <f t="shared" ref="W322:W385" si="111">IF(L322="","",IF(AND($AO$1=1,V322=0),"جديد",""))</f>
        <v/>
      </c>
      <c r="X322" s="38" t="str">
        <f>IF(L322="","",IF(V322&gt;0,INDEX('07-تموز'!$P$2:$P$500,V322),IF($AO$1=1,0,"")))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IF(L322="","",IF(V322&gt;0,INDEX('07-تموز'!$Q$2:$Q$500,V322),IF($AO$1=1,0,"")))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IF(OR(L322="",V322=0),"",IF(AND(N(I322)&gt;0,N(INDEX('07-تموز'!$I$2:$I$500,V322))&gt;0,INDEX('07-تموز'!$F$2:$F$500,V322)=F322),N(I322)/N(INDEX('07-تموز'!$I$2:$I$500,V322))-1,""))</f>
        <v/>
      </c>
      <c r="AC322" t="str">
        <f>IF(L322="","",IF(AND($AO$2=1,ISNA(MATCH(L322,'09-أيلول'!$L$2:$L$500,0))),"محذوف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IF(L323="","",IF($AO$1=1,IFERROR(MATCH(L323,'07-تموز'!$L$2:$L$500,0),0),0))</f>
        <v/>
      </c>
      <c r="W323" t="str">
        <f t="shared" si="111"/>
        <v/>
      </c>
      <c r="X323" s="38" t="str">
        <f>IF(L323="","",IF(V323&gt;0,INDEX('07-تموز'!$P$2:$P$500,V323),IF($AO$1=1,0,"")))</f>
        <v/>
      </c>
      <c r="Y323" s="38" t="str">
        <f t="shared" si="112"/>
        <v/>
      </c>
      <c r="Z323" s="39" t="str">
        <f>IF(L323="","",IF(V323&gt;0,INDEX('07-تموز'!$Q$2:$Q$500,V323),IF($AO$1=1,0,"")))</f>
        <v/>
      </c>
      <c r="AA323" s="39" t="str">
        <f t="shared" si="113"/>
        <v/>
      </c>
      <c r="AB323" s="40" t="str">
        <f>IF(OR(L323="",V323=0),"",IF(AND(N(I323)&gt;0,N(INDEX('07-تموز'!$I$2:$I$500,V323))&gt;0,INDEX('07-تموز'!$F$2:$F$500,V323)=F323),N(I323)/N(INDEX('07-تموز'!$I$2:$I$500,V323))-1,""))</f>
        <v/>
      </c>
      <c r="AC323" t="str">
        <f>IF(L323="","",IF(AND($AO$2=1,ISNA(MATCH(L323,'09-أيلول'!$L$2:$L$500,0))),"محذوف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IF(L324="","",IF($AO$1=1,IFERROR(MATCH(L324,'07-تموز'!$L$2:$L$500,0),0),0))</f>
        <v/>
      </c>
      <c r="W324" t="str">
        <f t="shared" si="111"/>
        <v/>
      </c>
      <c r="X324" s="38" t="str">
        <f>IF(L324="","",IF(V324&gt;0,INDEX('07-تموز'!$P$2:$P$500,V324),IF($AO$1=1,0,"")))</f>
        <v/>
      </c>
      <c r="Y324" s="38" t="str">
        <f t="shared" si="112"/>
        <v/>
      </c>
      <c r="Z324" s="39" t="str">
        <f>IF(L324="","",IF(V324&gt;0,INDEX('07-تموز'!$Q$2:$Q$500,V324),IF($AO$1=1,0,"")))</f>
        <v/>
      </c>
      <c r="AA324" s="39" t="str">
        <f t="shared" si="113"/>
        <v/>
      </c>
      <c r="AB324" s="40" t="str">
        <f>IF(OR(L324="",V324=0),"",IF(AND(N(I324)&gt;0,N(INDEX('07-تموز'!$I$2:$I$500,V324))&gt;0,INDEX('07-تموز'!$F$2:$F$500,V324)=F324),N(I324)/N(INDEX('07-تموز'!$I$2:$I$500,V324))-1,""))</f>
        <v/>
      </c>
      <c r="AC324" t="str">
        <f>IF(L324="","",IF(AND($AO$2=1,ISNA(MATCH(L324,'09-أيلول'!$L$2:$L$500,0))),"محذوف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IF(L325="","",IF($AO$1=1,IFERROR(MATCH(L325,'07-تموز'!$L$2:$L$500,0),0),0))</f>
        <v/>
      </c>
      <c r="W325" t="str">
        <f t="shared" si="111"/>
        <v/>
      </c>
      <c r="X325" s="38" t="str">
        <f>IF(L325="","",IF(V325&gt;0,INDEX('07-تموز'!$P$2:$P$500,V325),IF($AO$1=1,0,"")))</f>
        <v/>
      </c>
      <c r="Y325" s="38" t="str">
        <f t="shared" si="112"/>
        <v/>
      </c>
      <c r="Z325" s="39" t="str">
        <f>IF(L325="","",IF(V325&gt;0,INDEX('07-تموز'!$Q$2:$Q$500,V325),IF($AO$1=1,0,"")))</f>
        <v/>
      </c>
      <c r="AA325" s="39" t="str">
        <f t="shared" si="113"/>
        <v/>
      </c>
      <c r="AB325" s="40" t="str">
        <f>IF(OR(L325="",V325=0),"",IF(AND(N(I325)&gt;0,N(INDEX('07-تموز'!$I$2:$I$500,V325))&gt;0,INDEX('07-تموز'!$F$2:$F$500,V325)=F325),N(I325)/N(INDEX('07-تموز'!$I$2:$I$500,V325))-1,""))</f>
        <v/>
      </c>
      <c r="AC325" t="str">
        <f>IF(L325="","",IF(AND($AO$2=1,ISNA(MATCH(L325,'09-أيلول'!$L$2:$L$500,0))),"محذوف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IF(L326="","",IF($AO$1=1,IFERROR(MATCH(L326,'07-تموز'!$L$2:$L$500,0),0),0))</f>
        <v/>
      </c>
      <c r="W326" t="str">
        <f t="shared" si="111"/>
        <v/>
      </c>
      <c r="X326" s="38" t="str">
        <f>IF(L326="","",IF(V326&gt;0,INDEX('07-تموز'!$P$2:$P$500,V326),IF($AO$1=1,0,"")))</f>
        <v/>
      </c>
      <c r="Y326" s="38" t="str">
        <f t="shared" si="112"/>
        <v/>
      </c>
      <c r="Z326" s="39" t="str">
        <f>IF(L326="","",IF(V326&gt;0,INDEX('07-تموز'!$Q$2:$Q$500,V326),IF($AO$1=1,0,"")))</f>
        <v/>
      </c>
      <c r="AA326" s="39" t="str">
        <f t="shared" si="113"/>
        <v/>
      </c>
      <c r="AB326" s="40" t="str">
        <f>IF(OR(L326="",V326=0),"",IF(AND(N(I326)&gt;0,N(INDEX('07-تموز'!$I$2:$I$500,V326))&gt;0,INDEX('07-تموز'!$F$2:$F$500,V326)=F326),N(I326)/N(INDEX('07-تموز'!$I$2:$I$500,V326))-1,""))</f>
        <v/>
      </c>
      <c r="AC326" t="str">
        <f>IF(L326="","",IF(AND($AO$2=1,ISNA(MATCH(L326,'09-أيلول'!$L$2:$L$500,0))),"محذوف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IF(L327="","",IF($AO$1=1,IFERROR(MATCH(L327,'07-تموز'!$L$2:$L$500,0),0),0))</f>
        <v/>
      </c>
      <c r="W327" t="str">
        <f t="shared" si="111"/>
        <v/>
      </c>
      <c r="X327" s="38" t="str">
        <f>IF(L327="","",IF(V327&gt;0,INDEX('07-تموز'!$P$2:$P$500,V327),IF($AO$1=1,0,"")))</f>
        <v/>
      </c>
      <c r="Y327" s="38" t="str">
        <f t="shared" si="112"/>
        <v/>
      </c>
      <c r="Z327" s="39" t="str">
        <f>IF(L327="","",IF(V327&gt;0,INDEX('07-تموز'!$Q$2:$Q$500,V327),IF($AO$1=1,0,"")))</f>
        <v/>
      </c>
      <c r="AA327" s="39" t="str">
        <f t="shared" si="113"/>
        <v/>
      </c>
      <c r="AB327" s="40" t="str">
        <f>IF(OR(L327="",V327=0),"",IF(AND(N(I327)&gt;0,N(INDEX('07-تموز'!$I$2:$I$500,V327))&gt;0,INDEX('07-تموز'!$F$2:$F$500,V327)=F327),N(I327)/N(INDEX('07-تموز'!$I$2:$I$500,V327))-1,""))</f>
        <v/>
      </c>
      <c r="AC327" t="str">
        <f>IF(L327="","",IF(AND($AO$2=1,ISNA(MATCH(L327,'09-أيلول'!$L$2:$L$500,0))),"محذوف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IF(L328="","",IF($AO$1=1,IFERROR(MATCH(L328,'07-تموز'!$L$2:$L$500,0),0),0))</f>
        <v/>
      </c>
      <c r="W328" t="str">
        <f t="shared" si="111"/>
        <v/>
      </c>
      <c r="X328" s="38" t="str">
        <f>IF(L328="","",IF(V328&gt;0,INDEX('07-تموز'!$P$2:$P$500,V328),IF($AO$1=1,0,"")))</f>
        <v/>
      </c>
      <c r="Y328" s="38" t="str">
        <f t="shared" si="112"/>
        <v/>
      </c>
      <c r="Z328" s="39" t="str">
        <f>IF(L328="","",IF(V328&gt;0,INDEX('07-تموز'!$Q$2:$Q$500,V328),IF($AO$1=1,0,"")))</f>
        <v/>
      </c>
      <c r="AA328" s="39" t="str">
        <f t="shared" si="113"/>
        <v/>
      </c>
      <c r="AB328" s="40" t="str">
        <f>IF(OR(L328="",V328=0),"",IF(AND(N(I328)&gt;0,N(INDEX('07-تموز'!$I$2:$I$500,V328))&gt;0,INDEX('07-تموز'!$F$2:$F$500,V328)=F328),N(I328)/N(INDEX('07-تموز'!$I$2:$I$500,V328))-1,""))</f>
        <v/>
      </c>
      <c r="AC328" t="str">
        <f>IF(L328="","",IF(AND($AO$2=1,ISNA(MATCH(L328,'09-أيلول'!$L$2:$L$500,0))),"محذوف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IF(L329="","",IF($AO$1=1,IFERROR(MATCH(L329,'07-تموز'!$L$2:$L$500,0),0),0))</f>
        <v/>
      </c>
      <c r="W329" t="str">
        <f t="shared" si="111"/>
        <v/>
      </c>
      <c r="X329" s="38" t="str">
        <f>IF(L329="","",IF(V329&gt;0,INDEX('07-تموز'!$P$2:$P$500,V329),IF($AO$1=1,0,"")))</f>
        <v/>
      </c>
      <c r="Y329" s="38" t="str">
        <f t="shared" si="112"/>
        <v/>
      </c>
      <c r="Z329" s="39" t="str">
        <f>IF(L329="","",IF(V329&gt;0,INDEX('07-تموز'!$Q$2:$Q$500,V329),IF($AO$1=1,0,"")))</f>
        <v/>
      </c>
      <c r="AA329" s="39" t="str">
        <f t="shared" si="113"/>
        <v/>
      </c>
      <c r="AB329" s="40" t="str">
        <f>IF(OR(L329="",V329=0),"",IF(AND(N(I329)&gt;0,N(INDEX('07-تموز'!$I$2:$I$500,V329))&gt;0,INDEX('07-تموز'!$F$2:$F$500,V329)=F329),N(I329)/N(INDEX('07-تموز'!$I$2:$I$500,V329))-1,""))</f>
        <v/>
      </c>
      <c r="AC329" t="str">
        <f>IF(L329="","",IF(AND($AO$2=1,ISNA(MATCH(L329,'09-أيلول'!$L$2:$L$500,0))),"محذوف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IF(L330="","",IF($AO$1=1,IFERROR(MATCH(L330,'07-تموز'!$L$2:$L$500,0),0),0))</f>
        <v/>
      </c>
      <c r="W330" t="str">
        <f t="shared" si="111"/>
        <v/>
      </c>
      <c r="X330" s="38" t="str">
        <f>IF(L330="","",IF(V330&gt;0,INDEX('07-تموز'!$P$2:$P$500,V330),IF($AO$1=1,0,"")))</f>
        <v/>
      </c>
      <c r="Y330" s="38" t="str">
        <f t="shared" si="112"/>
        <v/>
      </c>
      <c r="Z330" s="39" t="str">
        <f>IF(L330="","",IF(V330&gt;0,INDEX('07-تموز'!$Q$2:$Q$500,V330),IF($AO$1=1,0,"")))</f>
        <v/>
      </c>
      <c r="AA330" s="39" t="str">
        <f t="shared" si="113"/>
        <v/>
      </c>
      <c r="AB330" s="40" t="str">
        <f>IF(OR(L330="",V330=0),"",IF(AND(N(I330)&gt;0,N(INDEX('07-تموز'!$I$2:$I$500,V330))&gt;0,INDEX('07-تموز'!$F$2:$F$500,V330)=F330),N(I330)/N(INDEX('07-تموز'!$I$2:$I$500,V330))-1,""))</f>
        <v/>
      </c>
      <c r="AC330" t="str">
        <f>IF(L330="","",IF(AND($AO$2=1,ISNA(MATCH(L330,'09-أيلول'!$L$2:$L$500,0))),"محذوف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IF(L331="","",IF($AO$1=1,IFERROR(MATCH(L331,'07-تموز'!$L$2:$L$500,0),0),0))</f>
        <v/>
      </c>
      <c r="W331" t="str">
        <f t="shared" si="111"/>
        <v/>
      </c>
      <c r="X331" s="38" t="str">
        <f>IF(L331="","",IF(V331&gt;0,INDEX('07-تموز'!$P$2:$P$500,V331),IF($AO$1=1,0,"")))</f>
        <v/>
      </c>
      <c r="Y331" s="38" t="str">
        <f t="shared" si="112"/>
        <v/>
      </c>
      <c r="Z331" s="39" t="str">
        <f>IF(L331="","",IF(V331&gt;0,INDEX('07-تموز'!$Q$2:$Q$500,V331),IF($AO$1=1,0,"")))</f>
        <v/>
      </c>
      <c r="AA331" s="39" t="str">
        <f t="shared" si="113"/>
        <v/>
      </c>
      <c r="AB331" s="40" t="str">
        <f>IF(OR(L331="",V331=0),"",IF(AND(N(I331)&gt;0,N(INDEX('07-تموز'!$I$2:$I$500,V331))&gt;0,INDEX('07-تموز'!$F$2:$F$500,V331)=F331),N(I331)/N(INDEX('07-تموز'!$I$2:$I$500,V331))-1,""))</f>
        <v/>
      </c>
      <c r="AC331" t="str">
        <f>IF(L331="","",IF(AND($AO$2=1,ISNA(MATCH(L331,'09-أيلول'!$L$2:$L$500,0))),"محذوف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IF(L332="","",IF($AO$1=1,IFERROR(MATCH(L332,'07-تموز'!$L$2:$L$500,0),0),0))</f>
        <v/>
      </c>
      <c r="W332" t="str">
        <f t="shared" si="111"/>
        <v/>
      </c>
      <c r="X332" s="38" t="str">
        <f>IF(L332="","",IF(V332&gt;0,INDEX('07-تموز'!$P$2:$P$500,V332),IF($AO$1=1,0,"")))</f>
        <v/>
      </c>
      <c r="Y332" s="38" t="str">
        <f t="shared" si="112"/>
        <v/>
      </c>
      <c r="Z332" s="39" t="str">
        <f>IF(L332="","",IF(V332&gt;0,INDEX('07-تموز'!$Q$2:$Q$500,V332),IF($AO$1=1,0,"")))</f>
        <v/>
      </c>
      <c r="AA332" s="39" t="str">
        <f t="shared" si="113"/>
        <v/>
      </c>
      <c r="AB332" s="40" t="str">
        <f>IF(OR(L332="",V332=0),"",IF(AND(N(I332)&gt;0,N(INDEX('07-تموز'!$I$2:$I$500,V332))&gt;0,INDEX('07-تموز'!$F$2:$F$500,V332)=F332),N(I332)/N(INDEX('07-تموز'!$I$2:$I$500,V332))-1,""))</f>
        <v/>
      </c>
      <c r="AC332" t="str">
        <f>IF(L332="","",IF(AND($AO$2=1,ISNA(MATCH(L332,'09-أيلول'!$L$2:$L$500,0))),"محذوف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IF(L333="","",IF($AO$1=1,IFERROR(MATCH(L333,'07-تموز'!$L$2:$L$500,0),0),0))</f>
        <v/>
      </c>
      <c r="W333" t="str">
        <f t="shared" si="111"/>
        <v/>
      </c>
      <c r="X333" s="38" t="str">
        <f>IF(L333="","",IF(V333&gt;0,INDEX('07-تموز'!$P$2:$P$500,V333),IF($AO$1=1,0,"")))</f>
        <v/>
      </c>
      <c r="Y333" s="38" t="str">
        <f t="shared" si="112"/>
        <v/>
      </c>
      <c r="Z333" s="39" t="str">
        <f>IF(L333="","",IF(V333&gt;0,INDEX('07-تموز'!$Q$2:$Q$500,V333),IF($AO$1=1,0,"")))</f>
        <v/>
      </c>
      <c r="AA333" s="39" t="str">
        <f t="shared" si="113"/>
        <v/>
      </c>
      <c r="AB333" s="40" t="str">
        <f>IF(OR(L333="",V333=0),"",IF(AND(N(I333)&gt;0,N(INDEX('07-تموز'!$I$2:$I$500,V333))&gt;0,INDEX('07-تموز'!$F$2:$F$500,V333)=F333),N(I333)/N(INDEX('07-تموز'!$I$2:$I$500,V333))-1,""))</f>
        <v/>
      </c>
      <c r="AC333" t="str">
        <f>IF(L333="","",IF(AND($AO$2=1,ISNA(MATCH(L333,'09-أيلول'!$L$2:$L$500,0))),"محذوف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IF(L334="","",IF($AO$1=1,IFERROR(MATCH(L334,'07-تموز'!$L$2:$L$500,0),0),0))</f>
        <v/>
      </c>
      <c r="W334" t="str">
        <f t="shared" si="111"/>
        <v/>
      </c>
      <c r="X334" s="38" t="str">
        <f>IF(L334="","",IF(V334&gt;0,INDEX('07-تموز'!$P$2:$P$500,V334),IF($AO$1=1,0,"")))</f>
        <v/>
      </c>
      <c r="Y334" s="38" t="str">
        <f t="shared" si="112"/>
        <v/>
      </c>
      <c r="Z334" s="39" t="str">
        <f>IF(L334="","",IF(V334&gt;0,INDEX('07-تموز'!$Q$2:$Q$500,V334),IF($AO$1=1,0,"")))</f>
        <v/>
      </c>
      <c r="AA334" s="39" t="str">
        <f t="shared" si="113"/>
        <v/>
      </c>
      <c r="AB334" s="40" t="str">
        <f>IF(OR(L334="",V334=0),"",IF(AND(N(I334)&gt;0,N(INDEX('07-تموز'!$I$2:$I$500,V334))&gt;0,INDEX('07-تموز'!$F$2:$F$500,V334)=F334),N(I334)/N(INDEX('07-تموز'!$I$2:$I$500,V334))-1,""))</f>
        <v/>
      </c>
      <c r="AC334" t="str">
        <f>IF(L334="","",IF(AND($AO$2=1,ISNA(MATCH(L334,'09-أيلول'!$L$2:$L$500,0))),"محذوف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IF(L335="","",IF($AO$1=1,IFERROR(MATCH(L335,'07-تموز'!$L$2:$L$500,0),0),0))</f>
        <v/>
      </c>
      <c r="W335" t="str">
        <f t="shared" si="111"/>
        <v/>
      </c>
      <c r="X335" s="38" t="str">
        <f>IF(L335="","",IF(V335&gt;0,INDEX('07-تموز'!$P$2:$P$500,V335),IF($AO$1=1,0,"")))</f>
        <v/>
      </c>
      <c r="Y335" s="38" t="str">
        <f t="shared" si="112"/>
        <v/>
      </c>
      <c r="Z335" s="39" t="str">
        <f>IF(L335="","",IF(V335&gt;0,INDEX('07-تموز'!$Q$2:$Q$500,V335),IF($AO$1=1,0,"")))</f>
        <v/>
      </c>
      <c r="AA335" s="39" t="str">
        <f t="shared" si="113"/>
        <v/>
      </c>
      <c r="AB335" s="40" t="str">
        <f>IF(OR(L335="",V335=0),"",IF(AND(N(I335)&gt;0,N(INDEX('07-تموز'!$I$2:$I$500,V335))&gt;0,INDEX('07-تموز'!$F$2:$F$500,V335)=F335),N(I335)/N(INDEX('07-تموز'!$I$2:$I$500,V335))-1,""))</f>
        <v/>
      </c>
      <c r="AC335" t="str">
        <f>IF(L335="","",IF(AND($AO$2=1,ISNA(MATCH(L335,'09-أيلول'!$L$2:$L$500,0))),"محذوف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IF(L336="","",IF($AO$1=1,IFERROR(MATCH(L336,'07-تموز'!$L$2:$L$500,0),0),0))</f>
        <v/>
      </c>
      <c r="W336" t="str">
        <f t="shared" si="111"/>
        <v/>
      </c>
      <c r="X336" s="38" t="str">
        <f>IF(L336="","",IF(V336&gt;0,INDEX('07-تموز'!$P$2:$P$500,V336),IF($AO$1=1,0,"")))</f>
        <v/>
      </c>
      <c r="Y336" s="38" t="str">
        <f t="shared" si="112"/>
        <v/>
      </c>
      <c r="Z336" s="39" t="str">
        <f>IF(L336="","",IF(V336&gt;0,INDEX('07-تموز'!$Q$2:$Q$500,V336),IF($AO$1=1,0,"")))</f>
        <v/>
      </c>
      <c r="AA336" s="39" t="str">
        <f t="shared" si="113"/>
        <v/>
      </c>
      <c r="AB336" s="40" t="str">
        <f>IF(OR(L336="",V336=0),"",IF(AND(N(I336)&gt;0,N(INDEX('07-تموز'!$I$2:$I$500,V336))&gt;0,INDEX('07-تموز'!$F$2:$F$500,V336)=F336),N(I336)/N(INDEX('07-تموز'!$I$2:$I$500,V336))-1,""))</f>
        <v/>
      </c>
      <c r="AC336" t="str">
        <f>IF(L336="","",IF(AND($AO$2=1,ISNA(MATCH(L336,'09-أيلول'!$L$2:$L$500,0))),"محذوف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IF(L337="","",IF($AO$1=1,IFERROR(MATCH(L337,'07-تموز'!$L$2:$L$500,0),0),0))</f>
        <v/>
      </c>
      <c r="W337" t="str">
        <f t="shared" si="111"/>
        <v/>
      </c>
      <c r="X337" s="38" t="str">
        <f>IF(L337="","",IF(V337&gt;0,INDEX('07-تموز'!$P$2:$P$500,V337),IF($AO$1=1,0,"")))</f>
        <v/>
      </c>
      <c r="Y337" s="38" t="str">
        <f t="shared" si="112"/>
        <v/>
      </c>
      <c r="Z337" s="39" t="str">
        <f>IF(L337="","",IF(V337&gt;0,INDEX('07-تموز'!$Q$2:$Q$500,V337),IF($AO$1=1,0,"")))</f>
        <v/>
      </c>
      <c r="AA337" s="39" t="str">
        <f t="shared" si="113"/>
        <v/>
      </c>
      <c r="AB337" s="40" t="str">
        <f>IF(OR(L337="",V337=0),"",IF(AND(N(I337)&gt;0,N(INDEX('07-تموز'!$I$2:$I$500,V337))&gt;0,INDEX('07-تموز'!$F$2:$F$500,V337)=F337),N(I337)/N(INDEX('07-تموز'!$I$2:$I$500,V337))-1,""))</f>
        <v/>
      </c>
      <c r="AC337" t="str">
        <f>IF(L337="","",IF(AND($AO$2=1,ISNA(MATCH(L337,'09-أيلول'!$L$2:$L$500,0))),"محذوف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IF(L338="","",IF($AO$1=1,IFERROR(MATCH(L338,'07-تموز'!$L$2:$L$500,0),0),0))</f>
        <v/>
      </c>
      <c r="W338" t="str">
        <f t="shared" si="111"/>
        <v/>
      </c>
      <c r="X338" s="38" t="str">
        <f>IF(L338="","",IF(V338&gt;0,INDEX('07-تموز'!$P$2:$P$500,V338),IF($AO$1=1,0,"")))</f>
        <v/>
      </c>
      <c r="Y338" s="38" t="str">
        <f t="shared" si="112"/>
        <v/>
      </c>
      <c r="Z338" s="39" t="str">
        <f>IF(L338="","",IF(V338&gt;0,INDEX('07-تموز'!$Q$2:$Q$500,V338),IF($AO$1=1,0,"")))</f>
        <v/>
      </c>
      <c r="AA338" s="39" t="str">
        <f t="shared" si="113"/>
        <v/>
      </c>
      <c r="AB338" s="40" t="str">
        <f>IF(OR(L338="",V338=0),"",IF(AND(N(I338)&gt;0,N(INDEX('07-تموز'!$I$2:$I$500,V338))&gt;0,INDEX('07-تموز'!$F$2:$F$500,V338)=F338),N(I338)/N(INDEX('07-تموز'!$I$2:$I$500,V338))-1,""))</f>
        <v/>
      </c>
      <c r="AC338" t="str">
        <f>IF(L338="","",IF(AND($AO$2=1,ISNA(MATCH(L338,'09-أيلول'!$L$2:$L$500,0))),"محذوف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IF(L339="","",IF($AO$1=1,IFERROR(MATCH(L339,'07-تموز'!$L$2:$L$500,0),0),0))</f>
        <v/>
      </c>
      <c r="W339" t="str">
        <f t="shared" si="111"/>
        <v/>
      </c>
      <c r="X339" s="38" t="str">
        <f>IF(L339="","",IF(V339&gt;0,INDEX('07-تموز'!$P$2:$P$500,V339),IF($AO$1=1,0,"")))</f>
        <v/>
      </c>
      <c r="Y339" s="38" t="str">
        <f t="shared" si="112"/>
        <v/>
      </c>
      <c r="Z339" s="39" t="str">
        <f>IF(L339="","",IF(V339&gt;0,INDEX('07-تموز'!$Q$2:$Q$500,V339),IF($AO$1=1,0,"")))</f>
        <v/>
      </c>
      <c r="AA339" s="39" t="str">
        <f t="shared" si="113"/>
        <v/>
      </c>
      <c r="AB339" s="40" t="str">
        <f>IF(OR(L339="",V339=0),"",IF(AND(N(I339)&gt;0,N(INDEX('07-تموز'!$I$2:$I$500,V339))&gt;0,INDEX('07-تموز'!$F$2:$F$500,V339)=F339),N(I339)/N(INDEX('07-تموز'!$I$2:$I$500,V339))-1,""))</f>
        <v/>
      </c>
      <c r="AC339" t="str">
        <f>IF(L339="","",IF(AND($AO$2=1,ISNA(MATCH(L339,'09-أيلول'!$L$2:$L$500,0))),"محذوف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IF(L340="","",IF($AO$1=1,IFERROR(MATCH(L340,'07-تموز'!$L$2:$L$500,0),0),0))</f>
        <v/>
      </c>
      <c r="W340" t="str">
        <f t="shared" si="111"/>
        <v/>
      </c>
      <c r="X340" s="38" t="str">
        <f>IF(L340="","",IF(V340&gt;0,INDEX('07-تموز'!$P$2:$P$500,V340),IF($AO$1=1,0,"")))</f>
        <v/>
      </c>
      <c r="Y340" s="38" t="str">
        <f t="shared" si="112"/>
        <v/>
      </c>
      <c r="Z340" s="39" t="str">
        <f>IF(L340="","",IF(V340&gt;0,INDEX('07-تموز'!$Q$2:$Q$500,V340),IF($AO$1=1,0,"")))</f>
        <v/>
      </c>
      <c r="AA340" s="39" t="str">
        <f t="shared" si="113"/>
        <v/>
      </c>
      <c r="AB340" s="40" t="str">
        <f>IF(OR(L340="",V340=0),"",IF(AND(N(I340)&gt;0,N(INDEX('07-تموز'!$I$2:$I$500,V340))&gt;0,INDEX('07-تموز'!$F$2:$F$500,V340)=F340),N(I340)/N(INDEX('07-تموز'!$I$2:$I$500,V340))-1,""))</f>
        <v/>
      </c>
      <c r="AC340" t="str">
        <f>IF(L340="","",IF(AND($AO$2=1,ISNA(MATCH(L340,'09-أيلول'!$L$2:$L$500,0))),"محذوف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IF(L341="","",IF($AO$1=1,IFERROR(MATCH(L341,'07-تموز'!$L$2:$L$500,0),0),0))</f>
        <v/>
      </c>
      <c r="W341" t="str">
        <f t="shared" si="111"/>
        <v/>
      </c>
      <c r="X341" s="38" t="str">
        <f>IF(L341="","",IF(V341&gt;0,INDEX('07-تموز'!$P$2:$P$500,V341),IF($AO$1=1,0,"")))</f>
        <v/>
      </c>
      <c r="Y341" s="38" t="str">
        <f t="shared" si="112"/>
        <v/>
      </c>
      <c r="Z341" s="39" t="str">
        <f>IF(L341="","",IF(V341&gt;0,INDEX('07-تموز'!$Q$2:$Q$500,V341),IF($AO$1=1,0,"")))</f>
        <v/>
      </c>
      <c r="AA341" s="39" t="str">
        <f t="shared" si="113"/>
        <v/>
      </c>
      <c r="AB341" s="40" t="str">
        <f>IF(OR(L341="",V341=0),"",IF(AND(N(I341)&gt;0,N(INDEX('07-تموز'!$I$2:$I$500,V341))&gt;0,INDEX('07-تموز'!$F$2:$F$500,V341)=F341),N(I341)/N(INDEX('07-تموز'!$I$2:$I$500,V341))-1,""))</f>
        <v/>
      </c>
      <c r="AC341" t="str">
        <f>IF(L341="","",IF(AND($AO$2=1,ISNA(MATCH(L341,'09-أيلول'!$L$2:$L$500,0))),"محذوف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IF(L342="","",IF($AO$1=1,IFERROR(MATCH(L342,'07-تموز'!$L$2:$L$500,0),0),0))</f>
        <v/>
      </c>
      <c r="W342" t="str">
        <f t="shared" si="111"/>
        <v/>
      </c>
      <c r="X342" s="38" t="str">
        <f>IF(L342="","",IF(V342&gt;0,INDEX('07-تموز'!$P$2:$P$500,V342),IF($AO$1=1,0,"")))</f>
        <v/>
      </c>
      <c r="Y342" s="38" t="str">
        <f t="shared" si="112"/>
        <v/>
      </c>
      <c r="Z342" s="39" t="str">
        <f>IF(L342="","",IF(V342&gt;0,INDEX('07-تموز'!$Q$2:$Q$500,V342),IF($AO$1=1,0,"")))</f>
        <v/>
      </c>
      <c r="AA342" s="39" t="str">
        <f t="shared" si="113"/>
        <v/>
      </c>
      <c r="AB342" s="40" t="str">
        <f>IF(OR(L342="",V342=0),"",IF(AND(N(I342)&gt;0,N(INDEX('07-تموز'!$I$2:$I$500,V342))&gt;0,INDEX('07-تموز'!$F$2:$F$500,V342)=F342),N(I342)/N(INDEX('07-تموز'!$I$2:$I$500,V342))-1,""))</f>
        <v/>
      </c>
      <c r="AC342" t="str">
        <f>IF(L342="","",IF(AND($AO$2=1,ISNA(MATCH(L342,'09-أيلول'!$L$2:$L$500,0))),"محذوف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IF(L343="","",IF($AO$1=1,IFERROR(MATCH(L343,'07-تموز'!$L$2:$L$500,0),0),0))</f>
        <v/>
      </c>
      <c r="W343" t="str">
        <f t="shared" si="111"/>
        <v/>
      </c>
      <c r="X343" s="38" t="str">
        <f>IF(L343="","",IF(V343&gt;0,INDEX('07-تموز'!$P$2:$P$500,V343),IF($AO$1=1,0,"")))</f>
        <v/>
      </c>
      <c r="Y343" s="38" t="str">
        <f t="shared" si="112"/>
        <v/>
      </c>
      <c r="Z343" s="39" t="str">
        <f>IF(L343="","",IF(V343&gt;0,INDEX('07-تموز'!$Q$2:$Q$500,V343),IF($AO$1=1,0,"")))</f>
        <v/>
      </c>
      <c r="AA343" s="39" t="str">
        <f t="shared" si="113"/>
        <v/>
      </c>
      <c r="AB343" s="40" t="str">
        <f>IF(OR(L343="",V343=0),"",IF(AND(N(I343)&gt;0,N(INDEX('07-تموز'!$I$2:$I$500,V343))&gt;0,INDEX('07-تموز'!$F$2:$F$500,V343)=F343),N(I343)/N(INDEX('07-تموز'!$I$2:$I$500,V343))-1,""))</f>
        <v/>
      </c>
      <c r="AC343" t="str">
        <f>IF(L343="","",IF(AND($AO$2=1,ISNA(MATCH(L343,'09-أيلول'!$L$2:$L$500,0))),"محذوف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IF(L344="","",IF($AO$1=1,IFERROR(MATCH(L344,'07-تموز'!$L$2:$L$500,0),0),0))</f>
        <v/>
      </c>
      <c r="W344" t="str">
        <f t="shared" si="111"/>
        <v/>
      </c>
      <c r="X344" s="38" t="str">
        <f>IF(L344="","",IF(V344&gt;0,INDEX('07-تموز'!$P$2:$P$500,V344),IF($AO$1=1,0,"")))</f>
        <v/>
      </c>
      <c r="Y344" s="38" t="str">
        <f t="shared" si="112"/>
        <v/>
      </c>
      <c r="Z344" s="39" t="str">
        <f>IF(L344="","",IF(V344&gt;0,INDEX('07-تموز'!$Q$2:$Q$500,V344),IF($AO$1=1,0,"")))</f>
        <v/>
      </c>
      <c r="AA344" s="39" t="str">
        <f t="shared" si="113"/>
        <v/>
      </c>
      <c r="AB344" s="40" t="str">
        <f>IF(OR(L344="",V344=0),"",IF(AND(N(I344)&gt;0,N(INDEX('07-تموز'!$I$2:$I$500,V344))&gt;0,INDEX('07-تموز'!$F$2:$F$500,V344)=F344),N(I344)/N(INDEX('07-تموز'!$I$2:$I$500,V344))-1,""))</f>
        <v/>
      </c>
      <c r="AC344" t="str">
        <f>IF(L344="","",IF(AND($AO$2=1,ISNA(MATCH(L344,'09-أيلول'!$L$2:$L$500,0))),"محذوف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IF(L345="","",IF($AO$1=1,IFERROR(MATCH(L345,'07-تموز'!$L$2:$L$500,0),0),0))</f>
        <v/>
      </c>
      <c r="W345" t="str">
        <f t="shared" si="111"/>
        <v/>
      </c>
      <c r="X345" s="38" t="str">
        <f>IF(L345="","",IF(V345&gt;0,INDEX('07-تموز'!$P$2:$P$500,V345),IF($AO$1=1,0,"")))</f>
        <v/>
      </c>
      <c r="Y345" s="38" t="str">
        <f t="shared" si="112"/>
        <v/>
      </c>
      <c r="Z345" s="39" t="str">
        <f>IF(L345="","",IF(V345&gt;0,INDEX('07-تموز'!$Q$2:$Q$500,V345),IF($AO$1=1,0,"")))</f>
        <v/>
      </c>
      <c r="AA345" s="39" t="str">
        <f t="shared" si="113"/>
        <v/>
      </c>
      <c r="AB345" s="40" t="str">
        <f>IF(OR(L345="",V345=0),"",IF(AND(N(I345)&gt;0,N(INDEX('07-تموز'!$I$2:$I$500,V345))&gt;0,INDEX('07-تموز'!$F$2:$F$500,V345)=F345),N(I345)/N(INDEX('07-تموز'!$I$2:$I$500,V345))-1,""))</f>
        <v/>
      </c>
      <c r="AC345" t="str">
        <f>IF(L345="","",IF(AND($AO$2=1,ISNA(MATCH(L345,'09-أيلول'!$L$2:$L$500,0))),"محذوف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IF(L346="","",IF($AO$1=1,IFERROR(MATCH(L346,'07-تموز'!$L$2:$L$500,0),0),0))</f>
        <v/>
      </c>
      <c r="W346" t="str">
        <f t="shared" si="111"/>
        <v/>
      </c>
      <c r="X346" s="38" t="str">
        <f>IF(L346="","",IF(V346&gt;0,INDEX('07-تموز'!$P$2:$P$500,V346),IF($AO$1=1,0,"")))</f>
        <v/>
      </c>
      <c r="Y346" s="38" t="str">
        <f t="shared" si="112"/>
        <v/>
      </c>
      <c r="Z346" s="39" t="str">
        <f>IF(L346="","",IF(V346&gt;0,INDEX('07-تموز'!$Q$2:$Q$500,V346),IF($AO$1=1,0,"")))</f>
        <v/>
      </c>
      <c r="AA346" s="39" t="str">
        <f t="shared" si="113"/>
        <v/>
      </c>
      <c r="AB346" s="40" t="str">
        <f>IF(OR(L346="",V346=0),"",IF(AND(N(I346)&gt;0,N(INDEX('07-تموز'!$I$2:$I$500,V346))&gt;0,INDEX('07-تموز'!$F$2:$F$500,V346)=F346),N(I346)/N(INDEX('07-تموز'!$I$2:$I$500,V346))-1,""))</f>
        <v/>
      </c>
      <c r="AC346" t="str">
        <f>IF(L346="","",IF(AND($AO$2=1,ISNA(MATCH(L346,'09-أيلول'!$L$2:$L$500,0))),"محذوف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IF(L347="","",IF($AO$1=1,IFERROR(MATCH(L347,'07-تموز'!$L$2:$L$500,0),0),0))</f>
        <v/>
      </c>
      <c r="W347" t="str">
        <f t="shared" si="111"/>
        <v/>
      </c>
      <c r="X347" s="38" t="str">
        <f>IF(L347="","",IF(V347&gt;0,INDEX('07-تموز'!$P$2:$P$500,V347),IF($AO$1=1,0,"")))</f>
        <v/>
      </c>
      <c r="Y347" s="38" t="str">
        <f t="shared" si="112"/>
        <v/>
      </c>
      <c r="Z347" s="39" t="str">
        <f>IF(L347="","",IF(V347&gt;0,INDEX('07-تموز'!$Q$2:$Q$500,V347),IF($AO$1=1,0,"")))</f>
        <v/>
      </c>
      <c r="AA347" s="39" t="str">
        <f t="shared" si="113"/>
        <v/>
      </c>
      <c r="AB347" s="40" t="str">
        <f>IF(OR(L347="",V347=0),"",IF(AND(N(I347)&gt;0,N(INDEX('07-تموز'!$I$2:$I$500,V347))&gt;0,INDEX('07-تموز'!$F$2:$F$500,V347)=F347),N(I347)/N(INDEX('07-تموز'!$I$2:$I$500,V347))-1,""))</f>
        <v/>
      </c>
      <c r="AC347" t="str">
        <f>IF(L347="","",IF(AND($AO$2=1,ISNA(MATCH(L347,'09-أيلول'!$L$2:$L$500,0))),"محذوف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IF(L348="","",IF($AO$1=1,IFERROR(MATCH(L348,'07-تموز'!$L$2:$L$500,0),0),0))</f>
        <v/>
      </c>
      <c r="W348" t="str">
        <f t="shared" si="111"/>
        <v/>
      </c>
      <c r="X348" s="38" t="str">
        <f>IF(L348="","",IF(V348&gt;0,INDEX('07-تموز'!$P$2:$P$500,V348),IF($AO$1=1,0,"")))</f>
        <v/>
      </c>
      <c r="Y348" s="38" t="str">
        <f t="shared" si="112"/>
        <v/>
      </c>
      <c r="Z348" s="39" t="str">
        <f>IF(L348="","",IF(V348&gt;0,INDEX('07-تموز'!$Q$2:$Q$500,V348),IF($AO$1=1,0,"")))</f>
        <v/>
      </c>
      <c r="AA348" s="39" t="str">
        <f t="shared" si="113"/>
        <v/>
      </c>
      <c r="AB348" s="40" t="str">
        <f>IF(OR(L348="",V348=0),"",IF(AND(N(I348)&gt;0,N(INDEX('07-تموز'!$I$2:$I$500,V348))&gt;0,INDEX('07-تموز'!$F$2:$F$500,V348)=F348),N(I348)/N(INDEX('07-تموز'!$I$2:$I$500,V348))-1,""))</f>
        <v/>
      </c>
      <c r="AC348" t="str">
        <f>IF(L348="","",IF(AND($AO$2=1,ISNA(MATCH(L348,'09-أيلول'!$L$2:$L$500,0))),"محذوف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IF(L349="","",IF($AO$1=1,IFERROR(MATCH(L349,'07-تموز'!$L$2:$L$500,0),0),0))</f>
        <v/>
      </c>
      <c r="W349" t="str">
        <f t="shared" si="111"/>
        <v/>
      </c>
      <c r="X349" s="38" t="str">
        <f>IF(L349="","",IF(V349&gt;0,INDEX('07-تموز'!$P$2:$P$500,V349),IF($AO$1=1,0,"")))</f>
        <v/>
      </c>
      <c r="Y349" s="38" t="str">
        <f t="shared" si="112"/>
        <v/>
      </c>
      <c r="Z349" s="39" t="str">
        <f>IF(L349="","",IF(V349&gt;0,INDEX('07-تموز'!$Q$2:$Q$500,V349),IF($AO$1=1,0,"")))</f>
        <v/>
      </c>
      <c r="AA349" s="39" t="str">
        <f t="shared" si="113"/>
        <v/>
      </c>
      <c r="AB349" s="40" t="str">
        <f>IF(OR(L349="",V349=0),"",IF(AND(N(I349)&gt;0,N(INDEX('07-تموز'!$I$2:$I$500,V349))&gt;0,INDEX('07-تموز'!$F$2:$F$500,V349)=F349),N(I349)/N(INDEX('07-تموز'!$I$2:$I$500,V349))-1,""))</f>
        <v/>
      </c>
      <c r="AC349" t="str">
        <f>IF(L349="","",IF(AND($AO$2=1,ISNA(MATCH(L349,'09-أيلول'!$L$2:$L$500,0))),"محذوف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IF(L350="","",IF($AO$1=1,IFERROR(MATCH(L350,'07-تموز'!$L$2:$L$500,0),0),0))</f>
        <v/>
      </c>
      <c r="W350" t="str">
        <f t="shared" si="111"/>
        <v/>
      </c>
      <c r="X350" s="38" t="str">
        <f>IF(L350="","",IF(V350&gt;0,INDEX('07-تموز'!$P$2:$P$500,V350),IF($AO$1=1,0,"")))</f>
        <v/>
      </c>
      <c r="Y350" s="38" t="str">
        <f t="shared" si="112"/>
        <v/>
      </c>
      <c r="Z350" s="39" t="str">
        <f>IF(L350="","",IF(V350&gt;0,INDEX('07-تموز'!$Q$2:$Q$500,V350),IF($AO$1=1,0,"")))</f>
        <v/>
      </c>
      <c r="AA350" s="39" t="str">
        <f t="shared" si="113"/>
        <v/>
      </c>
      <c r="AB350" s="40" t="str">
        <f>IF(OR(L350="",V350=0),"",IF(AND(N(I350)&gt;0,N(INDEX('07-تموز'!$I$2:$I$500,V350))&gt;0,INDEX('07-تموز'!$F$2:$F$500,V350)=F350),N(I350)/N(INDEX('07-تموز'!$I$2:$I$500,V350))-1,""))</f>
        <v/>
      </c>
      <c r="AC350" t="str">
        <f>IF(L350="","",IF(AND($AO$2=1,ISNA(MATCH(L350,'09-أيلول'!$L$2:$L$500,0))),"محذوف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IF(L351="","",IF($AO$1=1,IFERROR(MATCH(L351,'07-تموز'!$L$2:$L$500,0),0),0))</f>
        <v/>
      </c>
      <c r="W351" t="str">
        <f t="shared" si="111"/>
        <v/>
      </c>
      <c r="X351" s="38" t="str">
        <f>IF(L351="","",IF(V351&gt;0,INDEX('07-تموز'!$P$2:$P$500,V351),IF($AO$1=1,0,"")))</f>
        <v/>
      </c>
      <c r="Y351" s="38" t="str">
        <f t="shared" si="112"/>
        <v/>
      </c>
      <c r="Z351" s="39" t="str">
        <f>IF(L351="","",IF(V351&gt;0,INDEX('07-تموز'!$Q$2:$Q$500,V351),IF($AO$1=1,0,"")))</f>
        <v/>
      </c>
      <c r="AA351" s="39" t="str">
        <f t="shared" si="113"/>
        <v/>
      </c>
      <c r="AB351" s="40" t="str">
        <f>IF(OR(L351="",V351=0),"",IF(AND(N(I351)&gt;0,N(INDEX('07-تموز'!$I$2:$I$500,V351))&gt;0,INDEX('07-تموز'!$F$2:$F$500,V351)=F351),N(I351)/N(INDEX('07-تموز'!$I$2:$I$500,V351))-1,""))</f>
        <v/>
      </c>
      <c r="AC351" t="str">
        <f>IF(L351="","",IF(AND($AO$2=1,ISNA(MATCH(L351,'09-أيلول'!$L$2:$L$500,0))),"محذوف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IF(L352="","",IF($AO$1=1,IFERROR(MATCH(L352,'07-تموز'!$L$2:$L$500,0),0),0))</f>
        <v/>
      </c>
      <c r="W352" t="str">
        <f t="shared" si="111"/>
        <v/>
      </c>
      <c r="X352" s="38" t="str">
        <f>IF(L352="","",IF(V352&gt;0,INDEX('07-تموز'!$P$2:$P$500,V352),IF($AO$1=1,0,"")))</f>
        <v/>
      </c>
      <c r="Y352" s="38" t="str">
        <f t="shared" si="112"/>
        <v/>
      </c>
      <c r="Z352" s="39" t="str">
        <f>IF(L352="","",IF(V352&gt;0,INDEX('07-تموز'!$Q$2:$Q$500,V352),IF($AO$1=1,0,"")))</f>
        <v/>
      </c>
      <c r="AA352" s="39" t="str">
        <f t="shared" si="113"/>
        <v/>
      </c>
      <c r="AB352" s="40" t="str">
        <f>IF(OR(L352="",V352=0),"",IF(AND(N(I352)&gt;0,N(INDEX('07-تموز'!$I$2:$I$500,V352))&gt;0,INDEX('07-تموز'!$F$2:$F$500,V352)=F352),N(I352)/N(INDEX('07-تموز'!$I$2:$I$500,V352))-1,""))</f>
        <v/>
      </c>
      <c r="AC352" t="str">
        <f>IF(L352="","",IF(AND($AO$2=1,ISNA(MATCH(L352,'09-أيلول'!$L$2:$L$500,0))),"محذوف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IF(L353="","",IF($AO$1=1,IFERROR(MATCH(L353,'07-تموز'!$L$2:$L$500,0),0),0))</f>
        <v/>
      </c>
      <c r="W353" t="str">
        <f t="shared" si="111"/>
        <v/>
      </c>
      <c r="X353" s="38" t="str">
        <f>IF(L353="","",IF(V353&gt;0,INDEX('07-تموز'!$P$2:$P$500,V353),IF($AO$1=1,0,"")))</f>
        <v/>
      </c>
      <c r="Y353" s="38" t="str">
        <f t="shared" si="112"/>
        <v/>
      </c>
      <c r="Z353" s="39" t="str">
        <f>IF(L353="","",IF(V353&gt;0,INDEX('07-تموز'!$Q$2:$Q$500,V353),IF($AO$1=1,0,"")))</f>
        <v/>
      </c>
      <c r="AA353" s="39" t="str">
        <f t="shared" si="113"/>
        <v/>
      </c>
      <c r="AB353" s="40" t="str">
        <f>IF(OR(L353="",V353=0),"",IF(AND(N(I353)&gt;0,N(INDEX('07-تموز'!$I$2:$I$500,V353))&gt;0,INDEX('07-تموز'!$F$2:$F$500,V353)=F353),N(I353)/N(INDEX('07-تموز'!$I$2:$I$500,V353))-1,""))</f>
        <v/>
      </c>
      <c r="AC353" t="str">
        <f>IF(L353="","",IF(AND($AO$2=1,ISNA(MATCH(L353,'09-أيلول'!$L$2:$L$500,0))),"محذوف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IF(L354="","",IF($AO$1=1,IFERROR(MATCH(L354,'07-تموز'!$L$2:$L$500,0),0),0))</f>
        <v/>
      </c>
      <c r="W354" t="str">
        <f t="shared" si="111"/>
        <v/>
      </c>
      <c r="X354" s="38" t="str">
        <f>IF(L354="","",IF(V354&gt;0,INDEX('07-تموز'!$P$2:$P$500,V354),IF($AO$1=1,0,"")))</f>
        <v/>
      </c>
      <c r="Y354" s="38" t="str">
        <f t="shared" si="112"/>
        <v/>
      </c>
      <c r="Z354" s="39" t="str">
        <f>IF(L354="","",IF(V354&gt;0,INDEX('07-تموز'!$Q$2:$Q$500,V354),IF($AO$1=1,0,"")))</f>
        <v/>
      </c>
      <c r="AA354" s="39" t="str">
        <f t="shared" si="113"/>
        <v/>
      </c>
      <c r="AB354" s="40" t="str">
        <f>IF(OR(L354="",V354=0),"",IF(AND(N(I354)&gt;0,N(INDEX('07-تموز'!$I$2:$I$500,V354))&gt;0,INDEX('07-تموز'!$F$2:$F$500,V354)=F354),N(I354)/N(INDEX('07-تموز'!$I$2:$I$500,V354))-1,""))</f>
        <v/>
      </c>
      <c r="AC354" t="str">
        <f>IF(L354="","",IF(AND($AO$2=1,ISNA(MATCH(L354,'09-أيلول'!$L$2:$L$500,0))),"محذوف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IF(L355="","",IF($AO$1=1,IFERROR(MATCH(L355,'07-تموز'!$L$2:$L$500,0),0),0))</f>
        <v/>
      </c>
      <c r="W355" t="str">
        <f t="shared" si="111"/>
        <v/>
      </c>
      <c r="X355" s="38" t="str">
        <f>IF(L355="","",IF(V355&gt;0,INDEX('07-تموز'!$P$2:$P$500,V355),IF($AO$1=1,0,"")))</f>
        <v/>
      </c>
      <c r="Y355" s="38" t="str">
        <f t="shared" si="112"/>
        <v/>
      </c>
      <c r="Z355" s="39" t="str">
        <f>IF(L355="","",IF(V355&gt;0,INDEX('07-تموز'!$Q$2:$Q$500,V355),IF($AO$1=1,0,"")))</f>
        <v/>
      </c>
      <c r="AA355" s="39" t="str">
        <f t="shared" si="113"/>
        <v/>
      </c>
      <c r="AB355" s="40" t="str">
        <f>IF(OR(L355="",V355=0),"",IF(AND(N(I355)&gt;0,N(INDEX('07-تموز'!$I$2:$I$500,V355))&gt;0,INDEX('07-تموز'!$F$2:$F$500,V355)=F355),N(I355)/N(INDEX('07-تموز'!$I$2:$I$500,V355))-1,""))</f>
        <v/>
      </c>
      <c r="AC355" t="str">
        <f>IF(L355="","",IF(AND($AO$2=1,ISNA(MATCH(L355,'09-أيلول'!$L$2:$L$500,0))),"محذوف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IF(L356="","",IF($AO$1=1,IFERROR(MATCH(L356,'07-تموز'!$L$2:$L$500,0),0),0))</f>
        <v/>
      </c>
      <c r="W356" t="str">
        <f t="shared" si="111"/>
        <v/>
      </c>
      <c r="X356" s="38" t="str">
        <f>IF(L356="","",IF(V356&gt;0,INDEX('07-تموز'!$P$2:$P$500,V356),IF($AO$1=1,0,"")))</f>
        <v/>
      </c>
      <c r="Y356" s="38" t="str">
        <f t="shared" si="112"/>
        <v/>
      </c>
      <c r="Z356" s="39" t="str">
        <f>IF(L356="","",IF(V356&gt;0,INDEX('07-تموز'!$Q$2:$Q$500,V356),IF($AO$1=1,0,"")))</f>
        <v/>
      </c>
      <c r="AA356" s="39" t="str">
        <f t="shared" si="113"/>
        <v/>
      </c>
      <c r="AB356" s="40" t="str">
        <f>IF(OR(L356="",V356=0),"",IF(AND(N(I356)&gt;0,N(INDEX('07-تموز'!$I$2:$I$500,V356))&gt;0,INDEX('07-تموز'!$F$2:$F$500,V356)=F356),N(I356)/N(INDEX('07-تموز'!$I$2:$I$500,V356))-1,""))</f>
        <v/>
      </c>
      <c r="AC356" t="str">
        <f>IF(L356="","",IF(AND($AO$2=1,ISNA(MATCH(L356,'09-أيلول'!$L$2:$L$500,0))),"محذوف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IF(L357="","",IF($AO$1=1,IFERROR(MATCH(L357,'07-تموز'!$L$2:$L$500,0),0),0))</f>
        <v/>
      </c>
      <c r="W357" t="str">
        <f t="shared" si="111"/>
        <v/>
      </c>
      <c r="X357" s="38" t="str">
        <f>IF(L357="","",IF(V357&gt;0,INDEX('07-تموز'!$P$2:$P$500,V357),IF($AO$1=1,0,"")))</f>
        <v/>
      </c>
      <c r="Y357" s="38" t="str">
        <f t="shared" si="112"/>
        <v/>
      </c>
      <c r="Z357" s="39" t="str">
        <f>IF(L357="","",IF(V357&gt;0,INDEX('07-تموز'!$Q$2:$Q$500,V357),IF($AO$1=1,0,"")))</f>
        <v/>
      </c>
      <c r="AA357" s="39" t="str">
        <f t="shared" si="113"/>
        <v/>
      </c>
      <c r="AB357" s="40" t="str">
        <f>IF(OR(L357="",V357=0),"",IF(AND(N(I357)&gt;0,N(INDEX('07-تموز'!$I$2:$I$500,V357))&gt;0,INDEX('07-تموز'!$F$2:$F$500,V357)=F357),N(I357)/N(INDEX('07-تموز'!$I$2:$I$500,V357))-1,""))</f>
        <v/>
      </c>
      <c r="AC357" t="str">
        <f>IF(L357="","",IF(AND($AO$2=1,ISNA(MATCH(L357,'09-أيلول'!$L$2:$L$500,0))),"محذوف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IF(L358="","",IF($AO$1=1,IFERROR(MATCH(L358,'07-تموز'!$L$2:$L$500,0),0),0))</f>
        <v/>
      </c>
      <c r="W358" t="str">
        <f t="shared" si="111"/>
        <v/>
      </c>
      <c r="X358" s="38" t="str">
        <f>IF(L358="","",IF(V358&gt;0,INDEX('07-تموز'!$P$2:$P$500,V358),IF($AO$1=1,0,"")))</f>
        <v/>
      </c>
      <c r="Y358" s="38" t="str">
        <f t="shared" si="112"/>
        <v/>
      </c>
      <c r="Z358" s="39" t="str">
        <f>IF(L358="","",IF(V358&gt;0,INDEX('07-تموز'!$Q$2:$Q$500,V358),IF($AO$1=1,0,"")))</f>
        <v/>
      </c>
      <c r="AA358" s="39" t="str">
        <f t="shared" si="113"/>
        <v/>
      </c>
      <c r="AB358" s="40" t="str">
        <f>IF(OR(L358="",V358=0),"",IF(AND(N(I358)&gt;0,N(INDEX('07-تموز'!$I$2:$I$500,V358))&gt;0,INDEX('07-تموز'!$F$2:$F$500,V358)=F358),N(I358)/N(INDEX('07-تموز'!$I$2:$I$500,V358))-1,""))</f>
        <v/>
      </c>
      <c r="AC358" t="str">
        <f>IF(L358="","",IF(AND($AO$2=1,ISNA(MATCH(L358,'09-أيلول'!$L$2:$L$500,0))),"محذوف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IF(L359="","",IF($AO$1=1,IFERROR(MATCH(L359,'07-تموز'!$L$2:$L$500,0),0),0))</f>
        <v/>
      </c>
      <c r="W359" t="str">
        <f t="shared" si="111"/>
        <v/>
      </c>
      <c r="X359" s="38" t="str">
        <f>IF(L359="","",IF(V359&gt;0,INDEX('07-تموز'!$P$2:$P$500,V359),IF($AO$1=1,0,"")))</f>
        <v/>
      </c>
      <c r="Y359" s="38" t="str">
        <f t="shared" si="112"/>
        <v/>
      </c>
      <c r="Z359" s="39" t="str">
        <f>IF(L359="","",IF(V359&gt;0,INDEX('07-تموز'!$Q$2:$Q$500,V359),IF($AO$1=1,0,"")))</f>
        <v/>
      </c>
      <c r="AA359" s="39" t="str">
        <f t="shared" si="113"/>
        <v/>
      </c>
      <c r="AB359" s="40" t="str">
        <f>IF(OR(L359="",V359=0),"",IF(AND(N(I359)&gt;0,N(INDEX('07-تموز'!$I$2:$I$500,V359))&gt;0,INDEX('07-تموز'!$F$2:$F$500,V359)=F359),N(I359)/N(INDEX('07-تموز'!$I$2:$I$500,V359))-1,""))</f>
        <v/>
      </c>
      <c r="AC359" t="str">
        <f>IF(L359="","",IF(AND($AO$2=1,ISNA(MATCH(L359,'09-أيلول'!$L$2:$L$500,0))),"محذوف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IF(L360="","",IF($AO$1=1,IFERROR(MATCH(L360,'07-تموز'!$L$2:$L$500,0),0),0))</f>
        <v/>
      </c>
      <c r="W360" t="str">
        <f t="shared" si="111"/>
        <v/>
      </c>
      <c r="X360" s="38" t="str">
        <f>IF(L360="","",IF(V360&gt;0,INDEX('07-تموز'!$P$2:$P$500,V360),IF($AO$1=1,0,"")))</f>
        <v/>
      </c>
      <c r="Y360" s="38" t="str">
        <f t="shared" si="112"/>
        <v/>
      </c>
      <c r="Z360" s="39" t="str">
        <f>IF(L360="","",IF(V360&gt;0,INDEX('07-تموز'!$Q$2:$Q$500,V360),IF($AO$1=1,0,"")))</f>
        <v/>
      </c>
      <c r="AA360" s="39" t="str">
        <f t="shared" si="113"/>
        <v/>
      </c>
      <c r="AB360" s="40" t="str">
        <f>IF(OR(L360="",V360=0),"",IF(AND(N(I360)&gt;0,N(INDEX('07-تموز'!$I$2:$I$500,V360))&gt;0,INDEX('07-تموز'!$F$2:$F$500,V360)=F360),N(I360)/N(INDEX('07-تموز'!$I$2:$I$500,V360))-1,""))</f>
        <v/>
      </c>
      <c r="AC360" t="str">
        <f>IF(L360="","",IF(AND($AO$2=1,ISNA(MATCH(L360,'09-أيلول'!$L$2:$L$500,0))),"محذوف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IF(L361="","",IF($AO$1=1,IFERROR(MATCH(L361,'07-تموز'!$L$2:$L$500,0),0),0))</f>
        <v/>
      </c>
      <c r="W361" t="str">
        <f t="shared" si="111"/>
        <v/>
      </c>
      <c r="X361" s="38" t="str">
        <f>IF(L361="","",IF(V361&gt;0,INDEX('07-تموز'!$P$2:$P$500,V361),IF($AO$1=1,0,"")))</f>
        <v/>
      </c>
      <c r="Y361" s="38" t="str">
        <f t="shared" si="112"/>
        <v/>
      </c>
      <c r="Z361" s="39" t="str">
        <f>IF(L361="","",IF(V361&gt;0,INDEX('07-تموز'!$Q$2:$Q$500,V361),IF($AO$1=1,0,"")))</f>
        <v/>
      </c>
      <c r="AA361" s="39" t="str">
        <f t="shared" si="113"/>
        <v/>
      </c>
      <c r="AB361" s="40" t="str">
        <f>IF(OR(L361="",V361=0),"",IF(AND(N(I361)&gt;0,N(INDEX('07-تموز'!$I$2:$I$500,V361))&gt;0,INDEX('07-تموز'!$F$2:$F$500,V361)=F361),N(I361)/N(INDEX('07-تموز'!$I$2:$I$500,V361))-1,""))</f>
        <v/>
      </c>
      <c r="AC361" t="str">
        <f>IF(L361="","",IF(AND($AO$2=1,ISNA(MATCH(L361,'09-أيلول'!$L$2:$L$500,0))),"محذوف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IF(L362="","",IF($AO$1=1,IFERROR(MATCH(L362,'07-تموز'!$L$2:$L$500,0),0),0))</f>
        <v/>
      </c>
      <c r="W362" t="str">
        <f t="shared" si="111"/>
        <v/>
      </c>
      <c r="X362" s="38" t="str">
        <f>IF(L362="","",IF(V362&gt;0,INDEX('07-تموز'!$P$2:$P$500,V362),IF($AO$1=1,0,"")))</f>
        <v/>
      </c>
      <c r="Y362" s="38" t="str">
        <f t="shared" si="112"/>
        <v/>
      </c>
      <c r="Z362" s="39" t="str">
        <f>IF(L362="","",IF(V362&gt;0,INDEX('07-تموز'!$Q$2:$Q$500,V362),IF($AO$1=1,0,"")))</f>
        <v/>
      </c>
      <c r="AA362" s="39" t="str">
        <f t="shared" si="113"/>
        <v/>
      </c>
      <c r="AB362" s="40" t="str">
        <f>IF(OR(L362="",V362=0),"",IF(AND(N(I362)&gt;0,N(INDEX('07-تموز'!$I$2:$I$500,V362))&gt;0,INDEX('07-تموز'!$F$2:$F$500,V362)=F362),N(I362)/N(INDEX('07-تموز'!$I$2:$I$500,V362))-1,""))</f>
        <v/>
      </c>
      <c r="AC362" t="str">
        <f>IF(L362="","",IF(AND($AO$2=1,ISNA(MATCH(L362,'09-أيلول'!$L$2:$L$500,0))),"محذوف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IF(L363="","",IF($AO$1=1,IFERROR(MATCH(L363,'07-تموز'!$L$2:$L$500,0),0),0))</f>
        <v/>
      </c>
      <c r="W363" t="str">
        <f t="shared" si="111"/>
        <v/>
      </c>
      <c r="X363" s="38" t="str">
        <f>IF(L363="","",IF(V363&gt;0,INDEX('07-تموز'!$P$2:$P$500,V363),IF($AO$1=1,0,"")))</f>
        <v/>
      </c>
      <c r="Y363" s="38" t="str">
        <f t="shared" si="112"/>
        <v/>
      </c>
      <c r="Z363" s="39" t="str">
        <f>IF(L363="","",IF(V363&gt;0,INDEX('07-تموز'!$Q$2:$Q$500,V363),IF($AO$1=1,0,"")))</f>
        <v/>
      </c>
      <c r="AA363" s="39" t="str">
        <f t="shared" si="113"/>
        <v/>
      </c>
      <c r="AB363" s="40" t="str">
        <f>IF(OR(L363="",V363=0),"",IF(AND(N(I363)&gt;0,N(INDEX('07-تموز'!$I$2:$I$500,V363))&gt;0,INDEX('07-تموز'!$F$2:$F$500,V363)=F363),N(I363)/N(INDEX('07-تموز'!$I$2:$I$500,V363))-1,""))</f>
        <v/>
      </c>
      <c r="AC363" t="str">
        <f>IF(L363="","",IF(AND($AO$2=1,ISNA(MATCH(L363,'09-أيلول'!$L$2:$L$500,0))),"محذوف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IF(L364="","",IF($AO$1=1,IFERROR(MATCH(L364,'07-تموز'!$L$2:$L$500,0),0),0))</f>
        <v/>
      </c>
      <c r="W364" t="str">
        <f t="shared" si="111"/>
        <v/>
      </c>
      <c r="X364" s="38" t="str">
        <f>IF(L364="","",IF(V364&gt;0,INDEX('07-تموز'!$P$2:$P$500,V364),IF($AO$1=1,0,"")))</f>
        <v/>
      </c>
      <c r="Y364" s="38" t="str">
        <f t="shared" si="112"/>
        <v/>
      </c>
      <c r="Z364" s="39" t="str">
        <f>IF(L364="","",IF(V364&gt;0,INDEX('07-تموز'!$Q$2:$Q$500,V364),IF($AO$1=1,0,"")))</f>
        <v/>
      </c>
      <c r="AA364" s="39" t="str">
        <f t="shared" si="113"/>
        <v/>
      </c>
      <c r="AB364" s="40" t="str">
        <f>IF(OR(L364="",V364=0),"",IF(AND(N(I364)&gt;0,N(INDEX('07-تموز'!$I$2:$I$500,V364))&gt;0,INDEX('07-تموز'!$F$2:$F$500,V364)=F364),N(I364)/N(INDEX('07-تموز'!$I$2:$I$500,V364))-1,""))</f>
        <v/>
      </c>
      <c r="AC364" t="str">
        <f>IF(L364="","",IF(AND($AO$2=1,ISNA(MATCH(L364,'09-أيلول'!$L$2:$L$500,0))),"محذوف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IF(L365="","",IF($AO$1=1,IFERROR(MATCH(L365,'07-تموز'!$L$2:$L$500,0),0),0))</f>
        <v/>
      </c>
      <c r="W365" t="str">
        <f t="shared" si="111"/>
        <v/>
      </c>
      <c r="X365" s="38" t="str">
        <f>IF(L365="","",IF(V365&gt;0,INDEX('07-تموز'!$P$2:$P$500,V365),IF($AO$1=1,0,"")))</f>
        <v/>
      </c>
      <c r="Y365" s="38" t="str">
        <f t="shared" si="112"/>
        <v/>
      </c>
      <c r="Z365" s="39" t="str">
        <f>IF(L365="","",IF(V365&gt;0,INDEX('07-تموز'!$Q$2:$Q$500,V365),IF($AO$1=1,0,"")))</f>
        <v/>
      </c>
      <c r="AA365" s="39" t="str">
        <f t="shared" si="113"/>
        <v/>
      </c>
      <c r="AB365" s="40" t="str">
        <f>IF(OR(L365="",V365=0),"",IF(AND(N(I365)&gt;0,N(INDEX('07-تموز'!$I$2:$I$500,V365))&gt;0,INDEX('07-تموز'!$F$2:$F$500,V365)=F365),N(I365)/N(INDEX('07-تموز'!$I$2:$I$500,V365))-1,""))</f>
        <v/>
      </c>
      <c r="AC365" t="str">
        <f>IF(L365="","",IF(AND($AO$2=1,ISNA(MATCH(L365,'09-أيلول'!$L$2:$L$500,0))),"محذوف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IF(L366="","",IF($AO$1=1,IFERROR(MATCH(L366,'07-تموز'!$L$2:$L$500,0),0),0))</f>
        <v/>
      </c>
      <c r="W366" t="str">
        <f t="shared" si="111"/>
        <v/>
      </c>
      <c r="X366" s="38" t="str">
        <f>IF(L366="","",IF(V366&gt;0,INDEX('07-تموز'!$P$2:$P$500,V366),IF($AO$1=1,0,"")))</f>
        <v/>
      </c>
      <c r="Y366" s="38" t="str">
        <f t="shared" si="112"/>
        <v/>
      </c>
      <c r="Z366" s="39" t="str">
        <f>IF(L366="","",IF(V366&gt;0,INDEX('07-تموز'!$Q$2:$Q$500,V366),IF($AO$1=1,0,"")))</f>
        <v/>
      </c>
      <c r="AA366" s="39" t="str">
        <f t="shared" si="113"/>
        <v/>
      </c>
      <c r="AB366" s="40" t="str">
        <f>IF(OR(L366="",V366=0),"",IF(AND(N(I366)&gt;0,N(INDEX('07-تموز'!$I$2:$I$500,V366))&gt;0,INDEX('07-تموز'!$F$2:$F$500,V366)=F366),N(I366)/N(INDEX('07-تموز'!$I$2:$I$500,V366))-1,""))</f>
        <v/>
      </c>
      <c r="AC366" t="str">
        <f>IF(L366="","",IF(AND($AO$2=1,ISNA(MATCH(L366,'09-أيلول'!$L$2:$L$500,0))),"محذوف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IF(L367="","",IF($AO$1=1,IFERROR(MATCH(L367,'07-تموز'!$L$2:$L$500,0),0),0))</f>
        <v/>
      </c>
      <c r="W367" t="str">
        <f t="shared" si="111"/>
        <v/>
      </c>
      <c r="X367" s="38" t="str">
        <f>IF(L367="","",IF(V367&gt;0,INDEX('07-تموز'!$P$2:$P$500,V367),IF($AO$1=1,0,"")))</f>
        <v/>
      </c>
      <c r="Y367" s="38" t="str">
        <f t="shared" si="112"/>
        <v/>
      </c>
      <c r="Z367" s="39" t="str">
        <f>IF(L367="","",IF(V367&gt;0,INDEX('07-تموز'!$Q$2:$Q$500,V367),IF($AO$1=1,0,"")))</f>
        <v/>
      </c>
      <c r="AA367" s="39" t="str">
        <f t="shared" si="113"/>
        <v/>
      </c>
      <c r="AB367" s="40" t="str">
        <f>IF(OR(L367="",V367=0),"",IF(AND(N(I367)&gt;0,N(INDEX('07-تموز'!$I$2:$I$500,V367))&gt;0,INDEX('07-تموز'!$F$2:$F$500,V367)=F367),N(I367)/N(INDEX('07-تموز'!$I$2:$I$500,V367))-1,""))</f>
        <v/>
      </c>
      <c r="AC367" t="str">
        <f>IF(L367="","",IF(AND($AO$2=1,ISNA(MATCH(L367,'09-أيلول'!$L$2:$L$500,0))),"محذوف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IF(L368="","",IF($AO$1=1,IFERROR(MATCH(L368,'07-تموز'!$L$2:$L$500,0),0),0))</f>
        <v/>
      </c>
      <c r="W368" t="str">
        <f t="shared" si="111"/>
        <v/>
      </c>
      <c r="X368" s="38" t="str">
        <f>IF(L368="","",IF(V368&gt;0,INDEX('07-تموز'!$P$2:$P$500,V368),IF($AO$1=1,0,"")))</f>
        <v/>
      </c>
      <c r="Y368" s="38" t="str">
        <f t="shared" si="112"/>
        <v/>
      </c>
      <c r="Z368" s="39" t="str">
        <f>IF(L368="","",IF(V368&gt;0,INDEX('07-تموز'!$Q$2:$Q$500,V368),IF($AO$1=1,0,"")))</f>
        <v/>
      </c>
      <c r="AA368" s="39" t="str">
        <f t="shared" si="113"/>
        <v/>
      </c>
      <c r="AB368" s="40" t="str">
        <f>IF(OR(L368="",V368=0),"",IF(AND(N(I368)&gt;0,N(INDEX('07-تموز'!$I$2:$I$500,V368))&gt;0,INDEX('07-تموز'!$F$2:$F$500,V368)=F368),N(I368)/N(INDEX('07-تموز'!$I$2:$I$500,V368))-1,""))</f>
        <v/>
      </c>
      <c r="AC368" t="str">
        <f>IF(L368="","",IF(AND($AO$2=1,ISNA(MATCH(L368,'09-أيلول'!$L$2:$L$500,0))),"محذوف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IF(L369="","",IF($AO$1=1,IFERROR(MATCH(L369,'07-تموز'!$L$2:$L$500,0),0),0))</f>
        <v/>
      </c>
      <c r="W369" t="str">
        <f t="shared" si="111"/>
        <v/>
      </c>
      <c r="X369" s="38" t="str">
        <f>IF(L369="","",IF(V369&gt;0,INDEX('07-تموز'!$P$2:$P$500,V369),IF($AO$1=1,0,"")))</f>
        <v/>
      </c>
      <c r="Y369" s="38" t="str">
        <f t="shared" si="112"/>
        <v/>
      </c>
      <c r="Z369" s="39" t="str">
        <f>IF(L369="","",IF(V369&gt;0,INDEX('07-تموز'!$Q$2:$Q$500,V369),IF($AO$1=1,0,"")))</f>
        <v/>
      </c>
      <c r="AA369" s="39" t="str">
        <f t="shared" si="113"/>
        <v/>
      </c>
      <c r="AB369" s="40" t="str">
        <f>IF(OR(L369="",V369=0),"",IF(AND(N(I369)&gt;0,N(INDEX('07-تموز'!$I$2:$I$500,V369))&gt;0,INDEX('07-تموز'!$F$2:$F$500,V369)=F369),N(I369)/N(INDEX('07-تموز'!$I$2:$I$500,V369))-1,""))</f>
        <v/>
      </c>
      <c r="AC369" t="str">
        <f>IF(L369="","",IF(AND($AO$2=1,ISNA(MATCH(L369,'09-أيلول'!$L$2:$L$500,0))),"محذوف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IF(L370="","",IF($AO$1=1,IFERROR(MATCH(L370,'07-تموز'!$L$2:$L$500,0),0),0))</f>
        <v/>
      </c>
      <c r="W370" t="str">
        <f t="shared" si="111"/>
        <v/>
      </c>
      <c r="X370" s="38" t="str">
        <f>IF(L370="","",IF(V370&gt;0,INDEX('07-تموز'!$P$2:$P$500,V370),IF($AO$1=1,0,"")))</f>
        <v/>
      </c>
      <c r="Y370" s="38" t="str">
        <f t="shared" si="112"/>
        <v/>
      </c>
      <c r="Z370" s="39" t="str">
        <f>IF(L370="","",IF(V370&gt;0,INDEX('07-تموز'!$Q$2:$Q$500,V370),IF($AO$1=1,0,"")))</f>
        <v/>
      </c>
      <c r="AA370" s="39" t="str">
        <f t="shared" si="113"/>
        <v/>
      </c>
      <c r="AB370" s="40" t="str">
        <f>IF(OR(L370="",V370=0),"",IF(AND(N(I370)&gt;0,N(INDEX('07-تموز'!$I$2:$I$500,V370))&gt;0,INDEX('07-تموز'!$F$2:$F$500,V370)=F370),N(I370)/N(INDEX('07-تموز'!$I$2:$I$500,V370))-1,""))</f>
        <v/>
      </c>
      <c r="AC370" t="str">
        <f>IF(L370="","",IF(AND($AO$2=1,ISNA(MATCH(L370,'09-أيلول'!$L$2:$L$500,0))),"محذوف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IF(L371="","",IF($AO$1=1,IFERROR(MATCH(L371,'07-تموز'!$L$2:$L$500,0),0),0))</f>
        <v/>
      </c>
      <c r="W371" t="str">
        <f t="shared" si="111"/>
        <v/>
      </c>
      <c r="X371" s="38" t="str">
        <f>IF(L371="","",IF(V371&gt;0,INDEX('07-تموز'!$P$2:$P$500,V371),IF($AO$1=1,0,"")))</f>
        <v/>
      </c>
      <c r="Y371" s="38" t="str">
        <f t="shared" si="112"/>
        <v/>
      </c>
      <c r="Z371" s="39" t="str">
        <f>IF(L371="","",IF(V371&gt;0,INDEX('07-تموز'!$Q$2:$Q$500,V371),IF($AO$1=1,0,"")))</f>
        <v/>
      </c>
      <c r="AA371" s="39" t="str">
        <f t="shared" si="113"/>
        <v/>
      </c>
      <c r="AB371" s="40" t="str">
        <f>IF(OR(L371="",V371=0),"",IF(AND(N(I371)&gt;0,N(INDEX('07-تموز'!$I$2:$I$500,V371))&gt;0,INDEX('07-تموز'!$F$2:$F$500,V371)=F371),N(I371)/N(INDEX('07-تموز'!$I$2:$I$500,V371))-1,""))</f>
        <v/>
      </c>
      <c r="AC371" t="str">
        <f>IF(L371="","",IF(AND($AO$2=1,ISNA(MATCH(L371,'09-أيلول'!$L$2:$L$500,0))),"محذوف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IF(L372="","",IF($AO$1=1,IFERROR(MATCH(L372,'07-تموز'!$L$2:$L$500,0),0),0))</f>
        <v/>
      </c>
      <c r="W372" t="str">
        <f t="shared" si="111"/>
        <v/>
      </c>
      <c r="X372" s="38" t="str">
        <f>IF(L372="","",IF(V372&gt;0,INDEX('07-تموز'!$P$2:$P$500,V372),IF($AO$1=1,0,"")))</f>
        <v/>
      </c>
      <c r="Y372" s="38" t="str">
        <f t="shared" si="112"/>
        <v/>
      </c>
      <c r="Z372" s="39" t="str">
        <f>IF(L372="","",IF(V372&gt;0,INDEX('07-تموز'!$Q$2:$Q$500,V372),IF($AO$1=1,0,"")))</f>
        <v/>
      </c>
      <c r="AA372" s="39" t="str">
        <f t="shared" si="113"/>
        <v/>
      </c>
      <c r="AB372" s="40" t="str">
        <f>IF(OR(L372="",V372=0),"",IF(AND(N(I372)&gt;0,N(INDEX('07-تموز'!$I$2:$I$500,V372))&gt;0,INDEX('07-تموز'!$F$2:$F$500,V372)=F372),N(I372)/N(INDEX('07-تموز'!$I$2:$I$500,V372))-1,""))</f>
        <v/>
      </c>
      <c r="AC372" t="str">
        <f>IF(L372="","",IF(AND($AO$2=1,ISNA(MATCH(L372,'09-أيلول'!$L$2:$L$500,0))),"محذوف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IF(L373="","",IF($AO$1=1,IFERROR(MATCH(L373,'07-تموز'!$L$2:$L$500,0),0),0))</f>
        <v/>
      </c>
      <c r="W373" t="str">
        <f t="shared" si="111"/>
        <v/>
      </c>
      <c r="X373" s="38" t="str">
        <f>IF(L373="","",IF(V373&gt;0,INDEX('07-تموز'!$P$2:$P$500,V373),IF($AO$1=1,0,"")))</f>
        <v/>
      </c>
      <c r="Y373" s="38" t="str">
        <f t="shared" si="112"/>
        <v/>
      </c>
      <c r="Z373" s="39" t="str">
        <f>IF(L373="","",IF(V373&gt;0,INDEX('07-تموز'!$Q$2:$Q$500,V373),IF($AO$1=1,0,"")))</f>
        <v/>
      </c>
      <c r="AA373" s="39" t="str">
        <f t="shared" si="113"/>
        <v/>
      </c>
      <c r="AB373" s="40" t="str">
        <f>IF(OR(L373="",V373=0),"",IF(AND(N(I373)&gt;0,N(INDEX('07-تموز'!$I$2:$I$500,V373))&gt;0,INDEX('07-تموز'!$F$2:$F$500,V373)=F373),N(I373)/N(INDEX('07-تموز'!$I$2:$I$500,V373))-1,""))</f>
        <v/>
      </c>
      <c r="AC373" t="str">
        <f>IF(L373="","",IF(AND($AO$2=1,ISNA(MATCH(L373,'09-أيلول'!$L$2:$L$500,0))),"محذوف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IF(L374="","",IF($AO$1=1,IFERROR(MATCH(L374,'07-تموز'!$L$2:$L$500,0),0),0))</f>
        <v/>
      </c>
      <c r="W374" t="str">
        <f t="shared" si="111"/>
        <v/>
      </c>
      <c r="X374" s="38" t="str">
        <f>IF(L374="","",IF(V374&gt;0,INDEX('07-تموز'!$P$2:$P$500,V374),IF($AO$1=1,0,"")))</f>
        <v/>
      </c>
      <c r="Y374" s="38" t="str">
        <f t="shared" si="112"/>
        <v/>
      </c>
      <c r="Z374" s="39" t="str">
        <f>IF(L374="","",IF(V374&gt;0,INDEX('07-تموز'!$Q$2:$Q$500,V374),IF($AO$1=1,0,"")))</f>
        <v/>
      </c>
      <c r="AA374" s="39" t="str">
        <f t="shared" si="113"/>
        <v/>
      </c>
      <c r="AB374" s="40" t="str">
        <f>IF(OR(L374="",V374=0),"",IF(AND(N(I374)&gt;0,N(INDEX('07-تموز'!$I$2:$I$500,V374))&gt;0,INDEX('07-تموز'!$F$2:$F$500,V374)=F374),N(I374)/N(INDEX('07-تموز'!$I$2:$I$500,V374))-1,""))</f>
        <v/>
      </c>
      <c r="AC374" t="str">
        <f>IF(L374="","",IF(AND($AO$2=1,ISNA(MATCH(L374,'09-أيلول'!$L$2:$L$500,0))),"محذوف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IF(L375="","",IF($AO$1=1,IFERROR(MATCH(L375,'07-تموز'!$L$2:$L$500,0),0),0))</f>
        <v/>
      </c>
      <c r="W375" t="str">
        <f t="shared" si="111"/>
        <v/>
      </c>
      <c r="X375" s="38" t="str">
        <f>IF(L375="","",IF(V375&gt;0,INDEX('07-تموز'!$P$2:$P$500,V375),IF($AO$1=1,0,"")))</f>
        <v/>
      </c>
      <c r="Y375" s="38" t="str">
        <f t="shared" si="112"/>
        <v/>
      </c>
      <c r="Z375" s="39" t="str">
        <f>IF(L375="","",IF(V375&gt;0,INDEX('07-تموز'!$Q$2:$Q$500,V375),IF($AO$1=1,0,"")))</f>
        <v/>
      </c>
      <c r="AA375" s="39" t="str">
        <f t="shared" si="113"/>
        <v/>
      </c>
      <c r="AB375" s="40" t="str">
        <f>IF(OR(L375="",V375=0),"",IF(AND(N(I375)&gt;0,N(INDEX('07-تموز'!$I$2:$I$500,V375))&gt;0,INDEX('07-تموز'!$F$2:$F$500,V375)=F375),N(I375)/N(INDEX('07-تموز'!$I$2:$I$500,V375))-1,""))</f>
        <v/>
      </c>
      <c r="AC375" t="str">
        <f>IF(L375="","",IF(AND($AO$2=1,ISNA(MATCH(L375,'09-أيلول'!$L$2:$L$500,0))),"محذوف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IF(L376="","",IF($AO$1=1,IFERROR(MATCH(L376,'07-تموز'!$L$2:$L$500,0),0),0))</f>
        <v/>
      </c>
      <c r="W376" t="str">
        <f t="shared" si="111"/>
        <v/>
      </c>
      <c r="X376" s="38" t="str">
        <f>IF(L376="","",IF(V376&gt;0,INDEX('07-تموز'!$P$2:$P$500,V376),IF($AO$1=1,0,"")))</f>
        <v/>
      </c>
      <c r="Y376" s="38" t="str">
        <f t="shared" si="112"/>
        <v/>
      </c>
      <c r="Z376" s="39" t="str">
        <f>IF(L376="","",IF(V376&gt;0,INDEX('07-تموز'!$Q$2:$Q$500,V376),IF($AO$1=1,0,"")))</f>
        <v/>
      </c>
      <c r="AA376" s="39" t="str">
        <f t="shared" si="113"/>
        <v/>
      </c>
      <c r="AB376" s="40" t="str">
        <f>IF(OR(L376="",V376=0),"",IF(AND(N(I376)&gt;0,N(INDEX('07-تموز'!$I$2:$I$500,V376))&gt;0,INDEX('07-تموز'!$F$2:$F$500,V376)=F376),N(I376)/N(INDEX('07-تموز'!$I$2:$I$500,V376))-1,""))</f>
        <v/>
      </c>
      <c r="AC376" t="str">
        <f>IF(L376="","",IF(AND($AO$2=1,ISNA(MATCH(L376,'09-أيلول'!$L$2:$L$500,0))),"محذوف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IF(L377="","",IF($AO$1=1,IFERROR(MATCH(L377,'07-تموز'!$L$2:$L$500,0),0),0))</f>
        <v/>
      </c>
      <c r="W377" t="str">
        <f t="shared" si="111"/>
        <v/>
      </c>
      <c r="X377" s="38" t="str">
        <f>IF(L377="","",IF(V377&gt;0,INDEX('07-تموز'!$P$2:$P$500,V377),IF($AO$1=1,0,"")))</f>
        <v/>
      </c>
      <c r="Y377" s="38" t="str">
        <f t="shared" si="112"/>
        <v/>
      </c>
      <c r="Z377" s="39" t="str">
        <f>IF(L377="","",IF(V377&gt;0,INDEX('07-تموز'!$Q$2:$Q$500,V377),IF($AO$1=1,0,"")))</f>
        <v/>
      </c>
      <c r="AA377" s="39" t="str">
        <f t="shared" si="113"/>
        <v/>
      </c>
      <c r="AB377" s="40" t="str">
        <f>IF(OR(L377="",V377=0),"",IF(AND(N(I377)&gt;0,N(INDEX('07-تموز'!$I$2:$I$500,V377))&gt;0,INDEX('07-تموز'!$F$2:$F$500,V377)=F377),N(I377)/N(INDEX('07-تموز'!$I$2:$I$500,V377))-1,""))</f>
        <v/>
      </c>
      <c r="AC377" t="str">
        <f>IF(L377="","",IF(AND($AO$2=1,ISNA(MATCH(L377,'09-أيلول'!$L$2:$L$500,0))),"محذوف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IF(L378="","",IF($AO$1=1,IFERROR(MATCH(L378,'07-تموز'!$L$2:$L$500,0),0),0))</f>
        <v/>
      </c>
      <c r="W378" t="str">
        <f t="shared" si="111"/>
        <v/>
      </c>
      <c r="X378" s="38" t="str">
        <f>IF(L378="","",IF(V378&gt;0,INDEX('07-تموز'!$P$2:$P$500,V378),IF($AO$1=1,0,"")))</f>
        <v/>
      </c>
      <c r="Y378" s="38" t="str">
        <f t="shared" si="112"/>
        <v/>
      </c>
      <c r="Z378" s="39" t="str">
        <f>IF(L378="","",IF(V378&gt;0,INDEX('07-تموز'!$Q$2:$Q$500,V378),IF($AO$1=1,0,"")))</f>
        <v/>
      </c>
      <c r="AA378" s="39" t="str">
        <f t="shared" si="113"/>
        <v/>
      </c>
      <c r="AB378" s="40" t="str">
        <f>IF(OR(L378="",V378=0),"",IF(AND(N(I378)&gt;0,N(INDEX('07-تموز'!$I$2:$I$500,V378))&gt;0,INDEX('07-تموز'!$F$2:$F$500,V378)=F378),N(I378)/N(INDEX('07-تموز'!$I$2:$I$500,V378))-1,""))</f>
        <v/>
      </c>
      <c r="AC378" t="str">
        <f>IF(L378="","",IF(AND($AO$2=1,ISNA(MATCH(L378,'09-أيلول'!$L$2:$L$500,0))),"محذوف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IF(L379="","",IF($AO$1=1,IFERROR(MATCH(L379,'07-تموز'!$L$2:$L$500,0),0),0))</f>
        <v/>
      </c>
      <c r="W379" t="str">
        <f t="shared" si="111"/>
        <v/>
      </c>
      <c r="X379" s="38" t="str">
        <f>IF(L379="","",IF(V379&gt;0,INDEX('07-تموز'!$P$2:$P$500,V379),IF($AO$1=1,0,"")))</f>
        <v/>
      </c>
      <c r="Y379" s="38" t="str">
        <f t="shared" si="112"/>
        <v/>
      </c>
      <c r="Z379" s="39" t="str">
        <f>IF(L379="","",IF(V379&gt;0,INDEX('07-تموز'!$Q$2:$Q$500,V379),IF($AO$1=1,0,"")))</f>
        <v/>
      </c>
      <c r="AA379" s="39" t="str">
        <f t="shared" si="113"/>
        <v/>
      </c>
      <c r="AB379" s="40" t="str">
        <f>IF(OR(L379="",V379=0),"",IF(AND(N(I379)&gt;0,N(INDEX('07-تموز'!$I$2:$I$500,V379))&gt;0,INDEX('07-تموز'!$F$2:$F$500,V379)=F379),N(I379)/N(INDEX('07-تموز'!$I$2:$I$500,V379))-1,""))</f>
        <v/>
      </c>
      <c r="AC379" t="str">
        <f>IF(L379="","",IF(AND($AO$2=1,ISNA(MATCH(L379,'09-أيلول'!$L$2:$L$500,0))),"محذوف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IF(L380="","",IF($AO$1=1,IFERROR(MATCH(L380,'07-تموز'!$L$2:$L$500,0),0),0))</f>
        <v/>
      </c>
      <c r="W380" t="str">
        <f t="shared" si="111"/>
        <v/>
      </c>
      <c r="X380" s="38" t="str">
        <f>IF(L380="","",IF(V380&gt;0,INDEX('07-تموز'!$P$2:$P$500,V380),IF($AO$1=1,0,"")))</f>
        <v/>
      </c>
      <c r="Y380" s="38" t="str">
        <f t="shared" si="112"/>
        <v/>
      </c>
      <c r="Z380" s="39" t="str">
        <f>IF(L380="","",IF(V380&gt;0,INDEX('07-تموز'!$Q$2:$Q$500,V380),IF($AO$1=1,0,"")))</f>
        <v/>
      </c>
      <c r="AA380" s="39" t="str">
        <f t="shared" si="113"/>
        <v/>
      </c>
      <c r="AB380" s="40" t="str">
        <f>IF(OR(L380="",V380=0),"",IF(AND(N(I380)&gt;0,N(INDEX('07-تموز'!$I$2:$I$500,V380))&gt;0,INDEX('07-تموز'!$F$2:$F$500,V380)=F380),N(I380)/N(INDEX('07-تموز'!$I$2:$I$500,V380))-1,""))</f>
        <v/>
      </c>
      <c r="AC380" t="str">
        <f>IF(L380="","",IF(AND($AO$2=1,ISNA(MATCH(L380,'09-أيلول'!$L$2:$L$500,0))),"محذوف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IF(L381="","",IF($AO$1=1,IFERROR(MATCH(L381,'07-تموز'!$L$2:$L$500,0),0),0))</f>
        <v/>
      </c>
      <c r="W381" t="str">
        <f t="shared" si="111"/>
        <v/>
      </c>
      <c r="X381" s="38" t="str">
        <f>IF(L381="","",IF(V381&gt;0,INDEX('07-تموز'!$P$2:$P$500,V381),IF($AO$1=1,0,"")))</f>
        <v/>
      </c>
      <c r="Y381" s="38" t="str">
        <f t="shared" si="112"/>
        <v/>
      </c>
      <c r="Z381" s="39" t="str">
        <f>IF(L381="","",IF(V381&gt;0,INDEX('07-تموز'!$Q$2:$Q$500,V381),IF($AO$1=1,0,"")))</f>
        <v/>
      </c>
      <c r="AA381" s="39" t="str">
        <f t="shared" si="113"/>
        <v/>
      </c>
      <c r="AB381" s="40" t="str">
        <f>IF(OR(L381="",V381=0),"",IF(AND(N(I381)&gt;0,N(INDEX('07-تموز'!$I$2:$I$500,V381))&gt;0,INDEX('07-تموز'!$F$2:$F$500,V381)=F381),N(I381)/N(INDEX('07-تموز'!$I$2:$I$500,V381))-1,""))</f>
        <v/>
      </c>
      <c r="AC381" t="str">
        <f>IF(L381="","",IF(AND($AO$2=1,ISNA(MATCH(L381,'09-أيلول'!$L$2:$L$500,0))),"محذوف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IF(L382="","",IF($AO$1=1,IFERROR(MATCH(L382,'07-تموز'!$L$2:$L$500,0),0),0))</f>
        <v/>
      </c>
      <c r="W382" t="str">
        <f t="shared" si="111"/>
        <v/>
      </c>
      <c r="X382" s="38" t="str">
        <f>IF(L382="","",IF(V382&gt;0,INDEX('07-تموز'!$P$2:$P$500,V382),IF($AO$1=1,0,"")))</f>
        <v/>
      </c>
      <c r="Y382" s="38" t="str">
        <f t="shared" si="112"/>
        <v/>
      </c>
      <c r="Z382" s="39" t="str">
        <f>IF(L382="","",IF(V382&gt;0,INDEX('07-تموز'!$Q$2:$Q$500,V382),IF($AO$1=1,0,"")))</f>
        <v/>
      </c>
      <c r="AA382" s="39" t="str">
        <f t="shared" si="113"/>
        <v/>
      </c>
      <c r="AB382" s="40" t="str">
        <f>IF(OR(L382="",V382=0),"",IF(AND(N(I382)&gt;0,N(INDEX('07-تموز'!$I$2:$I$500,V382))&gt;0,INDEX('07-تموز'!$F$2:$F$500,V382)=F382),N(I382)/N(INDEX('07-تموز'!$I$2:$I$500,V382))-1,""))</f>
        <v/>
      </c>
      <c r="AC382" t="str">
        <f>IF(L382="","",IF(AND($AO$2=1,ISNA(MATCH(L382,'09-أيلول'!$L$2:$L$500,0))),"محذوف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IF(L383="","",IF($AO$1=1,IFERROR(MATCH(L383,'07-تموز'!$L$2:$L$500,0),0),0))</f>
        <v/>
      </c>
      <c r="W383" t="str">
        <f t="shared" si="111"/>
        <v/>
      </c>
      <c r="X383" s="38" t="str">
        <f>IF(L383="","",IF(V383&gt;0,INDEX('07-تموز'!$P$2:$P$500,V383),IF($AO$1=1,0,"")))</f>
        <v/>
      </c>
      <c r="Y383" s="38" t="str">
        <f t="shared" si="112"/>
        <v/>
      </c>
      <c r="Z383" s="39" t="str">
        <f>IF(L383="","",IF(V383&gt;0,INDEX('07-تموز'!$Q$2:$Q$500,V383),IF($AO$1=1,0,"")))</f>
        <v/>
      </c>
      <c r="AA383" s="39" t="str">
        <f t="shared" si="113"/>
        <v/>
      </c>
      <c r="AB383" s="40" t="str">
        <f>IF(OR(L383="",V383=0),"",IF(AND(N(I383)&gt;0,N(INDEX('07-تموز'!$I$2:$I$500,V383))&gt;0,INDEX('07-تموز'!$F$2:$F$500,V383)=F383),N(I383)/N(INDEX('07-تموز'!$I$2:$I$500,V383))-1,""))</f>
        <v/>
      </c>
      <c r="AC383" t="str">
        <f>IF(L383="","",IF(AND($AO$2=1,ISNA(MATCH(L383,'09-أيلول'!$L$2:$L$500,0))),"محذوف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IF(L384="","",IF($AO$1=1,IFERROR(MATCH(L384,'07-تموز'!$L$2:$L$500,0),0),0))</f>
        <v/>
      </c>
      <c r="W384" t="str">
        <f t="shared" si="111"/>
        <v/>
      </c>
      <c r="X384" s="38" t="str">
        <f>IF(L384="","",IF(V384&gt;0,INDEX('07-تموز'!$P$2:$P$500,V384),IF($AO$1=1,0,"")))</f>
        <v/>
      </c>
      <c r="Y384" s="38" t="str">
        <f t="shared" si="112"/>
        <v/>
      </c>
      <c r="Z384" s="39" t="str">
        <f>IF(L384="","",IF(V384&gt;0,INDEX('07-تموز'!$Q$2:$Q$500,V384),IF($AO$1=1,0,"")))</f>
        <v/>
      </c>
      <c r="AA384" s="39" t="str">
        <f t="shared" si="113"/>
        <v/>
      </c>
      <c r="AB384" s="40" t="str">
        <f>IF(OR(L384="",V384=0),"",IF(AND(N(I384)&gt;0,N(INDEX('07-تموز'!$I$2:$I$500,V384))&gt;0,INDEX('07-تموز'!$F$2:$F$500,V384)=F384),N(I384)/N(INDEX('07-تموز'!$I$2:$I$500,V384))-1,""))</f>
        <v/>
      </c>
      <c r="AC384" t="str">
        <f>IF(L384="","",IF(AND($AO$2=1,ISNA(MATCH(L384,'09-أيلول'!$L$2:$L$500,0))),"محذوف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IF(L385="","",IF($AO$1=1,IFERROR(MATCH(L385,'07-تموز'!$L$2:$L$500,0),0),0))</f>
        <v/>
      </c>
      <c r="W385" t="str">
        <f t="shared" si="111"/>
        <v/>
      </c>
      <c r="X385" s="38" t="str">
        <f>IF(L385="","",IF(V385&gt;0,INDEX('07-تموز'!$P$2:$P$500,V385),IF($AO$1=1,0,"")))</f>
        <v/>
      </c>
      <c r="Y385" s="38" t="str">
        <f t="shared" si="112"/>
        <v/>
      </c>
      <c r="Z385" s="39" t="str">
        <f>IF(L385="","",IF(V385&gt;0,INDEX('07-تموز'!$Q$2:$Q$500,V385),IF($AO$1=1,0,"")))</f>
        <v/>
      </c>
      <c r="AA385" s="39" t="str">
        <f t="shared" si="113"/>
        <v/>
      </c>
      <c r="AB385" s="40" t="str">
        <f>IF(OR(L385="",V385=0),"",IF(AND(N(I385)&gt;0,N(INDEX('07-تموز'!$I$2:$I$500,V385))&gt;0,INDEX('07-تموز'!$F$2:$F$500,V385)=F385),N(I385)/N(INDEX('07-تموز'!$I$2:$I$500,V385))-1,""))</f>
        <v/>
      </c>
      <c r="AC385" t="str">
        <f>IF(L385="","",IF(AND($AO$2=1,ISNA(MATCH(L385,'09-أيلول'!$L$2:$L$500,0))),"محذوف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IF(L386="","",IF($AO$1=1,IFERROR(MATCH(L386,'07-تموز'!$L$2:$L$500,0),0),0))</f>
        <v/>
      </c>
      <c r="W386" t="str">
        <f t="shared" ref="W386:W449" si="131">IF(L386="","",IF(AND($AO$1=1,V386=0),"جديد",""))</f>
        <v/>
      </c>
      <c r="X386" s="38" t="str">
        <f>IF(L386="","",IF(V386&gt;0,INDEX('07-تموز'!$P$2:$P$500,V386),IF($AO$1=1,0,"")))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IF(L386="","",IF(V386&gt;0,INDEX('07-تموز'!$Q$2:$Q$500,V386),IF($AO$1=1,0,"")))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IF(OR(L386="",V386=0),"",IF(AND(N(I386)&gt;0,N(INDEX('07-تموز'!$I$2:$I$500,V386))&gt;0,INDEX('07-تموز'!$F$2:$F$500,V386)=F386),N(I386)/N(INDEX('07-تموز'!$I$2:$I$500,V386))-1,""))</f>
        <v/>
      </c>
      <c r="AC386" t="str">
        <f>IF(L386="","",IF(AND($AO$2=1,ISNA(MATCH(L386,'09-أيلول'!$L$2:$L$500,0))),"محذوف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IF(L387="","",IF($AO$1=1,IFERROR(MATCH(L387,'07-تموز'!$L$2:$L$500,0),0),0))</f>
        <v/>
      </c>
      <c r="W387" t="str">
        <f t="shared" si="131"/>
        <v/>
      </c>
      <c r="X387" s="38" t="str">
        <f>IF(L387="","",IF(V387&gt;0,INDEX('07-تموز'!$P$2:$P$500,V387),IF($AO$1=1,0,"")))</f>
        <v/>
      </c>
      <c r="Y387" s="38" t="str">
        <f t="shared" si="132"/>
        <v/>
      </c>
      <c r="Z387" s="39" t="str">
        <f>IF(L387="","",IF(V387&gt;0,INDEX('07-تموز'!$Q$2:$Q$500,V387),IF($AO$1=1,0,"")))</f>
        <v/>
      </c>
      <c r="AA387" s="39" t="str">
        <f t="shared" si="133"/>
        <v/>
      </c>
      <c r="AB387" s="40" t="str">
        <f>IF(OR(L387="",V387=0),"",IF(AND(N(I387)&gt;0,N(INDEX('07-تموز'!$I$2:$I$500,V387))&gt;0,INDEX('07-تموز'!$F$2:$F$500,V387)=F387),N(I387)/N(INDEX('07-تموز'!$I$2:$I$500,V387))-1,""))</f>
        <v/>
      </c>
      <c r="AC387" t="str">
        <f>IF(L387="","",IF(AND($AO$2=1,ISNA(MATCH(L387,'09-أيلول'!$L$2:$L$500,0))),"محذوف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IF(L388="","",IF($AO$1=1,IFERROR(MATCH(L388,'07-تموز'!$L$2:$L$500,0),0),0))</f>
        <v/>
      </c>
      <c r="W388" t="str">
        <f t="shared" si="131"/>
        <v/>
      </c>
      <c r="X388" s="38" t="str">
        <f>IF(L388="","",IF(V388&gt;0,INDEX('07-تموز'!$P$2:$P$500,V388),IF($AO$1=1,0,"")))</f>
        <v/>
      </c>
      <c r="Y388" s="38" t="str">
        <f t="shared" si="132"/>
        <v/>
      </c>
      <c r="Z388" s="39" t="str">
        <f>IF(L388="","",IF(V388&gt;0,INDEX('07-تموز'!$Q$2:$Q$500,V388),IF($AO$1=1,0,"")))</f>
        <v/>
      </c>
      <c r="AA388" s="39" t="str">
        <f t="shared" si="133"/>
        <v/>
      </c>
      <c r="AB388" s="40" t="str">
        <f>IF(OR(L388="",V388=0),"",IF(AND(N(I388)&gt;0,N(INDEX('07-تموز'!$I$2:$I$500,V388))&gt;0,INDEX('07-تموز'!$F$2:$F$500,V388)=F388),N(I388)/N(INDEX('07-تموز'!$I$2:$I$500,V388))-1,""))</f>
        <v/>
      </c>
      <c r="AC388" t="str">
        <f>IF(L388="","",IF(AND($AO$2=1,ISNA(MATCH(L388,'09-أيلول'!$L$2:$L$500,0))),"محذوف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IF(L389="","",IF($AO$1=1,IFERROR(MATCH(L389,'07-تموز'!$L$2:$L$500,0),0),0))</f>
        <v/>
      </c>
      <c r="W389" t="str">
        <f t="shared" si="131"/>
        <v/>
      </c>
      <c r="X389" s="38" t="str">
        <f>IF(L389="","",IF(V389&gt;0,INDEX('07-تموز'!$P$2:$P$500,V389),IF($AO$1=1,0,"")))</f>
        <v/>
      </c>
      <c r="Y389" s="38" t="str">
        <f t="shared" si="132"/>
        <v/>
      </c>
      <c r="Z389" s="39" t="str">
        <f>IF(L389="","",IF(V389&gt;0,INDEX('07-تموز'!$Q$2:$Q$500,V389),IF($AO$1=1,0,"")))</f>
        <v/>
      </c>
      <c r="AA389" s="39" t="str">
        <f t="shared" si="133"/>
        <v/>
      </c>
      <c r="AB389" s="40" t="str">
        <f>IF(OR(L389="",V389=0),"",IF(AND(N(I389)&gt;0,N(INDEX('07-تموز'!$I$2:$I$500,V389))&gt;0,INDEX('07-تموز'!$F$2:$F$500,V389)=F389),N(I389)/N(INDEX('07-تموز'!$I$2:$I$500,V389))-1,""))</f>
        <v/>
      </c>
      <c r="AC389" t="str">
        <f>IF(L389="","",IF(AND($AO$2=1,ISNA(MATCH(L389,'09-أيلول'!$L$2:$L$500,0))),"محذوف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IF(L390="","",IF($AO$1=1,IFERROR(MATCH(L390,'07-تموز'!$L$2:$L$500,0),0),0))</f>
        <v/>
      </c>
      <c r="W390" t="str">
        <f t="shared" si="131"/>
        <v/>
      </c>
      <c r="X390" s="38" t="str">
        <f>IF(L390="","",IF(V390&gt;0,INDEX('07-تموز'!$P$2:$P$500,V390),IF($AO$1=1,0,"")))</f>
        <v/>
      </c>
      <c r="Y390" s="38" t="str">
        <f t="shared" si="132"/>
        <v/>
      </c>
      <c r="Z390" s="39" t="str">
        <f>IF(L390="","",IF(V390&gt;0,INDEX('07-تموز'!$Q$2:$Q$500,V390),IF($AO$1=1,0,"")))</f>
        <v/>
      </c>
      <c r="AA390" s="39" t="str">
        <f t="shared" si="133"/>
        <v/>
      </c>
      <c r="AB390" s="40" t="str">
        <f>IF(OR(L390="",V390=0),"",IF(AND(N(I390)&gt;0,N(INDEX('07-تموز'!$I$2:$I$500,V390))&gt;0,INDEX('07-تموز'!$F$2:$F$500,V390)=F390),N(I390)/N(INDEX('07-تموز'!$I$2:$I$500,V390))-1,""))</f>
        <v/>
      </c>
      <c r="AC390" t="str">
        <f>IF(L390="","",IF(AND($AO$2=1,ISNA(MATCH(L390,'09-أيلول'!$L$2:$L$500,0))),"محذوف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IF(L391="","",IF($AO$1=1,IFERROR(MATCH(L391,'07-تموز'!$L$2:$L$500,0),0),0))</f>
        <v/>
      </c>
      <c r="W391" t="str">
        <f t="shared" si="131"/>
        <v/>
      </c>
      <c r="X391" s="38" t="str">
        <f>IF(L391="","",IF(V391&gt;0,INDEX('07-تموز'!$P$2:$P$500,V391),IF($AO$1=1,0,"")))</f>
        <v/>
      </c>
      <c r="Y391" s="38" t="str">
        <f t="shared" si="132"/>
        <v/>
      </c>
      <c r="Z391" s="39" t="str">
        <f>IF(L391="","",IF(V391&gt;0,INDEX('07-تموز'!$Q$2:$Q$500,V391),IF($AO$1=1,0,"")))</f>
        <v/>
      </c>
      <c r="AA391" s="39" t="str">
        <f t="shared" si="133"/>
        <v/>
      </c>
      <c r="AB391" s="40" t="str">
        <f>IF(OR(L391="",V391=0),"",IF(AND(N(I391)&gt;0,N(INDEX('07-تموز'!$I$2:$I$500,V391))&gt;0,INDEX('07-تموز'!$F$2:$F$500,V391)=F391),N(I391)/N(INDEX('07-تموز'!$I$2:$I$500,V391))-1,""))</f>
        <v/>
      </c>
      <c r="AC391" t="str">
        <f>IF(L391="","",IF(AND($AO$2=1,ISNA(MATCH(L391,'09-أيلول'!$L$2:$L$500,0))),"محذوف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IF(L392="","",IF($AO$1=1,IFERROR(MATCH(L392,'07-تموز'!$L$2:$L$500,0),0),0))</f>
        <v/>
      </c>
      <c r="W392" t="str">
        <f t="shared" si="131"/>
        <v/>
      </c>
      <c r="X392" s="38" t="str">
        <f>IF(L392="","",IF(V392&gt;0,INDEX('07-تموز'!$P$2:$P$500,V392),IF($AO$1=1,0,"")))</f>
        <v/>
      </c>
      <c r="Y392" s="38" t="str">
        <f t="shared" si="132"/>
        <v/>
      </c>
      <c r="Z392" s="39" t="str">
        <f>IF(L392="","",IF(V392&gt;0,INDEX('07-تموز'!$Q$2:$Q$500,V392),IF($AO$1=1,0,"")))</f>
        <v/>
      </c>
      <c r="AA392" s="39" t="str">
        <f t="shared" si="133"/>
        <v/>
      </c>
      <c r="AB392" s="40" t="str">
        <f>IF(OR(L392="",V392=0),"",IF(AND(N(I392)&gt;0,N(INDEX('07-تموز'!$I$2:$I$500,V392))&gt;0,INDEX('07-تموز'!$F$2:$F$500,V392)=F392),N(I392)/N(INDEX('07-تموز'!$I$2:$I$500,V392))-1,""))</f>
        <v/>
      </c>
      <c r="AC392" t="str">
        <f>IF(L392="","",IF(AND($AO$2=1,ISNA(MATCH(L392,'09-أيلول'!$L$2:$L$500,0))),"محذوف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IF(L393="","",IF($AO$1=1,IFERROR(MATCH(L393,'07-تموز'!$L$2:$L$500,0),0),0))</f>
        <v/>
      </c>
      <c r="W393" t="str">
        <f t="shared" si="131"/>
        <v/>
      </c>
      <c r="X393" s="38" t="str">
        <f>IF(L393="","",IF(V393&gt;0,INDEX('07-تموز'!$P$2:$P$500,V393),IF($AO$1=1,0,"")))</f>
        <v/>
      </c>
      <c r="Y393" s="38" t="str">
        <f t="shared" si="132"/>
        <v/>
      </c>
      <c r="Z393" s="39" t="str">
        <f>IF(L393="","",IF(V393&gt;0,INDEX('07-تموز'!$Q$2:$Q$500,V393),IF($AO$1=1,0,"")))</f>
        <v/>
      </c>
      <c r="AA393" s="39" t="str">
        <f t="shared" si="133"/>
        <v/>
      </c>
      <c r="AB393" s="40" t="str">
        <f>IF(OR(L393="",V393=0),"",IF(AND(N(I393)&gt;0,N(INDEX('07-تموز'!$I$2:$I$500,V393))&gt;0,INDEX('07-تموز'!$F$2:$F$500,V393)=F393),N(I393)/N(INDEX('07-تموز'!$I$2:$I$500,V393))-1,""))</f>
        <v/>
      </c>
      <c r="AC393" t="str">
        <f>IF(L393="","",IF(AND($AO$2=1,ISNA(MATCH(L393,'09-أيلول'!$L$2:$L$500,0))),"محذوف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IF(L394="","",IF($AO$1=1,IFERROR(MATCH(L394,'07-تموز'!$L$2:$L$500,0),0),0))</f>
        <v/>
      </c>
      <c r="W394" t="str">
        <f t="shared" si="131"/>
        <v/>
      </c>
      <c r="X394" s="38" t="str">
        <f>IF(L394="","",IF(V394&gt;0,INDEX('07-تموز'!$P$2:$P$500,V394),IF($AO$1=1,0,"")))</f>
        <v/>
      </c>
      <c r="Y394" s="38" t="str">
        <f t="shared" si="132"/>
        <v/>
      </c>
      <c r="Z394" s="39" t="str">
        <f>IF(L394="","",IF(V394&gt;0,INDEX('07-تموز'!$Q$2:$Q$500,V394),IF($AO$1=1,0,"")))</f>
        <v/>
      </c>
      <c r="AA394" s="39" t="str">
        <f t="shared" si="133"/>
        <v/>
      </c>
      <c r="AB394" s="40" t="str">
        <f>IF(OR(L394="",V394=0),"",IF(AND(N(I394)&gt;0,N(INDEX('07-تموز'!$I$2:$I$500,V394))&gt;0,INDEX('07-تموز'!$F$2:$F$500,V394)=F394),N(I394)/N(INDEX('07-تموز'!$I$2:$I$500,V394))-1,""))</f>
        <v/>
      </c>
      <c r="AC394" t="str">
        <f>IF(L394="","",IF(AND($AO$2=1,ISNA(MATCH(L394,'09-أيلول'!$L$2:$L$500,0))),"محذوف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IF(L395="","",IF($AO$1=1,IFERROR(MATCH(L395,'07-تموز'!$L$2:$L$500,0),0),0))</f>
        <v/>
      </c>
      <c r="W395" t="str">
        <f t="shared" si="131"/>
        <v/>
      </c>
      <c r="X395" s="38" t="str">
        <f>IF(L395="","",IF(V395&gt;0,INDEX('07-تموز'!$P$2:$P$500,V395),IF($AO$1=1,0,"")))</f>
        <v/>
      </c>
      <c r="Y395" s="38" t="str">
        <f t="shared" si="132"/>
        <v/>
      </c>
      <c r="Z395" s="39" t="str">
        <f>IF(L395="","",IF(V395&gt;0,INDEX('07-تموز'!$Q$2:$Q$500,V395),IF($AO$1=1,0,"")))</f>
        <v/>
      </c>
      <c r="AA395" s="39" t="str">
        <f t="shared" si="133"/>
        <v/>
      </c>
      <c r="AB395" s="40" t="str">
        <f>IF(OR(L395="",V395=0),"",IF(AND(N(I395)&gt;0,N(INDEX('07-تموز'!$I$2:$I$500,V395))&gt;0,INDEX('07-تموز'!$F$2:$F$500,V395)=F395),N(I395)/N(INDEX('07-تموز'!$I$2:$I$500,V395))-1,""))</f>
        <v/>
      </c>
      <c r="AC395" t="str">
        <f>IF(L395="","",IF(AND($AO$2=1,ISNA(MATCH(L395,'09-أيلول'!$L$2:$L$500,0))),"محذوف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IF(L396="","",IF($AO$1=1,IFERROR(MATCH(L396,'07-تموز'!$L$2:$L$500,0),0),0))</f>
        <v/>
      </c>
      <c r="W396" t="str">
        <f t="shared" si="131"/>
        <v/>
      </c>
      <c r="X396" s="38" t="str">
        <f>IF(L396="","",IF(V396&gt;0,INDEX('07-تموز'!$P$2:$P$500,V396),IF($AO$1=1,0,"")))</f>
        <v/>
      </c>
      <c r="Y396" s="38" t="str">
        <f t="shared" si="132"/>
        <v/>
      </c>
      <c r="Z396" s="39" t="str">
        <f>IF(L396="","",IF(V396&gt;0,INDEX('07-تموز'!$Q$2:$Q$500,V396),IF($AO$1=1,0,"")))</f>
        <v/>
      </c>
      <c r="AA396" s="39" t="str">
        <f t="shared" si="133"/>
        <v/>
      </c>
      <c r="AB396" s="40" t="str">
        <f>IF(OR(L396="",V396=0),"",IF(AND(N(I396)&gt;0,N(INDEX('07-تموز'!$I$2:$I$500,V396))&gt;0,INDEX('07-تموز'!$F$2:$F$500,V396)=F396),N(I396)/N(INDEX('07-تموز'!$I$2:$I$500,V396))-1,""))</f>
        <v/>
      </c>
      <c r="AC396" t="str">
        <f>IF(L396="","",IF(AND($AO$2=1,ISNA(MATCH(L396,'09-أيلول'!$L$2:$L$500,0))),"محذوف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IF(L397="","",IF($AO$1=1,IFERROR(MATCH(L397,'07-تموز'!$L$2:$L$500,0),0),0))</f>
        <v/>
      </c>
      <c r="W397" t="str">
        <f t="shared" si="131"/>
        <v/>
      </c>
      <c r="X397" s="38" t="str">
        <f>IF(L397="","",IF(V397&gt;0,INDEX('07-تموز'!$P$2:$P$500,V397),IF($AO$1=1,0,"")))</f>
        <v/>
      </c>
      <c r="Y397" s="38" t="str">
        <f t="shared" si="132"/>
        <v/>
      </c>
      <c r="Z397" s="39" t="str">
        <f>IF(L397="","",IF(V397&gt;0,INDEX('07-تموز'!$Q$2:$Q$500,V397),IF($AO$1=1,0,"")))</f>
        <v/>
      </c>
      <c r="AA397" s="39" t="str">
        <f t="shared" si="133"/>
        <v/>
      </c>
      <c r="AB397" s="40" t="str">
        <f>IF(OR(L397="",V397=0),"",IF(AND(N(I397)&gt;0,N(INDEX('07-تموز'!$I$2:$I$500,V397))&gt;0,INDEX('07-تموز'!$F$2:$F$500,V397)=F397),N(I397)/N(INDEX('07-تموز'!$I$2:$I$500,V397))-1,""))</f>
        <v/>
      </c>
      <c r="AC397" t="str">
        <f>IF(L397="","",IF(AND($AO$2=1,ISNA(MATCH(L397,'09-أيلول'!$L$2:$L$500,0))),"محذوف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IF(L398="","",IF($AO$1=1,IFERROR(MATCH(L398,'07-تموز'!$L$2:$L$500,0),0),0))</f>
        <v/>
      </c>
      <c r="W398" t="str">
        <f t="shared" si="131"/>
        <v/>
      </c>
      <c r="X398" s="38" t="str">
        <f>IF(L398="","",IF(V398&gt;0,INDEX('07-تموز'!$P$2:$P$500,V398),IF($AO$1=1,0,"")))</f>
        <v/>
      </c>
      <c r="Y398" s="38" t="str">
        <f t="shared" si="132"/>
        <v/>
      </c>
      <c r="Z398" s="39" t="str">
        <f>IF(L398="","",IF(V398&gt;0,INDEX('07-تموز'!$Q$2:$Q$500,V398),IF($AO$1=1,0,"")))</f>
        <v/>
      </c>
      <c r="AA398" s="39" t="str">
        <f t="shared" si="133"/>
        <v/>
      </c>
      <c r="AB398" s="40" t="str">
        <f>IF(OR(L398="",V398=0),"",IF(AND(N(I398)&gt;0,N(INDEX('07-تموز'!$I$2:$I$500,V398))&gt;0,INDEX('07-تموز'!$F$2:$F$500,V398)=F398),N(I398)/N(INDEX('07-تموز'!$I$2:$I$500,V398))-1,""))</f>
        <v/>
      </c>
      <c r="AC398" t="str">
        <f>IF(L398="","",IF(AND($AO$2=1,ISNA(MATCH(L398,'09-أيلول'!$L$2:$L$500,0))),"محذوف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IF(L399="","",IF($AO$1=1,IFERROR(MATCH(L399,'07-تموز'!$L$2:$L$500,0),0),0))</f>
        <v/>
      </c>
      <c r="W399" t="str">
        <f t="shared" si="131"/>
        <v/>
      </c>
      <c r="X399" s="38" t="str">
        <f>IF(L399="","",IF(V399&gt;0,INDEX('07-تموز'!$P$2:$P$500,V399),IF($AO$1=1,0,"")))</f>
        <v/>
      </c>
      <c r="Y399" s="38" t="str">
        <f t="shared" si="132"/>
        <v/>
      </c>
      <c r="Z399" s="39" t="str">
        <f>IF(L399="","",IF(V399&gt;0,INDEX('07-تموز'!$Q$2:$Q$500,V399),IF($AO$1=1,0,"")))</f>
        <v/>
      </c>
      <c r="AA399" s="39" t="str">
        <f t="shared" si="133"/>
        <v/>
      </c>
      <c r="AB399" s="40" t="str">
        <f>IF(OR(L399="",V399=0),"",IF(AND(N(I399)&gt;0,N(INDEX('07-تموز'!$I$2:$I$500,V399))&gt;0,INDEX('07-تموز'!$F$2:$F$500,V399)=F399),N(I399)/N(INDEX('07-تموز'!$I$2:$I$500,V399))-1,""))</f>
        <v/>
      </c>
      <c r="AC399" t="str">
        <f>IF(L399="","",IF(AND($AO$2=1,ISNA(MATCH(L399,'09-أيلول'!$L$2:$L$500,0))),"محذوف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IF(L400="","",IF($AO$1=1,IFERROR(MATCH(L400,'07-تموز'!$L$2:$L$500,0),0),0))</f>
        <v/>
      </c>
      <c r="W400" t="str">
        <f t="shared" si="131"/>
        <v/>
      </c>
      <c r="X400" s="38" t="str">
        <f>IF(L400="","",IF(V400&gt;0,INDEX('07-تموز'!$P$2:$P$500,V400),IF($AO$1=1,0,"")))</f>
        <v/>
      </c>
      <c r="Y400" s="38" t="str">
        <f t="shared" si="132"/>
        <v/>
      </c>
      <c r="Z400" s="39" t="str">
        <f>IF(L400="","",IF(V400&gt;0,INDEX('07-تموز'!$Q$2:$Q$500,V400),IF($AO$1=1,0,"")))</f>
        <v/>
      </c>
      <c r="AA400" s="39" t="str">
        <f t="shared" si="133"/>
        <v/>
      </c>
      <c r="AB400" s="40" t="str">
        <f>IF(OR(L400="",V400=0),"",IF(AND(N(I400)&gt;0,N(INDEX('07-تموز'!$I$2:$I$500,V400))&gt;0,INDEX('07-تموز'!$F$2:$F$500,V400)=F400),N(I400)/N(INDEX('07-تموز'!$I$2:$I$500,V400))-1,""))</f>
        <v/>
      </c>
      <c r="AC400" t="str">
        <f>IF(L400="","",IF(AND($AO$2=1,ISNA(MATCH(L400,'09-أيلول'!$L$2:$L$500,0))),"محذوف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IF(L401="","",IF($AO$1=1,IFERROR(MATCH(L401,'07-تموز'!$L$2:$L$500,0),0),0))</f>
        <v/>
      </c>
      <c r="W401" t="str">
        <f t="shared" si="131"/>
        <v/>
      </c>
      <c r="X401" s="38" t="str">
        <f>IF(L401="","",IF(V401&gt;0,INDEX('07-تموز'!$P$2:$P$500,V401),IF($AO$1=1,0,"")))</f>
        <v/>
      </c>
      <c r="Y401" s="38" t="str">
        <f t="shared" si="132"/>
        <v/>
      </c>
      <c r="Z401" s="39" t="str">
        <f>IF(L401="","",IF(V401&gt;0,INDEX('07-تموز'!$Q$2:$Q$500,V401),IF($AO$1=1,0,"")))</f>
        <v/>
      </c>
      <c r="AA401" s="39" t="str">
        <f t="shared" si="133"/>
        <v/>
      </c>
      <c r="AB401" s="40" t="str">
        <f>IF(OR(L401="",V401=0),"",IF(AND(N(I401)&gt;0,N(INDEX('07-تموز'!$I$2:$I$500,V401))&gt;0,INDEX('07-تموز'!$F$2:$F$500,V401)=F401),N(I401)/N(INDEX('07-تموز'!$I$2:$I$500,V401))-1,""))</f>
        <v/>
      </c>
      <c r="AC401" t="str">
        <f>IF(L401="","",IF(AND($AO$2=1,ISNA(MATCH(L401,'09-أيلول'!$L$2:$L$500,0))),"محذوف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IF(L402="","",IF($AO$1=1,IFERROR(MATCH(L402,'07-تموز'!$L$2:$L$500,0),0),0))</f>
        <v/>
      </c>
      <c r="W402" t="str">
        <f t="shared" si="131"/>
        <v/>
      </c>
      <c r="X402" s="38" t="str">
        <f>IF(L402="","",IF(V402&gt;0,INDEX('07-تموز'!$P$2:$P$500,V402),IF($AO$1=1,0,"")))</f>
        <v/>
      </c>
      <c r="Y402" s="38" t="str">
        <f t="shared" si="132"/>
        <v/>
      </c>
      <c r="Z402" s="39" t="str">
        <f>IF(L402="","",IF(V402&gt;0,INDEX('07-تموز'!$Q$2:$Q$500,V402),IF($AO$1=1,0,"")))</f>
        <v/>
      </c>
      <c r="AA402" s="39" t="str">
        <f t="shared" si="133"/>
        <v/>
      </c>
      <c r="AB402" s="40" t="str">
        <f>IF(OR(L402="",V402=0),"",IF(AND(N(I402)&gt;0,N(INDEX('07-تموز'!$I$2:$I$500,V402))&gt;0,INDEX('07-تموز'!$F$2:$F$500,V402)=F402),N(I402)/N(INDEX('07-تموز'!$I$2:$I$500,V402))-1,""))</f>
        <v/>
      </c>
      <c r="AC402" t="str">
        <f>IF(L402="","",IF(AND($AO$2=1,ISNA(MATCH(L402,'09-أيلول'!$L$2:$L$500,0))),"محذوف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IF(L403="","",IF($AO$1=1,IFERROR(MATCH(L403,'07-تموز'!$L$2:$L$500,0),0),0))</f>
        <v/>
      </c>
      <c r="W403" t="str">
        <f t="shared" si="131"/>
        <v/>
      </c>
      <c r="X403" s="38" t="str">
        <f>IF(L403="","",IF(V403&gt;0,INDEX('07-تموز'!$P$2:$P$500,V403),IF($AO$1=1,0,"")))</f>
        <v/>
      </c>
      <c r="Y403" s="38" t="str">
        <f t="shared" si="132"/>
        <v/>
      </c>
      <c r="Z403" s="39" t="str">
        <f>IF(L403="","",IF(V403&gt;0,INDEX('07-تموز'!$Q$2:$Q$500,V403),IF($AO$1=1,0,"")))</f>
        <v/>
      </c>
      <c r="AA403" s="39" t="str">
        <f t="shared" si="133"/>
        <v/>
      </c>
      <c r="AB403" s="40" t="str">
        <f>IF(OR(L403="",V403=0),"",IF(AND(N(I403)&gt;0,N(INDEX('07-تموز'!$I$2:$I$500,V403))&gt;0,INDEX('07-تموز'!$F$2:$F$500,V403)=F403),N(I403)/N(INDEX('07-تموز'!$I$2:$I$500,V403))-1,""))</f>
        <v/>
      </c>
      <c r="AC403" t="str">
        <f>IF(L403="","",IF(AND($AO$2=1,ISNA(MATCH(L403,'09-أيلول'!$L$2:$L$500,0))),"محذوف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IF(L404="","",IF($AO$1=1,IFERROR(MATCH(L404,'07-تموز'!$L$2:$L$500,0),0),0))</f>
        <v/>
      </c>
      <c r="W404" t="str">
        <f t="shared" si="131"/>
        <v/>
      </c>
      <c r="X404" s="38" t="str">
        <f>IF(L404="","",IF(V404&gt;0,INDEX('07-تموز'!$P$2:$P$500,V404),IF($AO$1=1,0,"")))</f>
        <v/>
      </c>
      <c r="Y404" s="38" t="str">
        <f t="shared" si="132"/>
        <v/>
      </c>
      <c r="Z404" s="39" t="str">
        <f>IF(L404="","",IF(V404&gt;0,INDEX('07-تموز'!$Q$2:$Q$500,V404),IF($AO$1=1,0,"")))</f>
        <v/>
      </c>
      <c r="AA404" s="39" t="str">
        <f t="shared" si="133"/>
        <v/>
      </c>
      <c r="AB404" s="40" t="str">
        <f>IF(OR(L404="",V404=0),"",IF(AND(N(I404)&gt;0,N(INDEX('07-تموز'!$I$2:$I$500,V404))&gt;0,INDEX('07-تموز'!$F$2:$F$500,V404)=F404),N(I404)/N(INDEX('07-تموز'!$I$2:$I$500,V404))-1,""))</f>
        <v/>
      </c>
      <c r="AC404" t="str">
        <f>IF(L404="","",IF(AND($AO$2=1,ISNA(MATCH(L404,'09-أيلول'!$L$2:$L$500,0))),"محذوف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IF(L405="","",IF($AO$1=1,IFERROR(MATCH(L405,'07-تموز'!$L$2:$L$500,0),0),0))</f>
        <v/>
      </c>
      <c r="W405" t="str">
        <f t="shared" si="131"/>
        <v/>
      </c>
      <c r="X405" s="38" t="str">
        <f>IF(L405="","",IF(V405&gt;0,INDEX('07-تموز'!$P$2:$P$500,V405),IF($AO$1=1,0,"")))</f>
        <v/>
      </c>
      <c r="Y405" s="38" t="str">
        <f t="shared" si="132"/>
        <v/>
      </c>
      <c r="Z405" s="39" t="str">
        <f>IF(L405="","",IF(V405&gt;0,INDEX('07-تموز'!$Q$2:$Q$500,V405),IF($AO$1=1,0,"")))</f>
        <v/>
      </c>
      <c r="AA405" s="39" t="str">
        <f t="shared" si="133"/>
        <v/>
      </c>
      <c r="AB405" s="40" t="str">
        <f>IF(OR(L405="",V405=0),"",IF(AND(N(I405)&gt;0,N(INDEX('07-تموز'!$I$2:$I$500,V405))&gt;0,INDEX('07-تموز'!$F$2:$F$500,V405)=F405),N(I405)/N(INDEX('07-تموز'!$I$2:$I$500,V405))-1,""))</f>
        <v/>
      </c>
      <c r="AC405" t="str">
        <f>IF(L405="","",IF(AND($AO$2=1,ISNA(MATCH(L405,'09-أيلول'!$L$2:$L$500,0))),"محذوف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IF(L406="","",IF($AO$1=1,IFERROR(MATCH(L406,'07-تموز'!$L$2:$L$500,0),0),0))</f>
        <v/>
      </c>
      <c r="W406" t="str">
        <f t="shared" si="131"/>
        <v/>
      </c>
      <c r="X406" s="38" t="str">
        <f>IF(L406="","",IF(V406&gt;0,INDEX('07-تموز'!$P$2:$P$500,V406),IF($AO$1=1,0,"")))</f>
        <v/>
      </c>
      <c r="Y406" s="38" t="str">
        <f t="shared" si="132"/>
        <v/>
      </c>
      <c r="Z406" s="39" t="str">
        <f>IF(L406="","",IF(V406&gt;0,INDEX('07-تموز'!$Q$2:$Q$500,V406),IF($AO$1=1,0,"")))</f>
        <v/>
      </c>
      <c r="AA406" s="39" t="str">
        <f t="shared" si="133"/>
        <v/>
      </c>
      <c r="AB406" s="40" t="str">
        <f>IF(OR(L406="",V406=0),"",IF(AND(N(I406)&gt;0,N(INDEX('07-تموز'!$I$2:$I$500,V406))&gt;0,INDEX('07-تموز'!$F$2:$F$500,V406)=F406),N(I406)/N(INDEX('07-تموز'!$I$2:$I$500,V406))-1,""))</f>
        <v/>
      </c>
      <c r="AC406" t="str">
        <f>IF(L406="","",IF(AND($AO$2=1,ISNA(MATCH(L406,'09-أيلول'!$L$2:$L$500,0))),"محذوف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IF(L407="","",IF($AO$1=1,IFERROR(MATCH(L407,'07-تموز'!$L$2:$L$500,0),0),0))</f>
        <v/>
      </c>
      <c r="W407" t="str">
        <f t="shared" si="131"/>
        <v/>
      </c>
      <c r="X407" s="38" t="str">
        <f>IF(L407="","",IF(V407&gt;0,INDEX('07-تموز'!$P$2:$P$500,V407),IF($AO$1=1,0,"")))</f>
        <v/>
      </c>
      <c r="Y407" s="38" t="str">
        <f t="shared" si="132"/>
        <v/>
      </c>
      <c r="Z407" s="39" t="str">
        <f>IF(L407="","",IF(V407&gt;0,INDEX('07-تموز'!$Q$2:$Q$500,V407),IF($AO$1=1,0,"")))</f>
        <v/>
      </c>
      <c r="AA407" s="39" t="str">
        <f t="shared" si="133"/>
        <v/>
      </c>
      <c r="AB407" s="40" t="str">
        <f>IF(OR(L407="",V407=0),"",IF(AND(N(I407)&gt;0,N(INDEX('07-تموز'!$I$2:$I$500,V407))&gt;0,INDEX('07-تموز'!$F$2:$F$500,V407)=F407),N(I407)/N(INDEX('07-تموز'!$I$2:$I$500,V407))-1,""))</f>
        <v/>
      </c>
      <c r="AC407" t="str">
        <f>IF(L407="","",IF(AND($AO$2=1,ISNA(MATCH(L407,'09-أيلول'!$L$2:$L$500,0))),"محذوف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IF(L408="","",IF($AO$1=1,IFERROR(MATCH(L408,'07-تموز'!$L$2:$L$500,0),0),0))</f>
        <v/>
      </c>
      <c r="W408" t="str">
        <f t="shared" si="131"/>
        <v/>
      </c>
      <c r="X408" s="38" t="str">
        <f>IF(L408="","",IF(V408&gt;0,INDEX('07-تموز'!$P$2:$P$500,V408),IF($AO$1=1,0,"")))</f>
        <v/>
      </c>
      <c r="Y408" s="38" t="str">
        <f t="shared" si="132"/>
        <v/>
      </c>
      <c r="Z408" s="39" t="str">
        <f>IF(L408="","",IF(V408&gt;0,INDEX('07-تموز'!$Q$2:$Q$500,V408),IF($AO$1=1,0,"")))</f>
        <v/>
      </c>
      <c r="AA408" s="39" t="str">
        <f t="shared" si="133"/>
        <v/>
      </c>
      <c r="AB408" s="40" t="str">
        <f>IF(OR(L408="",V408=0),"",IF(AND(N(I408)&gt;0,N(INDEX('07-تموز'!$I$2:$I$500,V408))&gt;0,INDEX('07-تموز'!$F$2:$F$500,V408)=F408),N(I408)/N(INDEX('07-تموز'!$I$2:$I$500,V408))-1,""))</f>
        <v/>
      </c>
      <c r="AC408" t="str">
        <f>IF(L408="","",IF(AND($AO$2=1,ISNA(MATCH(L408,'09-أيلول'!$L$2:$L$500,0))),"محذوف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IF(L409="","",IF($AO$1=1,IFERROR(MATCH(L409,'07-تموز'!$L$2:$L$500,0),0),0))</f>
        <v/>
      </c>
      <c r="W409" t="str">
        <f t="shared" si="131"/>
        <v/>
      </c>
      <c r="X409" s="38" t="str">
        <f>IF(L409="","",IF(V409&gt;0,INDEX('07-تموز'!$P$2:$P$500,V409),IF($AO$1=1,0,"")))</f>
        <v/>
      </c>
      <c r="Y409" s="38" t="str">
        <f t="shared" si="132"/>
        <v/>
      </c>
      <c r="Z409" s="39" t="str">
        <f>IF(L409="","",IF(V409&gt;0,INDEX('07-تموز'!$Q$2:$Q$500,V409),IF($AO$1=1,0,"")))</f>
        <v/>
      </c>
      <c r="AA409" s="39" t="str">
        <f t="shared" si="133"/>
        <v/>
      </c>
      <c r="AB409" s="40" t="str">
        <f>IF(OR(L409="",V409=0),"",IF(AND(N(I409)&gt;0,N(INDEX('07-تموز'!$I$2:$I$500,V409))&gt;0,INDEX('07-تموز'!$F$2:$F$500,V409)=F409),N(I409)/N(INDEX('07-تموز'!$I$2:$I$500,V409))-1,""))</f>
        <v/>
      </c>
      <c r="AC409" t="str">
        <f>IF(L409="","",IF(AND($AO$2=1,ISNA(MATCH(L409,'09-أيلول'!$L$2:$L$500,0))),"محذوف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IF(L410="","",IF($AO$1=1,IFERROR(MATCH(L410,'07-تموز'!$L$2:$L$500,0),0),0))</f>
        <v/>
      </c>
      <c r="W410" t="str">
        <f t="shared" si="131"/>
        <v/>
      </c>
      <c r="X410" s="38" t="str">
        <f>IF(L410="","",IF(V410&gt;0,INDEX('07-تموز'!$P$2:$P$500,V410),IF($AO$1=1,0,"")))</f>
        <v/>
      </c>
      <c r="Y410" s="38" t="str">
        <f t="shared" si="132"/>
        <v/>
      </c>
      <c r="Z410" s="39" t="str">
        <f>IF(L410="","",IF(V410&gt;0,INDEX('07-تموز'!$Q$2:$Q$500,V410),IF($AO$1=1,0,"")))</f>
        <v/>
      </c>
      <c r="AA410" s="39" t="str">
        <f t="shared" si="133"/>
        <v/>
      </c>
      <c r="AB410" s="40" t="str">
        <f>IF(OR(L410="",V410=0),"",IF(AND(N(I410)&gt;0,N(INDEX('07-تموز'!$I$2:$I$500,V410))&gt;0,INDEX('07-تموز'!$F$2:$F$500,V410)=F410),N(I410)/N(INDEX('07-تموز'!$I$2:$I$500,V410))-1,""))</f>
        <v/>
      </c>
      <c r="AC410" t="str">
        <f>IF(L410="","",IF(AND($AO$2=1,ISNA(MATCH(L410,'09-أيلول'!$L$2:$L$500,0))),"محذوف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IF(L411="","",IF($AO$1=1,IFERROR(MATCH(L411,'07-تموز'!$L$2:$L$500,0),0),0))</f>
        <v/>
      </c>
      <c r="W411" t="str">
        <f t="shared" si="131"/>
        <v/>
      </c>
      <c r="X411" s="38" t="str">
        <f>IF(L411="","",IF(V411&gt;0,INDEX('07-تموز'!$P$2:$P$500,V411),IF($AO$1=1,0,"")))</f>
        <v/>
      </c>
      <c r="Y411" s="38" t="str">
        <f t="shared" si="132"/>
        <v/>
      </c>
      <c r="Z411" s="39" t="str">
        <f>IF(L411="","",IF(V411&gt;0,INDEX('07-تموز'!$Q$2:$Q$500,V411),IF($AO$1=1,0,"")))</f>
        <v/>
      </c>
      <c r="AA411" s="39" t="str">
        <f t="shared" si="133"/>
        <v/>
      </c>
      <c r="AB411" s="40" t="str">
        <f>IF(OR(L411="",V411=0),"",IF(AND(N(I411)&gt;0,N(INDEX('07-تموز'!$I$2:$I$500,V411))&gt;0,INDEX('07-تموز'!$F$2:$F$500,V411)=F411),N(I411)/N(INDEX('07-تموز'!$I$2:$I$500,V411))-1,""))</f>
        <v/>
      </c>
      <c r="AC411" t="str">
        <f>IF(L411="","",IF(AND($AO$2=1,ISNA(MATCH(L411,'09-أيلول'!$L$2:$L$500,0))),"محذوف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IF(L412="","",IF($AO$1=1,IFERROR(MATCH(L412,'07-تموز'!$L$2:$L$500,0),0),0))</f>
        <v/>
      </c>
      <c r="W412" t="str">
        <f t="shared" si="131"/>
        <v/>
      </c>
      <c r="X412" s="38" t="str">
        <f>IF(L412="","",IF(V412&gt;0,INDEX('07-تموز'!$P$2:$P$500,V412),IF($AO$1=1,0,"")))</f>
        <v/>
      </c>
      <c r="Y412" s="38" t="str">
        <f t="shared" si="132"/>
        <v/>
      </c>
      <c r="Z412" s="39" t="str">
        <f>IF(L412="","",IF(V412&gt;0,INDEX('07-تموز'!$Q$2:$Q$500,V412),IF($AO$1=1,0,"")))</f>
        <v/>
      </c>
      <c r="AA412" s="39" t="str">
        <f t="shared" si="133"/>
        <v/>
      </c>
      <c r="AB412" s="40" t="str">
        <f>IF(OR(L412="",V412=0),"",IF(AND(N(I412)&gt;0,N(INDEX('07-تموز'!$I$2:$I$500,V412))&gt;0,INDEX('07-تموز'!$F$2:$F$500,V412)=F412),N(I412)/N(INDEX('07-تموز'!$I$2:$I$500,V412))-1,""))</f>
        <v/>
      </c>
      <c r="AC412" t="str">
        <f>IF(L412="","",IF(AND($AO$2=1,ISNA(MATCH(L412,'09-أيلول'!$L$2:$L$500,0))),"محذوف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IF(L413="","",IF($AO$1=1,IFERROR(MATCH(L413,'07-تموز'!$L$2:$L$500,0),0),0))</f>
        <v/>
      </c>
      <c r="W413" t="str">
        <f t="shared" si="131"/>
        <v/>
      </c>
      <c r="X413" s="38" t="str">
        <f>IF(L413="","",IF(V413&gt;0,INDEX('07-تموز'!$P$2:$P$500,V413),IF($AO$1=1,0,"")))</f>
        <v/>
      </c>
      <c r="Y413" s="38" t="str">
        <f t="shared" si="132"/>
        <v/>
      </c>
      <c r="Z413" s="39" t="str">
        <f>IF(L413="","",IF(V413&gt;0,INDEX('07-تموز'!$Q$2:$Q$500,V413),IF($AO$1=1,0,"")))</f>
        <v/>
      </c>
      <c r="AA413" s="39" t="str">
        <f t="shared" si="133"/>
        <v/>
      </c>
      <c r="AB413" s="40" t="str">
        <f>IF(OR(L413="",V413=0),"",IF(AND(N(I413)&gt;0,N(INDEX('07-تموز'!$I$2:$I$500,V413))&gt;0,INDEX('07-تموز'!$F$2:$F$500,V413)=F413),N(I413)/N(INDEX('07-تموز'!$I$2:$I$500,V413))-1,""))</f>
        <v/>
      </c>
      <c r="AC413" t="str">
        <f>IF(L413="","",IF(AND($AO$2=1,ISNA(MATCH(L413,'09-أيلول'!$L$2:$L$500,0))),"محذوف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IF(L414="","",IF($AO$1=1,IFERROR(MATCH(L414,'07-تموز'!$L$2:$L$500,0),0),0))</f>
        <v/>
      </c>
      <c r="W414" t="str">
        <f t="shared" si="131"/>
        <v/>
      </c>
      <c r="X414" s="38" t="str">
        <f>IF(L414="","",IF(V414&gt;0,INDEX('07-تموز'!$P$2:$P$500,V414),IF($AO$1=1,0,"")))</f>
        <v/>
      </c>
      <c r="Y414" s="38" t="str">
        <f t="shared" si="132"/>
        <v/>
      </c>
      <c r="Z414" s="39" t="str">
        <f>IF(L414="","",IF(V414&gt;0,INDEX('07-تموز'!$Q$2:$Q$500,V414),IF($AO$1=1,0,"")))</f>
        <v/>
      </c>
      <c r="AA414" s="39" t="str">
        <f t="shared" si="133"/>
        <v/>
      </c>
      <c r="AB414" s="40" t="str">
        <f>IF(OR(L414="",V414=0),"",IF(AND(N(I414)&gt;0,N(INDEX('07-تموز'!$I$2:$I$500,V414))&gt;0,INDEX('07-تموز'!$F$2:$F$500,V414)=F414),N(I414)/N(INDEX('07-تموز'!$I$2:$I$500,V414))-1,""))</f>
        <v/>
      </c>
      <c r="AC414" t="str">
        <f>IF(L414="","",IF(AND($AO$2=1,ISNA(MATCH(L414,'09-أيلول'!$L$2:$L$500,0))),"محذوف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IF(L415="","",IF($AO$1=1,IFERROR(MATCH(L415,'07-تموز'!$L$2:$L$500,0),0),0))</f>
        <v/>
      </c>
      <c r="W415" t="str">
        <f t="shared" si="131"/>
        <v/>
      </c>
      <c r="X415" s="38" t="str">
        <f>IF(L415="","",IF(V415&gt;0,INDEX('07-تموز'!$P$2:$P$500,V415),IF($AO$1=1,0,"")))</f>
        <v/>
      </c>
      <c r="Y415" s="38" t="str">
        <f t="shared" si="132"/>
        <v/>
      </c>
      <c r="Z415" s="39" t="str">
        <f>IF(L415="","",IF(V415&gt;0,INDEX('07-تموز'!$Q$2:$Q$500,V415),IF($AO$1=1,0,"")))</f>
        <v/>
      </c>
      <c r="AA415" s="39" t="str">
        <f t="shared" si="133"/>
        <v/>
      </c>
      <c r="AB415" s="40" t="str">
        <f>IF(OR(L415="",V415=0),"",IF(AND(N(I415)&gt;0,N(INDEX('07-تموز'!$I$2:$I$500,V415))&gt;0,INDEX('07-تموز'!$F$2:$F$500,V415)=F415),N(I415)/N(INDEX('07-تموز'!$I$2:$I$500,V415))-1,""))</f>
        <v/>
      </c>
      <c r="AC415" t="str">
        <f>IF(L415="","",IF(AND($AO$2=1,ISNA(MATCH(L415,'09-أيلول'!$L$2:$L$500,0))),"محذوف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IF(L416="","",IF($AO$1=1,IFERROR(MATCH(L416,'07-تموز'!$L$2:$L$500,0),0),0))</f>
        <v/>
      </c>
      <c r="W416" t="str">
        <f t="shared" si="131"/>
        <v/>
      </c>
      <c r="X416" s="38" t="str">
        <f>IF(L416="","",IF(V416&gt;0,INDEX('07-تموز'!$P$2:$P$500,V416),IF($AO$1=1,0,"")))</f>
        <v/>
      </c>
      <c r="Y416" s="38" t="str">
        <f t="shared" si="132"/>
        <v/>
      </c>
      <c r="Z416" s="39" t="str">
        <f>IF(L416="","",IF(V416&gt;0,INDEX('07-تموز'!$Q$2:$Q$500,V416),IF($AO$1=1,0,"")))</f>
        <v/>
      </c>
      <c r="AA416" s="39" t="str">
        <f t="shared" si="133"/>
        <v/>
      </c>
      <c r="AB416" s="40" t="str">
        <f>IF(OR(L416="",V416=0),"",IF(AND(N(I416)&gt;0,N(INDEX('07-تموز'!$I$2:$I$500,V416))&gt;0,INDEX('07-تموز'!$F$2:$F$500,V416)=F416),N(I416)/N(INDEX('07-تموز'!$I$2:$I$500,V416))-1,""))</f>
        <v/>
      </c>
      <c r="AC416" t="str">
        <f>IF(L416="","",IF(AND($AO$2=1,ISNA(MATCH(L416,'09-أيلول'!$L$2:$L$500,0))),"محذوف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IF(L417="","",IF($AO$1=1,IFERROR(MATCH(L417,'07-تموز'!$L$2:$L$500,0),0),0))</f>
        <v/>
      </c>
      <c r="W417" t="str">
        <f t="shared" si="131"/>
        <v/>
      </c>
      <c r="X417" s="38" t="str">
        <f>IF(L417="","",IF(V417&gt;0,INDEX('07-تموز'!$P$2:$P$500,V417),IF($AO$1=1,0,"")))</f>
        <v/>
      </c>
      <c r="Y417" s="38" t="str">
        <f t="shared" si="132"/>
        <v/>
      </c>
      <c r="Z417" s="39" t="str">
        <f>IF(L417="","",IF(V417&gt;0,INDEX('07-تموز'!$Q$2:$Q$500,V417),IF($AO$1=1,0,"")))</f>
        <v/>
      </c>
      <c r="AA417" s="39" t="str">
        <f t="shared" si="133"/>
        <v/>
      </c>
      <c r="AB417" s="40" t="str">
        <f>IF(OR(L417="",V417=0),"",IF(AND(N(I417)&gt;0,N(INDEX('07-تموز'!$I$2:$I$500,V417))&gt;0,INDEX('07-تموز'!$F$2:$F$500,V417)=F417),N(I417)/N(INDEX('07-تموز'!$I$2:$I$500,V417))-1,""))</f>
        <v/>
      </c>
      <c r="AC417" t="str">
        <f>IF(L417="","",IF(AND($AO$2=1,ISNA(MATCH(L417,'09-أيلول'!$L$2:$L$500,0))),"محذوف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IF(L418="","",IF($AO$1=1,IFERROR(MATCH(L418,'07-تموز'!$L$2:$L$500,0),0),0))</f>
        <v/>
      </c>
      <c r="W418" t="str">
        <f t="shared" si="131"/>
        <v/>
      </c>
      <c r="X418" s="38" t="str">
        <f>IF(L418="","",IF(V418&gt;0,INDEX('07-تموز'!$P$2:$P$500,V418),IF($AO$1=1,0,"")))</f>
        <v/>
      </c>
      <c r="Y418" s="38" t="str">
        <f t="shared" si="132"/>
        <v/>
      </c>
      <c r="Z418" s="39" t="str">
        <f>IF(L418="","",IF(V418&gt;0,INDEX('07-تموز'!$Q$2:$Q$500,V418),IF($AO$1=1,0,"")))</f>
        <v/>
      </c>
      <c r="AA418" s="39" t="str">
        <f t="shared" si="133"/>
        <v/>
      </c>
      <c r="AB418" s="40" t="str">
        <f>IF(OR(L418="",V418=0),"",IF(AND(N(I418)&gt;0,N(INDEX('07-تموز'!$I$2:$I$500,V418))&gt;0,INDEX('07-تموز'!$F$2:$F$500,V418)=F418),N(I418)/N(INDEX('07-تموز'!$I$2:$I$500,V418))-1,""))</f>
        <v/>
      </c>
      <c r="AC418" t="str">
        <f>IF(L418="","",IF(AND($AO$2=1,ISNA(MATCH(L418,'09-أيلول'!$L$2:$L$500,0))),"محذوف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IF(L419="","",IF($AO$1=1,IFERROR(MATCH(L419,'07-تموز'!$L$2:$L$500,0),0),0))</f>
        <v/>
      </c>
      <c r="W419" t="str">
        <f t="shared" si="131"/>
        <v/>
      </c>
      <c r="X419" s="38" t="str">
        <f>IF(L419="","",IF(V419&gt;0,INDEX('07-تموز'!$P$2:$P$500,V419),IF($AO$1=1,0,"")))</f>
        <v/>
      </c>
      <c r="Y419" s="38" t="str">
        <f t="shared" si="132"/>
        <v/>
      </c>
      <c r="Z419" s="39" t="str">
        <f>IF(L419="","",IF(V419&gt;0,INDEX('07-تموز'!$Q$2:$Q$500,V419),IF($AO$1=1,0,"")))</f>
        <v/>
      </c>
      <c r="AA419" s="39" t="str">
        <f t="shared" si="133"/>
        <v/>
      </c>
      <c r="AB419" s="40" t="str">
        <f>IF(OR(L419="",V419=0),"",IF(AND(N(I419)&gt;0,N(INDEX('07-تموز'!$I$2:$I$500,V419))&gt;0,INDEX('07-تموز'!$F$2:$F$500,V419)=F419),N(I419)/N(INDEX('07-تموز'!$I$2:$I$500,V419))-1,""))</f>
        <v/>
      </c>
      <c r="AC419" t="str">
        <f>IF(L419="","",IF(AND($AO$2=1,ISNA(MATCH(L419,'09-أيلول'!$L$2:$L$500,0))),"محذوف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IF(L420="","",IF($AO$1=1,IFERROR(MATCH(L420,'07-تموز'!$L$2:$L$500,0),0),0))</f>
        <v/>
      </c>
      <c r="W420" t="str">
        <f t="shared" si="131"/>
        <v/>
      </c>
      <c r="X420" s="38" t="str">
        <f>IF(L420="","",IF(V420&gt;0,INDEX('07-تموز'!$P$2:$P$500,V420),IF($AO$1=1,0,"")))</f>
        <v/>
      </c>
      <c r="Y420" s="38" t="str">
        <f t="shared" si="132"/>
        <v/>
      </c>
      <c r="Z420" s="39" t="str">
        <f>IF(L420="","",IF(V420&gt;0,INDEX('07-تموز'!$Q$2:$Q$500,V420),IF($AO$1=1,0,"")))</f>
        <v/>
      </c>
      <c r="AA420" s="39" t="str">
        <f t="shared" si="133"/>
        <v/>
      </c>
      <c r="AB420" s="40" t="str">
        <f>IF(OR(L420="",V420=0),"",IF(AND(N(I420)&gt;0,N(INDEX('07-تموز'!$I$2:$I$500,V420))&gt;0,INDEX('07-تموز'!$F$2:$F$500,V420)=F420),N(I420)/N(INDEX('07-تموز'!$I$2:$I$500,V420))-1,""))</f>
        <v/>
      </c>
      <c r="AC420" t="str">
        <f>IF(L420="","",IF(AND($AO$2=1,ISNA(MATCH(L420,'09-أيلول'!$L$2:$L$500,0))),"محذوف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IF(L421="","",IF($AO$1=1,IFERROR(MATCH(L421,'07-تموز'!$L$2:$L$500,0),0),0))</f>
        <v/>
      </c>
      <c r="W421" t="str">
        <f t="shared" si="131"/>
        <v/>
      </c>
      <c r="X421" s="38" t="str">
        <f>IF(L421="","",IF(V421&gt;0,INDEX('07-تموز'!$P$2:$P$500,V421),IF($AO$1=1,0,"")))</f>
        <v/>
      </c>
      <c r="Y421" s="38" t="str">
        <f t="shared" si="132"/>
        <v/>
      </c>
      <c r="Z421" s="39" t="str">
        <f>IF(L421="","",IF(V421&gt;0,INDEX('07-تموز'!$Q$2:$Q$500,V421),IF($AO$1=1,0,"")))</f>
        <v/>
      </c>
      <c r="AA421" s="39" t="str">
        <f t="shared" si="133"/>
        <v/>
      </c>
      <c r="AB421" s="40" t="str">
        <f>IF(OR(L421="",V421=0),"",IF(AND(N(I421)&gt;0,N(INDEX('07-تموز'!$I$2:$I$500,V421))&gt;0,INDEX('07-تموز'!$F$2:$F$500,V421)=F421),N(I421)/N(INDEX('07-تموز'!$I$2:$I$500,V421))-1,""))</f>
        <v/>
      </c>
      <c r="AC421" t="str">
        <f>IF(L421="","",IF(AND($AO$2=1,ISNA(MATCH(L421,'09-أيلول'!$L$2:$L$500,0))),"محذوف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IF(L422="","",IF($AO$1=1,IFERROR(MATCH(L422,'07-تموز'!$L$2:$L$500,0),0),0))</f>
        <v/>
      </c>
      <c r="W422" t="str">
        <f t="shared" si="131"/>
        <v/>
      </c>
      <c r="X422" s="38" t="str">
        <f>IF(L422="","",IF(V422&gt;0,INDEX('07-تموز'!$P$2:$P$500,V422),IF($AO$1=1,0,"")))</f>
        <v/>
      </c>
      <c r="Y422" s="38" t="str">
        <f t="shared" si="132"/>
        <v/>
      </c>
      <c r="Z422" s="39" t="str">
        <f>IF(L422="","",IF(V422&gt;0,INDEX('07-تموز'!$Q$2:$Q$500,V422),IF($AO$1=1,0,"")))</f>
        <v/>
      </c>
      <c r="AA422" s="39" t="str">
        <f t="shared" si="133"/>
        <v/>
      </c>
      <c r="AB422" s="40" t="str">
        <f>IF(OR(L422="",V422=0),"",IF(AND(N(I422)&gt;0,N(INDEX('07-تموز'!$I$2:$I$500,V422))&gt;0,INDEX('07-تموز'!$F$2:$F$500,V422)=F422),N(I422)/N(INDEX('07-تموز'!$I$2:$I$500,V422))-1,""))</f>
        <v/>
      </c>
      <c r="AC422" t="str">
        <f>IF(L422="","",IF(AND($AO$2=1,ISNA(MATCH(L422,'09-أيلول'!$L$2:$L$500,0))),"محذوف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IF(L423="","",IF($AO$1=1,IFERROR(MATCH(L423,'07-تموز'!$L$2:$L$500,0),0),0))</f>
        <v/>
      </c>
      <c r="W423" t="str">
        <f t="shared" si="131"/>
        <v/>
      </c>
      <c r="X423" s="38" t="str">
        <f>IF(L423="","",IF(V423&gt;0,INDEX('07-تموز'!$P$2:$P$500,V423),IF($AO$1=1,0,"")))</f>
        <v/>
      </c>
      <c r="Y423" s="38" t="str">
        <f t="shared" si="132"/>
        <v/>
      </c>
      <c r="Z423" s="39" t="str">
        <f>IF(L423="","",IF(V423&gt;0,INDEX('07-تموز'!$Q$2:$Q$500,V423),IF($AO$1=1,0,"")))</f>
        <v/>
      </c>
      <c r="AA423" s="39" t="str">
        <f t="shared" si="133"/>
        <v/>
      </c>
      <c r="AB423" s="40" t="str">
        <f>IF(OR(L423="",V423=0),"",IF(AND(N(I423)&gt;0,N(INDEX('07-تموز'!$I$2:$I$500,V423))&gt;0,INDEX('07-تموز'!$F$2:$F$500,V423)=F423),N(I423)/N(INDEX('07-تموز'!$I$2:$I$500,V423))-1,""))</f>
        <v/>
      </c>
      <c r="AC423" t="str">
        <f>IF(L423="","",IF(AND($AO$2=1,ISNA(MATCH(L423,'09-أيلول'!$L$2:$L$500,0))),"محذوف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IF(L424="","",IF($AO$1=1,IFERROR(MATCH(L424,'07-تموز'!$L$2:$L$500,0),0),0))</f>
        <v/>
      </c>
      <c r="W424" t="str">
        <f t="shared" si="131"/>
        <v/>
      </c>
      <c r="X424" s="38" t="str">
        <f>IF(L424="","",IF(V424&gt;0,INDEX('07-تموز'!$P$2:$P$500,V424),IF($AO$1=1,0,"")))</f>
        <v/>
      </c>
      <c r="Y424" s="38" t="str">
        <f t="shared" si="132"/>
        <v/>
      </c>
      <c r="Z424" s="39" t="str">
        <f>IF(L424="","",IF(V424&gt;0,INDEX('07-تموز'!$Q$2:$Q$500,V424),IF($AO$1=1,0,"")))</f>
        <v/>
      </c>
      <c r="AA424" s="39" t="str">
        <f t="shared" si="133"/>
        <v/>
      </c>
      <c r="AB424" s="40" t="str">
        <f>IF(OR(L424="",V424=0),"",IF(AND(N(I424)&gt;0,N(INDEX('07-تموز'!$I$2:$I$500,V424))&gt;0,INDEX('07-تموز'!$F$2:$F$500,V424)=F424),N(I424)/N(INDEX('07-تموز'!$I$2:$I$500,V424))-1,""))</f>
        <v/>
      </c>
      <c r="AC424" t="str">
        <f>IF(L424="","",IF(AND($AO$2=1,ISNA(MATCH(L424,'09-أيلول'!$L$2:$L$500,0))),"محذوف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IF(L425="","",IF($AO$1=1,IFERROR(MATCH(L425,'07-تموز'!$L$2:$L$500,0),0),0))</f>
        <v/>
      </c>
      <c r="W425" t="str">
        <f t="shared" si="131"/>
        <v/>
      </c>
      <c r="X425" s="38" t="str">
        <f>IF(L425="","",IF(V425&gt;0,INDEX('07-تموز'!$P$2:$P$500,V425),IF($AO$1=1,0,"")))</f>
        <v/>
      </c>
      <c r="Y425" s="38" t="str">
        <f t="shared" si="132"/>
        <v/>
      </c>
      <c r="Z425" s="39" t="str">
        <f>IF(L425="","",IF(V425&gt;0,INDEX('07-تموز'!$Q$2:$Q$500,V425),IF($AO$1=1,0,"")))</f>
        <v/>
      </c>
      <c r="AA425" s="39" t="str">
        <f t="shared" si="133"/>
        <v/>
      </c>
      <c r="AB425" s="40" t="str">
        <f>IF(OR(L425="",V425=0),"",IF(AND(N(I425)&gt;0,N(INDEX('07-تموز'!$I$2:$I$500,V425))&gt;0,INDEX('07-تموز'!$F$2:$F$500,V425)=F425),N(I425)/N(INDEX('07-تموز'!$I$2:$I$500,V425))-1,""))</f>
        <v/>
      </c>
      <c r="AC425" t="str">
        <f>IF(L425="","",IF(AND($AO$2=1,ISNA(MATCH(L425,'09-أيلول'!$L$2:$L$500,0))),"محذوف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IF(L426="","",IF($AO$1=1,IFERROR(MATCH(L426,'07-تموز'!$L$2:$L$500,0),0),0))</f>
        <v/>
      </c>
      <c r="W426" t="str">
        <f t="shared" si="131"/>
        <v/>
      </c>
      <c r="X426" s="38" t="str">
        <f>IF(L426="","",IF(V426&gt;0,INDEX('07-تموز'!$P$2:$P$500,V426),IF($AO$1=1,0,"")))</f>
        <v/>
      </c>
      <c r="Y426" s="38" t="str">
        <f t="shared" si="132"/>
        <v/>
      </c>
      <c r="Z426" s="39" t="str">
        <f>IF(L426="","",IF(V426&gt;0,INDEX('07-تموز'!$Q$2:$Q$500,V426),IF($AO$1=1,0,"")))</f>
        <v/>
      </c>
      <c r="AA426" s="39" t="str">
        <f t="shared" si="133"/>
        <v/>
      </c>
      <c r="AB426" s="40" t="str">
        <f>IF(OR(L426="",V426=0),"",IF(AND(N(I426)&gt;0,N(INDEX('07-تموز'!$I$2:$I$500,V426))&gt;0,INDEX('07-تموز'!$F$2:$F$500,V426)=F426),N(I426)/N(INDEX('07-تموز'!$I$2:$I$500,V426))-1,""))</f>
        <v/>
      </c>
      <c r="AC426" t="str">
        <f>IF(L426="","",IF(AND($AO$2=1,ISNA(MATCH(L426,'09-أيلول'!$L$2:$L$500,0))),"محذوف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IF(L427="","",IF($AO$1=1,IFERROR(MATCH(L427,'07-تموز'!$L$2:$L$500,0),0),0))</f>
        <v/>
      </c>
      <c r="W427" t="str">
        <f t="shared" si="131"/>
        <v/>
      </c>
      <c r="X427" s="38" t="str">
        <f>IF(L427="","",IF(V427&gt;0,INDEX('07-تموز'!$P$2:$P$500,V427),IF($AO$1=1,0,"")))</f>
        <v/>
      </c>
      <c r="Y427" s="38" t="str">
        <f t="shared" si="132"/>
        <v/>
      </c>
      <c r="Z427" s="39" t="str">
        <f>IF(L427="","",IF(V427&gt;0,INDEX('07-تموز'!$Q$2:$Q$500,V427),IF($AO$1=1,0,"")))</f>
        <v/>
      </c>
      <c r="AA427" s="39" t="str">
        <f t="shared" si="133"/>
        <v/>
      </c>
      <c r="AB427" s="40" t="str">
        <f>IF(OR(L427="",V427=0),"",IF(AND(N(I427)&gt;0,N(INDEX('07-تموز'!$I$2:$I$500,V427))&gt;0,INDEX('07-تموز'!$F$2:$F$500,V427)=F427),N(I427)/N(INDEX('07-تموز'!$I$2:$I$500,V427))-1,""))</f>
        <v/>
      </c>
      <c r="AC427" t="str">
        <f>IF(L427="","",IF(AND($AO$2=1,ISNA(MATCH(L427,'09-أيلول'!$L$2:$L$500,0))),"محذوف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IF(L428="","",IF($AO$1=1,IFERROR(MATCH(L428,'07-تموز'!$L$2:$L$500,0),0),0))</f>
        <v/>
      </c>
      <c r="W428" t="str">
        <f t="shared" si="131"/>
        <v/>
      </c>
      <c r="X428" s="38" t="str">
        <f>IF(L428="","",IF(V428&gt;0,INDEX('07-تموز'!$P$2:$P$500,V428),IF($AO$1=1,0,"")))</f>
        <v/>
      </c>
      <c r="Y428" s="38" t="str">
        <f t="shared" si="132"/>
        <v/>
      </c>
      <c r="Z428" s="39" t="str">
        <f>IF(L428="","",IF(V428&gt;0,INDEX('07-تموز'!$Q$2:$Q$500,V428),IF($AO$1=1,0,"")))</f>
        <v/>
      </c>
      <c r="AA428" s="39" t="str">
        <f t="shared" si="133"/>
        <v/>
      </c>
      <c r="AB428" s="40" t="str">
        <f>IF(OR(L428="",V428=0),"",IF(AND(N(I428)&gt;0,N(INDEX('07-تموز'!$I$2:$I$500,V428))&gt;0,INDEX('07-تموز'!$F$2:$F$500,V428)=F428),N(I428)/N(INDEX('07-تموز'!$I$2:$I$500,V428))-1,""))</f>
        <v/>
      </c>
      <c r="AC428" t="str">
        <f>IF(L428="","",IF(AND($AO$2=1,ISNA(MATCH(L428,'09-أيلول'!$L$2:$L$500,0))),"محذوف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IF(L429="","",IF($AO$1=1,IFERROR(MATCH(L429,'07-تموز'!$L$2:$L$500,0),0),0))</f>
        <v/>
      </c>
      <c r="W429" t="str">
        <f t="shared" si="131"/>
        <v/>
      </c>
      <c r="X429" s="38" t="str">
        <f>IF(L429="","",IF(V429&gt;0,INDEX('07-تموز'!$P$2:$P$500,V429),IF($AO$1=1,0,"")))</f>
        <v/>
      </c>
      <c r="Y429" s="38" t="str">
        <f t="shared" si="132"/>
        <v/>
      </c>
      <c r="Z429" s="39" t="str">
        <f>IF(L429="","",IF(V429&gt;0,INDEX('07-تموز'!$Q$2:$Q$500,V429),IF($AO$1=1,0,"")))</f>
        <v/>
      </c>
      <c r="AA429" s="39" t="str">
        <f t="shared" si="133"/>
        <v/>
      </c>
      <c r="AB429" s="40" t="str">
        <f>IF(OR(L429="",V429=0),"",IF(AND(N(I429)&gt;0,N(INDEX('07-تموز'!$I$2:$I$500,V429))&gt;0,INDEX('07-تموز'!$F$2:$F$500,V429)=F429),N(I429)/N(INDEX('07-تموز'!$I$2:$I$500,V429))-1,""))</f>
        <v/>
      </c>
      <c r="AC429" t="str">
        <f>IF(L429="","",IF(AND($AO$2=1,ISNA(MATCH(L429,'09-أيلول'!$L$2:$L$500,0))),"محذوف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IF(L430="","",IF($AO$1=1,IFERROR(MATCH(L430,'07-تموز'!$L$2:$L$500,0),0),0))</f>
        <v/>
      </c>
      <c r="W430" t="str">
        <f t="shared" si="131"/>
        <v/>
      </c>
      <c r="X430" s="38" t="str">
        <f>IF(L430="","",IF(V430&gt;0,INDEX('07-تموز'!$P$2:$P$500,V430),IF($AO$1=1,0,"")))</f>
        <v/>
      </c>
      <c r="Y430" s="38" t="str">
        <f t="shared" si="132"/>
        <v/>
      </c>
      <c r="Z430" s="39" t="str">
        <f>IF(L430="","",IF(V430&gt;0,INDEX('07-تموز'!$Q$2:$Q$500,V430),IF($AO$1=1,0,"")))</f>
        <v/>
      </c>
      <c r="AA430" s="39" t="str">
        <f t="shared" si="133"/>
        <v/>
      </c>
      <c r="AB430" s="40" t="str">
        <f>IF(OR(L430="",V430=0),"",IF(AND(N(I430)&gt;0,N(INDEX('07-تموز'!$I$2:$I$500,V430))&gt;0,INDEX('07-تموز'!$F$2:$F$500,V430)=F430),N(I430)/N(INDEX('07-تموز'!$I$2:$I$500,V430))-1,""))</f>
        <v/>
      </c>
      <c r="AC430" t="str">
        <f>IF(L430="","",IF(AND($AO$2=1,ISNA(MATCH(L430,'09-أيلول'!$L$2:$L$500,0))),"محذوف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IF(L431="","",IF($AO$1=1,IFERROR(MATCH(L431,'07-تموز'!$L$2:$L$500,0),0),0))</f>
        <v/>
      </c>
      <c r="W431" t="str">
        <f t="shared" si="131"/>
        <v/>
      </c>
      <c r="X431" s="38" t="str">
        <f>IF(L431="","",IF(V431&gt;0,INDEX('07-تموز'!$P$2:$P$500,V431),IF($AO$1=1,0,"")))</f>
        <v/>
      </c>
      <c r="Y431" s="38" t="str">
        <f t="shared" si="132"/>
        <v/>
      </c>
      <c r="Z431" s="39" t="str">
        <f>IF(L431="","",IF(V431&gt;0,INDEX('07-تموز'!$Q$2:$Q$500,V431),IF($AO$1=1,0,"")))</f>
        <v/>
      </c>
      <c r="AA431" s="39" t="str">
        <f t="shared" si="133"/>
        <v/>
      </c>
      <c r="AB431" s="40" t="str">
        <f>IF(OR(L431="",V431=0),"",IF(AND(N(I431)&gt;0,N(INDEX('07-تموز'!$I$2:$I$500,V431))&gt;0,INDEX('07-تموز'!$F$2:$F$500,V431)=F431),N(I431)/N(INDEX('07-تموز'!$I$2:$I$500,V431))-1,""))</f>
        <v/>
      </c>
      <c r="AC431" t="str">
        <f>IF(L431="","",IF(AND($AO$2=1,ISNA(MATCH(L431,'09-أيلول'!$L$2:$L$500,0))),"محذوف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IF(L432="","",IF($AO$1=1,IFERROR(MATCH(L432,'07-تموز'!$L$2:$L$500,0),0),0))</f>
        <v/>
      </c>
      <c r="W432" t="str">
        <f t="shared" si="131"/>
        <v/>
      </c>
      <c r="X432" s="38" t="str">
        <f>IF(L432="","",IF(V432&gt;0,INDEX('07-تموز'!$P$2:$P$500,V432),IF($AO$1=1,0,"")))</f>
        <v/>
      </c>
      <c r="Y432" s="38" t="str">
        <f t="shared" si="132"/>
        <v/>
      </c>
      <c r="Z432" s="39" t="str">
        <f>IF(L432="","",IF(V432&gt;0,INDEX('07-تموز'!$Q$2:$Q$500,V432),IF($AO$1=1,0,"")))</f>
        <v/>
      </c>
      <c r="AA432" s="39" t="str">
        <f t="shared" si="133"/>
        <v/>
      </c>
      <c r="AB432" s="40" t="str">
        <f>IF(OR(L432="",V432=0),"",IF(AND(N(I432)&gt;0,N(INDEX('07-تموز'!$I$2:$I$500,V432))&gt;0,INDEX('07-تموز'!$F$2:$F$500,V432)=F432),N(I432)/N(INDEX('07-تموز'!$I$2:$I$500,V432))-1,""))</f>
        <v/>
      </c>
      <c r="AC432" t="str">
        <f>IF(L432="","",IF(AND($AO$2=1,ISNA(MATCH(L432,'09-أيلول'!$L$2:$L$500,0))),"محذوف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IF(L433="","",IF($AO$1=1,IFERROR(MATCH(L433,'07-تموز'!$L$2:$L$500,0),0),0))</f>
        <v/>
      </c>
      <c r="W433" t="str">
        <f t="shared" si="131"/>
        <v/>
      </c>
      <c r="X433" s="38" t="str">
        <f>IF(L433="","",IF(V433&gt;0,INDEX('07-تموز'!$P$2:$P$500,V433),IF($AO$1=1,0,"")))</f>
        <v/>
      </c>
      <c r="Y433" s="38" t="str">
        <f t="shared" si="132"/>
        <v/>
      </c>
      <c r="Z433" s="39" t="str">
        <f>IF(L433="","",IF(V433&gt;0,INDEX('07-تموز'!$Q$2:$Q$500,V433),IF($AO$1=1,0,"")))</f>
        <v/>
      </c>
      <c r="AA433" s="39" t="str">
        <f t="shared" si="133"/>
        <v/>
      </c>
      <c r="AB433" s="40" t="str">
        <f>IF(OR(L433="",V433=0),"",IF(AND(N(I433)&gt;0,N(INDEX('07-تموز'!$I$2:$I$500,V433))&gt;0,INDEX('07-تموز'!$F$2:$F$500,V433)=F433),N(I433)/N(INDEX('07-تموز'!$I$2:$I$500,V433))-1,""))</f>
        <v/>
      </c>
      <c r="AC433" t="str">
        <f>IF(L433="","",IF(AND($AO$2=1,ISNA(MATCH(L433,'09-أيلول'!$L$2:$L$500,0))),"محذوف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IF(L434="","",IF($AO$1=1,IFERROR(MATCH(L434,'07-تموز'!$L$2:$L$500,0),0),0))</f>
        <v/>
      </c>
      <c r="W434" t="str">
        <f t="shared" si="131"/>
        <v/>
      </c>
      <c r="X434" s="38" t="str">
        <f>IF(L434="","",IF(V434&gt;0,INDEX('07-تموز'!$P$2:$P$500,V434),IF($AO$1=1,0,"")))</f>
        <v/>
      </c>
      <c r="Y434" s="38" t="str">
        <f t="shared" si="132"/>
        <v/>
      </c>
      <c r="Z434" s="39" t="str">
        <f>IF(L434="","",IF(V434&gt;0,INDEX('07-تموز'!$Q$2:$Q$500,V434),IF($AO$1=1,0,"")))</f>
        <v/>
      </c>
      <c r="AA434" s="39" t="str">
        <f t="shared" si="133"/>
        <v/>
      </c>
      <c r="AB434" s="40" t="str">
        <f>IF(OR(L434="",V434=0),"",IF(AND(N(I434)&gt;0,N(INDEX('07-تموز'!$I$2:$I$500,V434))&gt;0,INDEX('07-تموز'!$F$2:$F$500,V434)=F434),N(I434)/N(INDEX('07-تموز'!$I$2:$I$500,V434))-1,""))</f>
        <v/>
      </c>
      <c r="AC434" t="str">
        <f>IF(L434="","",IF(AND($AO$2=1,ISNA(MATCH(L434,'09-أيلول'!$L$2:$L$500,0))),"محذوف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IF(L435="","",IF($AO$1=1,IFERROR(MATCH(L435,'07-تموز'!$L$2:$L$500,0),0),0))</f>
        <v/>
      </c>
      <c r="W435" t="str">
        <f t="shared" si="131"/>
        <v/>
      </c>
      <c r="X435" s="38" t="str">
        <f>IF(L435="","",IF(V435&gt;0,INDEX('07-تموز'!$P$2:$P$500,V435),IF($AO$1=1,0,"")))</f>
        <v/>
      </c>
      <c r="Y435" s="38" t="str">
        <f t="shared" si="132"/>
        <v/>
      </c>
      <c r="Z435" s="39" t="str">
        <f>IF(L435="","",IF(V435&gt;0,INDEX('07-تموز'!$Q$2:$Q$500,V435),IF($AO$1=1,0,"")))</f>
        <v/>
      </c>
      <c r="AA435" s="39" t="str">
        <f t="shared" si="133"/>
        <v/>
      </c>
      <c r="AB435" s="40" t="str">
        <f>IF(OR(L435="",V435=0),"",IF(AND(N(I435)&gt;0,N(INDEX('07-تموز'!$I$2:$I$500,V435))&gt;0,INDEX('07-تموز'!$F$2:$F$500,V435)=F435),N(I435)/N(INDEX('07-تموز'!$I$2:$I$500,V435))-1,""))</f>
        <v/>
      </c>
      <c r="AC435" t="str">
        <f>IF(L435="","",IF(AND($AO$2=1,ISNA(MATCH(L435,'09-أيلول'!$L$2:$L$500,0))),"محذوف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IF(L436="","",IF($AO$1=1,IFERROR(MATCH(L436,'07-تموز'!$L$2:$L$500,0),0),0))</f>
        <v/>
      </c>
      <c r="W436" t="str">
        <f t="shared" si="131"/>
        <v/>
      </c>
      <c r="X436" s="38" t="str">
        <f>IF(L436="","",IF(V436&gt;0,INDEX('07-تموز'!$P$2:$P$500,V436),IF($AO$1=1,0,"")))</f>
        <v/>
      </c>
      <c r="Y436" s="38" t="str">
        <f t="shared" si="132"/>
        <v/>
      </c>
      <c r="Z436" s="39" t="str">
        <f>IF(L436="","",IF(V436&gt;0,INDEX('07-تموز'!$Q$2:$Q$500,V436),IF($AO$1=1,0,"")))</f>
        <v/>
      </c>
      <c r="AA436" s="39" t="str">
        <f t="shared" si="133"/>
        <v/>
      </c>
      <c r="AB436" s="40" t="str">
        <f>IF(OR(L436="",V436=0),"",IF(AND(N(I436)&gt;0,N(INDEX('07-تموز'!$I$2:$I$500,V436))&gt;0,INDEX('07-تموز'!$F$2:$F$500,V436)=F436),N(I436)/N(INDEX('07-تموز'!$I$2:$I$500,V436))-1,""))</f>
        <v/>
      </c>
      <c r="AC436" t="str">
        <f>IF(L436="","",IF(AND($AO$2=1,ISNA(MATCH(L436,'09-أيلول'!$L$2:$L$500,0))),"محذوف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IF(L437="","",IF($AO$1=1,IFERROR(MATCH(L437,'07-تموز'!$L$2:$L$500,0),0),0))</f>
        <v/>
      </c>
      <c r="W437" t="str">
        <f t="shared" si="131"/>
        <v/>
      </c>
      <c r="X437" s="38" t="str">
        <f>IF(L437="","",IF(V437&gt;0,INDEX('07-تموز'!$P$2:$P$500,V437),IF($AO$1=1,0,"")))</f>
        <v/>
      </c>
      <c r="Y437" s="38" t="str">
        <f t="shared" si="132"/>
        <v/>
      </c>
      <c r="Z437" s="39" t="str">
        <f>IF(L437="","",IF(V437&gt;0,INDEX('07-تموز'!$Q$2:$Q$500,V437),IF($AO$1=1,0,"")))</f>
        <v/>
      </c>
      <c r="AA437" s="39" t="str">
        <f t="shared" si="133"/>
        <v/>
      </c>
      <c r="AB437" s="40" t="str">
        <f>IF(OR(L437="",V437=0),"",IF(AND(N(I437)&gt;0,N(INDEX('07-تموز'!$I$2:$I$500,V437))&gt;0,INDEX('07-تموز'!$F$2:$F$500,V437)=F437),N(I437)/N(INDEX('07-تموز'!$I$2:$I$500,V437))-1,""))</f>
        <v/>
      </c>
      <c r="AC437" t="str">
        <f>IF(L437="","",IF(AND($AO$2=1,ISNA(MATCH(L437,'09-أيلول'!$L$2:$L$500,0))),"محذوف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IF(L438="","",IF($AO$1=1,IFERROR(MATCH(L438,'07-تموز'!$L$2:$L$500,0),0),0))</f>
        <v/>
      </c>
      <c r="W438" t="str">
        <f t="shared" si="131"/>
        <v/>
      </c>
      <c r="X438" s="38" t="str">
        <f>IF(L438="","",IF(V438&gt;0,INDEX('07-تموز'!$P$2:$P$500,V438),IF($AO$1=1,0,"")))</f>
        <v/>
      </c>
      <c r="Y438" s="38" t="str">
        <f t="shared" si="132"/>
        <v/>
      </c>
      <c r="Z438" s="39" t="str">
        <f>IF(L438="","",IF(V438&gt;0,INDEX('07-تموز'!$Q$2:$Q$500,V438),IF($AO$1=1,0,"")))</f>
        <v/>
      </c>
      <c r="AA438" s="39" t="str">
        <f t="shared" si="133"/>
        <v/>
      </c>
      <c r="AB438" s="40" t="str">
        <f>IF(OR(L438="",V438=0),"",IF(AND(N(I438)&gt;0,N(INDEX('07-تموز'!$I$2:$I$500,V438))&gt;0,INDEX('07-تموز'!$F$2:$F$500,V438)=F438),N(I438)/N(INDEX('07-تموز'!$I$2:$I$500,V438))-1,""))</f>
        <v/>
      </c>
      <c r="AC438" t="str">
        <f>IF(L438="","",IF(AND($AO$2=1,ISNA(MATCH(L438,'09-أيلول'!$L$2:$L$500,0))),"محذوف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IF(L439="","",IF($AO$1=1,IFERROR(MATCH(L439,'07-تموز'!$L$2:$L$500,0),0),0))</f>
        <v/>
      </c>
      <c r="W439" t="str">
        <f t="shared" si="131"/>
        <v/>
      </c>
      <c r="X439" s="38" t="str">
        <f>IF(L439="","",IF(V439&gt;0,INDEX('07-تموز'!$P$2:$P$500,V439),IF($AO$1=1,0,"")))</f>
        <v/>
      </c>
      <c r="Y439" s="38" t="str">
        <f t="shared" si="132"/>
        <v/>
      </c>
      <c r="Z439" s="39" t="str">
        <f>IF(L439="","",IF(V439&gt;0,INDEX('07-تموز'!$Q$2:$Q$500,V439),IF($AO$1=1,0,"")))</f>
        <v/>
      </c>
      <c r="AA439" s="39" t="str">
        <f t="shared" si="133"/>
        <v/>
      </c>
      <c r="AB439" s="40" t="str">
        <f>IF(OR(L439="",V439=0),"",IF(AND(N(I439)&gt;0,N(INDEX('07-تموز'!$I$2:$I$500,V439))&gt;0,INDEX('07-تموز'!$F$2:$F$500,V439)=F439),N(I439)/N(INDEX('07-تموز'!$I$2:$I$500,V439))-1,""))</f>
        <v/>
      </c>
      <c r="AC439" t="str">
        <f>IF(L439="","",IF(AND($AO$2=1,ISNA(MATCH(L439,'09-أيلول'!$L$2:$L$500,0))),"محذوف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IF(L440="","",IF($AO$1=1,IFERROR(MATCH(L440,'07-تموز'!$L$2:$L$500,0),0),0))</f>
        <v/>
      </c>
      <c r="W440" t="str">
        <f t="shared" si="131"/>
        <v/>
      </c>
      <c r="X440" s="38" t="str">
        <f>IF(L440="","",IF(V440&gt;0,INDEX('07-تموز'!$P$2:$P$500,V440),IF($AO$1=1,0,"")))</f>
        <v/>
      </c>
      <c r="Y440" s="38" t="str">
        <f t="shared" si="132"/>
        <v/>
      </c>
      <c r="Z440" s="39" t="str">
        <f>IF(L440="","",IF(V440&gt;0,INDEX('07-تموز'!$Q$2:$Q$500,V440),IF($AO$1=1,0,"")))</f>
        <v/>
      </c>
      <c r="AA440" s="39" t="str">
        <f t="shared" si="133"/>
        <v/>
      </c>
      <c r="AB440" s="40" t="str">
        <f>IF(OR(L440="",V440=0),"",IF(AND(N(I440)&gt;0,N(INDEX('07-تموز'!$I$2:$I$500,V440))&gt;0,INDEX('07-تموز'!$F$2:$F$500,V440)=F440),N(I440)/N(INDEX('07-تموز'!$I$2:$I$500,V440))-1,""))</f>
        <v/>
      </c>
      <c r="AC440" t="str">
        <f>IF(L440="","",IF(AND($AO$2=1,ISNA(MATCH(L440,'09-أيلول'!$L$2:$L$500,0))),"محذوف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IF(L441="","",IF($AO$1=1,IFERROR(MATCH(L441,'07-تموز'!$L$2:$L$500,0),0),0))</f>
        <v/>
      </c>
      <c r="W441" t="str">
        <f t="shared" si="131"/>
        <v/>
      </c>
      <c r="X441" s="38" t="str">
        <f>IF(L441="","",IF(V441&gt;0,INDEX('07-تموز'!$P$2:$P$500,V441),IF($AO$1=1,0,"")))</f>
        <v/>
      </c>
      <c r="Y441" s="38" t="str">
        <f t="shared" si="132"/>
        <v/>
      </c>
      <c r="Z441" s="39" t="str">
        <f>IF(L441="","",IF(V441&gt;0,INDEX('07-تموز'!$Q$2:$Q$500,V441),IF($AO$1=1,0,"")))</f>
        <v/>
      </c>
      <c r="AA441" s="39" t="str">
        <f t="shared" si="133"/>
        <v/>
      </c>
      <c r="AB441" s="40" t="str">
        <f>IF(OR(L441="",V441=0),"",IF(AND(N(I441)&gt;0,N(INDEX('07-تموز'!$I$2:$I$500,V441))&gt;0,INDEX('07-تموز'!$F$2:$F$500,V441)=F441),N(I441)/N(INDEX('07-تموز'!$I$2:$I$500,V441))-1,""))</f>
        <v/>
      </c>
      <c r="AC441" t="str">
        <f>IF(L441="","",IF(AND($AO$2=1,ISNA(MATCH(L441,'09-أيلول'!$L$2:$L$500,0))),"محذوف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IF(L442="","",IF($AO$1=1,IFERROR(MATCH(L442,'07-تموز'!$L$2:$L$500,0),0),0))</f>
        <v/>
      </c>
      <c r="W442" t="str">
        <f t="shared" si="131"/>
        <v/>
      </c>
      <c r="X442" s="38" t="str">
        <f>IF(L442="","",IF(V442&gt;0,INDEX('07-تموز'!$P$2:$P$500,V442),IF($AO$1=1,0,"")))</f>
        <v/>
      </c>
      <c r="Y442" s="38" t="str">
        <f t="shared" si="132"/>
        <v/>
      </c>
      <c r="Z442" s="39" t="str">
        <f>IF(L442="","",IF(V442&gt;0,INDEX('07-تموز'!$Q$2:$Q$500,V442),IF($AO$1=1,0,"")))</f>
        <v/>
      </c>
      <c r="AA442" s="39" t="str">
        <f t="shared" si="133"/>
        <v/>
      </c>
      <c r="AB442" s="40" t="str">
        <f>IF(OR(L442="",V442=0),"",IF(AND(N(I442)&gt;0,N(INDEX('07-تموز'!$I$2:$I$500,V442))&gt;0,INDEX('07-تموز'!$F$2:$F$500,V442)=F442),N(I442)/N(INDEX('07-تموز'!$I$2:$I$500,V442))-1,""))</f>
        <v/>
      </c>
      <c r="AC442" t="str">
        <f>IF(L442="","",IF(AND($AO$2=1,ISNA(MATCH(L442,'09-أيلول'!$L$2:$L$500,0))),"محذوف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IF(L443="","",IF($AO$1=1,IFERROR(MATCH(L443,'07-تموز'!$L$2:$L$500,0),0),0))</f>
        <v/>
      </c>
      <c r="W443" t="str">
        <f t="shared" si="131"/>
        <v/>
      </c>
      <c r="X443" s="38" t="str">
        <f>IF(L443="","",IF(V443&gt;0,INDEX('07-تموز'!$P$2:$P$500,V443),IF($AO$1=1,0,"")))</f>
        <v/>
      </c>
      <c r="Y443" s="38" t="str">
        <f t="shared" si="132"/>
        <v/>
      </c>
      <c r="Z443" s="39" t="str">
        <f>IF(L443="","",IF(V443&gt;0,INDEX('07-تموز'!$Q$2:$Q$500,V443),IF($AO$1=1,0,"")))</f>
        <v/>
      </c>
      <c r="AA443" s="39" t="str">
        <f t="shared" si="133"/>
        <v/>
      </c>
      <c r="AB443" s="40" t="str">
        <f>IF(OR(L443="",V443=0),"",IF(AND(N(I443)&gt;0,N(INDEX('07-تموز'!$I$2:$I$500,V443))&gt;0,INDEX('07-تموز'!$F$2:$F$500,V443)=F443),N(I443)/N(INDEX('07-تموز'!$I$2:$I$500,V443))-1,""))</f>
        <v/>
      </c>
      <c r="AC443" t="str">
        <f>IF(L443="","",IF(AND($AO$2=1,ISNA(MATCH(L443,'09-أيلول'!$L$2:$L$500,0))),"محذوف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IF(L444="","",IF($AO$1=1,IFERROR(MATCH(L444,'07-تموز'!$L$2:$L$500,0),0),0))</f>
        <v/>
      </c>
      <c r="W444" t="str">
        <f t="shared" si="131"/>
        <v/>
      </c>
      <c r="X444" s="38" t="str">
        <f>IF(L444="","",IF(V444&gt;0,INDEX('07-تموز'!$P$2:$P$500,V444),IF($AO$1=1,0,"")))</f>
        <v/>
      </c>
      <c r="Y444" s="38" t="str">
        <f t="shared" si="132"/>
        <v/>
      </c>
      <c r="Z444" s="39" t="str">
        <f>IF(L444="","",IF(V444&gt;0,INDEX('07-تموز'!$Q$2:$Q$500,V444),IF($AO$1=1,0,"")))</f>
        <v/>
      </c>
      <c r="AA444" s="39" t="str">
        <f t="shared" si="133"/>
        <v/>
      </c>
      <c r="AB444" s="40" t="str">
        <f>IF(OR(L444="",V444=0),"",IF(AND(N(I444)&gt;0,N(INDEX('07-تموز'!$I$2:$I$500,V444))&gt;0,INDEX('07-تموز'!$F$2:$F$500,V444)=F444),N(I444)/N(INDEX('07-تموز'!$I$2:$I$500,V444))-1,""))</f>
        <v/>
      </c>
      <c r="AC444" t="str">
        <f>IF(L444="","",IF(AND($AO$2=1,ISNA(MATCH(L444,'09-أيلول'!$L$2:$L$500,0))),"محذوف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IF(L445="","",IF($AO$1=1,IFERROR(MATCH(L445,'07-تموز'!$L$2:$L$500,0),0),0))</f>
        <v/>
      </c>
      <c r="W445" t="str">
        <f t="shared" si="131"/>
        <v/>
      </c>
      <c r="X445" s="38" t="str">
        <f>IF(L445="","",IF(V445&gt;0,INDEX('07-تموز'!$P$2:$P$500,V445),IF($AO$1=1,0,"")))</f>
        <v/>
      </c>
      <c r="Y445" s="38" t="str">
        <f t="shared" si="132"/>
        <v/>
      </c>
      <c r="Z445" s="39" t="str">
        <f>IF(L445="","",IF(V445&gt;0,INDEX('07-تموز'!$Q$2:$Q$500,V445),IF($AO$1=1,0,"")))</f>
        <v/>
      </c>
      <c r="AA445" s="39" t="str">
        <f t="shared" si="133"/>
        <v/>
      </c>
      <c r="AB445" s="40" t="str">
        <f>IF(OR(L445="",V445=0),"",IF(AND(N(I445)&gt;0,N(INDEX('07-تموز'!$I$2:$I$500,V445))&gt;0,INDEX('07-تموز'!$F$2:$F$500,V445)=F445),N(I445)/N(INDEX('07-تموز'!$I$2:$I$500,V445))-1,""))</f>
        <v/>
      </c>
      <c r="AC445" t="str">
        <f>IF(L445="","",IF(AND($AO$2=1,ISNA(MATCH(L445,'09-أيلول'!$L$2:$L$500,0))),"محذوف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IF(L446="","",IF($AO$1=1,IFERROR(MATCH(L446,'07-تموز'!$L$2:$L$500,0),0),0))</f>
        <v/>
      </c>
      <c r="W446" t="str">
        <f t="shared" si="131"/>
        <v/>
      </c>
      <c r="X446" s="38" t="str">
        <f>IF(L446="","",IF(V446&gt;0,INDEX('07-تموز'!$P$2:$P$500,V446),IF($AO$1=1,0,"")))</f>
        <v/>
      </c>
      <c r="Y446" s="38" t="str">
        <f t="shared" si="132"/>
        <v/>
      </c>
      <c r="Z446" s="39" t="str">
        <f>IF(L446="","",IF(V446&gt;0,INDEX('07-تموز'!$Q$2:$Q$500,V446),IF($AO$1=1,0,"")))</f>
        <v/>
      </c>
      <c r="AA446" s="39" t="str">
        <f t="shared" si="133"/>
        <v/>
      </c>
      <c r="AB446" s="40" t="str">
        <f>IF(OR(L446="",V446=0),"",IF(AND(N(I446)&gt;0,N(INDEX('07-تموز'!$I$2:$I$500,V446))&gt;0,INDEX('07-تموز'!$F$2:$F$500,V446)=F446),N(I446)/N(INDEX('07-تموز'!$I$2:$I$500,V446))-1,""))</f>
        <v/>
      </c>
      <c r="AC446" t="str">
        <f>IF(L446="","",IF(AND($AO$2=1,ISNA(MATCH(L446,'09-أيلول'!$L$2:$L$500,0))),"محذوف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IF(L447="","",IF($AO$1=1,IFERROR(MATCH(L447,'07-تموز'!$L$2:$L$500,0),0),0))</f>
        <v/>
      </c>
      <c r="W447" t="str">
        <f t="shared" si="131"/>
        <v/>
      </c>
      <c r="X447" s="38" t="str">
        <f>IF(L447="","",IF(V447&gt;0,INDEX('07-تموز'!$P$2:$P$500,V447),IF($AO$1=1,0,"")))</f>
        <v/>
      </c>
      <c r="Y447" s="38" t="str">
        <f t="shared" si="132"/>
        <v/>
      </c>
      <c r="Z447" s="39" t="str">
        <f>IF(L447="","",IF(V447&gt;0,INDEX('07-تموز'!$Q$2:$Q$500,V447),IF($AO$1=1,0,"")))</f>
        <v/>
      </c>
      <c r="AA447" s="39" t="str">
        <f t="shared" si="133"/>
        <v/>
      </c>
      <c r="AB447" s="40" t="str">
        <f>IF(OR(L447="",V447=0),"",IF(AND(N(I447)&gt;0,N(INDEX('07-تموز'!$I$2:$I$500,V447))&gt;0,INDEX('07-تموز'!$F$2:$F$500,V447)=F447),N(I447)/N(INDEX('07-تموز'!$I$2:$I$500,V447))-1,""))</f>
        <v/>
      </c>
      <c r="AC447" t="str">
        <f>IF(L447="","",IF(AND($AO$2=1,ISNA(MATCH(L447,'09-أيلول'!$L$2:$L$500,0))),"محذوف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IF(L448="","",IF($AO$1=1,IFERROR(MATCH(L448,'07-تموز'!$L$2:$L$500,0),0),0))</f>
        <v/>
      </c>
      <c r="W448" t="str">
        <f t="shared" si="131"/>
        <v/>
      </c>
      <c r="X448" s="38" t="str">
        <f>IF(L448="","",IF(V448&gt;0,INDEX('07-تموز'!$P$2:$P$500,V448),IF($AO$1=1,0,"")))</f>
        <v/>
      </c>
      <c r="Y448" s="38" t="str">
        <f t="shared" si="132"/>
        <v/>
      </c>
      <c r="Z448" s="39" t="str">
        <f>IF(L448="","",IF(V448&gt;0,INDEX('07-تموز'!$Q$2:$Q$500,V448),IF($AO$1=1,0,"")))</f>
        <v/>
      </c>
      <c r="AA448" s="39" t="str">
        <f t="shared" si="133"/>
        <v/>
      </c>
      <c r="AB448" s="40" t="str">
        <f>IF(OR(L448="",V448=0),"",IF(AND(N(I448)&gt;0,N(INDEX('07-تموز'!$I$2:$I$500,V448))&gt;0,INDEX('07-تموز'!$F$2:$F$500,V448)=F448),N(I448)/N(INDEX('07-تموز'!$I$2:$I$500,V448))-1,""))</f>
        <v/>
      </c>
      <c r="AC448" t="str">
        <f>IF(L448="","",IF(AND($AO$2=1,ISNA(MATCH(L448,'09-أيلول'!$L$2:$L$500,0))),"محذوف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IF(L449="","",IF($AO$1=1,IFERROR(MATCH(L449,'07-تموز'!$L$2:$L$500,0),0),0))</f>
        <v/>
      </c>
      <c r="W449" t="str">
        <f t="shared" si="131"/>
        <v/>
      </c>
      <c r="X449" s="38" t="str">
        <f>IF(L449="","",IF(V449&gt;0,INDEX('07-تموز'!$P$2:$P$500,V449),IF($AO$1=1,0,"")))</f>
        <v/>
      </c>
      <c r="Y449" s="38" t="str">
        <f t="shared" si="132"/>
        <v/>
      </c>
      <c r="Z449" s="39" t="str">
        <f>IF(L449="","",IF(V449&gt;0,INDEX('07-تموز'!$Q$2:$Q$500,V449),IF($AO$1=1,0,"")))</f>
        <v/>
      </c>
      <c r="AA449" s="39" t="str">
        <f t="shared" si="133"/>
        <v/>
      </c>
      <c r="AB449" s="40" t="str">
        <f>IF(OR(L449="",V449=0),"",IF(AND(N(I449)&gt;0,N(INDEX('07-تموز'!$I$2:$I$500,V449))&gt;0,INDEX('07-تموز'!$F$2:$F$500,V449)=F449),N(I449)/N(INDEX('07-تموز'!$I$2:$I$500,V449))-1,""))</f>
        <v/>
      </c>
      <c r="AC449" t="str">
        <f>IF(L449="","",IF(AND($AO$2=1,ISNA(MATCH(L449,'09-أيلول'!$L$2:$L$500,0))),"محذوف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IF(L450="","",IF($AO$1=1,IFERROR(MATCH(L450,'07-تموز'!$L$2:$L$500,0),0),0))</f>
        <v/>
      </c>
      <c r="W450" t="str">
        <f t="shared" ref="W450:W501" si="151">IF(L450="","",IF(AND($AO$1=1,V450=0),"جديد",""))</f>
        <v/>
      </c>
      <c r="X450" s="38" t="str">
        <f>IF(L450="","",IF(V450&gt;0,INDEX('07-تموز'!$P$2:$P$500,V450),IF($AO$1=1,0,"")))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IF(L450="","",IF(V450&gt;0,INDEX('07-تموز'!$Q$2:$Q$500,V450),IF($AO$1=1,0,"")))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IF(OR(L450="",V450=0),"",IF(AND(N(I450)&gt;0,N(INDEX('07-تموز'!$I$2:$I$500,V450))&gt;0,INDEX('07-تموز'!$F$2:$F$500,V450)=F450),N(I450)/N(INDEX('07-تموز'!$I$2:$I$500,V450))-1,""))</f>
        <v/>
      </c>
      <c r="AC450" t="str">
        <f>IF(L450="","",IF(AND($AO$2=1,ISNA(MATCH(L450,'09-أيلول'!$L$2:$L$500,0))),"محذوف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IF(L451="","",IF($AO$1=1,IFERROR(MATCH(L451,'07-تموز'!$L$2:$L$500,0),0),0))</f>
        <v/>
      </c>
      <c r="W451" t="str">
        <f t="shared" si="151"/>
        <v/>
      </c>
      <c r="X451" s="38" t="str">
        <f>IF(L451="","",IF(V451&gt;0,INDEX('07-تموز'!$P$2:$P$500,V451),IF($AO$1=1,0,"")))</f>
        <v/>
      </c>
      <c r="Y451" s="38" t="str">
        <f t="shared" si="152"/>
        <v/>
      </c>
      <c r="Z451" s="39" t="str">
        <f>IF(L451="","",IF(V451&gt;0,INDEX('07-تموز'!$Q$2:$Q$500,V451),IF($AO$1=1,0,"")))</f>
        <v/>
      </c>
      <c r="AA451" s="39" t="str">
        <f t="shared" si="153"/>
        <v/>
      </c>
      <c r="AB451" s="40" t="str">
        <f>IF(OR(L451="",V451=0),"",IF(AND(N(I451)&gt;0,N(INDEX('07-تموز'!$I$2:$I$500,V451))&gt;0,INDEX('07-تموز'!$F$2:$F$500,V451)=F451),N(I451)/N(INDEX('07-تموز'!$I$2:$I$500,V451))-1,""))</f>
        <v/>
      </c>
      <c r="AC451" t="str">
        <f>IF(L451="","",IF(AND($AO$2=1,ISNA(MATCH(L451,'09-أيلول'!$L$2:$L$500,0))),"محذوف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IF(L452="","",IF($AO$1=1,IFERROR(MATCH(L452,'07-تموز'!$L$2:$L$500,0),0),0))</f>
        <v/>
      </c>
      <c r="W452" t="str">
        <f t="shared" si="151"/>
        <v/>
      </c>
      <c r="X452" s="38" t="str">
        <f>IF(L452="","",IF(V452&gt;0,INDEX('07-تموز'!$P$2:$P$500,V452),IF($AO$1=1,0,"")))</f>
        <v/>
      </c>
      <c r="Y452" s="38" t="str">
        <f t="shared" si="152"/>
        <v/>
      </c>
      <c r="Z452" s="39" t="str">
        <f>IF(L452="","",IF(V452&gt;0,INDEX('07-تموز'!$Q$2:$Q$500,V452),IF($AO$1=1,0,"")))</f>
        <v/>
      </c>
      <c r="AA452" s="39" t="str">
        <f t="shared" si="153"/>
        <v/>
      </c>
      <c r="AB452" s="40" t="str">
        <f>IF(OR(L452="",V452=0),"",IF(AND(N(I452)&gt;0,N(INDEX('07-تموز'!$I$2:$I$500,V452))&gt;0,INDEX('07-تموز'!$F$2:$F$500,V452)=F452),N(I452)/N(INDEX('07-تموز'!$I$2:$I$500,V452))-1,""))</f>
        <v/>
      </c>
      <c r="AC452" t="str">
        <f>IF(L452="","",IF(AND($AO$2=1,ISNA(MATCH(L452,'09-أيلول'!$L$2:$L$500,0))),"محذوف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IF(L453="","",IF($AO$1=1,IFERROR(MATCH(L453,'07-تموز'!$L$2:$L$500,0),0),0))</f>
        <v/>
      </c>
      <c r="W453" t="str">
        <f t="shared" si="151"/>
        <v/>
      </c>
      <c r="X453" s="38" t="str">
        <f>IF(L453="","",IF(V453&gt;0,INDEX('07-تموز'!$P$2:$P$500,V453),IF($AO$1=1,0,"")))</f>
        <v/>
      </c>
      <c r="Y453" s="38" t="str">
        <f t="shared" si="152"/>
        <v/>
      </c>
      <c r="Z453" s="39" t="str">
        <f>IF(L453="","",IF(V453&gt;0,INDEX('07-تموز'!$Q$2:$Q$500,V453),IF($AO$1=1,0,"")))</f>
        <v/>
      </c>
      <c r="AA453" s="39" t="str">
        <f t="shared" si="153"/>
        <v/>
      </c>
      <c r="AB453" s="40" t="str">
        <f>IF(OR(L453="",V453=0),"",IF(AND(N(I453)&gt;0,N(INDEX('07-تموز'!$I$2:$I$500,V453))&gt;0,INDEX('07-تموز'!$F$2:$F$500,V453)=F453),N(I453)/N(INDEX('07-تموز'!$I$2:$I$500,V453))-1,""))</f>
        <v/>
      </c>
      <c r="AC453" t="str">
        <f>IF(L453="","",IF(AND($AO$2=1,ISNA(MATCH(L453,'09-أيلول'!$L$2:$L$500,0))),"محذوف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IF(L454="","",IF($AO$1=1,IFERROR(MATCH(L454,'07-تموز'!$L$2:$L$500,0),0),0))</f>
        <v/>
      </c>
      <c r="W454" t="str">
        <f t="shared" si="151"/>
        <v/>
      </c>
      <c r="X454" s="38" t="str">
        <f>IF(L454="","",IF(V454&gt;0,INDEX('07-تموز'!$P$2:$P$500,V454),IF($AO$1=1,0,"")))</f>
        <v/>
      </c>
      <c r="Y454" s="38" t="str">
        <f t="shared" si="152"/>
        <v/>
      </c>
      <c r="Z454" s="39" t="str">
        <f>IF(L454="","",IF(V454&gt;0,INDEX('07-تموز'!$Q$2:$Q$500,V454),IF($AO$1=1,0,"")))</f>
        <v/>
      </c>
      <c r="AA454" s="39" t="str">
        <f t="shared" si="153"/>
        <v/>
      </c>
      <c r="AB454" s="40" t="str">
        <f>IF(OR(L454="",V454=0),"",IF(AND(N(I454)&gt;0,N(INDEX('07-تموز'!$I$2:$I$500,V454))&gt;0,INDEX('07-تموز'!$F$2:$F$500,V454)=F454),N(I454)/N(INDEX('07-تموز'!$I$2:$I$500,V454))-1,""))</f>
        <v/>
      </c>
      <c r="AC454" t="str">
        <f>IF(L454="","",IF(AND($AO$2=1,ISNA(MATCH(L454,'09-أيلول'!$L$2:$L$500,0))),"محذوف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IF(L455="","",IF($AO$1=1,IFERROR(MATCH(L455,'07-تموز'!$L$2:$L$500,0),0),0))</f>
        <v/>
      </c>
      <c r="W455" t="str">
        <f t="shared" si="151"/>
        <v/>
      </c>
      <c r="X455" s="38" t="str">
        <f>IF(L455="","",IF(V455&gt;0,INDEX('07-تموز'!$P$2:$P$500,V455),IF($AO$1=1,0,"")))</f>
        <v/>
      </c>
      <c r="Y455" s="38" t="str">
        <f t="shared" si="152"/>
        <v/>
      </c>
      <c r="Z455" s="39" t="str">
        <f>IF(L455="","",IF(V455&gt;0,INDEX('07-تموز'!$Q$2:$Q$500,V455),IF($AO$1=1,0,"")))</f>
        <v/>
      </c>
      <c r="AA455" s="39" t="str">
        <f t="shared" si="153"/>
        <v/>
      </c>
      <c r="AB455" s="40" t="str">
        <f>IF(OR(L455="",V455=0),"",IF(AND(N(I455)&gt;0,N(INDEX('07-تموز'!$I$2:$I$500,V455))&gt;0,INDEX('07-تموز'!$F$2:$F$500,V455)=F455),N(I455)/N(INDEX('07-تموز'!$I$2:$I$500,V455))-1,""))</f>
        <v/>
      </c>
      <c r="AC455" t="str">
        <f>IF(L455="","",IF(AND($AO$2=1,ISNA(MATCH(L455,'09-أيلول'!$L$2:$L$500,0))),"محذوف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IF(L456="","",IF($AO$1=1,IFERROR(MATCH(L456,'07-تموز'!$L$2:$L$500,0),0),0))</f>
        <v/>
      </c>
      <c r="W456" t="str">
        <f t="shared" si="151"/>
        <v/>
      </c>
      <c r="X456" s="38" t="str">
        <f>IF(L456="","",IF(V456&gt;0,INDEX('07-تموز'!$P$2:$P$500,V456),IF($AO$1=1,0,"")))</f>
        <v/>
      </c>
      <c r="Y456" s="38" t="str">
        <f t="shared" si="152"/>
        <v/>
      </c>
      <c r="Z456" s="39" t="str">
        <f>IF(L456="","",IF(V456&gt;0,INDEX('07-تموز'!$Q$2:$Q$500,V456),IF($AO$1=1,0,"")))</f>
        <v/>
      </c>
      <c r="AA456" s="39" t="str">
        <f t="shared" si="153"/>
        <v/>
      </c>
      <c r="AB456" s="40" t="str">
        <f>IF(OR(L456="",V456=0),"",IF(AND(N(I456)&gt;0,N(INDEX('07-تموز'!$I$2:$I$500,V456))&gt;0,INDEX('07-تموز'!$F$2:$F$500,V456)=F456),N(I456)/N(INDEX('07-تموز'!$I$2:$I$500,V456))-1,""))</f>
        <v/>
      </c>
      <c r="AC456" t="str">
        <f>IF(L456="","",IF(AND($AO$2=1,ISNA(MATCH(L456,'09-أيلول'!$L$2:$L$500,0))),"محذوف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IF(L457="","",IF($AO$1=1,IFERROR(MATCH(L457,'07-تموز'!$L$2:$L$500,0),0),0))</f>
        <v/>
      </c>
      <c r="W457" t="str">
        <f t="shared" si="151"/>
        <v/>
      </c>
      <c r="X457" s="38" t="str">
        <f>IF(L457="","",IF(V457&gt;0,INDEX('07-تموز'!$P$2:$P$500,V457),IF($AO$1=1,0,"")))</f>
        <v/>
      </c>
      <c r="Y457" s="38" t="str">
        <f t="shared" si="152"/>
        <v/>
      </c>
      <c r="Z457" s="39" t="str">
        <f>IF(L457="","",IF(V457&gt;0,INDEX('07-تموز'!$Q$2:$Q$500,V457),IF($AO$1=1,0,"")))</f>
        <v/>
      </c>
      <c r="AA457" s="39" t="str">
        <f t="shared" si="153"/>
        <v/>
      </c>
      <c r="AB457" s="40" t="str">
        <f>IF(OR(L457="",V457=0),"",IF(AND(N(I457)&gt;0,N(INDEX('07-تموز'!$I$2:$I$500,V457))&gt;0,INDEX('07-تموز'!$F$2:$F$500,V457)=F457),N(I457)/N(INDEX('07-تموز'!$I$2:$I$500,V457))-1,""))</f>
        <v/>
      </c>
      <c r="AC457" t="str">
        <f>IF(L457="","",IF(AND($AO$2=1,ISNA(MATCH(L457,'09-أيلول'!$L$2:$L$500,0))),"محذوف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IF(L458="","",IF($AO$1=1,IFERROR(MATCH(L458,'07-تموز'!$L$2:$L$500,0),0),0))</f>
        <v/>
      </c>
      <c r="W458" t="str">
        <f t="shared" si="151"/>
        <v/>
      </c>
      <c r="X458" s="38" t="str">
        <f>IF(L458="","",IF(V458&gt;0,INDEX('07-تموز'!$P$2:$P$500,V458),IF($AO$1=1,0,"")))</f>
        <v/>
      </c>
      <c r="Y458" s="38" t="str">
        <f t="shared" si="152"/>
        <v/>
      </c>
      <c r="Z458" s="39" t="str">
        <f>IF(L458="","",IF(V458&gt;0,INDEX('07-تموز'!$Q$2:$Q$500,V458),IF($AO$1=1,0,"")))</f>
        <v/>
      </c>
      <c r="AA458" s="39" t="str">
        <f t="shared" si="153"/>
        <v/>
      </c>
      <c r="AB458" s="40" t="str">
        <f>IF(OR(L458="",V458=0),"",IF(AND(N(I458)&gt;0,N(INDEX('07-تموز'!$I$2:$I$500,V458))&gt;0,INDEX('07-تموز'!$F$2:$F$500,V458)=F458),N(I458)/N(INDEX('07-تموز'!$I$2:$I$500,V458))-1,""))</f>
        <v/>
      </c>
      <c r="AC458" t="str">
        <f>IF(L458="","",IF(AND($AO$2=1,ISNA(MATCH(L458,'09-أيلول'!$L$2:$L$500,0))),"محذوف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IF(L459="","",IF($AO$1=1,IFERROR(MATCH(L459,'07-تموز'!$L$2:$L$500,0),0),0))</f>
        <v/>
      </c>
      <c r="W459" t="str">
        <f t="shared" si="151"/>
        <v/>
      </c>
      <c r="X459" s="38" t="str">
        <f>IF(L459="","",IF(V459&gt;0,INDEX('07-تموز'!$P$2:$P$500,V459),IF($AO$1=1,0,"")))</f>
        <v/>
      </c>
      <c r="Y459" s="38" t="str">
        <f t="shared" si="152"/>
        <v/>
      </c>
      <c r="Z459" s="39" t="str">
        <f>IF(L459="","",IF(V459&gt;0,INDEX('07-تموز'!$Q$2:$Q$500,V459),IF($AO$1=1,0,"")))</f>
        <v/>
      </c>
      <c r="AA459" s="39" t="str">
        <f t="shared" si="153"/>
        <v/>
      </c>
      <c r="AB459" s="40" t="str">
        <f>IF(OR(L459="",V459=0),"",IF(AND(N(I459)&gt;0,N(INDEX('07-تموز'!$I$2:$I$500,V459))&gt;0,INDEX('07-تموز'!$F$2:$F$500,V459)=F459),N(I459)/N(INDEX('07-تموز'!$I$2:$I$500,V459))-1,""))</f>
        <v/>
      </c>
      <c r="AC459" t="str">
        <f>IF(L459="","",IF(AND($AO$2=1,ISNA(MATCH(L459,'09-أيلول'!$L$2:$L$500,0))),"محذوف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IF(L460="","",IF($AO$1=1,IFERROR(MATCH(L460,'07-تموز'!$L$2:$L$500,0),0),0))</f>
        <v/>
      </c>
      <c r="W460" t="str">
        <f t="shared" si="151"/>
        <v/>
      </c>
      <c r="X460" s="38" t="str">
        <f>IF(L460="","",IF(V460&gt;0,INDEX('07-تموز'!$P$2:$P$500,V460),IF($AO$1=1,0,"")))</f>
        <v/>
      </c>
      <c r="Y460" s="38" t="str">
        <f t="shared" si="152"/>
        <v/>
      </c>
      <c r="Z460" s="39" t="str">
        <f>IF(L460="","",IF(V460&gt;0,INDEX('07-تموز'!$Q$2:$Q$500,V460),IF($AO$1=1,0,"")))</f>
        <v/>
      </c>
      <c r="AA460" s="39" t="str">
        <f t="shared" si="153"/>
        <v/>
      </c>
      <c r="AB460" s="40" t="str">
        <f>IF(OR(L460="",V460=0),"",IF(AND(N(I460)&gt;0,N(INDEX('07-تموز'!$I$2:$I$500,V460))&gt;0,INDEX('07-تموز'!$F$2:$F$500,V460)=F460),N(I460)/N(INDEX('07-تموز'!$I$2:$I$500,V460))-1,""))</f>
        <v/>
      </c>
      <c r="AC460" t="str">
        <f>IF(L460="","",IF(AND($AO$2=1,ISNA(MATCH(L460,'09-أيلول'!$L$2:$L$500,0))),"محذوف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IF(L461="","",IF($AO$1=1,IFERROR(MATCH(L461,'07-تموز'!$L$2:$L$500,0),0),0))</f>
        <v/>
      </c>
      <c r="W461" t="str">
        <f t="shared" si="151"/>
        <v/>
      </c>
      <c r="X461" s="38" t="str">
        <f>IF(L461="","",IF(V461&gt;0,INDEX('07-تموز'!$P$2:$P$500,V461),IF($AO$1=1,0,"")))</f>
        <v/>
      </c>
      <c r="Y461" s="38" t="str">
        <f t="shared" si="152"/>
        <v/>
      </c>
      <c r="Z461" s="39" t="str">
        <f>IF(L461="","",IF(V461&gt;0,INDEX('07-تموز'!$Q$2:$Q$500,V461),IF($AO$1=1,0,"")))</f>
        <v/>
      </c>
      <c r="AA461" s="39" t="str">
        <f t="shared" si="153"/>
        <v/>
      </c>
      <c r="AB461" s="40" t="str">
        <f>IF(OR(L461="",V461=0),"",IF(AND(N(I461)&gt;0,N(INDEX('07-تموز'!$I$2:$I$500,V461))&gt;0,INDEX('07-تموز'!$F$2:$F$500,V461)=F461),N(I461)/N(INDEX('07-تموز'!$I$2:$I$500,V461))-1,""))</f>
        <v/>
      </c>
      <c r="AC461" t="str">
        <f>IF(L461="","",IF(AND($AO$2=1,ISNA(MATCH(L461,'09-أيلول'!$L$2:$L$500,0))),"محذوف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IF(L462="","",IF($AO$1=1,IFERROR(MATCH(L462,'07-تموز'!$L$2:$L$500,0),0),0))</f>
        <v/>
      </c>
      <c r="W462" t="str">
        <f t="shared" si="151"/>
        <v/>
      </c>
      <c r="X462" s="38" t="str">
        <f>IF(L462="","",IF(V462&gt;0,INDEX('07-تموز'!$P$2:$P$500,V462),IF($AO$1=1,0,"")))</f>
        <v/>
      </c>
      <c r="Y462" s="38" t="str">
        <f t="shared" si="152"/>
        <v/>
      </c>
      <c r="Z462" s="39" t="str">
        <f>IF(L462="","",IF(V462&gt;0,INDEX('07-تموز'!$Q$2:$Q$500,V462),IF($AO$1=1,0,"")))</f>
        <v/>
      </c>
      <c r="AA462" s="39" t="str">
        <f t="shared" si="153"/>
        <v/>
      </c>
      <c r="AB462" s="40" t="str">
        <f>IF(OR(L462="",V462=0),"",IF(AND(N(I462)&gt;0,N(INDEX('07-تموز'!$I$2:$I$500,V462))&gt;0,INDEX('07-تموز'!$F$2:$F$500,V462)=F462),N(I462)/N(INDEX('07-تموز'!$I$2:$I$500,V462))-1,""))</f>
        <v/>
      </c>
      <c r="AC462" t="str">
        <f>IF(L462="","",IF(AND($AO$2=1,ISNA(MATCH(L462,'09-أيلول'!$L$2:$L$500,0))),"محذوف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IF(L463="","",IF($AO$1=1,IFERROR(MATCH(L463,'07-تموز'!$L$2:$L$500,0),0),0))</f>
        <v/>
      </c>
      <c r="W463" t="str">
        <f t="shared" si="151"/>
        <v/>
      </c>
      <c r="X463" s="38" t="str">
        <f>IF(L463="","",IF(V463&gt;0,INDEX('07-تموز'!$P$2:$P$500,V463),IF($AO$1=1,0,"")))</f>
        <v/>
      </c>
      <c r="Y463" s="38" t="str">
        <f t="shared" si="152"/>
        <v/>
      </c>
      <c r="Z463" s="39" t="str">
        <f>IF(L463="","",IF(V463&gt;0,INDEX('07-تموز'!$Q$2:$Q$500,V463),IF($AO$1=1,0,"")))</f>
        <v/>
      </c>
      <c r="AA463" s="39" t="str">
        <f t="shared" si="153"/>
        <v/>
      </c>
      <c r="AB463" s="40" t="str">
        <f>IF(OR(L463="",V463=0),"",IF(AND(N(I463)&gt;0,N(INDEX('07-تموز'!$I$2:$I$500,V463))&gt;0,INDEX('07-تموز'!$F$2:$F$500,V463)=F463),N(I463)/N(INDEX('07-تموز'!$I$2:$I$500,V463))-1,""))</f>
        <v/>
      </c>
      <c r="AC463" t="str">
        <f>IF(L463="","",IF(AND($AO$2=1,ISNA(MATCH(L463,'09-أيلول'!$L$2:$L$500,0))),"محذوف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IF(L464="","",IF($AO$1=1,IFERROR(MATCH(L464,'07-تموز'!$L$2:$L$500,0),0),0))</f>
        <v/>
      </c>
      <c r="W464" t="str">
        <f t="shared" si="151"/>
        <v/>
      </c>
      <c r="X464" s="38" t="str">
        <f>IF(L464="","",IF(V464&gt;0,INDEX('07-تموز'!$P$2:$P$500,V464),IF($AO$1=1,0,"")))</f>
        <v/>
      </c>
      <c r="Y464" s="38" t="str">
        <f t="shared" si="152"/>
        <v/>
      </c>
      <c r="Z464" s="39" t="str">
        <f>IF(L464="","",IF(V464&gt;0,INDEX('07-تموز'!$Q$2:$Q$500,V464),IF($AO$1=1,0,"")))</f>
        <v/>
      </c>
      <c r="AA464" s="39" t="str">
        <f t="shared" si="153"/>
        <v/>
      </c>
      <c r="AB464" s="40" t="str">
        <f>IF(OR(L464="",V464=0),"",IF(AND(N(I464)&gt;0,N(INDEX('07-تموز'!$I$2:$I$500,V464))&gt;0,INDEX('07-تموز'!$F$2:$F$500,V464)=F464),N(I464)/N(INDEX('07-تموز'!$I$2:$I$500,V464))-1,""))</f>
        <v/>
      </c>
      <c r="AC464" t="str">
        <f>IF(L464="","",IF(AND($AO$2=1,ISNA(MATCH(L464,'09-أيلول'!$L$2:$L$500,0))),"محذوف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IF(L465="","",IF($AO$1=1,IFERROR(MATCH(L465,'07-تموز'!$L$2:$L$500,0),0),0))</f>
        <v/>
      </c>
      <c r="W465" t="str">
        <f t="shared" si="151"/>
        <v/>
      </c>
      <c r="X465" s="38" t="str">
        <f>IF(L465="","",IF(V465&gt;0,INDEX('07-تموز'!$P$2:$P$500,V465),IF($AO$1=1,0,"")))</f>
        <v/>
      </c>
      <c r="Y465" s="38" t="str">
        <f t="shared" si="152"/>
        <v/>
      </c>
      <c r="Z465" s="39" t="str">
        <f>IF(L465="","",IF(V465&gt;0,INDEX('07-تموز'!$Q$2:$Q$500,V465),IF($AO$1=1,0,"")))</f>
        <v/>
      </c>
      <c r="AA465" s="39" t="str">
        <f t="shared" si="153"/>
        <v/>
      </c>
      <c r="AB465" s="40" t="str">
        <f>IF(OR(L465="",V465=0),"",IF(AND(N(I465)&gt;0,N(INDEX('07-تموز'!$I$2:$I$500,V465))&gt;0,INDEX('07-تموز'!$F$2:$F$500,V465)=F465),N(I465)/N(INDEX('07-تموز'!$I$2:$I$500,V465))-1,""))</f>
        <v/>
      </c>
      <c r="AC465" t="str">
        <f>IF(L465="","",IF(AND($AO$2=1,ISNA(MATCH(L465,'09-أيلول'!$L$2:$L$500,0))),"محذوف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IF(L466="","",IF($AO$1=1,IFERROR(MATCH(L466,'07-تموز'!$L$2:$L$500,0),0),0))</f>
        <v/>
      </c>
      <c r="W466" t="str">
        <f t="shared" si="151"/>
        <v/>
      </c>
      <c r="X466" s="38" t="str">
        <f>IF(L466="","",IF(V466&gt;0,INDEX('07-تموز'!$P$2:$P$500,V466),IF($AO$1=1,0,"")))</f>
        <v/>
      </c>
      <c r="Y466" s="38" t="str">
        <f t="shared" si="152"/>
        <v/>
      </c>
      <c r="Z466" s="39" t="str">
        <f>IF(L466="","",IF(V466&gt;0,INDEX('07-تموز'!$Q$2:$Q$500,V466),IF($AO$1=1,0,"")))</f>
        <v/>
      </c>
      <c r="AA466" s="39" t="str">
        <f t="shared" si="153"/>
        <v/>
      </c>
      <c r="AB466" s="40" t="str">
        <f>IF(OR(L466="",V466=0),"",IF(AND(N(I466)&gt;0,N(INDEX('07-تموز'!$I$2:$I$500,V466))&gt;0,INDEX('07-تموز'!$F$2:$F$500,V466)=F466),N(I466)/N(INDEX('07-تموز'!$I$2:$I$500,V466))-1,""))</f>
        <v/>
      </c>
      <c r="AC466" t="str">
        <f>IF(L466="","",IF(AND($AO$2=1,ISNA(MATCH(L466,'09-أيلول'!$L$2:$L$500,0))),"محذوف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IF(L467="","",IF($AO$1=1,IFERROR(MATCH(L467,'07-تموز'!$L$2:$L$500,0),0),0))</f>
        <v/>
      </c>
      <c r="W467" t="str">
        <f t="shared" si="151"/>
        <v/>
      </c>
      <c r="X467" s="38" t="str">
        <f>IF(L467="","",IF(V467&gt;0,INDEX('07-تموز'!$P$2:$P$500,V467),IF($AO$1=1,0,"")))</f>
        <v/>
      </c>
      <c r="Y467" s="38" t="str">
        <f t="shared" si="152"/>
        <v/>
      </c>
      <c r="Z467" s="39" t="str">
        <f>IF(L467="","",IF(V467&gt;0,INDEX('07-تموز'!$Q$2:$Q$500,V467),IF($AO$1=1,0,"")))</f>
        <v/>
      </c>
      <c r="AA467" s="39" t="str">
        <f t="shared" si="153"/>
        <v/>
      </c>
      <c r="AB467" s="40" t="str">
        <f>IF(OR(L467="",V467=0),"",IF(AND(N(I467)&gt;0,N(INDEX('07-تموز'!$I$2:$I$500,V467))&gt;0,INDEX('07-تموز'!$F$2:$F$500,V467)=F467),N(I467)/N(INDEX('07-تموز'!$I$2:$I$500,V467))-1,""))</f>
        <v/>
      </c>
      <c r="AC467" t="str">
        <f>IF(L467="","",IF(AND($AO$2=1,ISNA(MATCH(L467,'09-أيلول'!$L$2:$L$500,0))),"محذوف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IF(L468="","",IF($AO$1=1,IFERROR(MATCH(L468,'07-تموز'!$L$2:$L$500,0),0),0))</f>
        <v/>
      </c>
      <c r="W468" t="str">
        <f t="shared" si="151"/>
        <v/>
      </c>
      <c r="X468" s="38" t="str">
        <f>IF(L468="","",IF(V468&gt;0,INDEX('07-تموز'!$P$2:$P$500,V468),IF($AO$1=1,0,"")))</f>
        <v/>
      </c>
      <c r="Y468" s="38" t="str">
        <f t="shared" si="152"/>
        <v/>
      </c>
      <c r="Z468" s="39" t="str">
        <f>IF(L468="","",IF(V468&gt;0,INDEX('07-تموز'!$Q$2:$Q$500,V468),IF($AO$1=1,0,"")))</f>
        <v/>
      </c>
      <c r="AA468" s="39" t="str">
        <f t="shared" si="153"/>
        <v/>
      </c>
      <c r="AB468" s="40" t="str">
        <f>IF(OR(L468="",V468=0),"",IF(AND(N(I468)&gt;0,N(INDEX('07-تموز'!$I$2:$I$500,V468))&gt;0,INDEX('07-تموز'!$F$2:$F$500,V468)=F468),N(I468)/N(INDEX('07-تموز'!$I$2:$I$500,V468))-1,""))</f>
        <v/>
      </c>
      <c r="AC468" t="str">
        <f>IF(L468="","",IF(AND($AO$2=1,ISNA(MATCH(L468,'09-أيلول'!$L$2:$L$500,0))),"محذوف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IF(L469="","",IF($AO$1=1,IFERROR(MATCH(L469,'07-تموز'!$L$2:$L$500,0),0),0))</f>
        <v/>
      </c>
      <c r="W469" t="str">
        <f t="shared" si="151"/>
        <v/>
      </c>
      <c r="X469" s="38" t="str">
        <f>IF(L469="","",IF(V469&gt;0,INDEX('07-تموز'!$P$2:$P$500,V469),IF($AO$1=1,0,"")))</f>
        <v/>
      </c>
      <c r="Y469" s="38" t="str">
        <f t="shared" si="152"/>
        <v/>
      </c>
      <c r="Z469" s="39" t="str">
        <f>IF(L469="","",IF(V469&gt;0,INDEX('07-تموز'!$Q$2:$Q$500,V469),IF($AO$1=1,0,"")))</f>
        <v/>
      </c>
      <c r="AA469" s="39" t="str">
        <f t="shared" si="153"/>
        <v/>
      </c>
      <c r="AB469" s="40" t="str">
        <f>IF(OR(L469="",V469=0),"",IF(AND(N(I469)&gt;0,N(INDEX('07-تموز'!$I$2:$I$500,V469))&gt;0,INDEX('07-تموز'!$F$2:$F$500,V469)=F469),N(I469)/N(INDEX('07-تموز'!$I$2:$I$500,V469))-1,""))</f>
        <v/>
      </c>
      <c r="AC469" t="str">
        <f>IF(L469="","",IF(AND($AO$2=1,ISNA(MATCH(L469,'09-أيلول'!$L$2:$L$500,0))),"محذوف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IF(L470="","",IF($AO$1=1,IFERROR(MATCH(L470,'07-تموز'!$L$2:$L$500,0),0),0))</f>
        <v/>
      </c>
      <c r="W470" t="str">
        <f t="shared" si="151"/>
        <v/>
      </c>
      <c r="X470" s="38" t="str">
        <f>IF(L470="","",IF(V470&gt;0,INDEX('07-تموز'!$P$2:$P$500,V470),IF($AO$1=1,0,"")))</f>
        <v/>
      </c>
      <c r="Y470" s="38" t="str">
        <f t="shared" si="152"/>
        <v/>
      </c>
      <c r="Z470" s="39" t="str">
        <f>IF(L470="","",IF(V470&gt;0,INDEX('07-تموز'!$Q$2:$Q$500,V470),IF($AO$1=1,0,"")))</f>
        <v/>
      </c>
      <c r="AA470" s="39" t="str">
        <f t="shared" si="153"/>
        <v/>
      </c>
      <c r="AB470" s="40" t="str">
        <f>IF(OR(L470="",V470=0),"",IF(AND(N(I470)&gt;0,N(INDEX('07-تموز'!$I$2:$I$500,V470))&gt;0,INDEX('07-تموز'!$F$2:$F$500,V470)=F470),N(I470)/N(INDEX('07-تموز'!$I$2:$I$500,V470))-1,""))</f>
        <v/>
      </c>
      <c r="AC470" t="str">
        <f>IF(L470="","",IF(AND($AO$2=1,ISNA(MATCH(L470,'09-أيلول'!$L$2:$L$500,0))),"محذوف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IF(L471="","",IF($AO$1=1,IFERROR(MATCH(L471,'07-تموز'!$L$2:$L$500,0),0),0))</f>
        <v/>
      </c>
      <c r="W471" t="str">
        <f t="shared" si="151"/>
        <v/>
      </c>
      <c r="X471" s="38" t="str">
        <f>IF(L471="","",IF(V471&gt;0,INDEX('07-تموز'!$P$2:$P$500,V471),IF($AO$1=1,0,"")))</f>
        <v/>
      </c>
      <c r="Y471" s="38" t="str">
        <f t="shared" si="152"/>
        <v/>
      </c>
      <c r="Z471" s="39" t="str">
        <f>IF(L471="","",IF(V471&gt;0,INDEX('07-تموز'!$Q$2:$Q$500,V471),IF($AO$1=1,0,"")))</f>
        <v/>
      </c>
      <c r="AA471" s="39" t="str">
        <f t="shared" si="153"/>
        <v/>
      </c>
      <c r="AB471" s="40" t="str">
        <f>IF(OR(L471="",V471=0),"",IF(AND(N(I471)&gt;0,N(INDEX('07-تموز'!$I$2:$I$500,V471))&gt;0,INDEX('07-تموز'!$F$2:$F$500,V471)=F471),N(I471)/N(INDEX('07-تموز'!$I$2:$I$500,V471))-1,""))</f>
        <v/>
      </c>
      <c r="AC471" t="str">
        <f>IF(L471="","",IF(AND($AO$2=1,ISNA(MATCH(L471,'09-أيلول'!$L$2:$L$500,0))),"محذوف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IF(L472="","",IF($AO$1=1,IFERROR(MATCH(L472,'07-تموز'!$L$2:$L$500,0),0),0))</f>
        <v/>
      </c>
      <c r="W472" t="str">
        <f t="shared" si="151"/>
        <v/>
      </c>
      <c r="X472" s="38" t="str">
        <f>IF(L472="","",IF(V472&gt;0,INDEX('07-تموز'!$P$2:$P$500,V472),IF($AO$1=1,0,"")))</f>
        <v/>
      </c>
      <c r="Y472" s="38" t="str">
        <f t="shared" si="152"/>
        <v/>
      </c>
      <c r="Z472" s="39" t="str">
        <f>IF(L472="","",IF(V472&gt;0,INDEX('07-تموز'!$Q$2:$Q$500,V472),IF($AO$1=1,0,"")))</f>
        <v/>
      </c>
      <c r="AA472" s="39" t="str">
        <f t="shared" si="153"/>
        <v/>
      </c>
      <c r="AB472" s="40" t="str">
        <f>IF(OR(L472="",V472=0),"",IF(AND(N(I472)&gt;0,N(INDEX('07-تموز'!$I$2:$I$500,V472))&gt;0,INDEX('07-تموز'!$F$2:$F$500,V472)=F472),N(I472)/N(INDEX('07-تموز'!$I$2:$I$500,V472))-1,""))</f>
        <v/>
      </c>
      <c r="AC472" t="str">
        <f>IF(L472="","",IF(AND($AO$2=1,ISNA(MATCH(L472,'09-أيلول'!$L$2:$L$500,0))),"محذوف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IF(L473="","",IF($AO$1=1,IFERROR(MATCH(L473,'07-تموز'!$L$2:$L$500,0),0),0))</f>
        <v/>
      </c>
      <c r="W473" t="str">
        <f t="shared" si="151"/>
        <v/>
      </c>
      <c r="X473" s="38" t="str">
        <f>IF(L473="","",IF(V473&gt;0,INDEX('07-تموز'!$P$2:$P$500,V473),IF($AO$1=1,0,"")))</f>
        <v/>
      </c>
      <c r="Y473" s="38" t="str">
        <f t="shared" si="152"/>
        <v/>
      </c>
      <c r="Z473" s="39" t="str">
        <f>IF(L473="","",IF(V473&gt;0,INDEX('07-تموز'!$Q$2:$Q$500,V473),IF($AO$1=1,0,"")))</f>
        <v/>
      </c>
      <c r="AA473" s="39" t="str">
        <f t="shared" si="153"/>
        <v/>
      </c>
      <c r="AB473" s="40" t="str">
        <f>IF(OR(L473="",V473=0),"",IF(AND(N(I473)&gt;0,N(INDEX('07-تموز'!$I$2:$I$500,V473))&gt;0,INDEX('07-تموز'!$F$2:$F$500,V473)=F473),N(I473)/N(INDEX('07-تموز'!$I$2:$I$500,V473))-1,""))</f>
        <v/>
      </c>
      <c r="AC473" t="str">
        <f>IF(L473="","",IF(AND($AO$2=1,ISNA(MATCH(L473,'09-أيلول'!$L$2:$L$500,0))),"محذوف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IF(L474="","",IF($AO$1=1,IFERROR(MATCH(L474,'07-تموز'!$L$2:$L$500,0),0),0))</f>
        <v/>
      </c>
      <c r="W474" t="str">
        <f t="shared" si="151"/>
        <v/>
      </c>
      <c r="X474" s="38" t="str">
        <f>IF(L474="","",IF(V474&gt;0,INDEX('07-تموز'!$P$2:$P$500,V474),IF($AO$1=1,0,"")))</f>
        <v/>
      </c>
      <c r="Y474" s="38" t="str">
        <f t="shared" si="152"/>
        <v/>
      </c>
      <c r="Z474" s="39" t="str">
        <f>IF(L474="","",IF(V474&gt;0,INDEX('07-تموز'!$Q$2:$Q$500,V474),IF($AO$1=1,0,"")))</f>
        <v/>
      </c>
      <c r="AA474" s="39" t="str">
        <f t="shared" si="153"/>
        <v/>
      </c>
      <c r="AB474" s="40" t="str">
        <f>IF(OR(L474="",V474=0),"",IF(AND(N(I474)&gt;0,N(INDEX('07-تموز'!$I$2:$I$500,V474))&gt;0,INDEX('07-تموز'!$F$2:$F$500,V474)=F474),N(I474)/N(INDEX('07-تموز'!$I$2:$I$500,V474))-1,""))</f>
        <v/>
      </c>
      <c r="AC474" t="str">
        <f>IF(L474="","",IF(AND($AO$2=1,ISNA(MATCH(L474,'09-أيلول'!$L$2:$L$500,0))),"محذوف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IF(L475="","",IF($AO$1=1,IFERROR(MATCH(L475,'07-تموز'!$L$2:$L$500,0),0),0))</f>
        <v/>
      </c>
      <c r="W475" t="str">
        <f t="shared" si="151"/>
        <v/>
      </c>
      <c r="X475" s="38" t="str">
        <f>IF(L475="","",IF(V475&gt;0,INDEX('07-تموز'!$P$2:$P$500,V475),IF($AO$1=1,0,"")))</f>
        <v/>
      </c>
      <c r="Y475" s="38" t="str">
        <f t="shared" si="152"/>
        <v/>
      </c>
      <c r="Z475" s="39" t="str">
        <f>IF(L475="","",IF(V475&gt;0,INDEX('07-تموز'!$Q$2:$Q$500,V475),IF($AO$1=1,0,"")))</f>
        <v/>
      </c>
      <c r="AA475" s="39" t="str">
        <f t="shared" si="153"/>
        <v/>
      </c>
      <c r="AB475" s="40" t="str">
        <f>IF(OR(L475="",V475=0),"",IF(AND(N(I475)&gt;0,N(INDEX('07-تموز'!$I$2:$I$500,V475))&gt;0,INDEX('07-تموز'!$F$2:$F$500,V475)=F475),N(I475)/N(INDEX('07-تموز'!$I$2:$I$500,V475))-1,""))</f>
        <v/>
      </c>
      <c r="AC475" t="str">
        <f>IF(L475="","",IF(AND($AO$2=1,ISNA(MATCH(L475,'09-أيلول'!$L$2:$L$500,0))),"محذوف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IF(L476="","",IF($AO$1=1,IFERROR(MATCH(L476,'07-تموز'!$L$2:$L$500,0),0),0))</f>
        <v/>
      </c>
      <c r="W476" t="str">
        <f t="shared" si="151"/>
        <v/>
      </c>
      <c r="X476" s="38" t="str">
        <f>IF(L476="","",IF(V476&gt;0,INDEX('07-تموز'!$P$2:$P$500,V476),IF($AO$1=1,0,"")))</f>
        <v/>
      </c>
      <c r="Y476" s="38" t="str">
        <f t="shared" si="152"/>
        <v/>
      </c>
      <c r="Z476" s="39" t="str">
        <f>IF(L476="","",IF(V476&gt;0,INDEX('07-تموز'!$Q$2:$Q$500,V476),IF($AO$1=1,0,"")))</f>
        <v/>
      </c>
      <c r="AA476" s="39" t="str">
        <f t="shared" si="153"/>
        <v/>
      </c>
      <c r="AB476" s="40" t="str">
        <f>IF(OR(L476="",V476=0),"",IF(AND(N(I476)&gt;0,N(INDEX('07-تموز'!$I$2:$I$500,V476))&gt;0,INDEX('07-تموز'!$F$2:$F$500,V476)=F476),N(I476)/N(INDEX('07-تموز'!$I$2:$I$500,V476))-1,""))</f>
        <v/>
      </c>
      <c r="AC476" t="str">
        <f>IF(L476="","",IF(AND($AO$2=1,ISNA(MATCH(L476,'09-أيلول'!$L$2:$L$500,0))),"محذوف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IF(L477="","",IF($AO$1=1,IFERROR(MATCH(L477,'07-تموز'!$L$2:$L$500,0),0),0))</f>
        <v/>
      </c>
      <c r="W477" t="str">
        <f t="shared" si="151"/>
        <v/>
      </c>
      <c r="X477" s="38" t="str">
        <f>IF(L477="","",IF(V477&gt;0,INDEX('07-تموز'!$P$2:$P$500,V477),IF($AO$1=1,0,"")))</f>
        <v/>
      </c>
      <c r="Y477" s="38" t="str">
        <f t="shared" si="152"/>
        <v/>
      </c>
      <c r="Z477" s="39" t="str">
        <f>IF(L477="","",IF(V477&gt;0,INDEX('07-تموز'!$Q$2:$Q$500,V477),IF($AO$1=1,0,"")))</f>
        <v/>
      </c>
      <c r="AA477" s="39" t="str">
        <f t="shared" si="153"/>
        <v/>
      </c>
      <c r="AB477" s="40" t="str">
        <f>IF(OR(L477="",V477=0),"",IF(AND(N(I477)&gt;0,N(INDEX('07-تموز'!$I$2:$I$500,V477))&gt;0,INDEX('07-تموز'!$F$2:$F$500,V477)=F477),N(I477)/N(INDEX('07-تموز'!$I$2:$I$500,V477))-1,""))</f>
        <v/>
      </c>
      <c r="AC477" t="str">
        <f>IF(L477="","",IF(AND($AO$2=1,ISNA(MATCH(L477,'09-أيلول'!$L$2:$L$500,0))),"محذوف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IF(L478="","",IF($AO$1=1,IFERROR(MATCH(L478,'07-تموز'!$L$2:$L$500,0),0),0))</f>
        <v/>
      </c>
      <c r="W478" t="str">
        <f t="shared" si="151"/>
        <v/>
      </c>
      <c r="X478" s="38" t="str">
        <f>IF(L478="","",IF(V478&gt;0,INDEX('07-تموز'!$P$2:$P$500,V478),IF($AO$1=1,0,"")))</f>
        <v/>
      </c>
      <c r="Y478" s="38" t="str">
        <f t="shared" si="152"/>
        <v/>
      </c>
      <c r="Z478" s="39" t="str">
        <f>IF(L478="","",IF(V478&gt;0,INDEX('07-تموز'!$Q$2:$Q$500,V478),IF($AO$1=1,0,"")))</f>
        <v/>
      </c>
      <c r="AA478" s="39" t="str">
        <f t="shared" si="153"/>
        <v/>
      </c>
      <c r="AB478" s="40" t="str">
        <f>IF(OR(L478="",V478=0),"",IF(AND(N(I478)&gt;0,N(INDEX('07-تموز'!$I$2:$I$500,V478))&gt;0,INDEX('07-تموز'!$F$2:$F$500,V478)=F478),N(I478)/N(INDEX('07-تموز'!$I$2:$I$500,V478))-1,""))</f>
        <v/>
      </c>
      <c r="AC478" t="str">
        <f>IF(L478="","",IF(AND($AO$2=1,ISNA(MATCH(L478,'09-أيلول'!$L$2:$L$500,0))),"محذوف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IF(L479="","",IF($AO$1=1,IFERROR(MATCH(L479,'07-تموز'!$L$2:$L$500,0),0),0))</f>
        <v/>
      </c>
      <c r="W479" t="str">
        <f t="shared" si="151"/>
        <v/>
      </c>
      <c r="X479" s="38" t="str">
        <f>IF(L479="","",IF(V479&gt;0,INDEX('07-تموز'!$P$2:$P$500,V479),IF($AO$1=1,0,"")))</f>
        <v/>
      </c>
      <c r="Y479" s="38" t="str">
        <f t="shared" si="152"/>
        <v/>
      </c>
      <c r="Z479" s="39" t="str">
        <f>IF(L479="","",IF(V479&gt;0,INDEX('07-تموز'!$Q$2:$Q$500,V479),IF($AO$1=1,0,"")))</f>
        <v/>
      </c>
      <c r="AA479" s="39" t="str">
        <f t="shared" si="153"/>
        <v/>
      </c>
      <c r="AB479" s="40" t="str">
        <f>IF(OR(L479="",V479=0),"",IF(AND(N(I479)&gt;0,N(INDEX('07-تموز'!$I$2:$I$500,V479))&gt;0,INDEX('07-تموز'!$F$2:$F$500,V479)=F479),N(I479)/N(INDEX('07-تموز'!$I$2:$I$500,V479))-1,""))</f>
        <v/>
      </c>
      <c r="AC479" t="str">
        <f>IF(L479="","",IF(AND($AO$2=1,ISNA(MATCH(L479,'09-أيلول'!$L$2:$L$500,0))),"محذوف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IF(L480="","",IF($AO$1=1,IFERROR(MATCH(L480,'07-تموز'!$L$2:$L$500,0),0),0))</f>
        <v/>
      </c>
      <c r="W480" t="str">
        <f t="shared" si="151"/>
        <v/>
      </c>
      <c r="X480" s="38" t="str">
        <f>IF(L480="","",IF(V480&gt;0,INDEX('07-تموز'!$P$2:$P$500,V480),IF($AO$1=1,0,"")))</f>
        <v/>
      </c>
      <c r="Y480" s="38" t="str">
        <f t="shared" si="152"/>
        <v/>
      </c>
      <c r="Z480" s="39" t="str">
        <f>IF(L480="","",IF(V480&gt;0,INDEX('07-تموز'!$Q$2:$Q$500,V480),IF($AO$1=1,0,"")))</f>
        <v/>
      </c>
      <c r="AA480" s="39" t="str">
        <f t="shared" si="153"/>
        <v/>
      </c>
      <c r="AB480" s="40" t="str">
        <f>IF(OR(L480="",V480=0),"",IF(AND(N(I480)&gt;0,N(INDEX('07-تموز'!$I$2:$I$500,V480))&gt;0,INDEX('07-تموز'!$F$2:$F$500,V480)=F480),N(I480)/N(INDEX('07-تموز'!$I$2:$I$500,V480))-1,""))</f>
        <v/>
      </c>
      <c r="AC480" t="str">
        <f>IF(L480="","",IF(AND($AO$2=1,ISNA(MATCH(L480,'09-أيلول'!$L$2:$L$500,0))),"محذوف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IF(L481="","",IF($AO$1=1,IFERROR(MATCH(L481,'07-تموز'!$L$2:$L$500,0),0),0))</f>
        <v/>
      </c>
      <c r="W481" t="str">
        <f t="shared" si="151"/>
        <v/>
      </c>
      <c r="X481" s="38" t="str">
        <f>IF(L481="","",IF(V481&gt;0,INDEX('07-تموز'!$P$2:$P$500,V481),IF($AO$1=1,0,"")))</f>
        <v/>
      </c>
      <c r="Y481" s="38" t="str">
        <f t="shared" si="152"/>
        <v/>
      </c>
      <c r="Z481" s="39" t="str">
        <f>IF(L481="","",IF(V481&gt;0,INDEX('07-تموز'!$Q$2:$Q$500,V481),IF($AO$1=1,0,"")))</f>
        <v/>
      </c>
      <c r="AA481" s="39" t="str">
        <f t="shared" si="153"/>
        <v/>
      </c>
      <c r="AB481" s="40" t="str">
        <f>IF(OR(L481="",V481=0),"",IF(AND(N(I481)&gt;0,N(INDEX('07-تموز'!$I$2:$I$500,V481))&gt;0,INDEX('07-تموز'!$F$2:$F$500,V481)=F481),N(I481)/N(INDEX('07-تموز'!$I$2:$I$500,V481))-1,""))</f>
        <v/>
      </c>
      <c r="AC481" t="str">
        <f>IF(L481="","",IF(AND($AO$2=1,ISNA(MATCH(L481,'09-أيلول'!$L$2:$L$500,0))),"محذوف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IF(L482="","",IF($AO$1=1,IFERROR(MATCH(L482,'07-تموز'!$L$2:$L$500,0),0),0))</f>
        <v/>
      </c>
      <c r="W482" t="str">
        <f t="shared" si="151"/>
        <v/>
      </c>
      <c r="X482" s="38" t="str">
        <f>IF(L482="","",IF(V482&gt;0,INDEX('07-تموز'!$P$2:$P$500,V482),IF($AO$1=1,0,"")))</f>
        <v/>
      </c>
      <c r="Y482" s="38" t="str">
        <f t="shared" si="152"/>
        <v/>
      </c>
      <c r="Z482" s="39" t="str">
        <f>IF(L482="","",IF(V482&gt;0,INDEX('07-تموز'!$Q$2:$Q$500,V482),IF($AO$1=1,0,"")))</f>
        <v/>
      </c>
      <c r="AA482" s="39" t="str">
        <f t="shared" si="153"/>
        <v/>
      </c>
      <c r="AB482" s="40" t="str">
        <f>IF(OR(L482="",V482=0),"",IF(AND(N(I482)&gt;0,N(INDEX('07-تموز'!$I$2:$I$500,V482))&gt;0,INDEX('07-تموز'!$F$2:$F$500,V482)=F482),N(I482)/N(INDEX('07-تموز'!$I$2:$I$500,V482))-1,""))</f>
        <v/>
      </c>
      <c r="AC482" t="str">
        <f>IF(L482="","",IF(AND($AO$2=1,ISNA(MATCH(L482,'09-أيلول'!$L$2:$L$500,0))),"محذوف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IF(L483="","",IF($AO$1=1,IFERROR(MATCH(L483,'07-تموز'!$L$2:$L$500,0),0),0))</f>
        <v/>
      </c>
      <c r="W483" t="str">
        <f t="shared" si="151"/>
        <v/>
      </c>
      <c r="X483" s="38" t="str">
        <f>IF(L483="","",IF(V483&gt;0,INDEX('07-تموز'!$P$2:$P$500,V483),IF($AO$1=1,0,"")))</f>
        <v/>
      </c>
      <c r="Y483" s="38" t="str">
        <f t="shared" si="152"/>
        <v/>
      </c>
      <c r="Z483" s="39" t="str">
        <f>IF(L483="","",IF(V483&gt;0,INDEX('07-تموز'!$Q$2:$Q$500,V483),IF($AO$1=1,0,"")))</f>
        <v/>
      </c>
      <c r="AA483" s="39" t="str">
        <f t="shared" si="153"/>
        <v/>
      </c>
      <c r="AB483" s="40" t="str">
        <f>IF(OR(L483="",V483=0),"",IF(AND(N(I483)&gt;0,N(INDEX('07-تموز'!$I$2:$I$500,V483))&gt;0,INDEX('07-تموز'!$F$2:$F$500,V483)=F483),N(I483)/N(INDEX('07-تموز'!$I$2:$I$500,V483))-1,""))</f>
        <v/>
      </c>
      <c r="AC483" t="str">
        <f>IF(L483="","",IF(AND($AO$2=1,ISNA(MATCH(L483,'09-أيلول'!$L$2:$L$500,0))),"محذوف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IF(L484="","",IF($AO$1=1,IFERROR(MATCH(L484,'07-تموز'!$L$2:$L$500,0),0),0))</f>
        <v/>
      </c>
      <c r="W484" t="str">
        <f t="shared" si="151"/>
        <v/>
      </c>
      <c r="X484" s="38" t="str">
        <f>IF(L484="","",IF(V484&gt;0,INDEX('07-تموز'!$P$2:$P$500,V484),IF($AO$1=1,0,"")))</f>
        <v/>
      </c>
      <c r="Y484" s="38" t="str">
        <f t="shared" si="152"/>
        <v/>
      </c>
      <c r="Z484" s="39" t="str">
        <f>IF(L484="","",IF(V484&gt;0,INDEX('07-تموز'!$Q$2:$Q$500,V484),IF($AO$1=1,0,"")))</f>
        <v/>
      </c>
      <c r="AA484" s="39" t="str">
        <f t="shared" si="153"/>
        <v/>
      </c>
      <c r="AB484" s="40" t="str">
        <f>IF(OR(L484="",V484=0),"",IF(AND(N(I484)&gt;0,N(INDEX('07-تموز'!$I$2:$I$500,V484))&gt;0,INDEX('07-تموز'!$F$2:$F$500,V484)=F484),N(I484)/N(INDEX('07-تموز'!$I$2:$I$500,V484))-1,""))</f>
        <v/>
      </c>
      <c r="AC484" t="str">
        <f>IF(L484="","",IF(AND($AO$2=1,ISNA(MATCH(L484,'09-أيلول'!$L$2:$L$500,0))),"محذوف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IF(L485="","",IF($AO$1=1,IFERROR(MATCH(L485,'07-تموز'!$L$2:$L$500,0),0),0))</f>
        <v/>
      </c>
      <c r="W485" t="str">
        <f t="shared" si="151"/>
        <v/>
      </c>
      <c r="X485" s="38" t="str">
        <f>IF(L485="","",IF(V485&gt;0,INDEX('07-تموز'!$P$2:$P$500,V485),IF($AO$1=1,0,"")))</f>
        <v/>
      </c>
      <c r="Y485" s="38" t="str">
        <f t="shared" si="152"/>
        <v/>
      </c>
      <c r="Z485" s="39" t="str">
        <f>IF(L485="","",IF(V485&gt;0,INDEX('07-تموز'!$Q$2:$Q$500,V485),IF($AO$1=1,0,"")))</f>
        <v/>
      </c>
      <c r="AA485" s="39" t="str">
        <f t="shared" si="153"/>
        <v/>
      </c>
      <c r="AB485" s="40" t="str">
        <f>IF(OR(L485="",V485=0),"",IF(AND(N(I485)&gt;0,N(INDEX('07-تموز'!$I$2:$I$500,V485))&gt;0,INDEX('07-تموز'!$F$2:$F$500,V485)=F485),N(I485)/N(INDEX('07-تموز'!$I$2:$I$500,V485))-1,""))</f>
        <v/>
      </c>
      <c r="AC485" t="str">
        <f>IF(L485="","",IF(AND($AO$2=1,ISNA(MATCH(L485,'09-أيلول'!$L$2:$L$500,0))),"محذوف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IF(L486="","",IF($AO$1=1,IFERROR(MATCH(L486,'07-تموز'!$L$2:$L$500,0),0),0))</f>
        <v/>
      </c>
      <c r="W486" t="str">
        <f t="shared" si="151"/>
        <v/>
      </c>
      <c r="X486" s="38" t="str">
        <f>IF(L486="","",IF(V486&gt;0,INDEX('07-تموز'!$P$2:$P$500,V486),IF($AO$1=1,0,"")))</f>
        <v/>
      </c>
      <c r="Y486" s="38" t="str">
        <f t="shared" si="152"/>
        <v/>
      </c>
      <c r="Z486" s="39" t="str">
        <f>IF(L486="","",IF(V486&gt;0,INDEX('07-تموز'!$Q$2:$Q$500,V486),IF($AO$1=1,0,"")))</f>
        <v/>
      </c>
      <c r="AA486" s="39" t="str">
        <f t="shared" si="153"/>
        <v/>
      </c>
      <c r="AB486" s="40" t="str">
        <f>IF(OR(L486="",V486=0),"",IF(AND(N(I486)&gt;0,N(INDEX('07-تموز'!$I$2:$I$500,V486))&gt;0,INDEX('07-تموز'!$F$2:$F$500,V486)=F486),N(I486)/N(INDEX('07-تموز'!$I$2:$I$500,V486))-1,""))</f>
        <v/>
      </c>
      <c r="AC486" t="str">
        <f>IF(L486="","",IF(AND($AO$2=1,ISNA(MATCH(L486,'09-أيلول'!$L$2:$L$500,0))),"محذوف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IF(L487="","",IF($AO$1=1,IFERROR(MATCH(L487,'07-تموز'!$L$2:$L$500,0),0),0))</f>
        <v/>
      </c>
      <c r="W487" t="str">
        <f t="shared" si="151"/>
        <v/>
      </c>
      <c r="X487" s="38" t="str">
        <f>IF(L487="","",IF(V487&gt;0,INDEX('07-تموز'!$P$2:$P$500,V487),IF($AO$1=1,0,"")))</f>
        <v/>
      </c>
      <c r="Y487" s="38" t="str">
        <f t="shared" si="152"/>
        <v/>
      </c>
      <c r="Z487" s="39" t="str">
        <f>IF(L487="","",IF(V487&gt;0,INDEX('07-تموز'!$Q$2:$Q$500,V487),IF($AO$1=1,0,"")))</f>
        <v/>
      </c>
      <c r="AA487" s="39" t="str">
        <f t="shared" si="153"/>
        <v/>
      </c>
      <c r="AB487" s="40" t="str">
        <f>IF(OR(L487="",V487=0),"",IF(AND(N(I487)&gt;0,N(INDEX('07-تموز'!$I$2:$I$500,V487))&gt;0,INDEX('07-تموز'!$F$2:$F$500,V487)=F487),N(I487)/N(INDEX('07-تموز'!$I$2:$I$500,V487))-1,""))</f>
        <v/>
      </c>
      <c r="AC487" t="str">
        <f>IF(L487="","",IF(AND($AO$2=1,ISNA(MATCH(L487,'09-أيلول'!$L$2:$L$500,0))),"محذوف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IF(L488="","",IF($AO$1=1,IFERROR(MATCH(L488,'07-تموز'!$L$2:$L$500,0),0),0))</f>
        <v/>
      </c>
      <c r="W488" t="str">
        <f t="shared" si="151"/>
        <v/>
      </c>
      <c r="X488" s="38" t="str">
        <f>IF(L488="","",IF(V488&gt;0,INDEX('07-تموز'!$P$2:$P$500,V488),IF($AO$1=1,0,"")))</f>
        <v/>
      </c>
      <c r="Y488" s="38" t="str">
        <f t="shared" si="152"/>
        <v/>
      </c>
      <c r="Z488" s="39" t="str">
        <f>IF(L488="","",IF(V488&gt;0,INDEX('07-تموز'!$Q$2:$Q$500,V488),IF($AO$1=1,0,"")))</f>
        <v/>
      </c>
      <c r="AA488" s="39" t="str">
        <f t="shared" si="153"/>
        <v/>
      </c>
      <c r="AB488" s="40" t="str">
        <f>IF(OR(L488="",V488=0),"",IF(AND(N(I488)&gt;0,N(INDEX('07-تموز'!$I$2:$I$500,V488))&gt;0,INDEX('07-تموز'!$F$2:$F$500,V488)=F488),N(I488)/N(INDEX('07-تموز'!$I$2:$I$500,V488))-1,""))</f>
        <v/>
      </c>
      <c r="AC488" t="str">
        <f>IF(L488="","",IF(AND($AO$2=1,ISNA(MATCH(L488,'09-أيلول'!$L$2:$L$500,0))),"محذوف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IF(L489="","",IF($AO$1=1,IFERROR(MATCH(L489,'07-تموز'!$L$2:$L$500,0),0),0))</f>
        <v/>
      </c>
      <c r="W489" t="str">
        <f t="shared" si="151"/>
        <v/>
      </c>
      <c r="X489" s="38" t="str">
        <f>IF(L489="","",IF(V489&gt;0,INDEX('07-تموز'!$P$2:$P$500,V489),IF($AO$1=1,0,"")))</f>
        <v/>
      </c>
      <c r="Y489" s="38" t="str">
        <f t="shared" si="152"/>
        <v/>
      </c>
      <c r="Z489" s="39" t="str">
        <f>IF(L489="","",IF(V489&gt;0,INDEX('07-تموز'!$Q$2:$Q$500,V489),IF($AO$1=1,0,"")))</f>
        <v/>
      </c>
      <c r="AA489" s="39" t="str">
        <f t="shared" si="153"/>
        <v/>
      </c>
      <c r="AB489" s="40" t="str">
        <f>IF(OR(L489="",V489=0),"",IF(AND(N(I489)&gt;0,N(INDEX('07-تموز'!$I$2:$I$500,V489))&gt;0,INDEX('07-تموز'!$F$2:$F$500,V489)=F489),N(I489)/N(INDEX('07-تموز'!$I$2:$I$500,V489))-1,""))</f>
        <v/>
      </c>
      <c r="AC489" t="str">
        <f>IF(L489="","",IF(AND($AO$2=1,ISNA(MATCH(L489,'09-أيلول'!$L$2:$L$500,0))),"محذوف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IF(L490="","",IF($AO$1=1,IFERROR(MATCH(L490,'07-تموز'!$L$2:$L$500,0),0),0))</f>
        <v/>
      </c>
      <c r="W490" t="str">
        <f t="shared" si="151"/>
        <v/>
      </c>
      <c r="X490" s="38" t="str">
        <f>IF(L490="","",IF(V490&gt;0,INDEX('07-تموز'!$P$2:$P$500,V490),IF($AO$1=1,0,"")))</f>
        <v/>
      </c>
      <c r="Y490" s="38" t="str">
        <f t="shared" si="152"/>
        <v/>
      </c>
      <c r="Z490" s="39" t="str">
        <f>IF(L490="","",IF(V490&gt;0,INDEX('07-تموز'!$Q$2:$Q$500,V490),IF($AO$1=1,0,"")))</f>
        <v/>
      </c>
      <c r="AA490" s="39" t="str">
        <f t="shared" si="153"/>
        <v/>
      </c>
      <c r="AB490" s="40" t="str">
        <f>IF(OR(L490="",V490=0),"",IF(AND(N(I490)&gt;0,N(INDEX('07-تموز'!$I$2:$I$500,V490))&gt;0,INDEX('07-تموز'!$F$2:$F$500,V490)=F490),N(I490)/N(INDEX('07-تموز'!$I$2:$I$500,V490))-1,""))</f>
        <v/>
      </c>
      <c r="AC490" t="str">
        <f>IF(L490="","",IF(AND($AO$2=1,ISNA(MATCH(L490,'09-أيلول'!$L$2:$L$500,0))),"محذوف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IF(L491="","",IF($AO$1=1,IFERROR(MATCH(L491,'07-تموز'!$L$2:$L$500,0),0),0))</f>
        <v/>
      </c>
      <c r="W491" t="str">
        <f t="shared" si="151"/>
        <v/>
      </c>
      <c r="X491" s="38" t="str">
        <f>IF(L491="","",IF(V491&gt;0,INDEX('07-تموز'!$P$2:$P$500,V491),IF($AO$1=1,0,"")))</f>
        <v/>
      </c>
      <c r="Y491" s="38" t="str">
        <f t="shared" si="152"/>
        <v/>
      </c>
      <c r="Z491" s="39" t="str">
        <f>IF(L491="","",IF(V491&gt;0,INDEX('07-تموز'!$Q$2:$Q$500,V491),IF($AO$1=1,0,"")))</f>
        <v/>
      </c>
      <c r="AA491" s="39" t="str">
        <f t="shared" si="153"/>
        <v/>
      </c>
      <c r="AB491" s="40" t="str">
        <f>IF(OR(L491="",V491=0),"",IF(AND(N(I491)&gt;0,N(INDEX('07-تموز'!$I$2:$I$500,V491))&gt;0,INDEX('07-تموز'!$F$2:$F$500,V491)=F491),N(I491)/N(INDEX('07-تموز'!$I$2:$I$500,V491))-1,""))</f>
        <v/>
      </c>
      <c r="AC491" t="str">
        <f>IF(L491="","",IF(AND($AO$2=1,ISNA(MATCH(L491,'09-أيلول'!$L$2:$L$500,0))),"محذوف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IF(L492="","",IF($AO$1=1,IFERROR(MATCH(L492,'07-تموز'!$L$2:$L$500,0),0),0))</f>
        <v/>
      </c>
      <c r="W492" t="str">
        <f t="shared" si="151"/>
        <v/>
      </c>
      <c r="X492" s="38" t="str">
        <f>IF(L492="","",IF(V492&gt;0,INDEX('07-تموز'!$P$2:$P$500,V492),IF($AO$1=1,0,"")))</f>
        <v/>
      </c>
      <c r="Y492" s="38" t="str">
        <f t="shared" si="152"/>
        <v/>
      </c>
      <c r="Z492" s="39" t="str">
        <f>IF(L492="","",IF(V492&gt;0,INDEX('07-تموز'!$Q$2:$Q$500,V492),IF($AO$1=1,0,"")))</f>
        <v/>
      </c>
      <c r="AA492" s="39" t="str">
        <f t="shared" si="153"/>
        <v/>
      </c>
      <c r="AB492" s="40" t="str">
        <f>IF(OR(L492="",V492=0),"",IF(AND(N(I492)&gt;0,N(INDEX('07-تموز'!$I$2:$I$500,V492))&gt;0,INDEX('07-تموز'!$F$2:$F$500,V492)=F492),N(I492)/N(INDEX('07-تموز'!$I$2:$I$500,V492))-1,""))</f>
        <v/>
      </c>
      <c r="AC492" t="str">
        <f>IF(L492="","",IF(AND($AO$2=1,ISNA(MATCH(L492,'09-أيلول'!$L$2:$L$500,0))),"محذوف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IF(L493="","",IF($AO$1=1,IFERROR(MATCH(L493,'07-تموز'!$L$2:$L$500,0),0),0))</f>
        <v/>
      </c>
      <c r="W493" t="str">
        <f t="shared" si="151"/>
        <v/>
      </c>
      <c r="X493" s="38" t="str">
        <f>IF(L493="","",IF(V493&gt;0,INDEX('07-تموز'!$P$2:$P$500,V493),IF($AO$1=1,0,"")))</f>
        <v/>
      </c>
      <c r="Y493" s="38" t="str">
        <f t="shared" si="152"/>
        <v/>
      </c>
      <c r="Z493" s="39" t="str">
        <f>IF(L493="","",IF(V493&gt;0,INDEX('07-تموز'!$Q$2:$Q$500,V493),IF($AO$1=1,0,"")))</f>
        <v/>
      </c>
      <c r="AA493" s="39" t="str">
        <f t="shared" si="153"/>
        <v/>
      </c>
      <c r="AB493" s="40" t="str">
        <f>IF(OR(L493="",V493=0),"",IF(AND(N(I493)&gt;0,N(INDEX('07-تموز'!$I$2:$I$500,V493))&gt;0,INDEX('07-تموز'!$F$2:$F$500,V493)=F493),N(I493)/N(INDEX('07-تموز'!$I$2:$I$500,V493))-1,""))</f>
        <v/>
      </c>
      <c r="AC493" t="str">
        <f>IF(L493="","",IF(AND($AO$2=1,ISNA(MATCH(L493,'09-أيلول'!$L$2:$L$500,0))),"محذوف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IF(L494="","",IF($AO$1=1,IFERROR(MATCH(L494,'07-تموز'!$L$2:$L$500,0),0),0))</f>
        <v/>
      </c>
      <c r="W494" t="str">
        <f t="shared" si="151"/>
        <v/>
      </c>
      <c r="X494" s="38" t="str">
        <f>IF(L494="","",IF(V494&gt;0,INDEX('07-تموز'!$P$2:$P$500,V494),IF($AO$1=1,0,"")))</f>
        <v/>
      </c>
      <c r="Y494" s="38" t="str">
        <f t="shared" si="152"/>
        <v/>
      </c>
      <c r="Z494" s="39" t="str">
        <f>IF(L494="","",IF(V494&gt;0,INDEX('07-تموز'!$Q$2:$Q$500,V494),IF($AO$1=1,0,"")))</f>
        <v/>
      </c>
      <c r="AA494" s="39" t="str">
        <f t="shared" si="153"/>
        <v/>
      </c>
      <c r="AB494" s="40" t="str">
        <f>IF(OR(L494="",V494=0),"",IF(AND(N(I494)&gt;0,N(INDEX('07-تموز'!$I$2:$I$500,V494))&gt;0,INDEX('07-تموز'!$F$2:$F$500,V494)=F494),N(I494)/N(INDEX('07-تموز'!$I$2:$I$500,V494))-1,""))</f>
        <v/>
      </c>
      <c r="AC494" t="str">
        <f>IF(L494="","",IF(AND($AO$2=1,ISNA(MATCH(L494,'09-أيلول'!$L$2:$L$500,0))),"محذوف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IF(L495="","",IF($AO$1=1,IFERROR(MATCH(L495,'07-تموز'!$L$2:$L$500,0),0),0))</f>
        <v/>
      </c>
      <c r="W495" t="str">
        <f t="shared" si="151"/>
        <v/>
      </c>
      <c r="X495" s="38" t="str">
        <f>IF(L495="","",IF(V495&gt;0,INDEX('07-تموز'!$P$2:$P$500,V495),IF($AO$1=1,0,"")))</f>
        <v/>
      </c>
      <c r="Y495" s="38" t="str">
        <f t="shared" si="152"/>
        <v/>
      </c>
      <c r="Z495" s="39" t="str">
        <f>IF(L495="","",IF(V495&gt;0,INDEX('07-تموز'!$Q$2:$Q$500,V495),IF($AO$1=1,0,"")))</f>
        <v/>
      </c>
      <c r="AA495" s="39" t="str">
        <f t="shared" si="153"/>
        <v/>
      </c>
      <c r="AB495" s="40" t="str">
        <f>IF(OR(L495="",V495=0),"",IF(AND(N(I495)&gt;0,N(INDEX('07-تموز'!$I$2:$I$500,V495))&gt;0,INDEX('07-تموز'!$F$2:$F$500,V495)=F495),N(I495)/N(INDEX('07-تموز'!$I$2:$I$500,V495))-1,""))</f>
        <v/>
      </c>
      <c r="AC495" t="str">
        <f>IF(L495="","",IF(AND($AO$2=1,ISNA(MATCH(L495,'09-أيلول'!$L$2:$L$500,0))),"محذوف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IF(L496="","",IF($AO$1=1,IFERROR(MATCH(L496,'07-تموز'!$L$2:$L$500,0),0),0))</f>
        <v/>
      </c>
      <c r="W496" t="str">
        <f t="shared" si="151"/>
        <v/>
      </c>
      <c r="X496" s="38" t="str">
        <f>IF(L496="","",IF(V496&gt;0,INDEX('07-تموز'!$P$2:$P$500,V496),IF($AO$1=1,0,"")))</f>
        <v/>
      </c>
      <c r="Y496" s="38" t="str">
        <f t="shared" si="152"/>
        <v/>
      </c>
      <c r="Z496" s="39" t="str">
        <f>IF(L496="","",IF(V496&gt;0,INDEX('07-تموز'!$Q$2:$Q$500,V496),IF($AO$1=1,0,"")))</f>
        <v/>
      </c>
      <c r="AA496" s="39" t="str">
        <f t="shared" si="153"/>
        <v/>
      </c>
      <c r="AB496" s="40" t="str">
        <f>IF(OR(L496="",V496=0),"",IF(AND(N(I496)&gt;0,N(INDEX('07-تموز'!$I$2:$I$500,V496))&gt;0,INDEX('07-تموز'!$F$2:$F$500,V496)=F496),N(I496)/N(INDEX('07-تموز'!$I$2:$I$500,V496))-1,""))</f>
        <v/>
      </c>
      <c r="AC496" t="str">
        <f>IF(L496="","",IF(AND($AO$2=1,ISNA(MATCH(L496,'09-أيلول'!$L$2:$L$500,0))),"محذوف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IF(L497="","",IF($AO$1=1,IFERROR(MATCH(L497,'07-تموز'!$L$2:$L$500,0),0),0))</f>
        <v/>
      </c>
      <c r="W497" t="str">
        <f t="shared" si="151"/>
        <v/>
      </c>
      <c r="X497" s="38" t="str">
        <f>IF(L497="","",IF(V497&gt;0,INDEX('07-تموز'!$P$2:$P$500,V497),IF($AO$1=1,0,"")))</f>
        <v/>
      </c>
      <c r="Y497" s="38" t="str">
        <f t="shared" si="152"/>
        <v/>
      </c>
      <c r="Z497" s="39" t="str">
        <f>IF(L497="","",IF(V497&gt;0,INDEX('07-تموز'!$Q$2:$Q$500,V497),IF($AO$1=1,0,"")))</f>
        <v/>
      </c>
      <c r="AA497" s="39" t="str">
        <f t="shared" si="153"/>
        <v/>
      </c>
      <c r="AB497" s="40" t="str">
        <f>IF(OR(L497="",V497=0),"",IF(AND(N(I497)&gt;0,N(INDEX('07-تموز'!$I$2:$I$500,V497))&gt;0,INDEX('07-تموز'!$F$2:$F$500,V497)=F497),N(I497)/N(INDEX('07-تموز'!$I$2:$I$500,V497))-1,""))</f>
        <v/>
      </c>
      <c r="AC497" t="str">
        <f>IF(L497="","",IF(AND($AO$2=1,ISNA(MATCH(L497,'09-أيلول'!$L$2:$L$500,0))),"محذوف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IF(L498="","",IF($AO$1=1,IFERROR(MATCH(L498,'07-تموز'!$L$2:$L$500,0),0),0))</f>
        <v/>
      </c>
      <c r="W498" t="str">
        <f t="shared" si="151"/>
        <v/>
      </c>
      <c r="X498" s="38" t="str">
        <f>IF(L498="","",IF(V498&gt;0,INDEX('07-تموز'!$P$2:$P$500,V498),IF($AO$1=1,0,"")))</f>
        <v/>
      </c>
      <c r="Y498" s="38" t="str">
        <f t="shared" si="152"/>
        <v/>
      </c>
      <c r="Z498" s="39" t="str">
        <f>IF(L498="","",IF(V498&gt;0,INDEX('07-تموز'!$Q$2:$Q$500,V498),IF($AO$1=1,0,"")))</f>
        <v/>
      </c>
      <c r="AA498" s="39" t="str">
        <f t="shared" si="153"/>
        <v/>
      </c>
      <c r="AB498" s="40" t="str">
        <f>IF(OR(L498="",V498=0),"",IF(AND(N(I498)&gt;0,N(INDEX('07-تموز'!$I$2:$I$500,V498))&gt;0,INDEX('07-تموز'!$F$2:$F$500,V498)=F498),N(I498)/N(INDEX('07-تموز'!$I$2:$I$500,V498))-1,""))</f>
        <v/>
      </c>
      <c r="AC498" t="str">
        <f>IF(L498="","",IF(AND($AO$2=1,ISNA(MATCH(L498,'09-أيلول'!$L$2:$L$500,0))),"محذوف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IF(L499="","",IF($AO$1=1,IFERROR(MATCH(L499,'07-تموز'!$L$2:$L$500,0),0),0))</f>
        <v/>
      </c>
      <c r="W499" t="str">
        <f t="shared" si="151"/>
        <v/>
      </c>
      <c r="X499" s="38" t="str">
        <f>IF(L499="","",IF(V499&gt;0,INDEX('07-تموز'!$P$2:$P$500,V499),IF($AO$1=1,0,"")))</f>
        <v/>
      </c>
      <c r="Y499" s="38" t="str">
        <f t="shared" si="152"/>
        <v/>
      </c>
      <c r="Z499" s="39" t="str">
        <f>IF(L499="","",IF(V499&gt;0,INDEX('07-تموز'!$Q$2:$Q$500,V499),IF($AO$1=1,0,"")))</f>
        <v/>
      </c>
      <c r="AA499" s="39" t="str">
        <f t="shared" si="153"/>
        <v/>
      </c>
      <c r="AB499" s="40" t="str">
        <f>IF(OR(L499="",V499=0),"",IF(AND(N(I499)&gt;0,N(INDEX('07-تموز'!$I$2:$I$500,V499))&gt;0,INDEX('07-تموز'!$F$2:$F$500,V499)=F499),N(I499)/N(INDEX('07-تموز'!$I$2:$I$500,V499))-1,""))</f>
        <v/>
      </c>
      <c r="AC499" t="str">
        <f>IF(L499="","",IF(AND($AO$2=1,ISNA(MATCH(L499,'09-أيلول'!$L$2:$L$500,0))),"محذوف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IF(L500="","",IF($AO$1=1,IFERROR(MATCH(L500,'07-تموز'!$L$2:$L$500,0),0),0))</f>
        <v/>
      </c>
      <c r="W500" t="str">
        <f t="shared" si="151"/>
        <v/>
      </c>
      <c r="X500" s="38" t="str">
        <f>IF(L500="","",IF(V500&gt;0,INDEX('07-تموز'!$P$2:$P$500,V500),IF($AO$1=1,0,"")))</f>
        <v/>
      </c>
      <c r="Y500" s="38" t="str">
        <f t="shared" si="152"/>
        <v/>
      </c>
      <c r="Z500" s="39" t="str">
        <f>IF(L500="","",IF(V500&gt;0,INDEX('07-تموز'!$Q$2:$Q$500,V500),IF($AO$1=1,0,"")))</f>
        <v/>
      </c>
      <c r="AA500" s="39" t="str">
        <f t="shared" si="153"/>
        <v/>
      </c>
      <c r="AB500" s="40" t="str">
        <f>IF(OR(L500="",V500=0),"",IF(AND(N(I500)&gt;0,N(INDEX('07-تموز'!$I$2:$I$500,V500))&gt;0,INDEX('07-تموز'!$F$2:$F$500,V500)=F500),N(I500)/N(INDEX('07-تموز'!$I$2:$I$500,V500))-1,""))</f>
        <v/>
      </c>
      <c r="AC500" t="str">
        <f>IF(L500="","",IF(AND($AO$2=1,ISNA(MATCH(L500,'09-أيلول'!$L$2:$L$500,0))),"محذوف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IF(L501="","",IF($AO$1=1,IFERROR(MATCH(L501,'07-تموز'!$L$2:$L$500,0),0),0))</f>
        <v/>
      </c>
      <c r="W501" t="str">
        <f t="shared" si="151"/>
        <v/>
      </c>
      <c r="X501" s="38" t="str">
        <f>IF(L501="","",IF(V501&gt;0,INDEX('07-تموز'!$P$2:$P$500,V501),IF($AO$1=1,0,"")))</f>
        <v/>
      </c>
      <c r="Y501" s="38" t="str">
        <f t="shared" si="152"/>
        <v/>
      </c>
      <c r="Z501" s="39" t="str">
        <f>IF(L501="","",IF(V501&gt;0,INDEX('07-تموز'!$Q$2:$Q$500,V501),IF($AO$1=1,0,"")))</f>
        <v/>
      </c>
      <c r="AA501" s="39" t="str">
        <f t="shared" si="153"/>
        <v/>
      </c>
      <c r="AB501" s="40" t="str">
        <f>IF(OR(L501="",V501=0),"",IF(AND(N(I501)&gt;0,N(INDEX('07-تموز'!$I$2:$I$500,V501))&gt;0,INDEX('07-تموز'!$F$2:$F$500,V501)=F501),N(I501)/N(INDEX('07-تموز'!$I$2:$I$500,V501))-1,""))</f>
        <v/>
      </c>
      <c r="AC501" t="str">
        <f>IF(L501="","",IF(AND($AO$2=1,ISNA(MATCH(L501,'09-أيلول'!$L$2:$L$500,0))),"محذوف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D000000}"/>
  <conditionalFormatting sqref="K1">
    <cfRule type="expression" dxfId="24" priority="2">
      <formula>LEFT(K1,1)="⚠"</formula>
    </cfRule>
    <cfRule type="expression" dxfId="23" priority="3">
      <formula>LEFT(K1,1)="✓"</formula>
    </cfRule>
  </conditionalFormatting>
  <conditionalFormatting sqref="K2:U501">
    <cfRule type="expression" dxfId="22" priority="4">
      <formula>$U2&lt;&gt;""</formula>
    </cfRule>
  </conditionalFormatting>
  <conditionalFormatting sqref="W2:W501">
    <cfRule type="expression" dxfId="21" priority="5">
      <formula>$W2="جديد"</formula>
    </cfRule>
  </conditionalFormatting>
  <conditionalFormatting sqref="AC2:AC501">
    <cfRule type="expression" dxfId="2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8C"/>
  </sheetPr>
  <dimension ref="A1:AO500"/>
  <sheetViews>
    <sheetView rightToLeft="1" zoomScaleNormal="100" workbookViewId="0">
      <pane xSplit="1" ySplit="1" topLeftCell="F118" activePane="bottomRight" state="frozen"/>
      <selection pane="topRight" activeCell="B1" sqref="B1"/>
      <selection pane="bottomLeft" activeCell="A2" sqref="A2"/>
      <selection pane="bottomRight" activeCell="H126" sqref="H126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IF(COUNTA($A$2:$A$4999)=0,"الصق الجدول في A1",IF(COUNTA($A$2:$A$4999)&gt;500,"⚠ تجاوز 500 صنف",IF(COUNTIF($U$2:$U$500,"?*")=0,"✓ لا ملاحظات","⚠ "&amp;COUNTIF($U$2:$U$500,"?*")&amp;"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IF(COUNTA('08-آب'!$A$2:$A$501)&gt;0,1,0)</f>
        <v>1</v>
      </c>
    </row>
    <row r="2" spans="1:41" ht="15">
      <c r="A2" t="s">
        <v>508</v>
      </c>
      <c r="B2">
        <v>0</v>
      </c>
      <c r="C2">
        <v>0</v>
      </c>
      <c r="D2">
        <v>0</v>
      </c>
      <c r="E2">
        <v>0</v>
      </c>
      <c r="F2" t="s">
        <v>389</v>
      </c>
      <c r="G2" t="s">
        <v>178</v>
      </c>
      <c r="H2" t="s">
        <v>12</v>
      </c>
      <c r="I2">
        <v>0</v>
      </c>
      <c r="K2" t="str">
        <f t="shared" ref="K2:K64" si="0">IF(L2="","",IF(U2&lt;&gt;"","⚠",""))</f>
        <v/>
      </c>
      <c r="L2" t="str">
        <f t="shared" ref="L2:L64" si="1">IF(A2="","",TRIM(A2))</f>
        <v>نفتلين</v>
      </c>
      <c r="M2" s="36">
        <f t="shared" ref="M2:M64" si="2">IF(L2="","",IF(ISNUMBER(SEARCH("دولار",F2)),1,IF(ISNUMBER(SEARCH("ليرة",F2)),IF($AO$3&gt;0,1/$AO$3,0),0)))</f>
        <v>7.2463768115942027E-5</v>
      </c>
      <c r="N2" s="37">
        <f t="shared" ref="N2:N64" si="3">IF(L2="","",N(I2)*M2)</f>
        <v>0</v>
      </c>
      <c r="O2" s="37">
        <f t="shared" ref="O2:O64" si="4">IF(L2="","",M2*CHOOSE($AO$4,N(C2),N(D2),N(E2)))</f>
        <v>0</v>
      </c>
      <c r="P2" s="38">
        <f t="shared" ref="P2:P64" si="5">IF(L2="","",MAX(N(B2),0))</f>
        <v>0</v>
      </c>
      <c r="Q2" s="39">
        <f t="shared" ref="Q2:Q64" si="6">IF(L2="","",P2*N2)</f>
        <v>0</v>
      </c>
      <c r="R2" s="39">
        <f t="shared" ref="R2:R64" si="7">IF(L2="","",P2*O2)</f>
        <v>0</v>
      </c>
      <c r="S2">
        <f t="shared" ref="S2:S64" si="8">IF(L2="","",IF(AND(P2&gt;0,N2&gt;0,O2&gt;0),1,0))</f>
        <v>0</v>
      </c>
      <c r="T2" s="39">
        <f t="shared" ref="T2:T64" si="9">IF(L2="","",S2*(R2-Q2))</f>
        <v>0</v>
      </c>
      <c r="U2" t="str">
        <f t="shared" ref="U2:U64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IF(L2="","",IF($AO$1=1,IFERROR(MATCH(L2,'08-آب'!$L$2:$L$501,0),0),0))</f>
        <v>1</v>
      </c>
      <c r="W2" t="str">
        <f t="shared" ref="W2:W64" si="11">IF(L2="","",IF(AND($AO$1=1,V2=0),"جديد",""))</f>
        <v/>
      </c>
      <c r="X2" s="38">
        <f>IF(L2="","",IF(V2&gt;0,INDEX('08-آب'!$P$2:$P$501,V2),IF($AO$1=1,0,"")))</f>
        <v>0</v>
      </c>
      <c r="Y2" s="38">
        <f t="shared" ref="Y2:Y64" si="12">IF(OR(L2="",X2=""),"",P2-X2)</f>
        <v>0</v>
      </c>
      <c r="Z2" s="39">
        <f>IF(L2="","",IF(V2&gt;0,INDEX('08-آب'!$Q$2:$Q$501,V2),IF($AO$1=1,0,"")))</f>
        <v>0</v>
      </c>
      <c r="AA2" s="39">
        <f t="shared" ref="AA2:AA64" si="13">IF(OR(L2="",Z2=""),"",Q2-Z2)</f>
        <v>0</v>
      </c>
      <c r="AB2" s="40" t="str">
        <f>IF(OR(L2="",V2=0),"",IF(AND(N(I2)&gt;0,N(INDEX('08-آب'!$I$2:$I$501,V2))&gt;0,INDEX('08-آب'!$F$2:$F$501,V2)=F2),N(I2)/N(INDEX('08-آب'!$I$2:$I$501,V2))-1,""))</f>
        <v/>
      </c>
      <c r="AC2" t="str">
        <f>IF(L2="","",IF(AND($AO$2=1,ISNA(MATCH(L2,'10-تشرين الأول'!$L$2:$L$501,0))),"محذوف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4" si="14">IF(AA2="","",ABS(AA2)+ROW()/1000000000)</f>
        <v>2.0000000000000001E-9</v>
      </c>
      <c r="AH2" s="39">
        <f t="shared" ref="AH2:AH64" si="15">IF(L2="","",IF(AND(P2&gt;0,N2&gt;0,N(C2)&gt;0),P2*(M2*N(C2)-N2),0))</f>
        <v>0</v>
      </c>
      <c r="AI2" s="39">
        <f t="shared" ref="AI2:AI64" si="16">IF(L2="","",IF(AND(P2&gt;0,N2&gt;0,N(D2)&gt;0),P2*(M2*N(D2)-N2),0))</f>
        <v>0</v>
      </c>
      <c r="AJ2" s="39">
        <f t="shared" ref="AJ2:AJ64" si="17">IF(L2="","",IF(AND(P2&gt;0,N2&gt;0,N(E2)&gt;0),P2*(M2*N(E2)-N2),0))</f>
        <v>0</v>
      </c>
      <c r="AK2">
        <f t="shared" ref="AK2:AK64" si="18">IF(L2="","",Q2+ROW()/1000000000)</f>
        <v>2.0000000000000001E-9</v>
      </c>
      <c r="AL2">
        <f t="shared" ref="AL2:AL64" si="19">IF(L2="","",T2+ROW()/1000000000)</f>
        <v>2.0000000000000001E-9</v>
      </c>
      <c r="AN2" s="3" t="s">
        <v>262</v>
      </c>
      <c r="AO2" s="35">
        <f>IF(COUNTA('10-تشرين الأول'!$A$2:$A$501)&gt;0,1,0)</f>
        <v>0</v>
      </c>
    </row>
    <row r="3" spans="1:41" ht="15">
      <c r="A3" t="s">
        <v>388</v>
      </c>
      <c r="B3">
        <v>0</v>
      </c>
      <c r="C3">
        <v>6000</v>
      </c>
      <c r="D3">
        <v>6000</v>
      </c>
      <c r="E3">
        <v>6000</v>
      </c>
      <c r="F3" t="s">
        <v>389</v>
      </c>
      <c r="G3" t="s">
        <v>178</v>
      </c>
      <c r="H3" t="s">
        <v>12</v>
      </c>
      <c r="I3">
        <v>3250</v>
      </c>
      <c r="K3" t="str">
        <f t="shared" si="0"/>
        <v/>
      </c>
      <c r="L3" t="str">
        <f t="shared" si="1"/>
        <v>مياه مقطرة 4 لتر</v>
      </c>
      <c r="M3" s="36">
        <f t="shared" si="2"/>
        <v>7.2463768115942027E-5</v>
      </c>
      <c r="N3" s="37">
        <f t="shared" si="3"/>
        <v>0.23550724637681159</v>
      </c>
      <c r="O3" s="37">
        <f t="shared" si="4"/>
        <v>0.43478260869565216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IF(L3="","",IF($AO$1=1,IFERROR(MATCH(L3,'08-آب'!$L$2:$L$501,0),0),0))</f>
        <v>2</v>
      </c>
      <c r="W3" t="str">
        <f t="shared" si="11"/>
        <v/>
      </c>
      <c r="X3" s="38">
        <f>IF(L3="","",IF(V3&gt;0,INDEX('08-آب'!$P$2:$P$501,V3),IF($AO$1=1,0,"")))</f>
        <v>0</v>
      </c>
      <c r="Y3" s="38">
        <f t="shared" si="12"/>
        <v>0</v>
      </c>
      <c r="Z3" s="39">
        <f>IF(L3="","",IF(V3&gt;0,INDEX('08-آب'!$Q$2:$Q$501,V3),IF($AO$1=1,0,"")))</f>
        <v>0</v>
      </c>
      <c r="AA3" s="39">
        <f t="shared" si="13"/>
        <v>0</v>
      </c>
      <c r="AB3" s="40">
        <f>IF(OR(L3="",V3=0),"",IF(AND(N(I3)&gt;0,N(INDEX('08-آب'!$I$2:$I$501,V3))&gt;0,INDEX('08-آب'!$F$2:$F$501,V3)=F3),N(I3)/N(INDEX('08-آب'!$I$2:$I$501,V3))-1,""))</f>
        <v>0</v>
      </c>
      <c r="AC3" t="str">
        <f>IF(L3="","",IF(AND($AO$2=1,ISNA(MATCH(L3,'10-تشرين الأول'!$L$2:$L$501,0))),"محذوف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التحكم'!$C$24</f>
        <v>13800</v>
      </c>
    </row>
    <row r="4" spans="1:41" ht="15">
      <c r="A4" t="s">
        <v>390</v>
      </c>
      <c r="B4">
        <v>0</v>
      </c>
      <c r="C4">
        <v>1800</v>
      </c>
      <c r="D4">
        <v>1800</v>
      </c>
      <c r="E4">
        <v>1800</v>
      </c>
      <c r="F4" t="s">
        <v>389</v>
      </c>
      <c r="G4" t="s">
        <v>178</v>
      </c>
      <c r="H4" t="s">
        <v>12</v>
      </c>
      <c r="I4">
        <v>1700</v>
      </c>
      <c r="K4" t="str">
        <f t="shared" si="0"/>
        <v/>
      </c>
      <c r="L4" t="str">
        <f t="shared" si="1"/>
        <v>مياه مقطرة 1 لتر</v>
      </c>
      <c r="M4" s="36">
        <f t="shared" si="2"/>
        <v>7.2463768115942027E-5</v>
      </c>
      <c r="N4" s="37">
        <f t="shared" si="3"/>
        <v>0.12318840579710144</v>
      </c>
      <c r="O4" s="37">
        <f t="shared" si="4"/>
        <v>0.13043478260869565</v>
      </c>
      <c r="P4" s="38">
        <f t="shared" si="5"/>
        <v>0</v>
      </c>
      <c r="Q4" s="39">
        <f t="shared" si="6"/>
        <v>0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IF(L4="","",IF($AO$1=1,IFERROR(MATCH(L4,'08-آب'!$L$2:$L$501,0),0),0))</f>
        <v>3</v>
      </c>
      <c r="W4" t="str">
        <f t="shared" si="11"/>
        <v/>
      </c>
      <c r="X4" s="38">
        <f>IF(L4="","",IF(V4&gt;0,INDEX('08-آب'!$P$2:$P$501,V4),IF($AO$1=1,0,"")))</f>
        <v>0</v>
      </c>
      <c r="Y4" s="38">
        <f t="shared" si="12"/>
        <v>0</v>
      </c>
      <c r="Z4" s="39">
        <f>IF(L4="","",IF(V4&gt;0,INDEX('08-آب'!$Q$2:$Q$501,V4),IF($AO$1=1,0,"")))</f>
        <v>0</v>
      </c>
      <c r="AA4" s="39">
        <f t="shared" si="13"/>
        <v>0</v>
      </c>
      <c r="AB4" s="40">
        <f>IF(OR(L4="",V4=0),"",IF(AND(N(I4)&gt;0,N(INDEX('08-آب'!$I$2:$I$501,V4))&gt;0,INDEX('08-آب'!$F$2:$F$501,V4)=F4),N(I4)/N(INDEX('08-آب'!$I$2:$I$501,V4))-1,""))</f>
        <v>0</v>
      </c>
      <c r="AC4" t="str">
        <f>IF(L4="","",IF(AND($AO$2=1,ISNA(MATCH(L4,'10-تشرين الأول'!$L$2:$L$501,0))),"محذوف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4.0000000000000002E-9</v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4.0000000000000002E-9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391</v>
      </c>
      <c r="B5">
        <v>2.09</v>
      </c>
      <c r="C5">
        <v>14000</v>
      </c>
      <c r="D5">
        <v>14000</v>
      </c>
      <c r="E5">
        <v>14000</v>
      </c>
      <c r="F5" t="s">
        <v>389</v>
      </c>
      <c r="G5" t="s">
        <v>178</v>
      </c>
      <c r="H5" t="s">
        <v>12</v>
      </c>
      <c r="I5">
        <v>10000</v>
      </c>
      <c r="K5" t="str">
        <f t="shared" si="0"/>
        <v/>
      </c>
      <c r="L5" t="str">
        <f t="shared" si="1"/>
        <v>مهسهس زفته - معجون</v>
      </c>
      <c r="M5" s="36">
        <f t="shared" si="2"/>
        <v>7.2463768115942027E-5</v>
      </c>
      <c r="N5" s="37">
        <f t="shared" si="3"/>
        <v>0.72463768115942029</v>
      </c>
      <c r="O5" s="37">
        <f t="shared" si="4"/>
        <v>1.0144927536231885</v>
      </c>
      <c r="P5" s="38">
        <f t="shared" si="5"/>
        <v>2.09</v>
      </c>
      <c r="Q5" s="39">
        <f t="shared" si="6"/>
        <v>1.5144927536231882</v>
      </c>
      <c r="R5" s="39">
        <f t="shared" si="7"/>
        <v>2.1202898550724636</v>
      </c>
      <c r="S5">
        <f t="shared" si="8"/>
        <v>1</v>
      </c>
      <c r="T5" s="39">
        <f t="shared" si="9"/>
        <v>0.60579710144927534</v>
      </c>
      <c r="U5" t="str">
        <f t="shared" si="10"/>
        <v/>
      </c>
      <c r="V5">
        <f>IF(L5="","",IF($AO$1=1,IFERROR(MATCH(L5,'08-آب'!$L$2:$L$501,0),0),0))</f>
        <v>4</v>
      </c>
      <c r="W5" t="str">
        <f t="shared" si="11"/>
        <v/>
      </c>
      <c r="X5" s="38">
        <f>IF(L5="","",IF(V5&gt;0,INDEX('08-آب'!$P$2:$P$501,V5),IF($AO$1=1,0,"")))</f>
        <v>4.5599999999999996</v>
      </c>
      <c r="Y5" s="38">
        <f t="shared" si="12"/>
        <v>-2.4699999999999998</v>
      </c>
      <c r="Z5" s="39">
        <f>IF(L5="","",IF(V5&gt;0,INDEX('08-آب'!$Q$2:$Q$501,V5),IF($AO$1=1,0,"")))</f>
        <v>3.4545454545454541</v>
      </c>
      <c r="AA5" s="39">
        <f t="shared" si="13"/>
        <v>-1.9400527009222659</v>
      </c>
      <c r="AB5" s="40">
        <f>IF(OR(L5="",V5=0),"",IF(AND(N(I5)&gt;0,N(INDEX('08-آب'!$I$2:$I$501,V5))&gt;0,INDEX('08-آب'!$F$2:$F$501,V5)=F5),N(I5)/N(INDEX('08-آب'!$I$2:$I$501,V5))-1,""))</f>
        <v>0</v>
      </c>
      <c r="AC5" t="str">
        <f>IF(L5="","",IF(AND($AO$2=1,ISNA(MATCH(L5,'10-تشرين الأول'!$L$2:$L$501,0))),"محذوف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1.9400527059222659</v>
      </c>
      <c r="AH5" s="39">
        <f t="shared" si="15"/>
        <v>0.60579710144927545</v>
      </c>
      <c r="AI5" s="39">
        <f t="shared" si="16"/>
        <v>0.60579710144927545</v>
      </c>
      <c r="AJ5" s="39">
        <f t="shared" si="17"/>
        <v>0.60579710144927545</v>
      </c>
      <c r="AK5">
        <f t="shared" si="18"/>
        <v>1.5144927586231882</v>
      </c>
      <c r="AL5">
        <f t="shared" si="19"/>
        <v>0.60579710644927531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530</v>
      </c>
      <c r="B6">
        <v>0</v>
      </c>
      <c r="C6">
        <v>0</v>
      </c>
      <c r="D6">
        <v>0</v>
      </c>
      <c r="E6">
        <v>0</v>
      </c>
      <c r="F6" t="s">
        <v>268</v>
      </c>
      <c r="G6" t="s">
        <v>178</v>
      </c>
      <c r="H6" t="s">
        <v>176</v>
      </c>
      <c r="I6">
        <v>16.399999999999999</v>
      </c>
      <c r="K6" t="str">
        <f t="shared" si="0"/>
        <v/>
      </c>
      <c r="L6" t="str">
        <f t="shared" si="1"/>
        <v>منتول كريستال</v>
      </c>
      <c r="M6" s="36">
        <f t="shared" si="2"/>
        <v>1</v>
      </c>
      <c r="N6" s="37">
        <f t="shared" si="3"/>
        <v>16.399999999999999</v>
      </c>
      <c r="O6" s="37">
        <f t="shared" si="4"/>
        <v>0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IF(L6="","",IF($AO$1=1,IFERROR(MATCH(L6,'08-آب'!$L$2:$L$501,0),0),0))</f>
        <v>0</v>
      </c>
      <c r="W6" t="str">
        <f t="shared" si="11"/>
        <v>جديد</v>
      </c>
      <c r="X6" s="38">
        <f>IF(L6="","",IF(V6&gt;0,INDEX('08-آب'!$P$2:$P$501,V6),IF($AO$1=1,0,"")))</f>
        <v>0</v>
      </c>
      <c r="Y6" s="38">
        <f t="shared" si="12"/>
        <v>0</v>
      </c>
      <c r="Z6" s="39">
        <f>IF(L6="","",IF(V6&gt;0,INDEX('08-آب'!$Q$2:$Q$501,V6),IF($AO$1=1,0,"")))</f>
        <v>0</v>
      </c>
      <c r="AA6" s="39">
        <f t="shared" si="13"/>
        <v>0</v>
      </c>
      <c r="AB6" s="40" t="str">
        <f>IF(OR(L6="",V6=0),"",IF(AND(N(I6)&gt;0,N(INDEX('08-آب'!$I$2:$I$501,V6))&gt;0,INDEX('08-آب'!$F$2:$F$501,V6)=F6),N(I6)/N(INDEX('08-آب'!$I$2:$I$501,V6))-1,""))</f>
        <v/>
      </c>
      <c r="AC6" t="str">
        <f>IF(L6="","",IF(AND($AO$2=1,ISNA(MATCH(L6,'10-تشرين الأول'!$L$2:$L$501,0))),"محذوف لاحقاً",""))</f>
        <v/>
      </c>
      <c r="AD6">
        <f>IF(W6="جديد",COUNTIF(W$2:W6,"جديد"),"")</f>
        <v>1</v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6E-9</v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392</v>
      </c>
      <c r="B7">
        <v>41.91</v>
      </c>
      <c r="C7">
        <v>220000</v>
      </c>
      <c r="D7">
        <v>220000</v>
      </c>
      <c r="E7">
        <v>220000</v>
      </c>
      <c r="F7" t="s">
        <v>389</v>
      </c>
      <c r="G7" t="s">
        <v>178</v>
      </c>
      <c r="H7" t="s">
        <v>12</v>
      </c>
      <c r="I7">
        <v>108000</v>
      </c>
      <c r="K7" t="str">
        <f t="shared" si="0"/>
        <v/>
      </c>
      <c r="L7" t="str">
        <f t="shared" si="1"/>
        <v>مماسح مكتب َ</v>
      </c>
      <c r="M7" s="36">
        <f t="shared" si="2"/>
        <v>7.2463768115942027E-5</v>
      </c>
      <c r="N7" s="37">
        <f t="shared" si="3"/>
        <v>7.8260869565217392</v>
      </c>
      <c r="O7" s="37">
        <f t="shared" si="4"/>
        <v>15.942028985507246</v>
      </c>
      <c r="P7" s="38">
        <f t="shared" si="5"/>
        <v>41.91</v>
      </c>
      <c r="Q7" s="39">
        <f t="shared" si="6"/>
        <v>327.99130434782609</v>
      </c>
      <c r="R7" s="39">
        <f t="shared" si="7"/>
        <v>668.13043478260863</v>
      </c>
      <c r="S7">
        <f t="shared" si="8"/>
        <v>1</v>
      </c>
      <c r="T7" s="39">
        <f t="shared" si="9"/>
        <v>340.13913043478254</v>
      </c>
      <c r="U7" t="str">
        <f t="shared" si="10"/>
        <v/>
      </c>
      <c r="V7">
        <f>IF(L7="","",IF($AO$1=1,IFERROR(MATCH(L7,'08-آب'!$L$2:$L$501,0),0),0))</f>
        <v>5</v>
      </c>
      <c r="W7" t="str">
        <f t="shared" si="11"/>
        <v/>
      </c>
      <c r="X7" s="38">
        <f>IF(L7="","",IF(V7&gt;0,INDEX('08-آب'!$P$2:$P$501,V7),IF($AO$1=1,0,"")))</f>
        <v>45.74</v>
      </c>
      <c r="Y7" s="38">
        <f t="shared" si="12"/>
        <v>-3.8300000000000054</v>
      </c>
      <c r="Z7" s="39">
        <f>IF(L7="","",IF(V7&gt;0,INDEX('08-آب'!$Q$2:$Q$501,V7),IF($AO$1=1,0,"")))</f>
        <v>374.23636363636365</v>
      </c>
      <c r="AA7" s="39">
        <f t="shared" si="13"/>
        <v>-46.245059288537561</v>
      </c>
      <c r="AB7" s="40">
        <f>IF(OR(L7="",V7=0),"",IF(AND(N(I7)&gt;0,N(INDEX('08-آب'!$I$2:$I$501,V7))&gt;0,INDEX('08-آب'!$F$2:$F$501,V7)=F7),N(I7)/N(INDEX('08-آب'!$I$2:$I$501,V7))-1,""))</f>
        <v>0</v>
      </c>
      <c r="AC7" t="str">
        <f>IF(L7="","",IF(AND($AO$2=1,ISNA(MATCH(L7,'10-تشرين الأول'!$L$2:$L$501,0))),"محذوف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46.245059295537558</v>
      </c>
      <c r="AH7" s="39">
        <f t="shared" si="15"/>
        <v>340.1391304347826</v>
      </c>
      <c r="AI7" s="39">
        <f t="shared" si="16"/>
        <v>340.1391304347826</v>
      </c>
      <c r="AJ7" s="39">
        <f t="shared" si="17"/>
        <v>340.1391304347826</v>
      </c>
      <c r="AK7">
        <f t="shared" si="18"/>
        <v>327.99130435482607</v>
      </c>
      <c r="AL7">
        <f t="shared" si="19"/>
        <v>340.13913044178253</v>
      </c>
      <c r="AN7" s="3" t="s">
        <v>265</v>
      </c>
      <c r="AO7" s="35">
        <f>'لوحة التحكم'!$C$10</f>
        <v>5000</v>
      </c>
    </row>
    <row r="8" spans="1:41" ht="15">
      <c r="A8" t="s">
        <v>393</v>
      </c>
      <c r="B8">
        <v>0</v>
      </c>
      <c r="C8">
        <v>420000</v>
      </c>
      <c r="D8">
        <v>420000</v>
      </c>
      <c r="E8">
        <v>420000</v>
      </c>
      <c r="F8" t="s">
        <v>389</v>
      </c>
      <c r="G8" t="s">
        <v>178</v>
      </c>
      <c r="H8" t="s">
        <v>12</v>
      </c>
      <c r="I8">
        <v>360000</v>
      </c>
      <c r="K8" t="str">
        <f t="shared" si="0"/>
        <v/>
      </c>
      <c r="L8" t="str">
        <f t="shared" si="1"/>
        <v>مماسح قماش عائلة فايبر</v>
      </c>
      <c r="M8" s="36">
        <f t="shared" si="2"/>
        <v>7.2463768115942027E-5</v>
      </c>
      <c r="N8" s="37">
        <f t="shared" si="3"/>
        <v>26.086956521739129</v>
      </c>
      <c r="O8" s="37">
        <f t="shared" si="4"/>
        <v>30.434782608695652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IF(L8="","",IF($AO$1=1,IFERROR(MATCH(L8,'08-آب'!$L$2:$L$501,0),0),0))</f>
        <v>6</v>
      </c>
      <c r="W8" t="str">
        <f t="shared" si="11"/>
        <v/>
      </c>
      <c r="X8" s="38">
        <f>IF(L8="","",IF(V8&gt;0,INDEX('08-آب'!$P$2:$P$501,V8),IF($AO$1=1,0,"")))</f>
        <v>0</v>
      </c>
      <c r="Y8" s="38">
        <f t="shared" si="12"/>
        <v>0</v>
      </c>
      <c r="Z8" s="39">
        <f>IF(L8="","",IF(V8&gt;0,INDEX('08-آب'!$Q$2:$Q$501,V8),IF($AO$1=1,0,"")))</f>
        <v>0</v>
      </c>
      <c r="AA8" s="39">
        <f t="shared" si="13"/>
        <v>0</v>
      </c>
      <c r="AB8" s="40">
        <f>IF(OR(L8="",V8=0),"",IF(AND(N(I8)&gt;0,N(INDEX('08-آب'!$I$2:$I$501,V8))&gt;0,INDEX('08-آب'!$F$2:$F$501,V8)=F8),N(I8)/N(INDEX('08-آب'!$I$2:$I$501,V8))-1,""))</f>
        <v>0</v>
      </c>
      <c r="AC8" t="str">
        <f>IF(L8="","",IF(AND($AO$2=1,ISNA(MATCH(L8,'10-تشرين الأول'!$L$2:$L$501,0))),"محذوف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8.0000000000000005E-9</v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394</v>
      </c>
      <c r="B9">
        <v>0</v>
      </c>
      <c r="C9">
        <v>0</v>
      </c>
      <c r="D9">
        <v>0</v>
      </c>
      <c r="E9">
        <v>0</v>
      </c>
      <c r="F9" t="s">
        <v>389</v>
      </c>
      <c r="G9" t="s">
        <v>178</v>
      </c>
      <c r="H9" t="s">
        <v>12</v>
      </c>
      <c r="I9">
        <v>25000</v>
      </c>
      <c r="K9" t="str">
        <f t="shared" si="0"/>
        <v/>
      </c>
      <c r="L9" t="str">
        <f t="shared" si="1"/>
        <v>مماسح جلدية</v>
      </c>
      <c r="M9" s="36">
        <f t="shared" si="2"/>
        <v>7.2463768115942027E-5</v>
      </c>
      <c r="N9" s="37">
        <f t="shared" si="3"/>
        <v>1.8115942028985508</v>
      </c>
      <c r="O9" s="37">
        <f t="shared" si="4"/>
        <v>0</v>
      </c>
      <c r="P9" s="38">
        <f t="shared" si="5"/>
        <v>0</v>
      </c>
      <c r="Q9" s="39">
        <f t="shared" si="6"/>
        <v>0</v>
      </c>
      <c r="R9" s="39">
        <f t="shared" si="7"/>
        <v>0</v>
      </c>
      <c r="S9">
        <f t="shared" si="8"/>
        <v>0</v>
      </c>
      <c r="T9" s="39">
        <f t="shared" si="9"/>
        <v>0</v>
      </c>
      <c r="U9" t="str">
        <f t="shared" si="10"/>
        <v/>
      </c>
      <c r="V9">
        <f>IF(L9="","",IF($AO$1=1,IFERROR(MATCH(L9,'08-آب'!$L$2:$L$501,0),0),0))</f>
        <v>7</v>
      </c>
      <c r="W9" t="str">
        <f t="shared" si="11"/>
        <v/>
      </c>
      <c r="X9" s="38">
        <f>IF(L9="","",IF(V9&gt;0,INDEX('08-آب'!$P$2:$P$501,V9),IF($AO$1=1,0,"")))</f>
        <v>0</v>
      </c>
      <c r="Y9" s="38">
        <f t="shared" si="12"/>
        <v>0</v>
      </c>
      <c r="Z9" s="39">
        <f>IF(L9="","",IF(V9&gt;0,INDEX('08-آب'!$Q$2:$Q$501,V9),IF($AO$1=1,0,"")))</f>
        <v>0</v>
      </c>
      <c r="AA9" s="39">
        <f t="shared" si="13"/>
        <v>0</v>
      </c>
      <c r="AB9" s="40">
        <f>IF(OR(L9="",V9=0),"",IF(AND(N(I9)&gt;0,N(INDEX('08-آب'!$I$2:$I$501,V9))&gt;0,INDEX('08-آب'!$F$2:$F$501,V9)=F9),N(I9)/N(INDEX('08-آب'!$I$2:$I$501,V9))-1,""))</f>
        <v>0</v>
      </c>
      <c r="AC9" t="str">
        <f>IF(L9="","",IF(AND($AO$2=1,ISNA(MATCH(L9,'10-تشرين الأول'!$L$2:$L$501,0))),"محذوف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8.9999999999999995E-9</v>
      </c>
      <c r="AH9" s="39">
        <f t="shared" si="15"/>
        <v>0</v>
      </c>
      <c r="AI9" s="39">
        <f t="shared" si="16"/>
        <v>0</v>
      </c>
      <c r="AJ9" s="39">
        <f t="shared" si="17"/>
        <v>0</v>
      </c>
      <c r="AK9">
        <f t="shared" si="18"/>
        <v>8.9999999999999995E-9</v>
      </c>
      <c r="AL9">
        <f t="shared" si="19"/>
        <v>8.9999999999999995E-9</v>
      </c>
    </row>
    <row r="10" spans="1:41" ht="15">
      <c r="A10" t="s">
        <v>395</v>
      </c>
      <c r="B10">
        <v>27</v>
      </c>
      <c r="C10">
        <v>13000</v>
      </c>
      <c r="D10">
        <v>13000</v>
      </c>
      <c r="E10">
        <v>13000</v>
      </c>
      <c r="F10" t="s">
        <v>389</v>
      </c>
      <c r="G10" t="s">
        <v>178</v>
      </c>
      <c r="H10" t="s">
        <v>12</v>
      </c>
      <c r="I10">
        <v>5000</v>
      </c>
      <c r="K10" t="str">
        <f t="shared" si="0"/>
        <v/>
      </c>
      <c r="L10" t="str">
        <f t="shared" si="1"/>
        <v>مماسح بلور</v>
      </c>
      <c r="M10" s="36">
        <f t="shared" si="2"/>
        <v>7.2463768115942027E-5</v>
      </c>
      <c r="N10" s="37">
        <f t="shared" si="3"/>
        <v>0.36231884057971014</v>
      </c>
      <c r="O10" s="37">
        <f t="shared" si="4"/>
        <v>0.94202898550724634</v>
      </c>
      <c r="P10" s="38">
        <f t="shared" si="5"/>
        <v>27</v>
      </c>
      <c r="Q10" s="39">
        <f t="shared" si="6"/>
        <v>9.7826086956521738</v>
      </c>
      <c r="R10" s="39">
        <f t="shared" si="7"/>
        <v>25.434782608695652</v>
      </c>
      <c r="S10">
        <f t="shared" si="8"/>
        <v>1</v>
      </c>
      <c r="T10" s="39">
        <f t="shared" si="9"/>
        <v>15.652173913043478</v>
      </c>
      <c r="U10" t="str">
        <f t="shared" si="10"/>
        <v/>
      </c>
      <c r="V10">
        <f>IF(L10="","",IF($AO$1=1,IFERROR(MATCH(L10,'08-آب'!$L$2:$L$501,0),0),0))</f>
        <v>8</v>
      </c>
      <c r="W10" t="str">
        <f t="shared" si="11"/>
        <v/>
      </c>
      <c r="X10" s="38">
        <f>IF(L10="","",IF(V10&gt;0,INDEX('08-آب'!$P$2:$P$501,V10),IF($AO$1=1,0,"")))</f>
        <v>27</v>
      </c>
      <c r="Y10" s="38">
        <f t="shared" si="12"/>
        <v>0</v>
      </c>
      <c r="Z10" s="39">
        <f>IF(L10="","",IF(V10&gt;0,INDEX('08-آب'!$Q$2:$Q$501,V10),IF($AO$1=1,0,"")))</f>
        <v>10.227272727272727</v>
      </c>
      <c r="AA10" s="39">
        <f t="shared" si="13"/>
        <v>-0.44466403162055279</v>
      </c>
      <c r="AB10" s="40">
        <f>IF(OR(L10="",V10=0),"",IF(AND(N(I10)&gt;0,N(INDEX('08-آب'!$I$2:$I$501,V10))&gt;0,INDEX('08-آب'!$F$2:$F$501,V10)=F10),N(I10)/N(INDEX('08-آب'!$I$2:$I$501,V10))-1,""))</f>
        <v>0</v>
      </c>
      <c r="AC10" t="str">
        <f>IF(L10="","",IF(AND($AO$2=1,ISNA(MATCH(L10,'10-تشرين الأول'!$L$2:$L$501,0))),"محذوف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0.44466404162055279</v>
      </c>
      <c r="AH10" s="39">
        <f t="shared" si="15"/>
        <v>15.652173913043477</v>
      </c>
      <c r="AI10" s="39">
        <f t="shared" si="16"/>
        <v>15.652173913043477</v>
      </c>
      <c r="AJ10" s="39">
        <f t="shared" si="17"/>
        <v>15.652173913043477</v>
      </c>
      <c r="AK10">
        <f t="shared" si="18"/>
        <v>9.7826087056521747</v>
      </c>
      <c r="AL10">
        <f t="shared" si="19"/>
        <v>15.652173923043479</v>
      </c>
    </row>
    <row r="11" spans="1:41" ht="15">
      <c r="A11" t="s">
        <v>396</v>
      </c>
      <c r="B11">
        <v>1</v>
      </c>
      <c r="C11">
        <v>110000</v>
      </c>
      <c r="D11">
        <v>110000</v>
      </c>
      <c r="E11">
        <v>110000</v>
      </c>
      <c r="F11" t="s">
        <v>389</v>
      </c>
      <c r="G11" t="s">
        <v>178</v>
      </c>
      <c r="H11" t="s">
        <v>12</v>
      </c>
      <c r="I11">
        <v>72000</v>
      </c>
      <c r="K11" t="str">
        <f t="shared" si="0"/>
        <v/>
      </c>
      <c r="L11" t="str">
        <f t="shared" si="1"/>
        <v>مماسح ارضيات</v>
      </c>
      <c r="M11" s="36">
        <f t="shared" si="2"/>
        <v>7.2463768115942027E-5</v>
      </c>
      <c r="N11" s="37">
        <f t="shared" si="3"/>
        <v>5.2173913043478262</v>
      </c>
      <c r="O11" s="37">
        <f t="shared" si="4"/>
        <v>7.9710144927536231</v>
      </c>
      <c r="P11" s="38">
        <f t="shared" si="5"/>
        <v>1</v>
      </c>
      <c r="Q11" s="39">
        <f t="shared" si="6"/>
        <v>5.2173913043478262</v>
      </c>
      <c r="R11" s="39">
        <f t="shared" si="7"/>
        <v>7.9710144927536231</v>
      </c>
      <c r="S11">
        <f t="shared" si="8"/>
        <v>1</v>
      </c>
      <c r="T11" s="39">
        <f t="shared" si="9"/>
        <v>2.7536231884057969</v>
      </c>
      <c r="U11" t="str">
        <f t="shared" si="10"/>
        <v/>
      </c>
      <c r="V11">
        <f>IF(L11="","",IF($AO$1=1,IFERROR(MATCH(L11,'08-آب'!$L$2:$L$501,0),0),0))</f>
        <v>9</v>
      </c>
      <c r="W11" t="str">
        <f t="shared" si="11"/>
        <v/>
      </c>
      <c r="X11" s="38">
        <f>IF(L11="","",IF(V11&gt;0,INDEX('08-آب'!$P$2:$P$501,V11),IF($AO$1=1,0,"")))</f>
        <v>4</v>
      </c>
      <c r="Y11" s="38">
        <f t="shared" si="12"/>
        <v>-3</v>
      </c>
      <c r="Z11" s="39">
        <f>IF(L11="","",IF(V11&gt;0,INDEX('08-آب'!$Q$2:$Q$501,V11),IF($AO$1=1,0,"")))</f>
        <v>21.818181818181817</v>
      </c>
      <c r="AA11" s="39">
        <f t="shared" si="13"/>
        <v>-16.600790513833992</v>
      </c>
      <c r="AB11" s="40">
        <f>IF(OR(L11="",V11=0),"",IF(AND(N(I11)&gt;0,N(INDEX('08-آب'!$I$2:$I$501,V11))&gt;0,INDEX('08-آب'!$F$2:$F$501,V11)=F11),N(I11)/N(INDEX('08-آب'!$I$2:$I$501,V11))-1,""))</f>
        <v>0</v>
      </c>
      <c r="AC11" t="str">
        <f>IF(L11="","",IF(AND($AO$2=1,ISNA(MATCH(L11,'10-تشرين الأول'!$L$2:$L$501,0))),"محذوف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16.600790524833993</v>
      </c>
      <c r="AH11" s="39">
        <f t="shared" si="15"/>
        <v>2.7536231884057969</v>
      </c>
      <c r="AI11" s="39">
        <f t="shared" si="16"/>
        <v>2.7536231884057969</v>
      </c>
      <c r="AJ11" s="39">
        <f t="shared" si="17"/>
        <v>2.7536231884057969</v>
      </c>
      <c r="AK11">
        <f t="shared" si="18"/>
        <v>5.2173913153478262</v>
      </c>
      <c r="AL11">
        <f t="shared" si="19"/>
        <v>2.7536231994057969</v>
      </c>
    </row>
    <row r="12" spans="1:41" ht="15">
      <c r="A12" t="s">
        <v>397</v>
      </c>
      <c r="B12">
        <v>0</v>
      </c>
      <c r="C12">
        <v>35000</v>
      </c>
      <c r="D12">
        <v>35000</v>
      </c>
      <c r="E12">
        <v>35000</v>
      </c>
      <c r="F12" t="s">
        <v>389</v>
      </c>
      <c r="G12" t="s">
        <v>178</v>
      </c>
      <c r="H12" t="s">
        <v>12</v>
      </c>
      <c r="I12">
        <v>28000</v>
      </c>
      <c r="K12" t="str">
        <f t="shared" si="0"/>
        <v/>
      </c>
      <c r="L12" t="str">
        <f t="shared" si="1"/>
        <v>ملمع سيارات 3 لتر</v>
      </c>
      <c r="M12" s="36">
        <f t="shared" si="2"/>
        <v>7.2463768115942027E-5</v>
      </c>
      <c r="N12" s="37">
        <f t="shared" si="3"/>
        <v>2.0289855072463769</v>
      </c>
      <c r="O12" s="37">
        <f t="shared" si="4"/>
        <v>2.5362318840579707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IF(L12="","",IF($AO$1=1,IFERROR(MATCH(L12,'08-آب'!$L$2:$L$501,0),0),0))</f>
        <v>10</v>
      </c>
      <c r="W12" t="str">
        <f t="shared" si="11"/>
        <v/>
      </c>
      <c r="X12" s="38">
        <f>IF(L12="","",IF(V12&gt;0,INDEX('08-آب'!$P$2:$P$501,V12),IF($AO$1=1,0,"")))</f>
        <v>0</v>
      </c>
      <c r="Y12" s="38">
        <f t="shared" si="12"/>
        <v>0</v>
      </c>
      <c r="Z12" s="39">
        <f>IF(L12="","",IF(V12&gt;0,INDEX('08-آب'!$Q$2:$Q$501,V12),IF($AO$1=1,0,"")))</f>
        <v>0</v>
      </c>
      <c r="AA12" s="39">
        <f t="shared" si="13"/>
        <v>0</v>
      </c>
      <c r="AB12" s="40">
        <f>IF(OR(L12="",V12=0),"",IF(AND(N(I12)&gt;0,N(INDEX('08-آب'!$I$2:$I$501,V12))&gt;0,INDEX('08-آب'!$F$2:$F$501,V12)=F12),N(I12)/N(INDEX('08-آب'!$I$2:$I$501,V12))-1,""))</f>
        <v>0</v>
      </c>
      <c r="AC12" t="str">
        <f>IF(L12="","",IF(AND($AO$2=1,ISNA(MATCH(L12,'10-تشرين الأول'!$L$2:$L$501,0))),"محذوف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1.2E-8</v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398</v>
      </c>
      <c r="B13">
        <v>77.599999999999994</v>
      </c>
      <c r="C13">
        <v>15000</v>
      </c>
      <c r="D13">
        <v>15000</v>
      </c>
      <c r="E13">
        <v>15000</v>
      </c>
      <c r="F13" t="s">
        <v>389</v>
      </c>
      <c r="G13" t="s">
        <v>178</v>
      </c>
      <c r="H13" t="s">
        <v>12</v>
      </c>
      <c r="I13">
        <v>8500</v>
      </c>
      <c r="K13" t="str">
        <f t="shared" si="0"/>
        <v/>
      </c>
      <c r="L13" t="str">
        <f t="shared" si="1"/>
        <v>ملمع سيارات / فرط</v>
      </c>
      <c r="M13" s="36">
        <f t="shared" si="2"/>
        <v>7.2463768115942027E-5</v>
      </c>
      <c r="N13" s="37">
        <f t="shared" si="3"/>
        <v>0.61594202898550721</v>
      </c>
      <c r="O13" s="37">
        <f t="shared" si="4"/>
        <v>1.0869565217391304</v>
      </c>
      <c r="P13" s="38">
        <f t="shared" si="5"/>
        <v>77.599999999999994</v>
      </c>
      <c r="Q13" s="39">
        <f t="shared" si="6"/>
        <v>47.797101449275353</v>
      </c>
      <c r="R13" s="39">
        <f t="shared" si="7"/>
        <v>84.347826086956516</v>
      </c>
      <c r="S13">
        <f t="shared" si="8"/>
        <v>1</v>
      </c>
      <c r="T13" s="39">
        <f t="shared" si="9"/>
        <v>36.550724637681164</v>
      </c>
      <c r="U13" t="str">
        <f t="shared" si="10"/>
        <v/>
      </c>
      <c r="V13">
        <f>IF(L13="","",IF($AO$1=1,IFERROR(MATCH(L13,'08-آب'!$L$2:$L$501,0),0),0))</f>
        <v>11</v>
      </c>
      <c r="W13" t="str">
        <f t="shared" si="11"/>
        <v/>
      </c>
      <c r="X13" s="38">
        <f>IF(L13="","",IF(V13&gt;0,INDEX('08-آب'!$P$2:$P$501,V13),IF($AO$1=1,0,"")))</f>
        <v>158.6</v>
      </c>
      <c r="Y13" s="38">
        <f t="shared" si="12"/>
        <v>-81</v>
      </c>
      <c r="Z13" s="39">
        <f>IF(L13="","",IF(V13&gt;0,INDEX('08-آب'!$Q$2:$Q$501,V13),IF($AO$1=1,0,"")))</f>
        <v>102.12878787878788</v>
      </c>
      <c r="AA13" s="39">
        <f t="shared" si="13"/>
        <v>-54.331686429512523</v>
      </c>
      <c r="AB13" s="40">
        <f>IF(OR(L13="",V13=0),"",IF(AND(N(I13)&gt;0,N(INDEX('08-آب'!$I$2:$I$501,V13))&gt;0,INDEX('08-آب'!$F$2:$F$501,V13)=F13),N(I13)/N(INDEX('08-آب'!$I$2:$I$501,V13))-1,""))</f>
        <v>0</v>
      </c>
      <c r="AC13" t="str">
        <f>IF(L13="","",IF(AND($AO$2=1,ISNA(MATCH(L13,'10-تشرين الأول'!$L$2:$L$501,0))),"محذوف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54.33168644251252</v>
      </c>
      <c r="AH13" s="39">
        <f t="shared" si="15"/>
        <v>36.550724637681157</v>
      </c>
      <c r="AI13" s="39">
        <f t="shared" si="16"/>
        <v>36.550724637681157</v>
      </c>
      <c r="AJ13" s="39">
        <f t="shared" si="17"/>
        <v>36.550724637681157</v>
      </c>
      <c r="AK13">
        <f t="shared" si="18"/>
        <v>47.79710146227535</v>
      </c>
      <c r="AL13">
        <f t="shared" si="19"/>
        <v>36.550724650681161</v>
      </c>
    </row>
    <row r="14" spans="1:41" ht="15">
      <c r="A14" t="s">
        <v>267</v>
      </c>
      <c r="B14">
        <v>0</v>
      </c>
      <c r="C14">
        <v>0</v>
      </c>
      <c r="D14">
        <v>0</v>
      </c>
      <c r="E14">
        <v>0</v>
      </c>
      <c r="F14" t="s">
        <v>268</v>
      </c>
      <c r="G14" t="s">
        <v>178</v>
      </c>
      <c r="H14" t="s">
        <v>177</v>
      </c>
      <c r="I14">
        <v>175</v>
      </c>
      <c r="K14" t="str">
        <f t="shared" si="0"/>
        <v/>
      </c>
      <c r="L14" t="str">
        <f t="shared" si="1"/>
        <v>ملمع زجاج خام</v>
      </c>
      <c r="M14" s="36">
        <f t="shared" si="2"/>
        <v>1</v>
      </c>
      <c r="N14" s="37">
        <f t="shared" si="3"/>
        <v>175</v>
      </c>
      <c r="O14" s="37">
        <f t="shared" si="4"/>
        <v>0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IF(L14="","",IF($AO$1=1,IFERROR(MATCH(L14,'08-آب'!$L$2:$L$501,0),0),0))</f>
        <v>12</v>
      </c>
      <c r="W14" t="str">
        <f t="shared" si="11"/>
        <v/>
      </c>
      <c r="X14" s="38">
        <f>IF(L14="","",IF(V14&gt;0,INDEX('08-آب'!$P$2:$P$501,V14),IF($AO$1=1,0,"")))</f>
        <v>0</v>
      </c>
      <c r="Y14" s="38">
        <f t="shared" si="12"/>
        <v>0</v>
      </c>
      <c r="Z14" s="39">
        <f>IF(L14="","",IF(V14&gt;0,INDEX('08-آب'!$Q$2:$Q$501,V14),IF($AO$1=1,0,"")))</f>
        <v>0</v>
      </c>
      <c r="AA14" s="39">
        <f t="shared" si="13"/>
        <v>0</v>
      </c>
      <c r="AB14" s="40">
        <f>IF(OR(L14="",V14=0),"",IF(AND(N(I14)&gt;0,N(INDEX('08-آب'!$I$2:$I$501,V14))&gt;0,INDEX('08-آب'!$F$2:$F$501,V14)=F14),N(I14)/N(INDEX('08-آب'!$I$2:$I$501,V14))-1,""))</f>
        <v>0</v>
      </c>
      <c r="AC14" t="str">
        <f>IF(L14="","",IF(AND($AO$2=1,ISNA(MATCH(L14,'10-تشرين الأول'!$L$2:$L$501,0))),"محذوف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1.4E-8</v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399</v>
      </c>
      <c r="B15">
        <v>0</v>
      </c>
      <c r="C15">
        <v>156000</v>
      </c>
      <c r="D15">
        <v>156000</v>
      </c>
      <c r="E15">
        <v>156000</v>
      </c>
      <c r="F15" t="s">
        <v>389</v>
      </c>
      <c r="G15" t="s">
        <v>178</v>
      </c>
      <c r="H15" t="s">
        <v>12</v>
      </c>
      <c r="I15">
        <v>120000</v>
      </c>
      <c r="K15" t="str">
        <f t="shared" si="0"/>
        <v/>
      </c>
      <c r="L15" t="str">
        <f t="shared" si="1"/>
        <v>ملمع زجاج الكرمل</v>
      </c>
      <c r="M15" s="36">
        <f t="shared" si="2"/>
        <v>7.2463768115942027E-5</v>
      </c>
      <c r="N15" s="37">
        <f t="shared" si="3"/>
        <v>8.695652173913043</v>
      </c>
      <c r="O15" s="37">
        <f t="shared" si="4"/>
        <v>11.304347826086957</v>
      </c>
      <c r="P15" s="38">
        <f t="shared" si="5"/>
        <v>0</v>
      </c>
      <c r="Q15" s="39">
        <f t="shared" si="6"/>
        <v>0</v>
      </c>
      <c r="R15" s="39">
        <f t="shared" si="7"/>
        <v>0</v>
      </c>
      <c r="S15">
        <f t="shared" si="8"/>
        <v>0</v>
      </c>
      <c r="T15" s="39">
        <f t="shared" si="9"/>
        <v>0</v>
      </c>
      <c r="U15" t="str">
        <f t="shared" si="10"/>
        <v/>
      </c>
      <c r="V15">
        <f>IF(L15="","",IF($AO$1=1,IFERROR(MATCH(L15,'08-آب'!$L$2:$L$501,0),0),0))</f>
        <v>13</v>
      </c>
      <c r="W15" t="str">
        <f t="shared" si="11"/>
        <v/>
      </c>
      <c r="X15" s="38">
        <f>IF(L15="","",IF(V15&gt;0,INDEX('08-آب'!$P$2:$P$501,V15),IF($AO$1=1,0,"")))</f>
        <v>0</v>
      </c>
      <c r="Y15" s="38">
        <f t="shared" si="12"/>
        <v>0</v>
      </c>
      <c r="Z15" s="39">
        <f>IF(L15="","",IF(V15&gt;0,INDEX('08-آب'!$Q$2:$Q$501,V15),IF($AO$1=1,0,"")))</f>
        <v>0</v>
      </c>
      <c r="AA15" s="39">
        <f t="shared" si="13"/>
        <v>0</v>
      </c>
      <c r="AB15" s="40">
        <f>IF(OR(L15="",V15=0),"",IF(AND(N(I15)&gt;0,N(INDEX('08-آب'!$I$2:$I$501,V15))&gt;0,INDEX('08-آب'!$F$2:$F$501,V15)=F15),N(I15)/N(INDEX('08-آب'!$I$2:$I$501,V15))-1,""))</f>
        <v>0</v>
      </c>
      <c r="AC15" t="str">
        <f>IF(L15="","",IF(AND($AO$2=1,ISNA(MATCH(L15,'10-تشرين الأول'!$L$2:$L$501,0))),"محذوف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1.4999999999999999E-8</v>
      </c>
      <c r="AH15" s="39">
        <f t="shared" si="15"/>
        <v>0</v>
      </c>
      <c r="AI15" s="39">
        <f t="shared" si="16"/>
        <v>0</v>
      </c>
      <c r="AJ15" s="39">
        <f t="shared" si="17"/>
        <v>0</v>
      </c>
      <c r="AK15">
        <f t="shared" si="18"/>
        <v>1.4999999999999999E-8</v>
      </c>
      <c r="AL15">
        <f t="shared" si="19"/>
        <v>1.4999999999999999E-8</v>
      </c>
    </row>
    <row r="16" spans="1:41" ht="15">
      <c r="A16" t="s">
        <v>400</v>
      </c>
      <c r="B16">
        <v>27</v>
      </c>
      <c r="C16">
        <v>30000</v>
      </c>
      <c r="D16">
        <v>30000</v>
      </c>
      <c r="E16">
        <v>30000</v>
      </c>
      <c r="F16" t="s">
        <v>389</v>
      </c>
      <c r="G16" t="s">
        <v>178</v>
      </c>
      <c r="H16" t="s">
        <v>12</v>
      </c>
      <c r="I16">
        <v>9500</v>
      </c>
      <c r="K16" t="str">
        <f t="shared" si="0"/>
        <v/>
      </c>
      <c r="L16" t="str">
        <f t="shared" si="1"/>
        <v>ملمع زجاج 3 لتر</v>
      </c>
      <c r="M16" s="36">
        <f t="shared" si="2"/>
        <v>7.2463768115942027E-5</v>
      </c>
      <c r="N16" s="37">
        <f t="shared" si="3"/>
        <v>0.68840579710144922</v>
      </c>
      <c r="O16" s="37">
        <f t="shared" si="4"/>
        <v>2.1739130434782608</v>
      </c>
      <c r="P16" s="38">
        <f t="shared" si="5"/>
        <v>27</v>
      </c>
      <c r="Q16" s="39">
        <f t="shared" si="6"/>
        <v>18.586956521739129</v>
      </c>
      <c r="R16" s="39">
        <f t="shared" si="7"/>
        <v>58.695652173913039</v>
      </c>
      <c r="S16">
        <f t="shared" si="8"/>
        <v>1</v>
      </c>
      <c r="T16" s="39">
        <f t="shared" si="9"/>
        <v>40.108695652173907</v>
      </c>
      <c r="U16" t="str">
        <f t="shared" si="10"/>
        <v/>
      </c>
      <c r="V16">
        <f>IF(L16="","",IF($AO$1=1,IFERROR(MATCH(L16,'08-آب'!$L$2:$L$501,0),0),0))</f>
        <v>14</v>
      </c>
      <c r="W16" t="str">
        <f t="shared" si="11"/>
        <v/>
      </c>
      <c r="X16" s="38">
        <f>IF(L16="","",IF(V16&gt;0,INDEX('08-آب'!$P$2:$P$501,V16),IF($AO$1=1,0,"")))</f>
        <v>31</v>
      </c>
      <c r="Y16" s="38">
        <f t="shared" si="12"/>
        <v>-4</v>
      </c>
      <c r="Z16" s="39">
        <f>IF(L16="","",IF(V16&gt;0,INDEX('08-آب'!$Q$2:$Q$501,V16),IF($AO$1=1,0,"")))</f>
        <v>22.310606060606062</v>
      </c>
      <c r="AA16" s="39">
        <f t="shared" si="13"/>
        <v>-3.7236495388669333</v>
      </c>
      <c r="AB16" s="40">
        <f>IF(OR(L16="",V16=0),"",IF(AND(N(I16)&gt;0,N(INDEX('08-آب'!$I$2:$I$501,V16))&gt;0,INDEX('08-آب'!$F$2:$F$501,V16)=F16),N(I16)/N(INDEX('08-آب'!$I$2:$I$501,V16))-1,""))</f>
        <v>0</v>
      </c>
      <c r="AC16" t="str">
        <f>IF(L16="","",IF(AND($AO$2=1,ISNA(MATCH(L16,'10-تشرين الأول'!$L$2:$L$501,0))),"محذوف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3.7236495548669333</v>
      </c>
      <c r="AH16" s="39">
        <f t="shared" si="15"/>
        <v>40.108695652173914</v>
      </c>
      <c r="AI16" s="39">
        <f t="shared" si="16"/>
        <v>40.108695652173914</v>
      </c>
      <c r="AJ16" s="39">
        <f t="shared" si="17"/>
        <v>40.108695652173914</v>
      </c>
      <c r="AK16">
        <f t="shared" si="18"/>
        <v>18.58695653773913</v>
      </c>
      <c r="AL16">
        <f t="shared" si="19"/>
        <v>40.108695668173908</v>
      </c>
    </row>
    <row r="17" spans="1:38" ht="15">
      <c r="A17" t="s">
        <v>401</v>
      </c>
      <c r="B17">
        <v>37</v>
      </c>
      <c r="C17">
        <v>10000</v>
      </c>
      <c r="D17">
        <v>10000</v>
      </c>
      <c r="E17">
        <v>10000</v>
      </c>
      <c r="F17" t="s">
        <v>389</v>
      </c>
      <c r="G17" t="s">
        <v>178</v>
      </c>
      <c r="H17" t="s">
        <v>12</v>
      </c>
      <c r="I17">
        <v>3000</v>
      </c>
      <c r="K17" t="str">
        <f t="shared" si="0"/>
        <v/>
      </c>
      <c r="L17" t="str">
        <f t="shared" si="1"/>
        <v>ملمع زجاج / فرط</v>
      </c>
      <c r="M17" s="36">
        <f t="shared" si="2"/>
        <v>7.2463768115942027E-5</v>
      </c>
      <c r="N17" s="37">
        <f t="shared" si="3"/>
        <v>0.21739130434782608</v>
      </c>
      <c r="O17" s="37">
        <f t="shared" si="4"/>
        <v>0.72463768115942029</v>
      </c>
      <c r="P17" s="38">
        <f t="shared" si="5"/>
        <v>37</v>
      </c>
      <c r="Q17" s="39">
        <f t="shared" si="6"/>
        <v>8.0434782608695645</v>
      </c>
      <c r="R17" s="39">
        <f t="shared" si="7"/>
        <v>26.811594202898551</v>
      </c>
      <c r="S17">
        <f t="shared" si="8"/>
        <v>1</v>
      </c>
      <c r="T17" s="39">
        <f t="shared" si="9"/>
        <v>18.768115942028984</v>
      </c>
      <c r="U17" t="str">
        <f t="shared" si="10"/>
        <v/>
      </c>
      <c r="V17">
        <f>IF(L17="","",IF($AO$1=1,IFERROR(MATCH(L17,'08-آب'!$L$2:$L$501,0),0),0))</f>
        <v>15</v>
      </c>
      <c r="W17" t="str">
        <f t="shared" si="11"/>
        <v/>
      </c>
      <c r="X17" s="38">
        <f>IF(L17="","",IF(V17&gt;0,INDEX('08-آب'!$P$2:$P$501,V17),IF($AO$1=1,0,"")))</f>
        <v>118.3</v>
      </c>
      <c r="Y17" s="38">
        <f t="shared" si="12"/>
        <v>-81.3</v>
      </c>
      <c r="Z17" s="39">
        <f>IF(L17="","",IF(V17&gt;0,INDEX('08-آب'!$Q$2:$Q$501,V17),IF($AO$1=1,0,"")))</f>
        <v>26.886363636363633</v>
      </c>
      <c r="AA17" s="39">
        <f t="shared" si="13"/>
        <v>-18.84288537549407</v>
      </c>
      <c r="AB17" s="40">
        <f>IF(OR(L17="",V17=0),"",IF(AND(N(I17)&gt;0,N(INDEX('08-آب'!$I$2:$I$501,V17))&gt;0,INDEX('08-آب'!$F$2:$F$501,V17)=F17),N(I17)/N(INDEX('08-آب'!$I$2:$I$501,V17))-1,""))</f>
        <v>0</v>
      </c>
      <c r="AC17" t="str">
        <f>IF(L17="","",IF(AND($AO$2=1,ISNA(MATCH(L17,'10-تشرين الأول'!$L$2:$L$501,0))),"محذوف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18.842885392494072</v>
      </c>
      <c r="AH17" s="39">
        <f t="shared" si="15"/>
        <v>18.768115942028988</v>
      </c>
      <c r="AI17" s="39">
        <f t="shared" si="16"/>
        <v>18.768115942028988</v>
      </c>
      <c r="AJ17" s="39">
        <f t="shared" si="17"/>
        <v>18.768115942028988</v>
      </c>
      <c r="AK17">
        <f t="shared" si="18"/>
        <v>8.0434782778695642</v>
      </c>
      <c r="AL17">
        <f t="shared" si="19"/>
        <v>18.768115959028986</v>
      </c>
    </row>
    <row r="18" spans="1:38" ht="15">
      <c r="A18" t="s">
        <v>269</v>
      </c>
      <c r="B18">
        <v>0</v>
      </c>
      <c r="C18">
        <v>0</v>
      </c>
      <c r="D18">
        <v>0</v>
      </c>
      <c r="E18">
        <v>0</v>
      </c>
      <c r="F18" t="s">
        <v>268</v>
      </c>
      <c r="G18" t="s">
        <v>178</v>
      </c>
      <c r="H18" t="s">
        <v>177</v>
      </c>
      <c r="I18">
        <v>63</v>
      </c>
      <c r="K18" t="str">
        <f t="shared" si="0"/>
        <v/>
      </c>
      <c r="L18" t="str">
        <f t="shared" si="1"/>
        <v>ملمع دواليب خام</v>
      </c>
      <c r="M18" s="36">
        <f t="shared" si="2"/>
        <v>1</v>
      </c>
      <c r="N18" s="37">
        <f t="shared" si="3"/>
        <v>63</v>
      </c>
      <c r="O18" s="37">
        <f t="shared" si="4"/>
        <v>0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IF(L18="","",IF($AO$1=1,IFERROR(MATCH(L18,'08-آب'!$L$2:$L$501,0),0),0))</f>
        <v>16</v>
      </c>
      <c r="W18" t="str">
        <f t="shared" si="11"/>
        <v/>
      </c>
      <c r="X18" s="38">
        <f>IF(L18="","",IF(V18&gt;0,INDEX('08-آب'!$P$2:$P$501,V18),IF($AO$1=1,0,"")))</f>
        <v>0</v>
      </c>
      <c r="Y18" s="38">
        <f t="shared" si="12"/>
        <v>0</v>
      </c>
      <c r="Z18" s="39">
        <f>IF(L18="","",IF(V18&gt;0,INDEX('08-آب'!$Q$2:$Q$501,V18),IF($AO$1=1,0,"")))</f>
        <v>0</v>
      </c>
      <c r="AA18" s="39">
        <f t="shared" si="13"/>
        <v>0</v>
      </c>
      <c r="AB18" s="40">
        <f>IF(OR(L18="",V18=0),"",IF(AND(N(I18)&gt;0,N(INDEX('08-آب'!$I$2:$I$501,V18))&gt;0,INDEX('08-آب'!$F$2:$F$501,V18)=F18),N(I18)/N(INDEX('08-آب'!$I$2:$I$501,V18))-1,""))</f>
        <v>0</v>
      </c>
      <c r="AC18" t="str">
        <f>IF(L18="","",IF(AND($AO$2=1,ISNA(MATCH(L18,'10-تشرين الأول'!$L$2:$L$501,0))),"محذوف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402</v>
      </c>
      <c r="B19">
        <v>0</v>
      </c>
      <c r="C19">
        <v>408000</v>
      </c>
      <c r="D19">
        <v>408000</v>
      </c>
      <c r="E19">
        <v>408000</v>
      </c>
      <c r="F19" t="s">
        <v>389</v>
      </c>
      <c r="G19" t="s">
        <v>178</v>
      </c>
      <c r="H19" t="s">
        <v>12</v>
      </c>
      <c r="I19">
        <v>0</v>
      </c>
      <c r="K19" t="str">
        <f t="shared" si="0"/>
        <v/>
      </c>
      <c r="L19" t="str">
        <f t="shared" si="1"/>
        <v>ملطف جو ليتس</v>
      </c>
      <c r="M19" s="36">
        <f t="shared" si="2"/>
        <v>7.2463768115942027E-5</v>
      </c>
      <c r="N19" s="37">
        <f t="shared" si="3"/>
        <v>0</v>
      </c>
      <c r="O19" s="37">
        <f t="shared" si="4"/>
        <v>29.565217391304348</v>
      </c>
      <c r="P19" s="38">
        <f t="shared" si="5"/>
        <v>0</v>
      </c>
      <c r="Q19" s="39">
        <f t="shared" si="6"/>
        <v>0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IF(L19="","",IF($AO$1=1,IFERROR(MATCH(L19,'08-آب'!$L$2:$L$501,0),0),0))</f>
        <v>17</v>
      </c>
      <c r="W19" t="str">
        <f t="shared" si="11"/>
        <v/>
      </c>
      <c r="X19" s="38">
        <f>IF(L19="","",IF(V19&gt;0,INDEX('08-آب'!$P$2:$P$501,V19),IF($AO$1=1,0,"")))</f>
        <v>0</v>
      </c>
      <c r="Y19" s="38">
        <f t="shared" si="12"/>
        <v>0</v>
      </c>
      <c r="Z19" s="39">
        <f>IF(L19="","",IF(V19&gt;0,INDEX('08-آب'!$Q$2:$Q$501,V19),IF($AO$1=1,0,"")))</f>
        <v>0</v>
      </c>
      <c r="AA19" s="39">
        <f t="shared" si="13"/>
        <v>0</v>
      </c>
      <c r="AB19" s="40" t="str">
        <f>IF(OR(L19="",V19=0),"",IF(AND(N(I19)&gt;0,N(INDEX('08-آب'!$I$2:$I$501,V19))&gt;0,INDEX('08-آب'!$F$2:$F$501,V19)=F19),N(I19)/N(INDEX('08-آب'!$I$2:$I$501,V19))-1,""))</f>
        <v/>
      </c>
      <c r="AC19" t="str">
        <f>IF(L19="","",IF(AND($AO$2=1,ISNA(MATCH(L19,'10-تشرين الأول'!$L$2:$L$501,0))),"محذوف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1.9000000000000001E-8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1.9000000000000001E-8</v>
      </c>
      <c r="AL19">
        <f t="shared" si="19"/>
        <v>1.9000000000000001E-8</v>
      </c>
    </row>
    <row r="20" spans="1:38" ht="15">
      <c r="A20" t="s">
        <v>403</v>
      </c>
      <c r="B20">
        <v>0</v>
      </c>
      <c r="C20">
        <v>240000</v>
      </c>
      <c r="D20">
        <v>240000</v>
      </c>
      <c r="E20">
        <v>240000</v>
      </c>
      <c r="F20" t="s">
        <v>389</v>
      </c>
      <c r="G20" t="s">
        <v>178</v>
      </c>
      <c r="H20" t="s">
        <v>12</v>
      </c>
      <c r="I20">
        <v>139200</v>
      </c>
      <c r="K20" t="str">
        <f t="shared" si="0"/>
        <v/>
      </c>
      <c r="L20" t="str">
        <f t="shared" si="1"/>
        <v>ملطف جو</v>
      </c>
      <c r="M20" s="36">
        <f t="shared" si="2"/>
        <v>7.2463768115942027E-5</v>
      </c>
      <c r="N20" s="37">
        <f t="shared" si="3"/>
        <v>10.086956521739131</v>
      </c>
      <c r="O20" s="37">
        <f t="shared" si="4"/>
        <v>17.391304347826086</v>
      </c>
      <c r="P20" s="38">
        <f t="shared" si="5"/>
        <v>0</v>
      </c>
      <c r="Q20" s="39">
        <f t="shared" si="6"/>
        <v>0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IF(L20="","",IF($AO$1=1,IFERROR(MATCH(L20,'08-آب'!$L$2:$L$501,0),0),0))</f>
        <v>18</v>
      </c>
      <c r="W20" t="str">
        <f t="shared" si="11"/>
        <v/>
      </c>
      <c r="X20" s="38">
        <f>IF(L20="","",IF(V20&gt;0,INDEX('08-آب'!$P$2:$P$501,V20),IF($AO$1=1,0,"")))</f>
        <v>0</v>
      </c>
      <c r="Y20" s="38">
        <f t="shared" si="12"/>
        <v>0</v>
      </c>
      <c r="Z20" s="39">
        <f>IF(L20="","",IF(V20&gt;0,INDEX('08-آب'!$Q$2:$Q$501,V20),IF($AO$1=1,0,"")))</f>
        <v>0</v>
      </c>
      <c r="AA20" s="39">
        <f t="shared" si="13"/>
        <v>0</v>
      </c>
      <c r="AB20" s="40">
        <f>IF(OR(L20="",V20=0),"",IF(AND(N(I20)&gt;0,N(INDEX('08-آب'!$I$2:$I$501,V20))&gt;0,INDEX('08-آب'!$F$2:$F$501,V20)=F20),N(I20)/N(INDEX('08-آب'!$I$2:$I$501,V20))-1,""))</f>
        <v>0</v>
      </c>
      <c r="AC20" t="str">
        <f>IF(L20="","",IF(AND($AO$2=1,ISNA(MATCH(L20,'10-تشرين الأول'!$L$2:$L$501,0))),"محذوف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2E-8</v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2E-8</v>
      </c>
      <c r="AL20">
        <f t="shared" si="19"/>
        <v>2E-8</v>
      </c>
    </row>
    <row r="21" spans="1:38" ht="15">
      <c r="A21" t="s">
        <v>270</v>
      </c>
      <c r="B21">
        <v>83.04</v>
      </c>
      <c r="C21">
        <v>0</v>
      </c>
      <c r="D21">
        <v>0</v>
      </c>
      <c r="E21">
        <v>0</v>
      </c>
      <c r="F21" t="s">
        <v>268</v>
      </c>
      <c r="G21" t="s">
        <v>178</v>
      </c>
      <c r="H21" t="s">
        <v>176</v>
      </c>
      <c r="I21">
        <v>2.1</v>
      </c>
      <c r="K21" t="str">
        <f t="shared" si="0"/>
        <v/>
      </c>
      <c r="L21" t="str">
        <f t="shared" si="1"/>
        <v>ملح</v>
      </c>
      <c r="M21" s="36">
        <f t="shared" si="2"/>
        <v>1</v>
      </c>
      <c r="N21" s="37">
        <f t="shared" si="3"/>
        <v>2.1</v>
      </c>
      <c r="O21" s="37">
        <f t="shared" si="4"/>
        <v>0</v>
      </c>
      <c r="P21" s="38">
        <f t="shared" si="5"/>
        <v>83.04</v>
      </c>
      <c r="Q21" s="39">
        <f t="shared" si="6"/>
        <v>174.38400000000001</v>
      </c>
      <c r="R21" s="39">
        <f t="shared" si="7"/>
        <v>0</v>
      </c>
      <c r="S21">
        <f t="shared" si="8"/>
        <v>0</v>
      </c>
      <c r="T21" s="39">
        <f t="shared" si="9"/>
        <v>0</v>
      </c>
      <c r="U21" t="str">
        <f t="shared" si="10"/>
        <v/>
      </c>
      <c r="V21">
        <f>IF(L21="","",IF($AO$1=1,IFERROR(MATCH(L21,'08-آب'!$L$2:$L$501,0),0),0))</f>
        <v>19</v>
      </c>
      <c r="W21" t="str">
        <f t="shared" si="11"/>
        <v/>
      </c>
      <c r="X21" s="38">
        <f>IF(L21="","",IF(V21&gt;0,INDEX('08-آب'!$P$2:$P$501,V21),IF($AO$1=1,0,"")))</f>
        <v>93.04</v>
      </c>
      <c r="Y21" s="38">
        <f t="shared" si="12"/>
        <v>-10</v>
      </c>
      <c r="Z21" s="39">
        <f>IF(L21="","",IF(V21&gt;0,INDEX('08-آب'!$Q$2:$Q$501,V21),IF($AO$1=1,0,"")))</f>
        <v>195.38400000000001</v>
      </c>
      <c r="AA21" s="39">
        <f t="shared" si="13"/>
        <v>-21</v>
      </c>
      <c r="AB21" s="40">
        <f>IF(OR(L21="",V21=0),"",IF(AND(N(I21)&gt;0,N(INDEX('08-آب'!$I$2:$I$501,V21))&gt;0,INDEX('08-آب'!$F$2:$F$501,V21)=F21),N(I21)/N(INDEX('08-آب'!$I$2:$I$501,V21))-1,""))</f>
        <v>0</v>
      </c>
      <c r="AC21" t="str">
        <f>IF(L21="","",IF(AND($AO$2=1,ISNA(MATCH(L21,'10-تشرين الأول'!$L$2:$L$501,0))),"محذوف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21.000000021000002</v>
      </c>
      <c r="AH21" s="39">
        <f t="shared" si="15"/>
        <v>0</v>
      </c>
      <c r="AI21" s="39">
        <f t="shared" si="16"/>
        <v>0</v>
      </c>
      <c r="AJ21" s="39">
        <f t="shared" si="17"/>
        <v>0</v>
      </c>
      <c r="AK21">
        <f t="shared" si="18"/>
        <v>174.38400002100002</v>
      </c>
      <c r="AL21">
        <f t="shared" si="19"/>
        <v>2.0999999999999999E-8</v>
      </c>
    </row>
    <row r="22" spans="1:38" ht="15">
      <c r="A22" t="s">
        <v>404</v>
      </c>
      <c r="B22">
        <v>0.08</v>
      </c>
      <c r="C22">
        <v>156000</v>
      </c>
      <c r="D22">
        <v>156000</v>
      </c>
      <c r="E22">
        <v>156000</v>
      </c>
      <c r="F22" t="s">
        <v>389</v>
      </c>
      <c r="G22" t="s">
        <v>178</v>
      </c>
      <c r="H22" t="s">
        <v>12</v>
      </c>
      <c r="I22">
        <v>74400</v>
      </c>
      <c r="K22" t="str">
        <f t="shared" si="0"/>
        <v/>
      </c>
      <c r="L22" t="str">
        <f t="shared" si="1"/>
        <v>مكانس ناعمة كثيفة</v>
      </c>
      <c r="M22" s="36">
        <f t="shared" si="2"/>
        <v>7.2463768115942027E-5</v>
      </c>
      <c r="N22" s="37">
        <f t="shared" si="3"/>
        <v>5.3913043478260869</v>
      </c>
      <c r="O22" s="37">
        <f t="shared" si="4"/>
        <v>11.304347826086957</v>
      </c>
      <c r="P22" s="38">
        <f t="shared" si="5"/>
        <v>0.08</v>
      </c>
      <c r="Q22" s="39">
        <f t="shared" si="6"/>
        <v>0.43130434782608695</v>
      </c>
      <c r="R22" s="39">
        <f t="shared" si="7"/>
        <v>0.90434782608695663</v>
      </c>
      <c r="S22">
        <f t="shared" si="8"/>
        <v>1</v>
      </c>
      <c r="T22" s="39">
        <f t="shared" si="9"/>
        <v>0.47304347826086968</v>
      </c>
      <c r="U22" t="str">
        <f t="shared" si="10"/>
        <v/>
      </c>
      <c r="V22">
        <f>IF(L22="","",IF($AO$1=1,IFERROR(MATCH(L22,'08-آب'!$L$2:$L$501,0),0),0))</f>
        <v>20</v>
      </c>
      <c r="W22" t="str">
        <f t="shared" si="11"/>
        <v/>
      </c>
      <c r="X22" s="38">
        <f>IF(L22="","",IF(V22&gt;0,INDEX('08-آب'!$P$2:$P$501,V22),IF($AO$1=1,0,"")))</f>
        <v>0.5</v>
      </c>
      <c r="Y22" s="38">
        <f t="shared" si="12"/>
        <v>-0.42</v>
      </c>
      <c r="Z22" s="39">
        <f>IF(L22="","",IF(V22&gt;0,INDEX('08-آب'!$Q$2:$Q$501,V22),IF($AO$1=1,0,"")))</f>
        <v>2.8181818181818183</v>
      </c>
      <c r="AA22" s="39">
        <f t="shared" si="13"/>
        <v>-2.3868774703557314</v>
      </c>
      <c r="AB22" s="40">
        <f>IF(OR(L22="",V22=0),"",IF(AND(N(I22)&gt;0,N(INDEX('08-آب'!$I$2:$I$501,V22))&gt;0,INDEX('08-آب'!$F$2:$F$501,V22)=F22),N(I22)/N(INDEX('08-آب'!$I$2:$I$501,V22))-1,""))</f>
        <v>0</v>
      </c>
      <c r="AC22" t="str">
        <f>IF(L22="","",IF(AND($AO$2=1,ISNA(MATCH(L22,'10-تشرين الأول'!$L$2:$L$501,0))),"محذوف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2.3868774923557314</v>
      </c>
      <c r="AH22" s="39">
        <f t="shared" si="15"/>
        <v>0.47304347826086962</v>
      </c>
      <c r="AI22" s="39">
        <f t="shared" si="16"/>
        <v>0.47304347826086962</v>
      </c>
      <c r="AJ22" s="39">
        <f t="shared" si="17"/>
        <v>0.47304347826086962</v>
      </c>
      <c r="AK22">
        <f t="shared" si="18"/>
        <v>0.43130436982608694</v>
      </c>
      <c r="AL22">
        <f t="shared" si="19"/>
        <v>0.47304350026086966</v>
      </c>
    </row>
    <row r="23" spans="1:38" ht="15">
      <c r="A23" t="s">
        <v>405</v>
      </c>
      <c r="B23">
        <v>2</v>
      </c>
      <c r="C23">
        <v>20000</v>
      </c>
      <c r="D23">
        <v>20000</v>
      </c>
      <c r="E23">
        <v>20000</v>
      </c>
      <c r="F23" t="s">
        <v>389</v>
      </c>
      <c r="G23" t="s">
        <v>178</v>
      </c>
      <c r="H23" t="s">
        <v>12</v>
      </c>
      <c r="I23">
        <v>8125</v>
      </c>
      <c r="K23" t="str">
        <f t="shared" si="0"/>
        <v/>
      </c>
      <c r="L23" t="str">
        <f t="shared" si="1"/>
        <v>مكانس خشنة</v>
      </c>
      <c r="M23" s="36">
        <f t="shared" si="2"/>
        <v>7.2463768115942027E-5</v>
      </c>
      <c r="N23" s="37">
        <f t="shared" si="3"/>
        <v>0.58876811594202894</v>
      </c>
      <c r="O23" s="37">
        <f t="shared" si="4"/>
        <v>1.4492753623188406</v>
      </c>
      <c r="P23" s="38">
        <f t="shared" si="5"/>
        <v>2</v>
      </c>
      <c r="Q23" s="39">
        <f t="shared" si="6"/>
        <v>1.1775362318840579</v>
      </c>
      <c r="R23" s="39">
        <f t="shared" si="7"/>
        <v>2.8985507246376812</v>
      </c>
      <c r="S23">
        <f t="shared" si="8"/>
        <v>1</v>
      </c>
      <c r="T23" s="39">
        <f t="shared" si="9"/>
        <v>1.7210144927536233</v>
      </c>
      <c r="U23" t="str">
        <f t="shared" si="10"/>
        <v/>
      </c>
      <c r="V23">
        <f>IF(L23="","",IF($AO$1=1,IFERROR(MATCH(L23,'08-آب'!$L$2:$L$501,0),0),0))</f>
        <v>21</v>
      </c>
      <c r="W23" t="str">
        <f t="shared" si="11"/>
        <v/>
      </c>
      <c r="X23" s="38">
        <f>IF(L23="","",IF(V23&gt;0,INDEX('08-آب'!$P$2:$P$501,V23),IF($AO$1=1,0,"")))</f>
        <v>6</v>
      </c>
      <c r="Y23" s="38">
        <f t="shared" si="12"/>
        <v>-4</v>
      </c>
      <c r="Z23" s="39">
        <f>IF(L23="","",IF(V23&gt;0,INDEX('08-آب'!$Q$2:$Q$501,V23),IF($AO$1=1,0,"")))</f>
        <v>3.6931818181818179</v>
      </c>
      <c r="AA23" s="39">
        <f t="shared" si="13"/>
        <v>-2.5156455862977598</v>
      </c>
      <c r="AB23" s="40">
        <f>IF(OR(L23="",V23=0),"",IF(AND(N(I23)&gt;0,N(INDEX('08-آب'!$I$2:$I$501,V23))&gt;0,INDEX('08-آب'!$F$2:$F$501,V23)=F23),N(I23)/N(INDEX('08-آب'!$I$2:$I$501,V23))-1,""))</f>
        <v>0</v>
      </c>
      <c r="AC23" t="str">
        <f>IF(L23="","",IF(AND($AO$2=1,ISNA(MATCH(L23,'10-تشرين الأول'!$L$2:$L$501,0))),"محذوف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2.5156456092977599</v>
      </c>
      <c r="AH23" s="39">
        <f t="shared" si="15"/>
        <v>1.7210144927536233</v>
      </c>
      <c r="AI23" s="39">
        <f t="shared" si="16"/>
        <v>1.7210144927536233</v>
      </c>
      <c r="AJ23" s="39">
        <f t="shared" si="17"/>
        <v>1.7210144927536233</v>
      </c>
      <c r="AK23">
        <f t="shared" si="18"/>
        <v>1.1775362548840578</v>
      </c>
      <c r="AL23">
        <f t="shared" si="19"/>
        <v>1.7210145157536232</v>
      </c>
    </row>
    <row r="24" spans="1:38" ht="15">
      <c r="A24" t="s">
        <v>271</v>
      </c>
      <c r="B24">
        <v>1.5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176</v>
      </c>
      <c r="I24">
        <v>3</v>
      </c>
      <c r="K24" t="str">
        <f t="shared" si="0"/>
        <v/>
      </c>
      <c r="L24" t="str">
        <f t="shared" si="1"/>
        <v>مقصب</v>
      </c>
      <c r="M24" s="36">
        <f t="shared" si="2"/>
        <v>1</v>
      </c>
      <c r="N24" s="37">
        <f t="shared" si="3"/>
        <v>3</v>
      </c>
      <c r="O24" s="37">
        <f t="shared" si="4"/>
        <v>0</v>
      </c>
      <c r="P24" s="38">
        <f t="shared" si="5"/>
        <v>1.5</v>
      </c>
      <c r="Q24" s="39">
        <f t="shared" si="6"/>
        <v>4.5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IF(L24="","",IF($AO$1=1,IFERROR(MATCH(L24,'08-آب'!$L$2:$L$501,0),0),0))</f>
        <v>22</v>
      </c>
      <c r="W24" t="str">
        <f t="shared" si="11"/>
        <v/>
      </c>
      <c r="X24" s="38">
        <f>IF(L24="","",IF(V24&gt;0,INDEX('08-آب'!$P$2:$P$501,V24),IF($AO$1=1,0,"")))</f>
        <v>3.5</v>
      </c>
      <c r="Y24" s="38">
        <f t="shared" si="12"/>
        <v>-2</v>
      </c>
      <c r="Z24" s="39">
        <f>IF(L24="","",IF(V24&gt;0,INDEX('08-آب'!$Q$2:$Q$501,V24),IF($AO$1=1,0,"")))</f>
        <v>10.5</v>
      </c>
      <c r="AA24" s="39">
        <f t="shared" si="13"/>
        <v>-6</v>
      </c>
      <c r="AB24" s="40">
        <f>IF(OR(L24="",V24=0),"",IF(AND(N(I24)&gt;0,N(INDEX('08-آب'!$I$2:$I$501,V24))&gt;0,INDEX('08-آب'!$F$2:$F$501,V24)=F24),N(I24)/N(INDEX('08-آب'!$I$2:$I$501,V24))-1,""))</f>
        <v>0</v>
      </c>
      <c r="AC24" t="str">
        <f>IF(L24="","",IF(AND($AO$2=1,ISNA(MATCH(L24,'10-تشرين الأول'!$L$2:$L$501,0))),"محذوف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6.0000000240000002</v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4.5000000240000002</v>
      </c>
      <c r="AL24">
        <f t="shared" si="19"/>
        <v>2.4E-8</v>
      </c>
    </row>
    <row r="25" spans="1:38" ht="15">
      <c r="A25" t="s">
        <v>509</v>
      </c>
      <c r="B25">
        <v>2.33</v>
      </c>
      <c r="C25">
        <v>12.5</v>
      </c>
      <c r="D25">
        <v>12.5</v>
      </c>
      <c r="E25">
        <v>12.5</v>
      </c>
      <c r="F25" t="s">
        <v>268</v>
      </c>
      <c r="G25" t="s">
        <v>178</v>
      </c>
      <c r="H25" t="s">
        <v>12</v>
      </c>
      <c r="I25">
        <v>7.25</v>
      </c>
      <c r="K25" t="str">
        <f t="shared" si="0"/>
        <v/>
      </c>
      <c r="L25" t="str">
        <f t="shared" si="1"/>
        <v>معطر متعدد الاستعمالات ريفا</v>
      </c>
      <c r="M25" s="36">
        <f t="shared" si="2"/>
        <v>1</v>
      </c>
      <c r="N25" s="37">
        <f t="shared" si="3"/>
        <v>7.25</v>
      </c>
      <c r="O25" s="37">
        <f t="shared" si="4"/>
        <v>12.5</v>
      </c>
      <c r="P25" s="38">
        <f t="shared" si="5"/>
        <v>2.33</v>
      </c>
      <c r="Q25" s="39">
        <f t="shared" si="6"/>
        <v>16.892500000000002</v>
      </c>
      <c r="R25" s="39">
        <f t="shared" si="7"/>
        <v>29.125</v>
      </c>
      <c r="S25">
        <f t="shared" si="8"/>
        <v>1</v>
      </c>
      <c r="T25" s="39">
        <f t="shared" si="9"/>
        <v>12.232499999999998</v>
      </c>
      <c r="U25" t="str">
        <f t="shared" si="10"/>
        <v/>
      </c>
      <c r="V25">
        <f>IF(L25="","",IF($AO$1=1,IFERROR(MATCH(L25,'08-آب'!$L$2:$L$501,0),0),0))</f>
        <v>23</v>
      </c>
      <c r="W25" t="str">
        <f t="shared" si="11"/>
        <v/>
      </c>
      <c r="X25" s="38">
        <f>IF(L25="","",IF(V25&gt;0,INDEX('08-آب'!$P$2:$P$501,V25),IF($AO$1=1,0,"")))</f>
        <v>2.67</v>
      </c>
      <c r="Y25" s="38">
        <f t="shared" si="12"/>
        <v>-0.33999999999999986</v>
      </c>
      <c r="Z25" s="39">
        <f>IF(L25="","",IF(V25&gt;0,INDEX('08-آب'!$Q$2:$Q$501,V25),IF($AO$1=1,0,"")))</f>
        <v>20.024999999999999</v>
      </c>
      <c r="AA25" s="39">
        <f t="shared" si="13"/>
        <v>-3.1324999999999967</v>
      </c>
      <c r="AB25" s="40">
        <f>IF(OR(L25="",V25=0),"",IF(AND(N(I25)&gt;0,N(INDEX('08-آب'!$I$2:$I$501,V25))&gt;0,INDEX('08-آب'!$F$2:$F$501,V25)=F25),N(I25)/N(INDEX('08-آب'!$I$2:$I$501,V25))-1,""))</f>
        <v>-3.3333333333333326E-2</v>
      </c>
      <c r="AC25" t="str">
        <f>IF(L25="","",IF(AND($AO$2=1,ISNA(MATCH(L25,'10-تشرين الأول'!$L$2:$L$501,0))),"محذوف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3.1325000249999966</v>
      </c>
      <c r="AH25" s="39">
        <f t="shared" si="15"/>
        <v>12.2325</v>
      </c>
      <c r="AI25" s="39">
        <f t="shared" si="16"/>
        <v>12.2325</v>
      </c>
      <c r="AJ25" s="39">
        <f t="shared" si="17"/>
        <v>12.2325</v>
      </c>
      <c r="AK25">
        <f t="shared" si="18"/>
        <v>16.892500025</v>
      </c>
      <c r="AL25">
        <f t="shared" si="19"/>
        <v>12.232500024999998</v>
      </c>
    </row>
    <row r="26" spans="1:38" ht="15">
      <c r="A26" t="s">
        <v>406</v>
      </c>
      <c r="B26">
        <v>0.5</v>
      </c>
      <c r="C26">
        <v>182000</v>
      </c>
      <c r="D26">
        <v>182000</v>
      </c>
      <c r="E26">
        <v>182000</v>
      </c>
      <c r="F26" t="s">
        <v>389</v>
      </c>
      <c r="G26" t="s">
        <v>178</v>
      </c>
      <c r="H26" t="s">
        <v>12</v>
      </c>
      <c r="I26">
        <v>168000</v>
      </c>
      <c r="K26" t="str">
        <f t="shared" si="0"/>
        <v/>
      </c>
      <c r="L26" t="str">
        <f t="shared" si="1"/>
        <v>معطر كرمل .</v>
      </c>
      <c r="M26" s="36">
        <f t="shared" si="2"/>
        <v>7.2463768115942027E-5</v>
      </c>
      <c r="N26" s="37">
        <f t="shared" si="3"/>
        <v>12.17391304347826</v>
      </c>
      <c r="O26" s="37">
        <f t="shared" si="4"/>
        <v>13.188405797101449</v>
      </c>
      <c r="P26" s="38">
        <f t="shared" si="5"/>
        <v>0.5</v>
      </c>
      <c r="Q26" s="39">
        <f t="shared" si="6"/>
        <v>6.0869565217391299</v>
      </c>
      <c r="R26" s="39">
        <f t="shared" si="7"/>
        <v>6.5942028985507246</v>
      </c>
      <c r="S26">
        <f t="shared" si="8"/>
        <v>1</v>
      </c>
      <c r="T26" s="39">
        <f t="shared" si="9"/>
        <v>0.50724637681159468</v>
      </c>
      <c r="U26" t="str">
        <f t="shared" si="10"/>
        <v/>
      </c>
      <c r="V26">
        <f>IF(L26="","",IF($AO$1=1,IFERROR(MATCH(L26,'08-آب'!$L$2:$L$501,0),0),0))</f>
        <v>24</v>
      </c>
      <c r="W26" t="str">
        <f t="shared" si="11"/>
        <v/>
      </c>
      <c r="X26" s="38">
        <f>IF(L26="","",IF(V26&gt;0,INDEX('08-آب'!$P$2:$P$501,V26),IF($AO$1=1,0,"")))</f>
        <v>0.5</v>
      </c>
      <c r="Y26" s="38">
        <f t="shared" si="12"/>
        <v>0</v>
      </c>
      <c r="Z26" s="39">
        <f>IF(L26="","",IF(V26&gt;0,INDEX('08-آب'!$Q$2:$Q$501,V26),IF($AO$1=1,0,"")))</f>
        <v>6.3636363636363633</v>
      </c>
      <c r="AA26" s="39">
        <f t="shared" si="13"/>
        <v>-0.27667984189723338</v>
      </c>
      <c r="AB26" s="40">
        <f>IF(OR(L26="",V26=0),"",IF(AND(N(I26)&gt;0,N(INDEX('08-آب'!$I$2:$I$501,V26))&gt;0,INDEX('08-آب'!$F$2:$F$501,V26)=F26),N(I26)/N(INDEX('08-آب'!$I$2:$I$501,V26))-1,""))</f>
        <v>0</v>
      </c>
      <c r="AC26" t="str">
        <f>IF(L26="","",IF(AND($AO$2=1,ISNA(MATCH(L26,'10-تشرين الأول'!$L$2:$L$501,0))),"محذوف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0.27667986789723337</v>
      </c>
      <c r="AH26" s="39">
        <f t="shared" si="15"/>
        <v>0.50724637681159468</v>
      </c>
      <c r="AI26" s="39">
        <f t="shared" si="16"/>
        <v>0.50724637681159468</v>
      </c>
      <c r="AJ26" s="39">
        <f t="shared" si="17"/>
        <v>0.50724637681159468</v>
      </c>
      <c r="AK26">
        <f t="shared" si="18"/>
        <v>6.0869565477391303</v>
      </c>
      <c r="AL26">
        <f t="shared" si="19"/>
        <v>0.50724640281159472</v>
      </c>
    </row>
    <row r="27" spans="1:38" ht="15">
      <c r="A27" t="s">
        <v>272</v>
      </c>
      <c r="B27">
        <v>0</v>
      </c>
      <c r="C27">
        <v>0</v>
      </c>
      <c r="D27">
        <v>0</v>
      </c>
      <c r="E27">
        <v>0</v>
      </c>
      <c r="F27" t="s">
        <v>268</v>
      </c>
      <c r="G27" t="s">
        <v>178</v>
      </c>
      <c r="H27" t="s">
        <v>177</v>
      </c>
      <c r="I27">
        <v>44</v>
      </c>
      <c r="K27" t="str">
        <f t="shared" si="0"/>
        <v/>
      </c>
      <c r="L27" t="str">
        <f t="shared" si="1"/>
        <v>معطر فانيليا خام</v>
      </c>
      <c r="M27" s="36">
        <f t="shared" si="2"/>
        <v>1</v>
      </c>
      <c r="N27" s="37">
        <f t="shared" si="3"/>
        <v>44</v>
      </c>
      <c r="O27" s="37">
        <f t="shared" si="4"/>
        <v>0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IF(L27="","",IF($AO$1=1,IFERROR(MATCH(L27,'08-آب'!$L$2:$L$501,0),0),0))</f>
        <v>25</v>
      </c>
      <c r="W27" t="str">
        <f t="shared" si="11"/>
        <v/>
      </c>
      <c r="X27" s="38">
        <f>IF(L27="","",IF(V27&gt;0,INDEX('08-آب'!$P$2:$P$501,V27),IF($AO$1=1,0,"")))</f>
        <v>0</v>
      </c>
      <c r="Y27" s="38">
        <f t="shared" si="12"/>
        <v>0</v>
      </c>
      <c r="Z27" s="39">
        <f>IF(L27="","",IF(V27&gt;0,INDEX('08-آب'!$Q$2:$Q$501,V27),IF($AO$1=1,0,"")))</f>
        <v>0</v>
      </c>
      <c r="AA27" s="39">
        <f t="shared" si="13"/>
        <v>0</v>
      </c>
      <c r="AB27" s="40">
        <f>IF(OR(L27="",V27=0),"",IF(AND(N(I27)&gt;0,N(INDEX('08-آب'!$I$2:$I$501,V27))&gt;0,INDEX('08-آب'!$F$2:$F$501,V27)=F27),N(I27)/N(INDEX('08-آب'!$I$2:$I$501,V27))-1,""))</f>
        <v>0</v>
      </c>
      <c r="AC27" t="str">
        <f>IF(L27="","",IF(AND($AO$2=1,ISNA(MATCH(L27,'10-تشرين الأول'!$L$2:$L$501,0))),"محذوف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407</v>
      </c>
      <c r="B28">
        <v>0</v>
      </c>
      <c r="C28">
        <v>120000</v>
      </c>
      <c r="D28">
        <v>120000</v>
      </c>
      <c r="E28">
        <v>120000</v>
      </c>
      <c r="F28" t="s">
        <v>389</v>
      </c>
      <c r="G28" t="s">
        <v>178</v>
      </c>
      <c r="H28" t="s">
        <v>12</v>
      </c>
      <c r="I28">
        <v>117000</v>
      </c>
      <c r="K28" t="str">
        <f t="shared" si="0"/>
        <v/>
      </c>
      <c r="L28" t="str">
        <f t="shared" si="1"/>
        <v>معطر عافية</v>
      </c>
      <c r="M28" s="36">
        <f t="shared" si="2"/>
        <v>7.2463768115942027E-5</v>
      </c>
      <c r="N28" s="37">
        <f t="shared" si="3"/>
        <v>8.4782608695652169</v>
      </c>
      <c r="O28" s="37">
        <f t="shared" si="4"/>
        <v>8.695652173913043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IF(L28="","",IF($AO$1=1,IFERROR(MATCH(L28,'08-آب'!$L$2:$L$501,0),0),0))</f>
        <v>26</v>
      </c>
      <c r="W28" t="str">
        <f t="shared" si="11"/>
        <v/>
      </c>
      <c r="X28" s="38">
        <f>IF(L28="","",IF(V28&gt;0,INDEX('08-آب'!$P$2:$P$501,V28),IF($AO$1=1,0,"")))</f>
        <v>0</v>
      </c>
      <c r="Y28" s="38">
        <f t="shared" si="12"/>
        <v>0</v>
      </c>
      <c r="Z28" s="39">
        <f>IF(L28="","",IF(V28&gt;0,INDEX('08-آب'!$Q$2:$Q$501,V28),IF($AO$1=1,0,"")))</f>
        <v>0</v>
      </c>
      <c r="AA28" s="39">
        <f t="shared" si="13"/>
        <v>0</v>
      </c>
      <c r="AB28" s="40">
        <f>IF(OR(L28="",V28=0),"",IF(AND(N(I28)&gt;0,N(INDEX('08-آب'!$I$2:$I$501,V28))&gt;0,INDEX('08-آب'!$F$2:$F$501,V28)=F28),N(I28)/N(INDEX('08-آب'!$I$2:$I$501,V28))-1,""))</f>
        <v>0</v>
      </c>
      <c r="AC28" t="str">
        <f>IF(L28="","",IF(AND($AO$2=1,ISNA(MATCH(L28,'10-تشرين الأول'!$L$2:$L$501,0))),"محذوف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408</v>
      </c>
      <c r="B29">
        <v>0</v>
      </c>
      <c r="C29">
        <v>0</v>
      </c>
      <c r="D29">
        <v>0</v>
      </c>
      <c r="E29">
        <v>0</v>
      </c>
      <c r="F29" t="s">
        <v>389</v>
      </c>
      <c r="G29" t="s">
        <v>178</v>
      </c>
      <c r="H29" t="s">
        <v>12</v>
      </c>
      <c r="I29">
        <v>0</v>
      </c>
      <c r="K29" t="str">
        <f t="shared" si="0"/>
        <v/>
      </c>
      <c r="L29" t="str">
        <f t="shared" si="1"/>
        <v>معطر سيارات</v>
      </c>
      <c r="M29" s="36">
        <f t="shared" si="2"/>
        <v>7.2463768115942027E-5</v>
      </c>
      <c r="N29" s="37">
        <f t="shared" si="3"/>
        <v>0</v>
      </c>
      <c r="O29" s="37">
        <f t="shared" si="4"/>
        <v>0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IF(L29="","",IF($AO$1=1,IFERROR(MATCH(L29,'08-آب'!$L$2:$L$501,0),0),0))</f>
        <v>27</v>
      </c>
      <c r="W29" t="str">
        <f t="shared" si="11"/>
        <v/>
      </c>
      <c r="X29" s="38">
        <f>IF(L29="","",IF(V29&gt;0,INDEX('08-آب'!$P$2:$P$501,V29),IF($AO$1=1,0,"")))</f>
        <v>0</v>
      </c>
      <c r="Y29" s="38">
        <f t="shared" si="12"/>
        <v>0</v>
      </c>
      <c r="Z29" s="39">
        <f>IF(L29="","",IF(V29&gt;0,INDEX('08-آب'!$Q$2:$Q$501,V29),IF($AO$1=1,0,"")))</f>
        <v>0</v>
      </c>
      <c r="AA29" s="39">
        <f t="shared" si="13"/>
        <v>0</v>
      </c>
      <c r="AB29" s="40" t="str">
        <f>IF(OR(L29="",V29=0),"",IF(AND(N(I29)&gt;0,N(INDEX('08-آب'!$I$2:$I$501,V29))&gt;0,INDEX('08-آب'!$F$2:$F$501,V29)=F29),N(I29)/N(INDEX('08-آب'!$I$2:$I$501,V29))-1,""))</f>
        <v/>
      </c>
      <c r="AC29" t="str">
        <f>IF(L29="","",IF(AND($AO$2=1,ISNA(MATCH(L29,'10-تشرين الأول'!$L$2:$L$501,0))),"محذوف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409</v>
      </c>
      <c r="B30">
        <v>0</v>
      </c>
      <c r="C30">
        <v>195000</v>
      </c>
      <c r="D30">
        <v>195000</v>
      </c>
      <c r="E30">
        <v>195000</v>
      </c>
      <c r="F30" t="s">
        <v>389</v>
      </c>
      <c r="G30" t="s">
        <v>178</v>
      </c>
      <c r="H30" t="s">
        <v>12</v>
      </c>
      <c r="I30">
        <v>0</v>
      </c>
      <c r="K30" t="str">
        <f t="shared" si="0"/>
        <v/>
      </c>
      <c r="L30" t="str">
        <f t="shared" si="1"/>
        <v>معطر رينزو</v>
      </c>
      <c r="M30" s="36">
        <f t="shared" si="2"/>
        <v>7.2463768115942027E-5</v>
      </c>
      <c r="N30" s="37">
        <f t="shared" si="3"/>
        <v>0</v>
      </c>
      <c r="O30" s="37">
        <f t="shared" si="4"/>
        <v>14.130434782608695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IF(L30="","",IF($AO$1=1,IFERROR(MATCH(L30,'08-آب'!$L$2:$L$501,0),0),0))</f>
        <v>28</v>
      </c>
      <c r="W30" t="str">
        <f t="shared" si="11"/>
        <v/>
      </c>
      <c r="X30" s="38">
        <f>IF(L30="","",IF(V30&gt;0,INDEX('08-آب'!$P$2:$P$501,V30),IF($AO$1=1,0,"")))</f>
        <v>0</v>
      </c>
      <c r="Y30" s="38">
        <f t="shared" si="12"/>
        <v>0</v>
      </c>
      <c r="Z30" s="39">
        <f>IF(L30="","",IF(V30&gt;0,INDEX('08-آب'!$Q$2:$Q$501,V30),IF($AO$1=1,0,"")))</f>
        <v>0</v>
      </c>
      <c r="AA30" s="39">
        <f t="shared" si="13"/>
        <v>0</v>
      </c>
      <c r="AB30" s="40" t="str">
        <f>IF(OR(L30="",V30=0),"",IF(AND(N(I30)&gt;0,N(INDEX('08-آب'!$I$2:$I$501,V30))&gt;0,INDEX('08-آب'!$F$2:$F$501,V30)=F30),N(I30)/N(INDEX('08-آب'!$I$2:$I$501,V30))-1,""))</f>
        <v/>
      </c>
      <c r="AC30" t="str">
        <f>IF(L30="","",IF(AND($AO$2=1,ISNA(MATCH(L30,'10-تشرين الأول'!$L$2:$L$501,0))),"محذوف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273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215</v>
      </c>
      <c r="K31" t="str">
        <f t="shared" si="0"/>
        <v/>
      </c>
      <c r="L31" t="str">
        <f t="shared" si="1"/>
        <v>معطر ارضيات نسيم المحيط خام</v>
      </c>
      <c r="M31" s="36">
        <f t="shared" si="2"/>
        <v>1</v>
      </c>
      <c r="N31" s="37">
        <f t="shared" si="3"/>
        <v>215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IF(L31="","",IF($AO$1=1,IFERROR(MATCH(L31,'08-آب'!$L$2:$L$501,0),0),0))</f>
        <v>29</v>
      </c>
      <c r="W31" t="str">
        <f t="shared" si="11"/>
        <v/>
      </c>
      <c r="X31" s="38">
        <f>IF(L31="","",IF(V31&gt;0,INDEX('08-آب'!$P$2:$P$501,V31),IF($AO$1=1,0,"")))</f>
        <v>0</v>
      </c>
      <c r="Y31" s="38">
        <f t="shared" si="12"/>
        <v>0</v>
      </c>
      <c r="Z31" s="39">
        <f>IF(L31="","",IF(V31&gt;0,INDEX('08-آب'!$Q$2:$Q$501,V31),IF($AO$1=1,0,"")))</f>
        <v>0</v>
      </c>
      <c r="AA31" s="39">
        <f t="shared" si="13"/>
        <v>0</v>
      </c>
      <c r="AB31" s="40">
        <f>IF(OR(L31="",V31=0),"",IF(AND(N(I31)&gt;0,N(INDEX('08-آب'!$I$2:$I$501,V31))&gt;0,INDEX('08-آب'!$F$2:$F$501,V31)=F31),N(I31)/N(INDEX('08-آب'!$I$2:$I$501,V31))-1,""))</f>
        <v>0</v>
      </c>
      <c r="AC31" t="str">
        <f>IF(L31="","",IF(AND($AO$2=1,ISNA(MATCH(L31,'10-تشرين الأول'!$L$2:$L$501,0))),"محذوف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274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205</v>
      </c>
      <c r="K32" t="str">
        <f t="shared" si="0"/>
        <v/>
      </c>
      <c r="L32" t="str">
        <f t="shared" si="1"/>
        <v>معطر ارضيات ليلك خام</v>
      </c>
      <c r="M32" s="36">
        <f t="shared" si="2"/>
        <v>1</v>
      </c>
      <c r="N32" s="37">
        <f t="shared" si="3"/>
        <v>205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IF(L32="","",IF($AO$1=1,IFERROR(MATCH(L32,'08-آب'!$L$2:$L$501,0),0),0))</f>
        <v>30</v>
      </c>
      <c r="W32" t="str">
        <f t="shared" si="11"/>
        <v/>
      </c>
      <c r="X32" s="38">
        <f>IF(L32="","",IF(V32&gt;0,INDEX('08-آب'!$P$2:$P$501,V32),IF($AO$1=1,0,"")))</f>
        <v>0</v>
      </c>
      <c r="Y32" s="38">
        <f t="shared" si="12"/>
        <v>0</v>
      </c>
      <c r="Z32" s="39">
        <f>IF(L32="","",IF(V32&gt;0,INDEX('08-آب'!$Q$2:$Q$501,V32),IF($AO$1=1,0,"")))</f>
        <v>0</v>
      </c>
      <c r="AA32" s="39">
        <f t="shared" si="13"/>
        <v>0</v>
      </c>
      <c r="AB32" s="40">
        <f>IF(OR(L32="",V32=0),"",IF(AND(N(I32)&gt;0,N(INDEX('08-آب'!$I$2:$I$501,V32))&gt;0,INDEX('08-آب'!$F$2:$F$501,V32)=F32),N(I32)/N(INDEX('08-آب'!$I$2:$I$501,V32))-1,""))</f>
        <v>0</v>
      </c>
      <c r="AC32" t="str">
        <f>IF(L32="","",IF(AND($AO$2=1,ISNA(MATCH(L32,'10-تشرين الأول'!$L$2:$L$501,0))),"محذوف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275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205</v>
      </c>
      <c r="K33" t="str">
        <f t="shared" si="0"/>
        <v/>
      </c>
      <c r="L33" t="str">
        <f t="shared" si="1"/>
        <v>معطر ارضيات زهرة التوليب خام</v>
      </c>
      <c r="M33" s="36">
        <f t="shared" si="2"/>
        <v>1</v>
      </c>
      <c r="N33" s="37">
        <f t="shared" si="3"/>
        <v>205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IF(L33="","",IF($AO$1=1,IFERROR(MATCH(L33,'08-آب'!$L$2:$L$501,0),0),0))</f>
        <v>31</v>
      </c>
      <c r="W33" t="str">
        <f t="shared" si="11"/>
        <v/>
      </c>
      <c r="X33" s="38">
        <f>IF(L33="","",IF(V33&gt;0,INDEX('08-آب'!$P$2:$P$501,V33),IF($AO$1=1,0,"")))</f>
        <v>0</v>
      </c>
      <c r="Y33" s="38">
        <f t="shared" si="12"/>
        <v>0</v>
      </c>
      <c r="Z33" s="39">
        <f>IF(L33="","",IF(V33&gt;0,INDEX('08-آب'!$Q$2:$Q$501,V33),IF($AO$1=1,0,"")))</f>
        <v>0</v>
      </c>
      <c r="AA33" s="39">
        <f t="shared" si="13"/>
        <v>0</v>
      </c>
      <c r="AB33" s="40">
        <f>IF(OR(L33="",V33=0),"",IF(AND(N(I33)&gt;0,N(INDEX('08-آب'!$I$2:$I$501,V33))&gt;0,INDEX('08-آب'!$F$2:$F$501,V33)=F33),N(I33)/N(INDEX('08-آب'!$I$2:$I$501,V33))-1,""))</f>
        <v>0</v>
      </c>
      <c r="AC33" t="str">
        <f>IF(L33="","",IF(AND($AO$2=1,ISNA(MATCH(L33,'10-تشرين الأول'!$L$2:$L$501,0))),"محذوف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3.2999999999999998E-8</v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510</v>
      </c>
      <c r="B34">
        <v>5.83</v>
      </c>
      <c r="C34">
        <v>11.5</v>
      </c>
      <c r="D34">
        <v>11.5</v>
      </c>
      <c r="E34">
        <v>11.5</v>
      </c>
      <c r="F34" t="s">
        <v>268</v>
      </c>
      <c r="G34" t="s">
        <v>178</v>
      </c>
      <c r="H34" t="s">
        <v>12</v>
      </c>
      <c r="I34">
        <v>6.5</v>
      </c>
      <c r="K34" t="str">
        <f t="shared" si="0"/>
        <v/>
      </c>
      <c r="L34" t="str">
        <f t="shared" si="1"/>
        <v>معطر ارضيات ريفا</v>
      </c>
      <c r="M34" s="36">
        <f t="shared" si="2"/>
        <v>1</v>
      </c>
      <c r="N34" s="37">
        <f t="shared" si="3"/>
        <v>6.5</v>
      </c>
      <c r="O34" s="37">
        <f t="shared" si="4"/>
        <v>11.5</v>
      </c>
      <c r="P34" s="38">
        <f t="shared" si="5"/>
        <v>5.83</v>
      </c>
      <c r="Q34" s="39">
        <f t="shared" si="6"/>
        <v>37.895000000000003</v>
      </c>
      <c r="R34" s="39">
        <f t="shared" si="7"/>
        <v>67.045000000000002</v>
      </c>
      <c r="S34">
        <f t="shared" si="8"/>
        <v>1</v>
      </c>
      <c r="T34" s="39">
        <f t="shared" si="9"/>
        <v>29.15</v>
      </c>
      <c r="U34" t="str">
        <f t="shared" si="10"/>
        <v/>
      </c>
      <c r="V34">
        <f>IF(L34="","",IF($AO$1=1,IFERROR(MATCH(L34,'08-آب'!$L$2:$L$501,0),0),0))</f>
        <v>32</v>
      </c>
      <c r="W34" t="str">
        <f t="shared" si="11"/>
        <v/>
      </c>
      <c r="X34" s="38">
        <f>IF(L34="","",IF(V34&gt;0,INDEX('08-آب'!$P$2:$P$501,V34),IF($AO$1=1,0,"")))</f>
        <v>9.83</v>
      </c>
      <c r="Y34" s="38">
        <f t="shared" si="12"/>
        <v>-4</v>
      </c>
      <c r="Z34" s="39">
        <f>IF(L34="","",IF(V34&gt;0,INDEX('08-آب'!$Q$2:$Q$501,V34),IF($AO$1=1,0,"")))</f>
        <v>63.895000000000003</v>
      </c>
      <c r="AA34" s="39">
        <f t="shared" si="13"/>
        <v>-26</v>
      </c>
      <c r="AB34" s="40">
        <f>IF(OR(L34="",V34=0),"",IF(AND(N(I34)&gt;0,N(INDEX('08-آب'!$I$2:$I$501,V34))&gt;0,INDEX('08-آب'!$F$2:$F$501,V34)=F34),N(I34)/N(INDEX('08-آب'!$I$2:$I$501,V34))-1,""))</f>
        <v>0</v>
      </c>
      <c r="AC34" t="str">
        <f>IF(L34="","",IF(AND($AO$2=1,ISNA(MATCH(L34,'10-تشرين الأول'!$L$2:$L$501,0))),"محذوف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26.000000033999999</v>
      </c>
      <c r="AH34" s="39">
        <f t="shared" si="15"/>
        <v>29.15</v>
      </c>
      <c r="AI34" s="39">
        <f t="shared" si="16"/>
        <v>29.15</v>
      </c>
      <c r="AJ34" s="39">
        <f t="shared" si="17"/>
        <v>29.15</v>
      </c>
      <c r="AK34">
        <f t="shared" si="18"/>
        <v>37.895000034000006</v>
      </c>
      <c r="AL34">
        <f t="shared" si="19"/>
        <v>29.150000033999998</v>
      </c>
    </row>
    <row r="35" spans="1:38" ht="15">
      <c r="A35" t="s">
        <v>276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180</v>
      </c>
      <c r="K35" t="str">
        <f t="shared" si="0"/>
        <v/>
      </c>
      <c r="L35" t="str">
        <f t="shared" si="1"/>
        <v>معطر ارضيات رائحة الورود خام</v>
      </c>
      <c r="M35" s="36">
        <f t="shared" si="2"/>
        <v>1</v>
      </c>
      <c r="N35" s="37">
        <f t="shared" si="3"/>
        <v>180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IF(L35="","",IF($AO$1=1,IFERROR(MATCH(L35,'08-آب'!$L$2:$L$501,0),0),0))</f>
        <v>33</v>
      </c>
      <c r="W35" t="str">
        <f t="shared" si="11"/>
        <v/>
      </c>
      <c r="X35" s="38">
        <f>IF(L35="","",IF(V35&gt;0,INDEX('08-آب'!$P$2:$P$501,V35),IF($AO$1=1,0,"")))</f>
        <v>0</v>
      </c>
      <c r="Y35" s="38">
        <f t="shared" si="12"/>
        <v>0</v>
      </c>
      <c r="Z35" s="39">
        <f>IF(L35="","",IF(V35&gt;0,INDEX('08-آب'!$Q$2:$Q$501,V35),IF($AO$1=1,0,"")))</f>
        <v>0</v>
      </c>
      <c r="AA35" s="39">
        <f t="shared" si="13"/>
        <v>0</v>
      </c>
      <c r="AB35" s="40">
        <f>IF(OR(L35="",V35=0),"",IF(AND(N(I35)&gt;0,N(INDEX('08-آب'!$I$2:$I$501,V35))&gt;0,INDEX('08-آب'!$F$2:$F$501,V35)=F35),N(I35)/N(INDEX('08-آب'!$I$2:$I$501,V35))-1,""))</f>
        <v>0</v>
      </c>
      <c r="AC35" t="str">
        <f>IF(L35="","",IF(AND($AO$2=1,ISNA(MATCH(L35,'10-تشرين الأول'!$L$2:$L$501,0))),"محذوف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277</v>
      </c>
      <c r="B36">
        <v>0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177</v>
      </c>
      <c r="I36">
        <v>150</v>
      </c>
      <c r="K36" t="str">
        <f t="shared" si="0"/>
        <v/>
      </c>
      <c r="L36" t="str">
        <f t="shared" si="1"/>
        <v>معطر ارضيات ببوري خام</v>
      </c>
      <c r="M36" s="36">
        <f t="shared" si="2"/>
        <v>1</v>
      </c>
      <c r="N36" s="37">
        <f t="shared" si="3"/>
        <v>150</v>
      </c>
      <c r="O36" s="37">
        <f t="shared" si="4"/>
        <v>0</v>
      </c>
      <c r="P36" s="38">
        <f t="shared" si="5"/>
        <v>0</v>
      </c>
      <c r="Q36" s="39">
        <f t="shared" si="6"/>
        <v>0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IF(L36="","",IF($AO$1=1,IFERROR(MATCH(L36,'08-آب'!$L$2:$L$501,0),0),0))</f>
        <v>34</v>
      </c>
      <c r="W36" t="str">
        <f t="shared" si="11"/>
        <v/>
      </c>
      <c r="X36" s="38">
        <f>IF(L36="","",IF(V36&gt;0,INDEX('08-آب'!$P$2:$P$501,V36),IF($AO$1=1,0,"")))</f>
        <v>0</v>
      </c>
      <c r="Y36" s="38">
        <f t="shared" si="12"/>
        <v>0</v>
      </c>
      <c r="Z36" s="39">
        <f>IF(L36="","",IF(V36&gt;0,INDEX('08-آب'!$Q$2:$Q$501,V36),IF($AO$1=1,0,"")))</f>
        <v>0</v>
      </c>
      <c r="AA36" s="39">
        <f t="shared" si="13"/>
        <v>0</v>
      </c>
      <c r="AB36" s="40">
        <f>IF(OR(L36="",V36=0),"",IF(AND(N(I36)&gt;0,N(INDEX('08-آب'!$I$2:$I$501,V36))&gt;0,INDEX('08-آب'!$F$2:$F$501,V36)=F36),N(I36)/N(INDEX('08-آب'!$I$2:$I$501,V36))-1,""))</f>
        <v>0</v>
      </c>
      <c r="AC36" t="str">
        <f>IF(L36="","",IF(AND($AO$2=1,ISNA(MATCH(L36,'10-تشرين الأول'!$L$2:$L$501,0))),"محذوف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3.5999999999999998E-8</v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3.5999999999999998E-8</v>
      </c>
      <c r="AL36">
        <f t="shared" si="19"/>
        <v>3.5999999999999998E-8</v>
      </c>
    </row>
    <row r="37" spans="1:38" ht="15">
      <c r="A37" t="s">
        <v>278</v>
      </c>
      <c r="B37">
        <v>0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177</v>
      </c>
      <c r="I37">
        <v>160</v>
      </c>
      <c r="K37" t="str">
        <f t="shared" si="0"/>
        <v/>
      </c>
      <c r="L37" t="str">
        <f t="shared" si="1"/>
        <v>معطر ارضيات الليمون المنعش خام</v>
      </c>
      <c r="M37" s="36">
        <f t="shared" si="2"/>
        <v>1</v>
      </c>
      <c r="N37" s="37">
        <f t="shared" si="3"/>
        <v>160</v>
      </c>
      <c r="O37" s="37">
        <f t="shared" si="4"/>
        <v>0</v>
      </c>
      <c r="P37" s="38">
        <f t="shared" si="5"/>
        <v>0</v>
      </c>
      <c r="Q37" s="39">
        <f t="shared" si="6"/>
        <v>0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IF(L37="","",IF($AO$1=1,IFERROR(MATCH(L37,'08-آب'!$L$2:$L$501,0),0),0))</f>
        <v>35</v>
      </c>
      <c r="W37" t="str">
        <f t="shared" si="11"/>
        <v/>
      </c>
      <c r="X37" s="38">
        <f>IF(L37="","",IF(V37&gt;0,INDEX('08-آب'!$P$2:$P$501,V37),IF($AO$1=1,0,"")))</f>
        <v>0</v>
      </c>
      <c r="Y37" s="38">
        <f t="shared" si="12"/>
        <v>0</v>
      </c>
      <c r="Z37" s="39">
        <f>IF(L37="","",IF(V37&gt;0,INDEX('08-آب'!$Q$2:$Q$501,V37),IF($AO$1=1,0,"")))</f>
        <v>0</v>
      </c>
      <c r="AA37" s="39">
        <f t="shared" si="13"/>
        <v>0</v>
      </c>
      <c r="AB37" s="40">
        <f>IF(OR(L37="",V37=0),"",IF(AND(N(I37)&gt;0,N(INDEX('08-آب'!$I$2:$I$501,V37))&gt;0,INDEX('08-آب'!$F$2:$F$501,V37)=F37),N(I37)/N(INDEX('08-آب'!$I$2:$I$501,V37))-1,""))</f>
        <v>0</v>
      </c>
      <c r="AC37" t="str">
        <f>IF(L37="","",IF(AND($AO$2=1,ISNA(MATCH(L37,'10-تشرين الأول'!$L$2:$L$501,0))),"محذوف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3.7E-8</v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3.7E-8</v>
      </c>
      <c r="AL37">
        <f t="shared" si="19"/>
        <v>3.7E-8</v>
      </c>
    </row>
    <row r="38" spans="1:38" ht="15">
      <c r="A38" t="s">
        <v>279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177</v>
      </c>
      <c r="I38">
        <v>215</v>
      </c>
      <c r="K38" t="str">
        <f t="shared" si="0"/>
        <v/>
      </c>
      <c r="L38" t="str">
        <f t="shared" si="1"/>
        <v>معطر ارضيات العود خام</v>
      </c>
      <c r="M38" s="36">
        <f t="shared" si="2"/>
        <v>1</v>
      </c>
      <c r="N38" s="37">
        <f t="shared" si="3"/>
        <v>215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IF(L38="","",IF($AO$1=1,IFERROR(MATCH(L38,'08-آب'!$L$2:$L$501,0),0),0))</f>
        <v>36</v>
      </c>
      <c r="W38" t="str">
        <f t="shared" si="11"/>
        <v/>
      </c>
      <c r="X38" s="38">
        <f>IF(L38="","",IF(V38&gt;0,INDEX('08-آب'!$P$2:$P$501,V38),IF($AO$1=1,0,"")))</f>
        <v>0</v>
      </c>
      <c r="Y38" s="38">
        <f t="shared" si="12"/>
        <v>0</v>
      </c>
      <c r="Z38" s="39">
        <f>IF(L38="","",IF(V38&gt;0,INDEX('08-آب'!$Q$2:$Q$501,V38),IF($AO$1=1,0,"")))</f>
        <v>0</v>
      </c>
      <c r="AA38" s="39">
        <f t="shared" si="13"/>
        <v>0</v>
      </c>
      <c r="AB38" s="40">
        <f>IF(OR(L38="",V38=0),"",IF(AND(N(I38)&gt;0,N(INDEX('08-آب'!$I$2:$I$501,V38))&gt;0,INDEX('08-آب'!$F$2:$F$501,V38)=F38),N(I38)/N(INDEX('08-آب'!$I$2:$I$501,V38))-1,""))</f>
        <v>0</v>
      </c>
      <c r="AC38" t="str">
        <f>IF(L38="","",IF(AND($AO$2=1,ISNA(MATCH(L38,'10-تشرين الأول'!$L$2:$L$501,0))),"محذوف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280</v>
      </c>
      <c r="B39">
        <v>0</v>
      </c>
      <c r="C39">
        <v>0</v>
      </c>
      <c r="D39">
        <v>0</v>
      </c>
      <c r="E39">
        <v>0</v>
      </c>
      <c r="F39" t="s">
        <v>268</v>
      </c>
      <c r="G39" t="s">
        <v>178</v>
      </c>
      <c r="H39" t="s">
        <v>177</v>
      </c>
      <c r="I39">
        <v>215</v>
      </c>
      <c r="K39" t="str">
        <f t="shared" si="0"/>
        <v/>
      </c>
      <c r="L39" t="str">
        <f t="shared" si="1"/>
        <v>معطر ارضيات ازهار النرجس خام</v>
      </c>
      <c r="M39" s="36">
        <f t="shared" si="2"/>
        <v>1</v>
      </c>
      <c r="N39" s="37">
        <f t="shared" si="3"/>
        <v>215</v>
      </c>
      <c r="O39" s="37">
        <f t="shared" si="4"/>
        <v>0</v>
      </c>
      <c r="P39" s="38">
        <f t="shared" si="5"/>
        <v>0</v>
      </c>
      <c r="Q39" s="39">
        <f t="shared" si="6"/>
        <v>0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IF(L39="","",IF($AO$1=1,IFERROR(MATCH(L39,'08-آب'!$L$2:$L$501,0),0),0))</f>
        <v>37</v>
      </c>
      <c r="W39" t="str">
        <f t="shared" si="11"/>
        <v/>
      </c>
      <c r="X39" s="38">
        <f>IF(L39="","",IF(V39&gt;0,INDEX('08-آب'!$P$2:$P$501,V39),IF($AO$1=1,0,"")))</f>
        <v>0</v>
      </c>
      <c r="Y39" s="38">
        <f t="shared" si="12"/>
        <v>0</v>
      </c>
      <c r="Z39" s="39">
        <f>IF(L39="","",IF(V39&gt;0,INDEX('08-آب'!$Q$2:$Q$501,V39),IF($AO$1=1,0,"")))</f>
        <v>0</v>
      </c>
      <c r="AA39" s="39">
        <f t="shared" si="13"/>
        <v>0</v>
      </c>
      <c r="AB39" s="40">
        <f>IF(OR(L39="",V39=0),"",IF(AND(N(I39)&gt;0,N(INDEX('08-آب'!$I$2:$I$501,V39))&gt;0,INDEX('08-آب'!$F$2:$F$501,V39)=F39),N(I39)/N(INDEX('08-آب'!$I$2:$I$501,V39))-1,""))</f>
        <v>0</v>
      </c>
      <c r="AC39" t="str">
        <f>IF(L39="","",IF(AND($AO$2=1,ISNA(MATCH(L39,'10-تشرين الأول'!$L$2:$L$501,0))),"محذوف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3.8999999999999998E-8</v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3.8999999999999998E-8</v>
      </c>
      <c r="AL39">
        <f t="shared" si="19"/>
        <v>3.8999999999999998E-8</v>
      </c>
    </row>
    <row r="40" spans="1:38" ht="15">
      <c r="A40" t="s">
        <v>410</v>
      </c>
      <c r="B40">
        <v>2224.5</v>
      </c>
      <c r="C40">
        <v>8000</v>
      </c>
      <c r="D40">
        <v>8000</v>
      </c>
      <c r="E40">
        <v>8000</v>
      </c>
      <c r="F40" t="s">
        <v>389</v>
      </c>
      <c r="G40" t="s">
        <v>178</v>
      </c>
      <c r="H40" t="s">
        <v>12</v>
      </c>
      <c r="I40">
        <v>3200</v>
      </c>
      <c r="K40" t="str">
        <f t="shared" si="0"/>
        <v/>
      </c>
      <c r="L40" t="str">
        <f t="shared" si="1"/>
        <v>معطر super / فرط</v>
      </c>
      <c r="M40" s="36">
        <f t="shared" si="2"/>
        <v>7.2463768115942027E-5</v>
      </c>
      <c r="N40" s="37">
        <f t="shared" si="3"/>
        <v>0.2318840579710145</v>
      </c>
      <c r="O40" s="37">
        <f t="shared" si="4"/>
        <v>0.57971014492753625</v>
      </c>
      <c r="P40" s="38">
        <f t="shared" si="5"/>
        <v>2224.5</v>
      </c>
      <c r="Q40" s="39">
        <f t="shared" si="6"/>
        <v>515.82608695652175</v>
      </c>
      <c r="R40" s="39">
        <f t="shared" si="7"/>
        <v>1289.5652173913045</v>
      </c>
      <c r="S40">
        <f t="shared" si="8"/>
        <v>1</v>
      </c>
      <c r="T40" s="39">
        <f t="shared" si="9"/>
        <v>773.73913043478274</v>
      </c>
      <c r="U40" t="str">
        <f t="shared" si="10"/>
        <v/>
      </c>
      <c r="V40">
        <f>IF(L40="","",IF($AO$1=1,IFERROR(MATCH(L40,'08-آب'!$L$2:$L$501,0),0),0))</f>
        <v>38</v>
      </c>
      <c r="W40" t="str">
        <f t="shared" si="11"/>
        <v/>
      </c>
      <c r="X40" s="38">
        <f>IF(L40="","",IF(V40&gt;0,INDEX('08-آب'!$P$2:$P$501,V40),IF($AO$1=1,0,"")))</f>
        <v>3027.25</v>
      </c>
      <c r="Y40" s="38">
        <f t="shared" si="12"/>
        <v>-802.75</v>
      </c>
      <c r="Z40" s="39">
        <f>IF(L40="","",IF(V40&gt;0,INDEX('08-آب'!$Q$2:$Q$501,V40),IF($AO$1=1,0,"")))</f>
        <v>733.87878787878788</v>
      </c>
      <c r="AA40" s="39">
        <f t="shared" si="13"/>
        <v>-218.05270092226613</v>
      </c>
      <c r="AB40" s="40">
        <f>IF(OR(L40="",V40=0),"",IF(AND(N(I40)&gt;0,N(INDEX('08-آب'!$I$2:$I$501,V40))&gt;0,INDEX('08-آب'!$F$2:$F$501,V40)=F40),N(I40)/N(INDEX('08-آب'!$I$2:$I$501,V40))-1,""))</f>
        <v>0</v>
      </c>
      <c r="AC40" t="str">
        <f>IF(L40="","",IF(AND($AO$2=1,ISNA(MATCH(L40,'10-تشرين الأول'!$L$2:$L$501,0))),"محذوف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218.05270096226613</v>
      </c>
      <c r="AH40" s="39">
        <f t="shared" si="15"/>
        <v>773.73913043478262</v>
      </c>
      <c r="AI40" s="39">
        <f t="shared" si="16"/>
        <v>773.73913043478262</v>
      </c>
      <c r="AJ40" s="39">
        <f t="shared" si="17"/>
        <v>773.73913043478262</v>
      </c>
      <c r="AK40">
        <f t="shared" si="18"/>
        <v>515.82608699652178</v>
      </c>
      <c r="AL40">
        <f t="shared" si="19"/>
        <v>773.73913047478277</v>
      </c>
    </row>
    <row r="41" spans="1:38" ht="15">
      <c r="A41" t="s">
        <v>411</v>
      </c>
      <c r="B41">
        <v>223</v>
      </c>
      <c r="C41">
        <v>29000</v>
      </c>
      <c r="D41">
        <v>29000</v>
      </c>
      <c r="E41">
        <v>29000</v>
      </c>
      <c r="F41" t="s">
        <v>389</v>
      </c>
      <c r="G41" t="s">
        <v>178</v>
      </c>
      <c r="H41" t="s">
        <v>12</v>
      </c>
      <c r="I41">
        <v>12700</v>
      </c>
      <c r="K41" t="str">
        <f t="shared" si="0"/>
        <v/>
      </c>
      <c r="L41" t="str">
        <f t="shared" si="1"/>
        <v>معطر super / عبوة 3 لتر</v>
      </c>
      <c r="M41" s="36">
        <f t="shared" si="2"/>
        <v>7.2463768115942027E-5</v>
      </c>
      <c r="N41" s="37">
        <f t="shared" si="3"/>
        <v>0.92028985507246375</v>
      </c>
      <c r="O41" s="37">
        <f t="shared" si="4"/>
        <v>2.1014492753623188</v>
      </c>
      <c r="P41" s="38">
        <f t="shared" si="5"/>
        <v>223</v>
      </c>
      <c r="Q41" s="39">
        <f t="shared" si="6"/>
        <v>205.22463768115941</v>
      </c>
      <c r="R41" s="39">
        <f t="shared" si="7"/>
        <v>468.62318840579712</v>
      </c>
      <c r="S41">
        <f t="shared" si="8"/>
        <v>1</v>
      </c>
      <c r="T41" s="39">
        <f t="shared" si="9"/>
        <v>263.39855072463774</v>
      </c>
      <c r="U41" t="str">
        <f t="shared" si="10"/>
        <v/>
      </c>
      <c r="V41">
        <f>IF(L41="","",IF($AO$1=1,IFERROR(MATCH(L41,'08-آب'!$L$2:$L$501,0),0),0))</f>
        <v>39</v>
      </c>
      <c r="W41" t="str">
        <f t="shared" si="11"/>
        <v/>
      </c>
      <c r="X41" s="38">
        <f>IF(L41="","",IF(V41&gt;0,INDEX('08-آب'!$P$2:$P$501,V41),IF($AO$1=1,0,"")))</f>
        <v>298</v>
      </c>
      <c r="Y41" s="38">
        <f t="shared" si="12"/>
        <v>-75</v>
      </c>
      <c r="Z41" s="39">
        <f>IF(L41="","",IF(V41&gt;0,INDEX('08-آب'!$Q$2:$Q$501,V41),IF($AO$1=1,0,"")))</f>
        <v>286.71212121212125</v>
      </c>
      <c r="AA41" s="39">
        <f t="shared" si="13"/>
        <v>-81.487483530961839</v>
      </c>
      <c r="AB41" s="40">
        <f>IF(OR(L41="",V41=0),"",IF(AND(N(I41)&gt;0,N(INDEX('08-آب'!$I$2:$I$501,V41))&gt;0,INDEX('08-آب'!$F$2:$F$501,V41)=F41),N(I41)/N(INDEX('08-آب'!$I$2:$I$501,V41))-1,""))</f>
        <v>0</v>
      </c>
      <c r="AC41" t="str">
        <f>IF(L41="","",IF(AND($AO$2=1,ISNA(MATCH(L41,'10-تشرين الأول'!$L$2:$L$501,0))),"محذوف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81.487483571961846</v>
      </c>
      <c r="AH41" s="39">
        <f t="shared" si="15"/>
        <v>263.39855072463769</v>
      </c>
      <c r="AI41" s="39">
        <f t="shared" si="16"/>
        <v>263.39855072463769</v>
      </c>
      <c r="AJ41" s="39">
        <f t="shared" si="17"/>
        <v>263.39855072463769</v>
      </c>
      <c r="AK41">
        <f t="shared" si="18"/>
        <v>205.2246377221594</v>
      </c>
      <c r="AL41">
        <f t="shared" si="19"/>
        <v>263.39855076563776</v>
      </c>
    </row>
    <row r="42" spans="1:38" ht="15">
      <c r="A42" t="s">
        <v>412</v>
      </c>
      <c r="B42">
        <v>0.17</v>
      </c>
      <c r="C42">
        <v>180000</v>
      </c>
      <c r="D42">
        <v>180000</v>
      </c>
      <c r="E42">
        <v>180000</v>
      </c>
      <c r="F42" t="s">
        <v>389</v>
      </c>
      <c r="G42" t="s">
        <v>178</v>
      </c>
      <c r="H42" t="s">
        <v>12</v>
      </c>
      <c r="I42">
        <v>105000</v>
      </c>
      <c r="K42" t="str">
        <f t="shared" si="0"/>
        <v/>
      </c>
      <c r="L42" t="str">
        <f t="shared" si="1"/>
        <v>مساحات / نشافات</v>
      </c>
      <c r="M42" s="36">
        <f t="shared" si="2"/>
        <v>7.2463768115942027E-5</v>
      </c>
      <c r="N42" s="37">
        <f t="shared" si="3"/>
        <v>7.6086956521739131</v>
      </c>
      <c r="O42" s="37">
        <f t="shared" si="4"/>
        <v>13.043478260869565</v>
      </c>
      <c r="P42" s="38">
        <f t="shared" si="5"/>
        <v>0.17</v>
      </c>
      <c r="Q42" s="39">
        <f t="shared" si="6"/>
        <v>1.2934782608695654</v>
      </c>
      <c r="R42" s="39">
        <f t="shared" si="7"/>
        <v>2.2173913043478262</v>
      </c>
      <c r="S42">
        <f t="shared" si="8"/>
        <v>1</v>
      </c>
      <c r="T42" s="39">
        <f t="shared" si="9"/>
        <v>0.92391304347826075</v>
      </c>
      <c r="U42" t="str">
        <f t="shared" si="10"/>
        <v/>
      </c>
      <c r="V42">
        <f>IF(L42="","",IF($AO$1=1,IFERROR(MATCH(L42,'08-آب'!$L$2:$L$501,0),0),0))</f>
        <v>40</v>
      </c>
      <c r="W42" t="str">
        <f t="shared" si="11"/>
        <v/>
      </c>
      <c r="X42" s="38">
        <f>IF(L42="","",IF(V42&gt;0,INDEX('08-آب'!$P$2:$P$501,V42),IF($AO$1=1,0,"")))</f>
        <v>0</v>
      </c>
      <c r="Y42" s="38">
        <f t="shared" si="12"/>
        <v>0.17</v>
      </c>
      <c r="Z42" s="39">
        <f>IF(L42="","",IF(V42&gt;0,INDEX('08-آب'!$Q$2:$Q$501,V42),IF($AO$1=1,0,"")))</f>
        <v>0</v>
      </c>
      <c r="AA42" s="39">
        <f t="shared" si="13"/>
        <v>1.2934782608695654</v>
      </c>
      <c r="AB42" s="40">
        <f>IF(OR(L42="",V42=0),"",IF(AND(N(I42)&gt;0,N(INDEX('08-آب'!$I$2:$I$501,V42))&gt;0,INDEX('08-آب'!$F$2:$F$501,V42)=F42),N(I42)/N(INDEX('08-آب'!$I$2:$I$501,V42))-1,""))</f>
        <v>0</v>
      </c>
      <c r="AC42" t="str">
        <f>IF(L42="","",IF(AND($AO$2=1,ISNA(MATCH(L42,'10-تشرين الأول'!$L$2:$L$501,0))),"محذوف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1.2934783028695653</v>
      </c>
      <c r="AH42" s="39">
        <f t="shared" si="15"/>
        <v>0.92391304347826086</v>
      </c>
      <c r="AI42" s="39">
        <f t="shared" si="16"/>
        <v>0.92391304347826086</v>
      </c>
      <c r="AJ42" s="39">
        <f t="shared" si="17"/>
        <v>0.92391304347826086</v>
      </c>
      <c r="AK42">
        <f t="shared" si="18"/>
        <v>1.2934783028695653</v>
      </c>
      <c r="AL42">
        <f t="shared" si="19"/>
        <v>0.92391308547826079</v>
      </c>
    </row>
    <row r="43" spans="1:38" ht="15">
      <c r="A43" t="s">
        <v>413</v>
      </c>
      <c r="B43">
        <v>0</v>
      </c>
      <c r="C43">
        <v>0</v>
      </c>
      <c r="D43">
        <v>0</v>
      </c>
      <c r="E43">
        <v>0</v>
      </c>
      <c r="F43" t="s">
        <v>389</v>
      </c>
      <c r="G43" t="s">
        <v>178</v>
      </c>
      <c r="H43" t="s">
        <v>12</v>
      </c>
      <c r="I43">
        <v>0</v>
      </c>
      <c r="K43" t="str">
        <f t="shared" si="0"/>
        <v/>
      </c>
      <c r="L43" t="str">
        <f t="shared" si="1"/>
        <v>محارم مكتب</v>
      </c>
      <c r="M43" s="36">
        <f t="shared" si="2"/>
        <v>7.2463768115942027E-5</v>
      </c>
      <c r="N43" s="37">
        <f t="shared" si="3"/>
        <v>0</v>
      </c>
      <c r="O43" s="37">
        <f t="shared" si="4"/>
        <v>0</v>
      </c>
      <c r="P43" s="38">
        <f t="shared" si="5"/>
        <v>0</v>
      </c>
      <c r="Q43" s="39">
        <f t="shared" si="6"/>
        <v>0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IF(L43="","",IF($AO$1=1,IFERROR(MATCH(L43,'08-آب'!$L$2:$L$501,0),0),0))</f>
        <v>41</v>
      </c>
      <c r="W43" t="str">
        <f t="shared" si="11"/>
        <v/>
      </c>
      <c r="X43" s="38">
        <f>IF(L43="","",IF(V43&gt;0,INDEX('08-آب'!$P$2:$P$501,V43),IF($AO$1=1,0,"")))</f>
        <v>0</v>
      </c>
      <c r="Y43" s="38">
        <f t="shared" si="12"/>
        <v>0</v>
      </c>
      <c r="Z43" s="39">
        <f>IF(L43="","",IF(V43&gt;0,INDEX('08-آب'!$Q$2:$Q$501,V43),IF($AO$1=1,0,"")))</f>
        <v>0</v>
      </c>
      <c r="AA43" s="39">
        <f t="shared" si="13"/>
        <v>0</v>
      </c>
      <c r="AB43" s="40" t="str">
        <f>IF(OR(L43="",V43=0),"",IF(AND(N(I43)&gt;0,N(INDEX('08-آب'!$I$2:$I$501,V43))&gt;0,INDEX('08-آب'!$F$2:$F$501,V43)=F43),N(I43)/N(INDEX('08-آب'!$I$2:$I$501,V43))-1,""))</f>
        <v/>
      </c>
      <c r="AC43" t="str">
        <f>IF(L43="","",IF(AND($AO$2=1,ISNA(MATCH(L43,'10-تشرين الأول'!$L$2:$L$501,0))),"محذوف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4.3000000000000001E-8</v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4.3000000000000001E-8</v>
      </c>
      <c r="AL43">
        <f t="shared" si="19"/>
        <v>4.3000000000000001E-8</v>
      </c>
    </row>
    <row r="44" spans="1:38" ht="15">
      <c r="A44" t="s">
        <v>414</v>
      </c>
      <c r="B44">
        <v>5</v>
      </c>
      <c r="C44">
        <v>110000</v>
      </c>
      <c r="D44">
        <v>110000</v>
      </c>
      <c r="E44">
        <v>110000</v>
      </c>
      <c r="F44" t="s">
        <v>389</v>
      </c>
      <c r="G44" t="s">
        <v>178</v>
      </c>
      <c r="H44" t="s">
        <v>12</v>
      </c>
      <c r="I44">
        <v>90000</v>
      </c>
      <c r="K44" t="str">
        <f t="shared" si="0"/>
        <v/>
      </c>
      <c r="L44" t="str">
        <f t="shared" si="1"/>
        <v>محارم تواليت</v>
      </c>
      <c r="M44" s="36">
        <f t="shared" si="2"/>
        <v>7.2463768115942027E-5</v>
      </c>
      <c r="N44" s="37">
        <f t="shared" si="3"/>
        <v>6.5217391304347823</v>
      </c>
      <c r="O44" s="37">
        <f t="shared" si="4"/>
        <v>7.9710144927536231</v>
      </c>
      <c r="P44" s="38">
        <f t="shared" si="5"/>
        <v>5</v>
      </c>
      <c r="Q44" s="39">
        <f t="shared" si="6"/>
        <v>32.608695652173914</v>
      </c>
      <c r="R44" s="39">
        <f t="shared" si="7"/>
        <v>39.855072463768117</v>
      </c>
      <c r="S44">
        <f t="shared" si="8"/>
        <v>1</v>
      </c>
      <c r="T44" s="39">
        <f t="shared" si="9"/>
        <v>7.2463768115942031</v>
      </c>
      <c r="U44" t="str">
        <f t="shared" si="10"/>
        <v/>
      </c>
      <c r="V44">
        <f>IF(L44="","",IF($AO$1=1,IFERROR(MATCH(L44,'08-آب'!$L$2:$L$501,0),0),0))</f>
        <v>42</v>
      </c>
      <c r="W44" t="str">
        <f t="shared" si="11"/>
        <v/>
      </c>
      <c r="X44" s="38">
        <f>IF(L44="","",IF(V44&gt;0,INDEX('08-آب'!$P$2:$P$501,V44),IF($AO$1=1,0,"")))</f>
        <v>5</v>
      </c>
      <c r="Y44" s="38">
        <f t="shared" si="12"/>
        <v>0</v>
      </c>
      <c r="Z44" s="39">
        <f>IF(L44="","",IF(V44&gt;0,INDEX('08-آب'!$Q$2:$Q$501,V44),IF($AO$1=1,0,"")))</f>
        <v>34.090909090909093</v>
      </c>
      <c r="AA44" s="39">
        <f t="shared" si="13"/>
        <v>-1.4822134387351795</v>
      </c>
      <c r="AB44" s="40">
        <f>IF(OR(L44="",V44=0),"",IF(AND(N(I44)&gt;0,N(INDEX('08-آب'!$I$2:$I$501,V44))&gt;0,INDEX('08-آب'!$F$2:$F$501,V44)=F44),N(I44)/N(INDEX('08-آب'!$I$2:$I$501,V44))-1,""))</f>
        <v>0</v>
      </c>
      <c r="AC44" t="str">
        <f>IF(L44="","",IF(AND($AO$2=1,ISNA(MATCH(L44,'10-تشرين الأول'!$L$2:$L$501,0))),"محذوف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1.4822134827351796</v>
      </c>
      <c r="AH44" s="39">
        <f t="shared" si="15"/>
        <v>7.246376811594204</v>
      </c>
      <c r="AI44" s="39">
        <f t="shared" si="16"/>
        <v>7.246376811594204</v>
      </c>
      <c r="AJ44" s="39">
        <f t="shared" si="17"/>
        <v>7.246376811594204</v>
      </c>
      <c r="AK44">
        <f t="shared" si="18"/>
        <v>32.608695696173911</v>
      </c>
      <c r="AL44">
        <f t="shared" si="19"/>
        <v>7.2463768555942032</v>
      </c>
    </row>
    <row r="45" spans="1:38" ht="15">
      <c r="A45" t="s">
        <v>415</v>
      </c>
      <c r="B45">
        <v>0</v>
      </c>
      <c r="C45">
        <v>0</v>
      </c>
      <c r="D45">
        <v>0</v>
      </c>
      <c r="E45">
        <v>0</v>
      </c>
      <c r="F45" t="s">
        <v>389</v>
      </c>
      <c r="G45" t="s">
        <v>178</v>
      </c>
      <c r="H45" t="s">
        <v>12</v>
      </c>
      <c r="I45">
        <v>0</v>
      </c>
      <c r="K45" t="str">
        <f t="shared" si="0"/>
        <v/>
      </c>
      <c r="L45" t="str">
        <f t="shared" si="1"/>
        <v>محارم تنشيف</v>
      </c>
      <c r="M45" s="36">
        <f t="shared" si="2"/>
        <v>7.2463768115942027E-5</v>
      </c>
      <c r="N45" s="37">
        <f t="shared" si="3"/>
        <v>0</v>
      </c>
      <c r="O45" s="37">
        <f t="shared" si="4"/>
        <v>0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IF(L45="","",IF($AO$1=1,IFERROR(MATCH(L45,'08-آب'!$L$2:$L$501,0),0),0))</f>
        <v>43</v>
      </c>
      <c r="W45" t="str">
        <f t="shared" si="11"/>
        <v/>
      </c>
      <c r="X45" s="38">
        <f>IF(L45="","",IF(V45&gt;0,INDEX('08-آب'!$P$2:$P$501,V45),IF($AO$1=1,0,"")))</f>
        <v>0</v>
      </c>
      <c r="Y45" s="38">
        <f t="shared" si="12"/>
        <v>0</v>
      </c>
      <c r="Z45" s="39">
        <f>IF(L45="","",IF(V45&gt;0,INDEX('08-آب'!$Q$2:$Q$501,V45),IF($AO$1=1,0,"")))</f>
        <v>0</v>
      </c>
      <c r="AA45" s="39">
        <f t="shared" si="13"/>
        <v>0</v>
      </c>
      <c r="AB45" s="40" t="str">
        <f>IF(OR(L45="",V45=0),"",IF(AND(N(I45)&gt;0,N(INDEX('08-آب'!$I$2:$I$501,V45))&gt;0,INDEX('08-آب'!$F$2:$F$501,V45)=F45),N(I45)/N(INDEX('08-آب'!$I$2:$I$501,V45))-1,""))</f>
        <v/>
      </c>
      <c r="AC45" t="str">
        <f>IF(L45="","",IF(AND($AO$2=1,ISNA(MATCH(L45,'10-تشرين الأول'!$L$2:$L$501,0))),"محذوف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416</v>
      </c>
      <c r="B46">
        <v>0</v>
      </c>
      <c r="C46">
        <v>110000</v>
      </c>
      <c r="D46">
        <v>110000</v>
      </c>
      <c r="E46">
        <v>110000</v>
      </c>
      <c r="F46" t="s">
        <v>389</v>
      </c>
      <c r="G46" t="s">
        <v>178</v>
      </c>
      <c r="H46" t="s">
        <v>12</v>
      </c>
      <c r="I46">
        <v>100000</v>
      </c>
      <c r="K46" t="str">
        <f t="shared" si="0"/>
        <v/>
      </c>
      <c r="L46" t="str">
        <f t="shared" si="1"/>
        <v>محارم الكرزة</v>
      </c>
      <c r="M46" s="36">
        <f t="shared" si="2"/>
        <v>7.2463768115942027E-5</v>
      </c>
      <c r="N46" s="37">
        <f t="shared" si="3"/>
        <v>7.2463768115942031</v>
      </c>
      <c r="O46" s="37">
        <f t="shared" si="4"/>
        <v>7.9710144927536231</v>
      </c>
      <c r="P46" s="38">
        <f t="shared" si="5"/>
        <v>0</v>
      </c>
      <c r="Q46" s="39">
        <f t="shared" si="6"/>
        <v>0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IF(L46="","",IF($AO$1=1,IFERROR(MATCH(L46,'08-آب'!$L$2:$L$501,0),0),0))</f>
        <v>44</v>
      </c>
      <c r="W46" t="str">
        <f t="shared" si="11"/>
        <v/>
      </c>
      <c r="X46" s="38">
        <f>IF(L46="","",IF(V46&gt;0,INDEX('08-آب'!$P$2:$P$501,V46),IF($AO$1=1,0,"")))</f>
        <v>0</v>
      </c>
      <c r="Y46" s="38">
        <f t="shared" si="12"/>
        <v>0</v>
      </c>
      <c r="Z46" s="39">
        <f>IF(L46="","",IF(V46&gt;0,INDEX('08-آب'!$Q$2:$Q$501,V46),IF($AO$1=1,0,"")))</f>
        <v>0</v>
      </c>
      <c r="AA46" s="39">
        <f t="shared" si="13"/>
        <v>0</v>
      </c>
      <c r="AB46" s="40">
        <f>IF(OR(L46="",V46=0),"",IF(AND(N(I46)&gt;0,N(INDEX('08-آب'!$I$2:$I$501,V46))&gt;0,INDEX('08-آب'!$F$2:$F$501,V46)=F46),N(I46)/N(INDEX('08-آب'!$I$2:$I$501,V46))-1,""))</f>
        <v>0</v>
      </c>
      <c r="AC46" t="str">
        <f>IF(L46="","",IF(AND($AO$2=1,ISNA(MATCH(L46,'10-تشرين الأول'!$L$2:$L$501,0))),"محذوف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4.6000000000000002E-8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4.6000000000000002E-8</v>
      </c>
      <c r="AL46">
        <f t="shared" si="19"/>
        <v>4.6000000000000002E-8</v>
      </c>
    </row>
    <row r="47" spans="1:38" ht="15">
      <c r="A47" t="s">
        <v>281</v>
      </c>
      <c r="B47">
        <v>37.5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4.4000000000000004</v>
      </c>
      <c r="K47" t="str">
        <f t="shared" si="0"/>
        <v/>
      </c>
      <c r="L47" t="str">
        <f t="shared" si="1"/>
        <v>مجمد</v>
      </c>
      <c r="M47" s="36">
        <f t="shared" si="2"/>
        <v>1</v>
      </c>
      <c r="N47" s="37">
        <f t="shared" si="3"/>
        <v>4.4000000000000004</v>
      </c>
      <c r="O47" s="37">
        <f t="shared" si="4"/>
        <v>0</v>
      </c>
      <c r="P47" s="38">
        <f t="shared" si="5"/>
        <v>37.5</v>
      </c>
      <c r="Q47" s="39">
        <f t="shared" si="6"/>
        <v>165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IF(L47="","",IF($AO$1=1,IFERROR(MATCH(L47,'08-آب'!$L$2:$L$501,0),0),0))</f>
        <v>45</v>
      </c>
      <c r="W47" t="str">
        <f t="shared" si="11"/>
        <v/>
      </c>
      <c r="X47" s="38">
        <f>IF(L47="","",IF(V47&gt;0,INDEX('08-آب'!$P$2:$P$501,V47),IF($AO$1=1,0,"")))</f>
        <v>60</v>
      </c>
      <c r="Y47" s="38">
        <f t="shared" si="12"/>
        <v>-22.5</v>
      </c>
      <c r="Z47" s="39">
        <f>IF(L47="","",IF(V47&gt;0,INDEX('08-آب'!$Q$2:$Q$501,V47),IF($AO$1=1,0,"")))</f>
        <v>264</v>
      </c>
      <c r="AA47" s="39">
        <f t="shared" si="13"/>
        <v>-99</v>
      </c>
      <c r="AB47" s="40">
        <f>IF(OR(L47="",V47=0),"",IF(AND(N(I47)&gt;0,N(INDEX('08-آب'!$I$2:$I$501,V47))&gt;0,INDEX('08-آب'!$F$2:$F$501,V47)=F47),N(I47)/N(INDEX('08-آب'!$I$2:$I$501,V47))-1,""))</f>
        <v>0</v>
      </c>
      <c r="AC47" t="str">
        <f>IF(L47="","",IF(AND($AO$2=1,ISNA(MATCH(L47,'10-تشرين الأول'!$L$2:$L$501,0))),"محذوف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99.000000047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165.00000004699999</v>
      </c>
      <c r="AL47">
        <f t="shared" si="19"/>
        <v>4.6999999999999997E-8</v>
      </c>
    </row>
    <row r="48" spans="1:38" ht="15">
      <c r="A48" t="s">
        <v>417</v>
      </c>
      <c r="B48">
        <v>0</v>
      </c>
      <c r="C48">
        <v>336000</v>
      </c>
      <c r="D48">
        <v>336000</v>
      </c>
      <c r="E48">
        <v>336000</v>
      </c>
      <c r="F48" t="s">
        <v>389</v>
      </c>
      <c r="G48" t="s">
        <v>178</v>
      </c>
      <c r="H48" t="s">
        <v>12</v>
      </c>
      <c r="I48">
        <v>307000</v>
      </c>
      <c r="K48" t="str">
        <f t="shared" si="0"/>
        <v/>
      </c>
      <c r="L48" t="str">
        <f t="shared" si="1"/>
        <v>مبيد حشري بار بار</v>
      </c>
      <c r="M48" s="36">
        <f t="shared" si="2"/>
        <v>7.2463768115942027E-5</v>
      </c>
      <c r="N48" s="37">
        <f t="shared" si="3"/>
        <v>22.246376811594203</v>
      </c>
      <c r="O48" s="37">
        <f t="shared" si="4"/>
        <v>24.34782608695652</v>
      </c>
      <c r="P48" s="38">
        <f t="shared" si="5"/>
        <v>0</v>
      </c>
      <c r="Q48" s="39">
        <f t="shared" si="6"/>
        <v>0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IF(L48="","",IF($AO$1=1,IFERROR(MATCH(L48,'08-آب'!$L$2:$L$501,0),0),0))</f>
        <v>46</v>
      </c>
      <c r="W48" t="str">
        <f t="shared" si="11"/>
        <v/>
      </c>
      <c r="X48" s="38">
        <f>IF(L48="","",IF(V48&gt;0,INDEX('08-آب'!$P$2:$P$501,V48),IF($AO$1=1,0,"")))</f>
        <v>0</v>
      </c>
      <c r="Y48" s="38">
        <f t="shared" si="12"/>
        <v>0</v>
      </c>
      <c r="Z48" s="39">
        <f>IF(L48="","",IF(V48&gt;0,INDEX('08-آب'!$Q$2:$Q$501,V48),IF($AO$1=1,0,"")))</f>
        <v>0</v>
      </c>
      <c r="AA48" s="39">
        <f t="shared" si="13"/>
        <v>0</v>
      </c>
      <c r="AB48" s="40">
        <f>IF(OR(L48="",V48=0),"",IF(AND(N(I48)&gt;0,N(INDEX('08-آب'!$I$2:$I$501,V48))&gt;0,INDEX('08-آب'!$F$2:$F$501,V48)=F48),N(I48)/N(INDEX('08-آب'!$I$2:$I$501,V48))-1,""))</f>
        <v>0</v>
      </c>
      <c r="AC48" t="str">
        <f>IF(L48="","",IF(AND($AO$2=1,ISNA(MATCH(L48,'10-تشرين الأول'!$L$2:$L$501,0))),"محذوف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4.8E-8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4.8E-8</v>
      </c>
      <c r="AL48">
        <f t="shared" si="19"/>
        <v>4.8E-8</v>
      </c>
    </row>
    <row r="49" spans="1:38" ht="15">
      <c r="A49" t="s">
        <v>282</v>
      </c>
      <c r="B49">
        <v>0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7</v>
      </c>
      <c r="K49" t="str">
        <f t="shared" si="0"/>
        <v/>
      </c>
      <c r="L49" t="str">
        <f t="shared" si="1"/>
        <v>مانع رغوة مائي</v>
      </c>
      <c r="M49" s="36">
        <f t="shared" si="2"/>
        <v>1</v>
      </c>
      <c r="N49" s="37">
        <f t="shared" si="3"/>
        <v>7</v>
      </c>
      <c r="O49" s="37">
        <f t="shared" si="4"/>
        <v>0</v>
      </c>
      <c r="P49" s="38">
        <f t="shared" si="5"/>
        <v>0</v>
      </c>
      <c r="Q49" s="39">
        <f t="shared" si="6"/>
        <v>0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IF(L49="","",IF($AO$1=1,IFERROR(MATCH(L49,'08-آب'!$L$2:$L$501,0),0),0))</f>
        <v>47</v>
      </c>
      <c r="W49" t="str">
        <f t="shared" si="11"/>
        <v/>
      </c>
      <c r="X49" s="38">
        <f>IF(L49="","",IF(V49&gt;0,INDEX('08-آب'!$P$2:$P$501,V49),IF($AO$1=1,0,"")))</f>
        <v>2</v>
      </c>
      <c r="Y49" s="38">
        <f t="shared" si="12"/>
        <v>-2</v>
      </c>
      <c r="Z49" s="39">
        <f>IF(L49="","",IF(V49&gt;0,INDEX('08-آب'!$Q$2:$Q$501,V49),IF($AO$1=1,0,"")))</f>
        <v>14</v>
      </c>
      <c r="AA49" s="39">
        <f t="shared" si="13"/>
        <v>-14</v>
      </c>
      <c r="AB49" s="40">
        <f>IF(OR(L49="",V49=0),"",IF(AND(N(I49)&gt;0,N(INDEX('08-آب'!$I$2:$I$501,V49))&gt;0,INDEX('08-آب'!$F$2:$F$501,V49)=F49),N(I49)/N(INDEX('08-آب'!$I$2:$I$501,V49))-1,""))</f>
        <v>0</v>
      </c>
      <c r="AC49" t="str">
        <f>IF(L49="","",IF(AND($AO$2=1,ISNA(MATCH(L49,'10-تشرين الأول'!$L$2:$L$501,0))),"محذوف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14.000000049000001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4.9000000000000002E-8</v>
      </c>
      <c r="AL49">
        <f t="shared" si="19"/>
        <v>4.9000000000000002E-8</v>
      </c>
    </row>
    <row r="50" spans="1:38" ht="15">
      <c r="A50" t="s">
        <v>283</v>
      </c>
      <c r="B50">
        <v>0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6</v>
      </c>
      <c r="K50" t="str">
        <f t="shared" si="0"/>
        <v/>
      </c>
      <c r="L50" t="str">
        <f t="shared" si="1"/>
        <v>مانع رغوة سيليكون</v>
      </c>
      <c r="M50" s="36">
        <f t="shared" si="2"/>
        <v>1</v>
      </c>
      <c r="N50" s="37">
        <f t="shared" si="3"/>
        <v>6</v>
      </c>
      <c r="O50" s="37">
        <f t="shared" si="4"/>
        <v>0</v>
      </c>
      <c r="P50" s="38">
        <f t="shared" si="5"/>
        <v>0</v>
      </c>
      <c r="Q50" s="39">
        <f t="shared" si="6"/>
        <v>0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IF(L50="","",IF($AO$1=1,IFERROR(MATCH(L50,'08-آب'!$L$2:$L$501,0),0),0))</f>
        <v>48</v>
      </c>
      <c r="W50" t="str">
        <f t="shared" si="11"/>
        <v/>
      </c>
      <c r="X50" s="38">
        <f>IF(L50="","",IF(V50&gt;0,INDEX('08-آب'!$P$2:$P$501,V50),IF($AO$1=1,0,"")))</f>
        <v>0</v>
      </c>
      <c r="Y50" s="38">
        <f t="shared" si="12"/>
        <v>0</v>
      </c>
      <c r="Z50" s="39">
        <f>IF(L50="","",IF(V50&gt;0,INDEX('08-آب'!$Q$2:$Q$501,V50),IF($AO$1=1,0,"")))</f>
        <v>0</v>
      </c>
      <c r="AA50" s="39">
        <f t="shared" si="13"/>
        <v>0</v>
      </c>
      <c r="AB50" s="40">
        <f>IF(OR(L50="",V50=0),"",IF(AND(N(I50)&gt;0,N(INDEX('08-آب'!$I$2:$I$501,V50))&gt;0,INDEX('08-آب'!$F$2:$F$501,V50)=F50),N(I50)/N(INDEX('08-آب'!$I$2:$I$501,V50))-1,""))</f>
        <v>0</v>
      </c>
      <c r="AC50" t="str">
        <f>IF(L50="","",IF(AND($AO$2=1,ISNA(MATCH(L50,'10-تشرين الأول'!$L$2:$L$501,0))),"محذوف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4.9999999999999998E-8</v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4.9999999999999998E-8</v>
      </c>
      <c r="AL50">
        <f t="shared" si="19"/>
        <v>4.9999999999999998E-8</v>
      </c>
    </row>
    <row r="51" spans="1:38" ht="15">
      <c r="A51" t="s">
        <v>284</v>
      </c>
      <c r="B51">
        <v>25042.400000000001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176</v>
      </c>
      <c r="I51">
        <v>4.0000000000000001E-3</v>
      </c>
      <c r="K51" t="str">
        <f t="shared" si="0"/>
        <v/>
      </c>
      <c r="L51" t="str">
        <f t="shared" si="1"/>
        <v>ماء مقطرة</v>
      </c>
      <c r="M51" s="36">
        <f t="shared" si="2"/>
        <v>1</v>
      </c>
      <c r="N51" s="37">
        <f t="shared" si="3"/>
        <v>4.0000000000000001E-3</v>
      </c>
      <c r="O51" s="37">
        <f t="shared" si="4"/>
        <v>0</v>
      </c>
      <c r="P51" s="38">
        <f t="shared" si="5"/>
        <v>25042.400000000001</v>
      </c>
      <c r="Q51" s="39">
        <f t="shared" si="6"/>
        <v>100.1696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IF(L51="","",IF($AO$1=1,IFERROR(MATCH(L51,'08-آب'!$L$2:$L$501,0),0),0))</f>
        <v>49</v>
      </c>
      <c r="W51" t="str">
        <f t="shared" si="11"/>
        <v/>
      </c>
      <c r="X51" s="38">
        <f>IF(L51="","",IF(V51&gt;0,INDEX('08-آب'!$P$2:$P$501,V51),IF($AO$1=1,0,"")))</f>
        <v>21934.400000000001</v>
      </c>
      <c r="Y51" s="38">
        <f t="shared" si="12"/>
        <v>3108</v>
      </c>
      <c r="Z51" s="39">
        <f>IF(L51="","",IF(V51&gt;0,INDEX('08-آب'!$Q$2:$Q$501,V51),IF($AO$1=1,0,"")))</f>
        <v>87.737600000000015</v>
      </c>
      <c r="AA51" s="39">
        <f t="shared" si="13"/>
        <v>12.431999999999988</v>
      </c>
      <c r="AB51" s="40">
        <f>IF(OR(L51="",V51=0),"",IF(AND(N(I51)&gt;0,N(INDEX('08-آب'!$I$2:$I$501,V51))&gt;0,INDEX('08-آب'!$F$2:$F$501,V51)=F51),N(I51)/N(INDEX('08-آب'!$I$2:$I$501,V51))-1,""))</f>
        <v>0</v>
      </c>
      <c r="AC51" t="str">
        <f>IF(L51="","",IF(AND($AO$2=1,ISNA(MATCH(L51,'10-تشرين الأول'!$L$2:$L$501,0))),"محذوف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12.432000050999989</v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100.169600051</v>
      </c>
      <c r="AL51">
        <f t="shared" si="19"/>
        <v>5.1E-8</v>
      </c>
    </row>
    <row r="52" spans="1:38" ht="15">
      <c r="A52" t="s">
        <v>285</v>
      </c>
      <c r="B52">
        <v>700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177</v>
      </c>
      <c r="I52">
        <v>2.4E-2</v>
      </c>
      <c r="K52" t="str">
        <f t="shared" si="0"/>
        <v/>
      </c>
      <c r="L52" t="str">
        <f t="shared" si="1"/>
        <v>ماء مالح خام</v>
      </c>
      <c r="M52" s="36">
        <f t="shared" si="2"/>
        <v>1</v>
      </c>
      <c r="N52" s="37">
        <f t="shared" si="3"/>
        <v>2.4E-2</v>
      </c>
      <c r="O52" s="37">
        <f t="shared" si="4"/>
        <v>0</v>
      </c>
      <c r="P52" s="38">
        <f t="shared" si="5"/>
        <v>700</v>
      </c>
      <c r="Q52" s="39">
        <f t="shared" si="6"/>
        <v>16.8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IF(L52="","",IF($AO$1=1,IFERROR(MATCH(L52,'08-آب'!$L$2:$L$501,0),0),0))</f>
        <v>50</v>
      </c>
      <c r="W52" t="str">
        <f t="shared" si="11"/>
        <v/>
      </c>
      <c r="X52" s="38">
        <f>IF(L52="","",IF(V52&gt;0,INDEX('08-آب'!$P$2:$P$501,V52),IF($AO$1=1,0,"")))</f>
        <v>350</v>
      </c>
      <c r="Y52" s="38">
        <f t="shared" si="12"/>
        <v>350</v>
      </c>
      <c r="Z52" s="39">
        <f>IF(L52="","",IF(V52&gt;0,INDEX('08-آب'!$Q$2:$Q$501,V52),IF($AO$1=1,0,"")))</f>
        <v>8.4</v>
      </c>
      <c r="AA52" s="39">
        <f t="shared" si="13"/>
        <v>8.4</v>
      </c>
      <c r="AB52" s="40">
        <f>IF(OR(L52="",V52=0),"",IF(AND(N(I52)&gt;0,N(INDEX('08-آب'!$I$2:$I$501,V52))&gt;0,INDEX('08-آب'!$F$2:$F$501,V52)=F52),N(I52)/N(INDEX('08-آب'!$I$2:$I$501,V52))-1,""))</f>
        <v>0</v>
      </c>
      <c r="AC52" t="str">
        <f>IF(L52="","",IF(AND($AO$2=1,ISNA(MATCH(L52,'10-تشرين الأول'!$L$2:$L$501,0))),"محذوف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8.4000000520000011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16.800000052000001</v>
      </c>
      <c r="AL52">
        <f t="shared" si="19"/>
        <v>5.2000000000000002E-8</v>
      </c>
    </row>
    <row r="53" spans="1:38" ht="15">
      <c r="A53" t="s">
        <v>286</v>
      </c>
      <c r="B53">
        <v>3</v>
      </c>
      <c r="C53">
        <v>0</v>
      </c>
      <c r="D53">
        <v>0</v>
      </c>
      <c r="E53">
        <v>0</v>
      </c>
      <c r="F53" t="s">
        <v>268</v>
      </c>
      <c r="G53" t="s">
        <v>178</v>
      </c>
      <c r="H53" t="s">
        <v>176</v>
      </c>
      <c r="I53">
        <v>3</v>
      </c>
      <c r="K53" t="str">
        <f t="shared" si="0"/>
        <v/>
      </c>
      <c r="L53" t="str">
        <f t="shared" si="1"/>
        <v>ماء بلسم</v>
      </c>
      <c r="M53" s="36">
        <f t="shared" si="2"/>
        <v>1</v>
      </c>
      <c r="N53" s="37">
        <f t="shared" si="3"/>
        <v>3</v>
      </c>
      <c r="O53" s="37">
        <f t="shared" si="4"/>
        <v>0</v>
      </c>
      <c r="P53" s="38">
        <f t="shared" si="5"/>
        <v>3</v>
      </c>
      <c r="Q53" s="39">
        <f t="shared" si="6"/>
        <v>9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IF(L53="","",IF($AO$1=1,IFERROR(MATCH(L53,'08-آب'!$L$2:$L$501,0),0),0))</f>
        <v>51</v>
      </c>
      <c r="W53" t="str">
        <f t="shared" si="11"/>
        <v/>
      </c>
      <c r="X53" s="38">
        <f>IF(L53="","",IF(V53&gt;0,INDEX('08-آب'!$P$2:$P$501,V53),IF($AO$1=1,0,"")))</f>
        <v>3</v>
      </c>
      <c r="Y53" s="38">
        <f t="shared" si="12"/>
        <v>0</v>
      </c>
      <c r="Z53" s="39">
        <f>IF(L53="","",IF(V53&gt;0,INDEX('08-آب'!$Q$2:$Q$501,V53),IF($AO$1=1,0,"")))</f>
        <v>9</v>
      </c>
      <c r="AA53" s="39">
        <f t="shared" si="13"/>
        <v>0</v>
      </c>
      <c r="AB53" s="40">
        <f>IF(OR(L53="",V53=0),"",IF(AND(N(I53)&gt;0,N(INDEX('08-آب'!$I$2:$I$501,V53))&gt;0,INDEX('08-آب'!$F$2:$F$501,V53)=F53),N(I53)/N(INDEX('08-آب'!$I$2:$I$501,V53))-1,""))</f>
        <v>0</v>
      </c>
      <c r="AC53" t="str">
        <f>IF(L53="","",IF(AND($AO$2=1,ISNA(MATCH(L53,'10-تشرين الأول'!$L$2:$L$501,0))),"محذوف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5.2999999999999998E-8</v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9.0000000530000008</v>
      </c>
      <c r="AL53">
        <f t="shared" si="19"/>
        <v>5.2999999999999998E-8</v>
      </c>
    </row>
    <row r="54" spans="1:38" ht="15">
      <c r="A54" t="s">
        <v>418</v>
      </c>
      <c r="B54">
        <v>1.63</v>
      </c>
      <c r="C54">
        <v>216000</v>
      </c>
      <c r="D54">
        <v>216000</v>
      </c>
      <c r="E54">
        <v>216000</v>
      </c>
      <c r="F54" t="s">
        <v>389</v>
      </c>
      <c r="G54" t="s">
        <v>178</v>
      </c>
      <c r="H54" t="s">
        <v>12</v>
      </c>
      <c r="I54">
        <v>156000</v>
      </c>
      <c r="K54" t="str">
        <f t="shared" si="0"/>
        <v/>
      </c>
      <c r="L54" t="str">
        <f t="shared" si="1"/>
        <v>ليف جلي ثلاثية</v>
      </c>
      <c r="M54" s="36">
        <f t="shared" si="2"/>
        <v>7.2463768115942027E-5</v>
      </c>
      <c r="N54" s="37">
        <f t="shared" si="3"/>
        <v>11.304347826086957</v>
      </c>
      <c r="O54" s="37">
        <f t="shared" si="4"/>
        <v>15.652173913043478</v>
      </c>
      <c r="P54" s="38">
        <f t="shared" si="5"/>
        <v>1.63</v>
      </c>
      <c r="Q54" s="39">
        <f t="shared" si="6"/>
        <v>18.42608695652174</v>
      </c>
      <c r="R54" s="39">
        <f t="shared" si="7"/>
        <v>25.513043478260869</v>
      </c>
      <c r="S54">
        <f t="shared" si="8"/>
        <v>1</v>
      </c>
      <c r="T54" s="39">
        <f t="shared" si="9"/>
        <v>7.086956521739129</v>
      </c>
      <c r="U54" t="str">
        <f t="shared" si="10"/>
        <v/>
      </c>
      <c r="V54">
        <f>IF(L54="","",IF($AO$1=1,IFERROR(MATCH(L54,'08-آب'!$L$2:$L$501,0),0),0))</f>
        <v>52</v>
      </c>
      <c r="W54" t="str">
        <f t="shared" si="11"/>
        <v/>
      </c>
      <c r="X54" s="38">
        <f>IF(L54="","",IF(V54&gt;0,INDEX('08-آب'!$P$2:$P$501,V54),IF($AO$1=1,0,"")))</f>
        <v>0.33</v>
      </c>
      <c r="Y54" s="38">
        <f t="shared" si="12"/>
        <v>1.2999999999999998</v>
      </c>
      <c r="Z54" s="39">
        <f>IF(L54="","",IF(V54&gt;0,INDEX('08-آب'!$Q$2:$Q$501,V54),IF($AO$1=1,0,"")))</f>
        <v>3.9000000000000004</v>
      </c>
      <c r="AA54" s="39">
        <f t="shared" si="13"/>
        <v>14.526086956521739</v>
      </c>
      <c r="AB54" s="40">
        <f>IF(OR(L54="",V54=0),"",IF(AND(N(I54)&gt;0,N(INDEX('08-آب'!$I$2:$I$501,V54))&gt;0,INDEX('08-آب'!$F$2:$F$501,V54)=F54),N(I54)/N(INDEX('08-آب'!$I$2:$I$501,V54))-1,""))</f>
        <v>0</v>
      </c>
      <c r="AC54" t="str">
        <f>IF(L54="","",IF(AND($AO$2=1,ISNA(MATCH(L54,'10-تشرين الأول'!$L$2:$L$501,0))),"محذوف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14.526087010521739</v>
      </c>
      <c r="AH54" s="39">
        <f t="shared" si="15"/>
        <v>7.0869565217391299</v>
      </c>
      <c r="AI54" s="39">
        <f t="shared" si="16"/>
        <v>7.0869565217391299</v>
      </c>
      <c r="AJ54" s="39">
        <f t="shared" si="17"/>
        <v>7.0869565217391299</v>
      </c>
      <c r="AK54">
        <f t="shared" si="18"/>
        <v>18.426087010521741</v>
      </c>
      <c r="AL54">
        <f t="shared" si="19"/>
        <v>7.0869565757391291</v>
      </c>
    </row>
    <row r="55" spans="1:38" ht="15">
      <c r="A55" t="s">
        <v>419</v>
      </c>
      <c r="B55">
        <v>0</v>
      </c>
      <c r="C55">
        <v>100000</v>
      </c>
      <c r="D55">
        <v>100000</v>
      </c>
      <c r="E55">
        <v>100000</v>
      </c>
      <c r="F55" t="s">
        <v>389</v>
      </c>
      <c r="G55" t="s">
        <v>178</v>
      </c>
      <c r="H55" t="s">
        <v>12</v>
      </c>
      <c r="I55">
        <v>90000</v>
      </c>
      <c r="K55" t="str">
        <f t="shared" si="0"/>
        <v/>
      </c>
      <c r="L55" t="str">
        <f t="shared" si="1"/>
        <v>ليف اسفنج</v>
      </c>
      <c r="M55" s="36">
        <f t="shared" si="2"/>
        <v>7.2463768115942027E-5</v>
      </c>
      <c r="N55" s="37">
        <f t="shared" si="3"/>
        <v>6.5217391304347823</v>
      </c>
      <c r="O55" s="37">
        <f t="shared" si="4"/>
        <v>7.2463768115942031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IF(L55="","",IF($AO$1=1,IFERROR(MATCH(L55,'08-آب'!$L$2:$L$501,0),0),0))</f>
        <v>53</v>
      </c>
      <c r="W55" t="str">
        <f t="shared" si="11"/>
        <v/>
      </c>
      <c r="X55" s="38">
        <f>IF(L55="","",IF(V55&gt;0,INDEX('08-آب'!$P$2:$P$501,V55),IF($AO$1=1,0,"")))</f>
        <v>1</v>
      </c>
      <c r="Y55" s="38">
        <f t="shared" si="12"/>
        <v>-1</v>
      </c>
      <c r="Z55" s="39">
        <f>IF(L55="","",IF(V55&gt;0,INDEX('08-آب'!$Q$2:$Q$501,V55),IF($AO$1=1,0,"")))</f>
        <v>6.8181818181818183</v>
      </c>
      <c r="AA55" s="39">
        <f t="shared" si="13"/>
        <v>-6.8181818181818183</v>
      </c>
      <c r="AB55" s="40">
        <f>IF(OR(L55="",V55=0),"",IF(AND(N(I55)&gt;0,N(INDEX('08-آب'!$I$2:$I$501,V55))&gt;0,INDEX('08-آب'!$F$2:$F$501,V55)=F55),N(I55)/N(INDEX('08-آب'!$I$2:$I$501,V55))-1,""))</f>
        <v>0</v>
      </c>
      <c r="AC55" t="str">
        <f>IF(L55="","",IF(AND($AO$2=1,ISNA(MATCH(L55,'10-تشرين الأول'!$L$2:$L$501,0))),"محذوف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6.8181818731818185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420</v>
      </c>
      <c r="B56">
        <v>0</v>
      </c>
      <c r="C56">
        <v>170000</v>
      </c>
      <c r="D56">
        <v>170000</v>
      </c>
      <c r="E56">
        <v>170000</v>
      </c>
      <c r="F56" t="s">
        <v>389</v>
      </c>
      <c r="G56" t="s">
        <v>178</v>
      </c>
      <c r="H56" t="s">
        <v>12</v>
      </c>
      <c r="I56">
        <v>82000</v>
      </c>
      <c r="K56" t="str">
        <f t="shared" si="0"/>
        <v/>
      </c>
      <c r="L56" t="str">
        <f t="shared" si="1"/>
        <v>لوح صابون مسك</v>
      </c>
      <c r="M56" s="36">
        <f t="shared" si="2"/>
        <v>7.2463768115942027E-5</v>
      </c>
      <c r="N56" s="37">
        <f t="shared" si="3"/>
        <v>5.9420289855072461</v>
      </c>
      <c r="O56" s="37">
        <f t="shared" si="4"/>
        <v>12.318840579710145</v>
      </c>
      <c r="P56" s="38">
        <f t="shared" si="5"/>
        <v>0</v>
      </c>
      <c r="Q56" s="39">
        <f t="shared" si="6"/>
        <v>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IF(L56="","",IF($AO$1=1,IFERROR(MATCH(L56,'08-آب'!$L$2:$L$501,0),0),0))</f>
        <v>54</v>
      </c>
      <c r="W56" t="str">
        <f t="shared" si="11"/>
        <v/>
      </c>
      <c r="X56" s="38">
        <f>IF(L56="","",IF(V56&gt;0,INDEX('08-آب'!$P$2:$P$501,V56),IF($AO$1=1,0,"")))</f>
        <v>0</v>
      </c>
      <c r="Y56" s="38">
        <f t="shared" si="12"/>
        <v>0</v>
      </c>
      <c r="Z56" s="39">
        <f>IF(L56="","",IF(V56&gt;0,INDEX('08-آب'!$Q$2:$Q$501,V56),IF($AO$1=1,0,"")))</f>
        <v>0</v>
      </c>
      <c r="AA56" s="39">
        <f t="shared" si="13"/>
        <v>0</v>
      </c>
      <c r="AB56" s="40">
        <f>IF(OR(L56="",V56=0),"",IF(AND(N(I56)&gt;0,N(INDEX('08-آب'!$I$2:$I$501,V56))&gt;0,INDEX('08-آب'!$F$2:$F$501,V56)=F56),N(I56)/N(INDEX('08-آب'!$I$2:$I$501,V56))-1,""))</f>
        <v>0</v>
      </c>
      <c r="AC56" t="str">
        <f>IF(L56="","",IF(AND($AO$2=1,ISNA(MATCH(L56,'10-تشرين الأول'!$L$2:$L$501,0))),"محذوف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5.5999999999999999E-8</v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5.5999999999999999E-8</v>
      </c>
      <c r="AL56">
        <f t="shared" si="19"/>
        <v>5.5999999999999999E-8</v>
      </c>
    </row>
    <row r="57" spans="1:38" ht="15">
      <c r="A57" t="s">
        <v>421</v>
      </c>
      <c r="B57">
        <v>0</v>
      </c>
      <c r="C57">
        <v>0</v>
      </c>
      <c r="D57">
        <v>0</v>
      </c>
      <c r="E57">
        <v>0</v>
      </c>
      <c r="F57" t="s">
        <v>389</v>
      </c>
      <c r="G57" t="s">
        <v>178</v>
      </c>
      <c r="H57" t="s">
        <v>176</v>
      </c>
      <c r="I57">
        <v>275</v>
      </c>
      <c r="K57" t="str">
        <f t="shared" si="0"/>
        <v/>
      </c>
      <c r="L57" t="str">
        <f t="shared" si="1"/>
        <v>لصاقة طابعة</v>
      </c>
      <c r="M57" s="36">
        <f t="shared" si="2"/>
        <v>7.2463768115942027E-5</v>
      </c>
      <c r="N57" s="37">
        <f t="shared" si="3"/>
        <v>1.9927536231884056E-2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IF(L57="","",IF($AO$1=1,IFERROR(MATCH(L57,'08-آب'!$L$2:$L$501,0),0),0))</f>
        <v>55</v>
      </c>
      <c r="W57" t="str">
        <f t="shared" si="11"/>
        <v/>
      </c>
      <c r="X57" s="38">
        <f>IF(L57="","",IF(V57&gt;0,INDEX('08-آب'!$P$2:$P$501,V57),IF($AO$1=1,0,"")))</f>
        <v>0</v>
      </c>
      <c r="Y57" s="38">
        <f t="shared" si="12"/>
        <v>0</v>
      </c>
      <c r="Z57" s="39">
        <f>IF(L57="","",IF(V57&gt;0,INDEX('08-آب'!$Q$2:$Q$501,V57),IF($AO$1=1,0,"")))</f>
        <v>0</v>
      </c>
      <c r="AA57" s="39">
        <f t="shared" si="13"/>
        <v>0</v>
      </c>
      <c r="AB57" s="40">
        <f>IF(OR(L57="",V57=0),"",IF(AND(N(I57)&gt;0,N(INDEX('08-آب'!$I$2:$I$501,V57))&gt;0,INDEX('08-آب'!$F$2:$F$501,V57)=F57),N(I57)/N(INDEX('08-آب'!$I$2:$I$501,V57))-1,""))</f>
        <v>0</v>
      </c>
      <c r="AC57" t="str">
        <f>IF(L57="","",IF(AND($AO$2=1,ISNA(MATCH(L57,'10-تشرين الأول'!$L$2:$L$501,0))),"محذوف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287</v>
      </c>
      <c r="B58">
        <v>0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3.5</v>
      </c>
      <c r="K58" t="str">
        <f t="shared" si="0"/>
        <v/>
      </c>
      <c r="L58" t="str">
        <f t="shared" si="1"/>
        <v>لانيت 16 ماليزي</v>
      </c>
      <c r="M58" s="36">
        <f t="shared" si="2"/>
        <v>1</v>
      </c>
      <c r="N58" s="37">
        <f t="shared" si="3"/>
        <v>3.5</v>
      </c>
      <c r="O58" s="37">
        <f t="shared" si="4"/>
        <v>0</v>
      </c>
      <c r="P58" s="38">
        <f t="shared" si="5"/>
        <v>0</v>
      </c>
      <c r="Q58" s="39">
        <f t="shared" si="6"/>
        <v>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IF(L58="","",IF($AO$1=1,IFERROR(MATCH(L58,'08-آب'!$L$2:$L$501,0),0),0))</f>
        <v>56</v>
      </c>
      <c r="W58" t="str">
        <f t="shared" si="11"/>
        <v/>
      </c>
      <c r="X58" s="38">
        <f>IF(L58="","",IF(V58&gt;0,INDEX('08-آب'!$P$2:$P$501,V58),IF($AO$1=1,0,"")))</f>
        <v>0</v>
      </c>
      <c r="Y58" s="38">
        <f t="shared" si="12"/>
        <v>0</v>
      </c>
      <c r="Z58" s="39">
        <f>IF(L58="","",IF(V58&gt;0,INDEX('08-آب'!$Q$2:$Q$501,V58),IF($AO$1=1,0,"")))</f>
        <v>0</v>
      </c>
      <c r="AA58" s="39">
        <f t="shared" si="13"/>
        <v>0</v>
      </c>
      <c r="AB58" s="40">
        <f>IF(OR(L58="",V58=0),"",IF(AND(N(I58)&gt;0,N(INDEX('08-آب'!$I$2:$I$501,V58))&gt;0,INDEX('08-آب'!$F$2:$F$501,V58)=F58),N(I58)/N(INDEX('08-آب'!$I$2:$I$501,V58))-1,""))</f>
        <v>0</v>
      </c>
      <c r="AC58" t="str">
        <f>IF(L58="","",IF(AND($AO$2=1,ISNA(MATCH(L58,'10-تشرين الأول'!$L$2:$L$501,0))),"محذوف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5.8000000000000003E-8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5.8000000000000003E-8</v>
      </c>
      <c r="AL58">
        <f t="shared" si="19"/>
        <v>5.8000000000000003E-8</v>
      </c>
    </row>
    <row r="59" spans="1:38" ht="15">
      <c r="A59" t="s">
        <v>422</v>
      </c>
      <c r="B59">
        <v>0</v>
      </c>
      <c r="C59">
        <v>0</v>
      </c>
      <c r="D59">
        <v>0</v>
      </c>
      <c r="E59">
        <v>0</v>
      </c>
      <c r="F59" t="s">
        <v>389</v>
      </c>
      <c r="G59" t="s">
        <v>178</v>
      </c>
      <c r="H59" t="s">
        <v>12</v>
      </c>
      <c r="I59">
        <v>0</v>
      </c>
      <c r="K59" t="str">
        <f t="shared" si="0"/>
        <v/>
      </c>
      <c r="L59" t="str">
        <f t="shared" si="1"/>
        <v>لاصق</v>
      </c>
      <c r="M59" s="36">
        <f t="shared" si="2"/>
        <v>7.2463768115942027E-5</v>
      </c>
      <c r="N59" s="37">
        <f t="shared" si="3"/>
        <v>0</v>
      </c>
      <c r="O59" s="37">
        <f t="shared" si="4"/>
        <v>0</v>
      </c>
      <c r="P59" s="38">
        <f t="shared" si="5"/>
        <v>0</v>
      </c>
      <c r="Q59" s="39">
        <f t="shared" si="6"/>
        <v>0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IF(L59="","",IF($AO$1=1,IFERROR(MATCH(L59,'08-آب'!$L$2:$L$501,0),0),0))</f>
        <v>57</v>
      </c>
      <c r="W59" t="str">
        <f t="shared" si="11"/>
        <v/>
      </c>
      <c r="X59" s="38">
        <f>IF(L59="","",IF(V59&gt;0,INDEX('08-آب'!$P$2:$P$501,V59),IF($AO$1=1,0,"")))</f>
        <v>0</v>
      </c>
      <c r="Y59" s="38">
        <f t="shared" si="12"/>
        <v>0</v>
      </c>
      <c r="Z59" s="39">
        <f>IF(L59="","",IF(V59&gt;0,INDEX('08-آب'!$Q$2:$Q$501,V59),IF($AO$1=1,0,"")))</f>
        <v>0</v>
      </c>
      <c r="AA59" s="39">
        <f t="shared" si="13"/>
        <v>0</v>
      </c>
      <c r="AB59" s="40" t="str">
        <f>IF(OR(L59="",V59=0),"",IF(AND(N(I59)&gt;0,N(INDEX('08-آب'!$I$2:$I$501,V59))&gt;0,INDEX('08-آب'!$F$2:$F$501,V59)=F59),N(I59)/N(INDEX('08-آب'!$I$2:$I$501,V59))-1,""))</f>
        <v/>
      </c>
      <c r="AC59" t="str">
        <f>IF(L59="","",IF(AND($AO$2=1,ISNA(MATCH(L59,'10-تشرين الأول'!$L$2:$L$501,0))),"محذوف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5.8999999999999999E-8</v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5.8999999999999999E-8</v>
      </c>
      <c r="AL59">
        <f t="shared" si="19"/>
        <v>5.8999999999999999E-8</v>
      </c>
    </row>
    <row r="60" spans="1:38" ht="15">
      <c r="A60" t="s">
        <v>423</v>
      </c>
      <c r="B60">
        <v>2</v>
      </c>
      <c r="C60">
        <v>30000</v>
      </c>
      <c r="D60">
        <v>30000</v>
      </c>
      <c r="E60">
        <v>30000</v>
      </c>
      <c r="F60" t="s">
        <v>389</v>
      </c>
      <c r="G60" t="s">
        <v>178</v>
      </c>
      <c r="H60" t="s">
        <v>12</v>
      </c>
      <c r="I60">
        <v>20000</v>
      </c>
      <c r="K60" t="str">
        <f t="shared" si="0"/>
        <v/>
      </c>
      <c r="L60" t="str">
        <f t="shared" si="1"/>
        <v>كياس نايلون</v>
      </c>
      <c r="M60" s="36">
        <f t="shared" si="2"/>
        <v>7.2463768115942027E-5</v>
      </c>
      <c r="N60" s="37">
        <f t="shared" si="3"/>
        <v>1.4492753623188406</v>
      </c>
      <c r="O60" s="37">
        <f t="shared" si="4"/>
        <v>2.1739130434782608</v>
      </c>
      <c r="P60" s="38">
        <f t="shared" si="5"/>
        <v>2</v>
      </c>
      <c r="Q60" s="39">
        <f t="shared" si="6"/>
        <v>2.8985507246376812</v>
      </c>
      <c r="R60" s="39">
        <f t="shared" si="7"/>
        <v>4.3478260869565215</v>
      </c>
      <c r="S60">
        <f t="shared" si="8"/>
        <v>1</v>
      </c>
      <c r="T60" s="39">
        <f t="shared" si="9"/>
        <v>1.4492753623188404</v>
      </c>
      <c r="U60" t="str">
        <f t="shared" si="10"/>
        <v/>
      </c>
      <c r="V60">
        <f>IF(L60="","",IF($AO$1=1,IFERROR(MATCH(L60,'08-آب'!$L$2:$L$501,0),0),0))</f>
        <v>58</v>
      </c>
      <c r="W60" t="str">
        <f t="shared" si="11"/>
        <v/>
      </c>
      <c r="X60" s="38">
        <f>IF(L60="","",IF(V60&gt;0,INDEX('08-آب'!$P$2:$P$501,V60),IF($AO$1=1,0,"")))</f>
        <v>2</v>
      </c>
      <c r="Y60" s="38">
        <f t="shared" si="12"/>
        <v>0</v>
      </c>
      <c r="Z60" s="39">
        <f>IF(L60="","",IF(V60&gt;0,INDEX('08-آب'!$Q$2:$Q$501,V60),IF($AO$1=1,0,"")))</f>
        <v>3.0303030303030303</v>
      </c>
      <c r="AA60" s="39">
        <f t="shared" si="13"/>
        <v>-0.13175230566534912</v>
      </c>
      <c r="AB60" s="40">
        <f>IF(OR(L60="",V60=0),"",IF(AND(N(I60)&gt;0,N(INDEX('08-آب'!$I$2:$I$501,V60))&gt;0,INDEX('08-آب'!$F$2:$F$501,V60)=F60),N(I60)/N(INDEX('08-آب'!$I$2:$I$501,V60))-1,""))</f>
        <v>0</v>
      </c>
      <c r="AC60" t="str">
        <f>IF(L60="","",IF(AND($AO$2=1,ISNA(MATCH(L60,'10-تشرين الأول'!$L$2:$L$501,0))),"محذوف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0.13175236566534912</v>
      </c>
      <c r="AH60" s="39">
        <f t="shared" si="15"/>
        <v>1.4492753623188404</v>
      </c>
      <c r="AI60" s="39">
        <f t="shared" si="16"/>
        <v>1.4492753623188404</v>
      </c>
      <c r="AJ60" s="39">
        <f t="shared" si="17"/>
        <v>1.4492753623188404</v>
      </c>
      <c r="AK60">
        <f t="shared" si="18"/>
        <v>2.8985507846376812</v>
      </c>
      <c r="AL60">
        <f t="shared" si="19"/>
        <v>1.4492754223188404</v>
      </c>
    </row>
    <row r="61" spans="1:38" ht="15">
      <c r="A61" t="s">
        <v>424</v>
      </c>
      <c r="B61">
        <v>0</v>
      </c>
      <c r="C61">
        <v>0</v>
      </c>
      <c r="D61">
        <v>0</v>
      </c>
      <c r="E61">
        <v>0</v>
      </c>
      <c r="F61" t="s">
        <v>389</v>
      </c>
      <c r="G61" t="s">
        <v>178</v>
      </c>
      <c r="H61" t="s">
        <v>12</v>
      </c>
      <c r="I61">
        <v>22500</v>
      </c>
      <c r="K61" t="str">
        <f t="shared" si="0"/>
        <v/>
      </c>
      <c r="L61" t="str">
        <f t="shared" si="1"/>
        <v>كياس قمامة</v>
      </c>
      <c r="M61" s="36">
        <f t="shared" si="2"/>
        <v>7.2463768115942027E-5</v>
      </c>
      <c r="N61" s="37">
        <f t="shared" si="3"/>
        <v>1.6304347826086956</v>
      </c>
      <c r="O61" s="37">
        <f t="shared" si="4"/>
        <v>0</v>
      </c>
      <c r="P61" s="38">
        <f t="shared" si="5"/>
        <v>0</v>
      </c>
      <c r="Q61" s="39">
        <f t="shared" si="6"/>
        <v>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IF(L61="","",IF($AO$1=1,IFERROR(MATCH(L61,'08-آب'!$L$2:$L$501,0),0),0))</f>
        <v>59</v>
      </c>
      <c r="W61" t="str">
        <f t="shared" si="11"/>
        <v/>
      </c>
      <c r="X61" s="38">
        <f>IF(L61="","",IF(V61&gt;0,INDEX('08-آب'!$P$2:$P$501,V61),IF($AO$1=1,0,"")))</f>
        <v>0</v>
      </c>
      <c r="Y61" s="38">
        <f t="shared" si="12"/>
        <v>0</v>
      </c>
      <c r="Z61" s="39">
        <f>IF(L61="","",IF(V61&gt;0,INDEX('08-آب'!$Q$2:$Q$501,V61),IF($AO$1=1,0,"")))</f>
        <v>0</v>
      </c>
      <c r="AA61" s="39">
        <f t="shared" si="13"/>
        <v>0</v>
      </c>
      <c r="AB61" s="40">
        <f>IF(OR(L61="",V61=0),"",IF(AND(N(I61)&gt;0,N(INDEX('08-آب'!$I$2:$I$501,V61))&gt;0,INDEX('08-آب'!$F$2:$F$501,V61)=F61),N(I61)/N(INDEX('08-آب'!$I$2:$I$501,V61))-1,""))</f>
        <v>0</v>
      </c>
      <c r="AC61" t="str">
        <f>IF(L61="","",IF(AND($AO$2=1,ISNA(MATCH(L61,'10-تشرين الأول'!$L$2:$L$501,0))),"محذوف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6.1000000000000004E-8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6.1000000000000004E-8</v>
      </c>
      <c r="AL61">
        <f t="shared" si="19"/>
        <v>6.1000000000000004E-8</v>
      </c>
    </row>
    <row r="62" spans="1:38" ht="15">
      <c r="A62" t="s">
        <v>288</v>
      </c>
      <c r="B62">
        <v>24.88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18.75</v>
      </c>
      <c r="K62" t="str">
        <f t="shared" si="0"/>
        <v/>
      </c>
      <c r="L62" t="str">
        <f t="shared" si="1"/>
        <v>كوستيك-قطرونة</v>
      </c>
      <c r="M62" s="36">
        <f t="shared" si="2"/>
        <v>1</v>
      </c>
      <c r="N62" s="37">
        <f t="shared" si="3"/>
        <v>18.75</v>
      </c>
      <c r="O62" s="37">
        <f t="shared" si="4"/>
        <v>0</v>
      </c>
      <c r="P62" s="38">
        <f t="shared" si="5"/>
        <v>24.88</v>
      </c>
      <c r="Q62" s="39">
        <f t="shared" si="6"/>
        <v>466.5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IF(L62="","",IF($AO$1=1,IFERROR(MATCH(L62,'08-آب'!$L$2:$L$501,0),0),0))</f>
        <v>60</v>
      </c>
      <c r="W62" t="str">
        <f t="shared" si="11"/>
        <v/>
      </c>
      <c r="X62" s="38">
        <f>IF(L62="","",IF(V62&gt;0,INDEX('08-آب'!$P$2:$P$501,V62),IF($AO$1=1,0,"")))</f>
        <v>13.6</v>
      </c>
      <c r="Y62" s="38">
        <f t="shared" si="12"/>
        <v>11.28</v>
      </c>
      <c r="Z62" s="39">
        <f>IF(L62="","",IF(V62&gt;0,INDEX('08-آب'!$Q$2:$Q$501,V62),IF($AO$1=1,0,"")))</f>
        <v>255</v>
      </c>
      <c r="AA62" s="39">
        <f t="shared" si="13"/>
        <v>211.5</v>
      </c>
      <c r="AB62" s="40">
        <f>IF(OR(L62="",V62=0),"",IF(AND(N(I62)&gt;0,N(INDEX('08-آب'!$I$2:$I$501,V62))&gt;0,INDEX('08-آب'!$F$2:$F$501,V62)=F62),N(I62)/N(INDEX('08-آب'!$I$2:$I$501,V62))-1,""))</f>
        <v>0</v>
      </c>
      <c r="AC62" t="str">
        <f>IF(L62="","",IF(AND($AO$2=1,ISNA(MATCH(L62,'10-تشرين الأول'!$L$2:$L$501,0))),"محذوف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211.500000062</v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466.50000006200003</v>
      </c>
      <c r="AL62">
        <f t="shared" si="19"/>
        <v>6.1999999999999999E-8</v>
      </c>
    </row>
    <row r="63" spans="1:38" ht="15">
      <c r="A63" t="s">
        <v>289</v>
      </c>
      <c r="B63">
        <v>49</v>
      </c>
      <c r="C63">
        <v>0</v>
      </c>
      <c r="D63">
        <v>0</v>
      </c>
      <c r="E63">
        <v>0</v>
      </c>
      <c r="F63" t="s">
        <v>268</v>
      </c>
      <c r="G63" t="s">
        <v>178</v>
      </c>
      <c r="H63" t="s">
        <v>176</v>
      </c>
      <c r="I63">
        <v>2.25</v>
      </c>
      <c r="K63" t="str">
        <f t="shared" si="0"/>
        <v/>
      </c>
      <c r="L63" t="str">
        <f t="shared" si="1"/>
        <v>كمبرلان</v>
      </c>
      <c r="M63" s="36">
        <f t="shared" si="2"/>
        <v>1</v>
      </c>
      <c r="N63" s="37">
        <f t="shared" si="3"/>
        <v>2.25</v>
      </c>
      <c r="O63" s="37">
        <f t="shared" si="4"/>
        <v>0</v>
      </c>
      <c r="P63" s="38">
        <f t="shared" si="5"/>
        <v>49</v>
      </c>
      <c r="Q63" s="39">
        <f t="shared" si="6"/>
        <v>110.25</v>
      </c>
      <c r="R63" s="39">
        <f t="shared" si="7"/>
        <v>0</v>
      </c>
      <c r="S63">
        <f t="shared" si="8"/>
        <v>0</v>
      </c>
      <c r="T63" s="39">
        <f t="shared" si="9"/>
        <v>0</v>
      </c>
      <c r="U63" t="str">
        <f t="shared" si="10"/>
        <v/>
      </c>
      <c r="V63">
        <f>IF(L63="","",IF($AO$1=1,IFERROR(MATCH(L63,'08-آب'!$L$2:$L$501,0),0),0))</f>
        <v>61</v>
      </c>
      <c r="W63" t="str">
        <f t="shared" si="11"/>
        <v/>
      </c>
      <c r="X63" s="38">
        <f>IF(L63="","",IF(V63&gt;0,INDEX('08-آب'!$P$2:$P$501,V63),IF($AO$1=1,0,"")))</f>
        <v>49</v>
      </c>
      <c r="Y63" s="38">
        <f t="shared" si="12"/>
        <v>0</v>
      </c>
      <c r="Z63" s="39">
        <f>IF(L63="","",IF(V63&gt;0,INDEX('08-آب'!$Q$2:$Q$501,V63),IF($AO$1=1,0,"")))</f>
        <v>110.25</v>
      </c>
      <c r="AA63" s="39">
        <f t="shared" si="13"/>
        <v>0</v>
      </c>
      <c r="AB63" s="40">
        <f>IF(OR(L63="",V63=0),"",IF(AND(N(I63)&gt;0,N(INDEX('08-آب'!$I$2:$I$501,V63))&gt;0,INDEX('08-آب'!$F$2:$F$501,V63)=F63),N(I63)/N(INDEX('08-آب'!$I$2:$I$501,V63))-1,""))</f>
        <v>0</v>
      </c>
      <c r="AC63" t="str">
        <f>IF(L63="","",IF(AND($AO$2=1,ISNA(MATCH(L63,'10-تشرين الأول'!$L$2:$L$501,0))),"محذوف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6.2999999999999995E-8</v>
      </c>
      <c r="AH63" s="39">
        <f t="shared" si="15"/>
        <v>0</v>
      </c>
      <c r="AI63" s="39">
        <f t="shared" si="16"/>
        <v>0</v>
      </c>
      <c r="AJ63" s="39">
        <f t="shared" si="17"/>
        <v>0</v>
      </c>
      <c r="AK63">
        <f t="shared" si="18"/>
        <v>110.250000063</v>
      </c>
      <c r="AL63">
        <f t="shared" si="19"/>
        <v>6.2999999999999995E-8</v>
      </c>
    </row>
    <row r="64" spans="1:38" ht="15">
      <c r="A64" t="s">
        <v>425</v>
      </c>
      <c r="B64">
        <v>0</v>
      </c>
      <c r="C64">
        <v>13000</v>
      </c>
      <c r="D64">
        <v>13000</v>
      </c>
      <c r="E64">
        <v>13000</v>
      </c>
      <c r="F64" t="s">
        <v>389</v>
      </c>
      <c r="G64" t="s">
        <v>178</v>
      </c>
      <c r="H64" t="s">
        <v>12</v>
      </c>
      <c r="I64">
        <v>11000</v>
      </c>
      <c r="K64" t="str">
        <f t="shared" si="0"/>
        <v/>
      </c>
      <c r="L64" t="str">
        <f t="shared" si="1"/>
        <v>كمامات</v>
      </c>
      <c r="M64" s="36">
        <f t="shared" si="2"/>
        <v>7.2463768115942027E-5</v>
      </c>
      <c r="N64" s="37">
        <f t="shared" si="3"/>
        <v>0.79710144927536231</v>
      </c>
      <c r="O64" s="37">
        <f t="shared" si="4"/>
        <v>0.94202898550724634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IF(L64="","",IF($AO$1=1,IFERROR(MATCH(L64,'08-آب'!$L$2:$L$501,0),0),0))</f>
        <v>62</v>
      </c>
      <c r="W64" t="str">
        <f t="shared" si="11"/>
        <v/>
      </c>
      <c r="X64" s="38">
        <f>IF(L64="","",IF(V64&gt;0,INDEX('08-آب'!$P$2:$P$501,V64),IF($AO$1=1,0,"")))</f>
        <v>40</v>
      </c>
      <c r="Y64" s="38">
        <f t="shared" si="12"/>
        <v>-40</v>
      </c>
      <c r="Z64" s="39">
        <f>IF(L64="","",IF(V64&gt;0,INDEX('08-آب'!$Q$2:$Q$501,V64),IF($AO$1=1,0,"")))</f>
        <v>33.333333333333336</v>
      </c>
      <c r="AA64" s="39">
        <f t="shared" si="13"/>
        <v>-33.333333333333336</v>
      </c>
      <c r="AB64" s="40">
        <f>IF(OR(L64="",V64=0),"",IF(AND(N(I64)&gt;0,N(INDEX('08-آب'!$I$2:$I$501,V64))&gt;0,INDEX('08-آب'!$F$2:$F$501,V64)=F64),N(I64)/N(INDEX('08-آب'!$I$2:$I$501,V64))-1,""))</f>
        <v>0</v>
      </c>
      <c r="AC64" t="str">
        <f>IF(L64="","",IF(AND($AO$2=1,ISNA(MATCH(L64,'10-تشرين الأول'!$L$2:$L$501,0))),"محذوف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33.333333397333334</v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290</v>
      </c>
      <c r="B65">
        <v>0.3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176</v>
      </c>
      <c r="I65">
        <v>17.8</v>
      </c>
      <c r="K65" t="str">
        <f t="shared" ref="K65:K128" si="20">IF(L65="","",IF(U65&lt;&gt;"","⚠",""))</f>
        <v/>
      </c>
      <c r="L65" t="str">
        <f t="shared" ref="L65:L128" si="21">IF(A65="","",TRIM(A65))</f>
        <v>كليمازول</v>
      </c>
      <c r="M65" s="36">
        <f t="shared" ref="M65:M128" si="22">IF(L65="","",IF(ISNUMBER(SEARCH("دولار",F65)),1,IF(ISNUMBER(SEARCH("ليرة",F65)),IF($AO$3&gt;0,1/$AO$3,0),0)))</f>
        <v>1</v>
      </c>
      <c r="N65" s="37">
        <f t="shared" ref="N65:N128" si="23">IF(L65="","",N(I65)*M65)</f>
        <v>17.8</v>
      </c>
      <c r="O65" s="37">
        <f t="shared" ref="O65:O128" si="24">IF(L65="","",M65*CHOOSE($AO$4,N(C65),N(D65),N(E65)))</f>
        <v>0</v>
      </c>
      <c r="P65" s="38">
        <f t="shared" ref="P65:P128" si="25">IF(L65="","",MAX(N(B65),0))</f>
        <v>0.3</v>
      </c>
      <c r="Q65" s="39">
        <f t="shared" ref="Q65:Q128" si="26">IF(L65="","",P65*N65)</f>
        <v>5.34</v>
      </c>
      <c r="R65" s="39">
        <f t="shared" ref="R65:R128" si="27">IF(L65="","",P65*O65)</f>
        <v>0</v>
      </c>
      <c r="S65">
        <f t="shared" ref="S65:S128" si="28">IF(L65="","",IF(AND(P65&gt;0,N65&gt;0,O65&gt;0),1,0))</f>
        <v>0</v>
      </c>
      <c r="T65" s="39">
        <f t="shared" ref="T65:T128" si="29">IF(L65="","",S65*(R65-Q65))</f>
        <v>0</v>
      </c>
      <c r="U65" t="str">
        <f t="shared" ref="U65:U128" si="30">IF(L65="","",MID(IF(OR(NOT(ISNUMBER(B65)),NOT(ISNUMBER(C65)),NOT(ISNUMBER(D65)),NOT(ISNUMBER(E65)),NOT(ISNUMBER(I65)),AND(NOT(ISNUMBER(SEARCH("دولار",F65))),NOT(ISNUMBER(SEARCH("ليرة",F65)))))," | بيانات غير صالحة","")&amp;IF(N(B65)&lt;0," | كمية سالبة","")&amp;IF(AND(N(B65)&gt;0,N(I65)=0)," | شراء صفر","")&amp;IF(AND(N(B65)&gt;0,TRIM(H65)=$AO$5,OR(N(C65)=0,N(D65)=0,N(E65)=0))," | بيع صفر","")&amp;IF(AND(N65&gt;0,O65&gt;0,O65&lt;N65)," | بيع أقل من الشراء","")&amp;IF(OR(AND(ISNUMBER(SEARCH("ليرة",F65)),OR(AND(N(I65)&gt;0,N(I65)&lt;$AO$6),AND(N(C65)&gt;0,N(C65)&lt;$AO$6),AND(N(D65)&gt;0,N(D65)&lt;$AO$6),AND(N(E65)&gt;0,N(E65)&lt;$AO$6))),AND(ISNUMBER(SEARCH("دولار",F65)),MAX(N(I65),N(C65),N(D65),N(E65))&gt;$AO$7))," | عملة/سعر مشكوك","")&amp;IF(AND(COUNTIF(C65:E65,"&gt;0")&gt;=2,MAX(N(C65),N(D65),N(E65))&gt;$AO$8*MIN(IF(N(C65)&gt;0,N(C65),1E+99),IF(N(D65)&gt;0,N(D65),1E+99),IF(N(E65)&gt;0,N(E65),1E+99)))," | تباين أسعار البيع","")&amp;IF(OR(TRIM(H65)="All",TRIM(H65)="")," | بلا تصنيف",""),4,300))</f>
        <v/>
      </c>
      <c r="V65">
        <f>IF(L65="","",IF($AO$1=1,IFERROR(MATCH(L65,'08-آب'!$L$2:$L$501,0),0),0))</f>
        <v>63</v>
      </c>
      <c r="W65" t="str">
        <f t="shared" ref="W65:W128" si="31">IF(L65="","",IF(AND($AO$1=1,V65=0),"جديد",""))</f>
        <v/>
      </c>
      <c r="X65" s="38">
        <f>IF(L65="","",IF(V65&gt;0,INDEX('08-آب'!$P$2:$P$501,V65),IF($AO$1=1,0,"")))</f>
        <v>0</v>
      </c>
      <c r="Y65" s="38">
        <f t="shared" ref="Y65:Y128" si="32">IF(OR(L65="",X65=""),"",P65-X65)</f>
        <v>0.3</v>
      </c>
      <c r="Z65" s="39">
        <f>IF(L65="","",IF(V65&gt;0,INDEX('08-آب'!$Q$2:$Q$501,V65),IF($AO$1=1,0,"")))</f>
        <v>0</v>
      </c>
      <c r="AA65" s="39">
        <f t="shared" ref="AA65:AA128" si="33">IF(OR(L65="",Z65=""),"",Q65-Z65)</f>
        <v>5.34</v>
      </c>
      <c r="AB65" s="40">
        <f>IF(OR(L65="",V65=0),"",IF(AND(N(I65)&gt;0,N(INDEX('08-آب'!$I$2:$I$501,V65))&gt;0,INDEX('08-آب'!$F$2:$F$501,V65)=F65),N(I65)/N(INDEX('08-آب'!$I$2:$I$501,V65))-1,""))</f>
        <v>0</v>
      </c>
      <c r="AC65" t="str">
        <f>IF(L65="","",IF(AND($AO$2=1,ISNA(MATCH(L65,'10-تشرين الأول'!$L$2:$L$501,0))),"محذوف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ref="AG65:AG128" si="34">IF(AA65="","",ABS(AA65)+ROW()/1000000000)</f>
        <v>5.3400000649999999</v>
      </c>
      <c r="AH65" s="39">
        <f t="shared" ref="AH65:AH128" si="35">IF(L65="","",IF(AND(P65&gt;0,N65&gt;0,N(C65)&gt;0),P65*(M65*N(C65)-N65),0))</f>
        <v>0</v>
      </c>
      <c r="AI65" s="39">
        <f t="shared" ref="AI65:AI128" si="36">IF(L65="","",IF(AND(P65&gt;0,N65&gt;0,N(D65)&gt;0),P65*(M65*N(D65)-N65),0))</f>
        <v>0</v>
      </c>
      <c r="AJ65" s="39">
        <f t="shared" ref="AJ65:AJ128" si="37">IF(L65="","",IF(AND(P65&gt;0,N65&gt;0,N(E65)&gt;0),P65*(M65*N(E65)-N65),0))</f>
        <v>0</v>
      </c>
      <c r="AK65">
        <f t="shared" ref="AK65:AK128" si="38">IF(L65="","",Q65+ROW()/1000000000)</f>
        <v>5.3400000649999999</v>
      </c>
      <c r="AL65">
        <f t="shared" ref="AL65:AL128" si="39">IF(L65="","",T65+ROW()/1000000000)</f>
        <v>6.5E-8</v>
      </c>
    </row>
    <row r="66" spans="1:38" ht="15">
      <c r="A66" t="s">
        <v>291</v>
      </c>
      <c r="B66">
        <v>865</v>
      </c>
      <c r="C66">
        <v>0.35</v>
      </c>
      <c r="D66">
        <v>0.35</v>
      </c>
      <c r="E66">
        <v>0.35</v>
      </c>
      <c r="F66" t="s">
        <v>268</v>
      </c>
      <c r="G66" t="s">
        <v>178</v>
      </c>
      <c r="H66" t="s">
        <v>176</v>
      </c>
      <c r="I66">
        <v>0.21</v>
      </c>
      <c r="K66" t="str">
        <f t="shared" si="20"/>
        <v/>
      </c>
      <c r="L66" t="str">
        <f t="shared" si="21"/>
        <v>كلور خام</v>
      </c>
      <c r="M66" s="36">
        <f t="shared" si="22"/>
        <v>1</v>
      </c>
      <c r="N66" s="37">
        <f t="shared" si="23"/>
        <v>0.21</v>
      </c>
      <c r="O66" s="37">
        <f t="shared" si="24"/>
        <v>0.35</v>
      </c>
      <c r="P66" s="38">
        <f t="shared" si="25"/>
        <v>865</v>
      </c>
      <c r="Q66" s="39">
        <f t="shared" si="26"/>
        <v>181.65</v>
      </c>
      <c r="R66" s="39">
        <f t="shared" si="27"/>
        <v>302.75</v>
      </c>
      <c r="S66">
        <f t="shared" si="28"/>
        <v>1</v>
      </c>
      <c r="T66" s="39">
        <f t="shared" si="29"/>
        <v>121.1</v>
      </c>
      <c r="U66" t="str">
        <f t="shared" si="30"/>
        <v/>
      </c>
      <c r="V66">
        <f>IF(L66="","",IF($AO$1=1,IFERROR(MATCH(L66,'08-آب'!$L$2:$L$501,0),0),0))</f>
        <v>65</v>
      </c>
      <c r="W66" t="str">
        <f t="shared" si="31"/>
        <v/>
      </c>
      <c r="X66" s="38">
        <f>IF(L66="","",IF(V66&gt;0,INDEX('08-آب'!$P$2:$P$501,V66),IF($AO$1=1,0,"")))</f>
        <v>1089</v>
      </c>
      <c r="Y66" s="38">
        <f t="shared" si="32"/>
        <v>-224</v>
      </c>
      <c r="Z66" s="39">
        <f>IF(L66="","",IF(V66&gt;0,INDEX('08-آب'!$Q$2:$Q$501,V66),IF($AO$1=1,0,"")))</f>
        <v>228.69</v>
      </c>
      <c r="AA66" s="39">
        <f t="shared" si="33"/>
        <v>-47.039999999999992</v>
      </c>
      <c r="AB66" s="40">
        <f>IF(OR(L66="",V66=0),"",IF(AND(N(I66)&gt;0,N(INDEX('08-آب'!$I$2:$I$501,V66))&gt;0,INDEX('08-آب'!$F$2:$F$501,V66)=F66),N(I66)/N(INDEX('08-آب'!$I$2:$I$501,V66))-1,""))</f>
        <v>0</v>
      </c>
      <c r="AC66" t="str">
        <f>IF(L66="","",IF(AND($AO$2=1,ISNA(MATCH(L66,'10-تشرين الأول'!$L$2:$L$501,0))),"محذوف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si="34"/>
        <v>47.04000006599999</v>
      </c>
      <c r="AH66" s="39">
        <f t="shared" si="35"/>
        <v>121.1</v>
      </c>
      <c r="AI66" s="39">
        <f t="shared" si="36"/>
        <v>121.1</v>
      </c>
      <c r="AJ66" s="39">
        <f t="shared" si="37"/>
        <v>121.1</v>
      </c>
      <c r="AK66">
        <f t="shared" si="38"/>
        <v>181.65000006600002</v>
      </c>
      <c r="AL66">
        <f t="shared" si="39"/>
        <v>121.10000006599999</v>
      </c>
    </row>
    <row r="67" spans="1:38" ht="15">
      <c r="A67" t="s">
        <v>426</v>
      </c>
      <c r="B67">
        <v>7</v>
      </c>
      <c r="C67">
        <v>16000</v>
      </c>
      <c r="D67">
        <v>16000</v>
      </c>
      <c r="E67">
        <v>16000</v>
      </c>
      <c r="F67" t="s">
        <v>389</v>
      </c>
      <c r="G67" t="s">
        <v>178</v>
      </c>
      <c r="H67" t="s">
        <v>12</v>
      </c>
      <c r="I67">
        <v>5700</v>
      </c>
      <c r="K67" t="str">
        <f t="shared" si="20"/>
        <v/>
      </c>
      <c r="L67" t="str">
        <f t="shared" si="21"/>
        <v>كلور 4 لتر</v>
      </c>
      <c r="M67" s="36">
        <f t="shared" si="22"/>
        <v>7.2463768115942027E-5</v>
      </c>
      <c r="N67" s="37">
        <f t="shared" si="23"/>
        <v>0.41304347826086957</v>
      </c>
      <c r="O67" s="37">
        <f t="shared" si="24"/>
        <v>1.1594202898550725</v>
      </c>
      <c r="P67" s="38">
        <f t="shared" si="25"/>
        <v>7</v>
      </c>
      <c r="Q67" s="39">
        <f t="shared" si="26"/>
        <v>2.8913043478260869</v>
      </c>
      <c r="R67" s="39">
        <f t="shared" si="27"/>
        <v>8.1159420289855078</v>
      </c>
      <c r="S67">
        <f t="shared" si="28"/>
        <v>1</v>
      </c>
      <c r="T67" s="39">
        <f t="shared" si="29"/>
        <v>5.2246376811594208</v>
      </c>
      <c r="U67" t="str">
        <f t="shared" si="30"/>
        <v/>
      </c>
      <c r="V67">
        <f>IF(L67="","",IF($AO$1=1,IFERROR(MATCH(L67,'08-آب'!$L$2:$L$501,0),0),0))</f>
        <v>66</v>
      </c>
      <c r="W67" t="str">
        <f t="shared" si="31"/>
        <v/>
      </c>
      <c r="X67" s="38">
        <f>IF(L67="","",IF(V67&gt;0,INDEX('08-آب'!$P$2:$P$501,V67),IF($AO$1=1,0,"")))</f>
        <v>22</v>
      </c>
      <c r="Y67" s="38">
        <f t="shared" si="32"/>
        <v>-15</v>
      </c>
      <c r="Z67" s="39">
        <f>IF(L67="","",IF(V67&gt;0,INDEX('08-آب'!$Q$2:$Q$501,V67),IF($AO$1=1,0,"")))</f>
        <v>9.5</v>
      </c>
      <c r="AA67" s="39">
        <f t="shared" si="33"/>
        <v>-6.6086956521739131</v>
      </c>
      <c r="AB67" s="40">
        <f>IF(OR(L67="",V67=0),"",IF(AND(N(I67)&gt;0,N(INDEX('08-آب'!$I$2:$I$501,V67))&gt;0,INDEX('08-آب'!$F$2:$F$501,V67)=F67),N(I67)/N(INDEX('08-آب'!$I$2:$I$501,V67))-1,""))</f>
        <v>0</v>
      </c>
      <c r="AC67" t="str">
        <f>IF(L67="","",IF(AND($AO$2=1,ISNA(MATCH(L67,'10-تشرين الأول'!$L$2:$L$501,0))),"محذوف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6.6086957191739133</v>
      </c>
      <c r="AH67" s="39">
        <f t="shared" si="35"/>
        <v>5.22463768115942</v>
      </c>
      <c r="AI67" s="39">
        <f t="shared" si="36"/>
        <v>5.22463768115942</v>
      </c>
      <c r="AJ67" s="39">
        <f t="shared" si="37"/>
        <v>5.22463768115942</v>
      </c>
      <c r="AK67">
        <f t="shared" si="38"/>
        <v>2.8913044148260871</v>
      </c>
      <c r="AL67">
        <f t="shared" si="39"/>
        <v>5.2246377481594211</v>
      </c>
    </row>
    <row r="68" spans="1:38" ht="15">
      <c r="A68" t="s">
        <v>427</v>
      </c>
      <c r="B68">
        <v>105</v>
      </c>
      <c r="C68">
        <v>50000</v>
      </c>
      <c r="D68">
        <v>50000</v>
      </c>
      <c r="E68">
        <v>50000</v>
      </c>
      <c r="F68" t="s">
        <v>389</v>
      </c>
      <c r="G68" t="s">
        <v>178</v>
      </c>
      <c r="H68" t="s">
        <v>12</v>
      </c>
      <c r="I68">
        <v>38400</v>
      </c>
      <c r="K68" t="str">
        <f t="shared" si="20"/>
        <v/>
      </c>
      <c r="L68" t="str">
        <f t="shared" si="21"/>
        <v>كلور 1 لتر</v>
      </c>
      <c r="M68" s="36">
        <f t="shared" si="22"/>
        <v>7.2463768115942027E-5</v>
      </c>
      <c r="N68" s="37">
        <f t="shared" si="23"/>
        <v>2.7826086956521738</v>
      </c>
      <c r="O68" s="37">
        <f t="shared" si="24"/>
        <v>3.6231884057971016</v>
      </c>
      <c r="P68" s="38">
        <f t="shared" si="25"/>
        <v>105</v>
      </c>
      <c r="Q68" s="39">
        <f t="shared" si="26"/>
        <v>292.17391304347825</v>
      </c>
      <c r="R68" s="39">
        <f t="shared" si="27"/>
        <v>380.43478260869568</v>
      </c>
      <c r="S68">
        <f t="shared" si="28"/>
        <v>1</v>
      </c>
      <c r="T68" s="39">
        <f t="shared" si="29"/>
        <v>88.260869565217433</v>
      </c>
      <c r="U68" t="str">
        <f t="shared" si="30"/>
        <v/>
      </c>
      <c r="V68">
        <f>IF(L68="","",IF($AO$1=1,IFERROR(MATCH(L68,'08-آب'!$L$2:$L$501,0),0),0))</f>
        <v>67</v>
      </c>
      <c r="W68" t="str">
        <f t="shared" si="31"/>
        <v/>
      </c>
      <c r="X68" s="38">
        <f>IF(L68="","",IF(V68&gt;0,INDEX('08-آب'!$P$2:$P$501,V68),IF($AO$1=1,0,"")))</f>
        <v>112</v>
      </c>
      <c r="Y68" s="38">
        <f t="shared" si="32"/>
        <v>-7</v>
      </c>
      <c r="Z68" s="39">
        <f>IF(L68="","",IF(V68&gt;0,INDEX('08-آب'!$Q$2:$Q$501,V68),IF($AO$1=1,0,"")))</f>
        <v>325.81818181818181</v>
      </c>
      <c r="AA68" s="39">
        <f t="shared" si="33"/>
        <v>-33.644268774703562</v>
      </c>
      <c r="AB68" s="40">
        <f>IF(OR(L68="",V68=0),"",IF(AND(N(I68)&gt;0,N(INDEX('08-آب'!$I$2:$I$501,V68))&gt;0,INDEX('08-آب'!$F$2:$F$501,V68)=F68),N(I68)/N(INDEX('08-آب'!$I$2:$I$501,V68))-1,""))</f>
        <v>0</v>
      </c>
      <c r="AC68" t="str">
        <f>IF(L68="","",IF(AND($AO$2=1,ISNA(MATCH(L68,'10-تشرين الأول'!$L$2:$L$501,0))),"محذوف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33.644268842703561</v>
      </c>
      <c r="AH68" s="39">
        <f t="shared" si="35"/>
        <v>88.260869565217405</v>
      </c>
      <c r="AI68" s="39">
        <f t="shared" si="36"/>
        <v>88.260869565217405</v>
      </c>
      <c r="AJ68" s="39">
        <f t="shared" si="37"/>
        <v>88.260869565217405</v>
      </c>
      <c r="AK68">
        <f t="shared" si="38"/>
        <v>292.17391311147827</v>
      </c>
      <c r="AL68">
        <f t="shared" si="39"/>
        <v>88.260869633217439</v>
      </c>
    </row>
    <row r="69" spans="1:38" ht="15">
      <c r="A69" t="s">
        <v>428</v>
      </c>
      <c r="B69">
        <v>523.70000000000005</v>
      </c>
      <c r="C69">
        <v>4500</v>
      </c>
      <c r="D69">
        <v>4500</v>
      </c>
      <c r="E69">
        <v>4500</v>
      </c>
      <c r="F69" t="s">
        <v>389</v>
      </c>
      <c r="G69" t="s">
        <v>178</v>
      </c>
      <c r="H69" t="s">
        <v>12</v>
      </c>
      <c r="I69">
        <v>680</v>
      </c>
      <c r="K69" t="str">
        <f t="shared" si="20"/>
        <v/>
      </c>
      <c r="L69" t="str">
        <f t="shared" si="21"/>
        <v>كلور / فرط</v>
      </c>
      <c r="M69" s="36">
        <f t="shared" si="22"/>
        <v>7.2463768115942027E-5</v>
      </c>
      <c r="N69" s="37">
        <f t="shared" si="23"/>
        <v>4.9275362318840575E-2</v>
      </c>
      <c r="O69" s="37">
        <f t="shared" si="24"/>
        <v>0.32608695652173914</v>
      </c>
      <c r="P69" s="38">
        <f t="shared" si="25"/>
        <v>523.70000000000005</v>
      </c>
      <c r="Q69" s="39">
        <f t="shared" si="26"/>
        <v>25.805507246376813</v>
      </c>
      <c r="R69" s="39">
        <f t="shared" si="27"/>
        <v>170.77173913043481</v>
      </c>
      <c r="S69">
        <f t="shared" si="28"/>
        <v>1</v>
      </c>
      <c r="T69" s="39">
        <f t="shared" si="29"/>
        <v>144.966231884058</v>
      </c>
      <c r="U69" t="str">
        <f t="shared" si="30"/>
        <v/>
      </c>
      <c r="V69">
        <f>IF(L69="","",IF($AO$1=1,IFERROR(MATCH(L69,'08-آب'!$L$2:$L$501,0),0),0))</f>
        <v>68</v>
      </c>
      <c r="W69" t="str">
        <f t="shared" si="31"/>
        <v/>
      </c>
      <c r="X69" s="38">
        <f>IF(L69="","",IF(V69&gt;0,INDEX('08-آب'!$P$2:$P$501,V69),IF($AO$1=1,0,"")))</f>
        <v>92.25</v>
      </c>
      <c r="Y69" s="38">
        <f t="shared" si="32"/>
        <v>431.45000000000005</v>
      </c>
      <c r="Z69" s="39">
        <f>IF(L69="","",IF(V69&gt;0,INDEX('08-آب'!$Q$2:$Q$501,V69),IF($AO$1=1,0,"")))</f>
        <v>4.752272727272727</v>
      </c>
      <c r="AA69" s="39">
        <f t="shared" si="33"/>
        <v>21.053234519104087</v>
      </c>
      <c r="AB69" s="40">
        <f>IF(OR(L69="",V69=0),"",IF(AND(N(I69)&gt;0,N(INDEX('08-آب'!$I$2:$I$501,V69))&gt;0,INDEX('08-آب'!$F$2:$F$501,V69)=F69),N(I69)/N(INDEX('08-آب'!$I$2:$I$501,V69))-1,""))</f>
        <v>0</v>
      </c>
      <c r="AC69" t="str">
        <f>IF(L69="","",IF(AND($AO$2=1,ISNA(MATCH(L69,'10-تشرين الأول'!$L$2:$L$501,0))),"محذوف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21.053234588104086</v>
      </c>
      <c r="AH69" s="39">
        <f t="shared" si="35"/>
        <v>144.966231884058</v>
      </c>
      <c r="AI69" s="39">
        <f t="shared" si="36"/>
        <v>144.966231884058</v>
      </c>
      <c r="AJ69" s="39">
        <f t="shared" si="37"/>
        <v>144.966231884058</v>
      </c>
      <c r="AK69">
        <f t="shared" si="38"/>
        <v>25.805507315376811</v>
      </c>
      <c r="AL69">
        <f t="shared" si="39"/>
        <v>144.96623195305801</v>
      </c>
    </row>
    <row r="70" spans="1:38" ht="15">
      <c r="A70" t="s">
        <v>429</v>
      </c>
      <c r="B70">
        <v>0</v>
      </c>
      <c r="C70">
        <v>370000</v>
      </c>
      <c r="D70">
        <v>370000</v>
      </c>
      <c r="E70">
        <v>330000</v>
      </c>
      <c r="F70" t="s">
        <v>389</v>
      </c>
      <c r="G70" t="s">
        <v>178</v>
      </c>
      <c r="H70" t="s">
        <v>12</v>
      </c>
      <c r="I70">
        <v>320000</v>
      </c>
      <c r="K70" t="str">
        <f t="shared" si="20"/>
        <v/>
      </c>
      <c r="L70" t="str">
        <f t="shared" si="21"/>
        <v>كفوف نايلون</v>
      </c>
      <c r="M70" s="36">
        <f t="shared" si="22"/>
        <v>7.2463768115942027E-5</v>
      </c>
      <c r="N70" s="37">
        <f t="shared" si="23"/>
        <v>23.188405797101449</v>
      </c>
      <c r="O70" s="37">
        <f t="shared" si="24"/>
        <v>26.811594202898551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IF(L70="","",IF($AO$1=1,IFERROR(MATCH(L70,'08-آب'!$L$2:$L$501,0),0),0))</f>
        <v>69</v>
      </c>
      <c r="W70" t="str">
        <f t="shared" si="31"/>
        <v/>
      </c>
      <c r="X70" s="38">
        <f>IF(L70="","",IF(V70&gt;0,INDEX('08-آب'!$P$2:$P$501,V70),IF($AO$1=1,0,"")))</f>
        <v>0</v>
      </c>
      <c r="Y70" s="38">
        <f t="shared" si="32"/>
        <v>0</v>
      </c>
      <c r="Z70" s="39">
        <f>IF(L70="","",IF(V70&gt;0,INDEX('08-آب'!$Q$2:$Q$501,V70),IF($AO$1=1,0,"")))</f>
        <v>0</v>
      </c>
      <c r="AA70" s="39">
        <f t="shared" si="33"/>
        <v>0</v>
      </c>
      <c r="AB70" s="40">
        <f>IF(OR(L70="",V70=0),"",IF(AND(N(I70)&gt;0,N(INDEX('08-آب'!$I$2:$I$501,V70))&gt;0,INDEX('08-آب'!$F$2:$F$501,V70)=F70),N(I70)/N(INDEX('08-آب'!$I$2:$I$501,V70))-1,""))</f>
        <v>0</v>
      </c>
      <c r="AC70" t="str">
        <f>IF(L70="","",IF(AND($AO$2=1,ISNA(MATCH(L70,'10-تشرين الأول'!$L$2:$L$501,0))),"محذوف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7.0000000000000005E-8</v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430</v>
      </c>
      <c r="B71">
        <v>0</v>
      </c>
      <c r="C71">
        <v>576000</v>
      </c>
      <c r="D71">
        <v>576000</v>
      </c>
      <c r="E71">
        <v>576000</v>
      </c>
      <c r="F71" t="s">
        <v>389</v>
      </c>
      <c r="G71" t="s">
        <v>178</v>
      </c>
      <c r="H71" t="s">
        <v>12</v>
      </c>
      <c r="I71">
        <v>300000</v>
      </c>
      <c r="K71" t="str">
        <f t="shared" si="20"/>
        <v/>
      </c>
      <c r="L71" t="str">
        <f t="shared" si="21"/>
        <v>كفوف طبية</v>
      </c>
      <c r="M71" s="36">
        <f t="shared" si="22"/>
        <v>7.2463768115942027E-5</v>
      </c>
      <c r="N71" s="37">
        <f t="shared" si="23"/>
        <v>21.739130434782609</v>
      </c>
      <c r="O71" s="37">
        <f t="shared" si="24"/>
        <v>41.739130434782609</v>
      </c>
      <c r="P71" s="38">
        <f t="shared" si="25"/>
        <v>0</v>
      </c>
      <c r="Q71" s="39">
        <f t="shared" si="26"/>
        <v>0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IF(L71="","",IF($AO$1=1,IFERROR(MATCH(L71,'08-آب'!$L$2:$L$501,0),0),0))</f>
        <v>70</v>
      </c>
      <c r="W71" t="str">
        <f t="shared" si="31"/>
        <v/>
      </c>
      <c r="X71" s="38">
        <f>IF(L71="","",IF(V71&gt;0,INDEX('08-آب'!$P$2:$P$501,V71),IF($AO$1=1,0,"")))</f>
        <v>1</v>
      </c>
      <c r="Y71" s="38">
        <f t="shared" si="32"/>
        <v>-1</v>
      </c>
      <c r="Z71" s="39">
        <f>IF(L71="","",IF(V71&gt;0,INDEX('08-آب'!$Q$2:$Q$501,V71),IF($AO$1=1,0,"")))</f>
        <v>22.727272727272727</v>
      </c>
      <c r="AA71" s="39">
        <f t="shared" si="33"/>
        <v>-22.727272727272727</v>
      </c>
      <c r="AB71" s="40">
        <f>IF(OR(L71="",V71=0),"",IF(AND(N(I71)&gt;0,N(INDEX('08-آب'!$I$2:$I$501,V71))&gt;0,INDEX('08-آب'!$F$2:$F$501,V71)=F71),N(I71)/N(INDEX('08-آب'!$I$2:$I$501,V71))-1,""))</f>
        <v>0</v>
      </c>
      <c r="AC71" t="str">
        <f>IF(L71="","",IF(AND($AO$2=1,ISNA(MATCH(L71,'10-تشرين الأول'!$L$2:$L$501,0))),"محذوف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22.727272798272725</v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7.1E-8</v>
      </c>
      <c r="AL71">
        <f t="shared" si="39"/>
        <v>7.1E-8</v>
      </c>
    </row>
    <row r="72" spans="1:38" ht="15">
      <c r="A72" t="s">
        <v>431</v>
      </c>
      <c r="B72">
        <v>0.08</v>
      </c>
      <c r="C72">
        <v>300000</v>
      </c>
      <c r="D72">
        <v>300000</v>
      </c>
      <c r="E72">
        <v>300000</v>
      </c>
      <c r="F72" t="s">
        <v>389</v>
      </c>
      <c r="G72" t="s">
        <v>178</v>
      </c>
      <c r="H72" t="s">
        <v>12</v>
      </c>
      <c r="I72">
        <v>152000</v>
      </c>
      <c r="K72" t="str">
        <f t="shared" si="20"/>
        <v/>
      </c>
      <c r="L72" t="str">
        <f t="shared" si="21"/>
        <v>كفوف صناعية</v>
      </c>
      <c r="M72" s="36">
        <f t="shared" si="22"/>
        <v>7.2463768115942027E-5</v>
      </c>
      <c r="N72" s="37">
        <f t="shared" si="23"/>
        <v>11.014492753623188</v>
      </c>
      <c r="O72" s="37">
        <f t="shared" si="24"/>
        <v>21.739130434782609</v>
      </c>
      <c r="P72" s="38">
        <f t="shared" si="25"/>
        <v>0.08</v>
      </c>
      <c r="Q72" s="39">
        <f t="shared" si="26"/>
        <v>0.88115942028985506</v>
      </c>
      <c r="R72" s="39">
        <f t="shared" si="27"/>
        <v>1.7391304347826089</v>
      </c>
      <c r="S72">
        <f t="shared" si="28"/>
        <v>1</v>
      </c>
      <c r="T72" s="39">
        <f t="shared" si="29"/>
        <v>0.85797101449275381</v>
      </c>
      <c r="U72" t="str">
        <f t="shared" si="30"/>
        <v/>
      </c>
      <c r="V72">
        <f>IF(L72="","",IF($AO$1=1,IFERROR(MATCH(L72,'08-آب'!$L$2:$L$501,0),0),0))</f>
        <v>71</v>
      </c>
      <c r="W72" t="str">
        <f t="shared" si="31"/>
        <v/>
      </c>
      <c r="X72" s="38">
        <f>IF(L72="","",IF(V72&gt;0,INDEX('08-آب'!$P$2:$P$501,V72),IF($AO$1=1,0,"")))</f>
        <v>0.17</v>
      </c>
      <c r="Y72" s="38">
        <f t="shared" si="32"/>
        <v>-9.0000000000000011E-2</v>
      </c>
      <c r="Z72" s="39">
        <f>IF(L72="","",IF(V72&gt;0,INDEX('08-آب'!$Q$2:$Q$501,V72),IF($AO$1=1,0,"")))</f>
        <v>1.9575757575757577</v>
      </c>
      <c r="AA72" s="39">
        <f t="shared" si="33"/>
        <v>-1.0764163372859028</v>
      </c>
      <c r="AB72" s="40">
        <f>IF(OR(L72="",V72=0),"",IF(AND(N(I72)&gt;0,N(INDEX('08-آب'!$I$2:$I$501,V72))&gt;0,INDEX('08-آب'!$F$2:$F$501,V72)=F72),N(I72)/N(INDEX('08-آب'!$I$2:$I$501,V72))-1,""))</f>
        <v>0</v>
      </c>
      <c r="AC72" t="str">
        <f>IF(L72="","",IF(AND($AO$2=1,ISNA(MATCH(L72,'10-تشرين الأول'!$L$2:$L$501,0))),"محذوف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1.0764164092859028</v>
      </c>
      <c r="AH72" s="39">
        <f t="shared" si="35"/>
        <v>0.8579710144927537</v>
      </c>
      <c r="AI72" s="39">
        <f t="shared" si="36"/>
        <v>0.8579710144927537</v>
      </c>
      <c r="AJ72" s="39">
        <f t="shared" si="37"/>
        <v>0.8579710144927537</v>
      </c>
      <c r="AK72">
        <f t="shared" si="38"/>
        <v>0.88115949228985502</v>
      </c>
      <c r="AL72">
        <f t="shared" si="39"/>
        <v>0.85797108649275378</v>
      </c>
    </row>
    <row r="73" spans="1:38" ht="15">
      <c r="A73" t="s">
        <v>432</v>
      </c>
      <c r="B73">
        <v>0</v>
      </c>
      <c r="C73">
        <v>25000</v>
      </c>
      <c r="D73">
        <v>25000</v>
      </c>
      <c r="E73">
        <v>25000</v>
      </c>
      <c r="F73" t="s">
        <v>389</v>
      </c>
      <c r="G73" t="s">
        <v>178</v>
      </c>
      <c r="H73" t="s">
        <v>12</v>
      </c>
      <c r="I73">
        <v>0</v>
      </c>
      <c r="K73" t="str">
        <f t="shared" si="20"/>
        <v/>
      </c>
      <c r="L73" t="str">
        <f t="shared" si="21"/>
        <v>كفوف جلي</v>
      </c>
      <c r="M73" s="36">
        <f t="shared" si="22"/>
        <v>7.2463768115942027E-5</v>
      </c>
      <c r="N73" s="37">
        <f t="shared" si="23"/>
        <v>0</v>
      </c>
      <c r="O73" s="37">
        <f t="shared" si="24"/>
        <v>1.8115942028985508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IF(L73="","",IF($AO$1=1,IFERROR(MATCH(L73,'08-آب'!$L$2:$L$501,0),0),0))</f>
        <v>72</v>
      </c>
      <c r="W73" t="str">
        <f t="shared" si="31"/>
        <v/>
      </c>
      <c r="X73" s="38">
        <f>IF(L73="","",IF(V73&gt;0,INDEX('08-آب'!$P$2:$P$501,V73),IF($AO$1=1,0,"")))</f>
        <v>0</v>
      </c>
      <c r="Y73" s="38">
        <f t="shared" si="32"/>
        <v>0</v>
      </c>
      <c r="Z73" s="39">
        <f>IF(L73="","",IF(V73&gt;0,INDEX('08-آب'!$Q$2:$Q$501,V73),IF($AO$1=1,0,"")))</f>
        <v>0</v>
      </c>
      <c r="AA73" s="39">
        <f t="shared" si="33"/>
        <v>0</v>
      </c>
      <c r="AB73" s="40" t="str">
        <f>IF(OR(L73="",V73=0),"",IF(AND(N(I73)&gt;0,N(INDEX('08-آب'!$I$2:$I$501,V73))&gt;0,INDEX('08-آب'!$F$2:$F$501,V73)=F73),N(I73)/N(INDEX('08-آب'!$I$2:$I$501,V73))-1,""))</f>
        <v/>
      </c>
      <c r="AC73" t="str">
        <f>IF(L73="","",IF(AND($AO$2=1,ISNA(MATCH(L73,'10-تشرين الأول'!$L$2:$L$501,0))),"محذوف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433</v>
      </c>
      <c r="B74">
        <v>12</v>
      </c>
      <c r="C74">
        <v>0</v>
      </c>
      <c r="D74">
        <v>0</v>
      </c>
      <c r="E74">
        <v>0</v>
      </c>
      <c r="F74" t="s">
        <v>389</v>
      </c>
      <c r="G74" t="s">
        <v>178</v>
      </c>
      <c r="H74" t="s">
        <v>176</v>
      </c>
      <c r="I74">
        <v>10000</v>
      </c>
      <c r="K74" t="str">
        <f t="shared" si="20"/>
        <v/>
      </c>
      <c r="L74" t="str">
        <f t="shared" si="21"/>
        <v>كريك بلاستيك</v>
      </c>
      <c r="M74" s="36">
        <f t="shared" si="22"/>
        <v>7.2463768115942027E-5</v>
      </c>
      <c r="N74" s="37">
        <f t="shared" si="23"/>
        <v>0.72463768115942029</v>
      </c>
      <c r="O74" s="37">
        <f t="shared" si="24"/>
        <v>0</v>
      </c>
      <c r="P74" s="38">
        <f t="shared" si="25"/>
        <v>12</v>
      </c>
      <c r="Q74" s="39">
        <f t="shared" si="26"/>
        <v>8.695652173913043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IF(L74="","",IF($AO$1=1,IFERROR(MATCH(L74,'08-آب'!$L$2:$L$501,0),0),0))</f>
        <v>73</v>
      </c>
      <c r="W74" t="str">
        <f t="shared" si="31"/>
        <v/>
      </c>
      <c r="X74" s="38">
        <f>IF(L74="","",IF(V74&gt;0,INDEX('08-آب'!$P$2:$P$501,V74),IF($AO$1=1,0,"")))</f>
        <v>24</v>
      </c>
      <c r="Y74" s="38">
        <f t="shared" si="32"/>
        <v>-12</v>
      </c>
      <c r="Z74" s="39">
        <f>IF(L74="","",IF(V74&gt;0,INDEX('08-آب'!$Q$2:$Q$501,V74),IF($AO$1=1,0,"")))</f>
        <v>18.18181818181818</v>
      </c>
      <c r="AA74" s="39">
        <f t="shared" si="33"/>
        <v>-9.4861660079051369</v>
      </c>
      <c r="AB74" s="40">
        <f>IF(OR(L74="",V74=0),"",IF(AND(N(I74)&gt;0,N(INDEX('08-آب'!$I$2:$I$501,V74))&gt;0,INDEX('08-آب'!$F$2:$F$501,V74)=F74),N(I74)/N(INDEX('08-آب'!$I$2:$I$501,V74))-1,""))</f>
        <v>0</v>
      </c>
      <c r="AC74" t="str">
        <f>IF(L74="","",IF(AND($AO$2=1,ISNA(MATCH(L74,'10-تشرين الأول'!$L$2:$L$501,0))),"محذوف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9.4861660819051377</v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8.6956522479130438</v>
      </c>
      <c r="AL74">
        <f t="shared" si="39"/>
        <v>7.4000000000000001E-8</v>
      </c>
    </row>
    <row r="75" spans="1:38" ht="15">
      <c r="A75" t="s">
        <v>512</v>
      </c>
      <c r="B75">
        <v>38.33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3.2</v>
      </c>
      <c r="K75" t="str">
        <f t="shared" si="20"/>
        <v/>
      </c>
      <c r="L75" t="str">
        <f t="shared" si="21"/>
        <v>كرتونة تغليف كلور</v>
      </c>
      <c r="M75" s="36">
        <f t="shared" si="22"/>
        <v>1</v>
      </c>
      <c r="N75" s="37">
        <f t="shared" si="23"/>
        <v>3.2</v>
      </c>
      <c r="O75" s="37">
        <f t="shared" si="24"/>
        <v>0</v>
      </c>
      <c r="P75" s="38">
        <f t="shared" si="25"/>
        <v>38.33</v>
      </c>
      <c r="Q75" s="39">
        <f t="shared" si="26"/>
        <v>122.65600000000001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IF(L75="","",IF($AO$1=1,IFERROR(MATCH(L75,'08-آب'!$L$2:$L$501,0),0),0))</f>
        <v>74</v>
      </c>
      <c r="W75" t="str">
        <f t="shared" si="31"/>
        <v/>
      </c>
      <c r="X75" s="38">
        <f>IF(L75="","",IF(V75&gt;0,INDEX('08-آب'!$P$2:$P$501,V75),IF($AO$1=1,0,"")))</f>
        <v>38.33</v>
      </c>
      <c r="Y75" s="38">
        <f t="shared" si="32"/>
        <v>0</v>
      </c>
      <c r="Z75" s="39">
        <f>IF(L75="","",IF(V75&gt;0,INDEX('08-آب'!$Q$2:$Q$501,V75),IF($AO$1=1,0,"")))</f>
        <v>122.65600000000001</v>
      </c>
      <c r="AA75" s="39">
        <f t="shared" si="33"/>
        <v>0</v>
      </c>
      <c r="AB75" s="40">
        <f>IF(OR(L75="",V75=0),"",IF(AND(N(I75)&gt;0,N(INDEX('08-آب'!$I$2:$I$501,V75))&gt;0,INDEX('08-آب'!$F$2:$F$501,V75)=F75),N(I75)/N(INDEX('08-آب'!$I$2:$I$501,V75))-1,""))</f>
        <v>0</v>
      </c>
      <c r="AC75" t="str">
        <f>IF(L75="","",IF(AND($AO$2=1,ISNA(MATCH(L75,'10-تشرين الأول'!$L$2:$L$501,0))),"محذوف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7.4999999999999997E-8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122.65600007500001</v>
      </c>
      <c r="AL75">
        <f t="shared" si="39"/>
        <v>7.4999999999999997E-8</v>
      </c>
    </row>
    <row r="76" spans="1:38" ht="15">
      <c r="A76" t="s">
        <v>513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176</v>
      </c>
      <c r="I76">
        <v>3.6</v>
      </c>
      <c r="K76" t="str">
        <f t="shared" si="20"/>
        <v/>
      </c>
      <c r="L76" t="str">
        <f t="shared" si="21"/>
        <v>كرتونة تغليف ريفا</v>
      </c>
      <c r="M76" s="36">
        <f t="shared" si="22"/>
        <v>1</v>
      </c>
      <c r="N76" s="37">
        <f t="shared" si="23"/>
        <v>3.6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IF(L76="","",IF($AO$1=1,IFERROR(MATCH(L76,'08-آب'!$L$2:$L$501,0),0),0))</f>
        <v>75</v>
      </c>
      <c r="W76" t="str">
        <f t="shared" si="31"/>
        <v/>
      </c>
      <c r="X76" s="38">
        <f>IF(L76="","",IF(V76&gt;0,INDEX('08-آب'!$P$2:$P$501,V76),IF($AO$1=1,0,"")))</f>
        <v>0</v>
      </c>
      <c r="Y76" s="38">
        <f t="shared" si="32"/>
        <v>0</v>
      </c>
      <c r="Z76" s="39">
        <f>IF(L76="","",IF(V76&gt;0,INDEX('08-آب'!$Q$2:$Q$501,V76),IF($AO$1=1,0,"")))</f>
        <v>0</v>
      </c>
      <c r="AA76" s="39">
        <f t="shared" si="33"/>
        <v>0</v>
      </c>
      <c r="AB76" s="40">
        <f>IF(OR(L76="",V76=0),"",IF(AND(N(I76)&gt;0,N(INDEX('08-آب'!$I$2:$I$501,V76))&gt;0,INDEX('08-آب'!$F$2:$F$501,V76)=F76),N(I76)/N(INDEX('08-آب'!$I$2:$I$501,V76))-1,""))</f>
        <v>0</v>
      </c>
      <c r="AC76" t="str">
        <f>IF(L76="","",IF(AND($AO$2=1,ISNA(MATCH(L76,'10-تشرين الأول'!$L$2:$L$501,0))),"محذوف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7.6000000000000006E-8</v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292</v>
      </c>
      <c r="B77">
        <v>28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176</v>
      </c>
      <c r="I77">
        <v>1.8</v>
      </c>
      <c r="K77" t="str">
        <f t="shared" si="20"/>
        <v/>
      </c>
      <c r="L77" t="str">
        <f t="shared" si="21"/>
        <v>كحول (ايثانول)</v>
      </c>
      <c r="M77" s="36">
        <f t="shared" si="22"/>
        <v>1</v>
      </c>
      <c r="N77" s="37">
        <f t="shared" si="23"/>
        <v>1.8</v>
      </c>
      <c r="O77" s="37">
        <f t="shared" si="24"/>
        <v>0</v>
      </c>
      <c r="P77" s="38">
        <f t="shared" si="25"/>
        <v>28</v>
      </c>
      <c r="Q77" s="39">
        <f t="shared" si="26"/>
        <v>50.4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IF(L77="","",IF($AO$1=1,IFERROR(MATCH(L77,'08-آب'!$L$2:$L$501,0),0),0))</f>
        <v>76</v>
      </c>
      <c r="W77" t="str">
        <f t="shared" si="31"/>
        <v/>
      </c>
      <c r="X77" s="38">
        <f>IF(L77="","",IF(V77&gt;0,INDEX('08-آب'!$P$2:$P$501,V77),IF($AO$1=1,0,"")))</f>
        <v>24</v>
      </c>
      <c r="Y77" s="38">
        <f t="shared" si="32"/>
        <v>4</v>
      </c>
      <c r="Z77" s="39">
        <f>IF(L77="","",IF(V77&gt;0,INDEX('08-آب'!$Q$2:$Q$501,V77),IF($AO$1=1,0,"")))</f>
        <v>43.2</v>
      </c>
      <c r="AA77" s="39">
        <f t="shared" si="33"/>
        <v>7.1999999999999957</v>
      </c>
      <c r="AB77" s="40">
        <f>IF(OR(L77="",V77=0),"",IF(AND(N(I77)&gt;0,N(INDEX('08-آب'!$I$2:$I$501,V77))&gt;0,INDEX('08-آب'!$F$2:$F$501,V77)=F77),N(I77)/N(INDEX('08-آب'!$I$2:$I$501,V77))-1,""))</f>
        <v>0</v>
      </c>
      <c r="AC77" t="str">
        <f>IF(L77="","",IF(AND($AO$2=1,ISNA(MATCH(L77,'10-تشرين الأول'!$L$2:$L$501,0))),"محذوف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7.2000000769999959</v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50.400000077000001</v>
      </c>
      <c r="AL77">
        <f t="shared" si="39"/>
        <v>7.7000000000000001E-8</v>
      </c>
    </row>
    <row r="78" spans="1:38" ht="15">
      <c r="A78" t="s">
        <v>434</v>
      </c>
      <c r="B78">
        <v>11</v>
      </c>
      <c r="C78">
        <v>10000</v>
      </c>
      <c r="D78">
        <v>10000</v>
      </c>
      <c r="E78">
        <v>10000</v>
      </c>
      <c r="F78" t="s">
        <v>389</v>
      </c>
      <c r="G78" t="s">
        <v>178</v>
      </c>
      <c r="H78" t="s">
        <v>12</v>
      </c>
      <c r="I78">
        <v>8000</v>
      </c>
      <c r="K78" t="str">
        <f t="shared" si="20"/>
        <v/>
      </c>
      <c r="L78" t="str">
        <f t="shared" si="21"/>
        <v>كاسات شاي صغيرة 17 *6</v>
      </c>
      <c r="M78" s="36">
        <f t="shared" si="22"/>
        <v>7.2463768115942027E-5</v>
      </c>
      <c r="N78" s="37">
        <f t="shared" si="23"/>
        <v>0.57971014492753625</v>
      </c>
      <c r="O78" s="37">
        <f t="shared" si="24"/>
        <v>0.72463768115942029</v>
      </c>
      <c r="P78" s="38">
        <f t="shared" si="25"/>
        <v>11</v>
      </c>
      <c r="Q78" s="39">
        <f t="shared" si="26"/>
        <v>6.3768115942028984</v>
      </c>
      <c r="R78" s="39">
        <f t="shared" si="27"/>
        <v>7.9710144927536231</v>
      </c>
      <c r="S78">
        <f t="shared" si="28"/>
        <v>1</v>
      </c>
      <c r="T78" s="39">
        <f t="shared" si="29"/>
        <v>1.5942028985507246</v>
      </c>
      <c r="U78" t="str">
        <f t="shared" si="30"/>
        <v/>
      </c>
      <c r="V78">
        <f>IF(L78="","",IF($AO$1=1,IFERROR(MATCH(L78,'08-آب'!$L$2:$L$501,0),0),0))</f>
        <v>77</v>
      </c>
      <c r="W78" t="str">
        <f t="shared" si="31"/>
        <v/>
      </c>
      <c r="X78" s="38">
        <f>IF(L78="","",IF(V78&gt;0,INDEX('08-آب'!$P$2:$P$501,V78),IF($AO$1=1,0,"")))</f>
        <v>13</v>
      </c>
      <c r="Y78" s="38">
        <f t="shared" si="32"/>
        <v>-2</v>
      </c>
      <c r="Z78" s="39">
        <f>IF(L78="","",IF(V78&gt;0,INDEX('08-آب'!$Q$2:$Q$501,V78),IF($AO$1=1,0,"")))</f>
        <v>7.8787878787878789</v>
      </c>
      <c r="AA78" s="39">
        <f t="shared" si="33"/>
        <v>-1.5019762845849804</v>
      </c>
      <c r="AB78" s="40">
        <f>IF(OR(L78="",V78=0),"",IF(AND(N(I78)&gt;0,N(INDEX('08-آب'!$I$2:$I$501,V78))&gt;0,INDEX('08-آب'!$F$2:$F$501,V78)=F78),N(I78)/N(INDEX('08-آب'!$I$2:$I$501,V78))-1,""))</f>
        <v>0</v>
      </c>
      <c r="AC78" t="str">
        <f>IF(L78="","",IF(AND($AO$2=1,ISNA(MATCH(L78,'10-تشرين الأول'!$L$2:$L$501,0))),"محذوف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1.5019763625849805</v>
      </c>
      <c r="AH78" s="39">
        <f t="shared" si="35"/>
        <v>1.5942028985507244</v>
      </c>
      <c r="AI78" s="39">
        <f t="shared" si="36"/>
        <v>1.5942028985507244</v>
      </c>
      <c r="AJ78" s="39">
        <f t="shared" si="37"/>
        <v>1.5942028985507244</v>
      </c>
      <c r="AK78">
        <f t="shared" si="38"/>
        <v>6.3768116722028987</v>
      </c>
      <c r="AL78">
        <f t="shared" si="39"/>
        <v>1.5942029765507246</v>
      </c>
    </row>
    <row r="79" spans="1:38" ht="15">
      <c r="A79" t="s">
        <v>293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25.4</v>
      </c>
      <c r="K79" t="str">
        <f t="shared" si="20"/>
        <v/>
      </c>
      <c r="L79" t="str">
        <f t="shared" si="21"/>
        <v>قاشط سيارات خام</v>
      </c>
      <c r="M79" s="36">
        <f t="shared" si="22"/>
        <v>1</v>
      </c>
      <c r="N79" s="37">
        <f t="shared" si="23"/>
        <v>25.4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IF(L79="","",IF($AO$1=1,IFERROR(MATCH(L79,'08-آب'!$L$2:$L$501,0),0),0))</f>
        <v>78</v>
      </c>
      <c r="W79" t="str">
        <f t="shared" si="31"/>
        <v/>
      </c>
      <c r="X79" s="38">
        <f>IF(L79="","",IF(V79&gt;0,INDEX('08-آب'!$P$2:$P$501,V79),IF($AO$1=1,0,"")))</f>
        <v>0</v>
      </c>
      <c r="Y79" s="38">
        <f t="shared" si="32"/>
        <v>0</v>
      </c>
      <c r="Z79" s="39">
        <f>IF(L79="","",IF(V79&gt;0,INDEX('08-آب'!$Q$2:$Q$501,V79),IF($AO$1=1,0,"")))</f>
        <v>0</v>
      </c>
      <c r="AA79" s="39">
        <f t="shared" si="33"/>
        <v>0</v>
      </c>
      <c r="AB79" s="40">
        <f>IF(OR(L79="",V79=0),"",IF(AND(N(I79)&gt;0,N(INDEX('08-آب'!$I$2:$I$501,V79))&gt;0,INDEX('08-آب'!$F$2:$F$501,V79)=F79),N(I79)/N(INDEX('08-آب'!$I$2:$I$501,V79))-1,""))</f>
        <v>0</v>
      </c>
      <c r="AC79" t="str">
        <f>IF(L79="","",IF(AND($AO$2=1,ISNA(MATCH(L79,'10-تشرين الأول'!$L$2:$L$501,0))),"محذوف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7.9000000000000006E-8</v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435</v>
      </c>
      <c r="B80">
        <v>11.5</v>
      </c>
      <c r="C80">
        <v>7000</v>
      </c>
      <c r="D80">
        <v>7000</v>
      </c>
      <c r="E80">
        <v>7000</v>
      </c>
      <c r="F80" t="s">
        <v>389</v>
      </c>
      <c r="G80" t="s">
        <v>178</v>
      </c>
      <c r="H80" t="s">
        <v>12</v>
      </c>
      <c r="I80">
        <v>6500</v>
      </c>
      <c r="K80" t="str">
        <f t="shared" si="20"/>
        <v/>
      </c>
      <c r="L80" t="str">
        <f t="shared" si="21"/>
        <v>قاشط سيارات / فرط</v>
      </c>
      <c r="M80" s="36">
        <f t="shared" si="22"/>
        <v>7.2463768115942027E-5</v>
      </c>
      <c r="N80" s="37">
        <f t="shared" si="23"/>
        <v>0.47101449275362317</v>
      </c>
      <c r="O80" s="37">
        <f t="shared" si="24"/>
        <v>0.50724637681159424</v>
      </c>
      <c r="P80" s="38">
        <f t="shared" si="25"/>
        <v>11.5</v>
      </c>
      <c r="Q80" s="39">
        <f t="shared" si="26"/>
        <v>5.4166666666666661</v>
      </c>
      <c r="R80" s="39">
        <f t="shared" si="27"/>
        <v>5.8333333333333339</v>
      </c>
      <c r="S80">
        <f t="shared" si="28"/>
        <v>1</v>
      </c>
      <c r="T80" s="39">
        <f t="shared" si="29"/>
        <v>0.41666666666666785</v>
      </c>
      <c r="U80" t="str">
        <f t="shared" si="30"/>
        <v/>
      </c>
      <c r="V80">
        <f>IF(L80="","",IF($AO$1=1,IFERROR(MATCH(L80,'08-آب'!$L$2:$L$501,0),0),0))</f>
        <v>79</v>
      </c>
      <c r="W80" t="str">
        <f t="shared" si="31"/>
        <v/>
      </c>
      <c r="X80" s="38">
        <f>IF(L80="","",IF(V80&gt;0,INDEX('08-آب'!$P$2:$P$501,V80),IF($AO$1=1,0,"")))</f>
        <v>0</v>
      </c>
      <c r="Y80" s="38">
        <f t="shared" si="32"/>
        <v>11.5</v>
      </c>
      <c r="Z80" s="39">
        <f>IF(L80="","",IF(V80&gt;0,INDEX('08-آب'!$Q$2:$Q$501,V80),IF($AO$1=1,0,"")))</f>
        <v>0</v>
      </c>
      <c r="AA80" s="39">
        <f t="shared" si="33"/>
        <v>5.4166666666666661</v>
      </c>
      <c r="AB80" s="40" t="str">
        <f>IF(OR(L80="",V80=0),"",IF(AND(N(I80)&gt;0,N(INDEX('08-آب'!$I$2:$I$501,V80))&gt;0,INDEX('08-آب'!$F$2:$F$501,V80)=F80),N(I80)/N(INDEX('08-آب'!$I$2:$I$501,V80))-1,""))</f>
        <v/>
      </c>
      <c r="AC80" t="str">
        <f>IF(L80="","",IF(AND($AO$2=1,ISNA(MATCH(L80,'10-تشرين الأول'!$L$2:$L$501,0))),"محذوف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5.4166667466666665</v>
      </c>
      <c r="AH80" s="39">
        <f t="shared" si="35"/>
        <v>0.41666666666666724</v>
      </c>
      <c r="AI80" s="39">
        <f t="shared" si="36"/>
        <v>0.41666666666666724</v>
      </c>
      <c r="AJ80" s="39">
        <f t="shared" si="37"/>
        <v>0.41666666666666724</v>
      </c>
      <c r="AK80">
        <f t="shared" si="38"/>
        <v>5.4166667466666665</v>
      </c>
      <c r="AL80">
        <f t="shared" si="39"/>
        <v>0.41666674666666786</v>
      </c>
    </row>
    <row r="81" spans="1:38" ht="15">
      <c r="A81" t="s">
        <v>294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414</v>
      </c>
      <c r="K81" t="str">
        <f t="shared" si="20"/>
        <v/>
      </c>
      <c r="L81" t="str">
        <f t="shared" si="21"/>
        <v>قاشط خام</v>
      </c>
      <c r="M81" s="36">
        <f t="shared" si="22"/>
        <v>1</v>
      </c>
      <c r="N81" s="37">
        <f t="shared" si="23"/>
        <v>414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IF(L81="","",IF($AO$1=1,IFERROR(MATCH(L81,'08-آب'!$L$2:$L$501,0),0),0))</f>
        <v>80</v>
      </c>
      <c r="W81" t="str">
        <f t="shared" si="31"/>
        <v/>
      </c>
      <c r="X81" s="38">
        <f>IF(L81="","",IF(V81&gt;0,INDEX('08-آب'!$P$2:$P$501,V81),IF($AO$1=1,0,"")))</f>
        <v>0</v>
      </c>
      <c r="Y81" s="38">
        <f t="shared" si="32"/>
        <v>0</v>
      </c>
      <c r="Z81" s="39">
        <f>IF(L81="","",IF(V81&gt;0,INDEX('08-آب'!$Q$2:$Q$501,V81),IF($AO$1=1,0,"")))</f>
        <v>0</v>
      </c>
      <c r="AA81" s="39">
        <f t="shared" si="33"/>
        <v>0</v>
      </c>
      <c r="AB81" s="40">
        <f>IF(OR(L81="",V81=0),"",IF(AND(N(I81)&gt;0,N(INDEX('08-آب'!$I$2:$I$501,V81))&gt;0,INDEX('08-آب'!$F$2:$F$501,V81)=F81),N(I81)/N(INDEX('08-آب'!$I$2:$I$501,V81))-1,""))</f>
        <v>0</v>
      </c>
      <c r="AC81" t="str">
        <f>IF(L81="","",IF(AND($AO$2=1,ISNA(MATCH(L81,'10-تشرين الأول'!$L$2:$L$501,0))),"محذوف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436</v>
      </c>
      <c r="B82">
        <v>749.3</v>
      </c>
      <c r="C82">
        <v>13000</v>
      </c>
      <c r="D82">
        <v>13000</v>
      </c>
      <c r="E82">
        <v>13000</v>
      </c>
      <c r="F82" t="s">
        <v>389</v>
      </c>
      <c r="G82" t="s">
        <v>178</v>
      </c>
      <c r="H82" t="s">
        <v>12</v>
      </c>
      <c r="I82">
        <v>7200</v>
      </c>
      <c r="K82" t="str">
        <f t="shared" si="20"/>
        <v/>
      </c>
      <c r="L82" t="str">
        <f t="shared" si="21"/>
        <v>قاشط المينيوم - ساندي / فرط</v>
      </c>
      <c r="M82" s="36">
        <f t="shared" si="22"/>
        <v>7.2463768115942027E-5</v>
      </c>
      <c r="N82" s="37">
        <f t="shared" si="23"/>
        <v>0.52173913043478259</v>
      </c>
      <c r="O82" s="37">
        <f t="shared" si="24"/>
        <v>0.94202898550724634</v>
      </c>
      <c r="P82" s="38">
        <f t="shared" si="25"/>
        <v>749.3</v>
      </c>
      <c r="Q82" s="39">
        <f t="shared" si="26"/>
        <v>390.93913043478256</v>
      </c>
      <c r="R82" s="39">
        <f t="shared" si="27"/>
        <v>705.86231884057963</v>
      </c>
      <c r="S82">
        <f t="shared" si="28"/>
        <v>1</v>
      </c>
      <c r="T82" s="39">
        <f t="shared" si="29"/>
        <v>314.92318840579708</v>
      </c>
      <c r="U82" t="str">
        <f t="shared" si="30"/>
        <v/>
      </c>
      <c r="V82">
        <f>IF(L82="","",IF($AO$1=1,IFERROR(MATCH(L82,'08-آب'!$L$2:$L$501,0),0),0))</f>
        <v>81</v>
      </c>
      <c r="W82" t="str">
        <f t="shared" si="31"/>
        <v/>
      </c>
      <c r="X82" s="38">
        <f>IF(L82="","",IF(V82&gt;0,INDEX('08-آب'!$P$2:$P$501,V82),IF($AO$1=1,0,"")))</f>
        <v>750.08</v>
      </c>
      <c r="Y82" s="38">
        <f t="shared" si="32"/>
        <v>-0.7800000000000864</v>
      </c>
      <c r="Z82" s="39">
        <f>IF(L82="","",IF(V82&gt;0,INDEX('08-آب'!$Q$2:$Q$501,V82),IF($AO$1=1,0,"")))</f>
        <v>409.13454545454545</v>
      </c>
      <c r="AA82" s="39">
        <f t="shared" si="33"/>
        <v>-18.195415019762891</v>
      </c>
      <c r="AB82" s="40">
        <f>IF(OR(L82="",V82=0),"",IF(AND(N(I82)&gt;0,N(INDEX('08-آب'!$I$2:$I$501,V82))&gt;0,INDEX('08-آب'!$F$2:$F$501,V82)=F82),N(I82)/N(INDEX('08-آب'!$I$2:$I$501,V82))-1,""))</f>
        <v>0</v>
      </c>
      <c r="AC82" t="str">
        <f>IF(L82="","",IF(AND($AO$2=1,ISNA(MATCH(L82,'10-تشرين الأول'!$L$2:$L$501,0))),"محذوف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18.19541510176289</v>
      </c>
      <c r="AH82" s="39">
        <f t="shared" si="35"/>
        <v>314.92318840579708</v>
      </c>
      <c r="AI82" s="39">
        <f t="shared" si="36"/>
        <v>314.92318840579708</v>
      </c>
      <c r="AJ82" s="39">
        <f t="shared" si="37"/>
        <v>314.92318840579708</v>
      </c>
      <c r="AK82">
        <f t="shared" si="38"/>
        <v>390.93913051678254</v>
      </c>
      <c r="AL82">
        <f t="shared" si="39"/>
        <v>314.92318848779706</v>
      </c>
    </row>
    <row r="83" spans="1:38" ht="15">
      <c r="A83" t="s">
        <v>437</v>
      </c>
      <c r="B83">
        <v>155</v>
      </c>
      <c r="C83">
        <v>40000</v>
      </c>
      <c r="D83">
        <v>40000</v>
      </c>
      <c r="E83">
        <v>40000</v>
      </c>
      <c r="F83" t="s">
        <v>389</v>
      </c>
      <c r="G83" t="s">
        <v>178</v>
      </c>
      <c r="H83" t="s">
        <v>12</v>
      </c>
      <c r="I83">
        <v>25000</v>
      </c>
      <c r="K83" t="str">
        <f t="shared" si="20"/>
        <v/>
      </c>
      <c r="L83" t="str">
        <f t="shared" si="21"/>
        <v>قاشط المينيوم 3 لتر</v>
      </c>
      <c r="M83" s="36">
        <f t="shared" si="22"/>
        <v>7.2463768115942027E-5</v>
      </c>
      <c r="N83" s="37">
        <f t="shared" si="23"/>
        <v>1.8115942028985508</v>
      </c>
      <c r="O83" s="37">
        <f t="shared" si="24"/>
        <v>2.8985507246376812</v>
      </c>
      <c r="P83" s="38">
        <f t="shared" si="25"/>
        <v>155</v>
      </c>
      <c r="Q83" s="39">
        <f t="shared" si="26"/>
        <v>280.79710144927537</v>
      </c>
      <c r="R83" s="39">
        <f t="shared" si="27"/>
        <v>449.27536231884056</v>
      </c>
      <c r="S83">
        <f t="shared" si="28"/>
        <v>1</v>
      </c>
      <c r="T83" s="39">
        <f t="shared" si="29"/>
        <v>168.47826086956519</v>
      </c>
      <c r="U83" t="str">
        <f t="shared" si="30"/>
        <v/>
      </c>
      <c r="V83">
        <f>IF(L83="","",IF($AO$1=1,IFERROR(MATCH(L83,'08-آب'!$L$2:$L$501,0),0),0))</f>
        <v>82</v>
      </c>
      <c r="W83" t="str">
        <f t="shared" si="31"/>
        <v/>
      </c>
      <c r="X83" s="38">
        <f>IF(L83="","",IF(V83&gt;0,INDEX('08-آب'!$P$2:$P$501,V83),IF($AO$1=1,0,"")))</f>
        <v>156</v>
      </c>
      <c r="Y83" s="38">
        <f t="shared" si="32"/>
        <v>-1</v>
      </c>
      <c r="Z83" s="39">
        <f>IF(L83="","",IF(V83&gt;0,INDEX('08-آب'!$Q$2:$Q$501,V83),IF($AO$1=1,0,"")))</f>
        <v>295.4545454545455</v>
      </c>
      <c r="AA83" s="39">
        <f t="shared" si="33"/>
        <v>-14.657444005270122</v>
      </c>
      <c r="AB83" s="40">
        <f>IF(OR(L83="",V83=0),"",IF(AND(N(I83)&gt;0,N(INDEX('08-آب'!$I$2:$I$501,V83))&gt;0,INDEX('08-آب'!$F$2:$F$501,V83)=F83),N(I83)/N(INDEX('08-آب'!$I$2:$I$501,V83))-1,""))</f>
        <v>0</v>
      </c>
      <c r="AC83" t="str">
        <f>IF(L83="","",IF(AND($AO$2=1,ISNA(MATCH(L83,'10-تشرين الأول'!$L$2:$L$501,0))),"محذوف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14.657444088270122</v>
      </c>
      <c r="AH83" s="39">
        <f t="shared" si="35"/>
        <v>168.47826086956522</v>
      </c>
      <c r="AI83" s="39">
        <f t="shared" si="36"/>
        <v>168.47826086956522</v>
      </c>
      <c r="AJ83" s="39">
        <f t="shared" si="37"/>
        <v>168.47826086956522</v>
      </c>
      <c r="AK83">
        <f t="shared" si="38"/>
        <v>280.79710153227535</v>
      </c>
      <c r="AL83">
        <f t="shared" si="39"/>
        <v>168.47826095256519</v>
      </c>
    </row>
    <row r="84" spans="1:38" ht="15">
      <c r="A84" t="s">
        <v>531</v>
      </c>
      <c r="B84">
        <v>0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12</v>
      </c>
      <c r="I84">
        <v>0</v>
      </c>
      <c r="K84" t="str">
        <f t="shared" si="20"/>
        <v/>
      </c>
      <c r="L84" t="str">
        <f t="shared" si="21"/>
        <v>فوط</v>
      </c>
      <c r="M84" s="36">
        <f t="shared" si="22"/>
        <v>1</v>
      </c>
      <c r="N84" s="37">
        <f t="shared" si="23"/>
        <v>0</v>
      </c>
      <c r="O84" s="37">
        <f t="shared" si="24"/>
        <v>0</v>
      </c>
      <c r="P84" s="38">
        <f t="shared" si="25"/>
        <v>0</v>
      </c>
      <c r="Q84" s="39">
        <f t="shared" si="26"/>
        <v>0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IF(L84="","",IF($AO$1=1,IFERROR(MATCH(L84,'08-آب'!$L$2:$L$501,0),0),0))</f>
        <v>0</v>
      </c>
      <c r="W84" t="str">
        <f t="shared" si="31"/>
        <v>جديد</v>
      </c>
      <c r="X84" s="38">
        <f>IF(L84="","",IF(V84&gt;0,INDEX('08-آب'!$P$2:$P$501,V84),IF($AO$1=1,0,"")))</f>
        <v>0</v>
      </c>
      <c r="Y84" s="38">
        <f t="shared" si="32"/>
        <v>0</v>
      </c>
      <c r="Z84" s="39">
        <f>IF(L84="","",IF(V84&gt;0,INDEX('08-آب'!$Q$2:$Q$501,V84),IF($AO$1=1,0,"")))</f>
        <v>0</v>
      </c>
      <c r="AA84" s="39">
        <f t="shared" si="33"/>
        <v>0</v>
      </c>
      <c r="AB84" s="40" t="str">
        <f>IF(OR(L84="",V84=0),"",IF(AND(N(I84)&gt;0,N(INDEX('08-آب'!$I$2:$I$501,V84))&gt;0,INDEX('08-آب'!$F$2:$F$501,V84)=F84),N(I84)/N(INDEX('08-آب'!$I$2:$I$501,V84))-1,""))</f>
        <v/>
      </c>
      <c r="AC84" t="str">
        <f>IF(L84="","",IF(AND($AO$2=1,ISNA(MATCH(L84,'10-تشرين الأول'!$L$2:$L$501,0))),"محذوف لاحقاً",""))</f>
        <v/>
      </c>
      <c r="AD84">
        <f>IF(W84="جديد",COUNTIF(W$2:W84,"جديد"),"")</f>
        <v>2</v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8.3999999999999998E-8</v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8.3999999999999998E-8</v>
      </c>
      <c r="AL84">
        <f t="shared" si="39"/>
        <v>8.3999999999999998E-8</v>
      </c>
    </row>
    <row r="85" spans="1:38" ht="15">
      <c r="A85" t="s">
        <v>295</v>
      </c>
      <c r="B85">
        <v>1.32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176</v>
      </c>
      <c r="I85">
        <v>28.8</v>
      </c>
      <c r="K85" t="str">
        <f t="shared" si="20"/>
        <v/>
      </c>
      <c r="L85" t="str">
        <f t="shared" si="21"/>
        <v>فورمول ( سم )</v>
      </c>
      <c r="M85" s="36">
        <f t="shared" si="22"/>
        <v>1</v>
      </c>
      <c r="N85" s="37">
        <f t="shared" si="23"/>
        <v>28.8</v>
      </c>
      <c r="O85" s="37">
        <f t="shared" si="24"/>
        <v>0</v>
      </c>
      <c r="P85" s="38">
        <f t="shared" si="25"/>
        <v>1.32</v>
      </c>
      <c r="Q85" s="39">
        <f t="shared" si="26"/>
        <v>38.016000000000005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IF(L85="","",IF($AO$1=1,IFERROR(MATCH(L85,'08-آب'!$L$2:$L$501,0),0),0))</f>
        <v>83</v>
      </c>
      <c r="W85" t="str">
        <f t="shared" si="31"/>
        <v/>
      </c>
      <c r="X85" s="38">
        <f>IF(L85="","",IF(V85&gt;0,INDEX('08-آب'!$P$2:$P$501,V85),IF($AO$1=1,0,"")))</f>
        <v>1.74</v>
      </c>
      <c r="Y85" s="38">
        <f t="shared" si="32"/>
        <v>-0.41999999999999993</v>
      </c>
      <c r="Z85" s="39">
        <f>IF(L85="","",IF(V85&gt;0,INDEX('08-آب'!$Q$2:$Q$501,V85),IF($AO$1=1,0,"")))</f>
        <v>50.112000000000002</v>
      </c>
      <c r="AA85" s="39">
        <f t="shared" si="33"/>
        <v>-12.095999999999997</v>
      </c>
      <c r="AB85" s="40">
        <f>IF(OR(L85="",V85=0),"",IF(AND(N(I85)&gt;0,N(INDEX('08-آب'!$I$2:$I$501,V85))&gt;0,INDEX('08-آب'!$F$2:$F$501,V85)=F85),N(I85)/N(INDEX('08-آب'!$I$2:$I$501,V85))-1,""))</f>
        <v>0</v>
      </c>
      <c r="AC85" t="str">
        <f>IF(L85="","",IF(AND($AO$2=1,ISNA(MATCH(L85,'10-تشرين الأول'!$L$2:$L$501,0))),"محذوف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12.096000084999996</v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38.016000085000009</v>
      </c>
      <c r="AL85">
        <f t="shared" si="39"/>
        <v>8.4999999999999994E-8</v>
      </c>
    </row>
    <row r="86" spans="1:38" ht="15">
      <c r="A86" t="s">
        <v>438</v>
      </c>
      <c r="B86">
        <v>3</v>
      </c>
      <c r="C86">
        <v>18000</v>
      </c>
      <c r="D86">
        <v>18000</v>
      </c>
      <c r="E86">
        <v>18000</v>
      </c>
      <c r="F86" t="s">
        <v>389</v>
      </c>
      <c r="G86" t="s">
        <v>178</v>
      </c>
      <c r="H86" t="s">
        <v>12</v>
      </c>
      <c r="I86">
        <v>6250</v>
      </c>
      <c r="K86" t="str">
        <f t="shared" si="20"/>
        <v/>
      </c>
      <c r="L86" t="str">
        <f t="shared" si="21"/>
        <v>فلاش 4 لتر</v>
      </c>
      <c r="M86" s="36">
        <f t="shared" si="22"/>
        <v>7.2463768115942027E-5</v>
      </c>
      <c r="N86" s="37">
        <f t="shared" si="23"/>
        <v>0.45289855072463769</v>
      </c>
      <c r="O86" s="37">
        <f t="shared" si="24"/>
        <v>1.3043478260869565</v>
      </c>
      <c r="P86" s="38">
        <f t="shared" si="25"/>
        <v>3</v>
      </c>
      <c r="Q86" s="39">
        <f t="shared" si="26"/>
        <v>1.3586956521739131</v>
      </c>
      <c r="R86" s="39">
        <f t="shared" si="27"/>
        <v>3.9130434782608696</v>
      </c>
      <c r="S86">
        <f t="shared" si="28"/>
        <v>1</v>
      </c>
      <c r="T86" s="39">
        <f t="shared" si="29"/>
        <v>2.5543478260869565</v>
      </c>
      <c r="U86" t="str">
        <f t="shared" si="30"/>
        <v/>
      </c>
      <c r="V86">
        <f>IF(L86="","",IF($AO$1=1,IFERROR(MATCH(L86,'08-آب'!$L$2:$L$501,0),0),0))</f>
        <v>84</v>
      </c>
      <c r="W86" t="str">
        <f t="shared" si="31"/>
        <v/>
      </c>
      <c r="X86" s="38">
        <f>IF(L86="","",IF(V86&gt;0,INDEX('08-آب'!$P$2:$P$501,V86),IF($AO$1=1,0,"")))</f>
        <v>67</v>
      </c>
      <c r="Y86" s="38">
        <f t="shared" si="32"/>
        <v>-64</v>
      </c>
      <c r="Z86" s="39">
        <f>IF(L86="","",IF(V86&gt;0,INDEX('08-آب'!$Q$2:$Q$501,V86),IF($AO$1=1,0,"")))</f>
        <v>31.723484848484851</v>
      </c>
      <c r="AA86" s="39">
        <f t="shared" si="33"/>
        <v>-30.364789196310937</v>
      </c>
      <c r="AB86" s="40">
        <f>IF(OR(L86="",V86=0),"",IF(AND(N(I86)&gt;0,N(INDEX('08-آب'!$I$2:$I$501,V86))&gt;0,INDEX('08-آب'!$F$2:$F$501,V86)=F86),N(I86)/N(INDEX('08-آب'!$I$2:$I$501,V86))-1,""))</f>
        <v>0</v>
      </c>
      <c r="AC86" t="str">
        <f>IF(L86="","",IF(AND($AO$2=1,ISNA(MATCH(L86,'10-تشرين الأول'!$L$2:$L$501,0))),"محذوف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30.364789282310937</v>
      </c>
      <c r="AH86" s="39">
        <f t="shared" si="35"/>
        <v>2.5543478260869565</v>
      </c>
      <c r="AI86" s="39">
        <f t="shared" si="36"/>
        <v>2.5543478260869565</v>
      </c>
      <c r="AJ86" s="39">
        <f t="shared" si="37"/>
        <v>2.5543478260869565</v>
      </c>
      <c r="AK86">
        <f t="shared" si="38"/>
        <v>1.3586957381739131</v>
      </c>
      <c r="AL86">
        <f t="shared" si="39"/>
        <v>2.5543479120869566</v>
      </c>
    </row>
    <row r="87" spans="1:38" ht="15">
      <c r="A87" t="s">
        <v>439</v>
      </c>
      <c r="B87">
        <v>82.6</v>
      </c>
      <c r="C87">
        <v>5000</v>
      </c>
      <c r="D87">
        <v>5000</v>
      </c>
      <c r="E87">
        <v>5000</v>
      </c>
      <c r="F87" t="s">
        <v>389</v>
      </c>
      <c r="G87" t="s">
        <v>178</v>
      </c>
      <c r="H87" t="s">
        <v>12</v>
      </c>
      <c r="I87">
        <v>1080</v>
      </c>
      <c r="K87" t="str">
        <f t="shared" si="20"/>
        <v/>
      </c>
      <c r="L87" t="str">
        <f t="shared" si="21"/>
        <v>فلاش / فرط</v>
      </c>
      <c r="M87" s="36">
        <f t="shared" si="22"/>
        <v>7.2463768115942027E-5</v>
      </c>
      <c r="N87" s="37">
        <f t="shared" si="23"/>
        <v>7.8260869565217384E-2</v>
      </c>
      <c r="O87" s="37">
        <f t="shared" si="24"/>
        <v>0.36231884057971014</v>
      </c>
      <c r="P87" s="38">
        <f t="shared" si="25"/>
        <v>82.6</v>
      </c>
      <c r="Q87" s="39">
        <f t="shared" si="26"/>
        <v>6.4643478260869554</v>
      </c>
      <c r="R87" s="39">
        <f t="shared" si="27"/>
        <v>29.927536231884055</v>
      </c>
      <c r="S87">
        <f t="shared" si="28"/>
        <v>1</v>
      </c>
      <c r="T87" s="39">
        <f t="shared" si="29"/>
        <v>23.463188405797098</v>
      </c>
      <c r="U87" t="str">
        <f t="shared" si="30"/>
        <v/>
      </c>
      <c r="V87">
        <f>IF(L87="","",IF($AO$1=1,IFERROR(MATCH(L87,'08-آب'!$L$2:$L$501,0),0),0))</f>
        <v>85</v>
      </c>
      <c r="W87" t="str">
        <f t="shared" si="31"/>
        <v/>
      </c>
      <c r="X87" s="38">
        <f>IF(L87="","",IF(V87&gt;0,INDEX('08-آب'!$P$2:$P$501,V87),IF($AO$1=1,0,"")))</f>
        <v>90.8</v>
      </c>
      <c r="Y87" s="38">
        <f t="shared" si="32"/>
        <v>-8.2000000000000028</v>
      </c>
      <c r="Z87" s="39">
        <f>IF(L87="","",IF(V87&gt;0,INDEX('08-آب'!$Q$2:$Q$501,V87),IF($AO$1=1,0,"")))</f>
        <v>7.4290909090909087</v>
      </c>
      <c r="AA87" s="39">
        <f t="shared" si="33"/>
        <v>-0.96474308300395339</v>
      </c>
      <c r="AB87" s="40">
        <f>IF(OR(L87="",V87=0),"",IF(AND(N(I87)&gt;0,N(INDEX('08-آب'!$I$2:$I$501,V87))&gt;0,INDEX('08-آب'!$F$2:$F$501,V87)=F87),N(I87)/N(INDEX('08-آب'!$I$2:$I$501,V87))-1,""))</f>
        <v>0</v>
      </c>
      <c r="AC87" t="str">
        <f>IF(L87="","",IF(AND($AO$2=1,ISNA(MATCH(L87,'10-تشرين الأول'!$L$2:$L$501,0))),"محذوف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0.96474317000395338</v>
      </c>
      <c r="AH87" s="39">
        <f t="shared" si="35"/>
        <v>23.463188405797101</v>
      </c>
      <c r="AI87" s="39">
        <f t="shared" si="36"/>
        <v>23.463188405797101</v>
      </c>
      <c r="AJ87" s="39">
        <f t="shared" si="37"/>
        <v>23.463188405797101</v>
      </c>
      <c r="AK87">
        <f t="shared" si="38"/>
        <v>6.4643479130869554</v>
      </c>
      <c r="AL87">
        <f t="shared" si="39"/>
        <v>23.463188492797098</v>
      </c>
    </row>
    <row r="88" spans="1:38" ht="15">
      <c r="A88" t="s">
        <v>440</v>
      </c>
      <c r="B88">
        <v>0</v>
      </c>
      <c r="C88">
        <v>0</v>
      </c>
      <c r="D88">
        <v>0</v>
      </c>
      <c r="E88">
        <v>0</v>
      </c>
      <c r="F88" t="s">
        <v>389</v>
      </c>
      <c r="G88" t="s">
        <v>178</v>
      </c>
      <c r="H88" t="s">
        <v>12</v>
      </c>
      <c r="I88">
        <v>0</v>
      </c>
      <c r="K88" t="str">
        <f t="shared" si="20"/>
        <v/>
      </c>
      <c r="L88" t="str">
        <f t="shared" si="21"/>
        <v>فرشاية بسط</v>
      </c>
      <c r="M88" s="36">
        <f t="shared" si="22"/>
        <v>7.2463768115942027E-5</v>
      </c>
      <c r="N88" s="37">
        <f t="shared" si="23"/>
        <v>0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IF(L88="","",IF($AO$1=1,IFERROR(MATCH(L88,'08-آب'!$L$2:$L$501,0),0),0))</f>
        <v>86</v>
      </c>
      <c r="W88" t="str">
        <f t="shared" si="31"/>
        <v/>
      </c>
      <c r="X88" s="38">
        <f>IF(L88="","",IF(V88&gt;0,INDEX('08-آب'!$P$2:$P$501,V88),IF($AO$1=1,0,"")))</f>
        <v>0</v>
      </c>
      <c r="Y88" s="38">
        <f t="shared" si="32"/>
        <v>0</v>
      </c>
      <c r="Z88" s="39">
        <f>IF(L88="","",IF(V88&gt;0,INDEX('08-آب'!$Q$2:$Q$501,V88),IF($AO$1=1,0,"")))</f>
        <v>0</v>
      </c>
      <c r="AA88" s="39">
        <f t="shared" si="33"/>
        <v>0</v>
      </c>
      <c r="AB88" s="40" t="str">
        <f>IF(OR(L88="",V88=0),"",IF(AND(N(I88)&gt;0,N(INDEX('08-آب'!$I$2:$I$501,V88))&gt;0,INDEX('08-آب'!$F$2:$F$501,V88)=F88),N(I88)/N(INDEX('08-آب'!$I$2:$I$501,V88))-1,""))</f>
        <v/>
      </c>
      <c r="AC88" t="str">
        <f>IF(L88="","",IF(AND($AO$2=1,ISNA(MATCH(L88,'10-تشرين الأول'!$L$2:$L$501,0))),"محذوف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441</v>
      </c>
      <c r="B89">
        <v>0</v>
      </c>
      <c r="C89">
        <v>0</v>
      </c>
      <c r="D89">
        <v>0</v>
      </c>
      <c r="E89">
        <v>0</v>
      </c>
      <c r="F89" t="s">
        <v>389</v>
      </c>
      <c r="G89" t="s">
        <v>178</v>
      </c>
      <c r="H89" t="s">
        <v>12</v>
      </c>
      <c r="I89">
        <v>0</v>
      </c>
      <c r="K89" t="str">
        <f t="shared" si="20"/>
        <v/>
      </c>
      <c r="L89" t="str">
        <f t="shared" si="21"/>
        <v>فرشاة حمام</v>
      </c>
      <c r="M89" s="36">
        <f t="shared" si="22"/>
        <v>7.2463768115942027E-5</v>
      </c>
      <c r="N89" s="37">
        <f t="shared" si="23"/>
        <v>0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IF(L89="","",IF($AO$1=1,IFERROR(MATCH(L89,'08-آب'!$L$2:$L$501,0),0),0))</f>
        <v>87</v>
      </c>
      <c r="W89" t="str">
        <f t="shared" si="31"/>
        <v/>
      </c>
      <c r="X89" s="38">
        <f>IF(L89="","",IF(V89&gt;0,INDEX('08-آب'!$P$2:$P$501,V89),IF($AO$1=1,0,"")))</f>
        <v>0</v>
      </c>
      <c r="Y89" s="38">
        <f t="shared" si="32"/>
        <v>0</v>
      </c>
      <c r="Z89" s="39">
        <f>IF(L89="","",IF(V89&gt;0,INDEX('08-آب'!$Q$2:$Q$501,V89),IF($AO$1=1,0,"")))</f>
        <v>0</v>
      </c>
      <c r="AA89" s="39">
        <f t="shared" si="33"/>
        <v>0</v>
      </c>
      <c r="AB89" s="40" t="str">
        <f>IF(OR(L89="",V89=0),"",IF(AND(N(I89)&gt;0,N(INDEX('08-آب'!$I$2:$I$501,V89))&gt;0,INDEX('08-آب'!$F$2:$F$501,V89)=F89),N(I89)/N(INDEX('08-آب'!$I$2:$I$501,V89))-1,""))</f>
        <v/>
      </c>
      <c r="AC89" t="str">
        <f>IF(L89="","",IF(AND($AO$2=1,ISNA(MATCH(L89,'10-تشرين الأول'!$L$2:$L$501,0))),"محذوف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8.9000000000000003E-8</v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442</v>
      </c>
      <c r="B90">
        <v>0.5</v>
      </c>
      <c r="C90">
        <v>32000</v>
      </c>
      <c r="D90">
        <v>32000</v>
      </c>
      <c r="E90">
        <v>32000</v>
      </c>
      <c r="F90" t="s">
        <v>389</v>
      </c>
      <c r="G90" t="s">
        <v>178</v>
      </c>
      <c r="H90" t="s">
        <v>176</v>
      </c>
      <c r="I90">
        <v>21000</v>
      </c>
      <c r="K90" t="str">
        <f t="shared" si="20"/>
        <v/>
      </c>
      <c r="L90" t="str">
        <f t="shared" si="21"/>
        <v>فازلين</v>
      </c>
      <c r="M90" s="36">
        <f t="shared" si="22"/>
        <v>7.2463768115942027E-5</v>
      </c>
      <c r="N90" s="37">
        <f t="shared" si="23"/>
        <v>1.5217391304347825</v>
      </c>
      <c r="O90" s="37">
        <f t="shared" si="24"/>
        <v>2.318840579710145</v>
      </c>
      <c r="P90" s="38">
        <f t="shared" si="25"/>
        <v>0.5</v>
      </c>
      <c r="Q90" s="39">
        <f t="shared" si="26"/>
        <v>0.76086956521739124</v>
      </c>
      <c r="R90" s="39">
        <f t="shared" si="27"/>
        <v>1.1594202898550725</v>
      </c>
      <c r="S90">
        <f t="shared" si="28"/>
        <v>1</v>
      </c>
      <c r="T90" s="39">
        <f t="shared" si="29"/>
        <v>0.39855072463768126</v>
      </c>
      <c r="U90" t="str">
        <f t="shared" si="30"/>
        <v/>
      </c>
      <c r="V90">
        <f>IF(L90="","",IF($AO$1=1,IFERROR(MATCH(L90,'08-آب'!$L$2:$L$501,0),0),0))</f>
        <v>88</v>
      </c>
      <c r="W90" t="str">
        <f t="shared" si="31"/>
        <v/>
      </c>
      <c r="X90" s="38">
        <f>IF(L90="","",IF(V90&gt;0,INDEX('08-آب'!$P$2:$P$501,V90),IF($AO$1=1,0,"")))</f>
        <v>0.5</v>
      </c>
      <c r="Y90" s="38">
        <f t="shared" si="32"/>
        <v>0</v>
      </c>
      <c r="Z90" s="39">
        <f>IF(L90="","",IF(V90&gt;0,INDEX('08-آب'!$Q$2:$Q$501,V90),IF($AO$1=1,0,"")))</f>
        <v>0.79545454545454541</v>
      </c>
      <c r="AA90" s="39">
        <f t="shared" si="33"/>
        <v>-3.4584980237154173E-2</v>
      </c>
      <c r="AB90" s="40">
        <f>IF(OR(L90="",V90=0),"",IF(AND(N(I90)&gt;0,N(INDEX('08-آب'!$I$2:$I$501,V90))&gt;0,INDEX('08-آب'!$F$2:$F$501,V90)=F90),N(I90)/N(INDEX('08-آب'!$I$2:$I$501,V90))-1,""))</f>
        <v>0</v>
      </c>
      <c r="AC90" t="str">
        <f>IF(L90="","",IF(AND($AO$2=1,ISNA(MATCH(L90,'10-تشرين الأول'!$L$2:$L$501,0))),"محذوف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3.4585070237154174E-2</v>
      </c>
      <c r="AH90" s="39">
        <f t="shared" si="35"/>
        <v>0.39855072463768126</v>
      </c>
      <c r="AI90" s="39">
        <f t="shared" si="36"/>
        <v>0.39855072463768126</v>
      </c>
      <c r="AJ90" s="39">
        <f t="shared" si="37"/>
        <v>0.39855072463768126</v>
      </c>
      <c r="AK90">
        <f t="shared" si="38"/>
        <v>0.76086965521739125</v>
      </c>
      <c r="AL90">
        <f t="shared" si="39"/>
        <v>0.39855081463768127</v>
      </c>
    </row>
    <row r="91" spans="1:38" ht="15">
      <c r="A91" t="s">
        <v>443</v>
      </c>
      <c r="B91">
        <v>0</v>
      </c>
      <c r="C91">
        <v>5000</v>
      </c>
      <c r="D91">
        <v>5000</v>
      </c>
      <c r="E91">
        <v>5000</v>
      </c>
      <c r="F91" t="s">
        <v>389</v>
      </c>
      <c r="G91" t="s">
        <v>178</v>
      </c>
      <c r="H91" t="s">
        <v>12</v>
      </c>
      <c r="I91">
        <v>4500</v>
      </c>
      <c r="K91" t="str">
        <f t="shared" si="20"/>
        <v/>
      </c>
      <c r="L91" t="str">
        <f t="shared" si="21"/>
        <v>فاربن مزيل شعر</v>
      </c>
      <c r="M91" s="36">
        <f t="shared" si="22"/>
        <v>7.2463768115942027E-5</v>
      </c>
      <c r="N91" s="37">
        <f t="shared" si="23"/>
        <v>0.32608695652173914</v>
      </c>
      <c r="O91" s="37">
        <f t="shared" si="24"/>
        <v>0.36231884057971014</v>
      </c>
      <c r="P91" s="38">
        <f t="shared" si="25"/>
        <v>0</v>
      </c>
      <c r="Q91" s="39">
        <f t="shared" si="26"/>
        <v>0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IF(L91="","",IF($AO$1=1,IFERROR(MATCH(L91,'08-آب'!$L$2:$L$501,0),0),0))</f>
        <v>89</v>
      </c>
      <c r="W91" t="str">
        <f t="shared" si="31"/>
        <v/>
      </c>
      <c r="X91" s="38">
        <f>IF(L91="","",IF(V91&gt;0,INDEX('08-آب'!$P$2:$P$501,V91),IF($AO$1=1,0,"")))</f>
        <v>1</v>
      </c>
      <c r="Y91" s="38">
        <f t="shared" si="32"/>
        <v>-1</v>
      </c>
      <c r="Z91" s="39">
        <f>IF(L91="","",IF(V91&gt;0,INDEX('08-آب'!$Q$2:$Q$501,V91),IF($AO$1=1,0,"")))</f>
        <v>0.34090909090909088</v>
      </c>
      <c r="AA91" s="39">
        <f t="shared" si="33"/>
        <v>-0.34090909090909088</v>
      </c>
      <c r="AB91" s="40">
        <f>IF(OR(L91="",V91=0),"",IF(AND(N(I91)&gt;0,N(INDEX('08-آب'!$I$2:$I$501,V91))&gt;0,INDEX('08-آب'!$F$2:$F$501,V91)=F91),N(I91)/N(INDEX('08-آب'!$I$2:$I$501,V91))-1,""))</f>
        <v>0</v>
      </c>
      <c r="AC91" t="str">
        <f>IF(L91="","",IF(AND($AO$2=1,ISNA(MATCH(L91,'10-تشرين الأول'!$L$2:$L$501,0))),"محذوف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0.34090918190909086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9.0999999999999994E-8</v>
      </c>
      <c r="AL91">
        <f t="shared" si="39"/>
        <v>9.0999999999999994E-8</v>
      </c>
    </row>
    <row r="92" spans="1:38" ht="15">
      <c r="A92" t="s">
        <v>296</v>
      </c>
      <c r="B92">
        <v>79.400000000000006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3</v>
      </c>
      <c r="K92" t="str">
        <f t="shared" si="20"/>
        <v/>
      </c>
      <c r="L92" t="str">
        <f t="shared" si="21"/>
        <v>فاتي كحول</v>
      </c>
      <c r="M92" s="36">
        <f t="shared" si="22"/>
        <v>1</v>
      </c>
      <c r="N92" s="37">
        <f t="shared" si="23"/>
        <v>3</v>
      </c>
      <c r="O92" s="37">
        <f t="shared" si="24"/>
        <v>0</v>
      </c>
      <c r="P92" s="38">
        <f t="shared" si="25"/>
        <v>79.400000000000006</v>
      </c>
      <c r="Q92" s="39">
        <f t="shared" si="26"/>
        <v>238.20000000000002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IF(L92="","",IF($AO$1=1,IFERROR(MATCH(L92,'08-آب'!$L$2:$L$501,0),0),0))</f>
        <v>90</v>
      </c>
      <c r="W92" t="str">
        <f t="shared" si="31"/>
        <v/>
      </c>
      <c r="X92" s="38">
        <f>IF(L92="","",IF(V92&gt;0,INDEX('08-آب'!$P$2:$P$501,V92),IF($AO$1=1,0,"")))</f>
        <v>79.400000000000006</v>
      </c>
      <c r="Y92" s="38">
        <f t="shared" si="32"/>
        <v>0</v>
      </c>
      <c r="Z92" s="39">
        <f>IF(L92="","",IF(V92&gt;0,INDEX('08-آب'!$Q$2:$Q$501,V92),IF($AO$1=1,0,"")))</f>
        <v>238.20000000000002</v>
      </c>
      <c r="AA92" s="39">
        <f t="shared" si="33"/>
        <v>0</v>
      </c>
      <c r="AB92" s="40">
        <f>IF(OR(L92="",V92=0),"",IF(AND(N(I92)&gt;0,N(INDEX('08-آب'!$I$2:$I$501,V92))&gt;0,INDEX('08-آب'!$F$2:$F$501,V92)=F92),N(I92)/N(INDEX('08-آب'!$I$2:$I$501,V92))-1,""))</f>
        <v>0</v>
      </c>
      <c r="AC92" t="str">
        <f>IF(L92="","",IF(AND($AO$2=1,ISNA(MATCH(L92,'10-تشرين الأول'!$L$2:$L$501,0))),"محذوف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9.2000000000000003E-8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238.20000009200001</v>
      </c>
      <c r="AL92">
        <f t="shared" si="39"/>
        <v>9.2000000000000003E-8</v>
      </c>
    </row>
    <row r="93" spans="1:38" ht="15">
      <c r="A93" t="s">
        <v>297</v>
      </c>
      <c r="B93">
        <v>64.5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2.2000000000000002</v>
      </c>
      <c r="K93" t="str">
        <f t="shared" si="20"/>
        <v/>
      </c>
      <c r="L93" t="str">
        <f t="shared" si="21"/>
        <v>غليسيرين</v>
      </c>
      <c r="M93" s="36">
        <f t="shared" si="22"/>
        <v>1</v>
      </c>
      <c r="N93" s="37">
        <f t="shared" si="23"/>
        <v>2.2000000000000002</v>
      </c>
      <c r="O93" s="37">
        <f t="shared" si="24"/>
        <v>0</v>
      </c>
      <c r="P93" s="38">
        <f t="shared" si="25"/>
        <v>64.5</v>
      </c>
      <c r="Q93" s="39">
        <f t="shared" si="26"/>
        <v>141.9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IF(L93="","",IF($AO$1=1,IFERROR(MATCH(L93,'08-آب'!$L$2:$L$501,0),0),0))</f>
        <v>91</v>
      </c>
      <c r="W93" t="str">
        <f t="shared" si="31"/>
        <v/>
      </c>
      <c r="X93" s="38">
        <f>IF(L93="","",IF(V93&gt;0,INDEX('08-آب'!$P$2:$P$501,V93),IF($AO$1=1,0,"")))</f>
        <v>69.5</v>
      </c>
      <c r="Y93" s="38">
        <f t="shared" si="32"/>
        <v>-5</v>
      </c>
      <c r="Z93" s="39">
        <f>IF(L93="","",IF(V93&gt;0,INDEX('08-آب'!$Q$2:$Q$501,V93),IF($AO$1=1,0,"")))</f>
        <v>152.9</v>
      </c>
      <c r="AA93" s="39">
        <f t="shared" si="33"/>
        <v>-11</v>
      </c>
      <c r="AB93" s="40">
        <f>IF(OR(L93="",V93=0),"",IF(AND(N(I93)&gt;0,N(INDEX('08-آب'!$I$2:$I$501,V93))&gt;0,INDEX('08-آب'!$F$2:$F$501,V93)=F93),N(I93)/N(INDEX('08-آب'!$I$2:$I$501,V93))-1,""))</f>
        <v>0</v>
      </c>
      <c r="AC93" t="str">
        <f>IF(L93="","",IF(AND($AO$2=1,ISNA(MATCH(L93,'10-تشرين الأول'!$L$2:$L$501,0))),"محذوف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11.000000093000001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141.90000009300002</v>
      </c>
      <c r="AL93">
        <f t="shared" si="39"/>
        <v>9.2999999999999999E-8</v>
      </c>
    </row>
    <row r="94" spans="1:38" ht="15">
      <c r="A94" t="s">
        <v>298</v>
      </c>
      <c r="B94">
        <v>3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176</v>
      </c>
      <c r="I94">
        <v>4.5</v>
      </c>
      <c r="K94" t="str">
        <f t="shared" si="20"/>
        <v/>
      </c>
      <c r="L94" t="str">
        <f t="shared" si="21"/>
        <v>غطا عبوة 3لتر</v>
      </c>
      <c r="M94" s="36">
        <f t="shared" si="22"/>
        <v>1</v>
      </c>
      <c r="N94" s="37">
        <f t="shared" si="23"/>
        <v>4.5</v>
      </c>
      <c r="O94" s="37">
        <f t="shared" si="24"/>
        <v>0</v>
      </c>
      <c r="P94" s="38">
        <f t="shared" si="25"/>
        <v>3</v>
      </c>
      <c r="Q94" s="39">
        <f t="shared" si="26"/>
        <v>13.5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IF(L94="","",IF($AO$1=1,IFERROR(MATCH(L94,'08-آب'!$L$2:$L$501,0),0),0))</f>
        <v>92</v>
      </c>
      <c r="W94" t="str">
        <f t="shared" si="31"/>
        <v/>
      </c>
      <c r="X94" s="38">
        <f>IF(L94="","",IF(V94&gt;0,INDEX('08-آب'!$P$2:$P$501,V94),IF($AO$1=1,0,"")))</f>
        <v>3</v>
      </c>
      <c r="Y94" s="38">
        <f t="shared" si="32"/>
        <v>0</v>
      </c>
      <c r="Z94" s="39">
        <f>IF(L94="","",IF(V94&gt;0,INDEX('08-آب'!$Q$2:$Q$501,V94),IF($AO$1=1,0,"")))</f>
        <v>13.5</v>
      </c>
      <c r="AA94" s="39">
        <f t="shared" si="33"/>
        <v>0</v>
      </c>
      <c r="AB94" s="40">
        <f>IF(OR(L94="",V94=0),"",IF(AND(N(I94)&gt;0,N(INDEX('08-آب'!$I$2:$I$501,V94))&gt;0,INDEX('08-آب'!$F$2:$F$501,V94)=F94),N(I94)/N(INDEX('08-آب'!$I$2:$I$501,V94))-1,""))</f>
        <v>0</v>
      </c>
      <c r="AC94" t="str">
        <f>IF(L94="","",IF(AND($AO$2=1,ISNA(MATCH(L94,'10-تشرين الأول'!$L$2:$L$501,0))),"محذوف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9.3999999999999995E-8</v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13.500000094000001</v>
      </c>
      <c r="AL94">
        <f t="shared" si="39"/>
        <v>9.3999999999999995E-8</v>
      </c>
    </row>
    <row r="95" spans="1:38" ht="15">
      <c r="A95" t="s">
        <v>514</v>
      </c>
      <c r="B95">
        <v>99</v>
      </c>
      <c r="C95">
        <v>10.08</v>
      </c>
      <c r="D95">
        <v>10.08</v>
      </c>
      <c r="E95">
        <v>10.08</v>
      </c>
      <c r="F95" t="s">
        <v>268</v>
      </c>
      <c r="G95" t="s">
        <v>178</v>
      </c>
      <c r="H95" t="s">
        <v>12</v>
      </c>
      <c r="I95">
        <v>6</v>
      </c>
      <c r="K95" t="str">
        <f t="shared" si="20"/>
        <v/>
      </c>
      <c r="L95" t="str">
        <f t="shared" si="21"/>
        <v>عملاق ريفا 450 مم</v>
      </c>
      <c r="M95" s="36">
        <f t="shared" si="22"/>
        <v>1</v>
      </c>
      <c r="N95" s="37">
        <f t="shared" si="23"/>
        <v>6</v>
      </c>
      <c r="O95" s="37">
        <f t="shared" si="24"/>
        <v>10.08</v>
      </c>
      <c r="P95" s="38">
        <f t="shared" si="25"/>
        <v>99</v>
      </c>
      <c r="Q95" s="39">
        <f t="shared" si="26"/>
        <v>594</v>
      </c>
      <c r="R95" s="39">
        <f t="shared" si="27"/>
        <v>997.92</v>
      </c>
      <c r="S95">
        <f t="shared" si="28"/>
        <v>1</v>
      </c>
      <c r="T95" s="39">
        <f t="shared" si="29"/>
        <v>403.91999999999996</v>
      </c>
      <c r="U95" t="str">
        <f t="shared" si="30"/>
        <v/>
      </c>
      <c r="V95">
        <f>IF(L95="","",IF($AO$1=1,IFERROR(MATCH(L95,'08-آب'!$L$2:$L$501,0),0),0))</f>
        <v>93</v>
      </c>
      <c r="W95" t="str">
        <f t="shared" si="31"/>
        <v/>
      </c>
      <c r="X95" s="38">
        <f>IF(L95="","",IF(V95&gt;0,INDEX('08-آب'!$P$2:$P$501,V95),IF($AO$1=1,0,"")))</f>
        <v>1</v>
      </c>
      <c r="Y95" s="38">
        <f t="shared" si="32"/>
        <v>98</v>
      </c>
      <c r="Z95" s="39">
        <f>IF(L95="","",IF(V95&gt;0,INDEX('08-آب'!$Q$2:$Q$501,V95),IF($AO$1=1,0,"")))</f>
        <v>6</v>
      </c>
      <c r="AA95" s="39">
        <f t="shared" si="33"/>
        <v>588</v>
      </c>
      <c r="AB95" s="40">
        <f>IF(OR(L95="",V95=0),"",IF(AND(N(I95)&gt;0,N(INDEX('08-آب'!$I$2:$I$501,V95))&gt;0,INDEX('08-آب'!$F$2:$F$501,V95)=F95),N(I95)/N(INDEX('08-آب'!$I$2:$I$501,V95))-1,""))</f>
        <v>0</v>
      </c>
      <c r="AC95" t="str">
        <f>IF(L95="","",IF(AND($AO$2=1,ISNA(MATCH(L95,'10-تشرين الأول'!$L$2:$L$501,0))),"محذوف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588.00000009500002</v>
      </c>
      <c r="AH95" s="39">
        <f t="shared" si="35"/>
        <v>403.92</v>
      </c>
      <c r="AI95" s="39">
        <f t="shared" si="36"/>
        <v>403.92</v>
      </c>
      <c r="AJ95" s="39">
        <f t="shared" si="37"/>
        <v>403.92</v>
      </c>
      <c r="AK95">
        <f t="shared" si="38"/>
        <v>594.00000009500002</v>
      </c>
      <c r="AL95">
        <f t="shared" si="39"/>
        <v>403.92000009499998</v>
      </c>
    </row>
    <row r="96" spans="1:38" ht="15">
      <c r="A96" t="s">
        <v>299</v>
      </c>
      <c r="B96">
        <v>0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177</v>
      </c>
      <c r="I96">
        <v>165</v>
      </c>
      <c r="K96" t="str">
        <f t="shared" si="20"/>
        <v/>
      </c>
      <c r="L96" t="str">
        <f t="shared" si="21"/>
        <v>عملاق خام</v>
      </c>
      <c r="M96" s="36">
        <f t="shared" si="22"/>
        <v>1</v>
      </c>
      <c r="N96" s="37">
        <f t="shared" si="23"/>
        <v>165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IF(L96="","",IF($AO$1=1,IFERROR(MATCH(L96,'08-آب'!$L$2:$L$501,0),0),0))</f>
        <v>94</v>
      </c>
      <c r="W96" t="str">
        <f t="shared" si="31"/>
        <v/>
      </c>
      <c r="X96" s="38">
        <f>IF(L96="","",IF(V96&gt;0,INDEX('08-آب'!$P$2:$P$501,V96),IF($AO$1=1,0,"")))</f>
        <v>0</v>
      </c>
      <c r="Y96" s="38">
        <f t="shared" si="32"/>
        <v>0</v>
      </c>
      <c r="Z96" s="39">
        <f>IF(L96="","",IF(V96&gt;0,INDEX('08-آب'!$Q$2:$Q$501,V96),IF($AO$1=1,0,"")))</f>
        <v>0</v>
      </c>
      <c r="AA96" s="39">
        <f t="shared" si="33"/>
        <v>0</v>
      </c>
      <c r="AB96" s="40">
        <f>IF(OR(L96="",V96=0),"",IF(AND(N(I96)&gt;0,N(INDEX('08-آب'!$I$2:$I$501,V96))&gt;0,INDEX('08-آب'!$F$2:$F$501,V96)=F96),N(I96)/N(INDEX('08-آب'!$I$2:$I$501,V96))-1,""))</f>
        <v>0</v>
      </c>
      <c r="AC96" t="str">
        <f>IF(L96="","",IF(AND($AO$2=1,ISNA(MATCH(L96,'10-تشرين الأول'!$L$2:$L$501,0))),"محذوف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9.5999999999999999E-8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444</v>
      </c>
      <c r="B97">
        <v>0</v>
      </c>
      <c r="C97">
        <v>0</v>
      </c>
      <c r="D97">
        <v>0</v>
      </c>
      <c r="E97">
        <v>0</v>
      </c>
      <c r="F97" t="s">
        <v>389</v>
      </c>
      <c r="G97" t="s">
        <v>178</v>
      </c>
      <c r="H97" t="s">
        <v>12</v>
      </c>
      <c r="I97">
        <v>0</v>
      </c>
      <c r="K97" t="str">
        <f t="shared" si="20"/>
        <v/>
      </c>
      <c r="L97" t="str">
        <f t="shared" si="21"/>
        <v>عملاق 3 لتر</v>
      </c>
      <c r="M97" s="36">
        <f t="shared" si="22"/>
        <v>7.2463768115942027E-5</v>
      </c>
      <c r="N97" s="37">
        <f t="shared" si="23"/>
        <v>0</v>
      </c>
      <c r="O97" s="37">
        <f t="shared" si="24"/>
        <v>0</v>
      </c>
      <c r="P97" s="38">
        <f t="shared" si="25"/>
        <v>0</v>
      </c>
      <c r="Q97" s="39">
        <f t="shared" si="26"/>
        <v>0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IF(L97="","",IF($AO$1=1,IFERROR(MATCH(L97,'08-آب'!$L$2:$L$501,0),0),0))</f>
        <v>95</v>
      </c>
      <c r="W97" t="str">
        <f t="shared" si="31"/>
        <v/>
      </c>
      <c r="X97" s="38">
        <f>IF(L97="","",IF(V97&gt;0,INDEX('08-آب'!$P$2:$P$501,V97),IF($AO$1=1,0,"")))</f>
        <v>0</v>
      </c>
      <c r="Y97" s="38">
        <f t="shared" si="32"/>
        <v>0</v>
      </c>
      <c r="Z97" s="39">
        <f>IF(L97="","",IF(V97&gt;0,INDEX('08-آب'!$Q$2:$Q$501,V97),IF($AO$1=1,0,"")))</f>
        <v>0</v>
      </c>
      <c r="AA97" s="39">
        <f t="shared" si="33"/>
        <v>0</v>
      </c>
      <c r="AB97" s="40" t="str">
        <f>IF(OR(L97="",V97=0),"",IF(AND(N(I97)&gt;0,N(INDEX('08-آب'!$I$2:$I$501,V97))&gt;0,INDEX('08-آب'!$F$2:$F$501,V97)=F97),N(I97)/N(INDEX('08-آب'!$I$2:$I$501,V97))-1,""))</f>
        <v/>
      </c>
      <c r="AC97" t="str">
        <f>IF(L97="","",IF(AND($AO$2=1,ISNA(MATCH(L97,'10-تشرين الأول'!$L$2:$L$501,0))),"محذوف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9.6999999999999995E-8</v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9.6999999999999995E-8</v>
      </c>
      <c r="AL97">
        <f t="shared" si="39"/>
        <v>9.6999999999999995E-8</v>
      </c>
    </row>
    <row r="98" spans="1:38" ht="15">
      <c r="A98" t="s">
        <v>445</v>
      </c>
      <c r="B98">
        <v>27</v>
      </c>
      <c r="C98">
        <v>13000</v>
      </c>
      <c r="D98">
        <v>13000</v>
      </c>
      <c r="E98">
        <v>13000</v>
      </c>
      <c r="F98" t="s">
        <v>389</v>
      </c>
      <c r="G98" t="s">
        <v>178</v>
      </c>
      <c r="H98" t="s">
        <v>12</v>
      </c>
      <c r="I98">
        <v>9000</v>
      </c>
      <c r="K98" t="str">
        <f t="shared" si="20"/>
        <v/>
      </c>
      <c r="L98" t="str">
        <f t="shared" si="21"/>
        <v>عملاق</v>
      </c>
      <c r="M98" s="36">
        <f t="shared" si="22"/>
        <v>7.2463768115942027E-5</v>
      </c>
      <c r="N98" s="37">
        <f t="shared" si="23"/>
        <v>0.65217391304347827</v>
      </c>
      <c r="O98" s="37">
        <f t="shared" si="24"/>
        <v>0.94202898550724634</v>
      </c>
      <c r="P98" s="38">
        <f t="shared" si="25"/>
        <v>27</v>
      </c>
      <c r="Q98" s="39">
        <f t="shared" si="26"/>
        <v>17.608695652173914</v>
      </c>
      <c r="R98" s="39">
        <f t="shared" si="27"/>
        <v>25.434782608695652</v>
      </c>
      <c r="S98">
        <f t="shared" si="28"/>
        <v>1</v>
      </c>
      <c r="T98" s="39">
        <f t="shared" si="29"/>
        <v>7.8260869565217384</v>
      </c>
      <c r="U98" t="str">
        <f t="shared" si="30"/>
        <v/>
      </c>
      <c r="V98">
        <f>IF(L98="","",IF($AO$1=1,IFERROR(MATCH(L98,'08-آب'!$L$2:$L$501,0),0),0))</f>
        <v>96</v>
      </c>
      <c r="W98" t="str">
        <f t="shared" si="31"/>
        <v/>
      </c>
      <c r="X98" s="38">
        <f>IF(L98="","",IF(V98&gt;0,INDEX('08-آب'!$P$2:$P$501,V98),IF($AO$1=1,0,"")))</f>
        <v>279.33999999999997</v>
      </c>
      <c r="Y98" s="38">
        <f t="shared" si="32"/>
        <v>-252.33999999999997</v>
      </c>
      <c r="Z98" s="39">
        <f>IF(L98="","",IF(V98&gt;0,INDEX('08-آب'!$Q$2:$Q$501,V98),IF($AO$1=1,0,"")))</f>
        <v>190.45909090909089</v>
      </c>
      <c r="AA98" s="39">
        <f t="shared" si="33"/>
        <v>-172.85039525691698</v>
      </c>
      <c r="AB98" s="40">
        <f>IF(OR(L98="",V98=0),"",IF(AND(N(I98)&gt;0,N(INDEX('08-آب'!$I$2:$I$501,V98))&gt;0,INDEX('08-آب'!$F$2:$F$501,V98)=F98),N(I98)/N(INDEX('08-آب'!$I$2:$I$501,V98))-1,""))</f>
        <v>0</v>
      </c>
      <c r="AC98" t="str">
        <f>IF(L98="","",IF(AND($AO$2=1,ISNA(MATCH(L98,'10-تشرين الأول'!$L$2:$L$501,0))),"محذوف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172.85039535491697</v>
      </c>
      <c r="AH98" s="39">
        <f t="shared" si="35"/>
        <v>7.8260869565217384</v>
      </c>
      <c r="AI98" s="39">
        <f t="shared" si="36"/>
        <v>7.8260869565217384</v>
      </c>
      <c r="AJ98" s="39">
        <f t="shared" si="37"/>
        <v>7.8260869565217384</v>
      </c>
      <c r="AK98">
        <f t="shared" si="38"/>
        <v>17.608695750173915</v>
      </c>
      <c r="AL98">
        <f t="shared" si="39"/>
        <v>7.8260870545217385</v>
      </c>
    </row>
    <row r="99" spans="1:38" ht="15">
      <c r="A99" t="s">
        <v>300</v>
      </c>
      <c r="B99">
        <v>0.49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312.5</v>
      </c>
      <c r="K99" t="str">
        <f t="shared" si="20"/>
        <v/>
      </c>
      <c r="L99" t="str">
        <f t="shared" si="21"/>
        <v>عطر-نسيم-المحيط ocean-breeze - 327993</v>
      </c>
      <c r="M99" s="36">
        <f t="shared" si="22"/>
        <v>1</v>
      </c>
      <c r="N99" s="37">
        <f t="shared" si="23"/>
        <v>312.5</v>
      </c>
      <c r="O99" s="37">
        <f t="shared" si="24"/>
        <v>0</v>
      </c>
      <c r="P99" s="38">
        <f t="shared" si="25"/>
        <v>0.49</v>
      </c>
      <c r="Q99" s="39">
        <f t="shared" si="26"/>
        <v>153.125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IF(L99="","",IF($AO$1=1,IFERROR(MATCH(L99,'08-آب'!$L$2:$L$501,0),0),0))</f>
        <v>97</v>
      </c>
      <c r="W99" t="str">
        <f t="shared" si="31"/>
        <v/>
      </c>
      <c r="X99" s="38">
        <f>IF(L99="","",IF(V99&gt;0,INDEX('08-آب'!$P$2:$P$501,V99),IF($AO$1=1,0,"")))</f>
        <v>0.49</v>
      </c>
      <c r="Y99" s="38">
        <f t="shared" si="32"/>
        <v>0</v>
      </c>
      <c r="Z99" s="39">
        <f>IF(L99="","",IF(V99&gt;0,INDEX('08-آب'!$Q$2:$Q$501,V99),IF($AO$1=1,0,"")))</f>
        <v>153.125</v>
      </c>
      <c r="AA99" s="39">
        <f t="shared" si="33"/>
        <v>0</v>
      </c>
      <c r="AB99" s="40">
        <f>IF(OR(L99="",V99=0),"",IF(AND(N(I99)&gt;0,N(INDEX('08-آب'!$I$2:$I$501,V99))&gt;0,INDEX('08-آب'!$F$2:$F$501,V99)=F99),N(I99)/N(INDEX('08-آب'!$I$2:$I$501,V99))-1,""))</f>
        <v>0</v>
      </c>
      <c r="AC99" t="str">
        <f>IF(L99="","",IF(AND($AO$2=1,ISNA(MATCH(L99,'10-تشرين الأول'!$L$2:$L$501,0))),"محذوف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153.125000099</v>
      </c>
      <c r="AL99">
        <f t="shared" si="39"/>
        <v>9.9E-8</v>
      </c>
    </row>
    <row r="100" spans="1:38" ht="15">
      <c r="A100" t="s">
        <v>301</v>
      </c>
      <c r="B100">
        <v>0.52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175</v>
      </c>
      <c r="K100" t="str">
        <f t="shared" si="20"/>
        <v/>
      </c>
      <c r="L100" t="str">
        <f t="shared" si="21"/>
        <v>عطر-ليمون shiny-star - 485764</v>
      </c>
      <c r="M100" s="36">
        <f t="shared" si="22"/>
        <v>1</v>
      </c>
      <c r="N100" s="37">
        <f t="shared" si="23"/>
        <v>175</v>
      </c>
      <c r="O100" s="37">
        <f t="shared" si="24"/>
        <v>0</v>
      </c>
      <c r="P100" s="38">
        <f t="shared" si="25"/>
        <v>0.52</v>
      </c>
      <c r="Q100" s="39">
        <f t="shared" si="26"/>
        <v>91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IF(L100="","",IF($AO$1=1,IFERROR(MATCH(L100,'08-آب'!$L$2:$L$501,0),0),0))</f>
        <v>98</v>
      </c>
      <c r="W100" t="str">
        <f t="shared" si="31"/>
        <v/>
      </c>
      <c r="X100" s="38">
        <f>IF(L100="","",IF(V100&gt;0,INDEX('08-آب'!$P$2:$P$501,V100),IF($AO$1=1,0,"")))</f>
        <v>0.52</v>
      </c>
      <c r="Y100" s="38">
        <f t="shared" si="32"/>
        <v>0</v>
      </c>
      <c r="Z100" s="39">
        <f>IF(L100="","",IF(V100&gt;0,INDEX('08-آب'!$Q$2:$Q$501,V100),IF($AO$1=1,0,"")))</f>
        <v>91</v>
      </c>
      <c r="AA100" s="39">
        <f t="shared" si="33"/>
        <v>0</v>
      </c>
      <c r="AB100" s="40">
        <f>IF(OR(L100="",V100=0),"",IF(AND(N(I100)&gt;0,N(INDEX('08-آب'!$I$2:$I$501,V100))&gt;0,INDEX('08-آب'!$F$2:$F$501,V100)=F100),N(I100)/N(INDEX('08-آب'!$I$2:$I$501,V100))-1,""))</f>
        <v>0</v>
      </c>
      <c r="AC100" t="str">
        <f>IF(L100="","",IF(AND($AO$2=1,ISNA(MATCH(L100,'10-تشرين الأول'!$L$2:$L$501,0))),"محذوف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91.000000099999994</v>
      </c>
      <c r="AL100">
        <f t="shared" si="39"/>
        <v>9.9999999999999995E-8</v>
      </c>
    </row>
    <row r="101" spans="1:38" ht="15">
      <c r="A101" t="s">
        <v>302</v>
      </c>
      <c r="B101">
        <v>0.36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175</v>
      </c>
      <c r="K101" t="str">
        <f t="shared" si="20"/>
        <v/>
      </c>
      <c r="L101" t="str">
        <f t="shared" si="21"/>
        <v>عطر-ليمون citrus lemon new - 321639</v>
      </c>
      <c r="M101" s="36">
        <f t="shared" si="22"/>
        <v>1</v>
      </c>
      <c r="N101" s="37">
        <f t="shared" si="23"/>
        <v>175</v>
      </c>
      <c r="O101" s="37">
        <f t="shared" si="24"/>
        <v>0</v>
      </c>
      <c r="P101" s="38">
        <f t="shared" si="25"/>
        <v>0.36</v>
      </c>
      <c r="Q101" s="39">
        <f t="shared" si="26"/>
        <v>63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IF(L101="","",IF($AO$1=1,IFERROR(MATCH(L101,'08-آب'!$L$2:$L$501,0),0),0))</f>
        <v>99</v>
      </c>
      <c r="W101" t="str">
        <f t="shared" si="31"/>
        <v/>
      </c>
      <c r="X101" s="38">
        <f>IF(L101="","",IF(V101&gt;0,INDEX('08-آب'!$P$2:$P$501,V101),IF($AO$1=1,0,"")))</f>
        <v>0.36</v>
      </c>
      <c r="Y101" s="38">
        <f t="shared" si="32"/>
        <v>0</v>
      </c>
      <c r="Z101" s="39">
        <f>IF(L101="","",IF(V101&gt;0,INDEX('08-آب'!$Q$2:$Q$501,V101),IF($AO$1=1,0,"")))</f>
        <v>63</v>
      </c>
      <c r="AA101" s="39">
        <f t="shared" si="33"/>
        <v>0</v>
      </c>
      <c r="AB101" s="40">
        <f>IF(OR(L101="",V101=0),"",IF(AND(N(I101)&gt;0,N(INDEX('08-آب'!$I$2:$I$501,V101))&gt;0,INDEX('08-آب'!$F$2:$F$501,V101)=F101),N(I101)/N(INDEX('08-آب'!$I$2:$I$501,V101))-1,""))</f>
        <v>0</v>
      </c>
      <c r="AC101" t="str">
        <f>IF(L101="","",IF(AND($AO$2=1,ISNA(MATCH(L101,'10-تشرين الأول'!$L$2:$L$501,0))),"محذوف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1.01E-7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63.000000100999998</v>
      </c>
      <c r="AL101">
        <f t="shared" si="39"/>
        <v>1.01E-7</v>
      </c>
    </row>
    <row r="102" spans="1:38" ht="15">
      <c r="A102" t="s">
        <v>303</v>
      </c>
      <c r="B102">
        <v>0.53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312.5</v>
      </c>
      <c r="K102" t="str">
        <f t="shared" si="20"/>
        <v/>
      </c>
      <c r="L102" t="str">
        <f t="shared" si="21"/>
        <v>عطر-ليلك ariel-sensation - 318728</v>
      </c>
      <c r="M102" s="36">
        <f t="shared" si="22"/>
        <v>1</v>
      </c>
      <c r="N102" s="37">
        <f t="shared" si="23"/>
        <v>312.5</v>
      </c>
      <c r="O102" s="37">
        <f t="shared" si="24"/>
        <v>0</v>
      </c>
      <c r="P102" s="38">
        <f t="shared" si="25"/>
        <v>0.53</v>
      </c>
      <c r="Q102" s="39">
        <f t="shared" si="26"/>
        <v>165.625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IF(L102="","",IF($AO$1=1,IFERROR(MATCH(L102,'08-آب'!$L$2:$L$501,0),0),0))</f>
        <v>100</v>
      </c>
      <c r="W102" t="str">
        <f t="shared" si="31"/>
        <v/>
      </c>
      <c r="X102" s="38">
        <f>IF(L102="","",IF(V102&gt;0,INDEX('08-آب'!$P$2:$P$501,V102),IF($AO$1=1,0,"")))</f>
        <v>0.53</v>
      </c>
      <c r="Y102" s="38">
        <f t="shared" si="32"/>
        <v>0</v>
      </c>
      <c r="Z102" s="39">
        <f>IF(L102="","",IF(V102&gt;0,INDEX('08-آب'!$Q$2:$Q$501,V102),IF($AO$1=1,0,"")))</f>
        <v>165.625</v>
      </c>
      <c r="AA102" s="39">
        <f t="shared" si="33"/>
        <v>0</v>
      </c>
      <c r="AB102" s="40">
        <f>IF(OR(L102="",V102=0),"",IF(AND(N(I102)&gt;0,N(INDEX('08-آب'!$I$2:$I$501,V102))&gt;0,INDEX('08-آب'!$F$2:$F$501,V102)=F102),N(I102)/N(INDEX('08-آب'!$I$2:$I$501,V102))-1,""))</f>
        <v>0</v>
      </c>
      <c r="AC102" t="str">
        <f>IF(L102="","",IF(AND($AO$2=1,ISNA(MATCH(L102,'10-تشرين الأول'!$L$2:$L$501,0))),"محذوف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165.625000102</v>
      </c>
      <c r="AL102">
        <f t="shared" si="39"/>
        <v>1.02E-7</v>
      </c>
    </row>
    <row r="103" spans="1:38" ht="15">
      <c r="A103" t="s">
        <v>304</v>
      </c>
      <c r="B103">
        <v>0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312.5</v>
      </c>
      <c r="K103" t="str">
        <f t="shared" si="20"/>
        <v/>
      </c>
      <c r="L103" t="str">
        <f t="shared" si="21"/>
        <v>عطر-فريز</v>
      </c>
      <c r="M103" s="36">
        <f t="shared" si="22"/>
        <v>1</v>
      </c>
      <c r="N103" s="37">
        <f t="shared" si="23"/>
        <v>312.5</v>
      </c>
      <c r="O103" s="37">
        <f t="shared" si="24"/>
        <v>0</v>
      </c>
      <c r="P103" s="38">
        <f t="shared" si="25"/>
        <v>0</v>
      </c>
      <c r="Q103" s="39">
        <f t="shared" si="26"/>
        <v>0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IF(L103="","",IF($AO$1=1,IFERROR(MATCH(L103,'08-آب'!$L$2:$L$501,0),0),0))</f>
        <v>101</v>
      </c>
      <c r="W103" t="str">
        <f t="shared" si="31"/>
        <v/>
      </c>
      <c r="X103" s="38">
        <f>IF(L103="","",IF(V103&gt;0,INDEX('08-آب'!$P$2:$P$501,V103),IF($AO$1=1,0,"")))</f>
        <v>0</v>
      </c>
      <c r="Y103" s="38">
        <f t="shared" si="32"/>
        <v>0</v>
      </c>
      <c r="Z103" s="39">
        <f>IF(L103="","",IF(V103&gt;0,INDEX('08-آب'!$Q$2:$Q$501,V103),IF($AO$1=1,0,"")))</f>
        <v>0</v>
      </c>
      <c r="AA103" s="39">
        <f t="shared" si="33"/>
        <v>0</v>
      </c>
      <c r="AB103" s="40">
        <f>IF(OR(L103="",V103=0),"",IF(AND(N(I103)&gt;0,N(INDEX('08-آب'!$I$2:$I$501,V103))&gt;0,INDEX('08-آب'!$F$2:$F$501,V103)=F103),N(I103)/N(INDEX('08-آب'!$I$2:$I$501,V103))-1,""))</f>
        <v>0</v>
      </c>
      <c r="AC103" t="str">
        <f>IF(L103="","",IF(AND($AO$2=1,ISNA(MATCH(L103,'10-تشرين الأول'!$L$2:$L$501,0))),"محذوف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1.03E-7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1.03E-7</v>
      </c>
      <c r="AL103">
        <f t="shared" si="39"/>
        <v>1.03E-7</v>
      </c>
    </row>
    <row r="104" spans="1:38" ht="15">
      <c r="A104" t="s">
        <v>305</v>
      </c>
      <c r="B104">
        <v>3.54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900</v>
      </c>
      <c r="K104" t="str">
        <f t="shared" si="20"/>
        <v/>
      </c>
      <c r="L104" t="str">
        <f t="shared" si="21"/>
        <v>عطر-سلطان</v>
      </c>
      <c r="M104" s="36">
        <f t="shared" si="22"/>
        <v>1</v>
      </c>
      <c r="N104" s="37">
        <f t="shared" si="23"/>
        <v>900</v>
      </c>
      <c r="O104" s="37">
        <f t="shared" si="24"/>
        <v>0</v>
      </c>
      <c r="P104" s="38">
        <f t="shared" si="25"/>
        <v>3.54</v>
      </c>
      <c r="Q104" s="39">
        <f t="shared" si="26"/>
        <v>3186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IF(L104="","",IF($AO$1=1,IFERROR(MATCH(L104,'08-آب'!$L$2:$L$501,0),0),0))</f>
        <v>102</v>
      </c>
      <c r="W104" t="str">
        <f t="shared" si="31"/>
        <v/>
      </c>
      <c r="X104" s="38">
        <f>IF(L104="","",IF(V104&gt;0,INDEX('08-آب'!$P$2:$P$501,V104),IF($AO$1=1,0,"")))</f>
        <v>3.56</v>
      </c>
      <c r="Y104" s="38">
        <f t="shared" si="32"/>
        <v>-2.0000000000000018E-2</v>
      </c>
      <c r="Z104" s="39">
        <f>IF(L104="","",IF(V104&gt;0,INDEX('08-آب'!$Q$2:$Q$501,V104),IF($AO$1=1,0,"")))</f>
        <v>3204</v>
      </c>
      <c r="AA104" s="39">
        <f t="shared" si="33"/>
        <v>-18</v>
      </c>
      <c r="AB104" s="40">
        <f>IF(OR(L104="",V104=0),"",IF(AND(N(I104)&gt;0,N(INDEX('08-آب'!$I$2:$I$501,V104))&gt;0,INDEX('08-آب'!$F$2:$F$501,V104)=F104),N(I104)/N(INDEX('08-آب'!$I$2:$I$501,V104))-1,""))</f>
        <v>0</v>
      </c>
      <c r="AC104" t="str">
        <f>IF(L104="","",IF(AND($AO$2=1,ISNA(MATCH(L104,'10-تشرين الأول'!$L$2:$L$501,0))),"محذوف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18.000000104000001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3186.0000001039998</v>
      </c>
      <c r="AL104">
        <f t="shared" si="39"/>
        <v>1.04E-7</v>
      </c>
    </row>
    <row r="105" spans="1:38" ht="15">
      <c r="A105" t="s">
        <v>306</v>
      </c>
      <c r="B105">
        <v>0.53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225</v>
      </c>
      <c r="K105" t="str">
        <f t="shared" si="20"/>
        <v/>
      </c>
      <c r="L105" t="str">
        <f t="shared" si="21"/>
        <v>عطر-زهور lovely-petals - 485718</v>
      </c>
      <c r="M105" s="36">
        <f t="shared" si="22"/>
        <v>1</v>
      </c>
      <c r="N105" s="37">
        <f t="shared" si="23"/>
        <v>225</v>
      </c>
      <c r="O105" s="37">
        <f t="shared" si="24"/>
        <v>0</v>
      </c>
      <c r="P105" s="38">
        <f t="shared" si="25"/>
        <v>0.53</v>
      </c>
      <c r="Q105" s="39">
        <f t="shared" si="26"/>
        <v>119.25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IF(L105="","",IF($AO$1=1,IFERROR(MATCH(L105,'08-آب'!$L$2:$L$501,0),0),0))</f>
        <v>103</v>
      </c>
      <c r="W105" t="str">
        <f t="shared" si="31"/>
        <v/>
      </c>
      <c r="X105" s="38">
        <f>IF(L105="","",IF(V105&gt;0,INDEX('08-آب'!$P$2:$P$501,V105),IF($AO$1=1,0,"")))</f>
        <v>0.53</v>
      </c>
      <c r="Y105" s="38">
        <f t="shared" si="32"/>
        <v>0</v>
      </c>
      <c r="Z105" s="39">
        <f>IF(L105="","",IF(V105&gt;0,INDEX('08-آب'!$Q$2:$Q$501,V105),IF($AO$1=1,0,"")))</f>
        <v>119.25</v>
      </c>
      <c r="AA105" s="39">
        <f t="shared" si="33"/>
        <v>0</v>
      </c>
      <c r="AB105" s="40">
        <f>IF(OR(L105="",V105=0),"",IF(AND(N(I105)&gt;0,N(INDEX('08-آب'!$I$2:$I$501,V105))&gt;0,INDEX('08-آب'!$F$2:$F$501,V105)=F105),N(I105)/N(INDEX('08-آب'!$I$2:$I$501,V105))-1,""))</f>
        <v>0</v>
      </c>
      <c r="AC105" t="str">
        <f>IF(L105="","",IF(AND($AO$2=1,ISNA(MATCH(L105,'10-تشرين الأول'!$L$2:$L$501,0))),"محذوف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119.250000105</v>
      </c>
      <c r="AL105">
        <f t="shared" si="39"/>
        <v>1.05E-7</v>
      </c>
    </row>
    <row r="106" spans="1:38" ht="15">
      <c r="A106" t="s">
        <v>307</v>
      </c>
      <c r="B106">
        <v>0.62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312.5</v>
      </c>
      <c r="K106" t="str">
        <f t="shared" si="20"/>
        <v/>
      </c>
      <c r="L106" t="str">
        <f t="shared" si="21"/>
        <v>عطر-رمان apple grandada - 322730</v>
      </c>
      <c r="M106" s="36">
        <f t="shared" si="22"/>
        <v>1</v>
      </c>
      <c r="N106" s="37">
        <f t="shared" si="23"/>
        <v>312.5</v>
      </c>
      <c r="O106" s="37">
        <f t="shared" si="24"/>
        <v>0</v>
      </c>
      <c r="P106" s="38">
        <f t="shared" si="25"/>
        <v>0.62</v>
      </c>
      <c r="Q106" s="39">
        <f t="shared" si="26"/>
        <v>193.75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IF(L106="","",IF($AO$1=1,IFERROR(MATCH(L106,'08-آب'!$L$2:$L$501,0),0),0))</f>
        <v>104</v>
      </c>
      <c r="W106" t="str">
        <f t="shared" si="31"/>
        <v/>
      </c>
      <c r="X106" s="38">
        <f>IF(L106="","",IF(V106&gt;0,INDEX('08-آب'!$P$2:$P$501,V106),IF($AO$1=1,0,"")))</f>
        <v>0.62</v>
      </c>
      <c r="Y106" s="38">
        <f t="shared" si="32"/>
        <v>0</v>
      </c>
      <c r="Z106" s="39">
        <f>IF(L106="","",IF(V106&gt;0,INDEX('08-آب'!$Q$2:$Q$501,V106),IF($AO$1=1,0,"")))</f>
        <v>193.75</v>
      </c>
      <c r="AA106" s="39">
        <f t="shared" si="33"/>
        <v>0</v>
      </c>
      <c r="AB106" s="40">
        <f>IF(OR(L106="",V106=0),"",IF(AND(N(I106)&gt;0,N(INDEX('08-آب'!$I$2:$I$501,V106))&gt;0,INDEX('08-آب'!$F$2:$F$501,V106)=F106),N(I106)/N(INDEX('08-آب'!$I$2:$I$501,V106))-1,""))</f>
        <v>0</v>
      </c>
      <c r="AC106" t="str">
        <f>IF(L106="","",IF(AND($AO$2=1,ISNA(MATCH(L106,'10-تشرين الأول'!$L$2:$L$501,0))),"محذوف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193.75000010599999</v>
      </c>
      <c r="AL106">
        <f t="shared" si="39"/>
        <v>1.06E-7</v>
      </c>
    </row>
    <row r="107" spans="1:38" ht="15">
      <c r="A107" t="s">
        <v>308</v>
      </c>
      <c r="B107">
        <v>0.6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287.5</v>
      </c>
      <c r="K107" t="str">
        <f t="shared" si="20"/>
        <v/>
      </c>
      <c r="L107" t="str">
        <f t="shared" si="21"/>
        <v>عطر-توليب fresh-scent-amour - 485833</v>
      </c>
      <c r="M107" s="36">
        <f t="shared" si="22"/>
        <v>1</v>
      </c>
      <c r="N107" s="37">
        <f t="shared" si="23"/>
        <v>287.5</v>
      </c>
      <c r="O107" s="37">
        <f t="shared" si="24"/>
        <v>0</v>
      </c>
      <c r="P107" s="38">
        <f t="shared" si="25"/>
        <v>0.6</v>
      </c>
      <c r="Q107" s="39">
        <f t="shared" si="26"/>
        <v>172.5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IF(L107="","",IF($AO$1=1,IFERROR(MATCH(L107,'08-آب'!$L$2:$L$501,0),0),0))</f>
        <v>105</v>
      </c>
      <c r="W107" t="str">
        <f t="shared" si="31"/>
        <v/>
      </c>
      <c r="X107" s="38">
        <f>IF(L107="","",IF(V107&gt;0,INDEX('08-آب'!$P$2:$P$501,V107),IF($AO$1=1,0,"")))</f>
        <v>0.6</v>
      </c>
      <c r="Y107" s="38">
        <f t="shared" si="32"/>
        <v>0</v>
      </c>
      <c r="Z107" s="39">
        <f>IF(L107="","",IF(V107&gt;0,INDEX('08-آب'!$Q$2:$Q$501,V107),IF($AO$1=1,0,"")))</f>
        <v>172.5</v>
      </c>
      <c r="AA107" s="39">
        <f t="shared" si="33"/>
        <v>0</v>
      </c>
      <c r="AB107" s="40">
        <f>IF(OR(L107="",V107=0),"",IF(AND(N(I107)&gt;0,N(INDEX('08-آب'!$I$2:$I$501,V107))&gt;0,INDEX('08-آب'!$F$2:$F$501,V107)=F107),N(I107)/N(INDEX('08-آب'!$I$2:$I$501,V107))-1,""))</f>
        <v>0</v>
      </c>
      <c r="AC107" t="str">
        <f>IF(L107="","",IF(AND($AO$2=1,ISNA(MATCH(L107,'10-تشرين الأول'!$L$2:$L$501,0))),"محذوف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1.0700000000000001E-7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172.50000010700001</v>
      </c>
      <c r="AL107">
        <f t="shared" si="39"/>
        <v>1.0700000000000001E-7</v>
      </c>
    </row>
    <row r="108" spans="1:38" ht="15">
      <c r="A108" t="s">
        <v>309</v>
      </c>
      <c r="B108">
        <v>0.47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300</v>
      </c>
      <c r="K108" t="str">
        <f t="shared" si="20"/>
        <v/>
      </c>
      <c r="L108" t="str">
        <f t="shared" si="21"/>
        <v>عطر-تفاح apple - 317691</v>
      </c>
      <c r="M108" s="36">
        <f t="shared" si="22"/>
        <v>1</v>
      </c>
      <c r="N108" s="37">
        <f t="shared" si="23"/>
        <v>300</v>
      </c>
      <c r="O108" s="37">
        <f t="shared" si="24"/>
        <v>0</v>
      </c>
      <c r="P108" s="38">
        <f t="shared" si="25"/>
        <v>0.47</v>
      </c>
      <c r="Q108" s="39">
        <f t="shared" si="26"/>
        <v>141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IF(L108="","",IF($AO$1=1,IFERROR(MATCH(L108,'08-آب'!$L$2:$L$501,0),0),0))</f>
        <v>106</v>
      </c>
      <c r="W108" t="str">
        <f t="shared" si="31"/>
        <v/>
      </c>
      <c r="X108" s="38">
        <f>IF(L108="","",IF(V108&gt;0,INDEX('08-آب'!$P$2:$P$501,V108),IF($AO$1=1,0,"")))</f>
        <v>0.47</v>
      </c>
      <c r="Y108" s="38">
        <f t="shared" si="32"/>
        <v>0</v>
      </c>
      <c r="Z108" s="39">
        <f>IF(L108="","",IF(V108&gt;0,INDEX('08-آب'!$Q$2:$Q$501,V108),IF($AO$1=1,0,"")))</f>
        <v>141</v>
      </c>
      <c r="AA108" s="39">
        <f t="shared" si="33"/>
        <v>0</v>
      </c>
      <c r="AB108" s="40">
        <f>IF(OR(L108="",V108=0),"",IF(AND(N(I108)&gt;0,N(INDEX('08-آب'!$I$2:$I$501,V108))&gt;0,INDEX('08-آب'!$F$2:$F$501,V108)=F108),N(I108)/N(INDEX('08-آب'!$I$2:$I$501,V108))-1,""))</f>
        <v>0</v>
      </c>
      <c r="AC108" t="str">
        <f>IF(L108="","",IF(AND($AO$2=1,ISNA(MATCH(L108,'10-تشرين الأول'!$L$2:$L$501,0))),"محذوف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141.00000010799999</v>
      </c>
      <c r="AL108">
        <f t="shared" si="39"/>
        <v>1.08E-7</v>
      </c>
    </row>
    <row r="109" spans="1:38" ht="15">
      <c r="A109" t="s">
        <v>310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14.5</v>
      </c>
      <c r="K109" t="str">
        <f t="shared" si="20"/>
        <v/>
      </c>
      <c r="L109" t="str">
        <f t="shared" si="21"/>
        <v>عطر-برنس</v>
      </c>
      <c r="M109" s="36">
        <f t="shared" si="22"/>
        <v>1</v>
      </c>
      <c r="N109" s="37">
        <f t="shared" si="23"/>
        <v>14.5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IF(L109="","",IF($AO$1=1,IFERROR(MATCH(L109,'08-آب'!$L$2:$L$501,0),0),0))</f>
        <v>107</v>
      </c>
      <c r="W109" t="str">
        <f t="shared" si="31"/>
        <v/>
      </c>
      <c r="X109" s="38">
        <f>IF(L109="","",IF(V109&gt;0,INDEX('08-آب'!$P$2:$P$501,V109),IF($AO$1=1,0,"")))</f>
        <v>0</v>
      </c>
      <c r="Y109" s="38">
        <f t="shared" si="32"/>
        <v>0</v>
      </c>
      <c r="Z109" s="39">
        <f>IF(L109="","",IF(V109&gt;0,INDEX('08-آب'!$Q$2:$Q$501,V109),IF($AO$1=1,0,"")))</f>
        <v>0</v>
      </c>
      <c r="AA109" s="39">
        <f t="shared" si="33"/>
        <v>0</v>
      </c>
      <c r="AB109" s="40">
        <f>IF(OR(L109="",V109=0),"",IF(AND(N(I109)&gt;0,N(INDEX('08-آب'!$I$2:$I$501,V109))&gt;0,INDEX('08-آب'!$F$2:$F$501,V109)=F109),N(I109)/N(INDEX('08-آب'!$I$2:$I$501,V109))-1,""))</f>
        <v>0</v>
      </c>
      <c r="AC109" t="str">
        <f>IF(L109="","",IF(AND($AO$2=1,ISNA(MATCH(L109,'10-تشرين الأول'!$L$2:$L$501,0))),"محذوف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1.09E-7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311</v>
      </c>
      <c r="B110">
        <v>19.82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150</v>
      </c>
      <c r="K110" t="str">
        <f t="shared" si="20"/>
        <v/>
      </c>
      <c r="L110" t="str">
        <f t="shared" si="21"/>
        <v>عطر-ببوري ultimate-mixture - 485797</v>
      </c>
      <c r="M110" s="36">
        <f t="shared" si="22"/>
        <v>1</v>
      </c>
      <c r="N110" s="37">
        <f t="shared" si="23"/>
        <v>150</v>
      </c>
      <c r="O110" s="37">
        <f t="shared" si="24"/>
        <v>0</v>
      </c>
      <c r="P110" s="38">
        <f t="shared" si="25"/>
        <v>19.82</v>
      </c>
      <c r="Q110" s="39">
        <f t="shared" si="26"/>
        <v>2973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IF(L110="","",IF($AO$1=1,IFERROR(MATCH(L110,'08-آب'!$L$2:$L$501,0),0),0))</f>
        <v>108</v>
      </c>
      <c r="W110" t="str">
        <f t="shared" si="31"/>
        <v/>
      </c>
      <c r="X110" s="38">
        <f>IF(L110="","",IF(V110&gt;0,INDEX('08-آب'!$P$2:$P$501,V110),IF($AO$1=1,0,"")))</f>
        <v>19.82</v>
      </c>
      <c r="Y110" s="38">
        <f t="shared" si="32"/>
        <v>0</v>
      </c>
      <c r="Z110" s="39">
        <f>IF(L110="","",IF(V110&gt;0,INDEX('08-آب'!$Q$2:$Q$501,V110),IF($AO$1=1,0,"")))</f>
        <v>2973</v>
      </c>
      <c r="AA110" s="39">
        <f t="shared" si="33"/>
        <v>0</v>
      </c>
      <c r="AB110" s="40">
        <f>IF(OR(L110="",V110=0),"",IF(AND(N(I110)&gt;0,N(INDEX('08-آب'!$I$2:$I$501,V110))&gt;0,INDEX('08-آب'!$F$2:$F$501,V110)=F110),N(I110)/N(INDEX('08-آب'!$I$2:$I$501,V110))-1,""))</f>
        <v>0</v>
      </c>
      <c r="AC110" t="str">
        <f>IF(L110="","",IF(AND($AO$2=1,ISNA(MATCH(L110,'10-تشرين الأول'!$L$2:$L$501,0))),"محذوف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1.1000000000000001E-7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2973.0000001100002</v>
      </c>
      <c r="AL110">
        <f t="shared" si="39"/>
        <v>1.1000000000000001E-7</v>
      </c>
    </row>
    <row r="111" spans="1:38" ht="15">
      <c r="A111" t="s">
        <v>312</v>
      </c>
      <c r="B111">
        <v>21.23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312.5</v>
      </c>
      <c r="K111" t="str">
        <f t="shared" si="20"/>
        <v/>
      </c>
      <c r="L111" t="str">
        <f t="shared" si="21"/>
        <v>عطر-ازهار-الربيع spring - 318643</v>
      </c>
      <c r="M111" s="36">
        <f t="shared" si="22"/>
        <v>1</v>
      </c>
      <c r="N111" s="37">
        <f t="shared" si="23"/>
        <v>312.5</v>
      </c>
      <c r="O111" s="37">
        <f t="shared" si="24"/>
        <v>0</v>
      </c>
      <c r="P111" s="38">
        <f t="shared" si="25"/>
        <v>21.23</v>
      </c>
      <c r="Q111" s="39">
        <f t="shared" si="26"/>
        <v>6634.375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IF(L111="","",IF($AO$1=1,IFERROR(MATCH(L111,'08-آب'!$L$2:$L$501,0),0),0))</f>
        <v>109</v>
      </c>
      <c r="W111" t="str">
        <f t="shared" si="31"/>
        <v/>
      </c>
      <c r="X111" s="38">
        <f>IF(L111="","",IF(V111&gt;0,INDEX('08-آب'!$P$2:$P$501,V111),IF($AO$1=1,0,"")))</f>
        <v>21.23</v>
      </c>
      <c r="Y111" s="38">
        <f t="shared" si="32"/>
        <v>0</v>
      </c>
      <c r="Z111" s="39">
        <f>IF(L111="","",IF(V111&gt;0,INDEX('08-آب'!$Q$2:$Q$501,V111),IF($AO$1=1,0,"")))</f>
        <v>6634.375</v>
      </c>
      <c r="AA111" s="39">
        <f t="shared" si="33"/>
        <v>0</v>
      </c>
      <c r="AB111" s="40">
        <f>IF(OR(L111="",V111=0),"",IF(AND(N(I111)&gt;0,N(INDEX('08-آب'!$I$2:$I$501,V111))&gt;0,INDEX('08-آب'!$F$2:$F$501,V111)=F111),N(I111)/N(INDEX('08-آب'!$I$2:$I$501,V111))-1,""))</f>
        <v>0</v>
      </c>
      <c r="AC111" t="str">
        <f>IF(L111="","",IF(AND($AO$2=1,ISNA(MATCH(L111,'10-تشرين الأول'!$L$2:$L$501,0))),"محذوف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6634.3750001110002</v>
      </c>
      <c r="AL111">
        <f t="shared" si="39"/>
        <v>1.11E-7</v>
      </c>
    </row>
    <row r="112" spans="1:38" ht="15">
      <c r="A112" t="s">
        <v>532</v>
      </c>
      <c r="B112">
        <v>0.4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16.5</v>
      </c>
      <c r="K112" t="str">
        <f t="shared" si="20"/>
        <v/>
      </c>
      <c r="L112" t="str">
        <f t="shared" si="21"/>
        <v>عطر ورد-جوري</v>
      </c>
      <c r="M112" s="36">
        <f t="shared" si="22"/>
        <v>1</v>
      </c>
      <c r="N112" s="37">
        <f t="shared" si="23"/>
        <v>16.5</v>
      </c>
      <c r="O112" s="37">
        <f t="shared" si="24"/>
        <v>0</v>
      </c>
      <c r="P112" s="38">
        <f t="shared" si="25"/>
        <v>0.4</v>
      </c>
      <c r="Q112" s="39">
        <f t="shared" si="26"/>
        <v>6.6000000000000005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IF(L112="","",IF($AO$1=1,IFERROR(MATCH(L112,'08-آب'!$L$2:$L$501,0),0),0))</f>
        <v>0</v>
      </c>
      <c r="W112" t="str">
        <f t="shared" si="31"/>
        <v>جديد</v>
      </c>
      <c r="X112" s="38">
        <f>IF(L112="","",IF(V112&gt;0,INDEX('08-آب'!$P$2:$P$501,V112),IF($AO$1=1,0,"")))</f>
        <v>0</v>
      </c>
      <c r="Y112" s="38">
        <f t="shared" si="32"/>
        <v>0.4</v>
      </c>
      <c r="Z112" s="39">
        <f>IF(L112="","",IF(V112&gt;0,INDEX('08-آب'!$Q$2:$Q$501,V112),IF($AO$1=1,0,"")))</f>
        <v>0</v>
      </c>
      <c r="AA112" s="39">
        <f t="shared" si="33"/>
        <v>6.6000000000000005</v>
      </c>
      <c r="AB112" s="40" t="str">
        <f>IF(OR(L112="",V112=0),"",IF(AND(N(I112)&gt;0,N(INDEX('08-آب'!$I$2:$I$501,V112))&gt;0,INDEX('08-آب'!$F$2:$F$501,V112)=F112),N(I112)/N(INDEX('08-آب'!$I$2:$I$501,V112))-1,""))</f>
        <v/>
      </c>
      <c r="AC112" t="str">
        <f>IF(L112="","",IF(AND($AO$2=1,ISNA(MATCH(L112,'10-تشرين الأول'!$L$2:$L$501,0))),"محذوف لاحقاً",""))</f>
        <v/>
      </c>
      <c r="AD112">
        <f>IF(W112="جديد",COUNTIF(W$2:W112,"جديد"),"")</f>
        <v>3</v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6.6000001120000009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6.6000001120000009</v>
      </c>
      <c r="AL112">
        <f t="shared" si="39"/>
        <v>1.12E-7</v>
      </c>
    </row>
    <row r="113" spans="1:38" ht="15">
      <c r="A113" t="s">
        <v>533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11.75</v>
      </c>
      <c r="K113" t="str">
        <f t="shared" si="20"/>
        <v/>
      </c>
      <c r="L113" t="str">
        <f t="shared" si="21"/>
        <v>عطر هيد اند شولدرز</v>
      </c>
      <c r="M113" s="36">
        <f t="shared" si="22"/>
        <v>1</v>
      </c>
      <c r="N113" s="37">
        <f t="shared" si="23"/>
        <v>11.75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IF(L113="","",IF($AO$1=1,IFERROR(MATCH(L113,'08-آب'!$L$2:$L$501,0),0),0))</f>
        <v>0</v>
      </c>
      <c r="W113" t="str">
        <f t="shared" si="31"/>
        <v>جديد</v>
      </c>
      <c r="X113" s="38">
        <f>IF(L113="","",IF(V113&gt;0,INDEX('08-آب'!$P$2:$P$501,V113),IF($AO$1=1,0,"")))</f>
        <v>0</v>
      </c>
      <c r="Y113" s="38">
        <f t="shared" si="32"/>
        <v>0</v>
      </c>
      <c r="Z113" s="39">
        <f>IF(L113="","",IF(V113&gt;0,INDEX('08-آب'!$Q$2:$Q$501,V113),IF($AO$1=1,0,"")))</f>
        <v>0</v>
      </c>
      <c r="AA113" s="39">
        <f t="shared" si="33"/>
        <v>0</v>
      </c>
      <c r="AB113" s="40" t="str">
        <f>IF(OR(L113="",V113=0),"",IF(AND(N(I113)&gt;0,N(INDEX('08-آب'!$I$2:$I$501,V113))&gt;0,INDEX('08-آب'!$F$2:$F$501,V113)=F113),N(I113)/N(INDEX('08-آب'!$I$2:$I$501,V113))-1,""))</f>
        <v/>
      </c>
      <c r="AC113" t="str">
        <f>IF(L113="","",IF(AND($AO$2=1,ISNA(MATCH(L113,'10-تشرين الأول'!$L$2:$L$501,0))),"محذوف لاحقاً",""))</f>
        <v/>
      </c>
      <c r="AD113">
        <f>IF(W113="جديد",COUNTIF(W$2:W113,"جديد"),"")</f>
        <v>4</v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313</v>
      </c>
      <c r="B114">
        <v>0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15</v>
      </c>
      <c r="K114" t="str">
        <f t="shared" si="20"/>
        <v/>
      </c>
      <c r="L114" t="str">
        <f t="shared" si="21"/>
        <v>عطر هامول</v>
      </c>
      <c r="M114" s="36">
        <f t="shared" si="22"/>
        <v>1</v>
      </c>
      <c r="N114" s="37">
        <f t="shared" si="23"/>
        <v>15</v>
      </c>
      <c r="O114" s="37">
        <f t="shared" si="24"/>
        <v>0</v>
      </c>
      <c r="P114" s="38">
        <f t="shared" si="25"/>
        <v>0</v>
      </c>
      <c r="Q114" s="39">
        <f t="shared" si="26"/>
        <v>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IF(L114="","",IF($AO$1=1,IFERROR(MATCH(L114,'08-آب'!$L$2:$L$501,0),0),0))</f>
        <v>110</v>
      </c>
      <c r="W114" t="str">
        <f t="shared" si="31"/>
        <v/>
      </c>
      <c r="X114" s="38">
        <f>IF(L114="","",IF(V114&gt;0,INDEX('08-آب'!$P$2:$P$501,V114),IF($AO$1=1,0,"")))</f>
        <v>0</v>
      </c>
      <c r="Y114" s="38">
        <f t="shared" si="32"/>
        <v>0</v>
      </c>
      <c r="Z114" s="39">
        <f>IF(L114="","",IF(V114&gt;0,INDEX('08-آب'!$Q$2:$Q$501,V114),IF($AO$1=1,0,"")))</f>
        <v>0</v>
      </c>
      <c r="AA114" s="39">
        <f t="shared" si="33"/>
        <v>0</v>
      </c>
      <c r="AB114" s="40">
        <f>IF(OR(L114="",V114=0),"",IF(AND(N(I114)&gt;0,N(INDEX('08-آب'!$I$2:$I$501,V114))&gt;0,INDEX('08-آب'!$F$2:$F$501,V114)=F114),N(I114)/N(INDEX('08-آب'!$I$2:$I$501,V114))-1,""))</f>
        <v>0</v>
      </c>
      <c r="AC114" t="str">
        <f>IF(L114="","",IF(AND($AO$2=1,ISNA(MATCH(L114,'10-تشرين الأول'!$L$2:$L$501,0))),"محذوف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1.14E-7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1.14E-7</v>
      </c>
      <c r="AL114">
        <f t="shared" si="39"/>
        <v>1.14E-7</v>
      </c>
    </row>
    <row r="115" spans="1:38" ht="15">
      <c r="A115" t="s">
        <v>314</v>
      </c>
      <c r="B115">
        <v>2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16</v>
      </c>
      <c r="K115" t="str">
        <f t="shared" si="20"/>
        <v/>
      </c>
      <c r="L115" t="str">
        <f t="shared" si="21"/>
        <v>عطر مسك احمر</v>
      </c>
      <c r="M115" s="36">
        <f t="shared" si="22"/>
        <v>1</v>
      </c>
      <c r="N115" s="37">
        <f t="shared" si="23"/>
        <v>16</v>
      </c>
      <c r="O115" s="37">
        <f t="shared" si="24"/>
        <v>0</v>
      </c>
      <c r="P115" s="38">
        <f t="shared" si="25"/>
        <v>2</v>
      </c>
      <c r="Q115" s="39">
        <f t="shared" si="26"/>
        <v>32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IF(L115="","",IF($AO$1=1,IFERROR(MATCH(L115,'08-آب'!$L$2:$L$501,0),0),0))</f>
        <v>111</v>
      </c>
      <c r="W115" t="str">
        <f t="shared" si="31"/>
        <v/>
      </c>
      <c r="X115" s="38">
        <f>IF(L115="","",IF(V115&gt;0,INDEX('08-آب'!$P$2:$P$501,V115),IF($AO$1=1,0,"")))</f>
        <v>2</v>
      </c>
      <c r="Y115" s="38">
        <f t="shared" si="32"/>
        <v>0</v>
      </c>
      <c r="Z115" s="39">
        <f>IF(L115="","",IF(V115&gt;0,INDEX('08-آب'!$Q$2:$Q$501,V115),IF($AO$1=1,0,"")))</f>
        <v>32</v>
      </c>
      <c r="AA115" s="39">
        <f t="shared" si="33"/>
        <v>0</v>
      </c>
      <c r="AB115" s="40">
        <f>IF(OR(L115="",V115=0),"",IF(AND(N(I115)&gt;0,N(INDEX('08-آب'!$I$2:$I$501,V115))&gt;0,INDEX('08-آب'!$F$2:$F$501,V115)=F115),N(I115)/N(INDEX('08-آب'!$I$2:$I$501,V115))-1,""))</f>
        <v>0</v>
      </c>
      <c r="AC115" t="str">
        <f>IF(L115="","",IF(AND($AO$2=1,ISNA(MATCH(L115,'10-تشرين الأول'!$L$2:$L$501,0))),"محذوف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1.15E-7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32.000000114999999</v>
      </c>
      <c r="AL115">
        <f t="shared" si="39"/>
        <v>1.15E-7</v>
      </c>
    </row>
    <row r="116" spans="1:38" ht="15">
      <c r="A116" t="s">
        <v>315</v>
      </c>
      <c r="B116">
        <v>3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15.5</v>
      </c>
      <c r="K116" t="str">
        <f t="shared" si="20"/>
        <v/>
      </c>
      <c r="L116" t="str">
        <f t="shared" si="21"/>
        <v>عطر مسك</v>
      </c>
      <c r="M116" s="36">
        <f t="shared" si="22"/>
        <v>1</v>
      </c>
      <c r="N116" s="37">
        <f t="shared" si="23"/>
        <v>15.5</v>
      </c>
      <c r="O116" s="37">
        <f t="shared" si="24"/>
        <v>0</v>
      </c>
      <c r="P116" s="38">
        <f t="shared" si="25"/>
        <v>3</v>
      </c>
      <c r="Q116" s="39">
        <f t="shared" si="26"/>
        <v>46.5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IF(L116="","",IF($AO$1=1,IFERROR(MATCH(L116,'08-آب'!$L$2:$L$501,0),0),0))</f>
        <v>112</v>
      </c>
      <c r="W116" t="str">
        <f t="shared" si="31"/>
        <v/>
      </c>
      <c r="X116" s="38">
        <f>IF(L116="","",IF(V116&gt;0,INDEX('08-آب'!$P$2:$P$501,V116),IF($AO$1=1,0,"")))</f>
        <v>3</v>
      </c>
      <c r="Y116" s="38">
        <f t="shared" si="32"/>
        <v>0</v>
      </c>
      <c r="Z116" s="39">
        <f>IF(L116="","",IF(V116&gt;0,INDEX('08-آب'!$Q$2:$Q$501,V116),IF($AO$1=1,0,"")))</f>
        <v>46.5</v>
      </c>
      <c r="AA116" s="39">
        <f t="shared" si="33"/>
        <v>0</v>
      </c>
      <c r="AB116" s="40">
        <f>IF(OR(L116="",V116=0),"",IF(AND(N(I116)&gt;0,N(INDEX('08-آب'!$I$2:$I$501,V116))&gt;0,INDEX('08-آب'!$F$2:$F$501,V116)=F116),N(I116)/N(INDEX('08-آب'!$I$2:$I$501,V116))-1,""))</f>
        <v>0</v>
      </c>
      <c r="AC116" t="str">
        <f>IF(L116="","",IF(AND($AO$2=1,ISNA(MATCH(L116,'10-تشرين الأول'!$L$2:$L$501,0))),"محذوف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1.1600000000000001E-7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46.500000116000002</v>
      </c>
      <c r="AL116">
        <f t="shared" si="39"/>
        <v>1.1600000000000001E-7</v>
      </c>
    </row>
    <row r="117" spans="1:38" ht="15">
      <c r="A117" t="s">
        <v>316</v>
      </c>
      <c r="B117">
        <v>0.17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225</v>
      </c>
      <c r="K117" t="str">
        <f t="shared" si="20"/>
        <v/>
      </c>
      <c r="L117" t="str">
        <f t="shared" si="21"/>
        <v>عطر ليمون ماكسي</v>
      </c>
      <c r="M117" s="36">
        <f t="shared" si="22"/>
        <v>1</v>
      </c>
      <c r="N117" s="37">
        <f t="shared" si="23"/>
        <v>225</v>
      </c>
      <c r="O117" s="37">
        <f t="shared" si="24"/>
        <v>0</v>
      </c>
      <c r="P117" s="38">
        <f t="shared" si="25"/>
        <v>0.17</v>
      </c>
      <c r="Q117" s="39">
        <f t="shared" si="26"/>
        <v>38.25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IF(L117="","",IF($AO$1=1,IFERROR(MATCH(L117,'08-آب'!$L$2:$L$501,0),0),0))</f>
        <v>113</v>
      </c>
      <c r="W117" t="str">
        <f t="shared" si="31"/>
        <v/>
      </c>
      <c r="X117" s="38">
        <f>IF(L117="","",IF(V117&gt;0,INDEX('08-آب'!$P$2:$P$501,V117),IF($AO$1=1,0,"")))</f>
        <v>0.33</v>
      </c>
      <c r="Y117" s="38">
        <f t="shared" si="32"/>
        <v>-0.16</v>
      </c>
      <c r="Z117" s="39">
        <f>IF(L117="","",IF(V117&gt;0,INDEX('08-آب'!$Q$2:$Q$501,V117),IF($AO$1=1,0,"")))</f>
        <v>74.25</v>
      </c>
      <c r="AA117" s="39">
        <f t="shared" si="33"/>
        <v>-36</v>
      </c>
      <c r="AB117" s="40">
        <f>IF(OR(L117="",V117=0),"",IF(AND(N(I117)&gt;0,N(INDEX('08-آب'!$I$2:$I$501,V117))&gt;0,INDEX('08-آب'!$F$2:$F$501,V117)=F117),N(I117)/N(INDEX('08-آب'!$I$2:$I$501,V117))-1,""))</f>
        <v>0</v>
      </c>
      <c r="AC117" t="str">
        <f>IF(L117="","",IF(AND($AO$2=1,ISNA(MATCH(L117,'10-تشرين الأول'!$L$2:$L$501,0))),"محذوف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36.000000116999999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38.250000116999999</v>
      </c>
      <c r="AL117">
        <f t="shared" si="39"/>
        <v>1.17E-7</v>
      </c>
    </row>
    <row r="118" spans="1:38" ht="15">
      <c r="A118" t="s">
        <v>515</v>
      </c>
      <c r="B118">
        <v>11.1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25</v>
      </c>
      <c r="K118" t="str">
        <f t="shared" si="20"/>
        <v/>
      </c>
      <c r="L118" t="str">
        <f t="shared" si="21"/>
        <v>عطر ليمون ريفا</v>
      </c>
      <c r="M118" s="36">
        <f t="shared" si="22"/>
        <v>1</v>
      </c>
      <c r="N118" s="37">
        <f t="shared" si="23"/>
        <v>25</v>
      </c>
      <c r="O118" s="37">
        <f t="shared" si="24"/>
        <v>0</v>
      </c>
      <c r="P118" s="38">
        <f t="shared" si="25"/>
        <v>11.1</v>
      </c>
      <c r="Q118" s="39">
        <f t="shared" si="26"/>
        <v>277.5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IF(L118="","",IF($AO$1=1,IFERROR(MATCH(L118,'08-آب'!$L$2:$L$501,0),0),0))</f>
        <v>114</v>
      </c>
      <c r="W118" t="str">
        <f t="shared" si="31"/>
        <v/>
      </c>
      <c r="X118" s="38">
        <f>IF(L118="","",IF(V118&gt;0,INDEX('08-آب'!$P$2:$P$501,V118),IF($AO$1=1,0,"")))</f>
        <v>13.6</v>
      </c>
      <c r="Y118" s="38">
        <f t="shared" si="32"/>
        <v>-2.5</v>
      </c>
      <c r="Z118" s="39">
        <f>IF(L118="","",IF(V118&gt;0,INDEX('08-آب'!$Q$2:$Q$501,V118),IF($AO$1=1,0,"")))</f>
        <v>340</v>
      </c>
      <c r="AA118" s="39">
        <f t="shared" si="33"/>
        <v>-62.5</v>
      </c>
      <c r="AB118" s="40">
        <f>IF(OR(L118="",V118=0),"",IF(AND(N(I118)&gt;0,N(INDEX('08-آب'!$I$2:$I$501,V118))&gt;0,INDEX('08-آب'!$F$2:$F$501,V118)=F118),N(I118)/N(INDEX('08-آب'!$I$2:$I$501,V118))-1,""))</f>
        <v>0</v>
      </c>
      <c r="AC118" t="str">
        <f>IF(L118="","",IF(AND($AO$2=1,ISNA(MATCH(L118,'10-تشرين الأول'!$L$2:$L$501,0))),"محذوف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62.500000118000003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277.500000118</v>
      </c>
      <c r="AL118">
        <f t="shared" si="39"/>
        <v>1.18E-7</v>
      </c>
    </row>
    <row r="119" spans="1:38" ht="15">
      <c r="A119" t="s">
        <v>516</v>
      </c>
      <c r="B119">
        <v>15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15</v>
      </c>
      <c r="K119" t="str">
        <f t="shared" si="20"/>
        <v/>
      </c>
      <c r="L119" t="str">
        <f t="shared" si="21"/>
        <v>عطر لافندر ريفا</v>
      </c>
      <c r="M119" s="36">
        <f t="shared" si="22"/>
        <v>1</v>
      </c>
      <c r="N119" s="37">
        <f t="shared" si="23"/>
        <v>15</v>
      </c>
      <c r="O119" s="37">
        <f t="shared" si="24"/>
        <v>0</v>
      </c>
      <c r="P119" s="38">
        <f t="shared" si="25"/>
        <v>15</v>
      </c>
      <c r="Q119" s="39">
        <f t="shared" si="26"/>
        <v>225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IF(L119="","",IF($AO$1=1,IFERROR(MATCH(L119,'08-آب'!$L$2:$L$501,0),0),0))</f>
        <v>115</v>
      </c>
      <c r="W119" t="str">
        <f t="shared" si="31"/>
        <v/>
      </c>
      <c r="X119" s="38">
        <f>IF(L119="","",IF(V119&gt;0,INDEX('08-آب'!$P$2:$P$501,V119),IF($AO$1=1,0,"")))</f>
        <v>15</v>
      </c>
      <c r="Y119" s="38">
        <f t="shared" si="32"/>
        <v>0</v>
      </c>
      <c r="Z119" s="39">
        <f>IF(L119="","",IF(V119&gt;0,INDEX('08-آب'!$Q$2:$Q$501,V119),IF($AO$1=1,0,"")))</f>
        <v>225</v>
      </c>
      <c r="AA119" s="39">
        <f t="shared" si="33"/>
        <v>0</v>
      </c>
      <c r="AB119" s="40">
        <f>IF(OR(L119="",V119=0),"",IF(AND(N(I119)&gt;0,N(INDEX('08-آب'!$I$2:$I$501,V119))&gt;0,INDEX('08-آب'!$F$2:$F$501,V119)=F119),N(I119)/N(INDEX('08-آب'!$I$2:$I$501,V119))-1,""))</f>
        <v>0</v>
      </c>
      <c r="AC119" t="str">
        <f>IF(L119="","",IF(AND($AO$2=1,ISNA(MATCH(L119,'10-تشرين الأول'!$L$2:$L$501,0))),"محذوف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225.00000011899999</v>
      </c>
      <c r="AL119">
        <f t="shared" si="39"/>
        <v>1.1899999999999999E-7</v>
      </c>
    </row>
    <row r="120" spans="1:38" ht="15">
      <c r="A120" t="s">
        <v>517</v>
      </c>
      <c r="B120">
        <v>46.8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18.5</v>
      </c>
      <c r="K120" t="str">
        <f t="shared" si="20"/>
        <v/>
      </c>
      <c r="L120" t="str">
        <f t="shared" si="21"/>
        <v>عطر عود</v>
      </c>
      <c r="M120" s="36">
        <f t="shared" si="22"/>
        <v>1</v>
      </c>
      <c r="N120" s="37">
        <f t="shared" si="23"/>
        <v>18.5</v>
      </c>
      <c r="O120" s="37">
        <f t="shared" si="24"/>
        <v>0</v>
      </c>
      <c r="P120" s="38">
        <f t="shared" si="25"/>
        <v>46.8</v>
      </c>
      <c r="Q120" s="39">
        <f t="shared" si="26"/>
        <v>865.8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IF(L120="","",IF($AO$1=1,IFERROR(MATCH(L120,'08-آب'!$L$2:$L$501,0),0),0))</f>
        <v>116</v>
      </c>
      <c r="W120" t="str">
        <f t="shared" si="31"/>
        <v/>
      </c>
      <c r="X120" s="38">
        <f>IF(L120="","",IF(V120&gt;0,INDEX('08-آب'!$P$2:$P$501,V120),IF($AO$1=1,0,"")))</f>
        <v>46.8</v>
      </c>
      <c r="Y120" s="38">
        <f t="shared" si="32"/>
        <v>0</v>
      </c>
      <c r="Z120" s="39">
        <f>IF(L120="","",IF(V120&gt;0,INDEX('08-آب'!$Q$2:$Q$501,V120),IF($AO$1=1,0,"")))</f>
        <v>865.8</v>
      </c>
      <c r="AA120" s="39">
        <f t="shared" si="33"/>
        <v>0</v>
      </c>
      <c r="AB120" s="40">
        <f>IF(OR(L120="",V120=0),"",IF(AND(N(I120)&gt;0,N(INDEX('08-آب'!$I$2:$I$501,V120))&gt;0,INDEX('08-آب'!$F$2:$F$501,V120)=F120),N(I120)/N(INDEX('08-آب'!$I$2:$I$501,V120))-1,""))</f>
        <v>0</v>
      </c>
      <c r="AC120" t="str">
        <f>IF(L120="","",IF(AND($AO$2=1,ISNA(MATCH(L120,'10-تشرين الأول'!$L$2:$L$501,0))),"محذوف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865.80000011999994</v>
      </c>
      <c r="AL120">
        <f t="shared" si="39"/>
        <v>1.1999999999999999E-7</v>
      </c>
    </row>
    <row r="121" spans="1:38" ht="15">
      <c r="A121" t="s">
        <v>317</v>
      </c>
      <c r="B121">
        <v>1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16</v>
      </c>
      <c r="K121" t="str">
        <f t="shared" si="20"/>
        <v/>
      </c>
      <c r="L121" t="str">
        <f t="shared" si="21"/>
        <v>عطر عسل</v>
      </c>
      <c r="M121" s="36">
        <f t="shared" si="22"/>
        <v>1</v>
      </c>
      <c r="N121" s="37">
        <f t="shared" si="23"/>
        <v>16</v>
      </c>
      <c r="O121" s="37">
        <f t="shared" si="24"/>
        <v>0</v>
      </c>
      <c r="P121" s="38">
        <f t="shared" si="25"/>
        <v>1</v>
      </c>
      <c r="Q121" s="39">
        <f t="shared" si="26"/>
        <v>16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IF(L121="","",IF($AO$1=1,IFERROR(MATCH(L121,'08-آب'!$L$2:$L$501,0),0),0))</f>
        <v>117</v>
      </c>
      <c r="W121" t="str">
        <f t="shared" si="31"/>
        <v/>
      </c>
      <c r="X121" s="38">
        <f>IF(L121="","",IF(V121&gt;0,INDEX('08-آب'!$P$2:$P$501,V121),IF($AO$1=1,0,"")))</f>
        <v>1</v>
      </c>
      <c r="Y121" s="38">
        <f t="shared" si="32"/>
        <v>0</v>
      </c>
      <c r="Z121" s="39">
        <f>IF(L121="","",IF(V121&gt;0,INDEX('08-آب'!$Q$2:$Q$501,V121),IF($AO$1=1,0,"")))</f>
        <v>16</v>
      </c>
      <c r="AA121" s="39">
        <f t="shared" si="33"/>
        <v>0</v>
      </c>
      <c r="AB121" s="40">
        <f>IF(OR(L121="",V121=0),"",IF(AND(N(I121)&gt;0,N(INDEX('08-آب'!$I$2:$I$501,V121))&gt;0,INDEX('08-آب'!$F$2:$F$501,V121)=F121),N(I121)/N(INDEX('08-آب'!$I$2:$I$501,V121))-1,""))</f>
        <v>0</v>
      </c>
      <c r="AC121" t="str">
        <f>IF(L121="","",IF(AND($AO$2=1,ISNA(MATCH(L121,'10-تشرين الأول'!$L$2:$L$501,0))),"محذوف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1.2100000000000001E-7</v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16.000000120999999</v>
      </c>
      <c r="AL121">
        <f t="shared" si="39"/>
        <v>1.2100000000000001E-7</v>
      </c>
    </row>
    <row r="122" spans="1:38" ht="15">
      <c r="A122" t="s">
        <v>505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10</v>
      </c>
      <c r="K122" t="str">
        <f t="shared" si="20"/>
        <v/>
      </c>
      <c r="L122" t="str">
        <f t="shared" si="21"/>
        <v>عطر صنوبر</v>
      </c>
      <c r="M122" s="36">
        <f t="shared" si="22"/>
        <v>1</v>
      </c>
      <c r="N122" s="37">
        <f t="shared" si="23"/>
        <v>10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IF(L122="","",IF($AO$1=1,IFERROR(MATCH(L122,'08-آب'!$L$2:$L$501,0),0),0))</f>
        <v>118</v>
      </c>
      <c r="W122" t="str">
        <f t="shared" si="31"/>
        <v/>
      </c>
      <c r="X122" s="38">
        <f>IF(L122="","",IF(V122&gt;0,INDEX('08-آب'!$P$2:$P$501,V122),IF($AO$1=1,0,"")))</f>
        <v>0</v>
      </c>
      <c r="Y122" s="38">
        <f t="shared" si="32"/>
        <v>0</v>
      </c>
      <c r="Z122" s="39">
        <f>IF(L122="","",IF(V122&gt;0,INDEX('08-آب'!$Q$2:$Q$501,V122),IF($AO$1=1,0,"")))</f>
        <v>0</v>
      </c>
      <c r="AA122" s="39">
        <f t="shared" si="33"/>
        <v>0</v>
      </c>
      <c r="AB122" s="40">
        <f>IF(OR(L122="",V122=0),"",IF(AND(N(I122)&gt;0,N(INDEX('08-آب'!$I$2:$I$501,V122))&gt;0,INDEX('08-آب'!$F$2:$F$501,V122)=F122),N(I122)/N(INDEX('08-آب'!$I$2:$I$501,V122))-1,""))</f>
        <v>0</v>
      </c>
      <c r="AC122" t="str">
        <f>IF(L122="","",IF(AND($AO$2=1,ISNA(MATCH(L122,'10-تشرين الأول'!$L$2:$L$501,0))),"محذوف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318</v>
      </c>
      <c r="B123">
        <v>0</v>
      </c>
      <c r="C123">
        <v>0</v>
      </c>
      <c r="D123">
        <v>0</v>
      </c>
      <c r="E123">
        <v>0</v>
      </c>
      <c r="F123" t="s">
        <v>268</v>
      </c>
      <c r="G123" t="s">
        <v>178</v>
      </c>
      <c r="H123" t="s">
        <v>176</v>
      </c>
      <c r="I123">
        <v>13</v>
      </c>
      <c r="K123" t="str">
        <f t="shared" si="20"/>
        <v/>
      </c>
      <c r="L123" t="str">
        <f t="shared" si="21"/>
        <v>عطر جوز الهند</v>
      </c>
      <c r="M123" s="36">
        <f t="shared" si="22"/>
        <v>1</v>
      </c>
      <c r="N123" s="37">
        <f t="shared" si="23"/>
        <v>13</v>
      </c>
      <c r="O123" s="37">
        <f t="shared" si="24"/>
        <v>0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IF(L123="","",IF($AO$1=1,IFERROR(MATCH(L123,'08-آب'!$L$2:$L$501,0),0),0))</f>
        <v>119</v>
      </c>
      <c r="W123" t="str">
        <f t="shared" si="31"/>
        <v/>
      </c>
      <c r="X123" s="38">
        <f>IF(L123="","",IF(V123&gt;0,INDEX('08-آب'!$P$2:$P$501,V123),IF($AO$1=1,0,"")))</f>
        <v>0</v>
      </c>
      <c r="Y123" s="38">
        <f t="shared" si="32"/>
        <v>0</v>
      </c>
      <c r="Z123" s="39">
        <f>IF(L123="","",IF(V123&gt;0,INDEX('08-آب'!$Q$2:$Q$501,V123),IF($AO$1=1,0,"")))</f>
        <v>0</v>
      </c>
      <c r="AA123" s="39">
        <f t="shared" si="33"/>
        <v>0</v>
      </c>
      <c r="AB123" s="40">
        <f>IF(OR(L123="",V123=0),"",IF(AND(N(I123)&gt;0,N(INDEX('08-آب'!$I$2:$I$501,V123))&gt;0,INDEX('08-آب'!$F$2:$F$501,V123)=F123),N(I123)/N(INDEX('08-آب'!$I$2:$I$501,V123))-1,""))</f>
        <v>0</v>
      </c>
      <c r="AC123" t="str">
        <f>IF(L123="","",IF(AND($AO$2=1,ISNA(MATCH(L123,'10-تشرين الأول'!$L$2:$L$501,0))),"محذوف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1.23E-7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319</v>
      </c>
      <c r="B124">
        <v>22</v>
      </c>
      <c r="C124">
        <v>0</v>
      </c>
      <c r="D124">
        <v>0</v>
      </c>
      <c r="E124">
        <v>0</v>
      </c>
      <c r="F124" t="s">
        <v>268</v>
      </c>
      <c r="G124" t="s">
        <v>178</v>
      </c>
      <c r="H124" t="s">
        <v>176</v>
      </c>
      <c r="I124">
        <v>18</v>
      </c>
      <c r="K124" t="str">
        <f t="shared" si="20"/>
        <v/>
      </c>
      <c r="L124" t="str">
        <f t="shared" si="21"/>
        <v>عطر بيشبه بيدون السلطان - 87287252-750</v>
      </c>
      <c r="M124" s="36">
        <f t="shared" si="22"/>
        <v>1</v>
      </c>
      <c r="N124" s="37">
        <f t="shared" si="23"/>
        <v>18</v>
      </c>
      <c r="O124" s="37">
        <f t="shared" si="24"/>
        <v>0</v>
      </c>
      <c r="P124" s="38">
        <f t="shared" si="25"/>
        <v>22</v>
      </c>
      <c r="Q124" s="39">
        <f t="shared" si="26"/>
        <v>396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IF(L124="","",IF($AO$1=1,IFERROR(MATCH(L124,'08-آب'!$L$2:$L$501,0),0),0))</f>
        <v>120</v>
      </c>
      <c r="W124" t="str">
        <f t="shared" si="31"/>
        <v/>
      </c>
      <c r="X124" s="38">
        <f>IF(L124="","",IF(V124&gt;0,INDEX('08-آب'!$P$2:$P$501,V124),IF($AO$1=1,0,"")))</f>
        <v>22</v>
      </c>
      <c r="Y124" s="38">
        <f t="shared" si="32"/>
        <v>0</v>
      </c>
      <c r="Z124" s="39">
        <f>IF(L124="","",IF(V124&gt;0,INDEX('08-آب'!$Q$2:$Q$501,V124),IF($AO$1=1,0,"")))</f>
        <v>396</v>
      </c>
      <c r="AA124" s="39">
        <f t="shared" si="33"/>
        <v>0</v>
      </c>
      <c r="AB124" s="40">
        <f>IF(OR(L124="",V124=0),"",IF(AND(N(I124)&gt;0,N(INDEX('08-آب'!$I$2:$I$501,V124))&gt;0,INDEX('08-آب'!$F$2:$F$501,V124)=F124),N(I124)/N(INDEX('08-آب'!$I$2:$I$501,V124))-1,""))</f>
        <v>0</v>
      </c>
      <c r="AC124" t="str">
        <f>IF(L124="","",IF(AND($AO$2=1,ISNA(MATCH(L124,'10-تشرين الأول'!$L$2:$L$501,0))),"محذوف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1.24E-7</v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396.000000124</v>
      </c>
      <c r="AL124">
        <f t="shared" si="39"/>
        <v>1.24E-7</v>
      </c>
    </row>
    <row r="125" spans="1:38" ht="15">
      <c r="A125" t="s">
        <v>534</v>
      </c>
      <c r="B125">
        <v>0.5</v>
      </c>
      <c r="C125">
        <v>0</v>
      </c>
      <c r="D125">
        <v>0</v>
      </c>
      <c r="E125">
        <v>0</v>
      </c>
      <c r="F125" t="s">
        <v>268</v>
      </c>
      <c r="G125" t="s">
        <v>178</v>
      </c>
      <c r="H125" t="s">
        <v>176</v>
      </c>
      <c r="I125">
        <v>19.5</v>
      </c>
      <c r="K125" t="str">
        <f t="shared" si="20"/>
        <v/>
      </c>
      <c r="L125" t="str">
        <f t="shared" si="21"/>
        <v>عطر بلو كابس</v>
      </c>
      <c r="M125" s="36">
        <f t="shared" si="22"/>
        <v>1</v>
      </c>
      <c r="N125" s="37">
        <f t="shared" si="23"/>
        <v>19.5</v>
      </c>
      <c r="O125" s="37">
        <f t="shared" si="24"/>
        <v>0</v>
      </c>
      <c r="P125" s="38">
        <f t="shared" si="25"/>
        <v>0.5</v>
      </c>
      <c r="Q125" s="39">
        <f t="shared" si="26"/>
        <v>9.75</v>
      </c>
      <c r="R125" s="39">
        <f t="shared" si="27"/>
        <v>0</v>
      </c>
      <c r="S125">
        <f t="shared" si="28"/>
        <v>0</v>
      </c>
      <c r="T125" s="39">
        <f t="shared" si="29"/>
        <v>0</v>
      </c>
      <c r="U125" t="str">
        <f t="shared" si="30"/>
        <v/>
      </c>
      <c r="V125">
        <f>IF(L125="","",IF($AO$1=1,IFERROR(MATCH(L125,'08-آب'!$L$2:$L$501,0),0),0))</f>
        <v>0</v>
      </c>
      <c r="W125" t="str">
        <f t="shared" si="31"/>
        <v>جديد</v>
      </c>
      <c r="X125" s="38">
        <f>IF(L125="","",IF(V125&gt;0,INDEX('08-آب'!$P$2:$P$501,V125),IF($AO$1=1,0,"")))</f>
        <v>0</v>
      </c>
      <c r="Y125" s="38">
        <f t="shared" si="32"/>
        <v>0.5</v>
      </c>
      <c r="Z125" s="39">
        <f>IF(L125="","",IF(V125&gt;0,INDEX('08-آب'!$Q$2:$Q$501,V125),IF($AO$1=1,0,"")))</f>
        <v>0</v>
      </c>
      <c r="AA125" s="39">
        <f t="shared" si="33"/>
        <v>9.75</v>
      </c>
      <c r="AB125" s="40" t="str">
        <f>IF(OR(L125="",V125=0),"",IF(AND(N(I125)&gt;0,N(INDEX('08-آب'!$I$2:$I$501,V125))&gt;0,INDEX('08-آب'!$F$2:$F$501,V125)=F125),N(I125)/N(INDEX('08-آب'!$I$2:$I$501,V125))-1,""))</f>
        <v/>
      </c>
      <c r="AC125" t="str">
        <f>IF(L125="","",IF(AND($AO$2=1,ISNA(MATCH(L125,'10-تشرين الأول'!$L$2:$L$501,0))),"محذوف لاحقاً",""))</f>
        <v/>
      </c>
      <c r="AD125">
        <f>IF(W125="جديد",COUNTIF(W$2:W125,"جديد"),"")</f>
        <v>5</v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9.7500001249999997</v>
      </c>
      <c r="AH125" s="39">
        <f t="shared" si="35"/>
        <v>0</v>
      </c>
      <c r="AI125" s="39">
        <f t="shared" si="36"/>
        <v>0</v>
      </c>
      <c r="AJ125" s="39">
        <f t="shared" si="37"/>
        <v>0</v>
      </c>
      <c r="AK125">
        <f t="shared" si="38"/>
        <v>9.7500001249999997</v>
      </c>
      <c r="AL125">
        <f t="shared" si="39"/>
        <v>1.2499999999999999E-7</v>
      </c>
    </row>
    <row r="126" spans="1:38" ht="15">
      <c r="A126" t="s">
        <v>320</v>
      </c>
      <c r="B126">
        <v>0</v>
      </c>
      <c r="C126">
        <v>0</v>
      </c>
      <c r="D126">
        <v>0</v>
      </c>
      <c r="E126">
        <v>0</v>
      </c>
      <c r="F126" t="s">
        <v>268</v>
      </c>
      <c r="G126" t="s">
        <v>178</v>
      </c>
      <c r="H126" t="s">
        <v>176</v>
      </c>
      <c r="I126">
        <v>15</v>
      </c>
      <c r="K126" t="str">
        <f t="shared" si="20"/>
        <v/>
      </c>
      <c r="L126" t="str">
        <f t="shared" si="21"/>
        <v>عطر بانتين</v>
      </c>
      <c r="M126" s="36">
        <f t="shared" si="22"/>
        <v>1</v>
      </c>
      <c r="N126" s="37">
        <f t="shared" si="23"/>
        <v>15</v>
      </c>
      <c r="O126" s="37">
        <f t="shared" si="24"/>
        <v>0</v>
      </c>
      <c r="P126" s="38">
        <f t="shared" si="25"/>
        <v>0</v>
      </c>
      <c r="Q126" s="39">
        <f t="shared" si="26"/>
        <v>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IF(L126="","",IF($AO$1=1,IFERROR(MATCH(L126,'08-آب'!$L$2:$L$501,0),0),0))</f>
        <v>121</v>
      </c>
      <c r="W126" t="str">
        <f t="shared" si="31"/>
        <v/>
      </c>
      <c r="X126" s="38">
        <f>IF(L126="","",IF(V126&gt;0,INDEX('08-آب'!$P$2:$P$501,V126),IF($AO$1=1,0,"")))</f>
        <v>0</v>
      </c>
      <c r="Y126" s="38">
        <f t="shared" si="32"/>
        <v>0</v>
      </c>
      <c r="Z126" s="39">
        <f>IF(L126="","",IF(V126&gt;0,INDEX('08-آب'!$Q$2:$Q$501,V126),IF($AO$1=1,0,"")))</f>
        <v>0</v>
      </c>
      <c r="AA126" s="39">
        <f t="shared" si="33"/>
        <v>0</v>
      </c>
      <c r="AB126" s="40">
        <f>IF(OR(L126="",V126=0),"",IF(AND(N(I126)&gt;0,N(INDEX('08-آب'!$I$2:$I$501,V126))&gt;0,INDEX('08-آب'!$F$2:$F$501,V126)=F126),N(I126)/N(INDEX('08-آب'!$I$2:$I$501,V126))-1,""))</f>
        <v>0</v>
      </c>
      <c r="AC126" t="str">
        <f>IF(L126="","",IF(AND($AO$2=1,ISNA(MATCH(L126,'10-تشرين الأول'!$L$2:$L$501,0))),"محذوف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1.2599999999999999E-7</v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1.2599999999999999E-7</v>
      </c>
      <c r="AL126">
        <f t="shared" si="39"/>
        <v>1.2599999999999999E-7</v>
      </c>
    </row>
    <row r="127" spans="1:38" ht="15">
      <c r="A127" t="s">
        <v>321</v>
      </c>
      <c r="B127">
        <v>1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176</v>
      </c>
      <c r="I127">
        <v>13.2</v>
      </c>
      <c r="K127" t="str">
        <f t="shared" si="20"/>
        <v/>
      </c>
      <c r="L127" t="str">
        <f t="shared" si="21"/>
        <v>عطر اوليفا</v>
      </c>
      <c r="M127" s="36">
        <f t="shared" si="22"/>
        <v>1</v>
      </c>
      <c r="N127" s="37">
        <f t="shared" si="23"/>
        <v>13.2</v>
      </c>
      <c r="O127" s="37">
        <f t="shared" si="24"/>
        <v>0</v>
      </c>
      <c r="P127" s="38">
        <f t="shared" si="25"/>
        <v>1</v>
      </c>
      <c r="Q127" s="39">
        <f t="shared" si="26"/>
        <v>13.2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IF(L127="","",IF($AO$1=1,IFERROR(MATCH(L127,'08-آب'!$L$2:$L$501,0),0),0))</f>
        <v>122</v>
      </c>
      <c r="W127" t="str">
        <f t="shared" si="31"/>
        <v/>
      </c>
      <c r="X127" s="38">
        <f>IF(L127="","",IF(V127&gt;0,INDEX('08-آب'!$P$2:$P$501,V127),IF($AO$1=1,0,"")))</f>
        <v>0</v>
      </c>
      <c r="Y127" s="38">
        <f t="shared" si="32"/>
        <v>1</v>
      </c>
      <c r="Z127" s="39">
        <f>IF(L127="","",IF(V127&gt;0,INDEX('08-آب'!$Q$2:$Q$501,V127),IF($AO$1=1,0,"")))</f>
        <v>0</v>
      </c>
      <c r="AA127" s="39">
        <f t="shared" si="33"/>
        <v>13.2</v>
      </c>
      <c r="AB127" s="40">
        <f>IF(OR(L127="",V127=0),"",IF(AND(N(I127)&gt;0,N(INDEX('08-آب'!$I$2:$I$501,V127))&gt;0,INDEX('08-آب'!$F$2:$F$501,V127)=F127),N(I127)/N(INDEX('08-آب'!$I$2:$I$501,V127))-1,""))</f>
        <v>0</v>
      </c>
      <c r="AC127" t="str">
        <f>IF(L127="","",IF(AND($AO$2=1,ISNA(MATCH(L127,'10-تشرين الأول'!$L$2:$L$501,0))),"محذوف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13.200000126999999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13.200000126999999</v>
      </c>
      <c r="AL127">
        <f t="shared" si="39"/>
        <v>1.2700000000000001E-7</v>
      </c>
    </row>
    <row r="128" spans="1:38" ht="15">
      <c r="A128" t="s">
        <v>322</v>
      </c>
      <c r="B128">
        <v>2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176</v>
      </c>
      <c r="I128">
        <v>425</v>
      </c>
      <c r="K128" t="str">
        <f t="shared" si="20"/>
        <v/>
      </c>
      <c r="L128" t="str">
        <f t="shared" si="21"/>
        <v>عطر ramani-kodi-000110</v>
      </c>
      <c r="M128" s="36">
        <f t="shared" si="22"/>
        <v>1</v>
      </c>
      <c r="N128" s="37">
        <f t="shared" si="23"/>
        <v>425</v>
      </c>
      <c r="O128" s="37">
        <f t="shared" si="24"/>
        <v>0</v>
      </c>
      <c r="P128" s="38">
        <f t="shared" si="25"/>
        <v>2</v>
      </c>
      <c r="Q128" s="39">
        <f t="shared" si="26"/>
        <v>850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IF(L128="","",IF($AO$1=1,IFERROR(MATCH(L128,'08-آب'!$L$2:$L$501,0),0),0))</f>
        <v>123</v>
      </c>
      <c r="W128" t="str">
        <f t="shared" si="31"/>
        <v/>
      </c>
      <c r="X128" s="38">
        <f>IF(L128="","",IF(V128&gt;0,INDEX('08-آب'!$P$2:$P$501,V128),IF($AO$1=1,0,"")))</f>
        <v>2</v>
      </c>
      <c r="Y128" s="38">
        <f t="shared" si="32"/>
        <v>0</v>
      </c>
      <c r="Z128" s="39">
        <f>IF(L128="","",IF(V128&gt;0,INDEX('08-آب'!$Q$2:$Q$501,V128),IF($AO$1=1,0,"")))</f>
        <v>850</v>
      </c>
      <c r="AA128" s="39">
        <f t="shared" si="33"/>
        <v>0</v>
      </c>
      <c r="AB128" s="40">
        <f>IF(OR(L128="",V128=0),"",IF(AND(N(I128)&gt;0,N(INDEX('08-آب'!$I$2:$I$501,V128))&gt;0,INDEX('08-آب'!$F$2:$F$501,V128)=F128),N(I128)/N(INDEX('08-آب'!$I$2:$I$501,V128))-1,""))</f>
        <v>0</v>
      </c>
      <c r="AC128" t="str">
        <f>IF(L128="","",IF(AND($AO$2=1,ISNA(MATCH(L128,'10-تشرين الأول'!$L$2:$L$501,0))),"محذوف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850.00000012800001</v>
      </c>
      <c r="AL128">
        <f t="shared" si="39"/>
        <v>1.2800000000000001E-7</v>
      </c>
    </row>
    <row r="129" spans="1:38" ht="15">
      <c r="A129" t="s">
        <v>323</v>
      </c>
      <c r="B129">
        <v>50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176</v>
      </c>
      <c r="I129">
        <v>22</v>
      </c>
      <c r="K129" t="str">
        <f t="shared" ref="K129:K192" si="40">IF(L129="","",IF(U129&lt;&gt;"","⚠",""))</f>
        <v/>
      </c>
      <c r="L129" t="str">
        <f t="shared" ref="L129:L192" si="41">IF(A129="","",TRIM(A129))</f>
        <v>عطر magic sprel - 6168581</v>
      </c>
      <c r="M129" s="36">
        <f t="shared" ref="M129:M192" si="42">IF(L129="","",IF(ISNUMBER(SEARCH("دولار",F129)),1,IF(ISNUMBER(SEARCH("ليرة",F129)),IF($AO$3&gt;0,1/$AO$3,0),0)))</f>
        <v>1</v>
      </c>
      <c r="N129" s="37">
        <f t="shared" ref="N129:N192" si="43">IF(L129="","",N(I129)*M129)</f>
        <v>22</v>
      </c>
      <c r="O129" s="37">
        <f t="shared" ref="O129:O192" si="44">IF(L129="","",M129*CHOOSE($AO$4,N(C129),N(D129),N(E129)))</f>
        <v>0</v>
      </c>
      <c r="P129" s="38">
        <f t="shared" ref="P129:P192" si="45">IF(L129="","",MAX(N(B129),0))</f>
        <v>50</v>
      </c>
      <c r="Q129" s="39">
        <f t="shared" ref="Q129:Q192" si="46">IF(L129="","",P129*N129)</f>
        <v>1100</v>
      </c>
      <c r="R129" s="39">
        <f t="shared" ref="R129:R192" si="47">IF(L129="","",P129*O129)</f>
        <v>0</v>
      </c>
      <c r="S129">
        <f t="shared" ref="S129:S192" si="48">IF(L129="","",IF(AND(P129&gt;0,N129&gt;0,O129&gt;0),1,0))</f>
        <v>0</v>
      </c>
      <c r="T129" s="39">
        <f t="shared" ref="T129:T192" si="49">IF(L129="","",S129*(R129-Q129))</f>
        <v>0</v>
      </c>
      <c r="U129" t="str">
        <f t="shared" ref="U129:U192" si="50">IF(L129="","",MID(IF(OR(NOT(ISNUMBER(B129)),NOT(ISNUMBER(C129)),NOT(ISNUMBER(D129)),NOT(ISNUMBER(E129)),NOT(ISNUMBER(I129)),AND(NOT(ISNUMBER(SEARCH("دولار",F129))),NOT(ISNUMBER(SEARCH("ليرة",F129)))))," | بيانات غير صالحة","")&amp;IF(N(B129)&lt;0," | كمية سالبة","")&amp;IF(AND(N(B129)&gt;0,N(I129)=0)," | شراء صفر","")&amp;IF(AND(N(B129)&gt;0,TRIM(H129)=$AO$5,OR(N(C129)=0,N(D129)=0,N(E129)=0))," | بيع صفر","")&amp;IF(AND(N129&gt;0,O129&gt;0,O129&lt;N129)," | بيع أقل من الشراء","")&amp;IF(OR(AND(ISNUMBER(SEARCH("ليرة",F129)),OR(AND(N(I129)&gt;0,N(I129)&lt;$AO$6),AND(N(C129)&gt;0,N(C129)&lt;$AO$6),AND(N(D129)&gt;0,N(D129)&lt;$AO$6),AND(N(E129)&gt;0,N(E129)&lt;$AO$6))),AND(ISNUMBER(SEARCH("دولار",F129)),MAX(N(I129),N(C129),N(D129),N(E129))&gt;$AO$7))," | عملة/سعر مشكوك","")&amp;IF(AND(COUNTIF(C129:E129,"&gt;0")&gt;=2,MAX(N(C129),N(D129),N(E129))&gt;$AO$8*MIN(IF(N(C129)&gt;0,N(C129),1E+99),IF(N(D129)&gt;0,N(D129),1E+99),IF(N(E129)&gt;0,N(E129),1E+99)))," | تباين أسعار البيع","")&amp;IF(OR(TRIM(H129)="All",TRIM(H129)="")," | بلا تصنيف",""),4,300))</f>
        <v/>
      </c>
      <c r="V129">
        <f>IF(L129="","",IF($AO$1=1,IFERROR(MATCH(L129,'08-آب'!$L$2:$L$501,0),0),0))</f>
        <v>124</v>
      </c>
      <c r="W129" t="str">
        <f t="shared" ref="W129:W192" si="51">IF(L129="","",IF(AND($AO$1=1,V129=0),"جديد",""))</f>
        <v/>
      </c>
      <c r="X129" s="38">
        <f>IF(L129="","",IF(V129&gt;0,INDEX('08-آب'!$P$2:$P$501,V129),IF($AO$1=1,0,"")))</f>
        <v>50</v>
      </c>
      <c r="Y129" s="38">
        <f t="shared" ref="Y129:Y192" si="52">IF(OR(L129="",X129=""),"",P129-X129)</f>
        <v>0</v>
      </c>
      <c r="Z129" s="39">
        <f>IF(L129="","",IF(V129&gt;0,INDEX('08-آب'!$Q$2:$Q$501,V129),IF($AO$1=1,0,"")))</f>
        <v>1100</v>
      </c>
      <c r="AA129" s="39">
        <f t="shared" ref="AA129:AA192" si="53">IF(OR(L129="",Z129=""),"",Q129-Z129)</f>
        <v>0</v>
      </c>
      <c r="AB129" s="40">
        <f>IF(OR(L129="",V129=0),"",IF(AND(N(I129)&gt;0,N(INDEX('08-آب'!$I$2:$I$501,V129))&gt;0,INDEX('08-آب'!$F$2:$F$501,V129)=F129),N(I129)/N(INDEX('08-آب'!$I$2:$I$501,V129))-1,""))</f>
        <v>0</v>
      </c>
      <c r="AC129" t="str">
        <f>IF(L129="","",IF(AND($AO$2=1,ISNA(MATCH(L129,'10-تشرين الأول'!$L$2:$L$501,0))),"محذوف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ref="AG129:AG192" si="54">IF(AA129="","",ABS(AA129)+ROW()/1000000000)</f>
        <v>1.29E-7</v>
      </c>
      <c r="AH129" s="39">
        <f t="shared" ref="AH129:AH192" si="55">IF(L129="","",IF(AND(P129&gt;0,N129&gt;0,N(C129)&gt;0),P129*(M129*N(C129)-N129),0))</f>
        <v>0</v>
      </c>
      <c r="AI129" s="39">
        <f t="shared" ref="AI129:AI192" si="56">IF(L129="","",IF(AND(P129&gt;0,N129&gt;0,N(D129)&gt;0),P129*(M129*N(D129)-N129),0))</f>
        <v>0</v>
      </c>
      <c r="AJ129" s="39">
        <f t="shared" ref="AJ129:AJ192" si="57">IF(L129="","",IF(AND(P129&gt;0,N129&gt;0,N(E129)&gt;0),P129*(M129*N(E129)-N129),0))</f>
        <v>0</v>
      </c>
      <c r="AK129">
        <f t="shared" ref="AK129:AK192" si="58">IF(L129="","",Q129+ROW()/1000000000)</f>
        <v>1100.000000129</v>
      </c>
      <c r="AL129">
        <f t="shared" ref="AL129:AL192" si="59">IF(L129="","",T129+ROW()/1000000000)</f>
        <v>1.29E-7</v>
      </c>
    </row>
    <row r="130" spans="1:38" ht="15">
      <c r="A130" t="s">
        <v>324</v>
      </c>
      <c r="B130">
        <v>4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425</v>
      </c>
      <c r="K130" t="str">
        <f t="shared" si="40"/>
        <v/>
      </c>
      <c r="L130" t="str">
        <f t="shared" si="41"/>
        <v>عطر kavien-clein-eforia-000020</v>
      </c>
      <c r="M130" s="36">
        <f t="shared" si="42"/>
        <v>1</v>
      </c>
      <c r="N130" s="37">
        <f t="shared" si="43"/>
        <v>425</v>
      </c>
      <c r="O130" s="37">
        <f t="shared" si="44"/>
        <v>0</v>
      </c>
      <c r="P130" s="38">
        <f t="shared" si="45"/>
        <v>4</v>
      </c>
      <c r="Q130" s="39">
        <f t="shared" si="46"/>
        <v>1700</v>
      </c>
      <c r="R130" s="39">
        <f t="shared" si="47"/>
        <v>0</v>
      </c>
      <c r="S130">
        <f t="shared" si="48"/>
        <v>0</v>
      </c>
      <c r="T130" s="39">
        <f t="shared" si="49"/>
        <v>0</v>
      </c>
      <c r="U130" t="str">
        <f t="shared" si="50"/>
        <v/>
      </c>
      <c r="V130">
        <f>IF(L130="","",IF($AO$1=1,IFERROR(MATCH(L130,'08-آب'!$L$2:$L$501,0),0),0))</f>
        <v>125</v>
      </c>
      <c r="W130" t="str">
        <f t="shared" si="51"/>
        <v/>
      </c>
      <c r="X130" s="38">
        <f>IF(L130="","",IF(V130&gt;0,INDEX('08-آب'!$P$2:$P$501,V130),IF($AO$1=1,0,"")))</f>
        <v>4</v>
      </c>
      <c r="Y130" s="38">
        <f t="shared" si="52"/>
        <v>0</v>
      </c>
      <c r="Z130" s="39">
        <f>IF(L130="","",IF(V130&gt;0,INDEX('08-آب'!$Q$2:$Q$501,V130),IF($AO$1=1,0,"")))</f>
        <v>1700</v>
      </c>
      <c r="AA130" s="39">
        <f t="shared" si="53"/>
        <v>0</v>
      </c>
      <c r="AB130" s="40">
        <f>IF(OR(L130="",V130=0),"",IF(AND(N(I130)&gt;0,N(INDEX('08-آب'!$I$2:$I$501,V130))&gt;0,INDEX('08-آب'!$F$2:$F$501,V130)=F130),N(I130)/N(INDEX('08-آب'!$I$2:$I$501,V130))-1,""))</f>
        <v>0</v>
      </c>
      <c r="AC130" t="str">
        <f>IF(L130="","",IF(AND($AO$2=1,ISNA(MATCH(L130,'10-تشرين الأول'!$L$2:$L$501,0))),"محذوف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si="54"/>
        <v>1.3E-7</v>
      </c>
      <c r="AH130" s="39">
        <f t="shared" si="55"/>
        <v>0</v>
      </c>
      <c r="AI130" s="39">
        <f t="shared" si="56"/>
        <v>0</v>
      </c>
      <c r="AJ130" s="39">
        <f t="shared" si="57"/>
        <v>0</v>
      </c>
      <c r="AK130">
        <f t="shared" si="58"/>
        <v>1700.00000013</v>
      </c>
      <c r="AL130">
        <f t="shared" si="59"/>
        <v>1.3E-7</v>
      </c>
    </row>
    <row r="131" spans="1:38" ht="15">
      <c r="A131" t="s">
        <v>325</v>
      </c>
      <c r="B131">
        <v>1.44</v>
      </c>
      <c r="C131">
        <v>0</v>
      </c>
      <c r="D131">
        <v>0</v>
      </c>
      <c r="E131">
        <v>0</v>
      </c>
      <c r="F131" t="s">
        <v>268</v>
      </c>
      <c r="G131" t="s">
        <v>178</v>
      </c>
      <c r="H131" t="s">
        <v>176</v>
      </c>
      <c r="I131">
        <v>400</v>
      </c>
      <c r="K131" t="str">
        <f t="shared" si="40"/>
        <v/>
      </c>
      <c r="L131" t="str">
        <f t="shared" si="41"/>
        <v>عطر energy-000400</v>
      </c>
      <c r="M131" s="36">
        <f t="shared" si="42"/>
        <v>1</v>
      </c>
      <c r="N131" s="37">
        <f t="shared" si="43"/>
        <v>400</v>
      </c>
      <c r="O131" s="37">
        <f t="shared" si="44"/>
        <v>0</v>
      </c>
      <c r="P131" s="38">
        <f t="shared" si="45"/>
        <v>1.44</v>
      </c>
      <c r="Q131" s="39">
        <f t="shared" si="46"/>
        <v>576</v>
      </c>
      <c r="R131" s="39">
        <f t="shared" si="47"/>
        <v>0</v>
      </c>
      <c r="S131">
        <f t="shared" si="48"/>
        <v>0</v>
      </c>
      <c r="T131" s="39">
        <f t="shared" si="49"/>
        <v>0</v>
      </c>
      <c r="U131" t="str">
        <f t="shared" si="50"/>
        <v/>
      </c>
      <c r="V131">
        <f>IF(L131="","",IF($AO$1=1,IFERROR(MATCH(L131,'08-آب'!$L$2:$L$501,0),0),0))</f>
        <v>126</v>
      </c>
      <c r="W131" t="str">
        <f t="shared" si="51"/>
        <v/>
      </c>
      <c r="X131" s="38">
        <f>IF(L131="","",IF(V131&gt;0,INDEX('08-آب'!$P$2:$P$501,V131),IF($AO$1=1,0,"")))</f>
        <v>1.44</v>
      </c>
      <c r="Y131" s="38">
        <f t="shared" si="52"/>
        <v>0</v>
      </c>
      <c r="Z131" s="39">
        <f>IF(L131="","",IF(V131&gt;0,INDEX('08-آب'!$Q$2:$Q$501,V131),IF($AO$1=1,0,"")))</f>
        <v>576</v>
      </c>
      <c r="AA131" s="39">
        <f t="shared" si="53"/>
        <v>0</v>
      </c>
      <c r="AB131" s="40">
        <f>IF(OR(L131="",V131=0),"",IF(AND(N(I131)&gt;0,N(INDEX('08-آب'!$I$2:$I$501,V131))&gt;0,INDEX('08-آب'!$F$2:$F$501,V131)=F131),N(I131)/N(INDEX('08-آب'!$I$2:$I$501,V131))-1,""))</f>
        <v>0</v>
      </c>
      <c r="AC131" t="str">
        <f>IF(L131="","",IF(AND($AO$2=1,ISNA(MATCH(L131,'10-تشرين الأول'!$L$2:$L$501,0))),"محذوف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1.31E-7</v>
      </c>
      <c r="AH131" s="39">
        <f t="shared" si="55"/>
        <v>0</v>
      </c>
      <c r="AI131" s="39">
        <f t="shared" si="56"/>
        <v>0</v>
      </c>
      <c r="AJ131" s="39">
        <f t="shared" si="57"/>
        <v>0</v>
      </c>
      <c r="AK131">
        <f t="shared" si="58"/>
        <v>576.00000013099998</v>
      </c>
      <c r="AL131">
        <f t="shared" si="59"/>
        <v>1.31E-7</v>
      </c>
    </row>
    <row r="132" spans="1:38" ht="15">
      <c r="A132" t="s">
        <v>326</v>
      </c>
      <c r="B132">
        <v>105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24</v>
      </c>
      <c r="K132" t="str">
        <f t="shared" si="40"/>
        <v/>
      </c>
      <c r="L132" t="str">
        <f t="shared" si="41"/>
        <v>عطر Blue APC - 0001198620</v>
      </c>
      <c r="M132" s="36">
        <f t="shared" si="42"/>
        <v>1</v>
      </c>
      <c r="N132" s="37">
        <f t="shared" si="43"/>
        <v>24</v>
      </c>
      <c r="O132" s="37">
        <f t="shared" si="44"/>
        <v>0</v>
      </c>
      <c r="P132" s="38">
        <f t="shared" si="45"/>
        <v>105</v>
      </c>
      <c r="Q132" s="39">
        <f t="shared" si="46"/>
        <v>2520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IF(L132="","",IF($AO$1=1,IFERROR(MATCH(L132,'08-آب'!$L$2:$L$501,0),0),0))</f>
        <v>127</v>
      </c>
      <c r="W132" t="str">
        <f t="shared" si="51"/>
        <v/>
      </c>
      <c r="X132" s="38">
        <f>IF(L132="","",IF(V132&gt;0,INDEX('08-آب'!$P$2:$P$501,V132),IF($AO$1=1,0,"")))</f>
        <v>105</v>
      </c>
      <c r="Y132" s="38">
        <f t="shared" si="52"/>
        <v>0</v>
      </c>
      <c r="Z132" s="39">
        <f>IF(L132="","",IF(V132&gt;0,INDEX('08-آب'!$Q$2:$Q$501,V132),IF($AO$1=1,0,"")))</f>
        <v>2520</v>
      </c>
      <c r="AA132" s="39">
        <f t="shared" si="53"/>
        <v>0</v>
      </c>
      <c r="AB132" s="40">
        <f>IF(OR(L132="",V132=0),"",IF(AND(N(I132)&gt;0,N(INDEX('08-آب'!$I$2:$I$501,V132))&gt;0,INDEX('08-آب'!$F$2:$F$501,V132)=F132),N(I132)/N(INDEX('08-آب'!$I$2:$I$501,V132))-1,""))</f>
        <v>0</v>
      </c>
      <c r="AC132" t="str">
        <f>IF(L132="","",IF(AND($AO$2=1,ISNA(MATCH(L132,'10-تشرين الأول'!$L$2:$L$501,0))),"محذوف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2520.000000132</v>
      </c>
      <c r="AL132">
        <f t="shared" si="59"/>
        <v>1.3199999999999999E-7</v>
      </c>
    </row>
    <row r="133" spans="1:38" ht="15">
      <c r="A133" t="s">
        <v>327</v>
      </c>
      <c r="B133">
        <v>4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450</v>
      </c>
      <c r="K133" t="str">
        <f t="shared" si="40"/>
        <v/>
      </c>
      <c r="L133" t="str">
        <f t="shared" si="41"/>
        <v>عطر billionair-000250</v>
      </c>
      <c r="M133" s="36">
        <f t="shared" si="42"/>
        <v>1</v>
      </c>
      <c r="N133" s="37">
        <f t="shared" si="43"/>
        <v>450</v>
      </c>
      <c r="O133" s="37">
        <f t="shared" si="44"/>
        <v>0</v>
      </c>
      <c r="P133" s="38">
        <f t="shared" si="45"/>
        <v>4</v>
      </c>
      <c r="Q133" s="39">
        <f t="shared" si="46"/>
        <v>1800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IF(L133="","",IF($AO$1=1,IFERROR(MATCH(L133,'08-آب'!$L$2:$L$501,0),0),0))</f>
        <v>128</v>
      </c>
      <c r="W133" t="str">
        <f t="shared" si="51"/>
        <v/>
      </c>
      <c r="X133" s="38">
        <f>IF(L133="","",IF(V133&gt;0,INDEX('08-آب'!$P$2:$P$501,V133),IF($AO$1=1,0,"")))</f>
        <v>4</v>
      </c>
      <c r="Y133" s="38">
        <f t="shared" si="52"/>
        <v>0</v>
      </c>
      <c r="Z133" s="39">
        <f>IF(L133="","",IF(V133&gt;0,INDEX('08-آب'!$Q$2:$Q$501,V133),IF($AO$1=1,0,"")))</f>
        <v>1800</v>
      </c>
      <c r="AA133" s="39">
        <f t="shared" si="53"/>
        <v>0</v>
      </c>
      <c r="AB133" s="40">
        <f>IF(OR(L133="",V133=0),"",IF(AND(N(I133)&gt;0,N(INDEX('08-آب'!$I$2:$I$501,V133))&gt;0,INDEX('08-آب'!$F$2:$F$501,V133)=F133),N(I133)/N(INDEX('08-آب'!$I$2:$I$501,V133))-1,""))</f>
        <v>0</v>
      </c>
      <c r="AC133" t="str">
        <f>IF(L133="","",IF(AND($AO$2=1,ISNA(MATCH(L133,'10-تشرين الأول'!$L$2:$L$501,0))),"محذوف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1.3300000000000001E-7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1800.000000133</v>
      </c>
      <c r="AL133">
        <f t="shared" si="59"/>
        <v>1.3300000000000001E-7</v>
      </c>
    </row>
    <row r="134" spans="1:38" ht="15">
      <c r="A134" t="s">
        <v>328</v>
      </c>
      <c r="B134">
        <v>2</v>
      </c>
      <c r="C134">
        <v>0</v>
      </c>
      <c r="D134">
        <v>0</v>
      </c>
      <c r="E134">
        <v>0</v>
      </c>
      <c r="F134" t="s">
        <v>268</v>
      </c>
      <c r="G134" t="s">
        <v>178</v>
      </c>
      <c r="H134" t="s">
        <v>176</v>
      </c>
      <c r="I134">
        <v>187.5</v>
      </c>
      <c r="K134" t="str">
        <f t="shared" si="40"/>
        <v/>
      </c>
      <c r="L134" t="str">
        <f t="shared" si="41"/>
        <v>عطر be-apple-000320</v>
      </c>
      <c r="M134" s="36">
        <f t="shared" si="42"/>
        <v>1</v>
      </c>
      <c r="N134" s="37">
        <f t="shared" si="43"/>
        <v>187.5</v>
      </c>
      <c r="O134" s="37">
        <f t="shared" si="44"/>
        <v>0</v>
      </c>
      <c r="P134" s="38">
        <f t="shared" si="45"/>
        <v>2</v>
      </c>
      <c r="Q134" s="39">
        <f t="shared" si="46"/>
        <v>375</v>
      </c>
      <c r="R134" s="39">
        <f t="shared" si="47"/>
        <v>0</v>
      </c>
      <c r="S134">
        <f t="shared" si="48"/>
        <v>0</v>
      </c>
      <c r="T134" s="39">
        <f t="shared" si="49"/>
        <v>0</v>
      </c>
      <c r="U134" t="str">
        <f t="shared" si="50"/>
        <v/>
      </c>
      <c r="V134">
        <f>IF(L134="","",IF($AO$1=1,IFERROR(MATCH(L134,'08-آب'!$L$2:$L$501,0),0),0))</f>
        <v>129</v>
      </c>
      <c r="W134" t="str">
        <f t="shared" si="51"/>
        <v/>
      </c>
      <c r="X134" s="38">
        <f>IF(L134="","",IF(V134&gt;0,INDEX('08-آب'!$P$2:$P$501,V134),IF($AO$1=1,0,"")))</f>
        <v>2</v>
      </c>
      <c r="Y134" s="38">
        <f t="shared" si="52"/>
        <v>0</v>
      </c>
      <c r="Z134" s="39">
        <f>IF(L134="","",IF(V134&gt;0,INDEX('08-آب'!$Q$2:$Q$501,V134),IF($AO$1=1,0,"")))</f>
        <v>375</v>
      </c>
      <c r="AA134" s="39">
        <f t="shared" si="53"/>
        <v>0</v>
      </c>
      <c r="AB134" s="40">
        <f>IF(OR(L134="",V134=0),"",IF(AND(N(I134)&gt;0,N(INDEX('08-آب'!$I$2:$I$501,V134))&gt;0,INDEX('08-آب'!$F$2:$F$501,V134)=F134),N(I134)/N(INDEX('08-آب'!$I$2:$I$501,V134))-1,""))</f>
        <v>0</v>
      </c>
      <c r="AC134" t="str">
        <f>IF(L134="","",IF(AND($AO$2=1,ISNA(MATCH(L134,'10-تشرين الأول'!$L$2:$L$501,0))),"محذوف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1.3400000000000001E-7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375.000000134</v>
      </c>
      <c r="AL134">
        <f t="shared" si="59"/>
        <v>1.3400000000000001E-7</v>
      </c>
    </row>
    <row r="135" spans="1:38" ht="15">
      <c r="A135" t="s">
        <v>446</v>
      </c>
      <c r="B135">
        <v>0.6</v>
      </c>
      <c r="C135">
        <v>250000</v>
      </c>
      <c r="D135">
        <v>250000</v>
      </c>
      <c r="E135">
        <v>250000</v>
      </c>
      <c r="F135" t="s">
        <v>389</v>
      </c>
      <c r="G135" t="s">
        <v>178</v>
      </c>
      <c r="H135" t="s">
        <v>12</v>
      </c>
      <c r="I135">
        <v>200000</v>
      </c>
      <c r="K135" t="str">
        <f t="shared" si="40"/>
        <v/>
      </c>
      <c r="L135" t="str">
        <f t="shared" si="41"/>
        <v>عصايات</v>
      </c>
      <c r="M135" s="36">
        <f t="shared" si="42"/>
        <v>7.2463768115942027E-5</v>
      </c>
      <c r="N135" s="37">
        <f t="shared" si="43"/>
        <v>14.492753623188406</v>
      </c>
      <c r="O135" s="37">
        <f t="shared" si="44"/>
        <v>18.115942028985508</v>
      </c>
      <c r="P135" s="38">
        <f t="shared" si="45"/>
        <v>0.6</v>
      </c>
      <c r="Q135" s="39">
        <f t="shared" si="46"/>
        <v>8.695652173913043</v>
      </c>
      <c r="R135" s="39">
        <f t="shared" si="47"/>
        <v>10.869565217391305</v>
      </c>
      <c r="S135">
        <f t="shared" si="48"/>
        <v>1</v>
      </c>
      <c r="T135" s="39">
        <f t="shared" si="49"/>
        <v>2.1739130434782616</v>
      </c>
      <c r="U135" t="str">
        <f t="shared" si="50"/>
        <v/>
      </c>
      <c r="V135">
        <f>IF(L135="","",IF($AO$1=1,IFERROR(MATCH(L135,'08-آب'!$L$2:$L$501,0),0),0))</f>
        <v>130</v>
      </c>
      <c r="W135" t="str">
        <f t="shared" si="51"/>
        <v/>
      </c>
      <c r="X135" s="38">
        <f>IF(L135="","",IF(V135&gt;0,INDEX('08-آب'!$P$2:$P$501,V135),IF($AO$1=1,0,"")))</f>
        <v>0.04</v>
      </c>
      <c r="Y135" s="38">
        <f t="shared" si="52"/>
        <v>0.55999999999999994</v>
      </c>
      <c r="Z135" s="39">
        <f>IF(L135="","",IF(V135&gt;0,INDEX('08-آب'!$Q$2:$Q$501,V135),IF($AO$1=1,0,"")))</f>
        <v>0.60606060606060608</v>
      </c>
      <c r="AA135" s="39">
        <f t="shared" si="53"/>
        <v>8.0895915678524375</v>
      </c>
      <c r="AB135" s="40">
        <f>IF(OR(L135="",V135=0),"",IF(AND(N(I135)&gt;0,N(INDEX('08-آب'!$I$2:$I$501,V135))&gt;0,INDEX('08-آب'!$F$2:$F$501,V135)=F135),N(I135)/N(INDEX('08-آب'!$I$2:$I$501,V135))-1,""))</f>
        <v>0</v>
      </c>
      <c r="AC135" t="str">
        <f>IF(L135="","",IF(AND($AO$2=1,ISNA(MATCH(L135,'10-تشرين الأول'!$L$2:$L$501,0))),"محذوف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8.089591702852438</v>
      </c>
      <c r="AH135" s="39">
        <f t="shared" si="55"/>
        <v>2.1739130434782608</v>
      </c>
      <c r="AI135" s="39">
        <f t="shared" si="56"/>
        <v>2.1739130434782608</v>
      </c>
      <c r="AJ135" s="39">
        <f t="shared" si="57"/>
        <v>2.1739130434782608</v>
      </c>
      <c r="AK135">
        <f t="shared" si="58"/>
        <v>8.6956523089130435</v>
      </c>
      <c r="AL135">
        <f t="shared" si="59"/>
        <v>2.1739131784782617</v>
      </c>
    </row>
    <row r="136" spans="1:38" ht="15">
      <c r="A136" t="s">
        <v>535</v>
      </c>
      <c r="B136">
        <v>4466</v>
      </c>
      <c r="C136">
        <v>0</v>
      </c>
      <c r="D136">
        <v>0</v>
      </c>
      <c r="E136">
        <v>0</v>
      </c>
      <c r="F136" t="s">
        <v>268</v>
      </c>
      <c r="G136" t="s">
        <v>178</v>
      </c>
      <c r="H136" t="s">
        <v>176</v>
      </c>
      <c r="I136">
        <v>0.13500000000000001</v>
      </c>
      <c r="K136" t="str">
        <f t="shared" si="40"/>
        <v/>
      </c>
      <c r="L136" t="str">
        <f t="shared" si="41"/>
        <v>عبوة كلور 800 ميلي</v>
      </c>
      <c r="M136" s="36">
        <f t="shared" si="42"/>
        <v>1</v>
      </c>
      <c r="N136" s="37">
        <f t="shared" si="43"/>
        <v>0.13500000000000001</v>
      </c>
      <c r="O136" s="37">
        <f t="shared" si="44"/>
        <v>0</v>
      </c>
      <c r="P136" s="38">
        <f t="shared" si="45"/>
        <v>4466</v>
      </c>
      <c r="Q136" s="39">
        <f t="shared" si="46"/>
        <v>602.91000000000008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IF(L136="","",IF($AO$1=1,IFERROR(MATCH(L136,'08-آب'!$L$2:$L$501,0),0),0))</f>
        <v>0</v>
      </c>
      <c r="W136" t="str">
        <f t="shared" si="51"/>
        <v>جديد</v>
      </c>
      <c r="X136" s="38">
        <f>IF(L136="","",IF(V136&gt;0,INDEX('08-آب'!$P$2:$P$501,V136),IF($AO$1=1,0,"")))</f>
        <v>0</v>
      </c>
      <c r="Y136" s="38">
        <f t="shared" si="52"/>
        <v>4466</v>
      </c>
      <c r="Z136" s="39">
        <f>IF(L136="","",IF(V136&gt;0,INDEX('08-آب'!$Q$2:$Q$501,V136),IF($AO$1=1,0,"")))</f>
        <v>0</v>
      </c>
      <c r="AA136" s="39">
        <f t="shared" si="53"/>
        <v>602.91000000000008</v>
      </c>
      <c r="AB136" s="40" t="str">
        <f>IF(OR(L136="",V136=0),"",IF(AND(N(I136)&gt;0,N(INDEX('08-آب'!$I$2:$I$501,V136))&gt;0,INDEX('08-آب'!$F$2:$F$501,V136)=F136),N(I136)/N(INDEX('08-آب'!$I$2:$I$501,V136))-1,""))</f>
        <v/>
      </c>
      <c r="AC136" t="str">
        <f>IF(L136="","",IF(AND($AO$2=1,ISNA(MATCH(L136,'10-تشرين الأول'!$L$2:$L$501,0))),"محذوف لاحقاً",""))</f>
        <v/>
      </c>
      <c r="AD136">
        <f>IF(W136="جديد",COUNTIF(W$2:W136,"جديد"),"")</f>
        <v>6</v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602.91000013600012</v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602.91000013600012</v>
      </c>
      <c r="AL136">
        <f t="shared" si="59"/>
        <v>1.36E-7</v>
      </c>
    </row>
    <row r="137" spans="1:38" ht="15">
      <c r="A137" t="s">
        <v>518</v>
      </c>
      <c r="B137">
        <v>0</v>
      </c>
      <c r="C137">
        <v>0</v>
      </c>
      <c r="D137">
        <v>0</v>
      </c>
      <c r="E137">
        <v>0</v>
      </c>
      <c r="F137" t="s">
        <v>268</v>
      </c>
      <c r="G137" t="s">
        <v>178</v>
      </c>
      <c r="H137" t="s">
        <v>176</v>
      </c>
      <c r="I137">
        <v>5.4</v>
      </c>
      <c r="K137" t="str">
        <f t="shared" si="40"/>
        <v/>
      </c>
      <c r="L137" t="str">
        <f t="shared" si="41"/>
        <v>عبوة ريفا شفافة 750غ</v>
      </c>
      <c r="M137" s="36">
        <f t="shared" si="42"/>
        <v>1</v>
      </c>
      <c r="N137" s="37">
        <f t="shared" si="43"/>
        <v>5.4</v>
      </c>
      <c r="O137" s="37">
        <f t="shared" si="44"/>
        <v>0</v>
      </c>
      <c r="P137" s="38">
        <f t="shared" si="45"/>
        <v>0</v>
      </c>
      <c r="Q137" s="39">
        <f t="shared" si="46"/>
        <v>0</v>
      </c>
      <c r="R137" s="39">
        <f t="shared" si="47"/>
        <v>0</v>
      </c>
      <c r="S137">
        <f t="shared" si="48"/>
        <v>0</v>
      </c>
      <c r="T137" s="39">
        <f t="shared" si="49"/>
        <v>0</v>
      </c>
      <c r="U137" t="str">
        <f t="shared" si="50"/>
        <v/>
      </c>
      <c r="V137">
        <f>IF(L137="","",IF($AO$1=1,IFERROR(MATCH(L137,'08-آب'!$L$2:$L$501,0),0),0))</f>
        <v>131</v>
      </c>
      <c r="W137" t="str">
        <f t="shared" si="51"/>
        <v/>
      </c>
      <c r="X137" s="38">
        <f>IF(L137="","",IF(V137&gt;0,INDEX('08-آب'!$P$2:$P$501,V137),IF($AO$1=1,0,"")))</f>
        <v>0</v>
      </c>
      <c r="Y137" s="38">
        <f t="shared" si="52"/>
        <v>0</v>
      </c>
      <c r="Z137" s="39">
        <f>IF(L137="","",IF(V137&gt;0,INDEX('08-آب'!$Q$2:$Q$501,V137),IF($AO$1=1,0,"")))</f>
        <v>0</v>
      </c>
      <c r="AA137" s="39">
        <f t="shared" si="53"/>
        <v>0</v>
      </c>
      <c r="AB137" s="40">
        <f>IF(OR(L137="",V137=0),"",IF(AND(N(I137)&gt;0,N(INDEX('08-آب'!$I$2:$I$501,V137))&gt;0,INDEX('08-آب'!$F$2:$F$501,V137)=F137),N(I137)/N(INDEX('08-آب'!$I$2:$I$501,V137))-1,""))</f>
        <v>0</v>
      </c>
      <c r="AC137" t="str">
        <f>IF(L137="","",IF(AND($AO$2=1,ISNA(MATCH(L137,'10-تشرين الأول'!$L$2:$L$501,0))),"محذوف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1.37E-7</v>
      </c>
      <c r="AH137" s="39">
        <f t="shared" si="55"/>
        <v>0</v>
      </c>
      <c r="AI137" s="39">
        <f t="shared" si="56"/>
        <v>0</v>
      </c>
      <c r="AJ137" s="39">
        <f t="shared" si="57"/>
        <v>0</v>
      </c>
      <c r="AK137">
        <f t="shared" si="58"/>
        <v>1.37E-7</v>
      </c>
      <c r="AL137">
        <f t="shared" si="59"/>
        <v>1.37E-7</v>
      </c>
    </row>
    <row r="138" spans="1:38" ht="15">
      <c r="A138" t="s">
        <v>329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176</v>
      </c>
      <c r="I138">
        <v>0.8</v>
      </c>
      <c r="K138" t="str">
        <f t="shared" si="40"/>
        <v/>
      </c>
      <c r="L138" t="str">
        <f t="shared" si="41"/>
        <v>عبوة 1 لتر</v>
      </c>
      <c r="M138" s="36">
        <f t="shared" si="42"/>
        <v>1</v>
      </c>
      <c r="N138" s="37">
        <f t="shared" si="43"/>
        <v>0.8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IF(L138="","",IF($AO$1=1,IFERROR(MATCH(L138,'08-آب'!$L$2:$L$501,0),0),0))</f>
        <v>132</v>
      </c>
      <c r="W138" t="str">
        <f t="shared" si="51"/>
        <v/>
      </c>
      <c r="X138" s="38">
        <f>IF(L138="","",IF(V138&gt;0,INDEX('08-آب'!$P$2:$P$501,V138),IF($AO$1=1,0,"")))</f>
        <v>0</v>
      </c>
      <c r="Y138" s="38">
        <f t="shared" si="52"/>
        <v>0</v>
      </c>
      <c r="Z138" s="39">
        <f>IF(L138="","",IF(V138&gt;0,INDEX('08-آب'!$Q$2:$Q$501,V138),IF($AO$1=1,0,"")))</f>
        <v>0</v>
      </c>
      <c r="AA138" s="39">
        <f t="shared" si="53"/>
        <v>0</v>
      </c>
      <c r="AB138" s="40">
        <f>IF(OR(L138="",V138=0),"",IF(AND(N(I138)&gt;0,N(INDEX('08-آب'!$I$2:$I$501,V138))&gt;0,INDEX('08-آب'!$F$2:$F$501,V138)=F138),N(I138)/N(INDEX('08-آب'!$I$2:$I$501,V138))-1,""))</f>
        <v>0</v>
      </c>
      <c r="AC138" t="str">
        <f>IF(L138="","",IF(AND($AO$2=1,ISNA(MATCH(L138,'10-تشرين الأول'!$L$2:$L$501,0))),"محذوف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447</v>
      </c>
      <c r="B139">
        <v>7.67</v>
      </c>
      <c r="C139">
        <v>90000</v>
      </c>
      <c r="D139">
        <v>90000</v>
      </c>
      <c r="E139">
        <v>90000</v>
      </c>
      <c r="F139" t="s">
        <v>389</v>
      </c>
      <c r="G139" t="s">
        <v>178</v>
      </c>
      <c r="H139" t="s">
        <v>176</v>
      </c>
      <c r="I139">
        <v>84000</v>
      </c>
      <c r="K139" t="str">
        <f t="shared" si="40"/>
        <v/>
      </c>
      <c r="L139" t="str">
        <f t="shared" si="41"/>
        <v>عبوات كلور + فلاش فارغة</v>
      </c>
      <c r="M139" s="36">
        <f t="shared" si="42"/>
        <v>7.2463768115942027E-5</v>
      </c>
      <c r="N139" s="37">
        <f t="shared" si="43"/>
        <v>6.0869565217391299</v>
      </c>
      <c r="O139" s="37">
        <f t="shared" si="44"/>
        <v>6.5217391304347823</v>
      </c>
      <c r="P139" s="38">
        <f t="shared" si="45"/>
        <v>7.67</v>
      </c>
      <c r="Q139" s="39">
        <f t="shared" si="46"/>
        <v>46.686956521739127</v>
      </c>
      <c r="R139" s="39">
        <f t="shared" si="47"/>
        <v>50.021739130434781</v>
      </c>
      <c r="S139">
        <f t="shared" si="48"/>
        <v>1</v>
      </c>
      <c r="T139" s="39">
        <f t="shared" si="49"/>
        <v>3.3347826086956545</v>
      </c>
      <c r="U139" t="str">
        <f t="shared" si="50"/>
        <v/>
      </c>
      <c r="V139">
        <f>IF(L139="","",IF($AO$1=1,IFERROR(MATCH(L139,'08-آب'!$L$2:$L$501,0),0),0))</f>
        <v>133</v>
      </c>
      <c r="W139" t="str">
        <f t="shared" si="51"/>
        <v/>
      </c>
      <c r="X139" s="38">
        <f>IF(L139="","",IF(V139&gt;0,INDEX('08-آب'!$P$2:$P$501,V139),IF($AO$1=1,0,"")))</f>
        <v>12.23</v>
      </c>
      <c r="Y139" s="38">
        <f t="shared" si="52"/>
        <v>-4.5600000000000005</v>
      </c>
      <c r="Z139" s="39">
        <f>IF(L139="","",IF(V139&gt;0,INDEX('08-آب'!$Q$2:$Q$501,V139),IF($AO$1=1,0,"")))</f>
        <v>77.827272727272728</v>
      </c>
      <c r="AA139" s="39">
        <f t="shared" si="53"/>
        <v>-31.140316205533601</v>
      </c>
      <c r="AB139" s="40">
        <f>IF(OR(L139="",V139=0),"",IF(AND(N(I139)&gt;0,N(INDEX('08-آب'!$I$2:$I$501,V139))&gt;0,INDEX('08-آب'!$F$2:$F$501,V139)=F139),N(I139)/N(INDEX('08-آب'!$I$2:$I$501,V139))-1,""))</f>
        <v>0</v>
      </c>
      <c r="AC139" t="str">
        <f>IF(L139="","",IF(AND($AO$2=1,ISNA(MATCH(L139,'10-تشرين الأول'!$L$2:$L$501,0))),"محذوف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31.140316344533602</v>
      </c>
      <c r="AH139" s="39">
        <f t="shared" si="55"/>
        <v>3.3347826086956531</v>
      </c>
      <c r="AI139" s="39">
        <f t="shared" si="56"/>
        <v>3.3347826086956531</v>
      </c>
      <c r="AJ139" s="39">
        <f t="shared" si="57"/>
        <v>3.3347826086956531</v>
      </c>
      <c r="AK139">
        <f t="shared" si="58"/>
        <v>46.686956660739128</v>
      </c>
      <c r="AL139">
        <f t="shared" si="59"/>
        <v>3.3347827476956544</v>
      </c>
    </row>
    <row r="140" spans="1:38" ht="15">
      <c r="A140" t="s">
        <v>448</v>
      </c>
      <c r="B140">
        <v>14.36</v>
      </c>
      <c r="C140">
        <v>135000</v>
      </c>
      <c r="D140">
        <v>135000</v>
      </c>
      <c r="E140">
        <v>135000</v>
      </c>
      <c r="F140" t="s">
        <v>389</v>
      </c>
      <c r="G140" t="s">
        <v>178</v>
      </c>
      <c r="H140" t="s">
        <v>176</v>
      </c>
      <c r="I140">
        <v>126000</v>
      </c>
      <c r="K140" t="str">
        <f t="shared" si="40"/>
        <v/>
      </c>
      <c r="L140" t="str">
        <f t="shared" si="41"/>
        <v>عبوات شفافة 3 لتر</v>
      </c>
      <c r="M140" s="36">
        <f t="shared" si="42"/>
        <v>7.2463768115942027E-5</v>
      </c>
      <c r="N140" s="37">
        <f t="shared" si="43"/>
        <v>9.1304347826086953</v>
      </c>
      <c r="O140" s="37">
        <f t="shared" si="44"/>
        <v>9.7826086956521738</v>
      </c>
      <c r="P140" s="38">
        <f t="shared" si="45"/>
        <v>14.36</v>
      </c>
      <c r="Q140" s="39">
        <f t="shared" si="46"/>
        <v>131.11304347826086</v>
      </c>
      <c r="R140" s="39">
        <f t="shared" si="47"/>
        <v>140.47826086956522</v>
      </c>
      <c r="S140">
        <f t="shared" si="48"/>
        <v>1</v>
      </c>
      <c r="T140" s="39">
        <f t="shared" si="49"/>
        <v>9.3652173913043555</v>
      </c>
      <c r="U140" t="str">
        <f t="shared" si="50"/>
        <v/>
      </c>
      <c r="V140">
        <f>IF(L140="","",IF($AO$1=1,IFERROR(MATCH(L140,'08-آب'!$L$2:$L$501,0),0),0))</f>
        <v>134</v>
      </c>
      <c r="W140" t="str">
        <f t="shared" si="51"/>
        <v/>
      </c>
      <c r="X140" s="38">
        <f>IF(L140="","",IF(V140&gt;0,INDEX('08-آب'!$P$2:$P$501,V140),IF($AO$1=1,0,"")))</f>
        <v>17.32</v>
      </c>
      <c r="Y140" s="38">
        <f t="shared" si="52"/>
        <v>-2.9600000000000009</v>
      </c>
      <c r="Z140" s="39">
        <f>IF(L140="","",IF(V140&gt;0,INDEX('08-آب'!$Q$2:$Q$501,V140),IF($AO$1=1,0,"")))</f>
        <v>165.32727272727271</v>
      </c>
      <c r="AA140" s="39">
        <f t="shared" si="53"/>
        <v>-34.214229249011851</v>
      </c>
      <c r="AB140" s="40">
        <f>IF(OR(L140="",V140=0),"",IF(AND(N(I140)&gt;0,N(INDEX('08-آب'!$I$2:$I$501,V140))&gt;0,INDEX('08-آب'!$F$2:$F$501,V140)=F140),N(I140)/N(INDEX('08-آب'!$I$2:$I$501,V140))-1,""))</f>
        <v>0</v>
      </c>
      <c r="AC140" t="str">
        <f>IF(L140="","",IF(AND($AO$2=1,ISNA(MATCH(L140,'10-تشرين الأول'!$L$2:$L$501,0))),"محذوف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34.214229389011848</v>
      </c>
      <c r="AH140" s="39">
        <f t="shared" si="55"/>
        <v>9.3652173913043502</v>
      </c>
      <c r="AI140" s="39">
        <f t="shared" si="56"/>
        <v>9.3652173913043502</v>
      </c>
      <c r="AJ140" s="39">
        <f t="shared" si="57"/>
        <v>9.3652173913043502</v>
      </c>
      <c r="AK140">
        <f t="shared" si="58"/>
        <v>131.11304361826086</v>
      </c>
      <c r="AL140">
        <f t="shared" si="59"/>
        <v>9.3652175313043546</v>
      </c>
    </row>
    <row r="141" spans="1:38" ht="15">
      <c r="A141" t="s">
        <v>449</v>
      </c>
      <c r="B141">
        <v>93.75</v>
      </c>
      <c r="C141">
        <v>128000</v>
      </c>
      <c r="D141">
        <v>128000</v>
      </c>
      <c r="E141">
        <v>128000</v>
      </c>
      <c r="F141" t="s">
        <v>389</v>
      </c>
      <c r="G141" t="s">
        <v>178</v>
      </c>
      <c r="H141" t="s">
        <v>176</v>
      </c>
      <c r="I141">
        <v>96000</v>
      </c>
      <c r="K141" t="str">
        <f t="shared" si="40"/>
        <v/>
      </c>
      <c r="L141" t="str">
        <f t="shared" si="41"/>
        <v>عبوات حليبي</v>
      </c>
      <c r="M141" s="36">
        <f t="shared" si="42"/>
        <v>7.2463768115942027E-5</v>
      </c>
      <c r="N141" s="37">
        <f t="shared" si="43"/>
        <v>6.9565217391304346</v>
      </c>
      <c r="O141" s="37">
        <f t="shared" si="44"/>
        <v>9.27536231884058</v>
      </c>
      <c r="P141" s="38">
        <f t="shared" si="45"/>
        <v>93.75</v>
      </c>
      <c r="Q141" s="39">
        <f t="shared" si="46"/>
        <v>652.17391304347825</v>
      </c>
      <c r="R141" s="39">
        <f t="shared" si="47"/>
        <v>869.56521739130437</v>
      </c>
      <c r="S141">
        <f t="shared" si="48"/>
        <v>1</v>
      </c>
      <c r="T141" s="39">
        <f t="shared" si="49"/>
        <v>217.39130434782612</v>
      </c>
      <c r="U141" t="str">
        <f t="shared" si="50"/>
        <v/>
      </c>
      <c r="V141">
        <f>IF(L141="","",IF($AO$1=1,IFERROR(MATCH(L141,'08-آب'!$L$2:$L$501,0),0),0))</f>
        <v>135</v>
      </c>
      <c r="W141" t="str">
        <f t="shared" si="51"/>
        <v/>
      </c>
      <c r="X141" s="38">
        <f>IF(L141="","",IF(V141&gt;0,INDEX('08-آب'!$P$2:$P$501,V141),IF($AO$1=1,0,"")))</f>
        <v>93.75</v>
      </c>
      <c r="Y141" s="38">
        <f t="shared" si="52"/>
        <v>0</v>
      </c>
      <c r="Z141" s="39">
        <f>IF(L141="","",IF(V141&gt;0,INDEX('08-آب'!$Q$2:$Q$501,V141),IF($AO$1=1,0,"")))</f>
        <v>681.81818181818176</v>
      </c>
      <c r="AA141" s="39">
        <f t="shared" si="53"/>
        <v>-29.644268774703505</v>
      </c>
      <c r="AB141" s="40">
        <f>IF(OR(L141="",V141=0),"",IF(AND(N(I141)&gt;0,N(INDEX('08-آب'!$I$2:$I$501,V141))&gt;0,INDEX('08-آب'!$F$2:$F$501,V141)=F141),N(I141)/N(INDEX('08-آب'!$I$2:$I$501,V141))-1,""))</f>
        <v>0</v>
      </c>
      <c r="AC141" t="str">
        <f>IF(L141="","",IF(AND($AO$2=1,ISNA(MATCH(L141,'10-تشرين الأول'!$L$2:$L$501,0))),"محذوف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29.644268915703506</v>
      </c>
      <c r="AH141" s="39">
        <f t="shared" si="55"/>
        <v>217.39130434782615</v>
      </c>
      <c r="AI141" s="39">
        <f t="shared" si="56"/>
        <v>217.39130434782615</v>
      </c>
      <c r="AJ141" s="39">
        <f t="shared" si="57"/>
        <v>217.39130434782615</v>
      </c>
      <c r="AK141">
        <f t="shared" si="58"/>
        <v>652.17391318447824</v>
      </c>
      <c r="AL141">
        <f t="shared" si="59"/>
        <v>217.39130448882611</v>
      </c>
    </row>
    <row r="142" spans="1:38" ht="15">
      <c r="A142" t="s">
        <v>450</v>
      </c>
      <c r="B142">
        <v>59</v>
      </c>
      <c r="C142">
        <v>18000</v>
      </c>
      <c r="D142">
        <v>18000</v>
      </c>
      <c r="E142">
        <v>18000</v>
      </c>
      <c r="F142" t="s">
        <v>389</v>
      </c>
      <c r="G142" t="s">
        <v>178</v>
      </c>
      <c r="H142" t="s">
        <v>12</v>
      </c>
      <c r="I142">
        <v>15000</v>
      </c>
      <c r="K142" t="str">
        <f t="shared" si="40"/>
        <v/>
      </c>
      <c r="L142" t="str">
        <f t="shared" si="41"/>
        <v>طواقي راس</v>
      </c>
      <c r="M142" s="36">
        <f t="shared" si="42"/>
        <v>7.2463768115942027E-5</v>
      </c>
      <c r="N142" s="37">
        <f t="shared" si="43"/>
        <v>1.0869565217391304</v>
      </c>
      <c r="O142" s="37">
        <f t="shared" si="44"/>
        <v>1.3043478260869565</v>
      </c>
      <c r="P142" s="38">
        <f t="shared" si="45"/>
        <v>59</v>
      </c>
      <c r="Q142" s="39">
        <f t="shared" si="46"/>
        <v>64.130434782608688</v>
      </c>
      <c r="R142" s="39">
        <f t="shared" si="47"/>
        <v>76.956521739130437</v>
      </c>
      <c r="S142">
        <f t="shared" si="48"/>
        <v>1</v>
      </c>
      <c r="T142" s="39">
        <f t="shared" si="49"/>
        <v>12.826086956521749</v>
      </c>
      <c r="U142" t="str">
        <f t="shared" si="50"/>
        <v/>
      </c>
      <c r="V142">
        <f>IF(L142="","",IF($AO$1=1,IFERROR(MATCH(L142,'08-آب'!$L$2:$L$501,0),0),0))</f>
        <v>136</v>
      </c>
      <c r="W142" t="str">
        <f t="shared" si="51"/>
        <v/>
      </c>
      <c r="X142" s="38">
        <f>IF(L142="","",IF(V142&gt;0,INDEX('08-آب'!$P$2:$P$501,V142),IF($AO$1=1,0,"")))</f>
        <v>71</v>
      </c>
      <c r="Y142" s="38">
        <f t="shared" si="52"/>
        <v>-12</v>
      </c>
      <c r="Z142" s="39">
        <f>IF(L142="","",IF(V142&gt;0,INDEX('08-آب'!$Q$2:$Q$501,V142),IF($AO$1=1,0,"")))</f>
        <v>80.681818181818187</v>
      </c>
      <c r="AA142" s="39">
        <f t="shared" si="53"/>
        <v>-16.551383399209499</v>
      </c>
      <c r="AB142" s="40">
        <f>IF(OR(L142="",V142=0),"",IF(AND(N(I142)&gt;0,N(INDEX('08-آب'!$I$2:$I$501,V142))&gt;0,INDEX('08-آب'!$F$2:$F$501,V142)=F142),N(I142)/N(INDEX('08-آب'!$I$2:$I$501,V142))-1,""))</f>
        <v>0</v>
      </c>
      <c r="AC142" t="str">
        <f>IF(L142="","",IF(AND($AO$2=1,ISNA(MATCH(L142,'10-تشرين الأول'!$L$2:$L$501,0))),"محذوف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16.5513835412095</v>
      </c>
      <c r="AH142" s="39">
        <f t="shared" si="55"/>
        <v>12.826086956521744</v>
      </c>
      <c r="AI142" s="39">
        <f t="shared" si="56"/>
        <v>12.826086956521744</v>
      </c>
      <c r="AJ142" s="39">
        <f t="shared" si="57"/>
        <v>12.826086956521744</v>
      </c>
      <c r="AK142">
        <f t="shared" si="58"/>
        <v>64.130434924608693</v>
      </c>
      <c r="AL142">
        <f t="shared" si="59"/>
        <v>12.826087098521748</v>
      </c>
    </row>
    <row r="143" spans="1:38" ht="15">
      <c r="A143" t="s">
        <v>519</v>
      </c>
      <c r="B143">
        <v>0</v>
      </c>
      <c r="C143">
        <v>0</v>
      </c>
      <c r="D143">
        <v>0</v>
      </c>
      <c r="E143">
        <v>0</v>
      </c>
      <c r="F143" t="s">
        <v>268</v>
      </c>
      <c r="G143" t="s">
        <v>178</v>
      </c>
      <c r="H143" t="s">
        <v>177</v>
      </c>
      <c r="I143">
        <v>0</v>
      </c>
      <c r="K143" t="str">
        <f t="shared" si="40"/>
        <v/>
      </c>
      <c r="L143" t="str">
        <f t="shared" si="41"/>
        <v>طبخة رابع معدلة</v>
      </c>
      <c r="M143" s="36">
        <f t="shared" si="42"/>
        <v>1</v>
      </c>
      <c r="N143" s="37">
        <f t="shared" si="43"/>
        <v>0</v>
      </c>
      <c r="O143" s="37">
        <f t="shared" si="44"/>
        <v>0</v>
      </c>
      <c r="P143" s="38">
        <f t="shared" si="45"/>
        <v>0</v>
      </c>
      <c r="Q143" s="39">
        <f t="shared" si="46"/>
        <v>0</v>
      </c>
      <c r="R143" s="39">
        <f t="shared" si="47"/>
        <v>0</v>
      </c>
      <c r="S143">
        <f t="shared" si="48"/>
        <v>0</v>
      </c>
      <c r="T143" s="39">
        <f t="shared" si="49"/>
        <v>0</v>
      </c>
      <c r="U143" t="str">
        <f t="shared" si="50"/>
        <v/>
      </c>
      <c r="V143">
        <f>IF(L143="","",IF($AO$1=1,IFERROR(MATCH(L143,'08-آب'!$L$2:$L$501,0),0),0))</f>
        <v>137</v>
      </c>
      <c r="W143" t="str">
        <f t="shared" si="51"/>
        <v/>
      </c>
      <c r="X143" s="38">
        <f>IF(L143="","",IF(V143&gt;0,INDEX('08-آب'!$P$2:$P$501,V143),IF($AO$1=1,0,"")))</f>
        <v>0</v>
      </c>
      <c r="Y143" s="38">
        <f t="shared" si="52"/>
        <v>0</v>
      </c>
      <c r="Z143" s="39">
        <f>IF(L143="","",IF(V143&gt;0,INDEX('08-آب'!$Q$2:$Q$501,V143),IF($AO$1=1,0,"")))</f>
        <v>0</v>
      </c>
      <c r="AA143" s="39">
        <f t="shared" si="53"/>
        <v>0</v>
      </c>
      <c r="AB143" s="40" t="str">
        <f>IF(OR(L143="",V143=0),"",IF(AND(N(I143)&gt;0,N(INDEX('08-آب'!$I$2:$I$501,V143))&gt;0,INDEX('08-آب'!$F$2:$F$501,V143)=F143),N(I143)/N(INDEX('08-آب'!$I$2:$I$501,V143))-1,""))</f>
        <v/>
      </c>
      <c r="AC143" t="str">
        <f>IF(L143="","",IF(AND($AO$2=1,ISNA(MATCH(L143,'10-تشرين الأول'!$L$2:$L$501,0))),"محذوف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0</v>
      </c>
      <c r="AI143" s="39">
        <f t="shared" si="56"/>
        <v>0</v>
      </c>
      <c r="AJ143" s="39">
        <f t="shared" si="57"/>
        <v>0</v>
      </c>
      <c r="AK143">
        <f t="shared" si="58"/>
        <v>1.43E-7</v>
      </c>
      <c r="AL143">
        <f t="shared" si="59"/>
        <v>1.43E-7</v>
      </c>
    </row>
    <row r="144" spans="1:38" ht="15">
      <c r="A144" t="s">
        <v>330</v>
      </c>
      <c r="B144">
        <v>0</v>
      </c>
      <c r="C144">
        <v>0</v>
      </c>
      <c r="D144">
        <v>0</v>
      </c>
      <c r="E144">
        <v>0</v>
      </c>
      <c r="F144" t="s">
        <v>268</v>
      </c>
      <c r="G144" t="s">
        <v>178</v>
      </c>
      <c r="H144" t="s">
        <v>177</v>
      </c>
      <c r="I144">
        <v>0</v>
      </c>
      <c r="K144" t="str">
        <f t="shared" si="40"/>
        <v/>
      </c>
      <c r="L144" t="str">
        <f t="shared" si="41"/>
        <v>طبخة رابع مخصصة</v>
      </c>
      <c r="M144" s="36">
        <f t="shared" si="42"/>
        <v>1</v>
      </c>
      <c r="N144" s="37">
        <f t="shared" si="43"/>
        <v>0</v>
      </c>
      <c r="O144" s="37">
        <f t="shared" si="44"/>
        <v>0</v>
      </c>
      <c r="P144" s="38">
        <f t="shared" si="45"/>
        <v>0</v>
      </c>
      <c r="Q144" s="39">
        <f t="shared" si="46"/>
        <v>0</v>
      </c>
      <c r="R144" s="39">
        <f t="shared" si="47"/>
        <v>0</v>
      </c>
      <c r="S144">
        <f t="shared" si="48"/>
        <v>0</v>
      </c>
      <c r="T144" s="39">
        <f t="shared" si="49"/>
        <v>0</v>
      </c>
      <c r="U144" t="str">
        <f t="shared" si="50"/>
        <v/>
      </c>
      <c r="V144">
        <f>IF(L144="","",IF($AO$1=1,IFERROR(MATCH(L144,'08-آب'!$L$2:$L$501,0),0),0))</f>
        <v>138</v>
      </c>
      <c r="W144" t="str">
        <f t="shared" si="51"/>
        <v/>
      </c>
      <c r="X144" s="38">
        <f>IF(L144="","",IF(V144&gt;0,INDEX('08-آب'!$P$2:$P$501,V144),IF($AO$1=1,0,"")))</f>
        <v>0</v>
      </c>
      <c r="Y144" s="38">
        <f t="shared" si="52"/>
        <v>0</v>
      </c>
      <c r="Z144" s="39">
        <f>IF(L144="","",IF(V144&gt;0,INDEX('08-آب'!$Q$2:$Q$501,V144),IF($AO$1=1,0,"")))</f>
        <v>0</v>
      </c>
      <c r="AA144" s="39">
        <f t="shared" si="53"/>
        <v>0</v>
      </c>
      <c r="AB144" s="40" t="str">
        <f>IF(OR(L144="",V144=0),"",IF(AND(N(I144)&gt;0,N(INDEX('08-آب'!$I$2:$I$501,V144))&gt;0,INDEX('08-آب'!$F$2:$F$501,V144)=F144),N(I144)/N(INDEX('08-آب'!$I$2:$I$501,V144))-1,""))</f>
        <v/>
      </c>
      <c r="AC144" t="str">
        <f>IF(L144="","",IF(AND($AO$2=1,ISNA(MATCH(L144,'10-تشرين الأول'!$L$2:$L$501,0))),"محذوف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1.4399999999999999E-7</v>
      </c>
      <c r="AH144" s="39">
        <f t="shared" si="55"/>
        <v>0</v>
      </c>
      <c r="AI144" s="39">
        <f t="shared" si="56"/>
        <v>0</v>
      </c>
      <c r="AJ144" s="39">
        <f t="shared" si="57"/>
        <v>0</v>
      </c>
      <c r="AK144">
        <f t="shared" si="58"/>
        <v>1.4399999999999999E-7</v>
      </c>
      <c r="AL144">
        <f t="shared" si="59"/>
        <v>1.4399999999999999E-7</v>
      </c>
    </row>
    <row r="145" spans="1:38" ht="15">
      <c r="A145" t="s">
        <v>331</v>
      </c>
      <c r="B145">
        <v>0</v>
      </c>
      <c r="C145">
        <v>0</v>
      </c>
      <c r="D145">
        <v>0</v>
      </c>
      <c r="E145">
        <v>0</v>
      </c>
      <c r="F145" t="s">
        <v>268</v>
      </c>
      <c r="G145" t="s">
        <v>178</v>
      </c>
      <c r="H145" t="s">
        <v>177</v>
      </c>
      <c r="I145">
        <v>0</v>
      </c>
      <c r="K145" t="str">
        <f t="shared" si="40"/>
        <v/>
      </c>
      <c r="L145" t="str">
        <f t="shared" si="41"/>
        <v>طبخة رابع تنتح طبختين</v>
      </c>
      <c r="M145" s="36">
        <f t="shared" si="42"/>
        <v>1</v>
      </c>
      <c r="N145" s="37">
        <f t="shared" si="43"/>
        <v>0</v>
      </c>
      <c r="O145" s="37">
        <f t="shared" si="44"/>
        <v>0</v>
      </c>
      <c r="P145" s="38">
        <f t="shared" si="45"/>
        <v>0</v>
      </c>
      <c r="Q145" s="39">
        <f t="shared" si="46"/>
        <v>0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IF(L145="","",IF($AO$1=1,IFERROR(MATCH(L145,'08-آب'!$L$2:$L$501,0),0),0))</f>
        <v>139</v>
      </c>
      <c r="W145" t="str">
        <f t="shared" si="51"/>
        <v/>
      </c>
      <c r="X145" s="38">
        <f>IF(L145="","",IF(V145&gt;0,INDEX('08-آب'!$P$2:$P$501,V145),IF($AO$1=1,0,"")))</f>
        <v>0</v>
      </c>
      <c r="Y145" s="38">
        <f t="shared" si="52"/>
        <v>0</v>
      </c>
      <c r="Z145" s="39">
        <f>IF(L145="","",IF(V145&gt;0,INDEX('08-آب'!$Q$2:$Q$501,V145),IF($AO$1=1,0,"")))</f>
        <v>0</v>
      </c>
      <c r="AA145" s="39">
        <f t="shared" si="53"/>
        <v>0</v>
      </c>
      <c r="AB145" s="40" t="str">
        <f>IF(OR(L145="",V145=0),"",IF(AND(N(I145)&gt;0,N(INDEX('08-آب'!$I$2:$I$501,V145))&gt;0,INDEX('08-آب'!$F$2:$F$501,V145)=F145),N(I145)/N(INDEX('08-آب'!$I$2:$I$501,V145))-1,""))</f>
        <v/>
      </c>
      <c r="AC145" t="str">
        <f>IF(L145="","",IF(AND($AO$2=1,ISNA(MATCH(L145,'10-تشرين الأول'!$L$2:$L$501,0))),"محذوف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1.4499999999999999E-7</v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1.4499999999999999E-7</v>
      </c>
      <c r="AL145">
        <f t="shared" si="59"/>
        <v>1.4499999999999999E-7</v>
      </c>
    </row>
    <row r="146" spans="1:38" ht="15">
      <c r="A146" t="s">
        <v>332</v>
      </c>
      <c r="B146">
        <v>0</v>
      </c>
      <c r="C146">
        <v>0</v>
      </c>
      <c r="D146">
        <v>0</v>
      </c>
      <c r="E146">
        <v>0</v>
      </c>
      <c r="F146" t="s">
        <v>268</v>
      </c>
      <c r="G146" t="s">
        <v>178</v>
      </c>
      <c r="H146" t="s">
        <v>177</v>
      </c>
      <c r="I146">
        <v>642</v>
      </c>
      <c r="K146" t="str">
        <f t="shared" si="40"/>
        <v/>
      </c>
      <c r="L146" t="str">
        <f t="shared" si="41"/>
        <v>طبخة اول تنتج طبختين</v>
      </c>
      <c r="M146" s="36">
        <f t="shared" si="42"/>
        <v>1</v>
      </c>
      <c r="N146" s="37">
        <f t="shared" si="43"/>
        <v>642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IF(L146="","",IF($AO$1=1,IFERROR(MATCH(L146,'08-آب'!$L$2:$L$501,0),0),0))</f>
        <v>140</v>
      </c>
      <c r="W146" t="str">
        <f t="shared" si="51"/>
        <v/>
      </c>
      <c r="X146" s="38">
        <f>IF(L146="","",IF(V146&gt;0,INDEX('08-آب'!$P$2:$P$501,V146),IF($AO$1=1,0,"")))</f>
        <v>0</v>
      </c>
      <c r="Y146" s="38">
        <f t="shared" si="52"/>
        <v>0</v>
      </c>
      <c r="Z146" s="39">
        <f>IF(L146="","",IF(V146&gt;0,INDEX('08-آب'!$Q$2:$Q$501,V146),IF($AO$1=1,0,"")))</f>
        <v>0</v>
      </c>
      <c r="AA146" s="39">
        <f t="shared" si="53"/>
        <v>0</v>
      </c>
      <c r="AB146" s="40">
        <f>IF(OR(L146="",V146=0),"",IF(AND(N(I146)&gt;0,N(INDEX('08-آب'!$I$2:$I$501,V146))&gt;0,INDEX('08-آب'!$F$2:$F$501,V146)=F146),N(I146)/N(INDEX('08-آب'!$I$2:$I$501,V146))-1,""))</f>
        <v>0</v>
      </c>
      <c r="AC146" t="str">
        <f>IF(L146="","",IF(AND($AO$2=1,ISNA(MATCH(L146,'10-تشرين الأول'!$L$2:$L$501,0))),"محذوف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506</v>
      </c>
      <c r="B147">
        <v>0</v>
      </c>
      <c r="C147">
        <v>0</v>
      </c>
      <c r="D147">
        <v>0</v>
      </c>
      <c r="E147">
        <v>0</v>
      </c>
      <c r="F147" t="s">
        <v>268</v>
      </c>
      <c r="G147" t="s">
        <v>178</v>
      </c>
      <c r="H147" t="s">
        <v>176</v>
      </c>
      <c r="I147">
        <v>474</v>
      </c>
      <c r="K147" t="str">
        <f t="shared" si="40"/>
        <v/>
      </c>
      <c r="L147" t="str">
        <f t="shared" si="41"/>
        <v>طبخة الاندومي</v>
      </c>
      <c r="M147" s="36">
        <f t="shared" si="42"/>
        <v>1</v>
      </c>
      <c r="N147" s="37">
        <f t="shared" si="43"/>
        <v>474</v>
      </c>
      <c r="O147" s="37">
        <f t="shared" si="44"/>
        <v>0</v>
      </c>
      <c r="P147" s="38">
        <f t="shared" si="45"/>
        <v>0</v>
      </c>
      <c r="Q147" s="39">
        <f t="shared" si="46"/>
        <v>0</v>
      </c>
      <c r="R147" s="39">
        <f t="shared" si="47"/>
        <v>0</v>
      </c>
      <c r="S147">
        <f t="shared" si="48"/>
        <v>0</v>
      </c>
      <c r="T147" s="39">
        <f t="shared" si="49"/>
        <v>0</v>
      </c>
      <c r="U147" t="str">
        <f t="shared" si="50"/>
        <v/>
      </c>
      <c r="V147">
        <f>IF(L147="","",IF($AO$1=1,IFERROR(MATCH(L147,'08-آب'!$L$2:$L$501,0),0),0))</f>
        <v>141</v>
      </c>
      <c r="W147" t="str">
        <f t="shared" si="51"/>
        <v/>
      </c>
      <c r="X147" s="38">
        <f>IF(L147="","",IF(V147&gt;0,INDEX('08-آب'!$P$2:$P$501,V147),IF($AO$1=1,0,"")))</f>
        <v>0</v>
      </c>
      <c r="Y147" s="38">
        <f t="shared" si="52"/>
        <v>0</v>
      </c>
      <c r="Z147" s="39">
        <f>IF(L147="","",IF(V147&gt;0,INDEX('08-آب'!$Q$2:$Q$501,V147),IF($AO$1=1,0,"")))</f>
        <v>0</v>
      </c>
      <c r="AA147" s="39">
        <f t="shared" si="53"/>
        <v>0</v>
      </c>
      <c r="AB147" s="40">
        <f>IF(OR(L147="",V147=0),"",IF(AND(N(I147)&gt;0,N(INDEX('08-آب'!$I$2:$I$501,V147))&gt;0,INDEX('08-آب'!$F$2:$F$501,V147)=F147),N(I147)/N(INDEX('08-آب'!$I$2:$I$501,V147))-1,""))</f>
        <v>0</v>
      </c>
      <c r="AC147" t="str">
        <f>IF(L147="","",IF(AND($AO$2=1,ISNA(MATCH(L147,'10-تشرين الأول'!$L$2:$L$501,0))),"محذوف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1.4700000000000001E-7</v>
      </c>
      <c r="AH147" s="39">
        <f t="shared" si="55"/>
        <v>0</v>
      </c>
      <c r="AI147" s="39">
        <f t="shared" si="56"/>
        <v>0</v>
      </c>
      <c r="AJ147" s="39">
        <f t="shared" si="57"/>
        <v>0</v>
      </c>
      <c r="AK147">
        <f t="shared" si="58"/>
        <v>1.4700000000000001E-7</v>
      </c>
      <c r="AL147">
        <f t="shared" si="59"/>
        <v>1.4700000000000001E-7</v>
      </c>
    </row>
    <row r="148" spans="1:38" ht="15">
      <c r="A148" t="s">
        <v>333</v>
      </c>
      <c r="B148">
        <v>17</v>
      </c>
      <c r="C148">
        <v>8.5</v>
      </c>
      <c r="D148">
        <v>8.5</v>
      </c>
      <c r="E148">
        <v>8.5</v>
      </c>
      <c r="F148" t="s">
        <v>268</v>
      </c>
      <c r="G148" t="s">
        <v>178</v>
      </c>
      <c r="H148" t="s">
        <v>176</v>
      </c>
      <c r="I148">
        <v>8</v>
      </c>
      <c r="K148" t="str">
        <f t="shared" si="40"/>
        <v/>
      </c>
      <c r="L148" t="str">
        <f t="shared" si="41"/>
        <v>طبالي خشب</v>
      </c>
      <c r="M148" s="36">
        <f t="shared" si="42"/>
        <v>1</v>
      </c>
      <c r="N148" s="37">
        <f t="shared" si="43"/>
        <v>8</v>
      </c>
      <c r="O148" s="37">
        <f t="shared" si="44"/>
        <v>8.5</v>
      </c>
      <c r="P148" s="38">
        <f t="shared" si="45"/>
        <v>17</v>
      </c>
      <c r="Q148" s="39">
        <f t="shared" si="46"/>
        <v>136</v>
      </c>
      <c r="R148" s="39">
        <f t="shared" si="47"/>
        <v>144.5</v>
      </c>
      <c r="S148">
        <f t="shared" si="48"/>
        <v>1</v>
      </c>
      <c r="T148" s="39">
        <f t="shared" si="49"/>
        <v>8.5</v>
      </c>
      <c r="U148" t="str">
        <f t="shared" si="50"/>
        <v/>
      </c>
      <c r="V148">
        <f>IF(L148="","",IF($AO$1=1,IFERROR(MATCH(L148,'08-آب'!$L$2:$L$501,0),0),0))</f>
        <v>142</v>
      </c>
      <c r="W148" t="str">
        <f t="shared" si="51"/>
        <v/>
      </c>
      <c r="X148" s="38">
        <f>IF(L148="","",IF(V148&gt;0,INDEX('08-آب'!$P$2:$P$501,V148),IF($AO$1=1,0,"")))</f>
        <v>17</v>
      </c>
      <c r="Y148" s="38">
        <f t="shared" si="52"/>
        <v>0</v>
      </c>
      <c r="Z148" s="39">
        <f>IF(L148="","",IF(V148&gt;0,INDEX('08-آب'!$Q$2:$Q$501,V148),IF($AO$1=1,0,"")))</f>
        <v>136</v>
      </c>
      <c r="AA148" s="39">
        <f t="shared" si="53"/>
        <v>0</v>
      </c>
      <c r="AB148" s="40">
        <f>IF(OR(L148="",V148=0),"",IF(AND(N(I148)&gt;0,N(INDEX('08-آب'!$I$2:$I$501,V148))&gt;0,INDEX('08-آب'!$F$2:$F$501,V148)=F148),N(I148)/N(INDEX('08-آب'!$I$2:$I$501,V148))-1,""))</f>
        <v>0</v>
      </c>
      <c r="AC148" t="str">
        <f>IF(L148="","",IF(AND($AO$2=1,ISNA(MATCH(L148,'10-تشرين الأول'!$L$2:$L$501,0))),"محذوف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1.48E-7</v>
      </c>
      <c r="AH148" s="39">
        <f t="shared" si="55"/>
        <v>8.5</v>
      </c>
      <c r="AI148" s="39">
        <f t="shared" si="56"/>
        <v>8.5</v>
      </c>
      <c r="AJ148" s="39">
        <f t="shared" si="57"/>
        <v>8.5</v>
      </c>
      <c r="AK148">
        <f t="shared" si="58"/>
        <v>136.000000148</v>
      </c>
      <c r="AL148">
        <f t="shared" si="59"/>
        <v>8.5000001479999998</v>
      </c>
    </row>
    <row r="149" spans="1:38" ht="15">
      <c r="A149" t="s">
        <v>334</v>
      </c>
      <c r="B149">
        <v>0</v>
      </c>
      <c r="C149">
        <v>0</v>
      </c>
      <c r="D149">
        <v>0</v>
      </c>
      <c r="E149">
        <v>0</v>
      </c>
      <c r="F149" t="s">
        <v>268</v>
      </c>
      <c r="G149" t="s">
        <v>178</v>
      </c>
      <c r="H149" t="s">
        <v>176</v>
      </c>
      <c r="I149">
        <v>0.6</v>
      </c>
      <c r="K149" t="str">
        <f t="shared" si="40"/>
        <v/>
      </c>
      <c r="L149" t="str">
        <f t="shared" si="41"/>
        <v>صودا أش</v>
      </c>
      <c r="M149" s="36">
        <f t="shared" si="42"/>
        <v>1</v>
      </c>
      <c r="N149" s="37">
        <f t="shared" si="43"/>
        <v>0.6</v>
      </c>
      <c r="O149" s="37">
        <f t="shared" si="44"/>
        <v>0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IF(L149="","",IF($AO$1=1,IFERROR(MATCH(L149,'08-آب'!$L$2:$L$501,0),0),0))</f>
        <v>143</v>
      </c>
      <c r="W149" t="str">
        <f t="shared" si="51"/>
        <v/>
      </c>
      <c r="X149" s="38">
        <f>IF(L149="","",IF(V149&gt;0,INDEX('08-آب'!$P$2:$P$501,V149),IF($AO$1=1,0,"")))</f>
        <v>0</v>
      </c>
      <c r="Y149" s="38">
        <f t="shared" si="52"/>
        <v>0</v>
      </c>
      <c r="Z149" s="39">
        <f>IF(L149="","",IF(V149&gt;0,INDEX('08-آب'!$Q$2:$Q$501,V149),IF($AO$1=1,0,"")))</f>
        <v>0</v>
      </c>
      <c r="AA149" s="39">
        <f t="shared" si="53"/>
        <v>0</v>
      </c>
      <c r="AB149" s="40">
        <f>IF(OR(L149="",V149=0),"",IF(AND(N(I149)&gt;0,N(INDEX('08-آب'!$I$2:$I$501,V149))&gt;0,INDEX('08-آب'!$F$2:$F$501,V149)=F149),N(I149)/N(INDEX('08-آب'!$I$2:$I$501,V149))-1,""))</f>
        <v>0</v>
      </c>
      <c r="AC149" t="str">
        <f>IF(L149="","",IF(AND($AO$2=1,ISNA(MATCH(L149,'10-تشرين الأول'!$L$2:$L$501,0))),"محذوف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335</v>
      </c>
      <c r="B150">
        <v>1.23</v>
      </c>
      <c r="C150">
        <v>0</v>
      </c>
      <c r="D150">
        <v>0</v>
      </c>
      <c r="E150">
        <v>0</v>
      </c>
      <c r="F150" t="s">
        <v>268</v>
      </c>
      <c r="G150" t="s">
        <v>178</v>
      </c>
      <c r="H150" t="s">
        <v>176</v>
      </c>
      <c r="I150">
        <v>9.17</v>
      </c>
      <c r="K150" t="str">
        <f t="shared" si="40"/>
        <v/>
      </c>
      <c r="L150" t="str">
        <f t="shared" si="41"/>
        <v>صبغة</v>
      </c>
      <c r="M150" s="36">
        <f t="shared" si="42"/>
        <v>1</v>
      </c>
      <c r="N150" s="37">
        <f t="shared" si="43"/>
        <v>9.17</v>
      </c>
      <c r="O150" s="37">
        <f t="shared" si="44"/>
        <v>0</v>
      </c>
      <c r="P150" s="38">
        <f t="shared" si="45"/>
        <v>1.23</v>
      </c>
      <c r="Q150" s="39">
        <f t="shared" si="46"/>
        <v>11.2791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IF(L150="","",IF($AO$1=1,IFERROR(MATCH(L150,'08-آب'!$L$2:$L$501,0),0),0))</f>
        <v>144</v>
      </c>
      <c r="W150" t="str">
        <f t="shared" si="51"/>
        <v/>
      </c>
      <c r="X150" s="38">
        <f>IF(L150="","",IF(V150&gt;0,INDEX('08-آب'!$P$2:$P$501,V150),IF($AO$1=1,0,"")))</f>
        <v>1.3</v>
      </c>
      <c r="Y150" s="38">
        <f t="shared" si="52"/>
        <v>-7.0000000000000062E-2</v>
      </c>
      <c r="Z150" s="39">
        <f>IF(L150="","",IF(V150&gt;0,INDEX('08-آب'!$Q$2:$Q$501,V150),IF($AO$1=1,0,"")))</f>
        <v>11.921000000000001</v>
      </c>
      <c r="AA150" s="39">
        <f t="shared" si="53"/>
        <v>-0.64190000000000147</v>
      </c>
      <c r="AB150" s="40">
        <f>IF(OR(L150="",V150=0),"",IF(AND(N(I150)&gt;0,N(INDEX('08-آب'!$I$2:$I$501,V150))&gt;0,INDEX('08-آب'!$F$2:$F$501,V150)=F150),N(I150)/N(INDEX('08-آب'!$I$2:$I$501,V150))-1,""))</f>
        <v>0</v>
      </c>
      <c r="AC150" t="str">
        <f>IF(L150="","",IF(AND($AO$2=1,ISNA(MATCH(L150,'10-تشرين الأول'!$L$2:$L$501,0))),"محذوف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0.64190015000000145</v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11.27910015</v>
      </c>
      <c r="AL150">
        <f t="shared" si="59"/>
        <v>1.4999999999999999E-7</v>
      </c>
    </row>
    <row r="151" spans="1:38" ht="15">
      <c r="A151" t="s">
        <v>451</v>
      </c>
      <c r="B151">
        <v>0</v>
      </c>
      <c r="C151">
        <v>0</v>
      </c>
      <c r="D151">
        <v>0</v>
      </c>
      <c r="E151">
        <v>0</v>
      </c>
      <c r="F151" t="s">
        <v>389</v>
      </c>
      <c r="G151" t="s">
        <v>178</v>
      </c>
      <c r="H151" t="s">
        <v>12</v>
      </c>
      <c r="I151">
        <v>170000</v>
      </c>
      <c r="K151" t="str">
        <f t="shared" si="40"/>
        <v/>
      </c>
      <c r="L151" t="str">
        <f t="shared" si="41"/>
        <v>صابون كرمل</v>
      </c>
      <c r="M151" s="36">
        <f t="shared" si="42"/>
        <v>7.2463768115942027E-5</v>
      </c>
      <c r="N151" s="37">
        <f t="shared" si="43"/>
        <v>12.318840579710145</v>
      </c>
      <c r="O151" s="37">
        <f t="shared" si="44"/>
        <v>0</v>
      </c>
      <c r="P151" s="38">
        <f t="shared" si="45"/>
        <v>0</v>
      </c>
      <c r="Q151" s="39">
        <f t="shared" si="46"/>
        <v>0</v>
      </c>
      <c r="R151" s="39">
        <f t="shared" si="47"/>
        <v>0</v>
      </c>
      <c r="S151">
        <f t="shared" si="48"/>
        <v>0</v>
      </c>
      <c r="T151" s="39">
        <f t="shared" si="49"/>
        <v>0</v>
      </c>
      <c r="U151" t="str">
        <f t="shared" si="50"/>
        <v/>
      </c>
      <c r="V151">
        <f>IF(L151="","",IF($AO$1=1,IFERROR(MATCH(L151,'08-آب'!$L$2:$L$501,0),0),0))</f>
        <v>145</v>
      </c>
      <c r="W151" t="str">
        <f t="shared" si="51"/>
        <v/>
      </c>
      <c r="X151" s="38">
        <f>IF(L151="","",IF(V151&gt;0,INDEX('08-آب'!$P$2:$P$501,V151),IF($AO$1=1,0,"")))</f>
        <v>0</v>
      </c>
      <c r="Y151" s="38">
        <f t="shared" si="52"/>
        <v>0</v>
      </c>
      <c r="Z151" s="39">
        <f>IF(L151="","",IF(V151&gt;0,INDEX('08-آب'!$Q$2:$Q$501,V151),IF($AO$1=1,0,"")))</f>
        <v>0</v>
      </c>
      <c r="AA151" s="39">
        <f t="shared" si="53"/>
        <v>0</v>
      </c>
      <c r="AB151" s="40">
        <f>IF(OR(L151="",V151=0),"",IF(AND(N(I151)&gt;0,N(INDEX('08-آب'!$I$2:$I$501,V151))&gt;0,INDEX('08-آب'!$F$2:$F$501,V151)=F151),N(I151)/N(INDEX('08-آب'!$I$2:$I$501,V151))-1,""))</f>
        <v>0</v>
      </c>
      <c r="AC151" t="str">
        <f>IF(L151="","",IF(AND($AO$2=1,ISNA(MATCH(L151,'10-تشرين الأول'!$L$2:$L$501,0))),"محذوف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1.5099999999999999E-7</v>
      </c>
      <c r="AH151" s="39">
        <f t="shared" si="55"/>
        <v>0</v>
      </c>
      <c r="AI151" s="39">
        <f t="shared" si="56"/>
        <v>0</v>
      </c>
      <c r="AJ151" s="39">
        <f t="shared" si="57"/>
        <v>0</v>
      </c>
      <c r="AK151">
        <f t="shared" si="58"/>
        <v>1.5099999999999999E-7</v>
      </c>
      <c r="AL151">
        <f t="shared" si="59"/>
        <v>1.5099999999999999E-7</v>
      </c>
    </row>
    <row r="152" spans="1:38" ht="15">
      <c r="A152" t="s">
        <v>336</v>
      </c>
      <c r="B152">
        <v>0</v>
      </c>
      <c r="C152">
        <v>0</v>
      </c>
      <c r="D152">
        <v>0</v>
      </c>
      <c r="E152">
        <v>0</v>
      </c>
      <c r="F152" t="s">
        <v>268</v>
      </c>
      <c r="G152" t="s">
        <v>178</v>
      </c>
      <c r="H152" t="s">
        <v>177</v>
      </c>
      <c r="I152">
        <v>423</v>
      </c>
      <c r="K152" t="str">
        <f t="shared" si="40"/>
        <v/>
      </c>
      <c r="L152" t="str">
        <f t="shared" si="41"/>
        <v>صابون سادة خام</v>
      </c>
      <c r="M152" s="36">
        <f t="shared" si="42"/>
        <v>1</v>
      </c>
      <c r="N152" s="37">
        <f t="shared" si="43"/>
        <v>423</v>
      </c>
      <c r="O152" s="37">
        <f t="shared" si="44"/>
        <v>0</v>
      </c>
      <c r="P152" s="38">
        <f t="shared" si="45"/>
        <v>0</v>
      </c>
      <c r="Q152" s="39">
        <f t="shared" si="46"/>
        <v>0</v>
      </c>
      <c r="R152" s="39">
        <f t="shared" si="47"/>
        <v>0</v>
      </c>
      <c r="S152">
        <f t="shared" si="48"/>
        <v>0</v>
      </c>
      <c r="T152" s="39">
        <f t="shared" si="49"/>
        <v>0</v>
      </c>
      <c r="U152" t="str">
        <f t="shared" si="50"/>
        <v/>
      </c>
      <c r="V152">
        <f>IF(L152="","",IF($AO$1=1,IFERROR(MATCH(L152,'08-آب'!$L$2:$L$501,0),0),0))</f>
        <v>146</v>
      </c>
      <c r="W152" t="str">
        <f t="shared" si="51"/>
        <v/>
      </c>
      <c r="X152" s="38">
        <f>IF(L152="","",IF(V152&gt;0,INDEX('08-آب'!$P$2:$P$501,V152),IF($AO$1=1,0,"")))</f>
        <v>0</v>
      </c>
      <c r="Y152" s="38">
        <f t="shared" si="52"/>
        <v>0</v>
      </c>
      <c r="Z152" s="39">
        <f>IF(L152="","",IF(V152&gt;0,INDEX('08-آب'!$Q$2:$Q$501,V152),IF($AO$1=1,0,"")))</f>
        <v>0</v>
      </c>
      <c r="AA152" s="39">
        <f t="shared" si="53"/>
        <v>0</v>
      </c>
      <c r="AB152" s="40">
        <f>IF(OR(L152="",V152=0),"",IF(AND(N(I152)&gt;0,N(INDEX('08-آب'!$I$2:$I$501,V152))&gt;0,INDEX('08-آب'!$F$2:$F$501,V152)=F152),N(I152)/N(INDEX('08-آب'!$I$2:$I$501,V152))-1,""))</f>
        <v>0</v>
      </c>
      <c r="AC152" t="str">
        <f>IF(L152="","",IF(AND($AO$2=1,ISNA(MATCH(L152,'10-تشرين الأول'!$L$2:$L$501,0))),"محذوف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1.5200000000000001E-7</v>
      </c>
      <c r="AH152" s="39">
        <f t="shared" si="55"/>
        <v>0</v>
      </c>
      <c r="AI152" s="39">
        <f t="shared" si="56"/>
        <v>0</v>
      </c>
      <c r="AJ152" s="39">
        <f t="shared" si="57"/>
        <v>0</v>
      </c>
      <c r="AK152">
        <f t="shared" si="58"/>
        <v>1.5200000000000001E-7</v>
      </c>
      <c r="AL152">
        <f t="shared" si="59"/>
        <v>1.5200000000000001E-7</v>
      </c>
    </row>
    <row r="153" spans="1:38" ht="15">
      <c r="A153" t="s">
        <v>337</v>
      </c>
      <c r="B153">
        <v>0</v>
      </c>
      <c r="C153">
        <v>0</v>
      </c>
      <c r="D153">
        <v>0</v>
      </c>
      <c r="E153">
        <v>0</v>
      </c>
      <c r="F153" t="s">
        <v>268</v>
      </c>
      <c r="G153" t="s">
        <v>178</v>
      </c>
      <c r="H153" t="s">
        <v>177</v>
      </c>
      <c r="I153">
        <v>448</v>
      </c>
      <c r="K153" t="str">
        <f t="shared" si="40"/>
        <v/>
      </c>
      <c r="L153" t="str">
        <f t="shared" si="41"/>
        <v>صابون سائل ماء الذهب خام</v>
      </c>
      <c r="M153" s="36">
        <f t="shared" si="42"/>
        <v>1</v>
      </c>
      <c r="N153" s="37">
        <f t="shared" si="43"/>
        <v>448</v>
      </c>
      <c r="O153" s="37">
        <f t="shared" si="44"/>
        <v>0</v>
      </c>
      <c r="P153" s="38">
        <f t="shared" si="45"/>
        <v>0</v>
      </c>
      <c r="Q153" s="39">
        <f t="shared" si="46"/>
        <v>0</v>
      </c>
      <c r="R153" s="39">
        <f t="shared" si="47"/>
        <v>0</v>
      </c>
      <c r="S153">
        <f t="shared" si="48"/>
        <v>0</v>
      </c>
      <c r="T153" s="39">
        <f t="shared" si="49"/>
        <v>0</v>
      </c>
      <c r="U153" t="str">
        <f t="shared" si="50"/>
        <v/>
      </c>
      <c r="V153">
        <f>IF(L153="","",IF($AO$1=1,IFERROR(MATCH(L153,'08-آب'!$L$2:$L$501,0),0),0))</f>
        <v>147</v>
      </c>
      <c r="W153" t="str">
        <f t="shared" si="51"/>
        <v/>
      </c>
      <c r="X153" s="38">
        <f>IF(L153="","",IF(V153&gt;0,INDEX('08-آب'!$P$2:$P$501,V153),IF($AO$1=1,0,"")))</f>
        <v>0</v>
      </c>
      <c r="Y153" s="38">
        <f t="shared" si="52"/>
        <v>0</v>
      </c>
      <c r="Z153" s="39">
        <f>IF(L153="","",IF(V153&gt;0,INDEX('08-آب'!$Q$2:$Q$501,V153),IF($AO$1=1,0,"")))</f>
        <v>0</v>
      </c>
      <c r="AA153" s="39">
        <f t="shared" si="53"/>
        <v>0</v>
      </c>
      <c r="AB153" s="40">
        <f>IF(OR(L153="",V153=0),"",IF(AND(N(I153)&gt;0,N(INDEX('08-آب'!$I$2:$I$501,V153))&gt;0,INDEX('08-آب'!$F$2:$F$501,V153)=F153),N(I153)/N(INDEX('08-آب'!$I$2:$I$501,V153))-1,""))</f>
        <v>0</v>
      </c>
      <c r="AC153" t="str">
        <f>IF(L153="","",IF(AND($AO$2=1,ISNA(MATCH(L153,'10-تشرين الأول'!$L$2:$L$501,0))),"محذوف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1.5300000000000001E-7</v>
      </c>
      <c r="AH153" s="39">
        <f t="shared" si="55"/>
        <v>0</v>
      </c>
      <c r="AI153" s="39">
        <f t="shared" si="56"/>
        <v>0</v>
      </c>
      <c r="AJ153" s="39">
        <f t="shared" si="57"/>
        <v>0</v>
      </c>
      <c r="AK153">
        <f t="shared" si="58"/>
        <v>1.5300000000000001E-7</v>
      </c>
      <c r="AL153">
        <f t="shared" si="59"/>
        <v>1.5300000000000001E-7</v>
      </c>
    </row>
    <row r="154" spans="1:38" ht="15">
      <c r="A154" t="s">
        <v>338</v>
      </c>
      <c r="B154">
        <v>0</v>
      </c>
      <c r="C154">
        <v>0</v>
      </c>
      <c r="D154">
        <v>0</v>
      </c>
      <c r="E154">
        <v>0</v>
      </c>
      <c r="F154" t="s">
        <v>268</v>
      </c>
      <c r="G154" t="s">
        <v>178</v>
      </c>
      <c r="H154" t="s">
        <v>177</v>
      </c>
      <c r="I154">
        <v>448</v>
      </c>
      <c r="K154" t="str">
        <f t="shared" si="40"/>
        <v/>
      </c>
      <c r="L154" t="str">
        <f t="shared" si="41"/>
        <v>صابون سائل لافندر خام</v>
      </c>
      <c r="M154" s="36">
        <f t="shared" si="42"/>
        <v>1</v>
      </c>
      <c r="N154" s="37">
        <f t="shared" si="43"/>
        <v>448</v>
      </c>
      <c r="O154" s="37">
        <f t="shared" si="44"/>
        <v>0</v>
      </c>
      <c r="P154" s="38">
        <f t="shared" si="45"/>
        <v>0</v>
      </c>
      <c r="Q154" s="39">
        <f t="shared" si="46"/>
        <v>0</v>
      </c>
      <c r="R154" s="39">
        <f t="shared" si="47"/>
        <v>0</v>
      </c>
      <c r="S154">
        <f t="shared" si="48"/>
        <v>0</v>
      </c>
      <c r="T154" s="39">
        <f t="shared" si="49"/>
        <v>0</v>
      </c>
      <c r="U154" t="str">
        <f t="shared" si="50"/>
        <v/>
      </c>
      <c r="V154">
        <f>IF(L154="","",IF($AO$1=1,IFERROR(MATCH(L154,'08-آب'!$L$2:$L$501,0),0),0))</f>
        <v>148</v>
      </c>
      <c r="W154" t="str">
        <f t="shared" si="51"/>
        <v/>
      </c>
      <c r="X154" s="38">
        <f>IF(L154="","",IF(V154&gt;0,INDEX('08-آب'!$P$2:$P$501,V154),IF($AO$1=1,0,"")))</f>
        <v>0</v>
      </c>
      <c r="Y154" s="38">
        <f t="shared" si="52"/>
        <v>0</v>
      </c>
      <c r="Z154" s="39">
        <f>IF(L154="","",IF(V154&gt;0,INDEX('08-آب'!$Q$2:$Q$501,V154),IF($AO$1=1,0,"")))</f>
        <v>0</v>
      </c>
      <c r="AA154" s="39">
        <f t="shared" si="53"/>
        <v>0</v>
      </c>
      <c r="AB154" s="40">
        <f>IF(OR(L154="",V154=0),"",IF(AND(N(I154)&gt;0,N(INDEX('08-آب'!$I$2:$I$501,V154))&gt;0,INDEX('08-آب'!$F$2:$F$501,V154)=F154),N(I154)/N(INDEX('08-آب'!$I$2:$I$501,V154))-1,""))</f>
        <v>0</v>
      </c>
      <c r="AC154" t="str">
        <f>IF(L154="","",IF(AND($AO$2=1,ISNA(MATCH(L154,'10-تشرين الأول'!$L$2:$L$501,0))),"محذوف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1.54E-7</v>
      </c>
      <c r="AH154" s="39">
        <f t="shared" si="55"/>
        <v>0</v>
      </c>
      <c r="AI154" s="39">
        <f t="shared" si="56"/>
        <v>0</v>
      </c>
      <c r="AJ154" s="39">
        <f t="shared" si="57"/>
        <v>0</v>
      </c>
      <c r="AK154">
        <f t="shared" si="58"/>
        <v>1.54E-7</v>
      </c>
      <c r="AL154">
        <f t="shared" si="59"/>
        <v>1.54E-7</v>
      </c>
    </row>
    <row r="155" spans="1:38" ht="15">
      <c r="A155" t="s">
        <v>339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448</v>
      </c>
      <c r="K155" t="str">
        <f t="shared" si="40"/>
        <v/>
      </c>
      <c r="L155" t="str">
        <f t="shared" si="41"/>
        <v>صابون سائل عود خام</v>
      </c>
      <c r="M155" s="36">
        <f t="shared" si="42"/>
        <v>1</v>
      </c>
      <c r="N155" s="37">
        <f t="shared" si="43"/>
        <v>448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IF(L155="","",IF($AO$1=1,IFERROR(MATCH(L155,'08-آب'!$L$2:$L$501,0),0),0))</f>
        <v>149</v>
      </c>
      <c r="W155" t="str">
        <f t="shared" si="51"/>
        <v/>
      </c>
      <c r="X155" s="38">
        <f>IF(L155="","",IF(V155&gt;0,INDEX('08-آب'!$P$2:$P$501,V155),IF($AO$1=1,0,"")))</f>
        <v>0</v>
      </c>
      <c r="Y155" s="38">
        <f t="shared" si="52"/>
        <v>0</v>
      </c>
      <c r="Z155" s="39">
        <f>IF(L155="","",IF(V155&gt;0,INDEX('08-آب'!$Q$2:$Q$501,V155),IF($AO$1=1,0,"")))</f>
        <v>0</v>
      </c>
      <c r="AA155" s="39">
        <f t="shared" si="53"/>
        <v>0</v>
      </c>
      <c r="AB155" s="40">
        <f>IF(OR(L155="",V155=0),"",IF(AND(N(I155)&gt;0,N(INDEX('08-آب'!$I$2:$I$501,V155))&gt;0,INDEX('08-آب'!$F$2:$F$501,V155)=F155),N(I155)/N(INDEX('08-آب'!$I$2:$I$501,V155))-1,""))</f>
        <v>0</v>
      </c>
      <c r="AC155" t="str">
        <f>IF(L155="","",IF(AND($AO$2=1,ISNA(MATCH(L155,'10-تشرين الأول'!$L$2:$L$501,0))),"محذوف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452</v>
      </c>
      <c r="B156">
        <v>0</v>
      </c>
      <c r="C156">
        <v>0</v>
      </c>
      <c r="D156">
        <v>0</v>
      </c>
      <c r="E156">
        <v>0</v>
      </c>
      <c r="F156" t="s">
        <v>389</v>
      </c>
      <c r="G156" t="s">
        <v>178</v>
      </c>
      <c r="H156" t="s">
        <v>12</v>
      </c>
      <c r="I156">
        <v>0</v>
      </c>
      <c r="K156" t="str">
        <f t="shared" si="40"/>
        <v/>
      </c>
      <c r="L156" t="str">
        <f t="shared" si="41"/>
        <v>صابون سائل</v>
      </c>
      <c r="M156" s="36">
        <f t="shared" si="42"/>
        <v>7.2463768115942027E-5</v>
      </c>
      <c r="N156" s="37">
        <f t="shared" si="43"/>
        <v>0</v>
      </c>
      <c r="O156" s="37">
        <f t="shared" si="44"/>
        <v>0</v>
      </c>
      <c r="P156" s="38">
        <f t="shared" si="45"/>
        <v>0</v>
      </c>
      <c r="Q156" s="39">
        <f t="shared" si="46"/>
        <v>0</v>
      </c>
      <c r="R156" s="39">
        <f t="shared" si="47"/>
        <v>0</v>
      </c>
      <c r="S156">
        <f t="shared" si="48"/>
        <v>0</v>
      </c>
      <c r="T156" s="39">
        <f t="shared" si="49"/>
        <v>0</v>
      </c>
      <c r="U156" t="str">
        <f t="shared" si="50"/>
        <v/>
      </c>
      <c r="V156">
        <f>IF(L156="","",IF($AO$1=1,IFERROR(MATCH(L156,'08-آب'!$L$2:$L$501,0),0),0))</f>
        <v>150</v>
      </c>
      <c r="W156" t="str">
        <f t="shared" si="51"/>
        <v/>
      </c>
      <c r="X156" s="38">
        <f>IF(L156="","",IF(V156&gt;0,INDEX('08-آب'!$P$2:$P$501,V156),IF($AO$1=1,0,"")))</f>
        <v>0</v>
      </c>
      <c r="Y156" s="38">
        <f t="shared" si="52"/>
        <v>0</v>
      </c>
      <c r="Z156" s="39">
        <f>IF(L156="","",IF(V156&gt;0,INDEX('08-آب'!$Q$2:$Q$501,V156),IF($AO$1=1,0,"")))</f>
        <v>0</v>
      </c>
      <c r="AA156" s="39">
        <f t="shared" si="53"/>
        <v>0</v>
      </c>
      <c r="AB156" s="40" t="str">
        <f>IF(OR(L156="",V156=0),"",IF(AND(N(I156)&gt;0,N(INDEX('08-آب'!$I$2:$I$501,V156))&gt;0,INDEX('08-آب'!$F$2:$F$501,V156)=F156),N(I156)/N(INDEX('08-آب'!$I$2:$I$501,V156))-1,""))</f>
        <v/>
      </c>
      <c r="AC156" t="str">
        <f>IF(L156="","",IF(AND($AO$2=1,ISNA(MATCH(L156,'10-تشرين الأول'!$L$2:$L$501,0))),"محذوف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1.5599999999999999E-7</v>
      </c>
      <c r="AH156" s="39">
        <f t="shared" si="55"/>
        <v>0</v>
      </c>
      <c r="AI156" s="39">
        <f t="shared" si="56"/>
        <v>0</v>
      </c>
      <c r="AJ156" s="39">
        <f t="shared" si="57"/>
        <v>0</v>
      </c>
      <c r="AK156">
        <f t="shared" si="58"/>
        <v>1.5599999999999999E-7</v>
      </c>
      <c r="AL156">
        <f t="shared" si="59"/>
        <v>1.5599999999999999E-7</v>
      </c>
    </row>
    <row r="157" spans="1:38" ht="15">
      <c r="A157" t="s">
        <v>453</v>
      </c>
      <c r="B157">
        <v>1338</v>
      </c>
      <c r="C157">
        <v>10000</v>
      </c>
      <c r="D157">
        <v>10000</v>
      </c>
      <c r="E157">
        <v>10000</v>
      </c>
      <c r="F157" t="s">
        <v>389</v>
      </c>
      <c r="G157" t="s">
        <v>178</v>
      </c>
      <c r="H157" t="s">
        <v>12</v>
      </c>
      <c r="I157">
        <v>6500</v>
      </c>
      <c r="K157" t="str">
        <f t="shared" si="40"/>
        <v/>
      </c>
      <c r="L157" t="str">
        <f t="shared" si="41"/>
        <v>صابون super / فرط</v>
      </c>
      <c r="M157" s="36">
        <f t="shared" si="42"/>
        <v>7.2463768115942027E-5</v>
      </c>
      <c r="N157" s="37">
        <f t="shared" si="43"/>
        <v>0.47101449275362317</v>
      </c>
      <c r="O157" s="37">
        <f t="shared" si="44"/>
        <v>0.72463768115942029</v>
      </c>
      <c r="P157" s="38">
        <f t="shared" si="45"/>
        <v>1338</v>
      </c>
      <c r="Q157" s="39">
        <f t="shared" si="46"/>
        <v>630.21739130434776</v>
      </c>
      <c r="R157" s="39">
        <f t="shared" si="47"/>
        <v>969.56521739130437</v>
      </c>
      <c r="S157">
        <f t="shared" si="48"/>
        <v>1</v>
      </c>
      <c r="T157" s="39">
        <f t="shared" si="49"/>
        <v>339.34782608695662</v>
      </c>
      <c r="U157" t="str">
        <f t="shared" si="50"/>
        <v/>
      </c>
      <c r="V157">
        <f>IF(L157="","",IF($AO$1=1,IFERROR(MATCH(L157,'08-آب'!$L$2:$L$501,0),0),0))</f>
        <v>151</v>
      </c>
      <c r="W157" t="str">
        <f t="shared" si="51"/>
        <v/>
      </c>
      <c r="X157" s="38">
        <f>IF(L157="","",IF(V157&gt;0,INDEX('08-آب'!$P$2:$P$501,V157),IF($AO$1=1,0,"")))</f>
        <v>1876.8</v>
      </c>
      <c r="Y157" s="38">
        <f t="shared" si="52"/>
        <v>-538.79999999999995</v>
      </c>
      <c r="Z157" s="39">
        <f>IF(L157="","",IF(V157&gt;0,INDEX('08-آب'!$Q$2:$Q$501,V157),IF($AO$1=1,0,"")))</f>
        <v>924.18181818181813</v>
      </c>
      <c r="AA157" s="39">
        <f t="shared" si="53"/>
        <v>-293.96442687747037</v>
      </c>
      <c r="AB157" s="40">
        <f>IF(OR(L157="",V157=0),"",IF(AND(N(I157)&gt;0,N(INDEX('08-آب'!$I$2:$I$501,V157))&gt;0,INDEX('08-آب'!$F$2:$F$501,V157)=F157),N(I157)/N(INDEX('08-آب'!$I$2:$I$501,V157))-1,""))</f>
        <v>0</v>
      </c>
      <c r="AC157" t="str">
        <f>IF(L157="","",IF(AND($AO$2=1,ISNA(MATCH(L157,'10-تشرين الأول'!$L$2:$L$501,0))),"محذوف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293.96442703447036</v>
      </c>
      <c r="AH157" s="39">
        <f t="shared" si="55"/>
        <v>339.34782608695656</v>
      </c>
      <c r="AI157" s="39">
        <f t="shared" si="56"/>
        <v>339.34782608695656</v>
      </c>
      <c r="AJ157" s="39">
        <f t="shared" si="57"/>
        <v>339.34782608695656</v>
      </c>
      <c r="AK157">
        <f t="shared" si="58"/>
        <v>630.2173914613478</v>
      </c>
      <c r="AL157">
        <f t="shared" si="59"/>
        <v>339.3478262439566</v>
      </c>
    </row>
    <row r="158" spans="1:38" ht="15">
      <c r="A158" t="s">
        <v>454</v>
      </c>
      <c r="B158">
        <v>82</v>
      </c>
      <c r="C158">
        <v>33000</v>
      </c>
      <c r="D158">
        <v>33000</v>
      </c>
      <c r="E158">
        <v>33000</v>
      </c>
      <c r="F158" t="s">
        <v>389</v>
      </c>
      <c r="G158" t="s">
        <v>178</v>
      </c>
      <c r="H158" t="s">
        <v>12</v>
      </c>
      <c r="I158">
        <v>23000</v>
      </c>
      <c r="K158" t="str">
        <f t="shared" si="40"/>
        <v/>
      </c>
      <c r="L158" t="str">
        <f t="shared" si="41"/>
        <v>صابون super / عبوة 3 لتر</v>
      </c>
      <c r="M158" s="36">
        <f t="shared" si="42"/>
        <v>7.2463768115942027E-5</v>
      </c>
      <c r="N158" s="37">
        <f t="shared" si="43"/>
        <v>1.6666666666666665</v>
      </c>
      <c r="O158" s="37">
        <f t="shared" si="44"/>
        <v>2.3913043478260869</v>
      </c>
      <c r="P158" s="38">
        <f t="shared" si="45"/>
        <v>82</v>
      </c>
      <c r="Q158" s="39">
        <f t="shared" si="46"/>
        <v>136.66666666666666</v>
      </c>
      <c r="R158" s="39">
        <f t="shared" si="47"/>
        <v>196.08695652173913</v>
      </c>
      <c r="S158">
        <f t="shared" si="48"/>
        <v>1</v>
      </c>
      <c r="T158" s="39">
        <f t="shared" si="49"/>
        <v>59.420289855072468</v>
      </c>
      <c r="U158" t="str">
        <f t="shared" si="50"/>
        <v/>
      </c>
      <c r="V158">
        <f>IF(L158="","",IF($AO$1=1,IFERROR(MATCH(L158,'08-آب'!$L$2:$L$501,0),0),0))</f>
        <v>152</v>
      </c>
      <c r="W158" t="str">
        <f t="shared" si="51"/>
        <v/>
      </c>
      <c r="X158" s="38">
        <f>IF(L158="","",IF(V158&gt;0,INDEX('08-آب'!$P$2:$P$501,V158),IF($AO$1=1,0,"")))</f>
        <v>108</v>
      </c>
      <c r="Y158" s="38">
        <f t="shared" si="52"/>
        <v>-26</v>
      </c>
      <c r="Z158" s="39">
        <f>IF(L158="","",IF(V158&gt;0,INDEX('08-آب'!$Q$2:$Q$501,V158),IF($AO$1=1,0,"")))</f>
        <v>188.18181818181819</v>
      </c>
      <c r="AA158" s="39">
        <f t="shared" si="53"/>
        <v>-51.51515151515153</v>
      </c>
      <c r="AB158" s="40">
        <f>IF(OR(L158="",V158=0),"",IF(AND(N(I158)&gt;0,N(INDEX('08-آب'!$I$2:$I$501,V158))&gt;0,INDEX('08-آب'!$F$2:$F$501,V158)=F158),N(I158)/N(INDEX('08-آب'!$I$2:$I$501,V158))-1,""))</f>
        <v>0</v>
      </c>
      <c r="AC158" t="str">
        <f>IF(L158="","",IF(AND($AO$2=1,ISNA(MATCH(L158,'10-تشرين الأول'!$L$2:$L$501,0))),"محذوف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51.515151673151529</v>
      </c>
      <c r="AH158" s="39">
        <f t="shared" si="55"/>
        <v>59.420289855072475</v>
      </c>
      <c r="AI158" s="39">
        <f t="shared" si="56"/>
        <v>59.420289855072475</v>
      </c>
      <c r="AJ158" s="39">
        <f t="shared" si="57"/>
        <v>59.420289855072475</v>
      </c>
      <c r="AK158">
        <f t="shared" si="58"/>
        <v>136.66666682466666</v>
      </c>
      <c r="AL158">
        <f t="shared" si="59"/>
        <v>59.420290013072467</v>
      </c>
    </row>
    <row r="159" spans="1:38" ht="15">
      <c r="A159" t="s">
        <v>455</v>
      </c>
      <c r="B159">
        <v>327.8</v>
      </c>
      <c r="C159">
        <v>6000</v>
      </c>
      <c r="D159">
        <v>6000</v>
      </c>
      <c r="E159">
        <v>6000</v>
      </c>
      <c r="F159" t="s">
        <v>389</v>
      </c>
      <c r="G159" t="s">
        <v>178</v>
      </c>
      <c r="H159" t="s">
        <v>12</v>
      </c>
      <c r="I159">
        <v>3000</v>
      </c>
      <c r="K159" t="str">
        <f t="shared" si="40"/>
        <v/>
      </c>
      <c r="L159" t="str">
        <f t="shared" si="41"/>
        <v>شامبو سيارات</v>
      </c>
      <c r="M159" s="36">
        <f t="shared" si="42"/>
        <v>7.2463768115942027E-5</v>
      </c>
      <c r="N159" s="37">
        <f t="shared" si="43"/>
        <v>0.21739130434782608</v>
      </c>
      <c r="O159" s="37">
        <f t="shared" si="44"/>
        <v>0.43478260869565216</v>
      </c>
      <c r="P159" s="38">
        <f t="shared" si="45"/>
        <v>327.8</v>
      </c>
      <c r="Q159" s="39">
        <f t="shared" si="46"/>
        <v>71.260869565217391</v>
      </c>
      <c r="R159" s="39">
        <f t="shared" si="47"/>
        <v>142.52173913043478</v>
      </c>
      <c r="S159">
        <f t="shared" si="48"/>
        <v>1</v>
      </c>
      <c r="T159" s="39">
        <f t="shared" si="49"/>
        <v>71.260869565217391</v>
      </c>
      <c r="U159" t="str">
        <f t="shared" si="50"/>
        <v/>
      </c>
      <c r="V159">
        <f>IF(L159="","",IF($AO$1=1,IFERROR(MATCH(L159,'08-آب'!$L$2:$L$501,0),0),0))</f>
        <v>153</v>
      </c>
      <c r="W159" t="str">
        <f t="shared" si="51"/>
        <v/>
      </c>
      <c r="X159" s="38">
        <f>IF(L159="","",IF(V159&gt;0,INDEX('08-آب'!$P$2:$P$501,V159),IF($AO$1=1,0,"")))</f>
        <v>327.8</v>
      </c>
      <c r="Y159" s="38">
        <f t="shared" si="52"/>
        <v>0</v>
      </c>
      <c r="Z159" s="39">
        <f>IF(L159="","",IF(V159&gt;0,INDEX('08-آب'!$Q$2:$Q$501,V159),IF($AO$1=1,0,"")))</f>
        <v>74.5</v>
      </c>
      <c r="AA159" s="39">
        <f t="shared" si="53"/>
        <v>-3.2391304347826093</v>
      </c>
      <c r="AB159" s="40">
        <f>IF(OR(L159="",V159=0),"",IF(AND(N(I159)&gt;0,N(INDEX('08-آب'!$I$2:$I$501,V159))&gt;0,INDEX('08-آب'!$F$2:$F$501,V159)=F159),N(I159)/N(INDEX('08-آب'!$I$2:$I$501,V159))-1,""))</f>
        <v>0</v>
      </c>
      <c r="AC159" t="str">
        <f>IF(L159="","",IF(AND($AO$2=1,ISNA(MATCH(L159,'10-تشرين الأول'!$L$2:$L$501,0))),"محذوف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3.2391305937826091</v>
      </c>
      <c r="AH159" s="39">
        <f t="shared" si="55"/>
        <v>71.260869565217391</v>
      </c>
      <c r="AI159" s="39">
        <f t="shared" si="56"/>
        <v>71.260869565217391</v>
      </c>
      <c r="AJ159" s="39">
        <f t="shared" si="57"/>
        <v>71.260869565217391</v>
      </c>
      <c r="AK159">
        <f t="shared" si="58"/>
        <v>71.260869724217386</v>
      </c>
      <c r="AL159">
        <f t="shared" si="59"/>
        <v>71.260869724217386</v>
      </c>
    </row>
    <row r="160" spans="1:38" ht="15">
      <c r="A160" t="s">
        <v>340</v>
      </c>
      <c r="B160">
        <v>0</v>
      </c>
      <c r="C160">
        <v>0</v>
      </c>
      <c r="D160">
        <v>0</v>
      </c>
      <c r="E160">
        <v>0</v>
      </c>
      <c r="F160" t="s">
        <v>268</v>
      </c>
      <c r="G160" t="s">
        <v>178</v>
      </c>
      <c r="H160" t="s">
        <v>177</v>
      </c>
      <c r="I160">
        <v>618</v>
      </c>
      <c r="K160" t="str">
        <f t="shared" si="40"/>
        <v/>
      </c>
      <c r="L160" t="str">
        <f t="shared" si="41"/>
        <v>شامبو خام</v>
      </c>
      <c r="M160" s="36">
        <f t="shared" si="42"/>
        <v>1</v>
      </c>
      <c r="N160" s="37">
        <f t="shared" si="43"/>
        <v>618</v>
      </c>
      <c r="O160" s="37">
        <f t="shared" si="44"/>
        <v>0</v>
      </c>
      <c r="P160" s="38">
        <f t="shared" si="45"/>
        <v>0</v>
      </c>
      <c r="Q160" s="39">
        <f t="shared" si="46"/>
        <v>0</v>
      </c>
      <c r="R160" s="39">
        <f t="shared" si="47"/>
        <v>0</v>
      </c>
      <c r="S160">
        <f t="shared" si="48"/>
        <v>0</v>
      </c>
      <c r="T160" s="39">
        <f t="shared" si="49"/>
        <v>0</v>
      </c>
      <c r="U160" t="str">
        <f t="shared" si="50"/>
        <v/>
      </c>
      <c r="V160">
        <f>IF(L160="","",IF($AO$1=1,IFERROR(MATCH(L160,'08-آب'!$L$2:$L$501,0),0),0))</f>
        <v>154</v>
      </c>
      <c r="W160" t="str">
        <f t="shared" si="51"/>
        <v/>
      </c>
      <c r="X160" s="38">
        <f>IF(L160="","",IF(V160&gt;0,INDEX('08-آب'!$P$2:$P$501,V160),IF($AO$1=1,0,"")))</f>
        <v>0</v>
      </c>
      <c r="Y160" s="38">
        <f t="shared" si="52"/>
        <v>0</v>
      </c>
      <c r="Z160" s="39">
        <f>IF(L160="","",IF(V160&gt;0,INDEX('08-آب'!$Q$2:$Q$501,V160),IF($AO$1=1,0,"")))</f>
        <v>0</v>
      </c>
      <c r="AA160" s="39">
        <f t="shared" si="53"/>
        <v>0</v>
      </c>
      <c r="AB160" s="40">
        <f>IF(OR(L160="",V160=0),"",IF(AND(N(I160)&gt;0,N(INDEX('08-آب'!$I$2:$I$501,V160))&gt;0,INDEX('08-آب'!$F$2:$F$501,V160)=F160),N(I160)/N(INDEX('08-آب'!$I$2:$I$501,V160))-1,""))</f>
        <v>0</v>
      </c>
      <c r="AC160" t="str">
        <f>IF(L160="","",IF(AND($AO$2=1,ISNA(MATCH(L160,'10-تشرين الأول'!$L$2:$L$501,0))),"محذوف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1.6E-7</v>
      </c>
      <c r="AH160" s="39">
        <f t="shared" si="55"/>
        <v>0</v>
      </c>
      <c r="AI160" s="39">
        <f t="shared" si="56"/>
        <v>0</v>
      </c>
      <c r="AJ160" s="39">
        <f t="shared" si="57"/>
        <v>0</v>
      </c>
      <c r="AK160">
        <f t="shared" si="58"/>
        <v>1.6E-7</v>
      </c>
      <c r="AL160">
        <f t="shared" si="59"/>
        <v>1.6E-7</v>
      </c>
    </row>
    <row r="161" spans="1:38" ht="15">
      <c r="A161" t="s">
        <v>456</v>
      </c>
      <c r="B161">
        <v>2.42</v>
      </c>
      <c r="C161">
        <v>576000</v>
      </c>
      <c r="D161">
        <v>576000</v>
      </c>
      <c r="E161">
        <v>576000</v>
      </c>
      <c r="F161" t="s">
        <v>389</v>
      </c>
      <c r="G161" t="s">
        <v>178</v>
      </c>
      <c r="H161" t="s">
        <v>12</v>
      </c>
      <c r="I161">
        <v>302400</v>
      </c>
      <c r="K161" t="str">
        <f t="shared" si="40"/>
        <v/>
      </c>
      <c r="L161" t="str">
        <f t="shared" si="41"/>
        <v>شامبو 3 لتر</v>
      </c>
      <c r="M161" s="36">
        <f t="shared" si="42"/>
        <v>7.2463768115942027E-5</v>
      </c>
      <c r="N161" s="37">
        <f t="shared" si="43"/>
        <v>21.913043478260867</v>
      </c>
      <c r="O161" s="37">
        <f t="shared" si="44"/>
        <v>41.739130434782609</v>
      </c>
      <c r="P161" s="38">
        <f t="shared" si="45"/>
        <v>2.42</v>
      </c>
      <c r="Q161" s="39">
        <f t="shared" si="46"/>
        <v>53.029565217391294</v>
      </c>
      <c r="R161" s="39">
        <f t="shared" si="47"/>
        <v>101.00869565217391</v>
      </c>
      <c r="S161">
        <f t="shared" si="48"/>
        <v>1</v>
      </c>
      <c r="T161" s="39">
        <f t="shared" si="49"/>
        <v>47.979130434782618</v>
      </c>
      <c r="U161" t="str">
        <f t="shared" si="50"/>
        <v/>
      </c>
      <c r="V161">
        <f>IF(L161="","",IF($AO$1=1,IFERROR(MATCH(L161,'08-آب'!$L$2:$L$501,0),0),0))</f>
        <v>155</v>
      </c>
      <c r="W161" t="str">
        <f t="shared" si="51"/>
        <v/>
      </c>
      <c r="X161" s="38">
        <f>IF(L161="","",IF(V161&gt;0,INDEX('08-آب'!$P$2:$P$501,V161),IF($AO$1=1,0,"")))</f>
        <v>5.08</v>
      </c>
      <c r="Y161" s="38">
        <f t="shared" si="52"/>
        <v>-2.66</v>
      </c>
      <c r="Z161" s="39">
        <f>IF(L161="","",IF(V161&gt;0,INDEX('08-آب'!$Q$2:$Q$501,V161),IF($AO$1=1,0,"")))</f>
        <v>116.37818181818183</v>
      </c>
      <c r="AA161" s="39">
        <f t="shared" si="53"/>
        <v>-63.348616600790535</v>
      </c>
      <c r="AB161" s="40">
        <f>IF(OR(L161="",V161=0),"",IF(AND(N(I161)&gt;0,N(INDEX('08-آب'!$I$2:$I$501,V161))&gt;0,INDEX('08-آب'!$F$2:$F$501,V161)=F161),N(I161)/N(INDEX('08-آب'!$I$2:$I$501,V161))-1,""))</f>
        <v>0</v>
      </c>
      <c r="AC161" t="str">
        <f>IF(L161="","",IF(AND($AO$2=1,ISNA(MATCH(L161,'10-تشرين الأول'!$L$2:$L$501,0))),"محذوف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63.348616761790538</v>
      </c>
      <c r="AH161" s="39">
        <f t="shared" si="55"/>
        <v>47.979130434782611</v>
      </c>
      <c r="AI161" s="39">
        <f t="shared" si="56"/>
        <v>47.979130434782611</v>
      </c>
      <c r="AJ161" s="39">
        <f t="shared" si="57"/>
        <v>47.979130434782611</v>
      </c>
      <c r="AK161">
        <f t="shared" si="58"/>
        <v>53.029565378391297</v>
      </c>
      <c r="AL161">
        <f t="shared" si="59"/>
        <v>47.979130595782621</v>
      </c>
    </row>
    <row r="162" spans="1:38" ht="15">
      <c r="A162" t="s">
        <v>536</v>
      </c>
      <c r="B162">
        <v>0</v>
      </c>
      <c r="C162">
        <v>0</v>
      </c>
      <c r="D162">
        <v>0</v>
      </c>
      <c r="E162">
        <v>0</v>
      </c>
      <c r="F162" t="s">
        <v>389</v>
      </c>
      <c r="G162" t="s">
        <v>178</v>
      </c>
      <c r="H162" t="s">
        <v>177</v>
      </c>
      <c r="I162">
        <v>0</v>
      </c>
      <c r="K162" t="str">
        <f t="shared" si="40"/>
        <v/>
      </c>
      <c r="L162" t="str">
        <f t="shared" si="41"/>
        <v>شامبو 120 كغ خام</v>
      </c>
      <c r="M162" s="36">
        <f t="shared" si="42"/>
        <v>7.2463768115942027E-5</v>
      </c>
      <c r="N162" s="37">
        <f t="shared" si="43"/>
        <v>0</v>
      </c>
      <c r="O162" s="37">
        <f t="shared" si="44"/>
        <v>0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IF(L162="","",IF($AO$1=1,IFERROR(MATCH(L162,'08-آب'!$L$2:$L$501,0),0),0))</f>
        <v>0</v>
      </c>
      <c r="W162" t="str">
        <f t="shared" si="51"/>
        <v>جديد</v>
      </c>
      <c r="X162" s="38">
        <f>IF(L162="","",IF(V162&gt;0,INDEX('08-آب'!$P$2:$P$501,V162),IF($AO$1=1,0,"")))</f>
        <v>0</v>
      </c>
      <c r="Y162" s="38">
        <f t="shared" si="52"/>
        <v>0</v>
      </c>
      <c r="Z162" s="39">
        <f>IF(L162="","",IF(V162&gt;0,INDEX('08-آب'!$Q$2:$Q$501,V162),IF($AO$1=1,0,"")))</f>
        <v>0</v>
      </c>
      <c r="AA162" s="39">
        <f t="shared" si="53"/>
        <v>0</v>
      </c>
      <c r="AB162" s="40" t="str">
        <f>IF(OR(L162="",V162=0),"",IF(AND(N(I162)&gt;0,N(INDEX('08-آب'!$I$2:$I$501,V162))&gt;0,INDEX('08-آب'!$F$2:$F$501,V162)=F162),N(I162)/N(INDEX('08-آب'!$I$2:$I$501,V162))-1,""))</f>
        <v/>
      </c>
      <c r="AC162" t="str">
        <f>IF(L162="","",IF(AND($AO$2=1,ISNA(MATCH(L162,'10-تشرين الأول'!$L$2:$L$501,0))),"محذوف لاحقاً",""))</f>
        <v/>
      </c>
      <c r="AD162">
        <f>IF(W162="جديد",COUNTIF(W$2:W162,"جديد"),"")</f>
        <v>7</v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1.6199999999999999E-7</v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457</v>
      </c>
      <c r="B163">
        <v>318.95999999999998</v>
      </c>
      <c r="C163">
        <v>15000</v>
      </c>
      <c r="D163">
        <v>15000</v>
      </c>
      <c r="E163">
        <v>15000</v>
      </c>
      <c r="F163" t="s">
        <v>389</v>
      </c>
      <c r="G163" t="s">
        <v>178</v>
      </c>
      <c r="H163" t="s">
        <v>12</v>
      </c>
      <c r="I163">
        <v>7500</v>
      </c>
      <c r="K163" t="str">
        <f t="shared" si="40"/>
        <v/>
      </c>
      <c r="L163" t="str">
        <f t="shared" si="41"/>
        <v>شامبو</v>
      </c>
      <c r="M163" s="36">
        <f t="shared" si="42"/>
        <v>7.2463768115942027E-5</v>
      </c>
      <c r="N163" s="37">
        <f t="shared" si="43"/>
        <v>0.54347826086956519</v>
      </c>
      <c r="O163" s="37">
        <f t="shared" si="44"/>
        <v>1.0869565217391304</v>
      </c>
      <c r="P163" s="38">
        <f t="shared" si="45"/>
        <v>318.95999999999998</v>
      </c>
      <c r="Q163" s="39">
        <f t="shared" si="46"/>
        <v>173.3478260869565</v>
      </c>
      <c r="R163" s="39">
        <f t="shared" si="47"/>
        <v>346.695652173913</v>
      </c>
      <c r="S163">
        <f t="shared" si="48"/>
        <v>1</v>
      </c>
      <c r="T163" s="39">
        <f t="shared" si="49"/>
        <v>173.3478260869565</v>
      </c>
      <c r="U163" t="str">
        <f t="shared" si="50"/>
        <v/>
      </c>
      <c r="V163">
        <f>IF(L163="","",IF($AO$1=1,IFERROR(MATCH(L163,'08-آب'!$L$2:$L$501,0),0),0))</f>
        <v>156</v>
      </c>
      <c r="W163" t="str">
        <f t="shared" si="51"/>
        <v/>
      </c>
      <c r="X163" s="38">
        <f>IF(L163="","",IF(V163&gt;0,INDEX('08-آب'!$P$2:$P$501,V163),IF($AO$1=1,0,"")))</f>
        <v>538.36</v>
      </c>
      <c r="Y163" s="38">
        <f t="shared" si="52"/>
        <v>-219.40000000000003</v>
      </c>
      <c r="Z163" s="39">
        <f>IF(L163="","",IF(V163&gt;0,INDEX('08-آب'!$Q$2:$Q$501,V163),IF($AO$1=1,0,"")))</f>
        <v>305.88636363636368</v>
      </c>
      <c r="AA163" s="39">
        <f t="shared" si="53"/>
        <v>-132.53853754940718</v>
      </c>
      <c r="AB163" s="40">
        <f>IF(OR(L163="",V163=0),"",IF(AND(N(I163)&gt;0,N(INDEX('08-آب'!$I$2:$I$501,V163))&gt;0,INDEX('08-آب'!$F$2:$F$501,V163)=F163),N(I163)/N(INDEX('08-آب'!$I$2:$I$501,V163))-1,""))</f>
        <v>0</v>
      </c>
      <c r="AC163" t="str">
        <f>IF(L163="","",IF(AND($AO$2=1,ISNA(MATCH(L163,'10-تشرين الأول'!$L$2:$L$501,0))),"محذوف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132.53853771240719</v>
      </c>
      <c r="AH163" s="39">
        <f t="shared" si="55"/>
        <v>173.3478260869565</v>
      </c>
      <c r="AI163" s="39">
        <f t="shared" si="56"/>
        <v>173.3478260869565</v>
      </c>
      <c r="AJ163" s="39">
        <f t="shared" si="57"/>
        <v>173.3478260869565</v>
      </c>
      <c r="AK163">
        <f t="shared" si="58"/>
        <v>173.34782624995651</v>
      </c>
      <c r="AL163">
        <f t="shared" si="59"/>
        <v>173.34782624995651</v>
      </c>
    </row>
    <row r="164" spans="1:38" ht="15">
      <c r="A164" t="s">
        <v>341</v>
      </c>
      <c r="B164">
        <v>0</v>
      </c>
      <c r="C164">
        <v>0</v>
      </c>
      <c r="D164">
        <v>0</v>
      </c>
      <c r="E164">
        <v>0</v>
      </c>
      <c r="F164" t="s">
        <v>268</v>
      </c>
      <c r="G164" t="s">
        <v>178</v>
      </c>
      <c r="H164" t="s">
        <v>176</v>
      </c>
      <c r="I164">
        <v>0.55000000000000004</v>
      </c>
      <c r="K164" t="str">
        <f t="shared" si="40"/>
        <v/>
      </c>
      <c r="L164" t="str">
        <f t="shared" si="41"/>
        <v>سيليكات سائلة</v>
      </c>
      <c r="M164" s="36">
        <f t="shared" si="42"/>
        <v>1</v>
      </c>
      <c r="N164" s="37">
        <f t="shared" si="43"/>
        <v>0.55000000000000004</v>
      </c>
      <c r="O164" s="37">
        <f t="shared" si="44"/>
        <v>0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IF(L164="","",IF($AO$1=1,IFERROR(MATCH(L164,'08-آب'!$L$2:$L$501,0),0),0))</f>
        <v>157</v>
      </c>
      <c r="W164" t="str">
        <f t="shared" si="51"/>
        <v/>
      </c>
      <c r="X164" s="38">
        <f>IF(L164="","",IF(V164&gt;0,INDEX('08-آب'!$P$2:$P$501,V164),IF($AO$1=1,0,"")))</f>
        <v>0</v>
      </c>
      <c r="Y164" s="38">
        <f t="shared" si="52"/>
        <v>0</v>
      </c>
      <c r="Z164" s="39">
        <f>IF(L164="","",IF(V164&gt;0,INDEX('08-آب'!$Q$2:$Q$501,V164),IF($AO$1=1,0,"")))</f>
        <v>0</v>
      </c>
      <c r="AA164" s="39">
        <f t="shared" si="53"/>
        <v>0</v>
      </c>
      <c r="AB164" s="40">
        <f>IF(OR(L164="",V164=0),"",IF(AND(N(I164)&gt;0,N(INDEX('08-آب'!$I$2:$I$501,V164))&gt;0,INDEX('08-آب'!$F$2:$F$501,V164)=F164),N(I164)/N(INDEX('08-آب'!$I$2:$I$501,V164))-1,""))</f>
        <v>0</v>
      </c>
      <c r="AC164" t="str">
        <f>IF(L164="","",IF(AND($AO$2=1,ISNA(MATCH(L164,'10-تشرين الأول'!$L$2:$L$501,0))),"محذوف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1.6400000000000001E-7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458</v>
      </c>
      <c r="B165">
        <v>6</v>
      </c>
      <c r="C165">
        <v>25000</v>
      </c>
      <c r="D165">
        <v>25000</v>
      </c>
      <c r="E165">
        <v>25000</v>
      </c>
      <c r="F165" t="s">
        <v>389</v>
      </c>
      <c r="G165" t="s">
        <v>178</v>
      </c>
      <c r="H165" t="s">
        <v>12</v>
      </c>
      <c r="I165">
        <v>17000</v>
      </c>
      <c r="K165" t="str">
        <f t="shared" si="40"/>
        <v/>
      </c>
      <c r="L165" t="str">
        <f t="shared" si="41"/>
        <v>سيف عائلاتي</v>
      </c>
      <c r="M165" s="36">
        <f t="shared" si="42"/>
        <v>7.2463768115942027E-5</v>
      </c>
      <c r="N165" s="37">
        <f t="shared" si="43"/>
        <v>1.2318840579710144</v>
      </c>
      <c r="O165" s="37">
        <f t="shared" si="44"/>
        <v>1.8115942028985508</v>
      </c>
      <c r="P165" s="38">
        <f t="shared" si="45"/>
        <v>6</v>
      </c>
      <c r="Q165" s="39">
        <f t="shared" si="46"/>
        <v>7.391304347826086</v>
      </c>
      <c r="R165" s="39">
        <f t="shared" si="47"/>
        <v>10.869565217391305</v>
      </c>
      <c r="S165">
        <f t="shared" si="48"/>
        <v>1</v>
      </c>
      <c r="T165" s="39">
        <f t="shared" si="49"/>
        <v>3.4782608695652186</v>
      </c>
      <c r="U165" t="str">
        <f t="shared" si="50"/>
        <v/>
      </c>
      <c r="V165">
        <f>IF(L165="","",IF($AO$1=1,IFERROR(MATCH(L165,'08-آب'!$L$2:$L$501,0),0),0))</f>
        <v>158</v>
      </c>
      <c r="W165" t="str">
        <f t="shared" si="51"/>
        <v/>
      </c>
      <c r="X165" s="38">
        <f>IF(L165="","",IF(V165&gt;0,INDEX('08-آب'!$P$2:$P$501,V165),IF($AO$1=1,0,"")))</f>
        <v>6</v>
      </c>
      <c r="Y165" s="38">
        <f t="shared" si="52"/>
        <v>0</v>
      </c>
      <c r="Z165" s="39">
        <f>IF(L165="","",IF(V165&gt;0,INDEX('08-آب'!$Q$2:$Q$501,V165),IF($AO$1=1,0,"")))</f>
        <v>7.7272727272727266</v>
      </c>
      <c r="AA165" s="39">
        <f t="shared" si="53"/>
        <v>-0.3359683794466406</v>
      </c>
      <c r="AB165" s="40">
        <f>IF(OR(L165="",V165=0),"",IF(AND(N(I165)&gt;0,N(INDEX('08-آب'!$I$2:$I$501,V165))&gt;0,INDEX('08-آب'!$F$2:$F$501,V165)=F165),N(I165)/N(INDEX('08-آب'!$I$2:$I$501,V165))-1,""))</f>
        <v>0</v>
      </c>
      <c r="AC165" t="str">
        <f>IF(L165="","",IF(AND($AO$2=1,ISNA(MATCH(L165,'10-تشرين الأول'!$L$2:$L$501,0))),"محذوف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0.33596854444664059</v>
      </c>
      <c r="AH165" s="39">
        <f t="shared" si="55"/>
        <v>3.4782608695652182</v>
      </c>
      <c r="AI165" s="39">
        <f t="shared" si="56"/>
        <v>3.4782608695652182</v>
      </c>
      <c r="AJ165" s="39">
        <f t="shared" si="57"/>
        <v>3.4782608695652182</v>
      </c>
      <c r="AK165">
        <f t="shared" si="58"/>
        <v>7.3913045128260864</v>
      </c>
      <c r="AL165">
        <f t="shared" si="59"/>
        <v>3.4782610345652185</v>
      </c>
    </row>
    <row r="166" spans="1:38" ht="15">
      <c r="A166" t="s">
        <v>459</v>
      </c>
      <c r="B166">
        <v>29.4</v>
      </c>
      <c r="C166">
        <v>50000</v>
      </c>
      <c r="D166">
        <v>50000</v>
      </c>
      <c r="E166">
        <v>50000</v>
      </c>
      <c r="F166" t="s">
        <v>389</v>
      </c>
      <c r="G166" t="s">
        <v>178</v>
      </c>
      <c r="H166" t="s">
        <v>12</v>
      </c>
      <c r="I166">
        <v>35000</v>
      </c>
      <c r="K166" t="str">
        <f t="shared" si="40"/>
        <v/>
      </c>
      <c r="L166" t="str">
        <f t="shared" si="41"/>
        <v>سيف بريفيت</v>
      </c>
      <c r="M166" s="36">
        <f t="shared" si="42"/>
        <v>7.2463768115942027E-5</v>
      </c>
      <c r="N166" s="37">
        <f t="shared" si="43"/>
        <v>2.5362318840579707</v>
      </c>
      <c r="O166" s="37">
        <f t="shared" si="44"/>
        <v>3.6231884057971016</v>
      </c>
      <c r="P166" s="38">
        <f t="shared" si="45"/>
        <v>29.4</v>
      </c>
      <c r="Q166" s="39">
        <f t="shared" si="46"/>
        <v>74.56521739130433</v>
      </c>
      <c r="R166" s="39">
        <f t="shared" si="47"/>
        <v>106.52173913043478</v>
      </c>
      <c r="S166">
        <f t="shared" si="48"/>
        <v>1</v>
      </c>
      <c r="T166" s="39">
        <f t="shared" si="49"/>
        <v>31.956521739130451</v>
      </c>
      <c r="U166" t="str">
        <f t="shared" si="50"/>
        <v/>
      </c>
      <c r="V166">
        <f>IF(L166="","",IF($AO$1=1,IFERROR(MATCH(L166,'08-آب'!$L$2:$L$501,0),0),0))</f>
        <v>159</v>
      </c>
      <c r="W166" t="str">
        <f t="shared" si="51"/>
        <v/>
      </c>
      <c r="X166" s="38">
        <f>IF(L166="","",IF(V166&gt;0,INDEX('08-آب'!$P$2:$P$501,V166),IF($AO$1=1,0,"")))</f>
        <v>45.6</v>
      </c>
      <c r="Y166" s="38">
        <f t="shared" si="52"/>
        <v>-16.200000000000003</v>
      </c>
      <c r="Z166" s="39">
        <f>IF(L166="","",IF(V166&gt;0,INDEX('08-آب'!$Q$2:$Q$501,V166),IF($AO$1=1,0,"")))</f>
        <v>120.90909090909091</v>
      </c>
      <c r="AA166" s="39">
        <f t="shared" si="53"/>
        <v>-46.343873517786577</v>
      </c>
      <c r="AB166" s="40">
        <f>IF(OR(L166="",V166=0),"",IF(AND(N(I166)&gt;0,N(INDEX('08-آب'!$I$2:$I$501,V166))&gt;0,INDEX('08-آب'!$F$2:$F$501,V166)=F166),N(I166)/N(INDEX('08-آب'!$I$2:$I$501,V166))-1,""))</f>
        <v>0</v>
      </c>
      <c r="AC166" t="str">
        <f>IF(L166="","",IF(AND($AO$2=1,ISNA(MATCH(L166,'10-تشرين الأول'!$L$2:$L$501,0))),"محذوف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46.343873683786576</v>
      </c>
      <c r="AH166" s="39">
        <f t="shared" si="55"/>
        <v>31.956521739130444</v>
      </c>
      <c r="AI166" s="39">
        <f t="shared" si="56"/>
        <v>31.956521739130444</v>
      </c>
      <c r="AJ166" s="39">
        <f t="shared" si="57"/>
        <v>31.956521739130444</v>
      </c>
      <c r="AK166">
        <f t="shared" si="58"/>
        <v>74.565217557304337</v>
      </c>
      <c r="AL166">
        <f t="shared" si="59"/>
        <v>31.956521905130451</v>
      </c>
    </row>
    <row r="167" spans="1:38" ht="15">
      <c r="A167" t="s">
        <v>460</v>
      </c>
      <c r="B167">
        <v>2</v>
      </c>
      <c r="C167">
        <v>19000</v>
      </c>
      <c r="D167">
        <v>19000</v>
      </c>
      <c r="E167">
        <v>19000</v>
      </c>
      <c r="F167" t="s">
        <v>389</v>
      </c>
      <c r="G167" t="s">
        <v>178</v>
      </c>
      <c r="H167" t="s">
        <v>12</v>
      </c>
      <c r="I167">
        <v>16000</v>
      </c>
      <c r="K167" t="str">
        <f t="shared" si="40"/>
        <v/>
      </c>
      <c r="L167" t="str">
        <f t="shared" si="41"/>
        <v>سيف برلنت</v>
      </c>
      <c r="M167" s="36">
        <f t="shared" si="42"/>
        <v>7.2463768115942027E-5</v>
      </c>
      <c r="N167" s="37">
        <f t="shared" si="43"/>
        <v>1.1594202898550725</v>
      </c>
      <c r="O167" s="37">
        <f t="shared" si="44"/>
        <v>1.3768115942028984</v>
      </c>
      <c r="P167" s="38">
        <f t="shared" si="45"/>
        <v>2</v>
      </c>
      <c r="Q167" s="39">
        <f t="shared" si="46"/>
        <v>2.318840579710145</v>
      </c>
      <c r="R167" s="39">
        <f t="shared" si="47"/>
        <v>2.7536231884057969</v>
      </c>
      <c r="S167">
        <f t="shared" si="48"/>
        <v>1</v>
      </c>
      <c r="T167" s="39">
        <f t="shared" si="49"/>
        <v>0.43478260869565188</v>
      </c>
      <c r="U167" t="str">
        <f t="shared" si="50"/>
        <v/>
      </c>
      <c r="V167">
        <f>IF(L167="","",IF($AO$1=1,IFERROR(MATCH(L167,'08-آب'!$L$2:$L$501,0),0),0))</f>
        <v>160</v>
      </c>
      <c r="W167" t="str">
        <f t="shared" si="51"/>
        <v/>
      </c>
      <c r="X167" s="38">
        <f>IF(L167="","",IF(V167&gt;0,INDEX('08-آب'!$P$2:$P$501,V167),IF($AO$1=1,0,"")))</f>
        <v>2</v>
      </c>
      <c r="Y167" s="38">
        <f t="shared" si="52"/>
        <v>0</v>
      </c>
      <c r="Z167" s="39">
        <f>IF(L167="","",IF(V167&gt;0,INDEX('08-آب'!$Q$2:$Q$501,V167),IF($AO$1=1,0,"")))</f>
        <v>2.4242424242424243</v>
      </c>
      <c r="AA167" s="39">
        <f t="shared" si="53"/>
        <v>-0.1054018445322793</v>
      </c>
      <c r="AB167" s="40">
        <f>IF(OR(L167="",V167=0),"",IF(AND(N(I167)&gt;0,N(INDEX('08-آب'!$I$2:$I$501,V167))&gt;0,INDEX('08-آب'!$F$2:$F$501,V167)=F167),N(I167)/N(INDEX('08-آب'!$I$2:$I$501,V167))-1,""))</f>
        <v>0</v>
      </c>
      <c r="AC167" t="str">
        <f>IF(L167="","",IF(AND($AO$2=1,ISNA(MATCH(L167,'10-تشرين الأول'!$L$2:$L$501,0))),"محذوف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0.10540201153227929</v>
      </c>
      <c r="AH167" s="39">
        <f t="shared" si="55"/>
        <v>0.43478260869565188</v>
      </c>
      <c r="AI167" s="39">
        <f t="shared" si="56"/>
        <v>0.43478260869565188</v>
      </c>
      <c r="AJ167" s="39">
        <f t="shared" si="57"/>
        <v>0.43478260869565188</v>
      </c>
      <c r="AK167">
        <f t="shared" si="58"/>
        <v>2.3188407467101451</v>
      </c>
      <c r="AL167">
        <f t="shared" si="59"/>
        <v>0.43478277569565188</v>
      </c>
    </row>
    <row r="168" spans="1:38" ht="15">
      <c r="A168" t="s">
        <v>520</v>
      </c>
      <c r="B168">
        <v>25</v>
      </c>
      <c r="C168">
        <v>5000</v>
      </c>
      <c r="D168">
        <v>5000</v>
      </c>
      <c r="E168">
        <v>5000</v>
      </c>
      <c r="F168" t="s">
        <v>389</v>
      </c>
      <c r="G168" t="s">
        <v>178</v>
      </c>
      <c r="H168" t="s">
        <v>12</v>
      </c>
      <c r="I168">
        <v>1285</v>
      </c>
      <c r="K168" t="str">
        <f t="shared" si="40"/>
        <v/>
      </c>
      <c r="L168" t="str">
        <f t="shared" si="41"/>
        <v>سيف بالكيلو</v>
      </c>
      <c r="M168" s="36">
        <f t="shared" si="42"/>
        <v>7.2463768115942027E-5</v>
      </c>
      <c r="N168" s="37">
        <f t="shared" si="43"/>
        <v>9.3115942028985502E-2</v>
      </c>
      <c r="O168" s="37">
        <f t="shared" si="44"/>
        <v>0.36231884057971014</v>
      </c>
      <c r="P168" s="38">
        <f t="shared" si="45"/>
        <v>25</v>
      </c>
      <c r="Q168" s="39">
        <f t="shared" si="46"/>
        <v>2.3278985507246377</v>
      </c>
      <c r="R168" s="39">
        <f t="shared" si="47"/>
        <v>9.0579710144927539</v>
      </c>
      <c r="S168">
        <f t="shared" si="48"/>
        <v>1</v>
      </c>
      <c r="T168" s="39">
        <f t="shared" si="49"/>
        <v>6.7300724637681162</v>
      </c>
      <c r="U168" t="str">
        <f t="shared" si="50"/>
        <v/>
      </c>
      <c r="V168">
        <f>IF(L168="","",IF($AO$1=1,IFERROR(MATCH(L168,'08-آب'!$L$2:$L$501,0),0),0))</f>
        <v>161</v>
      </c>
      <c r="W168" t="str">
        <f t="shared" si="51"/>
        <v/>
      </c>
      <c r="X168" s="38">
        <f>IF(L168="","",IF(V168&gt;0,INDEX('08-آب'!$P$2:$P$501,V168),IF($AO$1=1,0,"")))</f>
        <v>25</v>
      </c>
      <c r="Y168" s="38">
        <f t="shared" si="52"/>
        <v>0</v>
      </c>
      <c r="Z168" s="39">
        <f>IF(L168="","",IF(V168&gt;0,INDEX('08-آب'!$Q$2:$Q$501,V168),IF($AO$1=1,0,"")))</f>
        <v>2.4337121212121211</v>
      </c>
      <c r="AA168" s="39">
        <f t="shared" si="53"/>
        <v>-0.10581357048748341</v>
      </c>
      <c r="AB168" s="40">
        <f>IF(OR(L168="",V168=0),"",IF(AND(N(I168)&gt;0,N(INDEX('08-آب'!$I$2:$I$501,V168))&gt;0,INDEX('08-آب'!$F$2:$F$501,V168)=F168),N(I168)/N(INDEX('08-آب'!$I$2:$I$501,V168))-1,""))</f>
        <v>0</v>
      </c>
      <c r="AC168" t="str">
        <f>IF(L168="","",IF(AND($AO$2=1,ISNA(MATCH(L168,'10-تشرين الأول'!$L$2:$L$501,0))),"محذوف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0.10581373848748341</v>
      </c>
      <c r="AH168" s="39">
        <f t="shared" si="55"/>
        <v>6.7300724637681162</v>
      </c>
      <c r="AI168" s="39">
        <f t="shared" si="56"/>
        <v>6.7300724637681162</v>
      </c>
      <c r="AJ168" s="39">
        <f t="shared" si="57"/>
        <v>6.7300724637681162</v>
      </c>
      <c r="AK168">
        <f t="shared" si="58"/>
        <v>2.3278987187246378</v>
      </c>
      <c r="AL168">
        <f t="shared" si="59"/>
        <v>6.7300726317681159</v>
      </c>
    </row>
    <row r="169" spans="1:38" ht="15">
      <c r="A169" t="s">
        <v>461</v>
      </c>
      <c r="B169">
        <v>0</v>
      </c>
      <c r="C169">
        <v>21000</v>
      </c>
      <c r="D169">
        <v>21000</v>
      </c>
      <c r="E169">
        <v>21000</v>
      </c>
      <c r="F169" t="s">
        <v>389</v>
      </c>
      <c r="G169" t="s">
        <v>178</v>
      </c>
      <c r="H169" t="s">
        <v>12</v>
      </c>
      <c r="I169">
        <v>9000</v>
      </c>
      <c r="K169" t="str">
        <f t="shared" si="40"/>
        <v/>
      </c>
      <c r="L169" t="str">
        <f t="shared" si="41"/>
        <v>سيف الكرار نخب اول</v>
      </c>
      <c r="M169" s="36">
        <f t="shared" si="42"/>
        <v>7.2463768115942027E-5</v>
      </c>
      <c r="N169" s="37">
        <f t="shared" si="43"/>
        <v>0.65217391304347827</v>
      </c>
      <c r="O169" s="37">
        <f t="shared" si="44"/>
        <v>1.5217391304347825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IF(L169="","",IF($AO$1=1,IFERROR(MATCH(L169,'08-آب'!$L$2:$L$501,0),0),0))</f>
        <v>162</v>
      </c>
      <c r="W169" t="str">
        <f t="shared" si="51"/>
        <v/>
      </c>
      <c r="X169" s="38">
        <f>IF(L169="","",IF(V169&gt;0,INDEX('08-آب'!$P$2:$P$501,V169),IF($AO$1=1,0,"")))</f>
        <v>0</v>
      </c>
      <c r="Y169" s="38">
        <f t="shared" si="52"/>
        <v>0</v>
      </c>
      <c r="Z169" s="39">
        <f>IF(L169="","",IF(V169&gt;0,INDEX('08-آب'!$Q$2:$Q$501,V169),IF($AO$1=1,0,"")))</f>
        <v>0</v>
      </c>
      <c r="AA169" s="39">
        <f t="shared" si="53"/>
        <v>0</v>
      </c>
      <c r="AB169" s="40">
        <f>IF(OR(L169="",V169=0),"",IF(AND(N(I169)&gt;0,N(INDEX('08-آب'!$I$2:$I$501,V169))&gt;0,INDEX('08-آب'!$F$2:$F$501,V169)=F169),N(I169)/N(INDEX('08-آب'!$I$2:$I$501,V169))-1,""))</f>
        <v>0</v>
      </c>
      <c r="AC169" t="str">
        <f>IF(L169="","",IF(AND($AO$2=1,ISNA(MATCH(L169,'10-تشرين الأول'!$L$2:$L$501,0))),"محذوف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462</v>
      </c>
      <c r="B170">
        <v>0</v>
      </c>
      <c r="C170">
        <v>200000</v>
      </c>
      <c r="D170">
        <v>200000</v>
      </c>
      <c r="E170">
        <v>200000</v>
      </c>
      <c r="F170" t="s">
        <v>389</v>
      </c>
      <c r="G170" t="s">
        <v>178</v>
      </c>
      <c r="H170" t="s">
        <v>12</v>
      </c>
      <c r="I170">
        <v>150000</v>
      </c>
      <c r="K170" t="str">
        <f t="shared" si="40"/>
        <v/>
      </c>
      <c r="L170" t="str">
        <f t="shared" si="41"/>
        <v>سيف الكرار 2602</v>
      </c>
      <c r="M170" s="36">
        <f t="shared" si="42"/>
        <v>7.2463768115942027E-5</v>
      </c>
      <c r="N170" s="37">
        <f t="shared" si="43"/>
        <v>10.869565217391305</v>
      </c>
      <c r="O170" s="37">
        <f t="shared" si="44"/>
        <v>14.492753623188406</v>
      </c>
      <c r="P170" s="38">
        <f t="shared" si="45"/>
        <v>0</v>
      </c>
      <c r="Q170" s="39">
        <f t="shared" si="46"/>
        <v>0</v>
      </c>
      <c r="R170" s="39">
        <f t="shared" si="47"/>
        <v>0</v>
      </c>
      <c r="S170">
        <f t="shared" si="48"/>
        <v>0</v>
      </c>
      <c r="T170" s="39">
        <f t="shared" si="49"/>
        <v>0</v>
      </c>
      <c r="U170" t="str">
        <f t="shared" si="50"/>
        <v/>
      </c>
      <c r="V170">
        <f>IF(L170="","",IF($AO$1=1,IFERROR(MATCH(L170,'08-آب'!$L$2:$L$501,0),0),0))</f>
        <v>163</v>
      </c>
      <c r="W170" t="str">
        <f t="shared" si="51"/>
        <v/>
      </c>
      <c r="X170" s="38">
        <f>IF(L170="","",IF(V170&gt;0,INDEX('08-آب'!$P$2:$P$501,V170),IF($AO$1=1,0,"")))</f>
        <v>0</v>
      </c>
      <c r="Y170" s="38">
        <f t="shared" si="52"/>
        <v>0</v>
      </c>
      <c r="Z170" s="39">
        <f>IF(L170="","",IF(V170&gt;0,INDEX('08-آب'!$Q$2:$Q$501,V170),IF($AO$1=1,0,"")))</f>
        <v>0</v>
      </c>
      <c r="AA170" s="39">
        <f t="shared" si="53"/>
        <v>0</v>
      </c>
      <c r="AB170" s="40">
        <f>IF(OR(L170="",V170=0),"",IF(AND(N(I170)&gt;0,N(INDEX('08-آب'!$I$2:$I$501,V170))&gt;0,INDEX('08-آب'!$F$2:$F$501,V170)=F170),N(I170)/N(INDEX('08-آب'!$I$2:$I$501,V170))-1,""))</f>
        <v>0</v>
      </c>
      <c r="AC170" t="str">
        <f>IF(L170="","",IF(AND($AO$2=1,ISNA(MATCH(L170,'10-تشرين الأول'!$L$2:$L$501,0))),"محذوف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1.6999999999999999E-7</v>
      </c>
      <c r="AH170" s="39">
        <f t="shared" si="55"/>
        <v>0</v>
      </c>
      <c r="AI170" s="39">
        <f t="shared" si="56"/>
        <v>0</v>
      </c>
      <c r="AJ170" s="39">
        <f t="shared" si="57"/>
        <v>0</v>
      </c>
      <c r="AK170">
        <f t="shared" si="58"/>
        <v>1.6999999999999999E-7</v>
      </c>
      <c r="AL170">
        <f t="shared" si="59"/>
        <v>1.6999999999999999E-7</v>
      </c>
    </row>
    <row r="171" spans="1:38" ht="15">
      <c r="A171" t="s">
        <v>537</v>
      </c>
      <c r="B171">
        <v>0</v>
      </c>
      <c r="C171">
        <v>0</v>
      </c>
      <c r="D171">
        <v>0</v>
      </c>
      <c r="E171">
        <v>0</v>
      </c>
      <c r="F171" t="s">
        <v>268</v>
      </c>
      <c r="G171" t="s">
        <v>178</v>
      </c>
      <c r="H171" t="s">
        <v>176</v>
      </c>
      <c r="I171">
        <v>4.2</v>
      </c>
      <c r="K171" t="str">
        <f t="shared" si="40"/>
        <v/>
      </c>
      <c r="L171" t="str">
        <f t="shared" si="41"/>
        <v>سيتول</v>
      </c>
      <c r="M171" s="36">
        <f t="shared" si="42"/>
        <v>1</v>
      </c>
      <c r="N171" s="37">
        <f t="shared" si="43"/>
        <v>4.2</v>
      </c>
      <c r="O171" s="37">
        <f t="shared" si="44"/>
        <v>0</v>
      </c>
      <c r="P171" s="38">
        <f t="shared" si="45"/>
        <v>0</v>
      </c>
      <c r="Q171" s="39">
        <f t="shared" si="46"/>
        <v>0</v>
      </c>
      <c r="R171" s="39">
        <f t="shared" si="47"/>
        <v>0</v>
      </c>
      <c r="S171">
        <f t="shared" si="48"/>
        <v>0</v>
      </c>
      <c r="T171" s="39">
        <f t="shared" si="49"/>
        <v>0</v>
      </c>
      <c r="U171" t="str">
        <f t="shared" si="50"/>
        <v/>
      </c>
      <c r="V171">
        <f>IF(L171="","",IF($AO$1=1,IFERROR(MATCH(L171,'08-آب'!$L$2:$L$501,0),0),0))</f>
        <v>0</v>
      </c>
      <c r="W171" t="str">
        <f t="shared" si="51"/>
        <v>جديد</v>
      </c>
      <c r="X171" s="38">
        <f>IF(L171="","",IF(V171&gt;0,INDEX('08-آب'!$P$2:$P$501,V171),IF($AO$1=1,0,"")))</f>
        <v>0</v>
      </c>
      <c r="Y171" s="38">
        <f t="shared" si="52"/>
        <v>0</v>
      </c>
      <c r="Z171" s="39">
        <f>IF(L171="","",IF(V171&gt;0,INDEX('08-آب'!$Q$2:$Q$501,V171),IF($AO$1=1,0,"")))</f>
        <v>0</v>
      </c>
      <c r="AA171" s="39">
        <f t="shared" si="53"/>
        <v>0</v>
      </c>
      <c r="AB171" s="40" t="str">
        <f>IF(OR(L171="",V171=0),"",IF(AND(N(I171)&gt;0,N(INDEX('08-آب'!$I$2:$I$501,V171))&gt;0,INDEX('08-آب'!$F$2:$F$501,V171)=F171),N(I171)/N(INDEX('08-آب'!$I$2:$I$501,V171))-1,""))</f>
        <v/>
      </c>
      <c r="AC171" t="str">
        <f>IF(L171="","",IF(AND($AO$2=1,ISNA(MATCH(L171,'10-تشرين الأول'!$L$2:$L$501,0))),"محذوف لاحقاً",""))</f>
        <v/>
      </c>
      <c r="AD171">
        <f>IF(W171="جديد",COUNTIF(W$2:W171,"جديد"),"")</f>
        <v>8</v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1.7100000000000001E-7</v>
      </c>
      <c r="AH171" s="39">
        <f t="shared" si="55"/>
        <v>0</v>
      </c>
      <c r="AI171" s="39">
        <f t="shared" si="56"/>
        <v>0</v>
      </c>
      <c r="AJ171" s="39">
        <f t="shared" si="57"/>
        <v>0</v>
      </c>
      <c r="AK171">
        <f t="shared" si="58"/>
        <v>1.7100000000000001E-7</v>
      </c>
      <c r="AL171">
        <f t="shared" si="59"/>
        <v>1.7100000000000001E-7</v>
      </c>
    </row>
    <row r="172" spans="1:38" ht="15">
      <c r="A172" t="s">
        <v>521</v>
      </c>
      <c r="B172">
        <v>28.5</v>
      </c>
      <c r="C172">
        <v>0</v>
      </c>
      <c r="D172">
        <v>0</v>
      </c>
      <c r="E172">
        <v>0</v>
      </c>
      <c r="F172" t="s">
        <v>268</v>
      </c>
      <c r="G172" t="s">
        <v>178</v>
      </c>
      <c r="H172" t="s">
        <v>176</v>
      </c>
      <c r="I172">
        <v>0.9</v>
      </c>
      <c r="K172" t="str">
        <f t="shared" si="40"/>
        <v/>
      </c>
      <c r="L172" t="str">
        <f t="shared" si="41"/>
        <v>سم مضروب</v>
      </c>
      <c r="M172" s="36">
        <f t="shared" si="42"/>
        <v>1</v>
      </c>
      <c r="N172" s="37">
        <f t="shared" si="43"/>
        <v>0.9</v>
      </c>
      <c r="O172" s="37">
        <f t="shared" si="44"/>
        <v>0</v>
      </c>
      <c r="P172" s="38">
        <f t="shared" si="45"/>
        <v>28.5</v>
      </c>
      <c r="Q172" s="39">
        <f t="shared" si="46"/>
        <v>25.650000000000002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IF(L172="","",IF($AO$1=1,IFERROR(MATCH(L172,'08-آب'!$L$2:$L$501,0),0),0))</f>
        <v>164</v>
      </c>
      <c r="W172" t="str">
        <f t="shared" si="51"/>
        <v/>
      </c>
      <c r="X172" s="38">
        <f>IF(L172="","",IF(V172&gt;0,INDEX('08-آب'!$P$2:$P$501,V172),IF($AO$1=1,0,"")))</f>
        <v>28.5</v>
      </c>
      <c r="Y172" s="38">
        <f t="shared" si="52"/>
        <v>0</v>
      </c>
      <c r="Z172" s="39">
        <f>IF(L172="","",IF(V172&gt;0,INDEX('08-آب'!$Q$2:$Q$501,V172),IF($AO$1=1,0,"")))</f>
        <v>25.650000000000002</v>
      </c>
      <c r="AA172" s="39">
        <f t="shared" si="53"/>
        <v>0</v>
      </c>
      <c r="AB172" s="40">
        <f>IF(OR(L172="",V172=0),"",IF(AND(N(I172)&gt;0,N(INDEX('08-آب'!$I$2:$I$501,V172))&gt;0,INDEX('08-آب'!$F$2:$F$501,V172)=F172),N(I172)/N(INDEX('08-آب'!$I$2:$I$501,V172))-1,""))</f>
        <v>0</v>
      </c>
      <c r="AC172" t="str">
        <f>IF(L172="","",IF(AND($AO$2=1,ISNA(MATCH(L172,'10-تشرين الأول'!$L$2:$L$501,0))),"محذوف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25.650000172000002</v>
      </c>
      <c r="AL172">
        <f t="shared" si="59"/>
        <v>1.72E-7</v>
      </c>
    </row>
    <row r="173" spans="1:38" ht="15">
      <c r="A173" t="s">
        <v>463</v>
      </c>
      <c r="B173">
        <v>0</v>
      </c>
      <c r="C173">
        <v>30000</v>
      </c>
      <c r="D173">
        <v>30000</v>
      </c>
      <c r="E173">
        <v>30000</v>
      </c>
      <c r="F173" t="s">
        <v>389</v>
      </c>
      <c r="G173" t="s">
        <v>178</v>
      </c>
      <c r="H173" t="s">
        <v>12</v>
      </c>
      <c r="I173">
        <v>20000</v>
      </c>
      <c r="K173" t="str">
        <f t="shared" si="40"/>
        <v/>
      </c>
      <c r="L173" t="str">
        <f t="shared" si="41"/>
        <v>سلة غسيل</v>
      </c>
      <c r="M173" s="36">
        <f t="shared" si="42"/>
        <v>7.2463768115942027E-5</v>
      </c>
      <c r="N173" s="37">
        <f t="shared" si="43"/>
        <v>1.4492753623188406</v>
      </c>
      <c r="O173" s="37">
        <f t="shared" si="44"/>
        <v>2.1739130434782608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IF(L173="","",IF($AO$1=1,IFERROR(MATCH(L173,'08-آب'!$L$2:$L$501,0),0),0))</f>
        <v>165</v>
      </c>
      <c r="W173" t="str">
        <f t="shared" si="51"/>
        <v/>
      </c>
      <c r="X173" s="38">
        <f>IF(L173="","",IF(V173&gt;0,INDEX('08-آب'!$P$2:$P$501,V173),IF($AO$1=1,0,"")))</f>
        <v>0</v>
      </c>
      <c r="Y173" s="38">
        <f t="shared" si="52"/>
        <v>0</v>
      </c>
      <c r="Z173" s="39">
        <f>IF(L173="","",IF(V173&gt;0,INDEX('08-آب'!$Q$2:$Q$501,V173),IF($AO$1=1,0,"")))</f>
        <v>0</v>
      </c>
      <c r="AA173" s="39">
        <f t="shared" si="53"/>
        <v>0</v>
      </c>
      <c r="AB173" s="40">
        <f>IF(OR(L173="",V173=0),"",IF(AND(N(I173)&gt;0,N(INDEX('08-آب'!$I$2:$I$501,V173))&gt;0,INDEX('08-آب'!$F$2:$F$501,V173)=F173),N(I173)/N(INDEX('08-آب'!$I$2:$I$501,V173))-1,""))</f>
        <v>0</v>
      </c>
      <c r="AC173" t="str">
        <f>IF(L173="","",IF(AND($AO$2=1,ISNA(MATCH(L173,'10-تشرين الأول'!$L$2:$L$501,0))),"محذوف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1.73E-7</v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464</v>
      </c>
      <c r="B174">
        <v>2335</v>
      </c>
      <c r="C174">
        <v>4000</v>
      </c>
      <c r="D174">
        <v>4000</v>
      </c>
      <c r="E174">
        <v>4000</v>
      </c>
      <c r="F174" t="s">
        <v>389</v>
      </c>
      <c r="G174" t="s">
        <v>178</v>
      </c>
      <c r="H174" t="s">
        <v>12</v>
      </c>
      <c r="I174">
        <v>2500</v>
      </c>
      <c r="K174" t="str">
        <f t="shared" si="40"/>
        <v/>
      </c>
      <c r="L174" t="str">
        <f t="shared" si="41"/>
        <v>سائل مغسل</v>
      </c>
      <c r="M174" s="36">
        <f t="shared" si="42"/>
        <v>7.2463768115942027E-5</v>
      </c>
      <c r="N174" s="37">
        <f t="shared" si="43"/>
        <v>0.18115942028985507</v>
      </c>
      <c r="O174" s="37">
        <f t="shared" si="44"/>
        <v>0.28985507246376813</v>
      </c>
      <c r="P174" s="38">
        <f t="shared" si="45"/>
        <v>2335</v>
      </c>
      <c r="Q174" s="39">
        <f t="shared" si="46"/>
        <v>423.00724637681157</v>
      </c>
      <c r="R174" s="39">
        <f t="shared" si="47"/>
        <v>676.81159420289862</v>
      </c>
      <c r="S174">
        <f t="shared" si="48"/>
        <v>1</v>
      </c>
      <c r="T174" s="39">
        <f t="shared" si="49"/>
        <v>253.80434782608705</v>
      </c>
      <c r="U174" t="str">
        <f t="shared" si="50"/>
        <v/>
      </c>
      <c r="V174">
        <f>IF(L174="","",IF($AO$1=1,IFERROR(MATCH(L174,'08-آب'!$L$2:$L$501,0),0),0))</f>
        <v>166</v>
      </c>
      <c r="W174" t="str">
        <f t="shared" si="51"/>
        <v/>
      </c>
      <c r="X174" s="38">
        <f>IF(L174="","",IF(V174&gt;0,INDEX('08-آب'!$P$2:$P$501,V174),IF($AO$1=1,0,"")))</f>
        <v>2335</v>
      </c>
      <c r="Y174" s="38">
        <f t="shared" si="52"/>
        <v>0</v>
      </c>
      <c r="Z174" s="39">
        <f>IF(L174="","",IF(V174&gt;0,INDEX('08-آب'!$Q$2:$Q$501,V174),IF($AO$1=1,0,"")))</f>
        <v>442.2348484848485</v>
      </c>
      <c r="AA174" s="39">
        <f t="shared" si="53"/>
        <v>-19.227602108036933</v>
      </c>
      <c r="AB174" s="40">
        <f>IF(OR(L174="",V174=0),"",IF(AND(N(I174)&gt;0,N(INDEX('08-آب'!$I$2:$I$501,V174))&gt;0,INDEX('08-آب'!$F$2:$F$501,V174)=F174),N(I174)/N(INDEX('08-آب'!$I$2:$I$501,V174))-1,""))</f>
        <v>0</v>
      </c>
      <c r="AC174" t="str">
        <f>IF(L174="","",IF(AND($AO$2=1,ISNA(MATCH(L174,'10-تشرين الأول'!$L$2:$L$501,0))),"محذوف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19.227602282036933</v>
      </c>
      <c r="AH174" s="39">
        <f t="shared" si="55"/>
        <v>253.804347826087</v>
      </c>
      <c r="AI174" s="39">
        <f t="shared" si="56"/>
        <v>253.804347826087</v>
      </c>
      <c r="AJ174" s="39">
        <f t="shared" si="57"/>
        <v>253.804347826087</v>
      </c>
      <c r="AK174">
        <f t="shared" si="58"/>
        <v>423.00724655081154</v>
      </c>
      <c r="AL174">
        <f t="shared" si="59"/>
        <v>253.80434800008706</v>
      </c>
    </row>
    <row r="175" spans="1:38" ht="15">
      <c r="A175" t="s">
        <v>465</v>
      </c>
      <c r="B175">
        <v>29</v>
      </c>
      <c r="C175">
        <v>13000</v>
      </c>
      <c r="D175">
        <v>13000</v>
      </c>
      <c r="E175">
        <v>13000</v>
      </c>
      <c r="F175" t="s">
        <v>389</v>
      </c>
      <c r="G175" t="s">
        <v>178</v>
      </c>
      <c r="H175" t="s">
        <v>12</v>
      </c>
      <c r="I175">
        <v>12800</v>
      </c>
      <c r="K175" t="str">
        <f t="shared" si="40"/>
        <v/>
      </c>
      <c r="L175" t="str">
        <f t="shared" si="41"/>
        <v>سائل غسيل زهري</v>
      </c>
      <c r="M175" s="36">
        <f t="shared" si="42"/>
        <v>7.2463768115942027E-5</v>
      </c>
      <c r="N175" s="37">
        <f t="shared" si="43"/>
        <v>0.92753623188405798</v>
      </c>
      <c r="O175" s="37">
        <f t="shared" si="44"/>
        <v>0.94202898550724634</v>
      </c>
      <c r="P175" s="38">
        <f t="shared" si="45"/>
        <v>29</v>
      </c>
      <c r="Q175" s="39">
        <f t="shared" si="46"/>
        <v>26.89855072463768</v>
      </c>
      <c r="R175" s="39">
        <f t="shared" si="47"/>
        <v>27.318840579710145</v>
      </c>
      <c r="S175">
        <f t="shared" si="48"/>
        <v>1</v>
      </c>
      <c r="T175" s="39">
        <f t="shared" si="49"/>
        <v>0.42028985507246475</v>
      </c>
      <c r="U175" t="str">
        <f t="shared" si="50"/>
        <v/>
      </c>
      <c r="V175">
        <f>IF(L175="","",IF($AO$1=1,IFERROR(MATCH(L175,'08-آب'!$L$2:$L$501,0),0),0))</f>
        <v>167</v>
      </c>
      <c r="W175" t="str">
        <f t="shared" si="51"/>
        <v/>
      </c>
      <c r="X175" s="38">
        <f>IF(L175="","",IF(V175&gt;0,INDEX('08-آب'!$P$2:$P$501,V175),IF($AO$1=1,0,"")))</f>
        <v>29</v>
      </c>
      <c r="Y175" s="38">
        <f t="shared" si="52"/>
        <v>0</v>
      </c>
      <c r="Z175" s="39">
        <f>IF(L175="","",IF(V175&gt;0,INDEX('08-آب'!$Q$2:$Q$501,V175),IF($AO$1=1,0,"")))</f>
        <v>28.121212121212121</v>
      </c>
      <c r="AA175" s="39">
        <f t="shared" si="53"/>
        <v>-1.2226613965744413</v>
      </c>
      <c r="AB175" s="40">
        <f>IF(OR(L175="",V175=0),"",IF(AND(N(I175)&gt;0,N(INDEX('08-آب'!$I$2:$I$501,V175))&gt;0,INDEX('08-آب'!$F$2:$F$501,V175)=F175),N(I175)/N(INDEX('08-آب'!$I$2:$I$501,V175))-1,""))</f>
        <v>0</v>
      </c>
      <c r="AC175" t="str">
        <f>IF(L175="","",IF(AND($AO$2=1,ISNA(MATCH(L175,'10-تشرين الأول'!$L$2:$L$501,0))),"محذوف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1.2226615715744413</v>
      </c>
      <c r="AH175" s="39">
        <f t="shared" si="55"/>
        <v>0.42028985507246241</v>
      </c>
      <c r="AI175" s="39">
        <f t="shared" si="56"/>
        <v>0.42028985507246241</v>
      </c>
      <c r="AJ175" s="39">
        <f t="shared" si="57"/>
        <v>0.42028985507246241</v>
      </c>
      <c r="AK175">
        <f t="shared" si="58"/>
        <v>26.89855089963768</v>
      </c>
      <c r="AL175">
        <f t="shared" si="59"/>
        <v>0.42029003007246474</v>
      </c>
    </row>
    <row r="176" spans="1:38" ht="15">
      <c r="A176" t="s">
        <v>342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918</v>
      </c>
      <c r="K176" t="str">
        <f t="shared" si="40"/>
        <v/>
      </c>
      <c r="L176" t="str">
        <f t="shared" si="41"/>
        <v>سائل غسيل اتوماتيك خام</v>
      </c>
      <c r="M176" s="36">
        <f t="shared" si="42"/>
        <v>1</v>
      </c>
      <c r="N176" s="37">
        <f t="shared" si="43"/>
        <v>918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IF(L176="","",IF($AO$1=1,IFERROR(MATCH(L176,'08-آب'!$L$2:$L$501,0),0),0))</f>
        <v>168</v>
      </c>
      <c r="W176" t="str">
        <f t="shared" si="51"/>
        <v/>
      </c>
      <c r="X176" s="38">
        <f>IF(L176="","",IF(V176&gt;0,INDEX('08-آب'!$P$2:$P$501,V176),IF($AO$1=1,0,"")))</f>
        <v>0</v>
      </c>
      <c r="Y176" s="38">
        <f t="shared" si="52"/>
        <v>0</v>
      </c>
      <c r="Z176" s="39">
        <f>IF(L176="","",IF(V176&gt;0,INDEX('08-آب'!$Q$2:$Q$501,V176),IF($AO$1=1,0,"")))</f>
        <v>0</v>
      </c>
      <c r="AA176" s="39">
        <f t="shared" si="53"/>
        <v>0</v>
      </c>
      <c r="AB176" s="40">
        <f>IF(OR(L176="",V176=0),"",IF(AND(N(I176)&gt;0,N(INDEX('08-آب'!$I$2:$I$501,V176))&gt;0,INDEX('08-آب'!$F$2:$F$501,V176)=F176),N(I176)/N(INDEX('08-آب'!$I$2:$I$501,V176))-1,""))</f>
        <v>0</v>
      </c>
      <c r="AC176" t="str">
        <f>IF(L176="","",IF(AND($AO$2=1,ISNA(MATCH(L176,'10-تشرين الأول'!$L$2:$L$501,0))),"محذوف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466</v>
      </c>
      <c r="B177">
        <v>39</v>
      </c>
      <c r="C177">
        <v>58000</v>
      </c>
      <c r="D177">
        <v>58000</v>
      </c>
      <c r="E177">
        <v>58000</v>
      </c>
      <c r="F177" t="s">
        <v>389</v>
      </c>
      <c r="G177" t="s">
        <v>178</v>
      </c>
      <c r="H177" t="s">
        <v>12</v>
      </c>
      <c r="I177">
        <v>41500</v>
      </c>
      <c r="K177" t="str">
        <f t="shared" si="40"/>
        <v/>
      </c>
      <c r="L177" t="str">
        <f t="shared" si="41"/>
        <v>سائل غسيل اتوماتيك 3 لتر</v>
      </c>
      <c r="M177" s="36">
        <f t="shared" si="42"/>
        <v>7.2463768115942027E-5</v>
      </c>
      <c r="N177" s="37">
        <f t="shared" si="43"/>
        <v>3.0072463768115942</v>
      </c>
      <c r="O177" s="37">
        <f t="shared" si="44"/>
        <v>4.2028985507246377</v>
      </c>
      <c r="P177" s="38">
        <f t="shared" si="45"/>
        <v>39</v>
      </c>
      <c r="Q177" s="39">
        <f t="shared" si="46"/>
        <v>117.28260869565217</v>
      </c>
      <c r="R177" s="39">
        <f t="shared" si="47"/>
        <v>163.91304347826087</v>
      </c>
      <c r="S177">
        <f t="shared" si="48"/>
        <v>1</v>
      </c>
      <c r="T177" s="39">
        <f t="shared" si="49"/>
        <v>46.630434782608702</v>
      </c>
      <c r="U177" t="str">
        <f t="shared" si="50"/>
        <v/>
      </c>
      <c r="V177">
        <f>IF(L177="","",IF($AO$1=1,IFERROR(MATCH(L177,'08-آب'!$L$2:$L$501,0),0),0))</f>
        <v>169</v>
      </c>
      <c r="W177" t="str">
        <f t="shared" si="51"/>
        <v/>
      </c>
      <c r="X177" s="38">
        <f>IF(L177="","",IF(V177&gt;0,INDEX('08-آب'!$P$2:$P$501,V177),IF($AO$1=1,0,"")))</f>
        <v>50</v>
      </c>
      <c r="Y177" s="38">
        <f t="shared" si="52"/>
        <v>-11</v>
      </c>
      <c r="Z177" s="39">
        <f>IF(L177="","",IF(V177&gt;0,INDEX('08-آب'!$Q$2:$Q$501,V177),IF($AO$1=1,0,"")))</f>
        <v>157.19696969696969</v>
      </c>
      <c r="AA177" s="39">
        <f t="shared" si="53"/>
        <v>-39.914361001317516</v>
      </c>
      <c r="AB177" s="40">
        <f>IF(OR(L177="",V177=0),"",IF(AND(N(I177)&gt;0,N(INDEX('08-آب'!$I$2:$I$501,V177))&gt;0,INDEX('08-آب'!$F$2:$F$501,V177)=F177),N(I177)/N(INDEX('08-آب'!$I$2:$I$501,V177))-1,""))</f>
        <v>0</v>
      </c>
      <c r="AC177" t="str">
        <f>IF(L177="","",IF(AND($AO$2=1,ISNA(MATCH(L177,'10-تشرين الأول'!$L$2:$L$501,0))),"محذوف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39.914361178317513</v>
      </c>
      <c r="AH177" s="39">
        <f t="shared" si="55"/>
        <v>46.630434782608695</v>
      </c>
      <c r="AI177" s="39">
        <f t="shared" si="56"/>
        <v>46.630434782608695</v>
      </c>
      <c r="AJ177" s="39">
        <f t="shared" si="57"/>
        <v>46.630434782608695</v>
      </c>
      <c r="AK177">
        <f t="shared" si="58"/>
        <v>117.28260887265218</v>
      </c>
      <c r="AL177">
        <f t="shared" si="59"/>
        <v>46.630434959608699</v>
      </c>
    </row>
    <row r="178" spans="1:38" ht="15">
      <c r="A178" t="s">
        <v>467</v>
      </c>
      <c r="B178">
        <v>57.72</v>
      </c>
      <c r="C178">
        <v>15000</v>
      </c>
      <c r="D178">
        <v>15000</v>
      </c>
      <c r="E178">
        <v>15000</v>
      </c>
      <c r="F178" t="s">
        <v>389</v>
      </c>
      <c r="G178" t="s">
        <v>178</v>
      </c>
      <c r="H178" t="s">
        <v>12</v>
      </c>
      <c r="I178">
        <v>12800</v>
      </c>
      <c r="K178" t="str">
        <f t="shared" si="40"/>
        <v/>
      </c>
      <c r="L178" t="str">
        <f t="shared" si="41"/>
        <v>سائل غسيل اتوماتيك / فرط</v>
      </c>
      <c r="M178" s="36">
        <f t="shared" si="42"/>
        <v>7.2463768115942027E-5</v>
      </c>
      <c r="N178" s="37">
        <f t="shared" si="43"/>
        <v>0.92753623188405798</v>
      </c>
      <c r="O178" s="37">
        <f t="shared" si="44"/>
        <v>1.0869565217391304</v>
      </c>
      <c r="P178" s="38">
        <f t="shared" si="45"/>
        <v>57.72</v>
      </c>
      <c r="Q178" s="39">
        <f t="shared" si="46"/>
        <v>53.537391304347828</v>
      </c>
      <c r="R178" s="39">
        <f t="shared" si="47"/>
        <v>62.739130434782602</v>
      </c>
      <c r="S178">
        <f t="shared" si="48"/>
        <v>1</v>
      </c>
      <c r="T178" s="39">
        <f t="shared" si="49"/>
        <v>9.201739130434774</v>
      </c>
      <c r="U178" t="str">
        <f t="shared" si="50"/>
        <v/>
      </c>
      <c r="V178">
        <f>IF(L178="","",IF($AO$1=1,IFERROR(MATCH(L178,'08-آب'!$L$2:$L$501,0),0),0))</f>
        <v>170</v>
      </c>
      <c r="W178" t="str">
        <f t="shared" si="51"/>
        <v/>
      </c>
      <c r="X178" s="38">
        <f>IF(L178="","",IF(V178&gt;0,INDEX('08-آب'!$P$2:$P$501,V178),IF($AO$1=1,0,"")))</f>
        <v>53.74</v>
      </c>
      <c r="Y178" s="38">
        <f t="shared" si="52"/>
        <v>3.9799999999999969</v>
      </c>
      <c r="Z178" s="39">
        <f>IF(L178="","",IF(V178&gt;0,INDEX('08-آب'!$Q$2:$Q$501,V178),IF($AO$1=1,0,"")))</f>
        <v>52.111515151515157</v>
      </c>
      <c r="AA178" s="39">
        <f t="shared" si="53"/>
        <v>1.4258761528326716</v>
      </c>
      <c r="AB178" s="40">
        <f>IF(OR(L178="",V178=0),"",IF(AND(N(I178)&gt;0,N(INDEX('08-آب'!$I$2:$I$501,V178))&gt;0,INDEX('08-آب'!$F$2:$F$501,V178)=F178),N(I178)/N(INDEX('08-آب'!$I$2:$I$501,V178))-1,""))</f>
        <v>0</v>
      </c>
      <c r="AC178" t="str">
        <f>IF(L178="","",IF(AND($AO$2=1,ISNA(MATCH(L178,'10-تشرين الأول'!$L$2:$L$501,0))),"محذوف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1.4258763308326716</v>
      </c>
      <c r="AH178" s="39">
        <f t="shared" si="55"/>
        <v>9.2017391304347793</v>
      </c>
      <c r="AI178" s="39">
        <f t="shared" si="56"/>
        <v>9.2017391304347793</v>
      </c>
      <c r="AJ178" s="39">
        <f t="shared" si="57"/>
        <v>9.2017391304347793</v>
      </c>
      <c r="AK178">
        <f t="shared" si="58"/>
        <v>53.537391482347829</v>
      </c>
      <c r="AL178">
        <f t="shared" si="59"/>
        <v>9.2017393084347745</v>
      </c>
    </row>
    <row r="179" spans="1:38" ht="15">
      <c r="A179" t="s">
        <v>468</v>
      </c>
      <c r="B179">
        <v>0</v>
      </c>
      <c r="C179">
        <v>12000</v>
      </c>
      <c r="D179">
        <v>12000</v>
      </c>
      <c r="E179">
        <v>12000</v>
      </c>
      <c r="F179" t="s">
        <v>389</v>
      </c>
      <c r="G179" t="s">
        <v>178</v>
      </c>
      <c r="H179" t="s">
        <v>12</v>
      </c>
      <c r="I179">
        <v>11000</v>
      </c>
      <c r="K179" t="str">
        <f t="shared" si="40"/>
        <v/>
      </c>
      <c r="L179" t="str">
        <f t="shared" si="41"/>
        <v>سائل جلي متعدد الاستعمالات كرمل</v>
      </c>
      <c r="M179" s="36">
        <f t="shared" si="42"/>
        <v>7.2463768115942027E-5</v>
      </c>
      <c r="N179" s="37">
        <f t="shared" si="43"/>
        <v>0.79710144927536231</v>
      </c>
      <c r="O179" s="37">
        <f t="shared" si="44"/>
        <v>0.86956521739130432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IF(L179="","",IF($AO$1=1,IFERROR(MATCH(L179,'08-آب'!$L$2:$L$501,0),0),0))</f>
        <v>171</v>
      </c>
      <c r="W179" t="str">
        <f t="shared" si="51"/>
        <v/>
      </c>
      <c r="X179" s="38">
        <f>IF(L179="","",IF(V179&gt;0,INDEX('08-آب'!$P$2:$P$501,V179),IF($AO$1=1,0,"")))</f>
        <v>0</v>
      </c>
      <c r="Y179" s="38">
        <f t="shared" si="52"/>
        <v>0</v>
      </c>
      <c r="Z179" s="39">
        <f>IF(L179="","",IF(V179&gt;0,INDEX('08-آب'!$Q$2:$Q$501,V179),IF($AO$1=1,0,"")))</f>
        <v>0</v>
      </c>
      <c r="AA179" s="39">
        <f t="shared" si="53"/>
        <v>0</v>
      </c>
      <c r="AB179" s="40">
        <f>IF(OR(L179="",V179=0),"",IF(AND(N(I179)&gt;0,N(INDEX('08-آب'!$I$2:$I$501,V179))&gt;0,INDEX('08-آب'!$F$2:$F$501,V179)=F179),N(I179)/N(INDEX('08-آب'!$I$2:$I$501,V179))-1,""))</f>
        <v>0</v>
      </c>
      <c r="AC179" t="str">
        <f>IF(L179="","",IF(AND($AO$2=1,ISNA(MATCH(L179,'10-تشرين الأول'!$L$2:$L$501,0))),"محذوف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469</v>
      </c>
      <c r="B180">
        <v>1</v>
      </c>
      <c r="C180">
        <v>11000</v>
      </c>
      <c r="D180">
        <v>11000</v>
      </c>
      <c r="E180">
        <v>11000</v>
      </c>
      <c r="F180" t="s">
        <v>389</v>
      </c>
      <c r="G180" t="s">
        <v>178</v>
      </c>
      <c r="H180" t="s">
        <v>12</v>
      </c>
      <c r="I180">
        <v>9000</v>
      </c>
      <c r="K180" t="str">
        <f t="shared" si="40"/>
        <v/>
      </c>
      <c r="L180" t="str">
        <f t="shared" si="41"/>
        <v>سائل جلي متعدد الإستعمالات - غولدن هاوس 1 لتر</v>
      </c>
      <c r="M180" s="36">
        <f t="shared" si="42"/>
        <v>7.2463768115942027E-5</v>
      </c>
      <c r="N180" s="37">
        <f t="shared" si="43"/>
        <v>0.65217391304347827</v>
      </c>
      <c r="O180" s="37">
        <f t="shared" si="44"/>
        <v>0.79710144927536231</v>
      </c>
      <c r="P180" s="38">
        <f t="shared" si="45"/>
        <v>1</v>
      </c>
      <c r="Q180" s="39">
        <f t="shared" si="46"/>
        <v>0.65217391304347827</v>
      </c>
      <c r="R180" s="39">
        <f t="shared" si="47"/>
        <v>0.79710144927536231</v>
      </c>
      <c r="S180">
        <f t="shared" si="48"/>
        <v>1</v>
      </c>
      <c r="T180" s="39">
        <f t="shared" si="49"/>
        <v>0.14492753623188404</v>
      </c>
      <c r="U180" t="str">
        <f t="shared" si="50"/>
        <v/>
      </c>
      <c r="V180">
        <f>IF(L180="","",IF($AO$1=1,IFERROR(MATCH(L180,'08-آب'!$L$2:$L$501,0),0),0))</f>
        <v>172</v>
      </c>
      <c r="W180" t="str">
        <f t="shared" si="51"/>
        <v/>
      </c>
      <c r="X180" s="38">
        <f>IF(L180="","",IF(V180&gt;0,INDEX('08-آب'!$P$2:$P$501,V180),IF($AO$1=1,0,"")))</f>
        <v>4</v>
      </c>
      <c r="Y180" s="38">
        <f t="shared" si="52"/>
        <v>-3</v>
      </c>
      <c r="Z180" s="39">
        <f>IF(L180="","",IF(V180&gt;0,INDEX('08-آب'!$Q$2:$Q$501,V180),IF($AO$1=1,0,"")))</f>
        <v>2.7272727272727271</v>
      </c>
      <c r="AA180" s="39">
        <f t="shared" si="53"/>
        <v>-2.075098814229249</v>
      </c>
      <c r="AB180" s="40">
        <f>IF(OR(L180="",V180=0),"",IF(AND(N(I180)&gt;0,N(INDEX('08-آب'!$I$2:$I$501,V180))&gt;0,INDEX('08-آب'!$F$2:$F$501,V180)=F180),N(I180)/N(INDEX('08-آب'!$I$2:$I$501,V180))-1,""))</f>
        <v>0</v>
      </c>
      <c r="AC180" t="str">
        <f>IF(L180="","",IF(AND($AO$2=1,ISNA(MATCH(L180,'10-تشرين الأول'!$L$2:$L$501,0))),"محذوف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2.0750989942292488</v>
      </c>
      <c r="AH180" s="39">
        <f t="shared" si="55"/>
        <v>0.14492753623188404</v>
      </c>
      <c r="AI180" s="39">
        <f t="shared" si="56"/>
        <v>0.14492753623188404</v>
      </c>
      <c r="AJ180" s="39">
        <f t="shared" si="57"/>
        <v>0.14492753623188404</v>
      </c>
      <c r="AK180">
        <f t="shared" si="58"/>
        <v>0.65217409304347829</v>
      </c>
      <c r="AL180">
        <f t="shared" si="59"/>
        <v>0.14492771623188402</v>
      </c>
    </row>
    <row r="181" spans="1:38" ht="15">
      <c r="A181" t="s">
        <v>522</v>
      </c>
      <c r="B181">
        <v>0</v>
      </c>
      <c r="C181">
        <v>0</v>
      </c>
      <c r="D181">
        <v>0</v>
      </c>
      <c r="E181">
        <v>0</v>
      </c>
      <c r="F181" t="s">
        <v>389</v>
      </c>
      <c r="G181" t="s">
        <v>178</v>
      </c>
      <c r="H181" t="s">
        <v>177</v>
      </c>
      <c r="I181">
        <v>7750000</v>
      </c>
      <c r="K181" t="str">
        <f t="shared" si="40"/>
        <v/>
      </c>
      <c r="L181" t="str">
        <f t="shared" si="41"/>
        <v>سائل جلي ليمون ريفا - 15% خام</v>
      </c>
      <c r="M181" s="36">
        <f t="shared" si="42"/>
        <v>7.2463768115942027E-5</v>
      </c>
      <c r="N181" s="37">
        <f t="shared" si="43"/>
        <v>561.59420289855075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IF(L181="","",IF($AO$1=1,IFERROR(MATCH(L181,'08-آب'!$L$2:$L$501,0),0),0))</f>
        <v>173</v>
      </c>
      <c r="W181" t="str">
        <f t="shared" si="51"/>
        <v/>
      </c>
      <c r="X181" s="38">
        <f>IF(L181="","",IF(V181&gt;0,INDEX('08-آب'!$P$2:$P$501,V181),IF($AO$1=1,0,"")))</f>
        <v>0</v>
      </c>
      <c r="Y181" s="38">
        <f t="shared" si="52"/>
        <v>0</v>
      </c>
      <c r="Z181" s="39">
        <f>IF(L181="","",IF(V181&gt;0,INDEX('08-آب'!$Q$2:$Q$501,V181),IF($AO$1=1,0,"")))</f>
        <v>0</v>
      </c>
      <c r="AA181" s="39">
        <f t="shared" si="53"/>
        <v>0</v>
      </c>
      <c r="AB181" s="40">
        <f>IF(OR(L181="",V181=0),"",IF(AND(N(I181)&gt;0,N(INDEX('08-آب'!$I$2:$I$501,V181))&gt;0,INDEX('08-آب'!$F$2:$F$501,V181)=F181),N(I181)/N(INDEX('08-آب'!$I$2:$I$501,V181))-1,""))</f>
        <v>0</v>
      </c>
      <c r="AC181" t="str">
        <f>IF(L181="","",IF(AND($AO$2=1,ISNA(MATCH(L181,'10-تشرين الأول'!$L$2:$L$501,0))),"محذوف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343</v>
      </c>
      <c r="B182">
        <v>0</v>
      </c>
      <c r="C182">
        <v>0</v>
      </c>
      <c r="D182">
        <v>0</v>
      </c>
      <c r="E182">
        <v>0</v>
      </c>
      <c r="F182" t="s">
        <v>268</v>
      </c>
      <c r="G182" t="s">
        <v>178</v>
      </c>
      <c r="H182" t="s">
        <v>177</v>
      </c>
      <c r="I182">
        <v>191</v>
      </c>
      <c r="K182" t="str">
        <f t="shared" si="40"/>
        <v/>
      </c>
      <c r="L182" t="str">
        <f t="shared" si="41"/>
        <v>سائل جلي ليمون رابع خام</v>
      </c>
      <c r="M182" s="36">
        <f t="shared" si="42"/>
        <v>1</v>
      </c>
      <c r="N182" s="37">
        <f t="shared" si="43"/>
        <v>191</v>
      </c>
      <c r="O182" s="37">
        <f t="shared" si="44"/>
        <v>0</v>
      </c>
      <c r="P182" s="38">
        <f t="shared" si="45"/>
        <v>0</v>
      </c>
      <c r="Q182" s="39">
        <f t="shared" si="46"/>
        <v>0</v>
      </c>
      <c r="R182" s="39">
        <f t="shared" si="47"/>
        <v>0</v>
      </c>
      <c r="S182">
        <f t="shared" si="48"/>
        <v>0</v>
      </c>
      <c r="T182" s="39">
        <f t="shared" si="49"/>
        <v>0</v>
      </c>
      <c r="U182" t="str">
        <f t="shared" si="50"/>
        <v/>
      </c>
      <c r="V182">
        <f>IF(L182="","",IF($AO$1=1,IFERROR(MATCH(L182,'08-آب'!$L$2:$L$501,0),0),0))</f>
        <v>174</v>
      </c>
      <c r="W182" t="str">
        <f t="shared" si="51"/>
        <v/>
      </c>
      <c r="X182" s="38">
        <f>IF(L182="","",IF(V182&gt;0,INDEX('08-آب'!$P$2:$P$501,V182),IF($AO$1=1,0,"")))</f>
        <v>0</v>
      </c>
      <c r="Y182" s="38">
        <f t="shared" si="52"/>
        <v>0</v>
      </c>
      <c r="Z182" s="39">
        <f>IF(L182="","",IF(V182&gt;0,INDEX('08-آب'!$Q$2:$Q$501,V182),IF($AO$1=1,0,"")))</f>
        <v>0</v>
      </c>
      <c r="AA182" s="39">
        <f t="shared" si="53"/>
        <v>0</v>
      </c>
      <c r="AB182" s="40">
        <f>IF(OR(L182="",V182=0),"",IF(AND(N(I182)&gt;0,N(INDEX('08-آب'!$I$2:$I$501,V182))&gt;0,INDEX('08-آب'!$F$2:$F$501,V182)=F182),N(I182)/N(INDEX('08-آب'!$I$2:$I$501,V182))-1,""))</f>
        <v>0</v>
      </c>
      <c r="AC182" t="str">
        <f>IF(L182="","",IF(AND($AO$2=1,ISNA(MATCH(L182,'10-تشرين الأول'!$L$2:$L$501,0))),"محذوف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1.8199999999999999E-7</v>
      </c>
      <c r="AH182" s="39">
        <f t="shared" si="55"/>
        <v>0</v>
      </c>
      <c r="AI182" s="39">
        <f t="shared" si="56"/>
        <v>0</v>
      </c>
      <c r="AJ182" s="39">
        <f t="shared" si="57"/>
        <v>0</v>
      </c>
      <c r="AK182">
        <f t="shared" si="58"/>
        <v>1.8199999999999999E-7</v>
      </c>
      <c r="AL182">
        <f t="shared" si="59"/>
        <v>1.8199999999999999E-7</v>
      </c>
    </row>
    <row r="183" spans="1:38" ht="15">
      <c r="A183" t="s">
        <v>344</v>
      </c>
      <c r="B183">
        <v>0</v>
      </c>
      <c r="C183">
        <v>0</v>
      </c>
      <c r="D183">
        <v>0</v>
      </c>
      <c r="E183">
        <v>0</v>
      </c>
      <c r="F183" t="s">
        <v>268</v>
      </c>
      <c r="G183" t="s">
        <v>178</v>
      </c>
      <c r="H183" t="s">
        <v>177</v>
      </c>
      <c r="I183">
        <v>294</v>
      </c>
      <c r="K183" t="str">
        <f t="shared" si="40"/>
        <v/>
      </c>
      <c r="L183" t="str">
        <f t="shared" si="41"/>
        <v>سائل جلي ليمون ثاني خام</v>
      </c>
      <c r="M183" s="36">
        <f t="shared" si="42"/>
        <v>1</v>
      </c>
      <c r="N183" s="37">
        <f t="shared" si="43"/>
        <v>294</v>
      </c>
      <c r="O183" s="37">
        <f t="shared" si="44"/>
        <v>0</v>
      </c>
      <c r="P183" s="38">
        <f t="shared" si="45"/>
        <v>0</v>
      </c>
      <c r="Q183" s="39">
        <f t="shared" si="46"/>
        <v>0</v>
      </c>
      <c r="R183" s="39">
        <f t="shared" si="47"/>
        <v>0</v>
      </c>
      <c r="S183">
        <f t="shared" si="48"/>
        <v>0</v>
      </c>
      <c r="T183" s="39">
        <f t="shared" si="49"/>
        <v>0</v>
      </c>
      <c r="U183" t="str">
        <f t="shared" si="50"/>
        <v/>
      </c>
      <c r="V183">
        <f>IF(L183="","",IF($AO$1=1,IFERROR(MATCH(L183,'08-آب'!$L$2:$L$501,0),0),0))</f>
        <v>175</v>
      </c>
      <c r="W183" t="str">
        <f t="shared" si="51"/>
        <v/>
      </c>
      <c r="X183" s="38">
        <f>IF(L183="","",IF(V183&gt;0,INDEX('08-آب'!$P$2:$P$501,V183),IF($AO$1=1,0,"")))</f>
        <v>0</v>
      </c>
      <c r="Y183" s="38">
        <f t="shared" si="52"/>
        <v>0</v>
      </c>
      <c r="Z183" s="39">
        <f>IF(L183="","",IF(V183&gt;0,INDEX('08-آب'!$Q$2:$Q$501,V183),IF($AO$1=1,0,"")))</f>
        <v>0</v>
      </c>
      <c r="AA183" s="39">
        <f t="shared" si="53"/>
        <v>0</v>
      </c>
      <c r="AB183" s="40">
        <f>IF(OR(L183="",V183=0),"",IF(AND(N(I183)&gt;0,N(INDEX('08-آب'!$I$2:$I$501,V183))&gt;0,INDEX('08-آب'!$F$2:$F$501,V183)=F183),N(I183)/N(INDEX('08-آب'!$I$2:$I$501,V183))-1,""))</f>
        <v>0</v>
      </c>
      <c r="AC183" t="str">
        <f>IF(L183="","",IF(AND($AO$2=1,ISNA(MATCH(L183,'10-تشرين الأول'!$L$2:$L$501,0))),"محذوف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1.8300000000000001E-7</v>
      </c>
      <c r="AH183" s="39">
        <f t="shared" si="55"/>
        <v>0</v>
      </c>
      <c r="AI183" s="39">
        <f t="shared" si="56"/>
        <v>0</v>
      </c>
      <c r="AJ183" s="39">
        <f t="shared" si="57"/>
        <v>0</v>
      </c>
      <c r="AK183">
        <f t="shared" si="58"/>
        <v>1.8300000000000001E-7</v>
      </c>
      <c r="AL183">
        <f t="shared" si="59"/>
        <v>1.8300000000000001E-7</v>
      </c>
    </row>
    <row r="184" spans="1:38" ht="15">
      <c r="A184" t="s">
        <v>345</v>
      </c>
      <c r="B184">
        <v>0</v>
      </c>
      <c r="C184">
        <v>0</v>
      </c>
      <c r="D184">
        <v>0</v>
      </c>
      <c r="E184">
        <v>0</v>
      </c>
      <c r="F184" t="s">
        <v>268</v>
      </c>
      <c r="G184" t="s">
        <v>178</v>
      </c>
      <c r="H184" t="s">
        <v>177</v>
      </c>
      <c r="I184">
        <v>248</v>
      </c>
      <c r="K184" t="str">
        <f t="shared" si="40"/>
        <v/>
      </c>
      <c r="L184" t="str">
        <f t="shared" si="41"/>
        <v>سائل جلي ليمون ثالث خام</v>
      </c>
      <c r="M184" s="36">
        <f t="shared" si="42"/>
        <v>1</v>
      </c>
      <c r="N184" s="37">
        <f t="shared" si="43"/>
        <v>248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IF(L184="","",IF($AO$1=1,IFERROR(MATCH(L184,'08-آب'!$L$2:$L$501,0),0),0))</f>
        <v>176</v>
      </c>
      <c r="W184" t="str">
        <f t="shared" si="51"/>
        <v/>
      </c>
      <c r="X184" s="38">
        <f>IF(L184="","",IF(V184&gt;0,INDEX('08-آب'!$P$2:$P$501,V184),IF($AO$1=1,0,"")))</f>
        <v>0</v>
      </c>
      <c r="Y184" s="38">
        <f t="shared" si="52"/>
        <v>0</v>
      </c>
      <c r="Z184" s="39">
        <f>IF(L184="","",IF(V184&gt;0,INDEX('08-آب'!$Q$2:$Q$501,V184),IF($AO$1=1,0,"")))</f>
        <v>0</v>
      </c>
      <c r="AA184" s="39">
        <f t="shared" si="53"/>
        <v>0</v>
      </c>
      <c r="AB184" s="40">
        <f>IF(OR(L184="",V184=0),"",IF(AND(N(I184)&gt;0,N(INDEX('08-آب'!$I$2:$I$501,V184))&gt;0,INDEX('08-آب'!$F$2:$F$501,V184)=F184),N(I184)/N(INDEX('08-آب'!$I$2:$I$501,V184))-1,""))</f>
        <v>0</v>
      </c>
      <c r="AC184" t="str">
        <f>IF(L184="","",IF(AND($AO$2=1,ISNA(MATCH(L184,'10-تشرين الأول'!$L$2:$L$501,0))),"محذوف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1.8400000000000001E-7</v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346</v>
      </c>
      <c r="B185">
        <v>0</v>
      </c>
      <c r="C185">
        <v>0</v>
      </c>
      <c r="D185">
        <v>0</v>
      </c>
      <c r="E185">
        <v>0</v>
      </c>
      <c r="F185" t="s">
        <v>268</v>
      </c>
      <c r="G185" t="s">
        <v>178</v>
      </c>
      <c r="H185" t="s">
        <v>177</v>
      </c>
      <c r="I185">
        <v>669</v>
      </c>
      <c r="K185" t="str">
        <f t="shared" si="40"/>
        <v/>
      </c>
      <c r="L185" t="str">
        <f t="shared" si="41"/>
        <v>سائل جلي ليمون اول خام</v>
      </c>
      <c r="M185" s="36">
        <f t="shared" si="42"/>
        <v>1</v>
      </c>
      <c r="N185" s="37">
        <f t="shared" si="43"/>
        <v>669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IF(L185="","",IF($AO$1=1,IFERROR(MATCH(L185,'08-آب'!$L$2:$L$501,0),0),0))</f>
        <v>177</v>
      </c>
      <c r="W185" t="str">
        <f t="shared" si="51"/>
        <v/>
      </c>
      <c r="X185" s="38">
        <f>IF(L185="","",IF(V185&gt;0,INDEX('08-آب'!$P$2:$P$501,V185),IF($AO$1=1,0,"")))</f>
        <v>0</v>
      </c>
      <c r="Y185" s="38">
        <f t="shared" si="52"/>
        <v>0</v>
      </c>
      <c r="Z185" s="39">
        <f>IF(L185="","",IF(V185&gt;0,INDEX('08-آب'!$Q$2:$Q$501,V185),IF($AO$1=1,0,"")))</f>
        <v>0</v>
      </c>
      <c r="AA185" s="39">
        <f t="shared" si="53"/>
        <v>0</v>
      </c>
      <c r="AB185" s="40">
        <f>IF(OR(L185="",V185=0),"",IF(AND(N(I185)&gt;0,N(INDEX('08-آب'!$I$2:$I$501,V185))&gt;0,INDEX('08-آب'!$F$2:$F$501,V185)=F185),N(I185)/N(INDEX('08-آب'!$I$2:$I$501,V185))-1,""))</f>
        <v>0</v>
      </c>
      <c r="AC185" t="str">
        <f>IF(L185="","",IF(AND($AO$2=1,ISNA(MATCH(L185,'10-تشرين الأول'!$L$2:$L$501,0))),"محذوف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1.85E-7</v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523</v>
      </c>
      <c r="B186">
        <v>0</v>
      </c>
      <c r="C186">
        <v>0</v>
      </c>
      <c r="D186">
        <v>0</v>
      </c>
      <c r="E186">
        <v>0</v>
      </c>
      <c r="F186" t="s">
        <v>389</v>
      </c>
      <c r="G186" t="s">
        <v>178</v>
      </c>
      <c r="H186" t="s">
        <v>177</v>
      </c>
      <c r="I186">
        <v>7750000</v>
      </c>
      <c r="K186" t="str">
        <f t="shared" si="40"/>
        <v/>
      </c>
      <c r="L186" t="str">
        <f t="shared" si="41"/>
        <v>سائل جلي ليلك ريفا - 15% خام</v>
      </c>
      <c r="M186" s="36">
        <f t="shared" si="42"/>
        <v>7.2463768115942027E-5</v>
      </c>
      <c r="N186" s="37">
        <f t="shared" si="43"/>
        <v>561.59420289855075</v>
      </c>
      <c r="O186" s="37">
        <f t="shared" si="44"/>
        <v>0</v>
      </c>
      <c r="P186" s="38">
        <f t="shared" si="45"/>
        <v>0</v>
      </c>
      <c r="Q186" s="39">
        <f t="shared" si="46"/>
        <v>0</v>
      </c>
      <c r="R186" s="39">
        <f t="shared" si="47"/>
        <v>0</v>
      </c>
      <c r="S186">
        <f t="shared" si="48"/>
        <v>0</v>
      </c>
      <c r="T186" s="39">
        <f t="shared" si="49"/>
        <v>0</v>
      </c>
      <c r="U186" t="str">
        <f t="shared" si="50"/>
        <v/>
      </c>
      <c r="V186">
        <f>IF(L186="","",IF($AO$1=1,IFERROR(MATCH(L186,'08-آب'!$L$2:$L$501,0),0),0))</f>
        <v>178</v>
      </c>
      <c r="W186" t="str">
        <f t="shared" si="51"/>
        <v/>
      </c>
      <c r="X186" s="38">
        <f>IF(L186="","",IF(V186&gt;0,INDEX('08-آب'!$P$2:$P$501,V186),IF($AO$1=1,0,"")))</f>
        <v>0</v>
      </c>
      <c r="Y186" s="38">
        <f t="shared" si="52"/>
        <v>0</v>
      </c>
      <c r="Z186" s="39">
        <f>IF(L186="","",IF(V186&gt;0,INDEX('08-آب'!$Q$2:$Q$501,V186),IF($AO$1=1,0,"")))</f>
        <v>0</v>
      </c>
      <c r="AA186" s="39">
        <f t="shared" si="53"/>
        <v>0</v>
      </c>
      <c r="AB186" s="40">
        <f>IF(OR(L186="",V186=0),"",IF(AND(N(I186)&gt;0,N(INDEX('08-آب'!$I$2:$I$501,V186))&gt;0,INDEX('08-آب'!$F$2:$F$501,V186)=F186),N(I186)/N(INDEX('08-آب'!$I$2:$I$501,V186))-1,""))</f>
        <v>0</v>
      </c>
      <c r="AC186" t="str">
        <f>IF(L186="","",IF(AND($AO$2=1,ISNA(MATCH(L186,'10-تشرين الأول'!$L$2:$L$501,0))),"محذوف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1.86E-7</v>
      </c>
      <c r="AH186" s="39">
        <f t="shared" si="55"/>
        <v>0</v>
      </c>
      <c r="AI186" s="39">
        <f t="shared" si="56"/>
        <v>0</v>
      </c>
      <c r="AJ186" s="39">
        <f t="shared" si="57"/>
        <v>0</v>
      </c>
      <c r="AK186">
        <f t="shared" si="58"/>
        <v>1.86E-7</v>
      </c>
      <c r="AL186">
        <f t="shared" si="59"/>
        <v>1.86E-7</v>
      </c>
    </row>
    <row r="187" spans="1:38" ht="15">
      <c r="A187" t="s">
        <v>347</v>
      </c>
      <c r="B187">
        <v>0</v>
      </c>
      <c r="C187">
        <v>0</v>
      </c>
      <c r="D187">
        <v>0</v>
      </c>
      <c r="E187">
        <v>0</v>
      </c>
      <c r="F187" t="s">
        <v>268</v>
      </c>
      <c r="G187" t="s">
        <v>178</v>
      </c>
      <c r="H187" t="s">
        <v>177</v>
      </c>
      <c r="I187">
        <v>191</v>
      </c>
      <c r="K187" t="str">
        <f t="shared" si="40"/>
        <v/>
      </c>
      <c r="L187" t="str">
        <f t="shared" si="41"/>
        <v>سائل جلي ليلك رابع خام</v>
      </c>
      <c r="M187" s="36">
        <f t="shared" si="42"/>
        <v>1</v>
      </c>
      <c r="N187" s="37">
        <f t="shared" si="43"/>
        <v>191</v>
      </c>
      <c r="O187" s="37">
        <f t="shared" si="44"/>
        <v>0</v>
      </c>
      <c r="P187" s="38">
        <f t="shared" si="45"/>
        <v>0</v>
      </c>
      <c r="Q187" s="39">
        <f t="shared" si="46"/>
        <v>0</v>
      </c>
      <c r="R187" s="39">
        <f t="shared" si="47"/>
        <v>0</v>
      </c>
      <c r="S187">
        <f t="shared" si="48"/>
        <v>0</v>
      </c>
      <c r="T187" s="39">
        <f t="shared" si="49"/>
        <v>0</v>
      </c>
      <c r="U187" t="str">
        <f t="shared" si="50"/>
        <v/>
      </c>
      <c r="V187">
        <f>IF(L187="","",IF($AO$1=1,IFERROR(MATCH(L187,'08-آب'!$L$2:$L$501,0),0),0))</f>
        <v>179</v>
      </c>
      <c r="W187" t="str">
        <f t="shared" si="51"/>
        <v/>
      </c>
      <c r="X187" s="38">
        <f>IF(L187="","",IF(V187&gt;0,INDEX('08-آب'!$P$2:$P$501,V187),IF($AO$1=1,0,"")))</f>
        <v>0</v>
      </c>
      <c r="Y187" s="38">
        <f t="shared" si="52"/>
        <v>0</v>
      </c>
      <c r="Z187" s="39">
        <f>IF(L187="","",IF(V187&gt;0,INDEX('08-آب'!$Q$2:$Q$501,V187),IF($AO$1=1,0,"")))</f>
        <v>0</v>
      </c>
      <c r="AA187" s="39">
        <f t="shared" si="53"/>
        <v>0</v>
      </c>
      <c r="AB187" s="40">
        <f>IF(OR(L187="",V187=0),"",IF(AND(N(I187)&gt;0,N(INDEX('08-آب'!$I$2:$I$501,V187))&gt;0,INDEX('08-آب'!$F$2:$F$501,V187)=F187),N(I187)/N(INDEX('08-آب'!$I$2:$I$501,V187))-1,""))</f>
        <v>0</v>
      </c>
      <c r="AC187" t="str">
        <f>IF(L187="","",IF(AND($AO$2=1,ISNA(MATCH(L187,'10-تشرين الأول'!$L$2:$L$501,0))),"محذوف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1.8699999999999999E-7</v>
      </c>
      <c r="AH187" s="39">
        <f t="shared" si="55"/>
        <v>0</v>
      </c>
      <c r="AI187" s="39">
        <f t="shared" si="56"/>
        <v>0</v>
      </c>
      <c r="AJ187" s="39">
        <f t="shared" si="57"/>
        <v>0</v>
      </c>
      <c r="AK187">
        <f t="shared" si="58"/>
        <v>1.8699999999999999E-7</v>
      </c>
      <c r="AL187">
        <f t="shared" si="59"/>
        <v>1.8699999999999999E-7</v>
      </c>
    </row>
    <row r="188" spans="1:38" ht="15">
      <c r="A188" t="s">
        <v>348</v>
      </c>
      <c r="B188">
        <v>0</v>
      </c>
      <c r="C188">
        <v>0</v>
      </c>
      <c r="D188">
        <v>0</v>
      </c>
      <c r="E188">
        <v>0</v>
      </c>
      <c r="F188" t="s">
        <v>268</v>
      </c>
      <c r="G188" t="s">
        <v>178</v>
      </c>
      <c r="H188" t="s">
        <v>177</v>
      </c>
      <c r="I188">
        <v>294</v>
      </c>
      <c r="K188" t="str">
        <f t="shared" si="40"/>
        <v/>
      </c>
      <c r="L188" t="str">
        <f t="shared" si="41"/>
        <v>سائل جلي ليلك ثاني خام</v>
      </c>
      <c r="M188" s="36">
        <f t="shared" si="42"/>
        <v>1</v>
      </c>
      <c r="N188" s="37">
        <f t="shared" si="43"/>
        <v>294</v>
      </c>
      <c r="O188" s="37">
        <f t="shared" si="44"/>
        <v>0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IF(L188="","",IF($AO$1=1,IFERROR(MATCH(L188,'08-آب'!$L$2:$L$501,0),0),0))</f>
        <v>180</v>
      </c>
      <c r="W188" t="str">
        <f t="shared" si="51"/>
        <v/>
      </c>
      <c r="X188" s="38">
        <f>IF(L188="","",IF(V188&gt;0,INDEX('08-آب'!$P$2:$P$501,V188),IF($AO$1=1,0,"")))</f>
        <v>0</v>
      </c>
      <c r="Y188" s="38">
        <f t="shared" si="52"/>
        <v>0</v>
      </c>
      <c r="Z188" s="39">
        <f>IF(L188="","",IF(V188&gt;0,INDEX('08-آب'!$Q$2:$Q$501,V188),IF($AO$1=1,0,"")))</f>
        <v>0</v>
      </c>
      <c r="AA188" s="39">
        <f t="shared" si="53"/>
        <v>0</v>
      </c>
      <c r="AB188" s="40">
        <f>IF(OR(L188="",V188=0),"",IF(AND(N(I188)&gt;0,N(INDEX('08-آب'!$I$2:$I$501,V188))&gt;0,INDEX('08-آب'!$F$2:$F$501,V188)=F188),N(I188)/N(INDEX('08-آب'!$I$2:$I$501,V188))-1,""))</f>
        <v>0</v>
      </c>
      <c r="AC188" t="str">
        <f>IF(L188="","",IF(AND($AO$2=1,ISNA(MATCH(L188,'10-تشرين الأول'!$L$2:$L$501,0))),"محذوف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1.8799999999999999E-7</v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349</v>
      </c>
      <c r="B189">
        <v>0</v>
      </c>
      <c r="C189">
        <v>0</v>
      </c>
      <c r="D189">
        <v>0</v>
      </c>
      <c r="E189">
        <v>0</v>
      </c>
      <c r="F189" t="s">
        <v>268</v>
      </c>
      <c r="G189" t="s">
        <v>178</v>
      </c>
      <c r="H189" t="s">
        <v>177</v>
      </c>
      <c r="I189">
        <v>294</v>
      </c>
      <c r="K189" t="str">
        <f t="shared" si="40"/>
        <v/>
      </c>
      <c r="L189" t="str">
        <f t="shared" si="41"/>
        <v>سائل جلي ليلك ثالث خام</v>
      </c>
      <c r="M189" s="36">
        <f t="shared" si="42"/>
        <v>1</v>
      </c>
      <c r="N189" s="37">
        <f t="shared" si="43"/>
        <v>294</v>
      </c>
      <c r="O189" s="37">
        <f t="shared" si="44"/>
        <v>0</v>
      </c>
      <c r="P189" s="38">
        <f t="shared" si="45"/>
        <v>0</v>
      </c>
      <c r="Q189" s="39">
        <f t="shared" si="46"/>
        <v>0</v>
      </c>
      <c r="R189" s="39">
        <f t="shared" si="47"/>
        <v>0</v>
      </c>
      <c r="S189">
        <f t="shared" si="48"/>
        <v>0</v>
      </c>
      <c r="T189" s="39">
        <f t="shared" si="49"/>
        <v>0</v>
      </c>
      <c r="U189" t="str">
        <f t="shared" si="50"/>
        <v/>
      </c>
      <c r="V189">
        <f>IF(L189="","",IF($AO$1=1,IFERROR(MATCH(L189,'08-آب'!$L$2:$L$501,0),0),0))</f>
        <v>181</v>
      </c>
      <c r="W189" t="str">
        <f t="shared" si="51"/>
        <v/>
      </c>
      <c r="X189" s="38">
        <f>IF(L189="","",IF(V189&gt;0,INDEX('08-آب'!$P$2:$P$501,V189),IF($AO$1=1,0,"")))</f>
        <v>0</v>
      </c>
      <c r="Y189" s="38">
        <f t="shared" si="52"/>
        <v>0</v>
      </c>
      <c r="Z189" s="39">
        <f>IF(L189="","",IF(V189&gt;0,INDEX('08-آب'!$Q$2:$Q$501,V189),IF($AO$1=1,0,"")))</f>
        <v>0</v>
      </c>
      <c r="AA189" s="39">
        <f t="shared" si="53"/>
        <v>0</v>
      </c>
      <c r="AB189" s="40">
        <f>IF(OR(L189="",V189=0),"",IF(AND(N(I189)&gt;0,N(INDEX('08-آب'!$I$2:$I$501,V189))&gt;0,INDEX('08-آب'!$F$2:$F$501,V189)=F189),N(I189)/N(INDEX('08-آب'!$I$2:$I$501,V189))-1,""))</f>
        <v>0</v>
      </c>
      <c r="AC189" t="str">
        <f>IF(L189="","",IF(AND($AO$2=1,ISNA(MATCH(L189,'10-تشرين الأول'!$L$2:$L$501,0))),"محذوف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1.8900000000000001E-7</v>
      </c>
      <c r="AH189" s="39">
        <f t="shared" si="55"/>
        <v>0</v>
      </c>
      <c r="AI189" s="39">
        <f t="shared" si="56"/>
        <v>0</v>
      </c>
      <c r="AJ189" s="39">
        <f t="shared" si="57"/>
        <v>0</v>
      </c>
      <c r="AK189">
        <f t="shared" si="58"/>
        <v>1.8900000000000001E-7</v>
      </c>
      <c r="AL189">
        <f t="shared" si="59"/>
        <v>1.8900000000000001E-7</v>
      </c>
    </row>
    <row r="190" spans="1:38" ht="15">
      <c r="A190" t="s">
        <v>350</v>
      </c>
      <c r="B190">
        <v>0</v>
      </c>
      <c r="C190">
        <v>0</v>
      </c>
      <c r="D190">
        <v>0</v>
      </c>
      <c r="E190">
        <v>0</v>
      </c>
      <c r="F190" t="s">
        <v>268</v>
      </c>
      <c r="G190" t="s">
        <v>178</v>
      </c>
      <c r="H190" t="s">
        <v>177</v>
      </c>
      <c r="I190">
        <v>669</v>
      </c>
      <c r="K190" t="str">
        <f t="shared" si="40"/>
        <v/>
      </c>
      <c r="L190" t="str">
        <f t="shared" si="41"/>
        <v>سائل جلي ليلك اول خام</v>
      </c>
      <c r="M190" s="36">
        <f t="shared" si="42"/>
        <v>1</v>
      </c>
      <c r="N190" s="37">
        <f t="shared" si="43"/>
        <v>669</v>
      </c>
      <c r="O190" s="37">
        <f t="shared" si="44"/>
        <v>0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IF(L190="","",IF($AO$1=1,IFERROR(MATCH(L190,'08-آب'!$L$2:$L$501,0),0),0))</f>
        <v>182</v>
      </c>
      <c r="W190" t="str">
        <f t="shared" si="51"/>
        <v/>
      </c>
      <c r="X190" s="38">
        <f>IF(L190="","",IF(V190&gt;0,INDEX('08-آب'!$P$2:$P$501,V190),IF($AO$1=1,0,"")))</f>
        <v>0</v>
      </c>
      <c r="Y190" s="38">
        <f t="shared" si="52"/>
        <v>0</v>
      </c>
      <c r="Z190" s="39">
        <f>IF(L190="","",IF(V190&gt;0,INDEX('08-آب'!$Q$2:$Q$501,V190),IF($AO$1=1,0,"")))</f>
        <v>0</v>
      </c>
      <c r="AA190" s="39">
        <f t="shared" si="53"/>
        <v>0</v>
      </c>
      <c r="AB190" s="40">
        <f>IF(OR(L190="",V190=0),"",IF(AND(N(I190)&gt;0,N(INDEX('08-آب'!$I$2:$I$501,V190))&gt;0,INDEX('08-آب'!$F$2:$F$501,V190)=F190),N(I190)/N(INDEX('08-آب'!$I$2:$I$501,V190))-1,""))</f>
        <v>0</v>
      </c>
      <c r="AC190" t="str">
        <f>IF(L190="","",IF(AND($AO$2=1,ISNA(MATCH(L190,'10-تشرين الأول'!$L$2:$L$501,0))),"محذوف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351</v>
      </c>
      <c r="B191">
        <v>0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177</v>
      </c>
      <c r="I191">
        <v>191</v>
      </c>
      <c r="K191" t="str">
        <f t="shared" si="40"/>
        <v/>
      </c>
      <c r="L191" t="str">
        <f t="shared" si="41"/>
        <v>سائل جلي فريز رابع خام</v>
      </c>
      <c r="M191" s="36">
        <f t="shared" si="42"/>
        <v>1</v>
      </c>
      <c r="N191" s="37">
        <f t="shared" si="43"/>
        <v>191</v>
      </c>
      <c r="O191" s="37">
        <f t="shared" si="44"/>
        <v>0</v>
      </c>
      <c r="P191" s="38">
        <f t="shared" si="45"/>
        <v>0</v>
      </c>
      <c r="Q191" s="39">
        <f t="shared" si="46"/>
        <v>0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IF(L191="","",IF($AO$1=1,IFERROR(MATCH(L191,'08-آب'!$L$2:$L$501,0),0),0))</f>
        <v>183</v>
      </c>
      <c r="W191" t="str">
        <f t="shared" si="51"/>
        <v/>
      </c>
      <c r="X191" s="38">
        <f>IF(L191="","",IF(V191&gt;0,INDEX('08-آب'!$P$2:$P$501,V191),IF($AO$1=1,0,"")))</f>
        <v>0</v>
      </c>
      <c r="Y191" s="38">
        <f t="shared" si="52"/>
        <v>0</v>
      </c>
      <c r="Z191" s="39">
        <f>IF(L191="","",IF(V191&gt;0,INDEX('08-آب'!$Q$2:$Q$501,V191),IF($AO$1=1,0,"")))</f>
        <v>0</v>
      </c>
      <c r="AA191" s="39">
        <f t="shared" si="53"/>
        <v>0</v>
      </c>
      <c r="AB191" s="40">
        <f>IF(OR(L191="",V191=0),"",IF(AND(N(I191)&gt;0,N(INDEX('08-آب'!$I$2:$I$501,V191))&gt;0,INDEX('08-آب'!$F$2:$F$501,V191)=F191),N(I191)/N(INDEX('08-آب'!$I$2:$I$501,V191))-1,""))</f>
        <v>0</v>
      </c>
      <c r="AC191" t="str">
        <f>IF(L191="","",IF(AND($AO$2=1,ISNA(MATCH(L191,'10-تشرين الأول'!$L$2:$L$501,0))),"محذوف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1.91E-7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1.91E-7</v>
      </c>
      <c r="AL191">
        <f t="shared" si="59"/>
        <v>1.91E-7</v>
      </c>
    </row>
    <row r="192" spans="1:38" ht="15">
      <c r="A192" t="s">
        <v>352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177</v>
      </c>
      <c r="I192">
        <v>294</v>
      </c>
      <c r="K192" t="str">
        <f t="shared" si="40"/>
        <v/>
      </c>
      <c r="L192" t="str">
        <f t="shared" si="41"/>
        <v>سائل جلي فريز ثاني خام</v>
      </c>
      <c r="M192" s="36">
        <f t="shared" si="42"/>
        <v>1</v>
      </c>
      <c r="N192" s="37">
        <f t="shared" si="43"/>
        <v>294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IF(L192="","",IF($AO$1=1,IFERROR(MATCH(L192,'08-آب'!$L$2:$L$501,0),0),0))</f>
        <v>184</v>
      </c>
      <c r="W192" t="str">
        <f t="shared" si="51"/>
        <v/>
      </c>
      <c r="X192" s="38">
        <f>IF(L192="","",IF(V192&gt;0,INDEX('08-آب'!$P$2:$P$501,V192),IF($AO$1=1,0,"")))</f>
        <v>0</v>
      </c>
      <c r="Y192" s="38">
        <f t="shared" si="52"/>
        <v>0</v>
      </c>
      <c r="Z192" s="39">
        <f>IF(L192="","",IF(V192&gt;0,INDEX('08-آب'!$Q$2:$Q$501,V192),IF($AO$1=1,0,"")))</f>
        <v>0</v>
      </c>
      <c r="AA192" s="39">
        <f t="shared" si="53"/>
        <v>0</v>
      </c>
      <c r="AB192" s="40">
        <f>IF(OR(L192="",V192=0),"",IF(AND(N(I192)&gt;0,N(INDEX('08-آب'!$I$2:$I$501,V192))&gt;0,INDEX('08-آب'!$F$2:$F$501,V192)=F192),N(I192)/N(INDEX('08-آب'!$I$2:$I$501,V192))-1,""))</f>
        <v>0</v>
      </c>
      <c r="AC192" t="str">
        <f>IF(L192="","",IF(AND($AO$2=1,ISNA(MATCH(L192,'10-تشرين الأول'!$L$2:$L$501,0))),"محذوف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353</v>
      </c>
      <c r="B193">
        <v>0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177</v>
      </c>
      <c r="I193">
        <v>248</v>
      </c>
      <c r="K193" t="str">
        <f t="shared" ref="K193:K256" si="60">IF(L193="","",IF(U193&lt;&gt;"","⚠",""))</f>
        <v/>
      </c>
      <c r="L193" t="str">
        <f t="shared" ref="L193:L256" si="61">IF(A193="","",TRIM(A193))</f>
        <v>سائل جلي فريز ثالث خام</v>
      </c>
      <c r="M193" s="36">
        <f t="shared" ref="M193:M256" si="62">IF(L193="","",IF(ISNUMBER(SEARCH("دولار",F193)),1,IF(ISNUMBER(SEARCH("ليرة",F193)),IF($AO$3&gt;0,1/$AO$3,0),0)))</f>
        <v>1</v>
      </c>
      <c r="N193" s="37">
        <f t="shared" ref="N193:N256" si="63">IF(L193="","",N(I193)*M193)</f>
        <v>248</v>
      </c>
      <c r="O193" s="37">
        <f t="shared" ref="O193:O256" si="64">IF(L193="","",M193*CHOOSE($AO$4,N(C193),N(D193),N(E193)))</f>
        <v>0</v>
      </c>
      <c r="P193" s="38">
        <f t="shared" ref="P193:P256" si="65">IF(L193="","",MAX(N(B193),0))</f>
        <v>0</v>
      </c>
      <c r="Q193" s="39">
        <f t="shared" ref="Q193:Q256" si="66">IF(L193="","",P193*N193)</f>
        <v>0</v>
      </c>
      <c r="R193" s="39">
        <f t="shared" ref="R193:R256" si="67">IF(L193="","",P193*O193)</f>
        <v>0</v>
      </c>
      <c r="S193">
        <f t="shared" ref="S193:S256" si="68">IF(L193="","",IF(AND(P193&gt;0,N193&gt;0,O193&gt;0),1,0))</f>
        <v>0</v>
      </c>
      <c r="T193" s="39">
        <f t="shared" ref="T193:T256" si="69">IF(L193="","",S193*(R193-Q193))</f>
        <v>0</v>
      </c>
      <c r="U193" t="str">
        <f t="shared" ref="U193:U256" si="70">IF(L193="","",MID(IF(OR(NOT(ISNUMBER(B193)),NOT(ISNUMBER(C193)),NOT(ISNUMBER(D193)),NOT(ISNUMBER(E193)),NOT(ISNUMBER(I193)),AND(NOT(ISNUMBER(SEARCH("دولار",F193))),NOT(ISNUMBER(SEARCH("ليرة",F193)))))," | بيانات غير صالحة","")&amp;IF(N(B193)&lt;0," | كمية سالبة","")&amp;IF(AND(N(B193)&gt;0,N(I193)=0)," | شراء صفر","")&amp;IF(AND(N(B193)&gt;0,TRIM(H193)=$AO$5,OR(N(C193)=0,N(D193)=0,N(E193)=0))," | بيع صفر","")&amp;IF(AND(N193&gt;0,O193&gt;0,O193&lt;N193)," | بيع أقل من الشراء","")&amp;IF(OR(AND(ISNUMBER(SEARCH("ليرة",F193)),OR(AND(N(I193)&gt;0,N(I193)&lt;$AO$6),AND(N(C193)&gt;0,N(C193)&lt;$AO$6),AND(N(D193)&gt;0,N(D193)&lt;$AO$6),AND(N(E193)&gt;0,N(E193)&lt;$AO$6))),AND(ISNUMBER(SEARCH("دولار",F193)),MAX(N(I193),N(C193),N(D193),N(E193))&gt;$AO$7))," | عملة/سعر مشكوك","")&amp;IF(AND(COUNTIF(C193:E193,"&gt;0")&gt;=2,MAX(N(C193),N(D193),N(E193))&gt;$AO$8*MIN(IF(N(C193)&gt;0,N(C193),1E+99),IF(N(D193)&gt;0,N(D193),1E+99),IF(N(E193)&gt;0,N(E193),1E+99)))," | تباين أسعار البيع","")&amp;IF(OR(TRIM(H193)="All",TRIM(H193)="")," | بلا تصنيف",""),4,300))</f>
        <v/>
      </c>
      <c r="V193">
        <f>IF(L193="","",IF($AO$1=1,IFERROR(MATCH(L193,'08-آب'!$L$2:$L$501,0),0),0))</f>
        <v>185</v>
      </c>
      <c r="W193" t="str">
        <f t="shared" ref="W193:W256" si="71">IF(L193="","",IF(AND($AO$1=1,V193=0),"جديد",""))</f>
        <v/>
      </c>
      <c r="X193" s="38">
        <f>IF(L193="","",IF(V193&gt;0,INDEX('08-آب'!$P$2:$P$501,V193),IF($AO$1=1,0,"")))</f>
        <v>0</v>
      </c>
      <c r="Y193" s="38">
        <f t="shared" ref="Y193:Y256" si="72">IF(OR(L193="",X193=""),"",P193-X193)</f>
        <v>0</v>
      </c>
      <c r="Z193" s="39">
        <f>IF(L193="","",IF(V193&gt;0,INDEX('08-آب'!$Q$2:$Q$501,V193),IF($AO$1=1,0,"")))</f>
        <v>0</v>
      </c>
      <c r="AA193" s="39">
        <f t="shared" ref="AA193:AA256" si="73">IF(OR(L193="",Z193=""),"",Q193-Z193)</f>
        <v>0</v>
      </c>
      <c r="AB193" s="40">
        <f>IF(OR(L193="",V193=0),"",IF(AND(N(I193)&gt;0,N(INDEX('08-آب'!$I$2:$I$501,V193))&gt;0,INDEX('08-آب'!$F$2:$F$501,V193)=F193),N(I193)/N(INDEX('08-آب'!$I$2:$I$501,V193))-1,""))</f>
        <v>0</v>
      </c>
      <c r="AC193" t="str">
        <f>IF(L193="","",IF(AND($AO$2=1,ISNA(MATCH(L193,'10-تشرين الأول'!$L$2:$L$501,0))),"محذوف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ref="AG193:AG256" si="74">IF(AA193="","",ABS(AA193)+ROW()/1000000000)</f>
        <v>1.9299999999999999E-7</v>
      </c>
      <c r="AH193" s="39">
        <f t="shared" ref="AH193:AH256" si="75">IF(L193="","",IF(AND(P193&gt;0,N193&gt;0,N(C193)&gt;0),P193*(M193*N(C193)-N193),0))</f>
        <v>0</v>
      </c>
      <c r="AI193" s="39">
        <f t="shared" ref="AI193:AI256" si="76">IF(L193="","",IF(AND(P193&gt;0,N193&gt;0,N(D193)&gt;0),P193*(M193*N(D193)-N193),0))</f>
        <v>0</v>
      </c>
      <c r="AJ193" s="39">
        <f t="shared" ref="AJ193:AJ256" si="77">IF(L193="","",IF(AND(P193&gt;0,N193&gt;0,N(E193)&gt;0),P193*(M193*N(E193)-N193),0))</f>
        <v>0</v>
      </c>
      <c r="AK193">
        <f t="shared" ref="AK193:AK256" si="78">IF(L193="","",Q193+ROW()/1000000000)</f>
        <v>1.9299999999999999E-7</v>
      </c>
      <c r="AL193">
        <f t="shared" ref="AL193:AL256" si="79">IF(L193="","",T193+ROW()/1000000000)</f>
        <v>1.9299999999999999E-7</v>
      </c>
    </row>
    <row r="194" spans="1:38" ht="15">
      <c r="A194" t="s">
        <v>354</v>
      </c>
      <c r="B194">
        <v>0</v>
      </c>
      <c r="C194">
        <v>0</v>
      </c>
      <c r="D194">
        <v>0</v>
      </c>
      <c r="E194">
        <v>0</v>
      </c>
      <c r="F194" t="s">
        <v>268</v>
      </c>
      <c r="G194" t="s">
        <v>178</v>
      </c>
      <c r="H194" t="s">
        <v>177</v>
      </c>
      <c r="I194">
        <v>669</v>
      </c>
      <c r="K194" t="str">
        <f t="shared" si="60"/>
        <v/>
      </c>
      <c r="L194" t="str">
        <f t="shared" si="61"/>
        <v>سائل جلي فريز اول خام</v>
      </c>
      <c r="M194" s="36">
        <f t="shared" si="62"/>
        <v>1</v>
      </c>
      <c r="N194" s="37">
        <f t="shared" si="63"/>
        <v>669</v>
      </c>
      <c r="O194" s="37">
        <f t="shared" si="64"/>
        <v>0</v>
      </c>
      <c r="P194" s="38">
        <f t="shared" si="65"/>
        <v>0</v>
      </c>
      <c r="Q194" s="39">
        <f t="shared" si="66"/>
        <v>0</v>
      </c>
      <c r="R194" s="39">
        <f t="shared" si="67"/>
        <v>0</v>
      </c>
      <c r="S194">
        <f t="shared" si="68"/>
        <v>0</v>
      </c>
      <c r="T194" s="39">
        <f t="shared" si="69"/>
        <v>0</v>
      </c>
      <c r="U194" t="str">
        <f t="shared" si="70"/>
        <v/>
      </c>
      <c r="V194">
        <f>IF(L194="","",IF($AO$1=1,IFERROR(MATCH(L194,'08-آب'!$L$2:$L$501,0),0),0))</f>
        <v>186</v>
      </c>
      <c r="W194" t="str">
        <f t="shared" si="71"/>
        <v/>
      </c>
      <c r="X194" s="38">
        <f>IF(L194="","",IF(V194&gt;0,INDEX('08-آب'!$P$2:$P$501,V194),IF($AO$1=1,0,"")))</f>
        <v>0</v>
      </c>
      <c r="Y194" s="38">
        <f t="shared" si="72"/>
        <v>0</v>
      </c>
      <c r="Z194" s="39">
        <f>IF(L194="","",IF(V194&gt;0,INDEX('08-آب'!$Q$2:$Q$501,V194),IF($AO$1=1,0,"")))</f>
        <v>0</v>
      </c>
      <c r="AA194" s="39">
        <f t="shared" si="73"/>
        <v>0</v>
      </c>
      <c r="AB194" s="40">
        <f>IF(OR(L194="",V194=0),"",IF(AND(N(I194)&gt;0,N(INDEX('08-آب'!$I$2:$I$501,V194))&gt;0,INDEX('08-آب'!$F$2:$F$501,V194)=F194),N(I194)/N(INDEX('08-آب'!$I$2:$I$501,V194))-1,""))</f>
        <v>0</v>
      </c>
      <c r="AC194" t="str">
        <f>IF(L194="","",IF(AND($AO$2=1,ISNA(MATCH(L194,'10-تشرين الأول'!$L$2:$L$501,0))),"محذوف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si="74"/>
        <v>1.9399999999999999E-7</v>
      </c>
      <c r="AH194" s="39">
        <f t="shared" si="75"/>
        <v>0</v>
      </c>
      <c r="AI194" s="39">
        <f t="shared" si="76"/>
        <v>0</v>
      </c>
      <c r="AJ194" s="39">
        <f t="shared" si="77"/>
        <v>0</v>
      </c>
      <c r="AK194">
        <f t="shared" si="78"/>
        <v>1.9399999999999999E-7</v>
      </c>
      <c r="AL194">
        <f t="shared" si="79"/>
        <v>1.9399999999999999E-7</v>
      </c>
    </row>
    <row r="195" spans="1:38" ht="15">
      <c r="A195" t="s">
        <v>470</v>
      </c>
      <c r="B195">
        <v>0</v>
      </c>
      <c r="C195">
        <v>4000</v>
      </c>
      <c r="D195">
        <v>4000</v>
      </c>
      <c r="E195">
        <v>4000</v>
      </c>
      <c r="F195" t="s">
        <v>389</v>
      </c>
      <c r="G195" t="s">
        <v>178</v>
      </c>
      <c r="H195" t="s">
        <v>12</v>
      </c>
      <c r="I195">
        <v>2300</v>
      </c>
      <c r="K195" t="str">
        <f t="shared" si="60"/>
        <v/>
      </c>
      <c r="L195" t="str">
        <f t="shared" si="61"/>
        <v>سائل جلي شفاف مع عطر / فرط</v>
      </c>
      <c r="M195" s="36">
        <f t="shared" si="62"/>
        <v>7.2463768115942027E-5</v>
      </c>
      <c r="N195" s="37">
        <f t="shared" si="63"/>
        <v>0.16666666666666666</v>
      </c>
      <c r="O195" s="37">
        <f t="shared" si="64"/>
        <v>0.28985507246376813</v>
      </c>
      <c r="P195" s="38">
        <f t="shared" si="65"/>
        <v>0</v>
      </c>
      <c r="Q195" s="39">
        <f t="shared" si="66"/>
        <v>0</v>
      </c>
      <c r="R195" s="39">
        <f t="shared" si="67"/>
        <v>0</v>
      </c>
      <c r="S195">
        <f t="shared" si="68"/>
        <v>0</v>
      </c>
      <c r="T195" s="39">
        <f t="shared" si="69"/>
        <v>0</v>
      </c>
      <c r="U195" t="str">
        <f t="shared" si="70"/>
        <v/>
      </c>
      <c r="V195">
        <f>IF(L195="","",IF($AO$1=1,IFERROR(MATCH(L195,'08-آب'!$L$2:$L$501,0),0),0))</f>
        <v>187</v>
      </c>
      <c r="W195" t="str">
        <f t="shared" si="71"/>
        <v/>
      </c>
      <c r="X195" s="38">
        <f>IF(L195="","",IF(V195&gt;0,INDEX('08-آب'!$P$2:$P$501,V195),IF($AO$1=1,0,"")))</f>
        <v>0</v>
      </c>
      <c r="Y195" s="38">
        <f t="shared" si="72"/>
        <v>0</v>
      </c>
      <c r="Z195" s="39">
        <f>IF(L195="","",IF(V195&gt;0,INDEX('08-آب'!$Q$2:$Q$501,V195),IF($AO$1=1,0,"")))</f>
        <v>0</v>
      </c>
      <c r="AA195" s="39">
        <f t="shared" si="73"/>
        <v>0</v>
      </c>
      <c r="AB195" s="40">
        <f>IF(OR(L195="",V195=0),"",IF(AND(N(I195)&gt;0,N(INDEX('08-آب'!$I$2:$I$501,V195))&gt;0,INDEX('08-آب'!$F$2:$F$501,V195)=F195),N(I195)/N(INDEX('08-آب'!$I$2:$I$501,V195))-1,""))</f>
        <v>0</v>
      </c>
      <c r="AC195" t="str">
        <f>IF(L195="","",IF(AND($AO$2=1,ISNA(MATCH(L195,'10-تشرين الأول'!$L$2:$L$501,0))),"محذوف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1.9500000000000001E-7</v>
      </c>
      <c r="AH195" s="39">
        <f t="shared" si="75"/>
        <v>0</v>
      </c>
      <c r="AI195" s="39">
        <f t="shared" si="76"/>
        <v>0</v>
      </c>
      <c r="AJ195" s="39">
        <f t="shared" si="77"/>
        <v>0</v>
      </c>
      <c r="AK195">
        <f t="shared" si="78"/>
        <v>1.9500000000000001E-7</v>
      </c>
      <c r="AL195">
        <f t="shared" si="79"/>
        <v>1.9500000000000001E-7</v>
      </c>
    </row>
    <row r="196" spans="1:38" ht="15">
      <c r="A196" t="s">
        <v>355</v>
      </c>
      <c r="B196">
        <v>0</v>
      </c>
      <c r="C196">
        <v>0</v>
      </c>
      <c r="D196">
        <v>0</v>
      </c>
      <c r="E196">
        <v>0</v>
      </c>
      <c r="F196" t="s">
        <v>268</v>
      </c>
      <c r="G196" t="s">
        <v>178</v>
      </c>
      <c r="H196" t="s">
        <v>177</v>
      </c>
      <c r="I196">
        <v>185</v>
      </c>
      <c r="K196" t="str">
        <f t="shared" si="60"/>
        <v/>
      </c>
      <c r="L196" t="str">
        <f t="shared" si="61"/>
        <v>سائل جلي سادة رابع خام</v>
      </c>
      <c r="M196" s="36">
        <f t="shared" si="62"/>
        <v>1</v>
      </c>
      <c r="N196" s="37">
        <f t="shared" si="63"/>
        <v>185</v>
      </c>
      <c r="O196" s="37">
        <f t="shared" si="64"/>
        <v>0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IF(L196="","",IF($AO$1=1,IFERROR(MATCH(L196,'08-آب'!$L$2:$L$501,0),0),0))</f>
        <v>188</v>
      </c>
      <c r="W196" t="str">
        <f t="shared" si="71"/>
        <v/>
      </c>
      <c r="X196" s="38">
        <f>IF(L196="","",IF(V196&gt;0,INDEX('08-آب'!$P$2:$P$501,V196),IF($AO$1=1,0,"")))</f>
        <v>0</v>
      </c>
      <c r="Y196" s="38">
        <f t="shared" si="72"/>
        <v>0</v>
      </c>
      <c r="Z196" s="39">
        <f>IF(L196="","",IF(V196&gt;0,INDEX('08-آب'!$Q$2:$Q$501,V196),IF($AO$1=1,0,"")))</f>
        <v>0</v>
      </c>
      <c r="AA196" s="39">
        <f t="shared" si="73"/>
        <v>0</v>
      </c>
      <c r="AB196" s="40">
        <f>IF(OR(L196="",V196=0),"",IF(AND(N(I196)&gt;0,N(INDEX('08-آب'!$I$2:$I$501,V196))&gt;0,INDEX('08-آب'!$F$2:$F$501,V196)=F196),N(I196)/N(INDEX('08-آب'!$I$2:$I$501,V196))-1,""))</f>
        <v>0</v>
      </c>
      <c r="AC196" t="str">
        <f>IF(L196="","",IF(AND($AO$2=1,ISNA(MATCH(L196,'10-تشرين الأول'!$L$2:$L$501,0))),"محذوف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356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177</v>
      </c>
      <c r="I197">
        <v>340</v>
      </c>
      <c r="K197" t="str">
        <f t="shared" si="60"/>
        <v/>
      </c>
      <c r="L197" t="str">
        <f t="shared" si="61"/>
        <v>سائل جلي سادة ثاني خام</v>
      </c>
      <c r="M197" s="36">
        <f t="shared" si="62"/>
        <v>1</v>
      </c>
      <c r="N197" s="37">
        <f t="shared" si="63"/>
        <v>340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IF(L197="","",IF($AO$1=1,IFERROR(MATCH(L197,'08-آب'!$L$2:$L$501,0),0),0))</f>
        <v>189</v>
      </c>
      <c r="W197" t="str">
        <f t="shared" si="71"/>
        <v/>
      </c>
      <c r="X197" s="38">
        <f>IF(L197="","",IF(V197&gt;0,INDEX('08-آب'!$P$2:$P$501,V197),IF($AO$1=1,0,"")))</f>
        <v>0</v>
      </c>
      <c r="Y197" s="38">
        <f t="shared" si="72"/>
        <v>0</v>
      </c>
      <c r="Z197" s="39">
        <f>IF(L197="","",IF(V197&gt;0,INDEX('08-آب'!$Q$2:$Q$501,V197),IF($AO$1=1,0,"")))</f>
        <v>0</v>
      </c>
      <c r="AA197" s="39">
        <f t="shared" si="73"/>
        <v>0</v>
      </c>
      <c r="AB197" s="40">
        <f>IF(OR(L197="",V197=0),"",IF(AND(N(I197)&gt;0,N(INDEX('08-آب'!$I$2:$I$501,V197))&gt;0,INDEX('08-آب'!$F$2:$F$501,V197)=F197),N(I197)/N(INDEX('08-آب'!$I$2:$I$501,V197))-1,""))</f>
        <v>0</v>
      </c>
      <c r="AC197" t="str">
        <f>IF(L197="","",IF(AND($AO$2=1,ISNA(MATCH(L197,'10-تشرين الأول'!$L$2:$L$501,0))),"محذوف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357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177</v>
      </c>
      <c r="I198">
        <v>242</v>
      </c>
      <c r="K198" t="str">
        <f t="shared" si="60"/>
        <v/>
      </c>
      <c r="L198" t="str">
        <f t="shared" si="61"/>
        <v>سائل جلي سادة ثالث خام</v>
      </c>
      <c r="M198" s="36">
        <f t="shared" si="62"/>
        <v>1</v>
      </c>
      <c r="N198" s="37">
        <f t="shared" si="63"/>
        <v>242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IF(L198="","",IF($AO$1=1,IFERROR(MATCH(L198,'08-آب'!$L$2:$L$501,0),0),0))</f>
        <v>190</v>
      </c>
      <c r="W198" t="str">
        <f t="shared" si="71"/>
        <v/>
      </c>
      <c r="X198" s="38">
        <f>IF(L198="","",IF(V198&gt;0,INDEX('08-آب'!$P$2:$P$501,V198),IF($AO$1=1,0,"")))</f>
        <v>0</v>
      </c>
      <c r="Y198" s="38">
        <f t="shared" si="72"/>
        <v>0</v>
      </c>
      <c r="Z198" s="39">
        <f>IF(L198="","",IF(V198&gt;0,INDEX('08-آب'!$Q$2:$Q$501,V198),IF($AO$1=1,0,"")))</f>
        <v>0</v>
      </c>
      <c r="AA198" s="39">
        <f t="shared" si="73"/>
        <v>0</v>
      </c>
      <c r="AB198" s="40">
        <f>IF(OR(L198="",V198=0),"",IF(AND(N(I198)&gt;0,N(INDEX('08-آب'!$I$2:$I$501,V198))&gt;0,INDEX('08-آب'!$F$2:$F$501,V198)=F198),N(I198)/N(INDEX('08-آب'!$I$2:$I$501,V198))-1,""))</f>
        <v>0</v>
      </c>
      <c r="AC198" t="str">
        <f>IF(L198="","",IF(AND($AO$2=1,ISNA(MATCH(L198,'10-تشرين الأول'!$L$2:$L$501,0))),"محذوف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1.98E-7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358</v>
      </c>
      <c r="B199">
        <v>0</v>
      </c>
      <c r="C199">
        <v>0</v>
      </c>
      <c r="D199">
        <v>0</v>
      </c>
      <c r="E199">
        <v>0</v>
      </c>
      <c r="F199" t="s">
        <v>268</v>
      </c>
      <c r="G199" t="s">
        <v>178</v>
      </c>
      <c r="H199" t="s">
        <v>177</v>
      </c>
      <c r="I199">
        <v>0</v>
      </c>
      <c r="K199" t="str">
        <f t="shared" si="60"/>
        <v/>
      </c>
      <c r="L199" t="str">
        <f t="shared" si="61"/>
        <v>سائل جلي سادة اول خام 500 كغ</v>
      </c>
      <c r="M199" s="36">
        <f t="shared" si="62"/>
        <v>1</v>
      </c>
      <c r="N199" s="37">
        <f t="shared" si="63"/>
        <v>0</v>
      </c>
      <c r="O199" s="37">
        <f t="shared" si="64"/>
        <v>0</v>
      </c>
      <c r="P199" s="38">
        <f t="shared" si="65"/>
        <v>0</v>
      </c>
      <c r="Q199" s="39">
        <f t="shared" si="66"/>
        <v>0</v>
      </c>
      <c r="R199" s="39">
        <f t="shared" si="67"/>
        <v>0</v>
      </c>
      <c r="S199">
        <f t="shared" si="68"/>
        <v>0</v>
      </c>
      <c r="T199" s="39">
        <f t="shared" si="69"/>
        <v>0</v>
      </c>
      <c r="U199" t="str">
        <f t="shared" si="70"/>
        <v/>
      </c>
      <c r="V199">
        <f>IF(L199="","",IF($AO$1=1,IFERROR(MATCH(L199,'08-آب'!$L$2:$L$501,0),0),0))</f>
        <v>191</v>
      </c>
      <c r="W199" t="str">
        <f t="shared" si="71"/>
        <v/>
      </c>
      <c r="X199" s="38">
        <f>IF(L199="","",IF(V199&gt;0,INDEX('08-آب'!$P$2:$P$501,V199),IF($AO$1=1,0,"")))</f>
        <v>0</v>
      </c>
      <c r="Y199" s="38">
        <f t="shared" si="72"/>
        <v>0</v>
      </c>
      <c r="Z199" s="39">
        <f>IF(L199="","",IF(V199&gt;0,INDEX('08-آب'!$Q$2:$Q$501,V199),IF($AO$1=1,0,"")))</f>
        <v>0</v>
      </c>
      <c r="AA199" s="39">
        <f t="shared" si="73"/>
        <v>0</v>
      </c>
      <c r="AB199" s="40" t="str">
        <f>IF(OR(L199="",V199=0),"",IF(AND(N(I199)&gt;0,N(INDEX('08-آب'!$I$2:$I$501,V199))&gt;0,INDEX('08-آب'!$F$2:$F$501,V199)=F199),N(I199)/N(INDEX('08-آب'!$I$2:$I$501,V199))-1,""))</f>
        <v/>
      </c>
      <c r="AC199" t="str">
        <f>IF(L199="","",IF(AND($AO$2=1,ISNA(MATCH(L199,'10-تشرين الأول'!$L$2:$L$501,0))),"محذوف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1.99E-7</v>
      </c>
      <c r="AH199" s="39">
        <f t="shared" si="75"/>
        <v>0</v>
      </c>
      <c r="AI199" s="39">
        <f t="shared" si="76"/>
        <v>0</v>
      </c>
      <c r="AJ199" s="39">
        <f t="shared" si="77"/>
        <v>0</v>
      </c>
      <c r="AK199">
        <f t="shared" si="78"/>
        <v>1.99E-7</v>
      </c>
      <c r="AL199">
        <f t="shared" si="79"/>
        <v>1.99E-7</v>
      </c>
    </row>
    <row r="200" spans="1:38" ht="15">
      <c r="A200" t="s">
        <v>359</v>
      </c>
      <c r="B200">
        <v>0</v>
      </c>
      <c r="C200">
        <v>0</v>
      </c>
      <c r="D200">
        <v>0</v>
      </c>
      <c r="E200">
        <v>0</v>
      </c>
      <c r="F200" t="s">
        <v>268</v>
      </c>
      <c r="G200" t="s">
        <v>178</v>
      </c>
      <c r="H200" t="s">
        <v>177</v>
      </c>
      <c r="I200">
        <v>657</v>
      </c>
      <c r="K200" t="str">
        <f t="shared" si="60"/>
        <v/>
      </c>
      <c r="L200" t="str">
        <f t="shared" si="61"/>
        <v>سائل جلي سادة اول خام</v>
      </c>
      <c r="M200" s="36">
        <f t="shared" si="62"/>
        <v>1</v>
      </c>
      <c r="N200" s="37">
        <f t="shared" si="63"/>
        <v>657</v>
      </c>
      <c r="O200" s="37">
        <f t="shared" si="64"/>
        <v>0</v>
      </c>
      <c r="P200" s="38">
        <f t="shared" si="65"/>
        <v>0</v>
      </c>
      <c r="Q200" s="39">
        <f t="shared" si="66"/>
        <v>0</v>
      </c>
      <c r="R200" s="39">
        <f t="shared" si="67"/>
        <v>0</v>
      </c>
      <c r="S200">
        <f t="shared" si="68"/>
        <v>0</v>
      </c>
      <c r="T200" s="39">
        <f t="shared" si="69"/>
        <v>0</v>
      </c>
      <c r="U200" t="str">
        <f t="shared" si="70"/>
        <v/>
      </c>
      <c r="V200">
        <f>IF(L200="","",IF($AO$1=1,IFERROR(MATCH(L200,'08-آب'!$L$2:$L$501,0),0),0))</f>
        <v>192</v>
      </c>
      <c r="W200" t="str">
        <f t="shared" si="71"/>
        <v/>
      </c>
      <c r="X200" s="38">
        <f>IF(L200="","",IF(V200&gt;0,INDEX('08-آب'!$P$2:$P$501,V200),IF($AO$1=1,0,"")))</f>
        <v>0</v>
      </c>
      <c r="Y200" s="38">
        <f t="shared" si="72"/>
        <v>0</v>
      </c>
      <c r="Z200" s="39">
        <f>IF(L200="","",IF(V200&gt;0,INDEX('08-آب'!$Q$2:$Q$501,V200),IF($AO$1=1,0,"")))</f>
        <v>0</v>
      </c>
      <c r="AA200" s="39">
        <f t="shared" si="73"/>
        <v>0</v>
      </c>
      <c r="AB200" s="40">
        <f>IF(OR(L200="",V200=0),"",IF(AND(N(I200)&gt;0,N(INDEX('08-آب'!$I$2:$I$501,V200))&gt;0,INDEX('08-آب'!$F$2:$F$501,V200)=F200),N(I200)/N(INDEX('08-آب'!$I$2:$I$501,V200))-1,""))</f>
        <v>0</v>
      </c>
      <c r="AC200" t="str">
        <f>IF(L200="","",IF(AND($AO$2=1,ISNA(MATCH(L200,'10-تشرين الأول'!$L$2:$L$501,0))),"محذوف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1.9999999999999999E-7</v>
      </c>
      <c r="AH200" s="39">
        <f t="shared" si="75"/>
        <v>0</v>
      </c>
      <c r="AI200" s="39">
        <f t="shared" si="76"/>
        <v>0</v>
      </c>
      <c r="AJ200" s="39">
        <f t="shared" si="77"/>
        <v>0</v>
      </c>
      <c r="AK200">
        <f t="shared" si="78"/>
        <v>1.9999999999999999E-7</v>
      </c>
      <c r="AL200">
        <f t="shared" si="79"/>
        <v>1.9999999999999999E-7</v>
      </c>
    </row>
    <row r="201" spans="1:38" ht="15">
      <c r="A201" t="s">
        <v>524</v>
      </c>
      <c r="B201">
        <v>1121</v>
      </c>
      <c r="C201">
        <v>13000</v>
      </c>
      <c r="D201">
        <v>13000</v>
      </c>
      <c r="E201">
        <v>13000</v>
      </c>
      <c r="F201" t="s">
        <v>389</v>
      </c>
      <c r="G201" t="s">
        <v>178</v>
      </c>
      <c r="H201" t="s">
        <v>12</v>
      </c>
      <c r="I201">
        <v>7750</v>
      </c>
      <c r="K201" t="str">
        <f t="shared" si="60"/>
        <v/>
      </c>
      <c r="L201" t="str">
        <f t="shared" si="61"/>
        <v>سائل جلي ريفا 15% super / فرط</v>
      </c>
      <c r="M201" s="36">
        <f t="shared" si="62"/>
        <v>7.2463768115942027E-5</v>
      </c>
      <c r="N201" s="37">
        <f t="shared" si="63"/>
        <v>0.56159420289855067</v>
      </c>
      <c r="O201" s="37">
        <f t="shared" si="64"/>
        <v>0.94202898550724634</v>
      </c>
      <c r="P201" s="38">
        <f t="shared" si="65"/>
        <v>1121</v>
      </c>
      <c r="Q201" s="39">
        <f t="shared" si="66"/>
        <v>629.54710144927526</v>
      </c>
      <c r="R201" s="39">
        <f t="shared" si="67"/>
        <v>1056.0144927536232</v>
      </c>
      <c r="S201">
        <f t="shared" si="68"/>
        <v>1</v>
      </c>
      <c r="T201" s="39">
        <f t="shared" si="69"/>
        <v>426.46739130434798</v>
      </c>
      <c r="U201" t="str">
        <f t="shared" si="70"/>
        <v/>
      </c>
      <c r="V201">
        <f>IF(L201="","",IF($AO$1=1,IFERROR(MATCH(L201,'08-آب'!$L$2:$L$501,0),0),0))</f>
        <v>193</v>
      </c>
      <c r="W201" t="str">
        <f t="shared" si="71"/>
        <v/>
      </c>
      <c r="X201" s="38">
        <f>IF(L201="","",IF(V201&gt;0,INDEX('08-آب'!$P$2:$P$501,V201),IF($AO$1=1,0,"")))</f>
        <v>153</v>
      </c>
      <c r="Y201" s="38">
        <f t="shared" si="72"/>
        <v>968</v>
      </c>
      <c r="Z201" s="39">
        <f>IF(L201="","",IF(V201&gt;0,INDEX('08-آب'!$Q$2:$Q$501,V201),IF($AO$1=1,0,"")))</f>
        <v>89.829545454545453</v>
      </c>
      <c r="AA201" s="39">
        <f t="shared" si="73"/>
        <v>539.71755599472976</v>
      </c>
      <c r="AB201" s="40">
        <f>IF(OR(L201="",V201=0),"",IF(AND(N(I201)&gt;0,N(INDEX('08-آب'!$I$2:$I$501,V201))&gt;0,INDEX('08-آب'!$F$2:$F$501,V201)=F201),N(I201)/N(INDEX('08-آب'!$I$2:$I$501,V201))-1,""))</f>
        <v>0</v>
      </c>
      <c r="AC201" t="str">
        <f>IF(L201="","",IF(AND($AO$2=1,ISNA(MATCH(L201,'10-تشرين الأول'!$L$2:$L$501,0))),"محذوف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539.7175561957298</v>
      </c>
      <c r="AH201" s="39">
        <f t="shared" si="75"/>
        <v>426.46739130434787</v>
      </c>
      <c r="AI201" s="39">
        <f t="shared" si="76"/>
        <v>426.46739130434787</v>
      </c>
      <c r="AJ201" s="39">
        <f t="shared" si="77"/>
        <v>426.46739130434787</v>
      </c>
      <c r="AK201">
        <f t="shared" si="78"/>
        <v>629.54710165027529</v>
      </c>
      <c r="AL201">
        <f t="shared" si="79"/>
        <v>426.46739150534796</v>
      </c>
    </row>
    <row r="202" spans="1:38" ht="15">
      <c r="A202" t="s">
        <v>525</v>
      </c>
      <c r="B202">
        <v>169.42</v>
      </c>
      <c r="C202">
        <v>13000</v>
      </c>
      <c r="D202">
        <v>13000</v>
      </c>
      <c r="E202">
        <v>13000</v>
      </c>
      <c r="F202" t="s">
        <v>389</v>
      </c>
      <c r="G202" t="s">
        <v>178</v>
      </c>
      <c r="H202" t="s">
        <v>12</v>
      </c>
      <c r="I202">
        <v>7700</v>
      </c>
      <c r="K202" t="str">
        <f t="shared" si="60"/>
        <v/>
      </c>
      <c r="L202" t="str">
        <f t="shared" si="61"/>
        <v>سائل جلي ريفا - عبوة 750غ</v>
      </c>
      <c r="M202" s="36">
        <f t="shared" si="62"/>
        <v>7.2463768115942027E-5</v>
      </c>
      <c r="N202" s="37">
        <f t="shared" si="63"/>
        <v>0.55797101449275366</v>
      </c>
      <c r="O202" s="37">
        <f t="shared" si="64"/>
        <v>0.94202898550724634</v>
      </c>
      <c r="P202" s="38">
        <f t="shared" si="65"/>
        <v>169.42</v>
      </c>
      <c r="Q202" s="39">
        <f t="shared" si="66"/>
        <v>94.53144927536232</v>
      </c>
      <c r="R202" s="39">
        <f t="shared" si="67"/>
        <v>159.59855072463768</v>
      </c>
      <c r="S202">
        <f t="shared" si="68"/>
        <v>1</v>
      </c>
      <c r="T202" s="39">
        <f t="shared" si="69"/>
        <v>65.067101449275356</v>
      </c>
      <c r="U202" t="str">
        <f t="shared" si="70"/>
        <v/>
      </c>
      <c r="V202">
        <f>IF(L202="","",IF($AO$1=1,IFERROR(MATCH(L202,'08-آب'!$L$2:$L$501,0),0),0))</f>
        <v>194</v>
      </c>
      <c r="W202" t="str">
        <f t="shared" si="71"/>
        <v/>
      </c>
      <c r="X202" s="38">
        <f>IF(L202="","",IF(V202&gt;0,INDEX('08-آب'!$P$2:$P$501,V202),IF($AO$1=1,0,"")))</f>
        <v>174.42</v>
      </c>
      <c r="Y202" s="38">
        <f t="shared" si="72"/>
        <v>-5</v>
      </c>
      <c r="Z202" s="39">
        <f>IF(L202="","",IF(V202&gt;0,INDEX('08-آب'!$Q$2:$Q$501,V202),IF($AO$1=1,0,"")))</f>
        <v>101.745</v>
      </c>
      <c r="AA202" s="39">
        <f t="shared" si="73"/>
        <v>-7.2135507246376847</v>
      </c>
      <c r="AB202" s="40">
        <f>IF(OR(L202="",V202=0),"",IF(AND(N(I202)&gt;0,N(INDEX('08-آب'!$I$2:$I$501,V202))&gt;0,INDEX('08-آب'!$F$2:$F$501,V202)=F202),N(I202)/N(INDEX('08-آب'!$I$2:$I$501,V202))-1,""))</f>
        <v>0</v>
      </c>
      <c r="AC202" t="str">
        <f>IF(L202="","",IF(AND($AO$2=1,ISNA(MATCH(L202,'10-تشرين الأول'!$L$2:$L$501,0))),"محذوف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7.2135509266376845</v>
      </c>
      <c r="AH202" s="39">
        <f t="shared" si="75"/>
        <v>65.067101449275341</v>
      </c>
      <c r="AI202" s="39">
        <f t="shared" si="76"/>
        <v>65.067101449275341</v>
      </c>
      <c r="AJ202" s="39">
        <f t="shared" si="77"/>
        <v>65.067101449275341</v>
      </c>
      <c r="AK202">
        <f t="shared" si="78"/>
        <v>94.531449477362315</v>
      </c>
      <c r="AL202">
        <f t="shared" si="79"/>
        <v>65.067101651275351</v>
      </c>
    </row>
    <row r="203" spans="1:38" ht="15">
      <c r="A203" t="s">
        <v>360</v>
      </c>
      <c r="B203">
        <v>0</v>
      </c>
      <c r="C203">
        <v>0</v>
      </c>
      <c r="D203">
        <v>0</v>
      </c>
      <c r="E203">
        <v>0</v>
      </c>
      <c r="F203" t="s">
        <v>268</v>
      </c>
      <c r="G203" t="s">
        <v>178</v>
      </c>
      <c r="H203" t="s">
        <v>177</v>
      </c>
      <c r="I203">
        <v>191</v>
      </c>
      <c r="K203" t="str">
        <f t="shared" si="60"/>
        <v/>
      </c>
      <c r="L203" t="str">
        <f t="shared" si="61"/>
        <v>سائل جلي تفاح رابع خام</v>
      </c>
      <c r="M203" s="36">
        <f t="shared" si="62"/>
        <v>1</v>
      </c>
      <c r="N203" s="37">
        <f t="shared" si="63"/>
        <v>191</v>
      </c>
      <c r="O203" s="37">
        <f t="shared" si="64"/>
        <v>0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IF(L203="","",IF($AO$1=1,IFERROR(MATCH(L203,'08-آب'!$L$2:$L$501,0),0),0))</f>
        <v>195</v>
      </c>
      <c r="W203" t="str">
        <f t="shared" si="71"/>
        <v/>
      </c>
      <c r="X203" s="38">
        <f>IF(L203="","",IF(V203&gt;0,INDEX('08-آب'!$P$2:$P$501,V203),IF($AO$1=1,0,"")))</f>
        <v>0</v>
      </c>
      <c r="Y203" s="38">
        <f t="shared" si="72"/>
        <v>0</v>
      </c>
      <c r="Z203" s="39">
        <f>IF(L203="","",IF(V203&gt;0,INDEX('08-آب'!$Q$2:$Q$501,V203),IF($AO$1=1,0,"")))</f>
        <v>0</v>
      </c>
      <c r="AA203" s="39">
        <f t="shared" si="73"/>
        <v>0</v>
      </c>
      <c r="AB203" s="40">
        <f>IF(OR(L203="",V203=0),"",IF(AND(N(I203)&gt;0,N(INDEX('08-آب'!$I$2:$I$501,V203))&gt;0,INDEX('08-آب'!$F$2:$F$501,V203)=F203),N(I203)/N(INDEX('08-آب'!$I$2:$I$501,V203))-1,""))</f>
        <v>0</v>
      </c>
      <c r="AC203" t="str">
        <f>IF(L203="","",IF(AND($AO$2=1,ISNA(MATCH(L203,'10-تشرين الأول'!$L$2:$L$501,0))),"محذوف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2.03E-7</v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361</v>
      </c>
      <c r="B204">
        <v>0</v>
      </c>
      <c r="C204">
        <v>0</v>
      </c>
      <c r="D204">
        <v>0</v>
      </c>
      <c r="E204">
        <v>0</v>
      </c>
      <c r="F204" t="s">
        <v>268</v>
      </c>
      <c r="G204" t="s">
        <v>178</v>
      </c>
      <c r="H204" t="s">
        <v>177</v>
      </c>
      <c r="I204">
        <v>294</v>
      </c>
      <c r="K204" t="str">
        <f t="shared" si="60"/>
        <v/>
      </c>
      <c r="L204" t="str">
        <f t="shared" si="61"/>
        <v>سائل جلي تفاح ثاني خام</v>
      </c>
      <c r="M204" s="36">
        <f t="shared" si="62"/>
        <v>1</v>
      </c>
      <c r="N204" s="37">
        <f t="shared" si="63"/>
        <v>294</v>
      </c>
      <c r="O204" s="37">
        <f t="shared" si="64"/>
        <v>0</v>
      </c>
      <c r="P204" s="38">
        <f t="shared" si="65"/>
        <v>0</v>
      </c>
      <c r="Q204" s="39">
        <f t="shared" si="66"/>
        <v>0</v>
      </c>
      <c r="R204" s="39">
        <f t="shared" si="67"/>
        <v>0</v>
      </c>
      <c r="S204">
        <f t="shared" si="68"/>
        <v>0</v>
      </c>
      <c r="T204" s="39">
        <f t="shared" si="69"/>
        <v>0</v>
      </c>
      <c r="U204" t="str">
        <f t="shared" si="70"/>
        <v/>
      </c>
      <c r="V204">
        <f>IF(L204="","",IF($AO$1=1,IFERROR(MATCH(L204,'08-آب'!$L$2:$L$501,0),0),0))</f>
        <v>196</v>
      </c>
      <c r="W204" t="str">
        <f t="shared" si="71"/>
        <v/>
      </c>
      <c r="X204" s="38">
        <f>IF(L204="","",IF(V204&gt;0,INDEX('08-آب'!$P$2:$P$501,V204),IF($AO$1=1,0,"")))</f>
        <v>0</v>
      </c>
      <c r="Y204" s="38">
        <f t="shared" si="72"/>
        <v>0</v>
      </c>
      <c r="Z204" s="39">
        <f>IF(L204="","",IF(V204&gt;0,INDEX('08-آب'!$Q$2:$Q$501,V204),IF($AO$1=1,0,"")))</f>
        <v>0</v>
      </c>
      <c r="AA204" s="39">
        <f t="shared" si="73"/>
        <v>0</v>
      </c>
      <c r="AB204" s="40">
        <f>IF(OR(L204="",V204=0),"",IF(AND(N(I204)&gt;0,N(INDEX('08-آب'!$I$2:$I$501,V204))&gt;0,INDEX('08-آب'!$F$2:$F$501,V204)=F204),N(I204)/N(INDEX('08-آب'!$I$2:$I$501,V204))-1,""))</f>
        <v>0</v>
      </c>
      <c r="AC204" t="str">
        <f>IF(L204="","",IF(AND($AO$2=1,ISNA(MATCH(L204,'10-تشرين الأول'!$L$2:$L$501,0))),"محذوف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2.04E-7</v>
      </c>
      <c r="AH204" s="39">
        <f t="shared" si="75"/>
        <v>0</v>
      </c>
      <c r="AI204" s="39">
        <f t="shared" si="76"/>
        <v>0</v>
      </c>
      <c r="AJ204" s="39">
        <f t="shared" si="77"/>
        <v>0</v>
      </c>
      <c r="AK204">
        <f t="shared" si="78"/>
        <v>2.04E-7</v>
      </c>
      <c r="AL204">
        <f t="shared" si="79"/>
        <v>2.04E-7</v>
      </c>
    </row>
    <row r="205" spans="1:38" ht="15">
      <c r="A205" t="s">
        <v>362</v>
      </c>
      <c r="B205">
        <v>0</v>
      </c>
      <c r="C205">
        <v>0</v>
      </c>
      <c r="D205">
        <v>0</v>
      </c>
      <c r="E205">
        <v>0</v>
      </c>
      <c r="F205" t="s">
        <v>268</v>
      </c>
      <c r="G205" t="s">
        <v>178</v>
      </c>
      <c r="H205" t="s">
        <v>177</v>
      </c>
      <c r="I205">
        <v>248</v>
      </c>
      <c r="K205" t="str">
        <f t="shared" si="60"/>
        <v/>
      </c>
      <c r="L205" t="str">
        <f t="shared" si="61"/>
        <v>سائل جلي تفاح ثالث خام</v>
      </c>
      <c r="M205" s="36">
        <f t="shared" si="62"/>
        <v>1</v>
      </c>
      <c r="N205" s="37">
        <f t="shared" si="63"/>
        <v>248</v>
      </c>
      <c r="O205" s="37">
        <f t="shared" si="64"/>
        <v>0</v>
      </c>
      <c r="P205" s="38">
        <f t="shared" si="65"/>
        <v>0</v>
      </c>
      <c r="Q205" s="39">
        <f t="shared" si="66"/>
        <v>0</v>
      </c>
      <c r="R205" s="39">
        <f t="shared" si="67"/>
        <v>0</v>
      </c>
      <c r="S205">
        <f t="shared" si="68"/>
        <v>0</v>
      </c>
      <c r="T205" s="39">
        <f t="shared" si="69"/>
        <v>0</v>
      </c>
      <c r="U205" t="str">
        <f t="shared" si="70"/>
        <v/>
      </c>
      <c r="V205">
        <f>IF(L205="","",IF($AO$1=1,IFERROR(MATCH(L205,'08-آب'!$L$2:$L$501,0),0),0))</f>
        <v>197</v>
      </c>
      <c r="W205" t="str">
        <f t="shared" si="71"/>
        <v/>
      </c>
      <c r="X205" s="38">
        <f>IF(L205="","",IF(V205&gt;0,INDEX('08-آب'!$P$2:$P$501,V205),IF($AO$1=1,0,"")))</f>
        <v>0</v>
      </c>
      <c r="Y205" s="38">
        <f t="shared" si="72"/>
        <v>0</v>
      </c>
      <c r="Z205" s="39">
        <f>IF(L205="","",IF(V205&gt;0,INDEX('08-آب'!$Q$2:$Q$501,V205),IF($AO$1=1,0,"")))</f>
        <v>0</v>
      </c>
      <c r="AA205" s="39">
        <f t="shared" si="73"/>
        <v>0</v>
      </c>
      <c r="AB205" s="40">
        <f>IF(OR(L205="",V205=0),"",IF(AND(N(I205)&gt;0,N(INDEX('08-آب'!$I$2:$I$501,V205))&gt;0,INDEX('08-آب'!$F$2:$F$501,V205)=F205),N(I205)/N(INDEX('08-آب'!$I$2:$I$501,V205))-1,""))</f>
        <v>0</v>
      </c>
      <c r="AC205" t="str">
        <f>IF(L205="","",IF(AND($AO$2=1,ISNA(MATCH(L205,'10-تشرين الأول'!$L$2:$L$501,0))),"محذوف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2.05E-7</v>
      </c>
      <c r="AH205" s="39">
        <f t="shared" si="75"/>
        <v>0</v>
      </c>
      <c r="AI205" s="39">
        <f t="shared" si="76"/>
        <v>0</v>
      </c>
      <c r="AJ205" s="39">
        <f t="shared" si="77"/>
        <v>0</v>
      </c>
      <c r="AK205">
        <f t="shared" si="78"/>
        <v>2.05E-7</v>
      </c>
      <c r="AL205">
        <f t="shared" si="79"/>
        <v>2.05E-7</v>
      </c>
    </row>
    <row r="206" spans="1:38" ht="15">
      <c r="A206" t="s">
        <v>363</v>
      </c>
      <c r="B206">
        <v>0</v>
      </c>
      <c r="C206">
        <v>0</v>
      </c>
      <c r="D206">
        <v>0</v>
      </c>
      <c r="E206">
        <v>0</v>
      </c>
      <c r="F206" t="s">
        <v>268</v>
      </c>
      <c r="G206" t="s">
        <v>178</v>
      </c>
      <c r="H206" t="s">
        <v>177</v>
      </c>
      <c r="I206">
        <v>669</v>
      </c>
      <c r="K206" t="str">
        <f t="shared" si="60"/>
        <v/>
      </c>
      <c r="L206" t="str">
        <f t="shared" si="61"/>
        <v>سائل جلي تفاح اول خام</v>
      </c>
      <c r="M206" s="36">
        <f t="shared" si="62"/>
        <v>1</v>
      </c>
      <c r="N206" s="37">
        <f t="shared" si="63"/>
        <v>669</v>
      </c>
      <c r="O206" s="37">
        <f t="shared" si="64"/>
        <v>0</v>
      </c>
      <c r="P206" s="38">
        <f t="shared" si="65"/>
        <v>0</v>
      </c>
      <c r="Q206" s="39">
        <f t="shared" si="66"/>
        <v>0</v>
      </c>
      <c r="R206" s="39">
        <f t="shared" si="67"/>
        <v>0</v>
      </c>
      <c r="S206">
        <f t="shared" si="68"/>
        <v>0</v>
      </c>
      <c r="T206" s="39">
        <f t="shared" si="69"/>
        <v>0</v>
      </c>
      <c r="U206" t="str">
        <f t="shared" si="70"/>
        <v/>
      </c>
      <c r="V206">
        <f>IF(L206="","",IF($AO$1=1,IFERROR(MATCH(L206,'08-آب'!$L$2:$L$501,0),0),0))</f>
        <v>198</v>
      </c>
      <c r="W206" t="str">
        <f t="shared" si="71"/>
        <v/>
      </c>
      <c r="X206" s="38">
        <f>IF(L206="","",IF(V206&gt;0,INDEX('08-آب'!$P$2:$P$501,V206),IF($AO$1=1,0,"")))</f>
        <v>0</v>
      </c>
      <c r="Y206" s="38">
        <f t="shared" si="72"/>
        <v>0</v>
      </c>
      <c r="Z206" s="39">
        <f>IF(L206="","",IF(V206&gt;0,INDEX('08-آب'!$Q$2:$Q$501,V206),IF($AO$1=1,0,"")))</f>
        <v>0</v>
      </c>
      <c r="AA206" s="39">
        <f t="shared" si="73"/>
        <v>0</v>
      </c>
      <c r="AB206" s="40">
        <f>IF(OR(L206="",V206=0),"",IF(AND(N(I206)&gt;0,N(INDEX('08-آب'!$I$2:$I$501,V206))&gt;0,INDEX('08-آب'!$F$2:$F$501,V206)=F206),N(I206)/N(INDEX('08-آب'!$I$2:$I$501,V206))-1,""))</f>
        <v>0</v>
      </c>
      <c r="AC206" t="str">
        <f>IF(L206="","",IF(AND($AO$2=1,ISNA(MATCH(L206,'10-تشرين الأول'!$L$2:$L$501,0))),"محذوف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2.0599999999999999E-7</v>
      </c>
      <c r="AH206" s="39">
        <f t="shared" si="75"/>
        <v>0</v>
      </c>
      <c r="AI206" s="39">
        <f t="shared" si="76"/>
        <v>0</v>
      </c>
      <c r="AJ206" s="39">
        <f t="shared" si="77"/>
        <v>0</v>
      </c>
      <c r="AK206">
        <f t="shared" si="78"/>
        <v>2.0599999999999999E-7</v>
      </c>
      <c r="AL206">
        <f t="shared" si="79"/>
        <v>2.0599999999999999E-7</v>
      </c>
    </row>
    <row r="207" spans="1:38" ht="15">
      <c r="A207" t="s">
        <v>471</v>
      </c>
      <c r="B207">
        <v>3349.33</v>
      </c>
      <c r="C207">
        <v>6000</v>
      </c>
      <c r="D207">
        <v>6000</v>
      </c>
      <c r="E207">
        <v>6000</v>
      </c>
      <c r="F207" t="s">
        <v>389</v>
      </c>
      <c r="G207" t="s">
        <v>178</v>
      </c>
      <c r="H207" t="s">
        <v>12</v>
      </c>
      <c r="I207">
        <v>2980</v>
      </c>
      <c r="K207" t="str">
        <f t="shared" si="60"/>
        <v/>
      </c>
      <c r="L207" t="str">
        <f t="shared" si="61"/>
        <v>سائل جلي super / فرط 2604</v>
      </c>
      <c r="M207" s="36">
        <f t="shared" si="62"/>
        <v>7.2463768115942027E-5</v>
      </c>
      <c r="N207" s="37">
        <f t="shared" si="63"/>
        <v>0.21594202898550724</v>
      </c>
      <c r="O207" s="37">
        <f t="shared" si="64"/>
        <v>0.43478260869565216</v>
      </c>
      <c r="P207" s="38">
        <f t="shared" si="65"/>
        <v>3349.33</v>
      </c>
      <c r="Q207" s="39">
        <f t="shared" si="66"/>
        <v>723.26111594202894</v>
      </c>
      <c r="R207" s="39">
        <f t="shared" si="67"/>
        <v>1456.2304347826087</v>
      </c>
      <c r="S207">
        <f t="shared" si="68"/>
        <v>1</v>
      </c>
      <c r="T207" s="39">
        <f t="shared" si="69"/>
        <v>732.96931884057972</v>
      </c>
      <c r="U207" t="str">
        <f t="shared" si="70"/>
        <v/>
      </c>
      <c r="V207">
        <f>IF(L207="","",IF($AO$1=1,IFERROR(MATCH(L207,'08-آب'!$L$2:$L$501,0),0),0))</f>
        <v>199</v>
      </c>
      <c r="W207" t="str">
        <f t="shared" si="71"/>
        <v/>
      </c>
      <c r="X207" s="38">
        <f>IF(L207="","",IF(V207&gt;0,INDEX('08-آب'!$P$2:$P$501,V207),IF($AO$1=1,0,"")))</f>
        <v>4293</v>
      </c>
      <c r="Y207" s="38">
        <f t="shared" si="72"/>
        <v>-943.67000000000007</v>
      </c>
      <c r="Z207" s="39">
        <f>IF(L207="","",IF(V207&gt;0,INDEX('08-آب'!$Q$2:$Q$501,V207),IF($AO$1=1,0,"")))</f>
        <v>969.17727272727279</v>
      </c>
      <c r="AA207" s="39">
        <f t="shared" si="73"/>
        <v>-245.91615678524386</v>
      </c>
      <c r="AB207" s="40">
        <f>IF(OR(L207="",V207=0),"",IF(AND(N(I207)&gt;0,N(INDEX('08-آب'!$I$2:$I$501,V207))&gt;0,INDEX('08-آب'!$F$2:$F$501,V207)=F207),N(I207)/N(INDEX('08-آب'!$I$2:$I$501,V207))-1,""))</f>
        <v>0</v>
      </c>
      <c r="AC207" t="str">
        <f>IF(L207="","",IF(AND($AO$2=1,ISNA(MATCH(L207,'10-تشرين الأول'!$L$2:$L$501,0))),"محذوف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245.91615699224386</v>
      </c>
      <c r="AH207" s="39">
        <f t="shared" si="75"/>
        <v>732.96931884057972</v>
      </c>
      <c r="AI207" s="39">
        <f t="shared" si="76"/>
        <v>732.96931884057972</v>
      </c>
      <c r="AJ207" s="39">
        <f t="shared" si="77"/>
        <v>732.96931884057972</v>
      </c>
      <c r="AK207">
        <f t="shared" si="78"/>
        <v>723.26111614902891</v>
      </c>
      <c r="AL207">
        <f t="shared" si="79"/>
        <v>732.96931904757969</v>
      </c>
    </row>
    <row r="208" spans="1:38" ht="15">
      <c r="A208" t="s">
        <v>472</v>
      </c>
      <c r="B208">
        <v>2109.61</v>
      </c>
      <c r="C208">
        <v>7000</v>
      </c>
      <c r="D208">
        <v>7000</v>
      </c>
      <c r="E208">
        <v>7000</v>
      </c>
      <c r="F208" t="s">
        <v>389</v>
      </c>
      <c r="G208" t="s">
        <v>178</v>
      </c>
      <c r="H208" t="s">
        <v>12</v>
      </c>
      <c r="I208">
        <v>4000</v>
      </c>
      <c r="K208" t="str">
        <f t="shared" si="60"/>
        <v/>
      </c>
      <c r="L208" t="str">
        <f t="shared" si="61"/>
        <v>سائل جلي super / فرط 2603</v>
      </c>
      <c r="M208" s="36">
        <f t="shared" si="62"/>
        <v>7.2463768115942027E-5</v>
      </c>
      <c r="N208" s="37">
        <f t="shared" si="63"/>
        <v>0.28985507246376813</v>
      </c>
      <c r="O208" s="37">
        <f t="shared" si="64"/>
        <v>0.50724637681159424</v>
      </c>
      <c r="P208" s="38">
        <f t="shared" si="65"/>
        <v>2109.61</v>
      </c>
      <c r="Q208" s="39">
        <f t="shared" si="66"/>
        <v>611.48115942028994</v>
      </c>
      <c r="R208" s="39">
        <f t="shared" si="67"/>
        <v>1070.0920289855073</v>
      </c>
      <c r="S208">
        <f t="shared" si="68"/>
        <v>1</v>
      </c>
      <c r="T208" s="39">
        <f t="shared" si="69"/>
        <v>458.6108695652174</v>
      </c>
      <c r="U208" t="str">
        <f t="shared" si="70"/>
        <v/>
      </c>
      <c r="V208">
        <f>IF(L208="","",IF($AO$1=1,IFERROR(MATCH(L208,'08-آب'!$L$2:$L$501,0),0),0))</f>
        <v>200</v>
      </c>
      <c r="W208" t="str">
        <f t="shared" si="71"/>
        <v/>
      </c>
      <c r="X208" s="38">
        <f>IF(L208="","",IF(V208&gt;0,INDEX('08-آب'!$P$2:$P$501,V208),IF($AO$1=1,0,"")))</f>
        <v>3741.5</v>
      </c>
      <c r="Y208" s="38">
        <f t="shared" si="72"/>
        <v>-1631.8899999999999</v>
      </c>
      <c r="Z208" s="39">
        <f>IF(L208="","",IF(V208&gt;0,INDEX('08-آب'!$Q$2:$Q$501,V208),IF($AO$1=1,0,"")))</f>
        <v>1133.7878787878788</v>
      </c>
      <c r="AA208" s="39">
        <f t="shared" si="73"/>
        <v>-522.30671936758881</v>
      </c>
      <c r="AB208" s="40">
        <f>IF(OR(L208="",V208=0),"",IF(AND(N(I208)&gt;0,N(INDEX('08-آب'!$I$2:$I$501,V208))&gt;0,INDEX('08-آب'!$F$2:$F$501,V208)=F208),N(I208)/N(INDEX('08-آب'!$I$2:$I$501,V208))-1,""))</f>
        <v>0</v>
      </c>
      <c r="AC208" t="str">
        <f>IF(L208="","",IF(AND($AO$2=1,ISNA(MATCH(L208,'10-تشرين الأول'!$L$2:$L$501,0))),"محذوف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522.30671957558877</v>
      </c>
      <c r="AH208" s="39">
        <f t="shared" si="75"/>
        <v>458.61086956521746</v>
      </c>
      <c r="AI208" s="39">
        <f t="shared" si="76"/>
        <v>458.61086956521746</v>
      </c>
      <c r="AJ208" s="39">
        <f t="shared" si="77"/>
        <v>458.61086956521746</v>
      </c>
      <c r="AK208">
        <f t="shared" si="78"/>
        <v>611.4811596282899</v>
      </c>
      <c r="AL208">
        <f t="shared" si="79"/>
        <v>458.61086977321742</v>
      </c>
    </row>
    <row r="209" spans="1:38" ht="15">
      <c r="A209" t="s">
        <v>473</v>
      </c>
      <c r="B209">
        <v>634.5</v>
      </c>
      <c r="C209">
        <v>8000</v>
      </c>
      <c r="D209">
        <v>8000</v>
      </c>
      <c r="E209">
        <v>8000</v>
      </c>
      <c r="F209" t="s">
        <v>389</v>
      </c>
      <c r="G209" t="s">
        <v>178</v>
      </c>
      <c r="H209" t="s">
        <v>12</v>
      </c>
      <c r="I209">
        <v>5200</v>
      </c>
      <c r="K209" t="str">
        <f t="shared" si="60"/>
        <v/>
      </c>
      <c r="L209" t="str">
        <f t="shared" si="61"/>
        <v>سائل جلي super / فرط 2602</v>
      </c>
      <c r="M209" s="36">
        <f t="shared" si="62"/>
        <v>7.2463768115942027E-5</v>
      </c>
      <c r="N209" s="37">
        <f t="shared" si="63"/>
        <v>0.37681159420289856</v>
      </c>
      <c r="O209" s="37">
        <f t="shared" si="64"/>
        <v>0.57971014492753625</v>
      </c>
      <c r="P209" s="38">
        <f t="shared" si="65"/>
        <v>634.5</v>
      </c>
      <c r="Q209" s="39">
        <f t="shared" si="66"/>
        <v>239.08695652173913</v>
      </c>
      <c r="R209" s="39">
        <f t="shared" si="67"/>
        <v>367.82608695652175</v>
      </c>
      <c r="S209">
        <f t="shared" si="68"/>
        <v>1</v>
      </c>
      <c r="T209" s="39">
        <f t="shared" si="69"/>
        <v>128.73913043478262</v>
      </c>
      <c r="U209" t="str">
        <f t="shared" si="70"/>
        <v/>
      </c>
      <c r="V209">
        <f>IF(L209="","",IF($AO$1=1,IFERROR(MATCH(L209,'08-آب'!$L$2:$L$501,0),0),0))</f>
        <v>201</v>
      </c>
      <c r="W209" t="str">
        <f t="shared" si="71"/>
        <v/>
      </c>
      <c r="X209" s="38">
        <f>IF(L209="","",IF(V209&gt;0,INDEX('08-آب'!$P$2:$P$501,V209),IF($AO$1=1,0,"")))</f>
        <v>2479</v>
      </c>
      <c r="Y209" s="38">
        <f t="shared" si="72"/>
        <v>-1844.5</v>
      </c>
      <c r="Z209" s="39">
        <f>IF(L209="","",IF(V209&gt;0,INDEX('08-آب'!$Q$2:$Q$501,V209),IF($AO$1=1,0,"")))</f>
        <v>976.57575757575751</v>
      </c>
      <c r="AA209" s="39">
        <f t="shared" si="73"/>
        <v>-737.48880105401838</v>
      </c>
      <c r="AB209" s="40">
        <f>IF(OR(L209="",V209=0),"",IF(AND(N(I209)&gt;0,N(INDEX('08-آب'!$I$2:$I$501,V209))&gt;0,INDEX('08-آب'!$F$2:$F$501,V209)=F209),N(I209)/N(INDEX('08-آب'!$I$2:$I$501,V209))-1,""))</f>
        <v>0</v>
      </c>
      <c r="AC209" t="str">
        <f>IF(L209="","",IF(AND($AO$2=1,ISNA(MATCH(L209,'10-تشرين الأول'!$L$2:$L$501,0))),"محذوف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737.48880126301833</v>
      </c>
      <c r="AH209" s="39">
        <f t="shared" si="75"/>
        <v>128.73913043478262</v>
      </c>
      <c r="AI209" s="39">
        <f t="shared" si="76"/>
        <v>128.73913043478262</v>
      </c>
      <c r="AJ209" s="39">
        <f t="shared" si="77"/>
        <v>128.73913043478262</v>
      </c>
      <c r="AK209">
        <f t="shared" si="78"/>
        <v>239.08695673073913</v>
      </c>
      <c r="AL209">
        <f t="shared" si="79"/>
        <v>128.73913064378263</v>
      </c>
    </row>
    <row r="210" spans="1:38" ht="15">
      <c r="A210" t="s">
        <v>474</v>
      </c>
      <c r="B210">
        <v>1051.32</v>
      </c>
      <c r="C210">
        <v>15000</v>
      </c>
      <c r="D210">
        <v>15000</v>
      </c>
      <c r="E210">
        <v>15000</v>
      </c>
      <c r="F210" t="s">
        <v>389</v>
      </c>
      <c r="G210" t="s">
        <v>178</v>
      </c>
      <c r="H210" t="s">
        <v>12</v>
      </c>
      <c r="I210">
        <v>11600</v>
      </c>
      <c r="K210" t="str">
        <f t="shared" si="60"/>
        <v/>
      </c>
      <c r="L210" t="str">
        <f t="shared" si="61"/>
        <v>سائل جلي super / فرط 2601</v>
      </c>
      <c r="M210" s="36">
        <f t="shared" si="62"/>
        <v>7.2463768115942027E-5</v>
      </c>
      <c r="N210" s="37">
        <f t="shared" si="63"/>
        <v>0.84057971014492749</v>
      </c>
      <c r="O210" s="37">
        <f t="shared" si="64"/>
        <v>1.0869565217391304</v>
      </c>
      <c r="P210" s="38">
        <f t="shared" si="65"/>
        <v>1051.32</v>
      </c>
      <c r="Q210" s="39">
        <f t="shared" si="66"/>
        <v>883.71826086956514</v>
      </c>
      <c r="R210" s="39">
        <f t="shared" si="67"/>
        <v>1142.7391304347825</v>
      </c>
      <c r="S210">
        <f t="shared" si="68"/>
        <v>1</v>
      </c>
      <c r="T210" s="39">
        <f t="shared" si="69"/>
        <v>259.02086956521737</v>
      </c>
      <c r="U210" t="str">
        <f t="shared" si="70"/>
        <v/>
      </c>
      <c r="V210">
        <f>IF(L210="","",IF($AO$1=1,IFERROR(MATCH(L210,'08-آب'!$L$2:$L$501,0),0),0))</f>
        <v>202</v>
      </c>
      <c r="W210" t="str">
        <f t="shared" si="71"/>
        <v/>
      </c>
      <c r="X210" s="38">
        <f>IF(L210="","",IF(V210&gt;0,INDEX('08-آب'!$P$2:$P$501,V210),IF($AO$1=1,0,"")))</f>
        <v>2039</v>
      </c>
      <c r="Y210" s="38">
        <f t="shared" si="72"/>
        <v>-987.68000000000006</v>
      </c>
      <c r="Z210" s="39">
        <f>IF(L210="","",IF(V210&gt;0,INDEX('08-آب'!$Q$2:$Q$501,V210),IF($AO$1=1,0,"")))</f>
        <v>1791.8484848484848</v>
      </c>
      <c r="AA210" s="39">
        <f t="shared" si="73"/>
        <v>-908.13022397891962</v>
      </c>
      <c r="AB210" s="40">
        <f>IF(OR(L210="",V210=0),"",IF(AND(N(I210)&gt;0,N(INDEX('08-آب'!$I$2:$I$501,V210))&gt;0,INDEX('08-آب'!$F$2:$F$501,V210)=F210),N(I210)/N(INDEX('08-آب'!$I$2:$I$501,V210))-1,""))</f>
        <v>0</v>
      </c>
      <c r="AC210" t="str">
        <f>IF(L210="","",IF(AND($AO$2=1,ISNA(MATCH(L210,'10-تشرين الأول'!$L$2:$L$501,0))),"محذوف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908.13022418891967</v>
      </c>
      <c r="AH210" s="39">
        <f t="shared" si="75"/>
        <v>259.02086956521737</v>
      </c>
      <c r="AI210" s="39">
        <f t="shared" si="76"/>
        <v>259.02086956521737</v>
      </c>
      <c r="AJ210" s="39">
        <f t="shared" si="77"/>
        <v>259.02086956521737</v>
      </c>
      <c r="AK210">
        <f t="shared" si="78"/>
        <v>883.7182610795652</v>
      </c>
      <c r="AL210">
        <f t="shared" si="79"/>
        <v>259.02086977521736</v>
      </c>
    </row>
    <row r="211" spans="1:38" ht="15">
      <c r="A211" t="s">
        <v>475</v>
      </c>
      <c r="B211">
        <v>71</v>
      </c>
      <c r="C211">
        <v>22000</v>
      </c>
      <c r="D211">
        <v>22000</v>
      </c>
      <c r="E211">
        <v>22000</v>
      </c>
      <c r="F211" t="s">
        <v>389</v>
      </c>
      <c r="G211" t="s">
        <v>178</v>
      </c>
      <c r="H211" t="s">
        <v>12</v>
      </c>
      <c r="I211">
        <v>11940</v>
      </c>
      <c r="K211" t="str">
        <f t="shared" si="60"/>
        <v/>
      </c>
      <c r="L211" t="str">
        <f t="shared" si="61"/>
        <v>سائل جلي super / عبوة 3 لتر 2604</v>
      </c>
      <c r="M211" s="36">
        <f t="shared" si="62"/>
        <v>7.2463768115942027E-5</v>
      </c>
      <c r="N211" s="37">
        <f t="shared" si="63"/>
        <v>0.86521739130434783</v>
      </c>
      <c r="O211" s="37">
        <f t="shared" si="64"/>
        <v>1.5942028985507246</v>
      </c>
      <c r="P211" s="38">
        <f t="shared" si="65"/>
        <v>71</v>
      </c>
      <c r="Q211" s="39">
        <f t="shared" si="66"/>
        <v>61.430434782608693</v>
      </c>
      <c r="R211" s="39">
        <f t="shared" si="67"/>
        <v>113.18840579710145</v>
      </c>
      <c r="S211">
        <f t="shared" si="68"/>
        <v>1</v>
      </c>
      <c r="T211" s="39">
        <f t="shared" si="69"/>
        <v>51.75797101449276</v>
      </c>
      <c r="U211" t="str">
        <f t="shared" si="70"/>
        <v/>
      </c>
      <c r="V211">
        <f>IF(L211="","",IF($AO$1=1,IFERROR(MATCH(L211,'08-آب'!$L$2:$L$501,0),0),0))</f>
        <v>203</v>
      </c>
      <c r="W211" t="str">
        <f t="shared" si="71"/>
        <v/>
      </c>
      <c r="X211" s="38">
        <f>IF(L211="","",IF(V211&gt;0,INDEX('08-آب'!$P$2:$P$501,V211),IF($AO$1=1,0,"")))</f>
        <v>79</v>
      </c>
      <c r="Y211" s="38">
        <f t="shared" si="72"/>
        <v>-8</v>
      </c>
      <c r="Z211" s="39">
        <f>IF(L211="","",IF(V211&gt;0,INDEX('08-آب'!$Q$2:$Q$501,V211),IF($AO$1=1,0,"")))</f>
        <v>71.459090909090904</v>
      </c>
      <c r="AA211" s="39">
        <f t="shared" si="73"/>
        <v>-10.028656126482211</v>
      </c>
      <c r="AB211" s="40">
        <f>IF(OR(L211="",V211=0),"",IF(AND(N(I211)&gt;0,N(INDEX('08-آب'!$I$2:$I$501,V211))&gt;0,INDEX('08-آب'!$F$2:$F$501,V211)=F211),N(I211)/N(INDEX('08-آب'!$I$2:$I$501,V211))-1,""))</f>
        <v>0</v>
      </c>
      <c r="AC211" t="str">
        <f>IF(L211="","",IF(AND($AO$2=1,ISNA(MATCH(L211,'10-تشرين الأول'!$L$2:$L$501,0))),"محذوف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10.028656337482211</v>
      </c>
      <c r="AH211" s="39">
        <f t="shared" si="75"/>
        <v>51.757971014492753</v>
      </c>
      <c r="AI211" s="39">
        <f t="shared" si="76"/>
        <v>51.757971014492753</v>
      </c>
      <c r="AJ211" s="39">
        <f t="shared" si="77"/>
        <v>51.757971014492753</v>
      </c>
      <c r="AK211">
        <f t="shared" si="78"/>
        <v>61.430434993608692</v>
      </c>
      <c r="AL211">
        <f t="shared" si="79"/>
        <v>51.75797122549276</v>
      </c>
    </row>
    <row r="212" spans="1:38" ht="15">
      <c r="A212" t="s">
        <v>476</v>
      </c>
      <c r="B212">
        <v>42</v>
      </c>
      <c r="C212">
        <v>25000</v>
      </c>
      <c r="D212">
        <v>25000</v>
      </c>
      <c r="E212">
        <v>25000</v>
      </c>
      <c r="F212" t="s">
        <v>389</v>
      </c>
      <c r="G212" t="s">
        <v>178</v>
      </c>
      <c r="H212" t="s">
        <v>12</v>
      </c>
      <c r="I212">
        <v>15000</v>
      </c>
      <c r="K212" t="str">
        <f t="shared" si="60"/>
        <v/>
      </c>
      <c r="L212" t="str">
        <f t="shared" si="61"/>
        <v>سائل جلي super / عبوة 3 لتر 2603</v>
      </c>
      <c r="M212" s="36">
        <f t="shared" si="62"/>
        <v>7.2463768115942027E-5</v>
      </c>
      <c r="N212" s="37">
        <f t="shared" si="63"/>
        <v>1.0869565217391304</v>
      </c>
      <c r="O212" s="37">
        <f t="shared" si="64"/>
        <v>1.8115942028985508</v>
      </c>
      <c r="P212" s="38">
        <f t="shared" si="65"/>
        <v>42</v>
      </c>
      <c r="Q212" s="39">
        <f t="shared" si="66"/>
        <v>45.652173913043477</v>
      </c>
      <c r="R212" s="39">
        <f t="shared" si="67"/>
        <v>76.086956521739125</v>
      </c>
      <c r="S212">
        <f t="shared" si="68"/>
        <v>1</v>
      </c>
      <c r="T212" s="39">
        <f t="shared" si="69"/>
        <v>30.434782608695649</v>
      </c>
      <c r="U212" t="str">
        <f t="shared" si="70"/>
        <v/>
      </c>
      <c r="V212">
        <f>IF(L212="","",IF($AO$1=1,IFERROR(MATCH(L212,'08-آب'!$L$2:$L$501,0),0),0))</f>
        <v>204</v>
      </c>
      <c r="W212" t="str">
        <f t="shared" si="71"/>
        <v/>
      </c>
      <c r="X212" s="38">
        <f>IF(L212="","",IF(V212&gt;0,INDEX('08-آب'!$P$2:$P$501,V212),IF($AO$1=1,0,"")))</f>
        <v>59</v>
      </c>
      <c r="Y212" s="38">
        <f t="shared" si="72"/>
        <v>-17</v>
      </c>
      <c r="Z212" s="39">
        <f>IF(L212="","",IF(V212&gt;0,INDEX('08-آب'!$Q$2:$Q$501,V212),IF($AO$1=1,0,"")))</f>
        <v>67.045454545454547</v>
      </c>
      <c r="AA212" s="39">
        <f t="shared" si="73"/>
        <v>-21.39328063241107</v>
      </c>
      <c r="AB212" s="40">
        <f>IF(OR(L212="",V212=0),"",IF(AND(N(I212)&gt;0,N(INDEX('08-آب'!$I$2:$I$501,V212))&gt;0,INDEX('08-آب'!$F$2:$F$501,V212)=F212),N(I212)/N(INDEX('08-آب'!$I$2:$I$501,V212))-1,""))</f>
        <v>0</v>
      </c>
      <c r="AC212" t="str">
        <f>IF(L212="","",IF(AND($AO$2=1,ISNA(MATCH(L212,'10-تشرين الأول'!$L$2:$L$501,0))),"محذوف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21.39328084441107</v>
      </c>
      <c r="AH212" s="39">
        <f t="shared" si="75"/>
        <v>30.434782608695656</v>
      </c>
      <c r="AI212" s="39">
        <f t="shared" si="76"/>
        <v>30.434782608695656</v>
      </c>
      <c r="AJ212" s="39">
        <f t="shared" si="77"/>
        <v>30.434782608695656</v>
      </c>
      <c r="AK212">
        <f t="shared" si="78"/>
        <v>45.65217412504348</v>
      </c>
      <c r="AL212">
        <f t="shared" si="79"/>
        <v>30.434782820695649</v>
      </c>
    </row>
    <row r="213" spans="1:38" ht="15">
      <c r="A213" t="s">
        <v>477</v>
      </c>
      <c r="B213">
        <v>521</v>
      </c>
      <c r="C213">
        <v>27000</v>
      </c>
      <c r="D213">
        <v>27000</v>
      </c>
      <c r="E213">
        <v>27000</v>
      </c>
      <c r="F213" t="s">
        <v>389</v>
      </c>
      <c r="G213" t="s">
        <v>178</v>
      </c>
      <c r="H213" t="s">
        <v>12</v>
      </c>
      <c r="I213">
        <v>18600</v>
      </c>
      <c r="K213" t="str">
        <f t="shared" si="60"/>
        <v/>
      </c>
      <c r="L213" t="str">
        <f t="shared" si="61"/>
        <v>سائل جلي super / عبوة 3 لتر 2602</v>
      </c>
      <c r="M213" s="36">
        <f t="shared" si="62"/>
        <v>7.2463768115942027E-5</v>
      </c>
      <c r="N213" s="37">
        <f t="shared" si="63"/>
        <v>1.3478260869565217</v>
      </c>
      <c r="O213" s="37">
        <f t="shared" si="64"/>
        <v>1.9565217391304348</v>
      </c>
      <c r="P213" s="38">
        <f t="shared" si="65"/>
        <v>521</v>
      </c>
      <c r="Q213" s="39">
        <f t="shared" si="66"/>
        <v>702.21739130434787</v>
      </c>
      <c r="R213" s="39">
        <f t="shared" si="67"/>
        <v>1019.3478260869565</v>
      </c>
      <c r="S213">
        <f t="shared" si="68"/>
        <v>1</v>
      </c>
      <c r="T213" s="39">
        <f t="shared" si="69"/>
        <v>317.13043478260863</v>
      </c>
      <c r="U213" t="str">
        <f t="shared" si="70"/>
        <v/>
      </c>
      <c r="V213">
        <f>IF(L213="","",IF($AO$1=1,IFERROR(MATCH(L213,'08-آب'!$L$2:$L$501,0),0),0))</f>
        <v>205</v>
      </c>
      <c r="W213" t="str">
        <f t="shared" si="71"/>
        <v/>
      </c>
      <c r="X213" s="38">
        <f>IF(L213="","",IF(V213&gt;0,INDEX('08-آب'!$P$2:$P$501,V213),IF($AO$1=1,0,"")))</f>
        <v>550</v>
      </c>
      <c r="Y213" s="38">
        <f t="shared" si="72"/>
        <v>-29</v>
      </c>
      <c r="Z213" s="39">
        <f>IF(L213="","",IF(V213&gt;0,INDEX('08-آب'!$Q$2:$Q$501,V213),IF($AO$1=1,0,"")))</f>
        <v>775</v>
      </c>
      <c r="AA213" s="39">
        <f t="shared" si="73"/>
        <v>-72.782608695652129</v>
      </c>
      <c r="AB213" s="40">
        <f>IF(OR(L213="",V213=0),"",IF(AND(N(I213)&gt;0,N(INDEX('08-آب'!$I$2:$I$501,V213))&gt;0,INDEX('08-آب'!$F$2:$F$501,V213)=F213),N(I213)/N(INDEX('08-آب'!$I$2:$I$501,V213))-1,""))</f>
        <v>0</v>
      </c>
      <c r="AC213" t="str">
        <f>IF(L213="","",IF(AND($AO$2=1,ISNA(MATCH(L213,'10-تشرين الأول'!$L$2:$L$501,0))),"محذوف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72.782608908652136</v>
      </c>
      <c r="AH213" s="39">
        <f t="shared" si="75"/>
        <v>317.13043478260869</v>
      </c>
      <c r="AI213" s="39">
        <f t="shared" si="76"/>
        <v>317.13043478260869</v>
      </c>
      <c r="AJ213" s="39">
        <f t="shared" si="77"/>
        <v>317.13043478260869</v>
      </c>
      <c r="AK213">
        <f t="shared" si="78"/>
        <v>702.21739151734789</v>
      </c>
      <c r="AL213">
        <f t="shared" si="79"/>
        <v>317.13043499560865</v>
      </c>
    </row>
    <row r="214" spans="1:38" ht="15">
      <c r="A214" t="s">
        <v>478</v>
      </c>
      <c r="B214">
        <v>16</v>
      </c>
      <c r="C214">
        <v>48000</v>
      </c>
      <c r="D214">
        <v>48000</v>
      </c>
      <c r="E214">
        <v>48000</v>
      </c>
      <c r="F214" t="s">
        <v>389</v>
      </c>
      <c r="G214" t="s">
        <v>178</v>
      </c>
      <c r="H214" t="s">
        <v>12</v>
      </c>
      <c r="I214">
        <v>38000</v>
      </c>
      <c r="K214" t="str">
        <f t="shared" si="60"/>
        <v/>
      </c>
      <c r="L214" t="str">
        <f t="shared" si="61"/>
        <v>سائل جلي super / عبوة 3 لتر 2601</v>
      </c>
      <c r="M214" s="36">
        <f t="shared" si="62"/>
        <v>7.2463768115942027E-5</v>
      </c>
      <c r="N214" s="37">
        <f t="shared" si="63"/>
        <v>2.7536231884057969</v>
      </c>
      <c r="O214" s="37">
        <f t="shared" si="64"/>
        <v>3.4782608695652173</v>
      </c>
      <c r="P214" s="38">
        <f t="shared" si="65"/>
        <v>16</v>
      </c>
      <c r="Q214" s="39">
        <f t="shared" si="66"/>
        <v>44.05797101449275</v>
      </c>
      <c r="R214" s="39">
        <f t="shared" si="67"/>
        <v>55.652173913043477</v>
      </c>
      <c r="S214">
        <f t="shared" si="68"/>
        <v>1</v>
      </c>
      <c r="T214" s="39">
        <f t="shared" si="69"/>
        <v>11.594202898550726</v>
      </c>
      <c r="U214" t="str">
        <f t="shared" si="70"/>
        <v/>
      </c>
      <c r="V214">
        <f>IF(L214="","",IF($AO$1=1,IFERROR(MATCH(L214,'08-آب'!$L$2:$L$501,0),0),0))</f>
        <v>206</v>
      </c>
      <c r="W214" t="str">
        <f t="shared" si="71"/>
        <v/>
      </c>
      <c r="X214" s="38">
        <f>IF(L214="","",IF(V214&gt;0,INDEX('08-آب'!$P$2:$P$501,V214),IF($AO$1=1,0,"")))</f>
        <v>35</v>
      </c>
      <c r="Y214" s="38">
        <f t="shared" si="72"/>
        <v>-19</v>
      </c>
      <c r="Z214" s="39">
        <f>IF(L214="","",IF(V214&gt;0,INDEX('08-آب'!$Q$2:$Q$501,V214),IF($AO$1=1,0,"")))</f>
        <v>100.75757575757576</v>
      </c>
      <c r="AA214" s="39">
        <f t="shared" si="73"/>
        <v>-56.699604743083015</v>
      </c>
      <c r="AB214" s="40">
        <f>IF(OR(L214="",V214=0),"",IF(AND(N(I214)&gt;0,N(INDEX('08-آب'!$I$2:$I$501,V214))&gt;0,INDEX('08-آب'!$F$2:$F$501,V214)=F214),N(I214)/N(INDEX('08-آب'!$I$2:$I$501,V214))-1,""))</f>
        <v>0</v>
      </c>
      <c r="AC214" t="str">
        <f>IF(L214="","",IF(AND($AO$2=1,ISNA(MATCH(L214,'10-تشرين الأول'!$L$2:$L$501,0))),"محذوف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56.699604957083018</v>
      </c>
      <c r="AH214" s="39">
        <f t="shared" si="75"/>
        <v>11.594202898550726</v>
      </c>
      <c r="AI214" s="39">
        <f t="shared" si="76"/>
        <v>11.594202898550726</v>
      </c>
      <c r="AJ214" s="39">
        <f t="shared" si="77"/>
        <v>11.594202898550726</v>
      </c>
      <c r="AK214">
        <f t="shared" si="78"/>
        <v>44.057971228492754</v>
      </c>
      <c r="AL214">
        <f t="shared" si="79"/>
        <v>11.594203112550726</v>
      </c>
    </row>
    <row r="215" spans="1:38" ht="15">
      <c r="A215" t="s">
        <v>479</v>
      </c>
      <c r="B215">
        <v>0</v>
      </c>
      <c r="C215">
        <v>270000</v>
      </c>
      <c r="D215">
        <v>270000</v>
      </c>
      <c r="E215">
        <v>270000</v>
      </c>
      <c r="F215" t="s">
        <v>389</v>
      </c>
      <c r="G215" t="s">
        <v>178</v>
      </c>
      <c r="H215" t="s">
        <v>12</v>
      </c>
      <c r="I215">
        <v>119500</v>
      </c>
      <c r="K215" t="str">
        <f t="shared" si="60"/>
        <v/>
      </c>
      <c r="L215" t="str">
        <f t="shared" si="61"/>
        <v>زيت صنوبر 3 لتر</v>
      </c>
      <c r="M215" s="36">
        <f t="shared" si="62"/>
        <v>7.2463768115942027E-5</v>
      </c>
      <c r="N215" s="37">
        <f t="shared" si="63"/>
        <v>8.6594202898550723</v>
      </c>
      <c r="O215" s="37">
        <f t="shared" si="64"/>
        <v>19.565217391304348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IF(L215="","",IF($AO$1=1,IFERROR(MATCH(L215,'08-آب'!$L$2:$L$501,0),0),0))</f>
        <v>207</v>
      </c>
      <c r="W215" t="str">
        <f t="shared" si="71"/>
        <v/>
      </c>
      <c r="X215" s="38">
        <f>IF(L215="","",IF(V215&gt;0,INDEX('08-آب'!$P$2:$P$501,V215),IF($AO$1=1,0,"")))</f>
        <v>0</v>
      </c>
      <c r="Y215" s="38">
        <f t="shared" si="72"/>
        <v>0</v>
      </c>
      <c r="Z215" s="39">
        <f>IF(L215="","",IF(V215&gt;0,INDEX('08-آب'!$Q$2:$Q$501,V215),IF($AO$1=1,0,"")))</f>
        <v>0</v>
      </c>
      <c r="AA215" s="39">
        <f t="shared" si="73"/>
        <v>0</v>
      </c>
      <c r="AB215" s="40">
        <f>IF(OR(L215="",V215=0),"",IF(AND(N(I215)&gt;0,N(INDEX('08-آب'!$I$2:$I$501,V215))&gt;0,INDEX('08-آب'!$F$2:$F$501,V215)=F215),N(I215)/N(INDEX('08-آب'!$I$2:$I$501,V215))-1,""))</f>
        <v>0</v>
      </c>
      <c r="AC215" t="str">
        <f>IF(L215="","",IF(AND($AO$2=1,ISNA(MATCH(L215,'10-تشرين الأول'!$L$2:$L$501,0))),"محذوف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364</v>
      </c>
      <c r="B216">
        <v>35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5</v>
      </c>
      <c r="K216" t="str">
        <f t="shared" si="60"/>
        <v/>
      </c>
      <c r="L216" t="str">
        <f t="shared" si="61"/>
        <v>زيت الصنوبر</v>
      </c>
      <c r="M216" s="36">
        <f t="shared" si="62"/>
        <v>1</v>
      </c>
      <c r="N216" s="37">
        <f t="shared" si="63"/>
        <v>5</v>
      </c>
      <c r="O216" s="37">
        <f t="shared" si="64"/>
        <v>0</v>
      </c>
      <c r="P216" s="38">
        <f t="shared" si="65"/>
        <v>35</v>
      </c>
      <c r="Q216" s="39">
        <f t="shared" si="66"/>
        <v>175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IF(L216="","",IF($AO$1=1,IFERROR(MATCH(L216,'08-آب'!$L$2:$L$501,0),0),0))</f>
        <v>208</v>
      </c>
      <c r="W216" t="str">
        <f t="shared" si="71"/>
        <v/>
      </c>
      <c r="X216" s="38">
        <f>IF(L216="","",IF(V216&gt;0,INDEX('08-آب'!$P$2:$P$501,V216),IF($AO$1=1,0,"")))</f>
        <v>16</v>
      </c>
      <c r="Y216" s="38">
        <f t="shared" si="72"/>
        <v>19</v>
      </c>
      <c r="Z216" s="39">
        <f>IF(L216="","",IF(V216&gt;0,INDEX('08-آب'!$Q$2:$Q$501,V216),IF($AO$1=1,0,"")))</f>
        <v>80</v>
      </c>
      <c r="AA216" s="39">
        <f t="shared" si="73"/>
        <v>95</v>
      </c>
      <c r="AB216" s="40">
        <f>IF(OR(L216="",V216=0),"",IF(AND(N(I216)&gt;0,N(INDEX('08-آب'!$I$2:$I$501,V216))&gt;0,INDEX('08-آب'!$F$2:$F$501,V216)=F216),N(I216)/N(INDEX('08-آب'!$I$2:$I$501,V216))-1,""))</f>
        <v>0</v>
      </c>
      <c r="AC216" t="str">
        <f>IF(L216="","",IF(AND($AO$2=1,ISNA(MATCH(L216,'10-تشرين الأول'!$L$2:$L$501,0))),"محذوف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95.000000216000004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175.00000021599999</v>
      </c>
      <c r="AL216">
        <f t="shared" si="79"/>
        <v>2.16E-7</v>
      </c>
    </row>
    <row r="217" spans="1:38" ht="15">
      <c r="A217" t="s">
        <v>507</v>
      </c>
      <c r="B217">
        <v>0</v>
      </c>
      <c r="C217">
        <v>0</v>
      </c>
      <c r="D217">
        <v>0</v>
      </c>
      <c r="E217">
        <v>0</v>
      </c>
      <c r="F217" t="s">
        <v>268</v>
      </c>
      <c r="G217" t="s">
        <v>178</v>
      </c>
      <c r="H217" t="s">
        <v>176</v>
      </c>
      <c r="I217">
        <v>100</v>
      </c>
      <c r="K217" t="str">
        <f t="shared" si="60"/>
        <v/>
      </c>
      <c r="L217" t="str">
        <f t="shared" si="61"/>
        <v>زنجارة</v>
      </c>
      <c r="M217" s="36">
        <f t="shared" si="62"/>
        <v>1</v>
      </c>
      <c r="N217" s="37">
        <f t="shared" si="63"/>
        <v>100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IF(L217="","",IF($AO$1=1,IFERROR(MATCH(L217,'08-آب'!$L$2:$L$501,0),0),0))</f>
        <v>209</v>
      </c>
      <c r="W217" t="str">
        <f t="shared" si="71"/>
        <v/>
      </c>
      <c r="X217" s="38">
        <f>IF(L217="","",IF(V217&gt;0,INDEX('08-آب'!$P$2:$P$501,V217),IF($AO$1=1,0,"")))</f>
        <v>0</v>
      </c>
      <c r="Y217" s="38">
        <f t="shared" si="72"/>
        <v>0</v>
      </c>
      <c r="Z217" s="39">
        <f>IF(L217="","",IF(V217&gt;0,INDEX('08-آب'!$Q$2:$Q$501,V217),IF($AO$1=1,0,"")))</f>
        <v>0</v>
      </c>
      <c r="AA217" s="39">
        <f t="shared" si="73"/>
        <v>0</v>
      </c>
      <c r="AB217" s="40">
        <f>IF(OR(L217="",V217=0),"",IF(AND(N(I217)&gt;0,N(INDEX('08-آب'!$I$2:$I$501,V217))&gt;0,INDEX('08-آب'!$F$2:$F$501,V217)=F217),N(I217)/N(INDEX('08-آب'!$I$2:$I$501,V217))-1,""))</f>
        <v>0</v>
      </c>
      <c r="AC217" t="str">
        <f>IF(L217="","",IF(AND($AO$2=1,ISNA(MATCH(L217,'10-تشرين الأول'!$L$2:$L$501,0))),"محذوف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526</v>
      </c>
      <c r="B218">
        <v>305</v>
      </c>
      <c r="C218">
        <v>0</v>
      </c>
      <c r="D218">
        <v>0</v>
      </c>
      <c r="E218">
        <v>0</v>
      </c>
      <c r="F218" t="s">
        <v>268</v>
      </c>
      <c r="G218" t="s">
        <v>178</v>
      </c>
      <c r="H218" t="s">
        <v>176</v>
      </c>
      <c r="I218">
        <v>3</v>
      </c>
      <c r="K218" t="str">
        <f t="shared" si="60"/>
        <v/>
      </c>
      <c r="L218" t="str">
        <f t="shared" si="61"/>
        <v>زفتة قديمة</v>
      </c>
      <c r="M218" s="36">
        <f t="shared" si="62"/>
        <v>1</v>
      </c>
      <c r="N218" s="37">
        <f t="shared" si="63"/>
        <v>3</v>
      </c>
      <c r="O218" s="37">
        <f t="shared" si="64"/>
        <v>0</v>
      </c>
      <c r="P218" s="38">
        <f t="shared" si="65"/>
        <v>305</v>
      </c>
      <c r="Q218" s="39">
        <f t="shared" si="66"/>
        <v>915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IF(L218="","",IF($AO$1=1,IFERROR(MATCH(L218,'08-آب'!$L$2:$L$501,0),0),0))</f>
        <v>210</v>
      </c>
      <c r="W218" t="str">
        <f t="shared" si="71"/>
        <v/>
      </c>
      <c r="X218" s="38">
        <f>IF(L218="","",IF(V218&gt;0,INDEX('08-آب'!$P$2:$P$501,V218),IF($AO$1=1,0,"")))</f>
        <v>305</v>
      </c>
      <c r="Y218" s="38">
        <f t="shared" si="72"/>
        <v>0</v>
      </c>
      <c r="Z218" s="39">
        <f>IF(L218="","",IF(V218&gt;0,INDEX('08-آب'!$Q$2:$Q$501,V218),IF($AO$1=1,0,"")))</f>
        <v>915</v>
      </c>
      <c r="AA218" s="39">
        <f t="shared" si="73"/>
        <v>0</v>
      </c>
      <c r="AB218" s="40">
        <f>IF(OR(L218="",V218=0),"",IF(AND(N(I218)&gt;0,N(INDEX('08-آب'!$I$2:$I$501,V218))&gt;0,INDEX('08-آب'!$F$2:$F$501,V218)=F218),N(I218)/N(INDEX('08-آب'!$I$2:$I$501,V218))-1,""))</f>
        <v>0</v>
      </c>
      <c r="AC218" t="str">
        <f>IF(L218="","",IF(AND($AO$2=1,ISNA(MATCH(L218,'10-تشرين الأول'!$L$2:$L$501,0))),"محذوف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2.1799999999999999E-7</v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915.00000021799997</v>
      </c>
      <c r="AL218">
        <f t="shared" si="79"/>
        <v>2.1799999999999999E-7</v>
      </c>
    </row>
    <row r="219" spans="1:38" ht="15">
      <c r="A219" t="s">
        <v>365</v>
      </c>
      <c r="B219">
        <v>486.7</v>
      </c>
      <c r="C219">
        <v>0</v>
      </c>
      <c r="D219">
        <v>0</v>
      </c>
      <c r="E219">
        <v>0</v>
      </c>
      <c r="F219" t="s">
        <v>268</v>
      </c>
      <c r="G219" t="s">
        <v>178</v>
      </c>
      <c r="H219" t="s">
        <v>176</v>
      </c>
      <c r="I219">
        <v>3</v>
      </c>
      <c r="K219" t="str">
        <f t="shared" si="60"/>
        <v/>
      </c>
      <c r="L219" t="str">
        <f t="shared" si="61"/>
        <v>زفتة</v>
      </c>
      <c r="M219" s="36">
        <f t="shared" si="62"/>
        <v>1</v>
      </c>
      <c r="N219" s="37">
        <f t="shared" si="63"/>
        <v>3</v>
      </c>
      <c r="O219" s="37">
        <f t="shared" si="64"/>
        <v>0</v>
      </c>
      <c r="P219" s="38">
        <f t="shared" si="65"/>
        <v>486.7</v>
      </c>
      <c r="Q219" s="39">
        <f t="shared" si="66"/>
        <v>1460.1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IF(L219="","",IF($AO$1=1,IFERROR(MATCH(L219,'08-آب'!$L$2:$L$501,0),0),0))</f>
        <v>211</v>
      </c>
      <c r="W219" t="str">
        <f t="shared" si="71"/>
        <v/>
      </c>
      <c r="X219" s="38">
        <f>IF(L219="","",IF(V219&gt;0,INDEX('08-آب'!$P$2:$P$501,V219),IF($AO$1=1,0,"")))</f>
        <v>970</v>
      </c>
      <c r="Y219" s="38">
        <f t="shared" si="72"/>
        <v>-483.3</v>
      </c>
      <c r="Z219" s="39">
        <f>IF(L219="","",IF(V219&gt;0,INDEX('08-آب'!$Q$2:$Q$501,V219),IF($AO$1=1,0,"")))</f>
        <v>2910</v>
      </c>
      <c r="AA219" s="39">
        <f t="shared" si="73"/>
        <v>-1449.9</v>
      </c>
      <c r="AB219" s="40">
        <f>IF(OR(L219="",V219=0),"",IF(AND(N(I219)&gt;0,N(INDEX('08-آب'!$I$2:$I$501,V219))&gt;0,INDEX('08-آب'!$F$2:$F$501,V219)=F219),N(I219)/N(INDEX('08-آب'!$I$2:$I$501,V219))-1,""))</f>
        <v>0</v>
      </c>
      <c r="AC219" t="str">
        <f>IF(L219="","",IF(AND($AO$2=1,ISNA(MATCH(L219,'10-تشرين الأول'!$L$2:$L$501,0))),"محذوف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1449.900000219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1460.1000002189999</v>
      </c>
      <c r="AL219">
        <f t="shared" si="79"/>
        <v>2.1899999999999999E-7</v>
      </c>
    </row>
    <row r="220" spans="1:38" ht="15">
      <c r="A220" t="s">
        <v>480</v>
      </c>
      <c r="B220">
        <v>0.02</v>
      </c>
      <c r="C220">
        <v>1750000</v>
      </c>
      <c r="D220">
        <v>1750000</v>
      </c>
      <c r="E220">
        <v>1750000</v>
      </c>
      <c r="F220" t="s">
        <v>389</v>
      </c>
      <c r="G220" t="s">
        <v>178</v>
      </c>
      <c r="H220" t="s">
        <v>176</v>
      </c>
      <c r="I220">
        <v>812500</v>
      </c>
      <c r="K220" t="str">
        <f t="shared" si="60"/>
        <v/>
      </c>
      <c r="L220" t="str">
        <f t="shared" si="61"/>
        <v>ديتول خام</v>
      </c>
      <c r="M220" s="36">
        <f t="shared" si="62"/>
        <v>7.2463768115942027E-5</v>
      </c>
      <c r="N220" s="37">
        <f t="shared" si="63"/>
        <v>58.876811594202898</v>
      </c>
      <c r="O220" s="37">
        <f t="shared" si="64"/>
        <v>126.81159420289855</v>
      </c>
      <c r="P220" s="38">
        <f t="shared" si="65"/>
        <v>0.02</v>
      </c>
      <c r="Q220" s="39">
        <f t="shared" si="66"/>
        <v>1.1775362318840581</v>
      </c>
      <c r="R220" s="39">
        <f t="shared" si="67"/>
        <v>2.5362318840579712</v>
      </c>
      <c r="S220">
        <f t="shared" si="68"/>
        <v>1</v>
      </c>
      <c r="T220" s="39">
        <f t="shared" si="69"/>
        <v>1.3586956521739131</v>
      </c>
      <c r="U220" t="str">
        <f t="shared" si="70"/>
        <v/>
      </c>
      <c r="V220">
        <f>IF(L220="","",IF($AO$1=1,IFERROR(MATCH(L220,'08-آب'!$L$2:$L$501,0),0),0))</f>
        <v>212</v>
      </c>
      <c r="W220" t="str">
        <f t="shared" si="71"/>
        <v/>
      </c>
      <c r="X220" s="38">
        <f>IF(L220="","",IF(V220&gt;0,INDEX('08-آب'!$P$2:$P$501,V220),IF($AO$1=1,0,"")))</f>
        <v>7.0000000000000007E-2</v>
      </c>
      <c r="Y220" s="38">
        <f t="shared" si="72"/>
        <v>-0.05</v>
      </c>
      <c r="Z220" s="39">
        <f>IF(L220="","",IF(V220&gt;0,INDEX('08-آب'!$Q$2:$Q$501,V220),IF($AO$1=1,0,"")))</f>
        <v>4.308712121212122</v>
      </c>
      <c r="AA220" s="39">
        <f t="shared" si="73"/>
        <v>-3.1311758893280639</v>
      </c>
      <c r="AB220" s="40">
        <f>IF(OR(L220="",V220=0),"",IF(AND(N(I220)&gt;0,N(INDEX('08-آب'!$I$2:$I$501,V220))&gt;0,INDEX('08-آب'!$F$2:$F$501,V220)=F220),N(I220)/N(INDEX('08-آب'!$I$2:$I$501,V220))-1,""))</f>
        <v>0</v>
      </c>
      <c r="AC220" t="str">
        <f>IF(L220="","",IF(AND($AO$2=1,ISNA(MATCH(L220,'10-تشرين الأول'!$L$2:$L$501,0))),"محذوف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3.1311761093280639</v>
      </c>
      <c r="AH220" s="39">
        <f t="shared" si="75"/>
        <v>1.3586956521739131</v>
      </c>
      <c r="AI220" s="39">
        <f t="shared" si="76"/>
        <v>1.3586956521739131</v>
      </c>
      <c r="AJ220" s="39">
        <f t="shared" si="77"/>
        <v>1.3586956521739131</v>
      </c>
      <c r="AK220">
        <f t="shared" si="78"/>
        <v>1.1775364518840581</v>
      </c>
      <c r="AL220">
        <f t="shared" si="79"/>
        <v>1.3586958721739131</v>
      </c>
    </row>
    <row r="221" spans="1:38" ht="15">
      <c r="A221" t="s">
        <v>481</v>
      </c>
      <c r="B221">
        <v>0</v>
      </c>
      <c r="C221">
        <v>49000</v>
      </c>
      <c r="D221">
        <v>49000</v>
      </c>
      <c r="E221">
        <v>49000</v>
      </c>
      <c r="F221" t="s">
        <v>389</v>
      </c>
      <c r="G221" t="s">
        <v>178</v>
      </c>
      <c r="H221" t="s">
        <v>12</v>
      </c>
      <c r="I221">
        <v>24500</v>
      </c>
      <c r="K221" t="str">
        <f t="shared" si="60"/>
        <v/>
      </c>
      <c r="L221" t="str">
        <f t="shared" si="61"/>
        <v>ديتول 3 لتر</v>
      </c>
      <c r="M221" s="36">
        <f t="shared" si="62"/>
        <v>7.2463768115942027E-5</v>
      </c>
      <c r="N221" s="37">
        <f t="shared" si="63"/>
        <v>1.7753623188405796</v>
      </c>
      <c r="O221" s="37">
        <f t="shared" si="64"/>
        <v>3.5507246376811592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IF(L221="","",IF($AO$1=1,IFERROR(MATCH(L221,'08-آب'!$L$2:$L$501,0),0),0))</f>
        <v>213</v>
      </c>
      <c r="W221" t="str">
        <f t="shared" si="71"/>
        <v/>
      </c>
      <c r="X221" s="38">
        <f>IF(L221="","",IF(V221&gt;0,INDEX('08-آب'!$P$2:$P$501,V221),IF($AO$1=1,0,"")))</f>
        <v>0</v>
      </c>
      <c r="Y221" s="38">
        <f t="shared" si="72"/>
        <v>0</v>
      </c>
      <c r="Z221" s="39">
        <f>IF(L221="","",IF(V221&gt;0,INDEX('08-آب'!$Q$2:$Q$501,V221),IF($AO$1=1,0,"")))</f>
        <v>0</v>
      </c>
      <c r="AA221" s="39">
        <f t="shared" si="73"/>
        <v>0</v>
      </c>
      <c r="AB221" s="40">
        <f>IF(OR(L221="",V221=0),"",IF(AND(N(I221)&gt;0,N(INDEX('08-آب'!$I$2:$I$501,V221))&gt;0,INDEX('08-آب'!$F$2:$F$501,V221)=F221),N(I221)/N(INDEX('08-آب'!$I$2:$I$501,V221))-1,""))</f>
        <v>0</v>
      </c>
      <c r="AC221" t="str">
        <f>IF(L221="","",IF(AND($AO$2=1,ISNA(MATCH(L221,'10-تشرين الأول'!$L$2:$L$501,0))),"محذوف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482</v>
      </c>
      <c r="B222">
        <v>0</v>
      </c>
      <c r="C222">
        <v>14000</v>
      </c>
      <c r="D222">
        <v>14000</v>
      </c>
      <c r="E222">
        <v>14000</v>
      </c>
      <c r="F222" t="s">
        <v>389</v>
      </c>
      <c r="G222" t="s">
        <v>178</v>
      </c>
      <c r="H222" t="s">
        <v>12</v>
      </c>
      <c r="I222">
        <v>7000</v>
      </c>
      <c r="K222" t="str">
        <f t="shared" si="60"/>
        <v/>
      </c>
      <c r="L222" t="str">
        <f t="shared" si="61"/>
        <v>ديتول / فرط</v>
      </c>
      <c r="M222" s="36">
        <f t="shared" si="62"/>
        <v>7.2463768115942027E-5</v>
      </c>
      <c r="N222" s="37">
        <f t="shared" si="63"/>
        <v>0.50724637681159424</v>
      </c>
      <c r="O222" s="37">
        <f t="shared" si="64"/>
        <v>1.0144927536231885</v>
      </c>
      <c r="P222" s="38">
        <f t="shared" si="65"/>
        <v>0</v>
      </c>
      <c r="Q222" s="39">
        <f t="shared" si="66"/>
        <v>0</v>
      </c>
      <c r="R222" s="39">
        <f t="shared" si="67"/>
        <v>0</v>
      </c>
      <c r="S222">
        <f t="shared" si="68"/>
        <v>0</v>
      </c>
      <c r="T222" s="39">
        <f t="shared" si="69"/>
        <v>0</v>
      </c>
      <c r="U222" t="str">
        <f t="shared" si="70"/>
        <v/>
      </c>
      <c r="V222">
        <f>IF(L222="","",IF($AO$1=1,IFERROR(MATCH(L222,'08-آب'!$L$2:$L$501,0),0),0))</f>
        <v>214</v>
      </c>
      <c r="W222" t="str">
        <f t="shared" si="71"/>
        <v/>
      </c>
      <c r="X222" s="38">
        <f>IF(L222="","",IF(V222&gt;0,INDEX('08-آب'!$P$2:$P$501,V222),IF($AO$1=1,0,"")))</f>
        <v>0</v>
      </c>
      <c r="Y222" s="38">
        <f t="shared" si="72"/>
        <v>0</v>
      </c>
      <c r="Z222" s="39">
        <f>IF(L222="","",IF(V222&gt;0,INDEX('08-آب'!$Q$2:$Q$501,V222),IF($AO$1=1,0,"")))</f>
        <v>0</v>
      </c>
      <c r="AA222" s="39">
        <f t="shared" si="73"/>
        <v>0</v>
      </c>
      <c r="AB222" s="40">
        <f>IF(OR(L222="",V222=0),"",IF(AND(N(I222)&gt;0,N(INDEX('08-آب'!$I$2:$I$501,V222))&gt;0,INDEX('08-آب'!$F$2:$F$501,V222)=F222),N(I222)/N(INDEX('08-آب'!$I$2:$I$501,V222))-1,""))</f>
        <v>0</v>
      </c>
      <c r="AC222" t="str">
        <f>IF(L222="","",IF(AND($AO$2=1,ISNA(MATCH(L222,'10-تشرين الأول'!$L$2:$L$501,0))),"محذوف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2.22E-7</v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2.22E-7</v>
      </c>
      <c r="AL222">
        <f t="shared" si="79"/>
        <v>2.22E-7</v>
      </c>
    </row>
    <row r="223" spans="1:38" ht="15">
      <c r="A223" t="s">
        <v>366</v>
      </c>
      <c r="B223">
        <v>0</v>
      </c>
      <c r="C223">
        <v>0</v>
      </c>
      <c r="D223">
        <v>0</v>
      </c>
      <c r="E223">
        <v>0</v>
      </c>
      <c r="F223" t="s">
        <v>268</v>
      </c>
      <c r="G223" t="s">
        <v>178</v>
      </c>
      <c r="H223" t="s">
        <v>176</v>
      </c>
      <c r="I223">
        <v>0</v>
      </c>
      <c r="K223" t="str">
        <f t="shared" si="60"/>
        <v/>
      </c>
      <c r="L223" t="str">
        <f t="shared" si="61"/>
        <v>ديباتيول فينب</v>
      </c>
      <c r="M223" s="36">
        <f t="shared" si="62"/>
        <v>1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IF(L223="","",IF($AO$1=1,IFERROR(MATCH(L223,'08-آب'!$L$2:$L$501,0),0),0))</f>
        <v>215</v>
      </c>
      <c r="W223" t="str">
        <f t="shared" si="71"/>
        <v/>
      </c>
      <c r="X223" s="38">
        <f>IF(L223="","",IF(V223&gt;0,INDEX('08-آب'!$P$2:$P$501,V223),IF($AO$1=1,0,"")))</f>
        <v>0</v>
      </c>
      <c r="Y223" s="38">
        <f t="shared" si="72"/>
        <v>0</v>
      </c>
      <c r="Z223" s="39">
        <f>IF(L223="","",IF(V223&gt;0,INDEX('08-آب'!$Q$2:$Q$501,V223),IF($AO$1=1,0,"")))</f>
        <v>0</v>
      </c>
      <c r="AA223" s="39">
        <f t="shared" si="73"/>
        <v>0</v>
      </c>
      <c r="AB223" s="40" t="str">
        <f>IF(OR(L223="",V223=0),"",IF(AND(N(I223)&gt;0,N(INDEX('08-آب'!$I$2:$I$501,V223))&gt;0,INDEX('08-آب'!$F$2:$F$501,V223)=F223),N(I223)/N(INDEX('08-آب'!$I$2:$I$501,V223))-1,""))</f>
        <v/>
      </c>
      <c r="AC223" t="str">
        <f>IF(L223="","",IF(AND($AO$2=1,ISNA(MATCH(L223,'10-تشرين الأول'!$L$2:$L$501,0))),"محذوف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367</v>
      </c>
      <c r="B224">
        <v>0</v>
      </c>
      <c r="C224">
        <v>0</v>
      </c>
      <c r="D224">
        <v>0</v>
      </c>
      <c r="E224">
        <v>0</v>
      </c>
      <c r="F224" t="s">
        <v>268</v>
      </c>
      <c r="G224" t="s">
        <v>178</v>
      </c>
      <c r="H224" t="s">
        <v>176</v>
      </c>
      <c r="I224">
        <v>0.66</v>
      </c>
      <c r="K224" t="str">
        <f t="shared" si="60"/>
        <v/>
      </c>
      <c r="L224" t="str">
        <f t="shared" si="61"/>
        <v>دواء غسيل نصف مصنع</v>
      </c>
      <c r="M224" s="36">
        <f t="shared" si="62"/>
        <v>1</v>
      </c>
      <c r="N224" s="37">
        <f t="shared" si="63"/>
        <v>0.66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IF(L224="","",IF($AO$1=1,IFERROR(MATCH(L224,'08-آب'!$L$2:$L$501,0),0),0))</f>
        <v>216</v>
      </c>
      <c r="W224" t="str">
        <f t="shared" si="71"/>
        <v/>
      </c>
      <c r="X224" s="38">
        <f>IF(L224="","",IF(V224&gt;0,INDEX('08-آب'!$P$2:$P$501,V224),IF($AO$1=1,0,"")))</f>
        <v>0</v>
      </c>
      <c r="Y224" s="38">
        <f t="shared" si="72"/>
        <v>0</v>
      </c>
      <c r="Z224" s="39">
        <f>IF(L224="","",IF(V224&gt;0,INDEX('08-آب'!$Q$2:$Q$501,V224),IF($AO$1=1,0,"")))</f>
        <v>0</v>
      </c>
      <c r="AA224" s="39">
        <f t="shared" si="73"/>
        <v>0</v>
      </c>
      <c r="AB224" s="40">
        <f>IF(OR(L224="",V224=0),"",IF(AND(N(I224)&gt;0,N(INDEX('08-آب'!$I$2:$I$501,V224))&gt;0,INDEX('08-آب'!$F$2:$F$501,V224)=F224),N(I224)/N(INDEX('08-آب'!$I$2:$I$501,V224))-1,""))</f>
        <v>0</v>
      </c>
      <c r="AC224" t="str">
        <f>IF(L224="","",IF(AND($AO$2=1,ISNA(MATCH(L224,'10-تشرين الأول'!$L$2:$L$501,0))),"محذوف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2.2399999999999999E-7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483</v>
      </c>
      <c r="B225">
        <v>150</v>
      </c>
      <c r="C225">
        <v>11000</v>
      </c>
      <c r="D225">
        <v>11000</v>
      </c>
      <c r="E225">
        <v>11000</v>
      </c>
      <c r="F225" t="s">
        <v>389</v>
      </c>
      <c r="G225" t="s">
        <v>178</v>
      </c>
      <c r="H225" t="s">
        <v>12</v>
      </c>
      <c r="I225">
        <v>9000</v>
      </c>
      <c r="K225" t="str">
        <f t="shared" si="60"/>
        <v/>
      </c>
      <c r="L225" t="str">
        <f t="shared" si="61"/>
        <v>دواء غسيل بودرا</v>
      </c>
      <c r="M225" s="36">
        <f t="shared" si="62"/>
        <v>7.2463768115942027E-5</v>
      </c>
      <c r="N225" s="37">
        <f t="shared" si="63"/>
        <v>0.65217391304347827</v>
      </c>
      <c r="O225" s="37">
        <f t="shared" si="64"/>
        <v>0.79710144927536231</v>
      </c>
      <c r="P225" s="38">
        <f t="shared" si="65"/>
        <v>150</v>
      </c>
      <c r="Q225" s="39">
        <f t="shared" si="66"/>
        <v>97.826086956521735</v>
      </c>
      <c r="R225" s="39">
        <f t="shared" si="67"/>
        <v>119.56521739130434</v>
      </c>
      <c r="S225">
        <f t="shared" si="68"/>
        <v>1</v>
      </c>
      <c r="T225" s="39">
        <f t="shared" si="69"/>
        <v>21.739130434782609</v>
      </c>
      <c r="U225" t="str">
        <f t="shared" si="70"/>
        <v/>
      </c>
      <c r="V225">
        <f>IF(L225="","",IF($AO$1=1,IFERROR(MATCH(L225,'08-آب'!$L$2:$L$501,0),0),0))</f>
        <v>217</v>
      </c>
      <c r="W225" t="str">
        <f t="shared" si="71"/>
        <v/>
      </c>
      <c r="X225" s="38">
        <f>IF(L225="","",IF(V225&gt;0,INDEX('08-آب'!$P$2:$P$501,V225),IF($AO$1=1,0,"")))</f>
        <v>391.89</v>
      </c>
      <c r="Y225" s="38">
        <f t="shared" si="72"/>
        <v>-241.89</v>
      </c>
      <c r="Z225" s="39">
        <f>IF(L225="","",IF(V225&gt;0,INDEX('08-آب'!$Q$2:$Q$501,V225),IF($AO$1=1,0,"")))</f>
        <v>267.19772727272726</v>
      </c>
      <c r="AA225" s="39">
        <f t="shared" si="73"/>
        <v>-169.37164031620551</v>
      </c>
      <c r="AB225" s="40">
        <f>IF(OR(L225="",V225=0),"",IF(AND(N(I225)&gt;0,N(INDEX('08-آب'!$I$2:$I$501,V225))&gt;0,INDEX('08-آب'!$F$2:$F$501,V225)=F225),N(I225)/N(INDEX('08-آب'!$I$2:$I$501,V225))-1,""))</f>
        <v>0</v>
      </c>
      <c r="AC225" t="str">
        <f>IF(L225="","",IF(AND($AO$2=1,ISNA(MATCH(L225,'10-تشرين الأول'!$L$2:$L$501,0))),"محذوف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169.37164054120552</v>
      </c>
      <c r="AH225" s="39">
        <f t="shared" si="75"/>
        <v>21.739130434782606</v>
      </c>
      <c r="AI225" s="39">
        <f t="shared" si="76"/>
        <v>21.739130434782606</v>
      </c>
      <c r="AJ225" s="39">
        <f t="shared" si="77"/>
        <v>21.739130434782606</v>
      </c>
      <c r="AK225">
        <f t="shared" si="78"/>
        <v>97.826087181521729</v>
      </c>
      <c r="AL225">
        <f t="shared" si="79"/>
        <v>21.73913065978261</v>
      </c>
    </row>
    <row r="226" spans="1:38" ht="15">
      <c r="A226" t="s">
        <v>484</v>
      </c>
      <c r="B226">
        <v>0</v>
      </c>
      <c r="C226">
        <v>200000</v>
      </c>
      <c r="D226">
        <v>200000</v>
      </c>
      <c r="E226">
        <v>200000</v>
      </c>
      <c r="F226" t="s">
        <v>389</v>
      </c>
      <c r="G226" t="s">
        <v>178</v>
      </c>
      <c r="H226" t="s">
        <v>12</v>
      </c>
      <c r="I226">
        <v>144000</v>
      </c>
      <c r="K226" t="str">
        <f t="shared" si="60"/>
        <v/>
      </c>
      <c r="L226" t="str">
        <f t="shared" si="61"/>
        <v>دوا غسيل نورا</v>
      </c>
      <c r="M226" s="36">
        <f t="shared" si="62"/>
        <v>7.2463768115942027E-5</v>
      </c>
      <c r="N226" s="37">
        <f t="shared" si="63"/>
        <v>10.434782608695652</v>
      </c>
      <c r="O226" s="37">
        <f t="shared" si="64"/>
        <v>14.492753623188406</v>
      </c>
      <c r="P226" s="38">
        <f t="shared" si="65"/>
        <v>0</v>
      </c>
      <c r="Q226" s="39">
        <f t="shared" si="66"/>
        <v>0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IF(L226="","",IF($AO$1=1,IFERROR(MATCH(L226,'08-آب'!$L$2:$L$501,0),0),0))</f>
        <v>218</v>
      </c>
      <c r="W226" t="str">
        <f t="shared" si="71"/>
        <v/>
      </c>
      <c r="X226" s="38">
        <f>IF(L226="","",IF(V226&gt;0,INDEX('08-آب'!$P$2:$P$501,V226),IF($AO$1=1,0,"")))</f>
        <v>0</v>
      </c>
      <c r="Y226" s="38">
        <f t="shared" si="72"/>
        <v>0</v>
      </c>
      <c r="Z226" s="39">
        <f>IF(L226="","",IF(V226&gt;0,INDEX('08-آب'!$Q$2:$Q$501,V226),IF($AO$1=1,0,"")))</f>
        <v>0</v>
      </c>
      <c r="AA226" s="39">
        <f t="shared" si="73"/>
        <v>0</v>
      </c>
      <c r="AB226" s="40">
        <f>IF(OR(L226="",V226=0),"",IF(AND(N(I226)&gt;0,N(INDEX('08-آب'!$I$2:$I$501,V226))&gt;0,INDEX('08-آب'!$F$2:$F$501,V226)=F226),N(I226)/N(INDEX('08-آب'!$I$2:$I$501,V226))-1,""))</f>
        <v>0</v>
      </c>
      <c r="AC226" t="str">
        <f>IF(L226="","",IF(AND($AO$2=1,ISNA(MATCH(L226,'10-تشرين الأول'!$L$2:$L$501,0))),"محذوف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2.2600000000000001E-7</v>
      </c>
      <c r="AL226">
        <f t="shared" si="79"/>
        <v>2.2600000000000001E-7</v>
      </c>
    </row>
    <row r="227" spans="1:38" ht="15">
      <c r="A227" t="s">
        <v>368</v>
      </c>
      <c r="B227">
        <v>0</v>
      </c>
      <c r="C227">
        <v>0</v>
      </c>
      <c r="D227">
        <v>0</v>
      </c>
      <c r="E227">
        <v>0</v>
      </c>
      <c r="F227" t="s">
        <v>268</v>
      </c>
      <c r="G227" t="s">
        <v>178</v>
      </c>
      <c r="H227" t="s">
        <v>177</v>
      </c>
      <c r="I227">
        <v>69</v>
      </c>
      <c r="K227" t="str">
        <f t="shared" si="60"/>
        <v/>
      </c>
      <c r="L227" t="str">
        <f t="shared" si="61"/>
        <v>دوا غسيل بودرا 60 كغ خام</v>
      </c>
      <c r="M227" s="36">
        <f t="shared" si="62"/>
        <v>1</v>
      </c>
      <c r="N227" s="37">
        <f t="shared" si="63"/>
        <v>69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IF(L227="","",IF($AO$1=1,IFERROR(MATCH(L227,'08-آب'!$L$2:$L$501,0),0),0))</f>
        <v>219</v>
      </c>
      <c r="W227" t="str">
        <f t="shared" si="71"/>
        <v/>
      </c>
      <c r="X227" s="38">
        <f>IF(L227="","",IF(V227&gt;0,INDEX('08-آب'!$P$2:$P$501,V227),IF($AO$1=1,0,"")))</f>
        <v>0</v>
      </c>
      <c r="Y227" s="38">
        <f t="shared" si="72"/>
        <v>0</v>
      </c>
      <c r="Z227" s="39">
        <f>IF(L227="","",IF(V227&gt;0,INDEX('08-آب'!$Q$2:$Q$501,V227),IF($AO$1=1,0,"")))</f>
        <v>0</v>
      </c>
      <c r="AA227" s="39">
        <f t="shared" si="73"/>
        <v>0</v>
      </c>
      <c r="AB227" s="40">
        <f>IF(OR(L227="",V227=0),"",IF(AND(N(I227)&gt;0,N(INDEX('08-آب'!$I$2:$I$501,V227))&gt;0,INDEX('08-آب'!$F$2:$F$501,V227)=F227),N(I227)/N(INDEX('08-آب'!$I$2:$I$501,V227))-1,""))</f>
        <v>0</v>
      </c>
      <c r="AC227" t="str">
        <f>IF(L227="","",IF(AND($AO$2=1,ISNA(MATCH(L227,'10-تشرين الأول'!$L$2:$L$501,0))),"محذوف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369</v>
      </c>
      <c r="B228">
        <v>0</v>
      </c>
      <c r="C228">
        <v>0</v>
      </c>
      <c r="D228">
        <v>0</v>
      </c>
      <c r="E228">
        <v>0</v>
      </c>
      <c r="F228" t="s">
        <v>268</v>
      </c>
      <c r="G228" t="s">
        <v>178</v>
      </c>
      <c r="H228" t="s">
        <v>177</v>
      </c>
      <c r="I228">
        <v>105.4</v>
      </c>
      <c r="K228" t="str">
        <f t="shared" si="60"/>
        <v/>
      </c>
      <c r="L228" t="str">
        <f t="shared" si="61"/>
        <v>دوا غسيل بودرا 170 كغ خام</v>
      </c>
      <c r="M228" s="36">
        <f t="shared" si="62"/>
        <v>1</v>
      </c>
      <c r="N228" s="37">
        <f t="shared" si="63"/>
        <v>105.4</v>
      </c>
      <c r="O228" s="37">
        <f t="shared" si="64"/>
        <v>0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IF(L228="","",IF($AO$1=1,IFERROR(MATCH(L228,'08-آب'!$L$2:$L$501,0),0),0))</f>
        <v>220</v>
      </c>
      <c r="W228" t="str">
        <f t="shared" si="71"/>
        <v/>
      </c>
      <c r="X228" s="38">
        <f>IF(L228="","",IF(V228&gt;0,INDEX('08-آب'!$P$2:$P$501,V228),IF($AO$1=1,0,"")))</f>
        <v>0</v>
      </c>
      <c r="Y228" s="38">
        <f t="shared" si="72"/>
        <v>0</v>
      </c>
      <c r="Z228" s="39">
        <f>IF(L228="","",IF(V228&gt;0,INDEX('08-آب'!$Q$2:$Q$501,V228),IF($AO$1=1,0,"")))</f>
        <v>0</v>
      </c>
      <c r="AA228" s="39">
        <f t="shared" si="73"/>
        <v>0</v>
      </c>
      <c r="AB228" s="40">
        <f>IF(OR(L228="",V228=0),"",IF(AND(N(I228)&gt;0,N(INDEX('08-آب'!$I$2:$I$501,V228))&gt;0,INDEX('08-آب'!$F$2:$F$501,V228)=F228),N(I228)/N(INDEX('08-آب'!$I$2:$I$501,V228))-1,""))</f>
        <v>0</v>
      </c>
      <c r="AC228" t="str">
        <f>IF(L228="","",IF(AND($AO$2=1,ISNA(MATCH(L228,'10-تشرين الأول'!$L$2:$L$501,0))),"محذوف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370</v>
      </c>
      <c r="B229">
        <v>0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177</v>
      </c>
      <c r="I229">
        <v>60.48</v>
      </c>
      <c r="K229" t="str">
        <f t="shared" si="60"/>
        <v/>
      </c>
      <c r="L229" t="str">
        <f t="shared" si="61"/>
        <v>دوا غسيل بودرا &amp;&amp; كغ خام</v>
      </c>
      <c r="M229" s="36">
        <f t="shared" si="62"/>
        <v>1</v>
      </c>
      <c r="N229" s="37">
        <f t="shared" si="63"/>
        <v>60.48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IF(L229="","",IF($AO$1=1,IFERROR(MATCH(L229,'08-آب'!$L$2:$L$501,0),0),0))</f>
        <v>221</v>
      </c>
      <c r="W229" t="str">
        <f t="shared" si="71"/>
        <v/>
      </c>
      <c r="X229" s="38">
        <f>IF(L229="","",IF(V229&gt;0,INDEX('08-آب'!$P$2:$P$501,V229),IF($AO$1=1,0,"")))</f>
        <v>0</v>
      </c>
      <c r="Y229" s="38">
        <f t="shared" si="72"/>
        <v>0</v>
      </c>
      <c r="Z229" s="39">
        <f>IF(L229="","",IF(V229&gt;0,INDEX('08-آب'!$Q$2:$Q$501,V229),IF($AO$1=1,0,"")))</f>
        <v>0</v>
      </c>
      <c r="AA229" s="39">
        <f t="shared" si="73"/>
        <v>0</v>
      </c>
      <c r="AB229" s="40">
        <f>IF(OR(L229="",V229=0),"",IF(AND(N(I229)&gt;0,N(INDEX('08-آب'!$I$2:$I$501,V229))&gt;0,INDEX('08-آب'!$F$2:$F$501,V229)=F229),N(I229)/N(INDEX('08-آب'!$I$2:$I$501,V229))-1,""))</f>
        <v>0</v>
      </c>
      <c r="AC229" t="str">
        <f>IF(L229="","",IF(AND($AO$2=1,ISNA(MATCH(L229,'10-تشرين الأول'!$L$2:$L$501,0))),"محذوف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2.29E-7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485</v>
      </c>
      <c r="B230">
        <v>0</v>
      </c>
      <c r="C230">
        <v>13000</v>
      </c>
      <c r="D230">
        <v>13000</v>
      </c>
      <c r="E230">
        <v>13000</v>
      </c>
      <c r="F230" t="s">
        <v>389</v>
      </c>
      <c r="G230" t="s">
        <v>178</v>
      </c>
      <c r="H230" t="s">
        <v>12</v>
      </c>
      <c r="I230">
        <v>5500</v>
      </c>
      <c r="K230" t="str">
        <f t="shared" si="60"/>
        <v/>
      </c>
      <c r="L230" t="str">
        <f t="shared" si="61"/>
        <v>دفتر</v>
      </c>
      <c r="M230" s="36">
        <f t="shared" si="62"/>
        <v>7.2463768115942027E-5</v>
      </c>
      <c r="N230" s="37">
        <f t="shared" si="63"/>
        <v>0.39855072463768115</v>
      </c>
      <c r="O230" s="37">
        <f t="shared" si="64"/>
        <v>0.94202898550724634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IF(L230="","",IF($AO$1=1,IFERROR(MATCH(L230,'08-آب'!$L$2:$L$501,0),0),0))</f>
        <v>222</v>
      </c>
      <c r="W230" t="str">
        <f t="shared" si="71"/>
        <v/>
      </c>
      <c r="X230" s="38">
        <f>IF(L230="","",IF(V230&gt;0,INDEX('08-آب'!$P$2:$P$501,V230),IF($AO$1=1,0,"")))</f>
        <v>0</v>
      </c>
      <c r="Y230" s="38">
        <f t="shared" si="72"/>
        <v>0</v>
      </c>
      <c r="Z230" s="39">
        <f>IF(L230="","",IF(V230&gt;0,INDEX('08-آب'!$Q$2:$Q$501,V230),IF($AO$1=1,0,"")))</f>
        <v>0</v>
      </c>
      <c r="AA230" s="39">
        <f t="shared" si="73"/>
        <v>0</v>
      </c>
      <c r="AB230" s="40">
        <f>IF(OR(L230="",V230=0),"",IF(AND(N(I230)&gt;0,N(INDEX('08-آب'!$I$2:$I$501,V230))&gt;0,INDEX('08-آب'!$F$2:$F$501,V230)=F230),N(I230)/N(INDEX('08-آب'!$I$2:$I$501,V230))-1,""))</f>
        <v>0</v>
      </c>
      <c r="AC230" t="str">
        <f>IF(L230="","",IF(AND($AO$2=1,ISNA(MATCH(L230,'10-تشرين الأول'!$L$2:$L$501,0))),"محذوف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486</v>
      </c>
      <c r="B231">
        <v>2</v>
      </c>
      <c r="C231">
        <v>0</v>
      </c>
      <c r="D231">
        <v>0</v>
      </c>
      <c r="E231">
        <v>0</v>
      </c>
      <c r="F231" t="s">
        <v>389</v>
      </c>
      <c r="G231" t="s">
        <v>178</v>
      </c>
      <c r="H231" t="s">
        <v>176</v>
      </c>
      <c r="I231">
        <v>28000</v>
      </c>
      <c r="K231" t="str">
        <f t="shared" si="60"/>
        <v/>
      </c>
      <c r="L231" t="str">
        <f t="shared" si="61"/>
        <v>دبجانة 50 كغ</v>
      </c>
      <c r="M231" s="36">
        <f t="shared" si="62"/>
        <v>7.2463768115942027E-5</v>
      </c>
      <c r="N231" s="37">
        <f t="shared" si="63"/>
        <v>2.0289855072463769</v>
      </c>
      <c r="O231" s="37">
        <f t="shared" si="64"/>
        <v>0</v>
      </c>
      <c r="P231" s="38">
        <f t="shared" si="65"/>
        <v>2</v>
      </c>
      <c r="Q231" s="39">
        <f t="shared" si="66"/>
        <v>4.0579710144927539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IF(L231="","",IF($AO$1=1,IFERROR(MATCH(L231,'08-آب'!$L$2:$L$501,0),0),0))</f>
        <v>223</v>
      </c>
      <c r="W231" t="str">
        <f t="shared" si="71"/>
        <v/>
      </c>
      <c r="X231" s="38">
        <f>IF(L231="","",IF(V231&gt;0,INDEX('08-آب'!$P$2:$P$501,V231),IF($AO$1=1,0,"")))</f>
        <v>42</v>
      </c>
      <c r="Y231" s="38">
        <f t="shared" si="72"/>
        <v>-40</v>
      </c>
      <c r="Z231" s="39">
        <f>IF(L231="","",IF(V231&gt;0,INDEX('08-آب'!$Q$2:$Q$501,V231),IF($AO$1=1,0,"")))</f>
        <v>89.090909090909093</v>
      </c>
      <c r="AA231" s="39">
        <f t="shared" si="73"/>
        <v>-85.032938076416343</v>
      </c>
      <c r="AB231" s="40">
        <f>IF(OR(L231="",V231=0),"",IF(AND(N(I231)&gt;0,N(INDEX('08-آب'!$I$2:$I$501,V231))&gt;0,INDEX('08-آب'!$F$2:$F$501,V231)=F231),N(I231)/N(INDEX('08-آب'!$I$2:$I$501,V231))-1,""))</f>
        <v>0</v>
      </c>
      <c r="AC231" t="str">
        <f>IF(L231="","",IF(AND($AO$2=1,ISNA(MATCH(L231,'10-تشرين الأول'!$L$2:$L$501,0))),"محذوف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85.032938307416345</v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4.0579712454927535</v>
      </c>
      <c r="AL231">
        <f t="shared" si="79"/>
        <v>2.3099999999999999E-7</v>
      </c>
    </row>
    <row r="232" spans="1:38" ht="15">
      <c r="A232" t="s">
        <v>487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12</v>
      </c>
      <c r="I232">
        <v>0</v>
      </c>
      <c r="K232" t="str">
        <f t="shared" si="60"/>
        <v/>
      </c>
      <c r="L232" t="str">
        <f t="shared" si="61"/>
        <v>خردة وبلاستيك</v>
      </c>
      <c r="M232" s="36">
        <f t="shared" si="62"/>
        <v>7.2463768115942027E-5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IF(L232="","",IF($AO$1=1,IFERROR(MATCH(L232,'08-آب'!$L$2:$L$501,0),0),0))</f>
        <v>224</v>
      </c>
      <c r="W232" t="str">
        <f t="shared" si="71"/>
        <v/>
      </c>
      <c r="X232" s="38">
        <f>IF(L232="","",IF(V232&gt;0,INDEX('08-آب'!$P$2:$P$501,V232),IF($AO$1=1,0,"")))</f>
        <v>0</v>
      </c>
      <c r="Y232" s="38">
        <f t="shared" si="72"/>
        <v>0</v>
      </c>
      <c r="Z232" s="39">
        <f>IF(L232="","",IF(V232&gt;0,INDEX('08-آب'!$Q$2:$Q$501,V232),IF($AO$1=1,0,"")))</f>
        <v>0</v>
      </c>
      <c r="AA232" s="39">
        <f t="shared" si="73"/>
        <v>0</v>
      </c>
      <c r="AB232" s="40" t="str">
        <f>IF(OR(L232="",V232=0),"",IF(AND(N(I232)&gt;0,N(INDEX('08-آب'!$I$2:$I$501,V232))&gt;0,INDEX('08-آب'!$F$2:$F$501,V232)=F232),N(I232)/N(INDEX('08-آب'!$I$2:$I$501,V232))-1,""))</f>
        <v/>
      </c>
      <c r="AC232" t="str">
        <f>IF(L232="","",IF(AND($AO$2=1,ISNA(MATCH(L232,'10-تشرين الأول'!$L$2:$L$501,0))),"محذوف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2.3200000000000001E-7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371</v>
      </c>
      <c r="B233">
        <v>25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0.875</v>
      </c>
      <c r="K233" t="str">
        <f t="shared" si="60"/>
        <v/>
      </c>
      <c r="L233" t="str">
        <f t="shared" si="61"/>
        <v>حمض الليمون</v>
      </c>
      <c r="M233" s="36">
        <f t="shared" si="62"/>
        <v>1</v>
      </c>
      <c r="N233" s="37">
        <f t="shared" si="63"/>
        <v>0.875</v>
      </c>
      <c r="O233" s="37">
        <f t="shared" si="64"/>
        <v>0</v>
      </c>
      <c r="P233" s="38">
        <f t="shared" si="65"/>
        <v>25</v>
      </c>
      <c r="Q233" s="39">
        <f t="shared" si="66"/>
        <v>21.875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IF(L233="","",IF($AO$1=1,IFERROR(MATCH(L233,'08-آب'!$L$2:$L$501,0),0),0))</f>
        <v>225</v>
      </c>
      <c r="W233" t="str">
        <f t="shared" si="71"/>
        <v/>
      </c>
      <c r="X233" s="38">
        <f>IF(L233="","",IF(V233&gt;0,INDEX('08-آب'!$P$2:$P$501,V233),IF($AO$1=1,0,"")))</f>
        <v>1</v>
      </c>
      <c r="Y233" s="38">
        <f t="shared" si="72"/>
        <v>24</v>
      </c>
      <c r="Z233" s="39">
        <f>IF(L233="","",IF(V233&gt;0,INDEX('08-آب'!$Q$2:$Q$501,V233),IF($AO$1=1,0,"")))</f>
        <v>0.875</v>
      </c>
      <c r="AA233" s="39">
        <f t="shared" si="73"/>
        <v>21</v>
      </c>
      <c r="AB233" s="40">
        <f>IF(OR(L233="",V233=0),"",IF(AND(N(I233)&gt;0,N(INDEX('08-آب'!$I$2:$I$501,V233))&gt;0,INDEX('08-آب'!$F$2:$F$501,V233)=F233),N(I233)/N(INDEX('08-آب'!$I$2:$I$501,V233))-1,""))</f>
        <v>0</v>
      </c>
      <c r="AC233" t="str">
        <f>IF(L233="","",IF(AND($AO$2=1,ISNA(MATCH(L233,'10-تشرين الأول'!$L$2:$L$501,0))),"محذوف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21.000000233000002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21.875000233000002</v>
      </c>
      <c r="AL233">
        <f t="shared" si="79"/>
        <v>2.3300000000000001E-7</v>
      </c>
    </row>
    <row r="234" spans="1:38" ht="15">
      <c r="A234" t="s">
        <v>372</v>
      </c>
      <c r="B234">
        <v>0</v>
      </c>
      <c r="C234">
        <v>0</v>
      </c>
      <c r="D234">
        <v>0</v>
      </c>
      <c r="E234">
        <v>0</v>
      </c>
      <c r="F234" t="s">
        <v>268</v>
      </c>
      <c r="G234" t="s">
        <v>178</v>
      </c>
      <c r="H234" t="s">
        <v>176</v>
      </c>
      <c r="I234">
        <v>0.65</v>
      </c>
      <c r="K234" t="str">
        <f t="shared" si="60"/>
        <v/>
      </c>
      <c r="L234" t="str">
        <f t="shared" si="61"/>
        <v>حمض الكبريت</v>
      </c>
      <c r="M234" s="36">
        <f t="shared" si="62"/>
        <v>1</v>
      </c>
      <c r="N234" s="37">
        <f t="shared" si="63"/>
        <v>0.65</v>
      </c>
      <c r="O234" s="37">
        <f t="shared" si="64"/>
        <v>0</v>
      </c>
      <c r="P234" s="38">
        <f t="shared" si="65"/>
        <v>0</v>
      </c>
      <c r="Q234" s="39">
        <f t="shared" si="66"/>
        <v>0</v>
      </c>
      <c r="R234" s="39">
        <f t="shared" si="67"/>
        <v>0</v>
      </c>
      <c r="S234">
        <f t="shared" si="68"/>
        <v>0</v>
      </c>
      <c r="T234" s="39">
        <f t="shared" si="69"/>
        <v>0</v>
      </c>
      <c r="U234" t="str">
        <f t="shared" si="70"/>
        <v/>
      </c>
      <c r="V234">
        <f>IF(L234="","",IF($AO$1=1,IFERROR(MATCH(L234,'08-آب'!$L$2:$L$501,0),0),0))</f>
        <v>226</v>
      </c>
      <c r="W234" t="str">
        <f t="shared" si="71"/>
        <v/>
      </c>
      <c r="X234" s="38">
        <f>IF(L234="","",IF(V234&gt;0,INDEX('08-آب'!$P$2:$P$501,V234),IF($AO$1=1,0,"")))</f>
        <v>0</v>
      </c>
      <c r="Y234" s="38">
        <f t="shared" si="72"/>
        <v>0</v>
      </c>
      <c r="Z234" s="39">
        <f>IF(L234="","",IF(V234&gt;0,INDEX('08-آب'!$Q$2:$Q$501,V234),IF($AO$1=1,0,"")))</f>
        <v>0</v>
      </c>
      <c r="AA234" s="39">
        <f t="shared" si="73"/>
        <v>0</v>
      </c>
      <c r="AB234" s="40">
        <f>IF(OR(L234="",V234=0),"",IF(AND(N(I234)&gt;0,N(INDEX('08-آب'!$I$2:$I$501,V234))&gt;0,INDEX('08-آب'!$F$2:$F$501,V234)=F234),N(I234)/N(INDEX('08-آب'!$I$2:$I$501,V234))-1,""))</f>
        <v>0</v>
      </c>
      <c r="AC234" t="str">
        <f>IF(L234="","",IF(AND($AO$2=1,ISNA(MATCH(L234,'10-تشرين الأول'!$L$2:$L$501,0))),"محذوف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2.34E-7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2.34E-7</v>
      </c>
      <c r="AL234">
        <f t="shared" si="79"/>
        <v>2.34E-7</v>
      </c>
    </row>
    <row r="235" spans="1:38" ht="15">
      <c r="A235" t="s">
        <v>373</v>
      </c>
      <c r="B235">
        <v>1</v>
      </c>
      <c r="C235">
        <v>0</v>
      </c>
      <c r="D235">
        <v>0</v>
      </c>
      <c r="E235">
        <v>0</v>
      </c>
      <c r="F235" t="s">
        <v>268</v>
      </c>
      <c r="G235" t="s">
        <v>178</v>
      </c>
      <c r="H235" t="s">
        <v>176</v>
      </c>
      <c r="I235">
        <v>0.91600000000000004</v>
      </c>
      <c r="K235" t="str">
        <f t="shared" si="60"/>
        <v/>
      </c>
      <c r="L235" t="str">
        <f t="shared" si="61"/>
        <v>حمض الخل</v>
      </c>
      <c r="M235" s="36">
        <f t="shared" si="62"/>
        <v>1</v>
      </c>
      <c r="N235" s="37">
        <f t="shared" si="63"/>
        <v>0.91600000000000004</v>
      </c>
      <c r="O235" s="37">
        <f t="shared" si="64"/>
        <v>0</v>
      </c>
      <c r="P235" s="38">
        <f t="shared" si="65"/>
        <v>1</v>
      </c>
      <c r="Q235" s="39">
        <f t="shared" si="66"/>
        <v>0.91600000000000004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IF(L235="","",IF($AO$1=1,IFERROR(MATCH(L235,'08-آب'!$L$2:$L$501,0),0),0))</f>
        <v>227</v>
      </c>
      <c r="W235" t="str">
        <f t="shared" si="71"/>
        <v/>
      </c>
      <c r="X235" s="38">
        <f>IF(L235="","",IF(V235&gt;0,INDEX('08-آب'!$P$2:$P$501,V235),IF($AO$1=1,0,"")))</f>
        <v>1</v>
      </c>
      <c r="Y235" s="38">
        <f t="shared" si="72"/>
        <v>0</v>
      </c>
      <c r="Z235" s="39">
        <f>IF(L235="","",IF(V235&gt;0,INDEX('08-آب'!$Q$2:$Q$501,V235),IF($AO$1=1,0,"")))</f>
        <v>0.91600000000000004</v>
      </c>
      <c r="AA235" s="39">
        <f t="shared" si="73"/>
        <v>0</v>
      </c>
      <c r="AB235" s="40">
        <f>IF(OR(L235="",V235=0),"",IF(AND(N(I235)&gt;0,N(INDEX('08-آب'!$I$2:$I$501,V235))&gt;0,INDEX('08-آب'!$F$2:$F$501,V235)=F235),N(I235)/N(INDEX('08-آب'!$I$2:$I$501,V235))-1,""))</f>
        <v>0</v>
      </c>
      <c r="AC235" t="str">
        <f>IF(L235="","",IF(AND($AO$2=1,ISNA(MATCH(L235,'10-تشرين الأول'!$L$2:$L$501,0))),"محذوف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2.35E-7</v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0.91600023500000005</v>
      </c>
      <c r="AL235">
        <f t="shared" si="79"/>
        <v>2.35E-7</v>
      </c>
    </row>
    <row r="236" spans="1:38" ht="15">
      <c r="A236" t="s">
        <v>374</v>
      </c>
      <c r="B236">
        <v>0.8</v>
      </c>
      <c r="C236">
        <v>0</v>
      </c>
      <c r="D236">
        <v>0</v>
      </c>
      <c r="E236">
        <v>0</v>
      </c>
      <c r="F236" t="s">
        <v>268</v>
      </c>
      <c r="G236" t="s">
        <v>178</v>
      </c>
      <c r="H236" t="s">
        <v>176</v>
      </c>
      <c r="I236">
        <v>300</v>
      </c>
      <c r="K236" t="str">
        <f t="shared" si="60"/>
        <v/>
      </c>
      <c r="L236" t="str">
        <f t="shared" si="61"/>
        <v>حليب التين</v>
      </c>
      <c r="M236" s="36">
        <f t="shared" si="62"/>
        <v>1</v>
      </c>
      <c r="N236" s="37">
        <f t="shared" si="63"/>
        <v>300</v>
      </c>
      <c r="O236" s="37">
        <f t="shared" si="64"/>
        <v>0</v>
      </c>
      <c r="P236" s="38">
        <f t="shared" si="65"/>
        <v>0.8</v>
      </c>
      <c r="Q236" s="39">
        <f t="shared" si="66"/>
        <v>240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IF(L236="","",IF($AO$1=1,IFERROR(MATCH(L236,'08-آب'!$L$2:$L$501,0),0),0))</f>
        <v>228</v>
      </c>
      <c r="W236" t="str">
        <f t="shared" si="71"/>
        <v/>
      </c>
      <c r="X236" s="38">
        <f>IF(L236="","",IF(V236&gt;0,INDEX('08-آب'!$P$2:$P$501,V236),IF($AO$1=1,0,"")))</f>
        <v>0.8</v>
      </c>
      <c r="Y236" s="38">
        <f t="shared" si="72"/>
        <v>0</v>
      </c>
      <c r="Z236" s="39">
        <f>IF(L236="","",IF(V236&gt;0,INDEX('08-آب'!$Q$2:$Q$501,V236),IF($AO$1=1,0,"")))</f>
        <v>240</v>
      </c>
      <c r="AA236" s="39">
        <f t="shared" si="73"/>
        <v>0</v>
      </c>
      <c r="AB236" s="40">
        <f>IF(OR(L236="",V236=0),"",IF(AND(N(I236)&gt;0,N(INDEX('08-آب'!$I$2:$I$501,V236))&gt;0,INDEX('08-آب'!$F$2:$F$501,V236)=F236),N(I236)/N(INDEX('08-آب'!$I$2:$I$501,V236))-1,""))</f>
        <v>0</v>
      </c>
      <c r="AC236" t="str">
        <f>IF(L236="","",IF(AND($AO$2=1,ISNA(MATCH(L236,'10-تشرين الأول'!$L$2:$L$501,0))),"محذوف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240.00000023600001</v>
      </c>
      <c r="AL236">
        <f t="shared" si="79"/>
        <v>2.36E-7</v>
      </c>
    </row>
    <row r="237" spans="1:38" ht="15">
      <c r="A237" t="s">
        <v>375</v>
      </c>
      <c r="B237">
        <v>0</v>
      </c>
      <c r="C237">
        <v>0</v>
      </c>
      <c r="D237">
        <v>0</v>
      </c>
      <c r="E237">
        <v>0</v>
      </c>
      <c r="F237" t="s">
        <v>268</v>
      </c>
      <c r="G237" t="s">
        <v>178</v>
      </c>
      <c r="H237" t="s">
        <v>176</v>
      </c>
      <c r="I237">
        <v>0.5</v>
      </c>
      <c r="K237" t="str">
        <f t="shared" si="60"/>
        <v/>
      </c>
      <c r="L237" t="str">
        <f t="shared" si="61"/>
        <v>حبيبات ملونة</v>
      </c>
      <c r="M237" s="36">
        <f t="shared" si="62"/>
        <v>1</v>
      </c>
      <c r="N237" s="37">
        <f t="shared" si="63"/>
        <v>0.5</v>
      </c>
      <c r="O237" s="37">
        <f t="shared" si="64"/>
        <v>0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IF(L237="","",IF($AO$1=1,IFERROR(MATCH(L237,'08-آب'!$L$2:$L$501,0),0),0))</f>
        <v>229</v>
      </c>
      <c r="W237" t="str">
        <f t="shared" si="71"/>
        <v/>
      </c>
      <c r="X237" s="38">
        <f>IF(L237="","",IF(V237&gt;0,INDEX('08-آب'!$P$2:$P$501,V237),IF($AO$1=1,0,"")))</f>
        <v>0</v>
      </c>
      <c r="Y237" s="38">
        <f t="shared" si="72"/>
        <v>0</v>
      </c>
      <c r="Z237" s="39">
        <f>IF(L237="","",IF(V237&gt;0,INDEX('08-آب'!$Q$2:$Q$501,V237),IF($AO$1=1,0,"")))</f>
        <v>0</v>
      </c>
      <c r="AA237" s="39">
        <f t="shared" si="73"/>
        <v>0</v>
      </c>
      <c r="AB237" s="40">
        <f>IF(OR(L237="",V237=0),"",IF(AND(N(I237)&gt;0,N(INDEX('08-آب'!$I$2:$I$501,V237))&gt;0,INDEX('08-آب'!$F$2:$F$501,V237)=F237),N(I237)/N(INDEX('08-آب'!$I$2:$I$501,V237))-1,""))</f>
        <v>0</v>
      </c>
      <c r="AC237" t="str">
        <f>IF(L237="","",IF(AND($AO$2=1,ISNA(MATCH(L237,'10-تشرين الأول'!$L$2:$L$501,0))),"محذوف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2.3699999999999999E-7</v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A238" t="s">
        <v>488</v>
      </c>
      <c r="B238">
        <v>70.8</v>
      </c>
      <c r="C238">
        <v>20000</v>
      </c>
      <c r="D238">
        <v>20000</v>
      </c>
      <c r="E238">
        <v>20000</v>
      </c>
      <c r="F238" t="s">
        <v>389</v>
      </c>
      <c r="G238" t="s">
        <v>178</v>
      </c>
      <c r="H238" t="s">
        <v>12</v>
      </c>
      <c r="I238">
        <v>15000</v>
      </c>
      <c r="K238" t="str">
        <f t="shared" si="60"/>
        <v/>
      </c>
      <c r="L238" t="str">
        <f t="shared" si="61"/>
        <v>جاطات + طشوطة بلاستيك</v>
      </c>
      <c r="M238" s="36">
        <f t="shared" si="62"/>
        <v>7.2463768115942027E-5</v>
      </c>
      <c r="N238" s="37">
        <f t="shared" si="63"/>
        <v>1.0869565217391304</v>
      </c>
      <c r="O238" s="37">
        <f t="shared" si="64"/>
        <v>1.4492753623188406</v>
      </c>
      <c r="P238" s="38">
        <f t="shared" si="65"/>
        <v>70.8</v>
      </c>
      <c r="Q238" s="39">
        <f t="shared" si="66"/>
        <v>76.956521739130423</v>
      </c>
      <c r="R238" s="39">
        <f t="shared" si="67"/>
        <v>102.60869565217391</v>
      </c>
      <c r="S238">
        <f t="shared" si="68"/>
        <v>1</v>
      </c>
      <c r="T238" s="39">
        <f t="shared" si="69"/>
        <v>25.652173913043484</v>
      </c>
      <c r="U238" t="str">
        <f t="shared" si="70"/>
        <v/>
      </c>
      <c r="V238">
        <f>IF(L238="","",IF($AO$1=1,IFERROR(MATCH(L238,'08-آب'!$L$2:$L$501,0),0),0))</f>
        <v>230</v>
      </c>
      <c r="W238" t="str">
        <f t="shared" si="71"/>
        <v/>
      </c>
      <c r="X238" s="38">
        <f>IF(L238="","",IF(V238&gt;0,INDEX('08-آب'!$P$2:$P$501,V238),IF($AO$1=1,0,"")))</f>
        <v>70.8</v>
      </c>
      <c r="Y238" s="38">
        <f t="shared" si="72"/>
        <v>0</v>
      </c>
      <c r="Z238" s="39">
        <f>IF(L238="","",IF(V238&gt;0,INDEX('08-آب'!$Q$2:$Q$501,V238),IF($AO$1=1,0,"")))</f>
        <v>80.454545454545453</v>
      </c>
      <c r="AA238" s="39">
        <f t="shared" si="73"/>
        <v>-3.4980237154150302</v>
      </c>
      <c r="AB238" s="40">
        <f>IF(OR(L238="",V238=0),"",IF(AND(N(I238)&gt;0,N(INDEX('08-آب'!$I$2:$I$501,V238))&gt;0,INDEX('08-آب'!$F$2:$F$501,V238)=F238),N(I238)/N(INDEX('08-آب'!$I$2:$I$501,V238))-1,""))</f>
        <v>0</v>
      </c>
      <c r="AC238" t="str">
        <f>IF(L238="","",IF(AND($AO$2=1,ISNA(MATCH(L238,'10-تشرين الأول'!$L$2:$L$501,0))),"محذوف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3.4980239534150304</v>
      </c>
      <c r="AH238" s="39">
        <f t="shared" si="75"/>
        <v>25.65217391304348</v>
      </c>
      <c r="AI238" s="39">
        <f t="shared" si="76"/>
        <v>25.65217391304348</v>
      </c>
      <c r="AJ238" s="39">
        <f t="shared" si="77"/>
        <v>25.65217391304348</v>
      </c>
      <c r="AK238">
        <f t="shared" si="78"/>
        <v>76.956521977130421</v>
      </c>
      <c r="AL238">
        <f t="shared" si="79"/>
        <v>25.652174151043482</v>
      </c>
    </row>
    <row r="239" spans="1:38" ht="15">
      <c r="A239" t="s">
        <v>376</v>
      </c>
      <c r="B239">
        <v>1259</v>
      </c>
      <c r="C239">
        <v>0</v>
      </c>
      <c r="D239">
        <v>0</v>
      </c>
      <c r="E239">
        <v>0</v>
      </c>
      <c r="F239" t="s">
        <v>268</v>
      </c>
      <c r="G239" t="s">
        <v>178</v>
      </c>
      <c r="H239" t="s">
        <v>176</v>
      </c>
      <c r="I239">
        <v>2.5</v>
      </c>
      <c r="K239" t="str">
        <f t="shared" si="60"/>
        <v/>
      </c>
      <c r="L239" t="str">
        <f t="shared" si="61"/>
        <v>تكسبون</v>
      </c>
      <c r="M239" s="36">
        <f t="shared" si="62"/>
        <v>1</v>
      </c>
      <c r="N239" s="37">
        <f t="shared" si="63"/>
        <v>2.5</v>
      </c>
      <c r="O239" s="37">
        <f t="shared" si="64"/>
        <v>0</v>
      </c>
      <c r="P239" s="38">
        <f t="shared" si="65"/>
        <v>1259</v>
      </c>
      <c r="Q239" s="39">
        <f t="shared" si="66"/>
        <v>3147.5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IF(L239="","",IF($AO$1=1,IFERROR(MATCH(L239,'08-آب'!$L$2:$L$501,0),0),0))</f>
        <v>231</v>
      </c>
      <c r="W239" t="str">
        <f t="shared" si="71"/>
        <v/>
      </c>
      <c r="X239" s="38">
        <f>IF(L239="","",IF(V239&gt;0,INDEX('08-آب'!$P$2:$P$501,V239),IF($AO$1=1,0,"")))</f>
        <v>400</v>
      </c>
      <c r="Y239" s="38">
        <f t="shared" si="72"/>
        <v>859</v>
      </c>
      <c r="Z239" s="39">
        <f>IF(L239="","",IF(V239&gt;0,INDEX('08-آب'!$Q$2:$Q$501,V239),IF($AO$1=1,0,"")))</f>
        <v>1000</v>
      </c>
      <c r="AA239" s="39">
        <f t="shared" si="73"/>
        <v>2147.5</v>
      </c>
      <c r="AB239" s="40">
        <f>IF(OR(L239="",V239=0),"",IF(AND(N(I239)&gt;0,N(INDEX('08-آب'!$I$2:$I$501,V239))&gt;0,INDEX('08-آب'!$F$2:$F$501,V239)=F239),N(I239)/N(INDEX('08-آب'!$I$2:$I$501,V239))-1,""))</f>
        <v>0</v>
      </c>
      <c r="AC239" t="str">
        <f>IF(L239="","",IF(AND($AO$2=1,ISNA(MATCH(L239,'10-تشرين الأول'!$L$2:$L$501,0))),"محذوف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2147.5000002390002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3147.5000002390002</v>
      </c>
      <c r="AL239">
        <f t="shared" si="79"/>
        <v>2.3900000000000001E-7</v>
      </c>
    </row>
    <row r="240" spans="1:38" ht="15">
      <c r="A240" t="s">
        <v>527</v>
      </c>
      <c r="B240">
        <v>0</v>
      </c>
      <c r="C240">
        <v>0</v>
      </c>
      <c r="D240">
        <v>0</v>
      </c>
      <c r="E240">
        <v>0</v>
      </c>
      <c r="F240" t="s">
        <v>268</v>
      </c>
      <c r="G240" t="s">
        <v>178</v>
      </c>
      <c r="H240" t="s">
        <v>176</v>
      </c>
      <c r="I240">
        <v>6.23</v>
      </c>
      <c r="K240" t="str">
        <f t="shared" si="60"/>
        <v/>
      </c>
      <c r="L240" t="str">
        <f t="shared" si="61"/>
        <v>تري ايثانول سعودي امين</v>
      </c>
      <c r="M240" s="36">
        <f t="shared" si="62"/>
        <v>1</v>
      </c>
      <c r="N240" s="37">
        <f t="shared" si="63"/>
        <v>6.23</v>
      </c>
      <c r="O240" s="37">
        <f t="shared" si="64"/>
        <v>0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IF(L240="","",IF($AO$1=1,IFERROR(MATCH(L240,'08-آب'!$L$2:$L$501,0),0),0))</f>
        <v>232</v>
      </c>
      <c r="W240" t="str">
        <f t="shared" si="71"/>
        <v/>
      </c>
      <c r="X240" s="38">
        <f>IF(L240="","",IF(V240&gt;0,INDEX('08-آب'!$P$2:$P$501,V240),IF($AO$1=1,0,"")))</f>
        <v>2</v>
      </c>
      <c r="Y240" s="38">
        <f t="shared" si="72"/>
        <v>-2</v>
      </c>
      <c r="Z240" s="39">
        <f>IF(L240="","",IF(V240&gt;0,INDEX('08-آب'!$Q$2:$Q$501,V240),IF($AO$1=1,0,"")))</f>
        <v>12.46</v>
      </c>
      <c r="AA240" s="39">
        <f t="shared" si="73"/>
        <v>-12.46</v>
      </c>
      <c r="AB240" s="40">
        <f>IF(OR(L240="",V240=0),"",IF(AND(N(I240)&gt;0,N(INDEX('08-آب'!$I$2:$I$501,V240))&gt;0,INDEX('08-آب'!$F$2:$F$501,V240)=F240),N(I240)/N(INDEX('08-آب'!$I$2:$I$501,V240))-1,""))</f>
        <v>0</v>
      </c>
      <c r="AC240" t="str">
        <f>IF(L240="","",IF(AND($AO$2=1,ISNA(MATCH(L240,'10-تشرين الأول'!$L$2:$L$501,0))),"محذوف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12.460000240000001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:38" ht="15">
      <c r="A241" t="s">
        <v>489</v>
      </c>
      <c r="B241">
        <v>4</v>
      </c>
      <c r="C241">
        <v>6000</v>
      </c>
      <c r="D241">
        <v>6000</v>
      </c>
      <c r="E241">
        <v>6000</v>
      </c>
      <c r="F241" t="s">
        <v>389</v>
      </c>
      <c r="G241" t="s">
        <v>178</v>
      </c>
      <c r="H241" t="s">
        <v>12</v>
      </c>
      <c r="I241">
        <v>6000</v>
      </c>
      <c r="K241" t="str">
        <f t="shared" si="60"/>
        <v/>
      </c>
      <c r="L241" t="str">
        <f t="shared" si="61"/>
        <v>بيدون سعة 5 كغ</v>
      </c>
      <c r="M241" s="36">
        <f t="shared" si="62"/>
        <v>7.2463768115942027E-5</v>
      </c>
      <c r="N241" s="37">
        <f t="shared" si="63"/>
        <v>0.43478260869565216</v>
      </c>
      <c r="O241" s="37">
        <f t="shared" si="64"/>
        <v>0.43478260869565216</v>
      </c>
      <c r="P241" s="38">
        <f t="shared" si="65"/>
        <v>4</v>
      </c>
      <c r="Q241" s="39">
        <f t="shared" si="66"/>
        <v>1.7391304347826086</v>
      </c>
      <c r="R241" s="39">
        <f t="shared" si="67"/>
        <v>1.7391304347826086</v>
      </c>
      <c r="S241">
        <f t="shared" si="68"/>
        <v>1</v>
      </c>
      <c r="T241" s="39">
        <f t="shared" si="69"/>
        <v>0</v>
      </c>
      <c r="U241" t="str">
        <f t="shared" si="70"/>
        <v/>
      </c>
      <c r="V241">
        <f>IF(L241="","",IF($AO$1=1,IFERROR(MATCH(L241,'08-آب'!$L$2:$L$501,0),0),0))</f>
        <v>233</v>
      </c>
      <c r="W241" t="str">
        <f t="shared" si="71"/>
        <v/>
      </c>
      <c r="X241" s="38">
        <f>IF(L241="","",IF(V241&gt;0,INDEX('08-آب'!$P$2:$P$501,V241),IF($AO$1=1,0,"")))</f>
        <v>4</v>
      </c>
      <c r="Y241" s="38">
        <f t="shared" si="72"/>
        <v>0</v>
      </c>
      <c r="Z241" s="39">
        <f>IF(L241="","",IF(V241&gt;0,INDEX('08-آب'!$Q$2:$Q$501,V241),IF($AO$1=1,0,"")))</f>
        <v>1.8181818181818181</v>
      </c>
      <c r="AA241" s="39">
        <f t="shared" si="73"/>
        <v>-7.9051383399209474E-2</v>
      </c>
      <c r="AB241" s="40">
        <f>IF(OR(L241="",V241=0),"",IF(AND(N(I241)&gt;0,N(INDEX('08-آب'!$I$2:$I$501,V241))&gt;0,INDEX('08-آب'!$F$2:$F$501,V241)=F241),N(I241)/N(INDEX('08-آب'!$I$2:$I$501,V241))-1,""))</f>
        <v>0</v>
      </c>
      <c r="AC241" t="str">
        <f>IF(L241="","",IF(AND($AO$2=1,ISNA(MATCH(L241,'10-تشرين الأول'!$L$2:$L$501,0))),"محذوف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>
        <f t="shared" si="74"/>
        <v>7.9051624399209472E-2</v>
      </c>
      <c r="AH241" s="39">
        <f t="shared" si="75"/>
        <v>0</v>
      </c>
      <c r="AI241" s="39">
        <f t="shared" si="76"/>
        <v>0</v>
      </c>
      <c r="AJ241" s="39">
        <f t="shared" si="77"/>
        <v>0</v>
      </c>
      <c r="AK241">
        <f t="shared" si="78"/>
        <v>1.7391306757826086</v>
      </c>
      <c r="AL241">
        <f t="shared" si="79"/>
        <v>2.41E-7</v>
      </c>
    </row>
    <row r="242" spans="1:38" ht="15">
      <c r="A242" t="s">
        <v>490</v>
      </c>
      <c r="B242">
        <v>0</v>
      </c>
      <c r="C242">
        <v>0</v>
      </c>
      <c r="D242">
        <v>0</v>
      </c>
      <c r="E242">
        <v>0</v>
      </c>
      <c r="F242" t="s">
        <v>389</v>
      </c>
      <c r="G242" t="s">
        <v>178</v>
      </c>
      <c r="H242" t="s">
        <v>176</v>
      </c>
      <c r="I242">
        <v>0</v>
      </c>
      <c r="K242" t="str">
        <f t="shared" si="60"/>
        <v/>
      </c>
      <c r="L242" t="str">
        <f t="shared" si="61"/>
        <v>بيدون سعة 10 كغ</v>
      </c>
      <c r="M242" s="36">
        <f t="shared" si="62"/>
        <v>7.2463768115942027E-5</v>
      </c>
      <c r="N242" s="37">
        <f t="shared" si="63"/>
        <v>0</v>
      </c>
      <c r="O242" s="37">
        <f t="shared" si="64"/>
        <v>0</v>
      </c>
      <c r="P242" s="38">
        <f t="shared" si="65"/>
        <v>0</v>
      </c>
      <c r="Q242" s="39">
        <f t="shared" si="66"/>
        <v>0</v>
      </c>
      <c r="R242" s="39">
        <f t="shared" si="67"/>
        <v>0</v>
      </c>
      <c r="S242">
        <f t="shared" si="68"/>
        <v>0</v>
      </c>
      <c r="T242" s="39">
        <f t="shared" si="69"/>
        <v>0</v>
      </c>
      <c r="U242" t="str">
        <f t="shared" si="70"/>
        <v/>
      </c>
      <c r="V242">
        <f>IF(L242="","",IF($AO$1=1,IFERROR(MATCH(L242,'08-آب'!$L$2:$L$501,0),0),0))</f>
        <v>234</v>
      </c>
      <c r="W242" t="str">
        <f t="shared" si="71"/>
        <v/>
      </c>
      <c r="X242" s="38">
        <f>IF(L242="","",IF(V242&gt;0,INDEX('08-آب'!$P$2:$P$501,V242),IF($AO$1=1,0,"")))</f>
        <v>0</v>
      </c>
      <c r="Y242" s="38">
        <f t="shared" si="72"/>
        <v>0</v>
      </c>
      <c r="Z242" s="39">
        <f>IF(L242="","",IF(V242&gt;0,INDEX('08-آب'!$Q$2:$Q$501,V242),IF($AO$1=1,0,"")))</f>
        <v>0</v>
      </c>
      <c r="AA242" s="39">
        <f t="shared" si="73"/>
        <v>0</v>
      </c>
      <c r="AB242" s="40" t="str">
        <f>IF(OR(L242="",V242=0),"",IF(AND(N(I242)&gt;0,N(INDEX('08-آب'!$I$2:$I$501,V242))&gt;0,INDEX('08-آب'!$F$2:$F$501,V242)=F242),N(I242)/N(INDEX('08-آب'!$I$2:$I$501,V242))-1,""))</f>
        <v/>
      </c>
      <c r="AC242" t="str">
        <f>IF(L242="","",IF(AND($AO$2=1,ISNA(MATCH(L242,'10-تشرين الأول'!$L$2:$L$501,0))),"محذوف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>
        <f t="shared" si="74"/>
        <v>2.4200000000000002E-7</v>
      </c>
      <c r="AH242" s="39">
        <f t="shared" si="75"/>
        <v>0</v>
      </c>
      <c r="AI242" s="39">
        <f t="shared" si="76"/>
        <v>0</v>
      </c>
      <c r="AJ242" s="39">
        <f t="shared" si="77"/>
        <v>0</v>
      </c>
      <c r="AK242">
        <f t="shared" si="78"/>
        <v>2.4200000000000002E-7</v>
      </c>
      <c r="AL242">
        <f t="shared" si="79"/>
        <v>2.4200000000000002E-7</v>
      </c>
    </row>
    <row r="243" spans="1:38" ht="15">
      <c r="A243" t="s">
        <v>377</v>
      </c>
      <c r="B243">
        <v>12</v>
      </c>
      <c r="C243">
        <v>0</v>
      </c>
      <c r="D243">
        <v>0</v>
      </c>
      <c r="E243">
        <v>0</v>
      </c>
      <c r="F243" t="s">
        <v>268</v>
      </c>
      <c r="G243" t="s">
        <v>178</v>
      </c>
      <c r="H243" t="s">
        <v>176</v>
      </c>
      <c r="I243">
        <v>0.21</v>
      </c>
      <c r="K243" t="str">
        <f t="shared" si="60"/>
        <v/>
      </c>
      <c r="L243" t="str">
        <f t="shared" si="61"/>
        <v>بيدون 4 لتر</v>
      </c>
      <c r="M243" s="36">
        <f t="shared" si="62"/>
        <v>1</v>
      </c>
      <c r="N243" s="37">
        <f t="shared" si="63"/>
        <v>0.21</v>
      </c>
      <c r="O243" s="37">
        <f t="shared" si="64"/>
        <v>0</v>
      </c>
      <c r="P243" s="38">
        <f t="shared" si="65"/>
        <v>12</v>
      </c>
      <c r="Q243" s="39">
        <f t="shared" si="66"/>
        <v>2.52</v>
      </c>
      <c r="R243" s="39">
        <f t="shared" si="67"/>
        <v>0</v>
      </c>
      <c r="S243">
        <f t="shared" si="68"/>
        <v>0</v>
      </c>
      <c r="T243" s="39">
        <f t="shared" si="69"/>
        <v>0</v>
      </c>
      <c r="U243" t="str">
        <f t="shared" si="70"/>
        <v/>
      </c>
      <c r="V243">
        <f>IF(L243="","",IF($AO$1=1,IFERROR(MATCH(L243,'08-آب'!$L$2:$L$501,0),0),0))</f>
        <v>235</v>
      </c>
      <c r="W243" t="str">
        <f t="shared" si="71"/>
        <v/>
      </c>
      <c r="X243" s="38">
        <f>IF(L243="","",IF(V243&gt;0,INDEX('08-آب'!$P$2:$P$501,V243),IF($AO$1=1,0,"")))</f>
        <v>12</v>
      </c>
      <c r="Y243" s="38">
        <f t="shared" si="72"/>
        <v>0</v>
      </c>
      <c r="Z243" s="39">
        <f>IF(L243="","",IF(V243&gt;0,INDEX('08-آب'!$Q$2:$Q$501,V243),IF($AO$1=1,0,"")))</f>
        <v>2.52</v>
      </c>
      <c r="AA243" s="39">
        <f t="shared" si="73"/>
        <v>0</v>
      </c>
      <c r="AB243" s="40">
        <f>IF(OR(L243="",V243=0),"",IF(AND(N(I243)&gt;0,N(INDEX('08-آب'!$I$2:$I$501,V243))&gt;0,INDEX('08-آب'!$F$2:$F$501,V243)=F243),N(I243)/N(INDEX('08-آب'!$I$2:$I$501,V243))-1,""))</f>
        <v>0</v>
      </c>
      <c r="AC243" t="str">
        <f>IF(L243="","",IF(AND($AO$2=1,ISNA(MATCH(L243,'10-تشرين الأول'!$L$2:$L$501,0))),"محذوف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>
        <f t="shared" si="74"/>
        <v>2.4299999999999999E-7</v>
      </c>
      <c r="AH243" s="39">
        <f t="shared" si="75"/>
        <v>0</v>
      </c>
      <c r="AI243" s="39">
        <f t="shared" si="76"/>
        <v>0</v>
      </c>
      <c r="AJ243" s="39">
        <f t="shared" si="77"/>
        <v>0</v>
      </c>
      <c r="AK243">
        <f t="shared" si="78"/>
        <v>2.5200002430000001</v>
      </c>
      <c r="AL243">
        <f t="shared" si="79"/>
        <v>2.4299999999999999E-7</v>
      </c>
    </row>
    <row r="244" spans="1:38" ht="15">
      <c r="A244" t="s">
        <v>491</v>
      </c>
      <c r="B244">
        <v>0</v>
      </c>
      <c r="C244">
        <v>0</v>
      </c>
      <c r="D244">
        <v>0</v>
      </c>
      <c r="E244">
        <v>0</v>
      </c>
      <c r="F244" t="s">
        <v>389</v>
      </c>
      <c r="G244" t="s">
        <v>178</v>
      </c>
      <c r="H244" t="s">
        <v>12</v>
      </c>
      <c r="I244">
        <v>0</v>
      </c>
      <c r="K244" t="str">
        <f t="shared" si="60"/>
        <v/>
      </c>
      <c r="L244" t="str">
        <f t="shared" si="61"/>
        <v>بيدون !</v>
      </c>
      <c r="M244" s="36">
        <f t="shared" si="62"/>
        <v>7.2463768115942027E-5</v>
      </c>
      <c r="N244" s="37">
        <f t="shared" si="63"/>
        <v>0</v>
      </c>
      <c r="O244" s="37">
        <f t="shared" si="64"/>
        <v>0</v>
      </c>
      <c r="P244" s="38">
        <f t="shared" si="65"/>
        <v>0</v>
      </c>
      <c r="Q244" s="39">
        <f t="shared" si="66"/>
        <v>0</v>
      </c>
      <c r="R244" s="39">
        <f t="shared" si="67"/>
        <v>0</v>
      </c>
      <c r="S244">
        <f t="shared" si="68"/>
        <v>0</v>
      </c>
      <c r="T244" s="39">
        <f t="shared" si="69"/>
        <v>0</v>
      </c>
      <c r="U244" t="str">
        <f t="shared" si="70"/>
        <v/>
      </c>
      <c r="V244">
        <f>IF(L244="","",IF($AO$1=1,IFERROR(MATCH(L244,'08-آب'!$L$2:$L$501,0),0),0))</f>
        <v>236</v>
      </c>
      <c r="W244" t="str">
        <f t="shared" si="71"/>
        <v/>
      </c>
      <c r="X244" s="38">
        <f>IF(L244="","",IF(V244&gt;0,INDEX('08-آب'!$P$2:$P$501,V244),IF($AO$1=1,0,"")))</f>
        <v>0</v>
      </c>
      <c r="Y244" s="38">
        <f t="shared" si="72"/>
        <v>0</v>
      </c>
      <c r="Z244" s="39">
        <f>IF(L244="","",IF(V244&gt;0,INDEX('08-آب'!$Q$2:$Q$501,V244),IF($AO$1=1,0,"")))</f>
        <v>0</v>
      </c>
      <c r="AA244" s="39">
        <f t="shared" si="73"/>
        <v>0</v>
      </c>
      <c r="AB244" s="40" t="str">
        <f>IF(OR(L244="",V244=0),"",IF(AND(N(I244)&gt;0,N(INDEX('08-آب'!$I$2:$I$501,V244))&gt;0,INDEX('08-آب'!$F$2:$F$501,V244)=F244),N(I244)/N(INDEX('08-آب'!$I$2:$I$501,V244))-1,""))</f>
        <v/>
      </c>
      <c r="AC244" t="str">
        <f>IF(L244="","",IF(AND($AO$2=1,ISNA(MATCH(L244,'10-تشرين الأول'!$L$2:$L$501,0))),"محذوف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>
        <f t="shared" si="74"/>
        <v>2.4400000000000001E-7</v>
      </c>
      <c r="AH244" s="39">
        <f t="shared" si="75"/>
        <v>0</v>
      </c>
      <c r="AI244" s="39">
        <f t="shared" si="76"/>
        <v>0</v>
      </c>
      <c r="AJ244" s="39">
        <f t="shared" si="77"/>
        <v>0</v>
      </c>
      <c r="AK244">
        <f t="shared" si="78"/>
        <v>2.4400000000000001E-7</v>
      </c>
      <c r="AL244">
        <f t="shared" si="79"/>
        <v>2.4400000000000001E-7</v>
      </c>
    </row>
    <row r="245" spans="1:38" ht="15">
      <c r="A245" t="s">
        <v>378</v>
      </c>
      <c r="B245">
        <v>127</v>
      </c>
      <c r="C245">
        <v>0</v>
      </c>
      <c r="D245">
        <v>0</v>
      </c>
      <c r="E245">
        <v>0</v>
      </c>
      <c r="F245" t="s">
        <v>268</v>
      </c>
      <c r="G245" t="s">
        <v>178</v>
      </c>
      <c r="H245" t="s">
        <v>176</v>
      </c>
      <c r="I245">
        <v>1.35</v>
      </c>
      <c r="K245" t="str">
        <f t="shared" si="60"/>
        <v/>
      </c>
      <c r="L245" t="str">
        <f t="shared" si="61"/>
        <v>بيتائين</v>
      </c>
      <c r="M245" s="36">
        <f t="shared" si="62"/>
        <v>1</v>
      </c>
      <c r="N245" s="37">
        <f t="shared" si="63"/>
        <v>1.35</v>
      </c>
      <c r="O245" s="37">
        <f t="shared" si="64"/>
        <v>0</v>
      </c>
      <c r="P245" s="38">
        <f t="shared" si="65"/>
        <v>127</v>
      </c>
      <c r="Q245" s="39">
        <f t="shared" si="66"/>
        <v>171.45000000000002</v>
      </c>
      <c r="R245" s="39">
        <f t="shared" si="67"/>
        <v>0</v>
      </c>
      <c r="S245">
        <f t="shared" si="68"/>
        <v>0</v>
      </c>
      <c r="T245" s="39">
        <f t="shared" si="69"/>
        <v>0</v>
      </c>
      <c r="U245" t="str">
        <f t="shared" si="70"/>
        <v/>
      </c>
      <c r="V245">
        <f>IF(L245="","",IF($AO$1=1,IFERROR(MATCH(L245,'08-آب'!$L$2:$L$501,0),0),0))</f>
        <v>237</v>
      </c>
      <c r="W245" t="str">
        <f t="shared" si="71"/>
        <v/>
      </c>
      <c r="X245" s="38">
        <f>IF(L245="","",IF(V245&gt;0,INDEX('08-آب'!$P$2:$P$501,V245),IF($AO$1=1,0,"")))</f>
        <v>290</v>
      </c>
      <c r="Y245" s="38">
        <f t="shared" si="72"/>
        <v>-163</v>
      </c>
      <c r="Z245" s="39">
        <f>IF(L245="","",IF(V245&gt;0,INDEX('08-آب'!$Q$2:$Q$501,V245),IF($AO$1=1,0,"")))</f>
        <v>391.5</v>
      </c>
      <c r="AA245" s="39">
        <f t="shared" si="73"/>
        <v>-220.04999999999998</v>
      </c>
      <c r="AB245" s="40">
        <f>IF(OR(L245="",V245=0),"",IF(AND(N(I245)&gt;0,N(INDEX('08-آب'!$I$2:$I$501,V245))&gt;0,INDEX('08-آب'!$F$2:$F$501,V245)=F245),N(I245)/N(INDEX('08-آب'!$I$2:$I$501,V245))-1,""))</f>
        <v>0</v>
      </c>
      <c r="AC245" t="str">
        <f>IF(L245="","",IF(AND($AO$2=1,ISNA(MATCH(L245,'10-تشرين الأول'!$L$2:$L$501,0))),"محذوف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>
        <f t="shared" si="74"/>
        <v>220.05000024499998</v>
      </c>
      <c r="AH245" s="39">
        <f t="shared" si="75"/>
        <v>0</v>
      </c>
      <c r="AI245" s="39">
        <f t="shared" si="76"/>
        <v>0</v>
      </c>
      <c r="AJ245" s="39">
        <f t="shared" si="77"/>
        <v>0</v>
      </c>
      <c r="AK245">
        <f t="shared" si="78"/>
        <v>171.45000024500001</v>
      </c>
      <c r="AL245">
        <f t="shared" si="79"/>
        <v>2.4499999999999998E-7</v>
      </c>
    </row>
    <row r="246" spans="1:38" ht="15">
      <c r="A246" t="s">
        <v>492</v>
      </c>
      <c r="B246">
        <v>0</v>
      </c>
      <c r="C246">
        <v>0</v>
      </c>
      <c r="D246">
        <v>0</v>
      </c>
      <c r="E246">
        <v>0</v>
      </c>
      <c r="F246" t="s">
        <v>389</v>
      </c>
      <c r="G246" t="s">
        <v>178</v>
      </c>
      <c r="H246" t="s">
        <v>12</v>
      </c>
      <c r="I246">
        <v>0</v>
      </c>
      <c r="K246" t="str">
        <f t="shared" si="60"/>
        <v/>
      </c>
      <c r="L246" t="str">
        <f t="shared" si="61"/>
        <v>بي اتش 3 لتر</v>
      </c>
      <c r="M246" s="36">
        <f t="shared" si="62"/>
        <v>7.2463768115942027E-5</v>
      </c>
      <c r="N246" s="37">
        <f t="shared" si="63"/>
        <v>0</v>
      </c>
      <c r="O246" s="37">
        <f t="shared" si="64"/>
        <v>0</v>
      </c>
      <c r="P246" s="38">
        <f t="shared" si="65"/>
        <v>0</v>
      </c>
      <c r="Q246" s="39">
        <f t="shared" si="66"/>
        <v>0</v>
      </c>
      <c r="R246" s="39">
        <f t="shared" si="67"/>
        <v>0</v>
      </c>
      <c r="S246">
        <f t="shared" si="68"/>
        <v>0</v>
      </c>
      <c r="T246" s="39">
        <f t="shared" si="69"/>
        <v>0</v>
      </c>
      <c r="U246" t="str">
        <f t="shared" si="70"/>
        <v/>
      </c>
      <c r="V246">
        <f>IF(L246="","",IF($AO$1=1,IFERROR(MATCH(L246,'08-آب'!$L$2:$L$501,0),0),0))</f>
        <v>238</v>
      </c>
      <c r="W246" t="str">
        <f t="shared" si="71"/>
        <v/>
      </c>
      <c r="X246" s="38">
        <f>IF(L246="","",IF(V246&gt;0,INDEX('08-آب'!$P$2:$P$501,V246),IF($AO$1=1,0,"")))</f>
        <v>0</v>
      </c>
      <c r="Y246" s="38">
        <f t="shared" si="72"/>
        <v>0</v>
      </c>
      <c r="Z246" s="39">
        <f>IF(L246="","",IF(V246&gt;0,INDEX('08-آب'!$Q$2:$Q$501,V246),IF($AO$1=1,0,"")))</f>
        <v>0</v>
      </c>
      <c r="AA246" s="39">
        <f t="shared" si="73"/>
        <v>0</v>
      </c>
      <c r="AB246" s="40" t="str">
        <f>IF(OR(L246="",V246=0),"",IF(AND(N(I246)&gt;0,N(INDEX('08-آب'!$I$2:$I$501,V246))&gt;0,INDEX('08-آب'!$F$2:$F$501,V246)=F246),N(I246)/N(INDEX('08-آب'!$I$2:$I$501,V246))-1,""))</f>
        <v/>
      </c>
      <c r="AC246" t="str">
        <f>IF(L246="","",IF(AND($AO$2=1,ISNA(MATCH(L246,'10-تشرين الأول'!$L$2:$L$501,0))),"محذوف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>
        <f t="shared" si="74"/>
        <v>2.4600000000000001E-7</v>
      </c>
      <c r="AH246" s="39">
        <f t="shared" si="75"/>
        <v>0</v>
      </c>
      <c r="AI246" s="39">
        <f t="shared" si="76"/>
        <v>0</v>
      </c>
      <c r="AJ246" s="39">
        <f t="shared" si="77"/>
        <v>0</v>
      </c>
      <c r="AK246">
        <f t="shared" si="78"/>
        <v>2.4600000000000001E-7</v>
      </c>
      <c r="AL246">
        <f t="shared" si="79"/>
        <v>2.4600000000000001E-7</v>
      </c>
    </row>
    <row r="247" spans="1:38" ht="15">
      <c r="A247" t="s">
        <v>493</v>
      </c>
      <c r="B247">
        <v>0</v>
      </c>
      <c r="C247">
        <v>118000</v>
      </c>
      <c r="D247">
        <v>118000</v>
      </c>
      <c r="E247">
        <v>118000</v>
      </c>
      <c r="F247" t="s">
        <v>389</v>
      </c>
      <c r="G247" t="s">
        <v>178</v>
      </c>
      <c r="H247" t="s">
        <v>12</v>
      </c>
      <c r="I247">
        <v>105000</v>
      </c>
      <c r="K247" t="str">
        <f t="shared" si="60"/>
        <v/>
      </c>
      <c r="L247" t="str">
        <f t="shared" si="61"/>
        <v>بي اتش - كرتونة</v>
      </c>
      <c r="M247" s="36">
        <f t="shared" si="62"/>
        <v>7.2463768115942027E-5</v>
      </c>
      <c r="N247" s="37">
        <f t="shared" si="63"/>
        <v>7.6086956521739131</v>
      </c>
      <c r="O247" s="37">
        <f t="shared" si="64"/>
        <v>8.5507246376811601</v>
      </c>
      <c r="P247" s="38">
        <f t="shared" si="65"/>
        <v>0</v>
      </c>
      <c r="Q247" s="39">
        <f t="shared" si="66"/>
        <v>0</v>
      </c>
      <c r="R247" s="39">
        <f t="shared" si="67"/>
        <v>0</v>
      </c>
      <c r="S247">
        <f t="shared" si="68"/>
        <v>0</v>
      </c>
      <c r="T247" s="39">
        <f t="shared" si="69"/>
        <v>0</v>
      </c>
      <c r="U247" t="str">
        <f t="shared" si="70"/>
        <v/>
      </c>
      <c r="V247">
        <f>IF(L247="","",IF($AO$1=1,IFERROR(MATCH(L247,'08-آب'!$L$2:$L$501,0),0),0))</f>
        <v>239</v>
      </c>
      <c r="W247" t="str">
        <f t="shared" si="71"/>
        <v/>
      </c>
      <c r="X247" s="38">
        <f>IF(L247="","",IF(V247&gt;0,INDEX('08-آب'!$P$2:$P$501,V247),IF($AO$1=1,0,"")))</f>
        <v>0</v>
      </c>
      <c r="Y247" s="38">
        <f t="shared" si="72"/>
        <v>0</v>
      </c>
      <c r="Z247" s="39">
        <f>IF(L247="","",IF(V247&gt;0,INDEX('08-آب'!$Q$2:$Q$501,V247),IF($AO$1=1,0,"")))</f>
        <v>0</v>
      </c>
      <c r="AA247" s="39">
        <f t="shared" si="73"/>
        <v>0</v>
      </c>
      <c r="AB247" s="40">
        <f>IF(OR(L247="",V247=0),"",IF(AND(N(I247)&gt;0,N(INDEX('08-آب'!$I$2:$I$501,V247))&gt;0,INDEX('08-آب'!$F$2:$F$501,V247)=F247),N(I247)/N(INDEX('08-آب'!$I$2:$I$501,V247))-1,""))</f>
        <v>0</v>
      </c>
      <c r="AC247" t="str">
        <f>IF(L247="","",IF(AND($AO$2=1,ISNA(MATCH(L247,'10-تشرين الأول'!$L$2:$L$501,0))),"محذوف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>
        <f t="shared" si="74"/>
        <v>2.4699999999999998E-7</v>
      </c>
      <c r="AH247" s="39">
        <f t="shared" si="75"/>
        <v>0</v>
      </c>
      <c r="AI247" s="39">
        <f t="shared" si="76"/>
        <v>0</v>
      </c>
      <c r="AJ247" s="39">
        <f t="shared" si="77"/>
        <v>0</v>
      </c>
      <c r="AK247">
        <f t="shared" si="78"/>
        <v>2.4699999999999998E-7</v>
      </c>
      <c r="AL247">
        <f t="shared" si="79"/>
        <v>2.4699999999999998E-7</v>
      </c>
    </row>
    <row r="248" spans="1:38" ht="15">
      <c r="A248" t="s">
        <v>379</v>
      </c>
      <c r="B248">
        <v>0</v>
      </c>
      <c r="C248">
        <v>0</v>
      </c>
      <c r="D248">
        <v>0</v>
      </c>
      <c r="E248">
        <v>0</v>
      </c>
      <c r="F248" t="s">
        <v>268</v>
      </c>
      <c r="G248" t="s">
        <v>178</v>
      </c>
      <c r="H248" t="s">
        <v>177</v>
      </c>
      <c r="I248">
        <v>450</v>
      </c>
      <c r="K248" t="str">
        <f t="shared" si="60"/>
        <v/>
      </c>
      <c r="L248" t="str">
        <f t="shared" si="61"/>
        <v>بي اتش - BH خام</v>
      </c>
      <c r="M248" s="36">
        <f t="shared" si="62"/>
        <v>1</v>
      </c>
      <c r="N248" s="37">
        <f t="shared" si="63"/>
        <v>450</v>
      </c>
      <c r="O248" s="37">
        <f t="shared" si="64"/>
        <v>0</v>
      </c>
      <c r="P248" s="38">
        <f t="shared" si="65"/>
        <v>0</v>
      </c>
      <c r="Q248" s="39">
        <f t="shared" si="66"/>
        <v>0</v>
      </c>
      <c r="R248" s="39">
        <f t="shared" si="67"/>
        <v>0</v>
      </c>
      <c r="S248">
        <f t="shared" si="68"/>
        <v>0</v>
      </c>
      <c r="T248" s="39">
        <f t="shared" si="69"/>
        <v>0</v>
      </c>
      <c r="U248" t="str">
        <f t="shared" si="70"/>
        <v/>
      </c>
      <c r="V248">
        <f>IF(L248="","",IF($AO$1=1,IFERROR(MATCH(L248,'08-آب'!$L$2:$L$501,0),0),0))</f>
        <v>240</v>
      </c>
      <c r="W248" t="str">
        <f t="shared" si="71"/>
        <v/>
      </c>
      <c r="X248" s="38">
        <f>IF(L248="","",IF(V248&gt;0,INDEX('08-آب'!$P$2:$P$501,V248),IF($AO$1=1,0,"")))</f>
        <v>0</v>
      </c>
      <c r="Y248" s="38">
        <f t="shared" si="72"/>
        <v>0</v>
      </c>
      <c r="Z248" s="39">
        <f>IF(L248="","",IF(V248&gt;0,INDEX('08-آب'!$Q$2:$Q$501,V248),IF($AO$1=1,0,"")))</f>
        <v>0</v>
      </c>
      <c r="AA248" s="39">
        <f t="shared" si="73"/>
        <v>0</v>
      </c>
      <c r="AB248" s="40">
        <f>IF(OR(L248="",V248=0),"",IF(AND(N(I248)&gt;0,N(INDEX('08-آب'!$I$2:$I$501,V248))&gt;0,INDEX('08-آب'!$F$2:$F$501,V248)=F248),N(I248)/N(INDEX('08-آب'!$I$2:$I$501,V248))-1,""))</f>
        <v>0</v>
      </c>
      <c r="AC248" t="str">
        <f>IF(L248="","",IF(AND($AO$2=1,ISNA(MATCH(L248,'10-تشرين الأول'!$L$2:$L$501,0))),"محذوف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>
        <f t="shared" si="74"/>
        <v>2.48E-7</v>
      </c>
      <c r="AH248" s="39">
        <f t="shared" si="75"/>
        <v>0</v>
      </c>
      <c r="AI248" s="39">
        <f t="shared" si="76"/>
        <v>0</v>
      </c>
      <c r="AJ248" s="39">
        <f t="shared" si="77"/>
        <v>0</v>
      </c>
      <c r="AK248">
        <f t="shared" si="78"/>
        <v>2.48E-7</v>
      </c>
      <c r="AL248">
        <f t="shared" si="79"/>
        <v>2.48E-7</v>
      </c>
    </row>
    <row r="249" spans="1:38" ht="15">
      <c r="A249" t="s">
        <v>494</v>
      </c>
      <c r="B249">
        <v>302</v>
      </c>
      <c r="C249">
        <v>6000</v>
      </c>
      <c r="D249">
        <v>6000</v>
      </c>
      <c r="E249">
        <v>6000</v>
      </c>
      <c r="F249" t="s">
        <v>389</v>
      </c>
      <c r="G249" t="s">
        <v>178</v>
      </c>
      <c r="H249" t="s">
        <v>12</v>
      </c>
      <c r="I249">
        <v>5500</v>
      </c>
      <c r="K249" t="str">
        <f t="shared" si="60"/>
        <v/>
      </c>
      <c r="L249" t="str">
        <f t="shared" si="61"/>
        <v>بي اتش - BH / فرط</v>
      </c>
      <c r="M249" s="36">
        <f t="shared" si="62"/>
        <v>7.2463768115942027E-5</v>
      </c>
      <c r="N249" s="37">
        <f t="shared" si="63"/>
        <v>0.39855072463768115</v>
      </c>
      <c r="O249" s="37">
        <f t="shared" si="64"/>
        <v>0.43478260869565216</v>
      </c>
      <c r="P249" s="38">
        <f t="shared" si="65"/>
        <v>302</v>
      </c>
      <c r="Q249" s="39">
        <f t="shared" si="66"/>
        <v>120.3623188405797</v>
      </c>
      <c r="R249" s="39">
        <f t="shared" si="67"/>
        <v>131.30434782608694</v>
      </c>
      <c r="S249">
        <f t="shared" si="68"/>
        <v>1</v>
      </c>
      <c r="T249" s="39">
        <f t="shared" si="69"/>
        <v>10.942028985507235</v>
      </c>
      <c r="U249" t="str">
        <f t="shared" si="70"/>
        <v/>
      </c>
      <c r="V249">
        <f>IF(L249="","",IF($AO$1=1,IFERROR(MATCH(L249,'08-آب'!$L$2:$L$501,0),0),0))</f>
        <v>241</v>
      </c>
      <c r="W249" t="str">
        <f t="shared" si="71"/>
        <v/>
      </c>
      <c r="X249" s="38">
        <f>IF(L249="","",IF(V249&gt;0,INDEX('08-آب'!$P$2:$P$501,V249),IF($AO$1=1,0,"")))</f>
        <v>304</v>
      </c>
      <c r="Y249" s="38">
        <f t="shared" si="72"/>
        <v>-2</v>
      </c>
      <c r="Z249" s="39">
        <f>IF(L249="","",IF(V249&gt;0,INDEX('08-آب'!$Q$2:$Q$501,V249),IF($AO$1=1,0,"")))</f>
        <v>126.66666666666667</v>
      </c>
      <c r="AA249" s="39">
        <f t="shared" si="73"/>
        <v>-6.3043478260869676</v>
      </c>
      <c r="AB249" s="40">
        <f>IF(OR(L249="",V249=0),"",IF(AND(N(I249)&gt;0,N(INDEX('08-آب'!$I$2:$I$501,V249))&gt;0,INDEX('08-آب'!$F$2:$F$501,V249)=F249),N(I249)/N(INDEX('08-آب'!$I$2:$I$501,V249))-1,""))</f>
        <v>0</v>
      </c>
      <c r="AC249" t="str">
        <f>IF(L249="","",IF(AND($AO$2=1,ISNA(MATCH(L249,'10-تشرين الأول'!$L$2:$L$501,0))),"محذوف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>
        <f t="shared" si="74"/>
        <v>6.3043480750869678</v>
      </c>
      <c r="AH249" s="39">
        <f t="shared" si="75"/>
        <v>10.942028985507244</v>
      </c>
      <c r="AI249" s="39">
        <f t="shared" si="76"/>
        <v>10.942028985507244</v>
      </c>
      <c r="AJ249" s="39">
        <f t="shared" si="77"/>
        <v>10.942028985507244</v>
      </c>
      <c r="AK249">
        <f t="shared" si="78"/>
        <v>120.3623190895797</v>
      </c>
      <c r="AL249">
        <f t="shared" si="79"/>
        <v>10.942029234507235</v>
      </c>
    </row>
    <row r="250" spans="1:38" ht="15">
      <c r="A250" t="s">
        <v>495</v>
      </c>
      <c r="B250">
        <v>0</v>
      </c>
      <c r="C250">
        <v>0</v>
      </c>
      <c r="D250">
        <v>0</v>
      </c>
      <c r="E250">
        <v>0</v>
      </c>
      <c r="F250" t="s">
        <v>389</v>
      </c>
      <c r="G250" t="s">
        <v>178</v>
      </c>
      <c r="H250" t="s">
        <v>12</v>
      </c>
      <c r="I250">
        <v>0</v>
      </c>
      <c r="K250" t="str">
        <f t="shared" si="60"/>
        <v/>
      </c>
      <c r="L250" t="str">
        <f t="shared" si="61"/>
        <v>بي أتش ph الكرمل</v>
      </c>
      <c r="M250" s="36">
        <f t="shared" si="62"/>
        <v>7.2463768115942027E-5</v>
      </c>
      <c r="N250" s="37">
        <f t="shared" si="63"/>
        <v>0</v>
      </c>
      <c r="O250" s="37">
        <f t="shared" si="64"/>
        <v>0</v>
      </c>
      <c r="P250" s="38">
        <f t="shared" si="65"/>
        <v>0</v>
      </c>
      <c r="Q250" s="39">
        <f t="shared" si="66"/>
        <v>0</v>
      </c>
      <c r="R250" s="39">
        <f t="shared" si="67"/>
        <v>0</v>
      </c>
      <c r="S250">
        <f t="shared" si="68"/>
        <v>0</v>
      </c>
      <c r="T250" s="39">
        <f t="shared" si="69"/>
        <v>0</v>
      </c>
      <c r="U250" t="str">
        <f t="shared" si="70"/>
        <v/>
      </c>
      <c r="V250">
        <f>IF(L250="","",IF($AO$1=1,IFERROR(MATCH(L250,'08-آب'!$L$2:$L$501,0),0),0))</f>
        <v>242</v>
      </c>
      <c r="W250" t="str">
        <f t="shared" si="71"/>
        <v/>
      </c>
      <c r="X250" s="38">
        <f>IF(L250="","",IF(V250&gt;0,INDEX('08-آب'!$P$2:$P$501,V250),IF($AO$1=1,0,"")))</f>
        <v>0</v>
      </c>
      <c r="Y250" s="38">
        <f t="shared" si="72"/>
        <v>0</v>
      </c>
      <c r="Z250" s="39">
        <f>IF(L250="","",IF(V250&gt;0,INDEX('08-آب'!$Q$2:$Q$501,V250),IF($AO$1=1,0,"")))</f>
        <v>0</v>
      </c>
      <c r="AA250" s="39">
        <f t="shared" si="73"/>
        <v>0</v>
      </c>
      <c r="AB250" s="40" t="str">
        <f>IF(OR(L250="",V250=0),"",IF(AND(N(I250)&gt;0,N(INDEX('08-آب'!$I$2:$I$501,V250))&gt;0,INDEX('08-آب'!$F$2:$F$501,V250)=F250),N(I250)/N(INDEX('08-آب'!$I$2:$I$501,V250))-1,""))</f>
        <v/>
      </c>
      <c r="AC250" t="str">
        <f>IF(L250="","",IF(AND($AO$2=1,ISNA(MATCH(L250,'10-تشرين الأول'!$L$2:$L$501,0))),"محذوف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>
        <f t="shared" si="74"/>
        <v>2.4999999999999999E-7</v>
      </c>
      <c r="AH250" s="39">
        <f t="shared" si="75"/>
        <v>0</v>
      </c>
      <c r="AI250" s="39">
        <f t="shared" si="76"/>
        <v>0</v>
      </c>
      <c r="AJ250" s="39">
        <f t="shared" si="77"/>
        <v>0</v>
      </c>
      <c r="AK250">
        <f t="shared" si="78"/>
        <v>2.4999999999999999E-7</v>
      </c>
      <c r="AL250">
        <f t="shared" si="79"/>
        <v>2.4999999999999999E-7</v>
      </c>
    </row>
    <row r="251" spans="1:38" ht="15">
      <c r="A251" t="s">
        <v>380</v>
      </c>
      <c r="B251">
        <v>0</v>
      </c>
      <c r="C251">
        <v>0</v>
      </c>
      <c r="D251">
        <v>0</v>
      </c>
      <c r="E251">
        <v>0</v>
      </c>
      <c r="F251" t="s">
        <v>268</v>
      </c>
      <c r="G251" t="s">
        <v>178</v>
      </c>
      <c r="H251" t="s">
        <v>176</v>
      </c>
      <c r="I251">
        <v>2</v>
      </c>
      <c r="K251" t="str">
        <f t="shared" si="60"/>
        <v/>
      </c>
      <c r="L251" t="str">
        <f t="shared" si="61"/>
        <v>بوتيل غليكول</v>
      </c>
      <c r="M251" s="36">
        <f t="shared" si="62"/>
        <v>1</v>
      </c>
      <c r="N251" s="37">
        <f t="shared" si="63"/>
        <v>2</v>
      </c>
      <c r="O251" s="37">
        <f t="shared" si="64"/>
        <v>0</v>
      </c>
      <c r="P251" s="38">
        <f t="shared" si="65"/>
        <v>0</v>
      </c>
      <c r="Q251" s="39">
        <f t="shared" si="66"/>
        <v>0</v>
      </c>
      <c r="R251" s="39">
        <f t="shared" si="67"/>
        <v>0</v>
      </c>
      <c r="S251">
        <f t="shared" si="68"/>
        <v>0</v>
      </c>
      <c r="T251" s="39">
        <f t="shared" si="69"/>
        <v>0</v>
      </c>
      <c r="U251" t="str">
        <f t="shared" si="70"/>
        <v/>
      </c>
      <c r="V251">
        <f>IF(L251="","",IF($AO$1=1,IFERROR(MATCH(L251,'08-آب'!$L$2:$L$501,0),0),0))</f>
        <v>243</v>
      </c>
      <c r="W251" t="str">
        <f t="shared" si="71"/>
        <v/>
      </c>
      <c r="X251" s="38">
        <f>IF(L251="","",IF(V251&gt;0,INDEX('08-آب'!$P$2:$P$501,V251),IF($AO$1=1,0,"")))</f>
        <v>0</v>
      </c>
      <c r="Y251" s="38">
        <f t="shared" si="72"/>
        <v>0</v>
      </c>
      <c r="Z251" s="39">
        <f>IF(L251="","",IF(V251&gt;0,INDEX('08-آب'!$Q$2:$Q$501,V251),IF($AO$1=1,0,"")))</f>
        <v>0</v>
      </c>
      <c r="AA251" s="39">
        <f t="shared" si="73"/>
        <v>0</v>
      </c>
      <c r="AB251" s="40">
        <f>IF(OR(L251="",V251=0),"",IF(AND(N(I251)&gt;0,N(INDEX('08-آب'!$I$2:$I$501,V251))&gt;0,INDEX('08-آب'!$F$2:$F$501,V251)=F251),N(I251)/N(INDEX('08-آب'!$I$2:$I$501,V251))-1,""))</f>
        <v>0</v>
      </c>
      <c r="AC251" t="str">
        <f>IF(L251="","",IF(AND($AO$2=1,ISNA(MATCH(L251,'10-تشرين الأول'!$L$2:$L$501,0))),"محذوف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>
        <f t="shared" si="74"/>
        <v>2.5100000000000001E-7</v>
      </c>
      <c r="AH251" s="39">
        <f t="shared" si="75"/>
        <v>0</v>
      </c>
      <c r="AI251" s="39">
        <f t="shared" si="76"/>
        <v>0</v>
      </c>
      <c r="AJ251" s="39">
        <f t="shared" si="77"/>
        <v>0</v>
      </c>
      <c r="AK251">
        <f t="shared" si="78"/>
        <v>2.5100000000000001E-7</v>
      </c>
      <c r="AL251">
        <f t="shared" si="79"/>
        <v>2.5100000000000001E-7</v>
      </c>
    </row>
    <row r="252" spans="1:38" ht="15">
      <c r="A252" t="s">
        <v>381</v>
      </c>
      <c r="B252">
        <v>0</v>
      </c>
      <c r="C252">
        <v>0</v>
      </c>
      <c r="D252">
        <v>0</v>
      </c>
      <c r="E252">
        <v>0</v>
      </c>
      <c r="F252" t="s">
        <v>268</v>
      </c>
      <c r="G252" t="s">
        <v>178</v>
      </c>
      <c r="H252" t="s">
        <v>177</v>
      </c>
      <c r="I252">
        <v>89.3</v>
      </c>
      <c r="K252" t="str">
        <f t="shared" si="60"/>
        <v/>
      </c>
      <c r="L252" t="str">
        <f t="shared" si="61"/>
        <v>بلسم خام</v>
      </c>
      <c r="M252" s="36">
        <f t="shared" si="62"/>
        <v>1</v>
      </c>
      <c r="N252" s="37">
        <f t="shared" si="63"/>
        <v>89.3</v>
      </c>
      <c r="O252" s="37">
        <f t="shared" si="64"/>
        <v>0</v>
      </c>
      <c r="P252" s="38">
        <f t="shared" si="65"/>
        <v>0</v>
      </c>
      <c r="Q252" s="39">
        <f t="shared" si="66"/>
        <v>0</v>
      </c>
      <c r="R252" s="39">
        <f t="shared" si="67"/>
        <v>0</v>
      </c>
      <c r="S252">
        <f t="shared" si="68"/>
        <v>0</v>
      </c>
      <c r="T252" s="39">
        <f t="shared" si="69"/>
        <v>0</v>
      </c>
      <c r="U252" t="str">
        <f t="shared" si="70"/>
        <v/>
      </c>
      <c r="V252">
        <f>IF(L252="","",IF($AO$1=1,IFERROR(MATCH(L252,'08-آب'!$L$2:$L$501,0),0),0))</f>
        <v>244</v>
      </c>
      <c r="W252" t="str">
        <f t="shared" si="71"/>
        <v/>
      </c>
      <c r="X252" s="38">
        <f>IF(L252="","",IF(V252&gt;0,INDEX('08-آب'!$P$2:$P$501,V252),IF($AO$1=1,0,"")))</f>
        <v>0</v>
      </c>
      <c r="Y252" s="38">
        <f t="shared" si="72"/>
        <v>0</v>
      </c>
      <c r="Z252" s="39">
        <f>IF(L252="","",IF(V252&gt;0,INDEX('08-آب'!$Q$2:$Q$501,V252),IF($AO$1=1,0,"")))</f>
        <v>0</v>
      </c>
      <c r="AA252" s="39">
        <f t="shared" si="73"/>
        <v>0</v>
      </c>
      <c r="AB252" s="40">
        <f>IF(OR(L252="",V252=0),"",IF(AND(N(I252)&gt;0,N(INDEX('08-آب'!$I$2:$I$501,V252))&gt;0,INDEX('08-آب'!$F$2:$F$501,V252)=F252),N(I252)/N(INDEX('08-آب'!$I$2:$I$501,V252))-1,""))</f>
        <v>0</v>
      </c>
      <c r="AC252" t="str">
        <f>IF(L252="","",IF(AND($AO$2=1,ISNA(MATCH(L252,'10-تشرين الأول'!$L$2:$L$501,0))),"محذوف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>
        <f t="shared" si="74"/>
        <v>2.5199999999999998E-7</v>
      </c>
      <c r="AH252" s="39">
        <f t="shared" si="75"/>
        <v>0</v>
      </c>
      <c r="AI252" s="39">
        <f t="shared" si="76"/>
        <v>0</v>
      </c>
      <c r="AJ252" s="39">
        <f t="shared" si="77"/>
        <v>0</v>
      </c>
      <c r="AK252">
        <f t="shared" si="78"/>
        <v>2.5199999999999998E-7</v>
      </c>
      <c r="AL252">
        <f t="shared" si="79"/>
        <v>2.5199999999999998E-7</v>
      </c>
    </row>
    <row r="253" spans="1:38" ht="15">
      <c r="A253" t="s">
        <v>382</v>
      </c>
      <c r="B253">
        <v>5</v>
      </c>
      <c r="C253">
        <v>0</v>
      </c>
      <c r="D253">
        <v>0</v>
      </c>
      <c r="E253">
        <v>0</v>
      </c>
      <c r="F253" t="s">
        <v>268</v>
      </c>
      <c r="G253" t="s">
        <v>178</v>
      </c>
      <c r="H253" t="s">
        <v>176</v>
      </c>
      <c r="I253">
        <v>2</v>
      </c>
      <c r="K253" t="str">
        <f t="shared" si="60"/>
        <v/>
      </c>
      <c r="L253" t="str">
        <f t="shared" si="61"/>
        <v>بلسم جامد</v>
      </c>
      <c r="M253" s="36">
        <f t="shared" si="62"/>
        <v>1</v>
      </c>
      <c r="N253" s="37">
        <f t="shared" si="63"/>
        <v>2</v>
      </c>
      <c r="O253" s="37">
        <f t="shared" si="64"/>
        <v>0</v>
      </c>
      <c r="P253" s="38">
        <f t="shared" si="65"/>
        <v>5</v>
      </c>
      <c r="Q253" s="39">
        <f t="shared" si="66"/>
        <v>10</v>
      </c>
      <c r="R253" s="39">
        <f t="shared" si="67"/>
        <v>0</v>
      </c>
      <c r="S253">
        <f t="shared" si="68"/>
        <v>0</v>
      </c>
      <c r="T253" s="39">
        <f t="shared" si="69"/>
        <v>0</v>
      </c>
      <c r="U253" t="str">
        <f t="shared" si="70"/>
        <v/>
      </c>
      <c r="V253">
        <f>IF(L253="","",IF($AO$1=1,IFERROR(MATCH(L253,'08-آب'!$L$2:$L$501,0),0),0))</f>
        <v>245</v>
      </c>
      <c r="W253" t="str">
        <f t="shared" si="71"/>
        <v/>
      </c>
      <c r="X253" s="38">
        <f>IF(L253="","",IF(V253&gt;0,INDEX('08-آب'!$P$2:$P$501,V253),IF($AO$1=1,0,"")))</f>
        <v>3</v>
      </c>
      <c r="Y253" s="38">
        <f t="shared" si="72"/>
        <v>2</v>
      </c>
      <c r="Z253" s="39">
        <f>IF(L253="","",IF(V253&gt;0,INDEX('08-آب'!$Q$2:$Q$501,V253),IF($AO$1=1,0,"")))</f>
        <v>6</v>
      </c>
      <c r="AA253" s="39">
        <f t="shared" si="73"/>
        <v>4</v>
      </c>
      <c r="AB253" s="40">
        <f>IF(OR(L253="",V253=0),"",IF(AND(N(I253)&gt;0,N(INDEX('08-آب'!$I$2:$I$501,V253))&gt;0,INDEX('08-آب'!$F$2:$F$501,V253)=F253),N(I253)/N(INDEX('08-آب'!$I$2:$I$501,V253))-1,""))</f>
        <v>0</v>
      </c>
      <c r="AC253" t="str">
        <f>IF(L253="","",IF(AND($AO$2=1,ISNA(MATCH(L253,'10-تشرين الأول'!$L$2:$L$501,0))),"محذوف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>
        <f t="shared" si="74"/>
        <v>4.0000002529999996</v>
      </c>
      <c r="AH253" s="39">
        <f t="shared" si="75"/>
        <v>0</v>
      </c>
      <c r="AI253" s="39">
        <f t="shared" si="76"/>
        <v>0</v>
      </c>
      <c r="AJ253" s="39">
        <f t="shared" si="77"/>
        <v>0</v>
      </c>
      <c r="AK253">
        <f t="shared" si="78"/>
        <v>10.000000253</v>
      </c>
      <c r="AL253">
        <f t="shared" si="79"/>
        <v>2.53E-7</v>
      </c>
    </row>
    <row r="254" spans="1:38" ht="15">
      <c r="A254" t="s">
        <v>496</v>
      </c>
      <c r="B254">
        <v>0</v>
      </c>
      <c r="C254">
        <v>0</v>
      </c>
      <c r="D254">
        <v>0</v>
      </c>
      <c r="E254">
        <v>0</v>
      </c>
      <c r="F254" t="s">
        <v>389</v>
      </c>
      <c r="G254" t="s">
        <v>178</v>
      </c>
      <c r="H254" t="s">
        <v>12</v>
      </c>
      <c r="I254">
        <v>0</v>
      </c>
      <c r="K254" t="str">
        <f t="shared" si="60"/>
        <v/>
      </c>
      <c r="L254" t="str">
        <f t="shared" si="61"/>
        <v>بلسم 3 لتر</v>
      </c>
      <c r="M254" s="36">
        <f t="shared" si="62"/>
        <v>7.2463768115942027E-5</v>
      </c>
      <c r="N254" s="37">
        <f t="shared" si="63"/>
        <v>0</v>
      </c>
      <c r="O254" s="37">
        <f t="shared" si="64"/>
        <v>0</v>
      </c>
      <c r="P254" s="38">
        <f t="shared" si="65"/>
        <v>0</v>
      </c>
      <c r="Q254" s="39">
        <f t="shared" si="66"/>
        <v>0</v>
      </c>
      <c r="R254" s="39">
        <f t="shared" si="67"/>
        <v>0</v>
      </c>
      <c r="S254">
        <f t="shared" si="68"/>
        <v>0</v>
      </c>
      <c r="T254" s="39">
        <f t="shared" si="69"/>
        <v>0</v>
      </c>
      <c r="U254" t="str">
        <f t="shared" si="70"/>
        <v/>
      </c>
      <c r="V254">
        <f>IF(L254="","",IF($AO$1=1,IFERROR(MATCH(L254,'08-آب'!$L$2:$L$501,0),0),0))</f>
        <v>246</v>
      </c>
      <c r="W254" t="str">
        <f t="shared" si="71"/>
        <v/>
      </c>
      <c r="X254" s="38">
        <f>IF(L254="","",IF(V254&gt;0,INDEX('08-آب'!$P$2:$P$501,V254),IF($AO$1=1,0,"")))</f>
        <v>0</v>
      </c>
      <c r="Y254" s="38">
        <f t="shared" si="72"/>
        <v>0</v>
      </c>
      <c r="Z254" s="39">
        <f>IF(L254="","",IF(V254&gt;0,INDEX('08-آب'!$Q$2:$Q$501,V254),IF($AO$1=1,0,"")))</f>
        <v>0</v>
      </c>
      <c r="AA254" s="39">
        <f t="shared" si="73"/>
        <v>0</v>
      </c>
      <c r="AB254" s="40" t="str">
        <f>IF(OR(L254="",V254=0),"",IF(AND(N(I254)&gt;0,N(INDEX('08-آب'!$I$2:$I$501,V254))&gt;0,INDEX('08-آب'!$F$2:$F$501,V254)=F254),N(I254)/N(INDEX('08-آب'!$I$2:$I$501,V254))-1,""))</f>
        <v/>
      </c>
      <c r="AC254" t="str">
        <f>IF(L254="","",IF(AND($AO$2=1,ISNA(MATCH(L254,'10-تشرين الأول'!$L$2:$L$501,0))),"محذوف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>
        <f t="shared" si="74"/>
        <v>2.5400000000000002E-7</v>
      </c>
      <c r="AH254" s="39">
        <f t="shared" si="75"/>
        <v>0</v>
      </c>
      <c r="AI254" s="39">
        <f t="shared" si="76"/>
        <v>0</v>
      </c>
      <c r="AJ254" s="39">
        <f t="shared" si="77"/>
        <v>0</v>
      </c>
      <c r="AK254">
        <f t="shared" si="78"/>
        <v>2.5400000000000002E-7</v>
      </c>
      <c r="AL254">
        <f t="shared" si="79"/>
        <v>2.5400000000000002E-7</v>
      </c>
    </row>
    <row r="255" spans="1:38" ht="15">
      <c r="A255" t="s">
        <v>497</v>
      </c>
      <c r="B255">
        <v>25</v>
      </c>
      <c r="C255">
        <v>15000</v>
      </c>
      <c r="D255">
        <v>15000</v>
      </c>
      <c r="E255">
        <v>15000</v>
      </c>
      <c r="F255" t="s">
        <v>389</v>
      </c>
      <c r="G255" t="s">
        <v>178</v>
      </c>
      <c r="H255" t="s">
        <v>12</v>
      </c>
      <c r="I255">
        <v>4250</v>
      </c>
      <c r="K255" t="str">
        <f t="shared" si="60"/>
        <v/>
      </c>
      <c r="L255" t="str">
        <f t="shared" si="61"/>
        <v>بلسم / فرط</v>
      </c>
      <c r="M255" s="36">
        <f t="shared" si="62"/>
        <v>7.2463768115942027E-5</v>
      </c>
      <c r="N255" s="37">
        <f t="shared" si="63"/>
        <v>0.3079710144927536</v>
      </c>
      <c r="O255" s="37">
        <f t="shared" si="64"/>
        <v>1.0869565217391304</v>
      </c>
      <c r="P255" s="38">
        <f t="shared" si="65"/>
        <v>25</v>
      </c>
      <c r="Q255" s="39">
        <f t="shared" si="66"/>
        <v>7.6992753623188399</v>
      </c>
      <c r="R255" s="39">
        <f t="shared" si="67"/>
        <v>27.173913043478258</v>
      </c>
      <c r="S255">
        <f t="shared" si="68"/>
        <v>1</v>
      </c>
      <c r="T255" s="39">
        <f t="shared" si="69"/>
        <v>19.474637681159418</v>
      </c>
      <c r="U255" t="str">
        <f t="shared" si="70"/>
        <v/>
      </c>
      <c r="V255">
        <f>IF(L255="","",IF($AO$1=1,IFERROR(MATCH(L255,'08-آب'!$L$2:$L$501,0),0),0))</f>
        <v>247</v>
      </c>
      <c r="W255" t="str">
        <f t="shared" si="71"/>
        <v/>
      </c>
      <c r="X255" s="38">
        <f>IF(L255="","",IF(V255&gt;0,INDEX('08-آب'!$P$2:$P$501,V255),IF($AO$1=1,0,"")))</f>
        <v>25</v>
      </c>
      <c r="Y255" s="38">
        <f t="shared" si="72"/>
        <v>0</v>
      </c>
      <c r="Z255" s="39">
        <f>IF(L255="","",IF(V255&gt;0,INDEX('08-آب'!$Q$2:$Q$501,V255),IF($AO$1=1,0,"")))</f>
        <v>8.0492424242424239</v>
      </c>
      <c r="AA255" s="39">
        <f t="shared" si="73"/>
        <v>-0.34996706192358396</v>
      </c>
      <c r="AB255" s="40">
        <f>IF(OR(L255="",V255=0),"",IF(AND(N(I255)&gt;0,N(INDEX('08-آب'!$I$2:$I$501,V255))&gt;0,INDEX('08-آب'!$F$2:$F$501,V255)=F255),N(I255)/N(INDEX('08-آب'!$I$2:$I$501,V255))-1,""))</f>
        <v>0</v>
      </c>
      <c r="AC255" t="str">
        <f>IF(L255="","",IF(AND($AO$2=1,ISNA(MATCH(L255,'10-تشرين الأول'!$L$2:$L$501,0))),"محذوف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>
        <f t="shared" si="74"/>
        <v>0.34996731692358396</v>
      </c>
      <c r="AH255" s="39">
        <f t="shared" si="75"/>
        <v>19.474637681159418</v>
      </c>
      <c r="AI255" s="39">
        <f t="shared" si="76"/>
        <v>19.474637681159418</v>
      </c>
      <c r="AJ255" s="39">
        <f t="shared" si="77"/>
        <v>19.474637681159418</v>
      </c>
      <c r="AK255">
        <f t="shared" si="78"/>
        <v>7.6992756173188397</v>
      </c>
      <c r="AL255">
        <f t="shared" si="79"/>
        <v>19.474637936159418</v>
      </c>
    </row>
    <row r="256" spans="1:38" ht="15">
      <c r="A256" t="s">
        <v>383</v>
      </c>
      <c r="B256">
        <v>0</v>
      </c>
      <c r="C256">
        <v>0</v>
      </c>
      <c r="D256">
        <v>0</v>
      </c>
      <c r="E256">
        <v>0</v>
      </c>
      <c r="F256" t="s">
        <v>268</v>
      </c>
      <c r="G256" t="s">
        <v>178</v>
      </c>
      <c r="H256" t="s">
        <v>176</v>
      </c>
      <c r="I256">
        <v>1.625</v>
      </c>
      <c r="K256" t="str">
        <f t="shared" si="60"/>
        <v/>
      </c>
      <c r="L256" t="str">
        <f t="shared" si="61"/>
        <v>بروبلين - فينب</v>
      </c>
      <c r="M256" s="36">
        <f t="shared" si="62"/>
        <v>1</v>
      </c>
      <c r="N256" s="37">
        <f t="shared" si="63"/>
        <v>1.625</v>
      </c>
      <c r="O256" s="37">
        <f t="shared" si="64"/>
        <v>0</v>
      </c>
      <c r="P256" s="38">
        <f t="shared" si="65"/>
        <v>0</v>
      </c>
      <c r="Q256" s="39">
        <f t="shared" si="66"/>
        <v>0</v>
      </c>
      <c r="R256" s="39">
        <f t="shared" si="67"/>
        <v>0</v>
      </c>
      <c r="S256">
        <f t="shared" si="68"/>
        <v>0</v>
      </c>
      <c r="T256" s="39">
        <f t="shared" si="69"/>
        <v>0</v>
      </c>
      <c r="U256" t="str">
        <f t="shared" si="70"/>
        <v/>
      </c>
      <c r="V256">
        <f>IF(L256="","",IF($AO$1=1,IFERROR(MATCH(L256,'08-آب'!$L$2:$L$501,0),0),0))</f>
        <v>248</v>
      </c>
      <c r="W256" t="str">
        <f t="shared" si="71"/>
        <v/>
      </c>
      <c r="X256" s="38">
        <f>IF(L256="","",IF(V256&gt;0,INDEX('08-آب'!$P$2:$P$501,V256),IF($AO$1=1,0,"")))</f>
        <v>0</v>
      </c>
      <c r="Y256" s="38">
        <f t="shared" si="72"/>
        <v>0</v>
      </c>
      <c r="Z256" s="39">
        <f>IF(L256="","",IF(V256&gt;0,INDEX('08-آب'!$Q$2:$Q$501,V256),IF($AO$1=1,0,"")))</f>
        <v>0</v>
      </c>
      <c r="AA256" s="39">
        <f t="shared" si="73"/>
        <v>0</v>
      </c>
      <c r="AB256" s="40">
        <f>IF(OR(L256="",V256=0),"",IF(AND(N(I256)&gt;0,N(INDEX('08-آب'!$I$2:$I$501,V256))&gt;0,INDEX('08-آب'!$F$2:$F$501,V256)=F256),N(I256)/N(INDEX('08-آب'!$I$2:$I$501,V256))-1,""))</f>
        <v>0</v>
      </c>
      <c r="AC256" t="str">
        <f>IF(L256="","",IF(AND($AO$2=1,ISNA(MATCH(L256,'10-تشرين الأول'!$L$2:$L$501,0))),"محذوف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>
        <f t="shared" si="74"/>
        <v>2.5600000000000002E-7</v>
      </c>
      <c r="AH256" s="39">
        <f t="shared" si="75"/>
        <v>0</v>
      </c>
      <c r="AI256" s="39">
        <f t="shared" si="76"/>
        <v>0</v>
      </c>
      <c r="AJ256" s="39">
        <f t="shared" si="77"/>
        <v>0</v>
      </c>
      <c r="AK256">
        <f t="shared" si="78"/>
        <v>2.5600000000000002E-7</v>
      </c>
      <c r="AL256">
        <f t="shared" si="79"/>
        <v>2.5600000000000002E-7</v>
      </c>
    </row>
    <row r="257" spans="1:38" ht="15">
      <c r="A257" t="s">
        <v>498</v>
      </c>
      <c r="B257">
        <v>0</v>
      </c>
      <c r="C257">
        <v>49000</v>
      </c>
      <c r="D257">
        <v>49000</v>
      </c>
      <c r="E257">
        <v>49000</v>
      </c>
      <c r="F257" t="s">
        <v>389</v>
      </c>
      <c r="G257" t="s">
        <v>178</v>
      </c>
      <c r="H257" t="s">
        <v>12</v>
      </c>
      <c r="I257">
        <v>20000</v>
      </c>
      <c r="K257" t="str">
        <f t="shared" ref="K257:K320" si="80">IF(L257="","",IF(U257&lt;&gt;"","⚠",""))</f>
        <v/>
      </c>
      <c r="L257" t="str">
        <f t="shared" ref="L257:L320" si="81">IF(A257="","",TRIM(A257))</f>
        <v>برميل كرتون</v>
      </c>
      <c r="M257" s="36">
        <f t="shared" ref="M257:M320" si="82">IF(L257="","",IF(ISNUMBER(SEARCH("دولار",F257)),1,IF(ISNUMBER(SEARCH("ليرة",F257)),IF($AO$3&gt;0,1/$AO$3,0),0)))</f>
        <v>7.2463768115942027E-5</v>
      </c>
      <c r="N257" s="37">
        <f t="shared" ref="N257:N320" si="83">IF(L257="","",N(I257)*M257)</f>
        <v>1.4492753623188406</v>
      </c>
      <c r="O257" s="37">
        <f t="shared" ref="O257:O320" si="84">IF(L257="","",M257*CHOOSE($AO$4,N(C257),N(D257),N(E257)))</f>
        <v>3.5507246376811592</v>
      </c>
      <c r="P257" s="38">
        <f t="shared" ref="P257:P320" si="85">IF(L257="","",MAX(N(B257),0))</f>
        <v>0</v>
      </c>
      <c r="Q257" s="39">
        <f t="shared" ref="Q257:Q320" si="86">IF(L257="","",P257*N257)</f>
        <v>0</v>
      </c>
      <c r="R257" s="39">
        <f t="shared" ref="R257:R320" si="87">IF(L257="","",P257*O257)</f>
        <v>0</v>
      </c>
      <c r="S257">
        <f t="shared" ref="S257:S320" si="88">IF(L257="","",IF(AND(P257&gt;0,N257&gt;0,O257&gt;0),1,0))</f>
        <v>0</v>
      </c>
      <c r="T257" s="39">
        <f t="shared" ref="T257:T320" si="89">IF(L257="","",S257*(R257-Q257))</f>
        <v>0</v>
      </c>
      <c r="U257" t="str">
        <f t="shared" ref="U257:U320" si="90">IF(L257="","",MID(IF(OR(NOT(ISNUMBER(B257)),NOT(ISNUMBER(C257)),NOT(ISNUMBER(D257)),NOT(ISNUMBER(E257)),NOT(ISNUMBER(I257)),AND(NOT(ISNUMBER(SEARCH("دولار",F257))),NOT(ISNUMBER(SEARCH("ليرة",F257)))))," | بيانات غير صالحة","")&amp;IF(N(B257)&lt;0," | كمية سالبة","")&amp;IF(AND(N(B257)&gt;0,N(I257)=0)," | شراء صفر","")&amp;IF(AND(N(B257)&gt;0,TRIM(H257)=$AO$5,OR(N(C257)=0,N(D257)=0,N(E257)=0))," | بيع صفر","")&amp;IF(AND(N257&gt;0,O257&gt;0,O257&lt;N257)," | بيع أقل من الشراء","")&amp;IF(OR(AND(ISNUMBER(SEARCH("ليرة",F257)),OR(AND(N(I257)&gt;0,N(I257)&lt;$AO$6),AND(N(C257)&gt;0,N(C257)&lt;$AO$6),AND(N(D257)&gt;0,N(D257)&lt;$AO$6),AND(N(E257)&gt;0,N(E257)&lt;$AO$6))),AND(ISNUMBER(SEARCH("دولار",F257)),MAX(N(I257),N(C257),N(D257),N(E257))&gt;$AO$7))," | عملة/سعر مشكوك","")&amp;IF(AND(COUNTIF(C257:E257,"&gt;0")&gt;=2,MAX(N(C257),N(D257),N(E257))&gt;$AO$8*MIN(IF(N(C257)&gt;0,N(C257),1E+99),IF(N(D257)&gt;0,N(D257),1E+99),IF(N(E257)&gt;0,N(E257),1E+99)))," | تباين أسعار البيع","")&amp;IF(OR(TRIM(H257)="All",TRIM(H257)="")," | بلا تصنيف",""),4,300))</f>
        <v/>
      </c>
      <c r="V257">
        <f>IF(L257="","",IF($AO$1=1,IFERROR(MATCH(L257,'08-آب'!$L$2:$L$501,0),0),0))</f>
        <v>249</v>
      </c>
      <c r="W257" t="str">
        <f t="shared" ref="W257:W320" si="91">IF(L257="","",IF(AND($AO$1=1,V257=0),"جديد",""))</f>
        <v/>
      </c>
      <c r="X257" s="38">
        <f>IF(L257="","",IF(V257&gt;0,INDEX('08-آب'!$P$2:$P$501,V257),IF($AO$1=1,0,"")))</f>
        <v>4</v>
      </c>
      <c r="Y257" s="38">
        <f t="shared" ref="Y257:Y320" si="92">IF(OR(L257="",X257=""),"",P257-X257)</f>
        <v>-4</v>
      </c>
      <c r="Z257" s="39">
        <f>IF(L257="","",IF(V257&gt;0,INDEX('08-آب'!$Q$2:$Q$501,V257),IF($AO$1=1,0,"")))</f>
        <v>6.0606060606060606</v>
      </c>
      <c r="AA257" s="39">
        <f t="shared" ref="AA257:AA320" si="93">IF(OR(L257="",Z257=""),"",Q257-Z257)</f>
        <v>-6.0606060606060606</v>
      </c>
      <c r="AB257" s="40">
        <f>IF(OR(L257="",V257=0),"",IF(AND(N(I257)&gt;0,N(INDEX('08-آب'!$I$2:$I$501,V257))&gt;0,INDEX('08-آب'!$F$2:$F$501,V257)=F257),N(I257)/N(INDEX('08-آب'!$I$2:$I$501,V257))-1,""))</f>
        <v>0</v>
      </c>
      <c r="AC257" t="str">
        <f>IF(L257="","",IF(AND($AO$2=1,ISNA(MATCH(L257,'10-تشرين الأول'!$L$2:$L$501,0))),"محذوف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>
        <f t="shared" ref="AG257:AG320" si="94">IF(AA257="","",ABS(AA257)+ROW()/1000000000)</f>
        <v>6.0606063176060605</v>
      </c>
      <c r="AH257" s="39">
        <f t="shared" ref="AH257:AH320" si="95">IF(L257="","",IF(AND(P257&gt;0,N257&gt;0,N(C257)&gt;0),P257*(M257*N(C257)-N257),0))</f>
        <v>0</v>
      </c>
      <c r="AI257" s="39">
        <f t="shared" ref="AI257:AI320" si="96">IF(L257="","",IF(AND(P257&gt;0,N257&gt;0,N(D257)&gt;0),P257*(M257*N(D257)-N257),0))</f>
        <v>0</v>
      </c>
      <c r="AJ257" s="39">
        <f t="shared" ref="AJ257:AJ320" si="97">IF(L257="","",IF(AND(P257&gt;0,N257&gt;0,N(E257)&gt;0),P257*(M257*N(E257)-N257),0))</f>
        <v>0</v>
      </c>
      <c r="AK257">
        <f t="shared" ref="AK257:AK320" si="98">IF(L257="","",Q257+ROW()/1000000000)</f>
        <v>2.5699999999999999E-7</v>
      </c>
      <c r="AL257">
        <f t="shared" ref="AL257:AL320" si="99">IF(L257="","",T257+ROW()/1000000000)</f>
        <v>2.5699999999999999E-7</v>
      </c>
    </row>
    <row r="258" spans="1:38" ht="15">
      <c r="A258" t="s">
        <v>499</v>
      </c>
      <c r="B258">
        <v>0</v>
      </c>
      <c r="C258">
        <v>0</v>
      </c>
      <c r="D258">
        <v>0</v>
      </c>
      <c r="E258">
        <v>0</v>
      </c>
      <c r="F258" t="s">
        <v>389</v>
      </c>
      <c r="G258" t="s">
        <v>178</v>
      </c>
      <c r="H258" t="s">
        <v>12</v>
      </c>
      <c r="I258">
        <v>0</v>
      </c>
      <c r="K258" t="str">
        <f t="shared" si="80"/>
        <v/>
      </c>
      <c r="L258" t="str">
        <f t="shared" si="81"/>
        <v>برميل تكسبون فارغ</v>
      </c>
      <c r="M258" s="36">
        <f t="shared" si="82"/>
        <v>7.2463768115942027E-5</v>
      </c>
      <c r="N258" s="37">
        <f t="shared" si="83"/>
        <v>0</v>
      </c>
      <c r="O258" s="37">
        <f t="shared" si="84"/>
        <v>0</v>
      </c>
      <c r="P258" s="38">
        <f t="shared" si="85"/>
        <v>0</v>
      </c>
      <c r="Q258" s="39">
        <f t="shared" si="86"/>
        <v>0</v>
      </c>
      <c r="R258" s="39">
        <f t="shared" si="87"/>
        <v>0</v>
      </c>
      <c r="S258">
        <f t="shared" si="88"/>
        <v>0</v>
      </c>
      <c r="T258" s="39">
        <f t="shared" si="89"/>
        <v>0</v>
      </c>
      <c r="U258" t="str">
        <f t="shared" si="90"/>
        <v/>
      </c>
      <c r="V258">
        <f>IF(L258="","",IF($AO$1=1,IFERROR(MATCH(L258,'08-آب'!$L$2:$L$501,0),0),0))</f>
        <v>250</v>
      </c>
      <c r="W258" t="str">
        <f t="shared" si="91"/>
        <v/>
      </c>
      <c r="X258" s="38">
        <f>IF(L258="","",IF(V258&gt;0,INDEX('08-آب'!$P$2:$P$501,V258),IF($AO$1=1,0,"")))</f>
        <v>0</v>
      </c>
      <c r="Y258" s="38">
        <f t="shared" si="92"/>
        <v>0</v>
      </c>
      <c r="Z258" s="39">
        <f>IF(L258="","",IF(V258&gt;0,INDEX('08-آب'!$Q$2:$Q$501,V258),IF($AO$1=1,0,"")))</f>
        <v>0</v>
      </c>
      <c r="AA258" s="39">
        <f t="shared" si="93"/>
        <v>0</v>
      </c>
      <c r="AB258" s="40" t="str">
        <f>IF(OR(L258="",V258=0),"",IF(AND(N(I258)&gt;0,N(INDEX('08-آب'!$I$2:$I$501,V258))&gt;0,INDEX('08-آب'!$F$2:$F$501,V258)=F258),N(I258)/N(INDEX('08-آب'!$I$2:$I$501,V258))-1,""))</f>
        <v/>
      </c>
      <c r="AC258" t="str">
        <f>IF(L258="","",IF(AND($AO$2=1,ISNA(MATCH(L258,'10-تشرين الأول'!$L$2:$L$501,0))),"محذوف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>
        <f t="shared" si="94"/>
        <v>2.5800000000000001E-7</v>
      </c>
      <c r="AH258" s="39">
        <f t="shared" si="95"/>
        <v>0</v>
      </c>
      <c r="AI258" s="39">
        <f t="shared" si="96"/>
        <v>0</v>
      </c>
      <c r="AJ258" s="39">
        <f t="shared" si="97"/>
        <v>0</v>
      </c>
      <c r="AK258">
        <f t="shared" si="98"/>
        <v>2.5800000000000001E-7</v>
      </c>
      <c r="AL258">
        <f t="shared" si="99"/>
        <v>2.5800000000000001E-7</v>
      </c>
    </row>
    <row r="259" spans="1:38" ht="15">
      <c r="A259" t="s">
        <v>500</v>
      </c>
      <c r="B259">
        <v>0</v>
      </c>
      <c r="C259">
        <v>0</v>
      </c>
      <c r="D259">
        <v>0</v>
      </c>
      <c r="E259">
        <v>0</v>
      </c>
      <c r="F259" t="s">
        <v>389</v>
      </c>
      <c r="G259" t="s">
        <v>178</v>
      </c>
      <c r="H259" t="s">
        <v>176</v>
      </c>
      <c r="I259">
        <v>0</v>
      </c>
      <c r="K259" t="str">
        <f t="shared" si="80"/>
        <v/>
      </c>
      <c r="L259" t="str">
        <f t="shared" si="81"/>
        <v>برميل بلاستيك</v>
      </c>
      <c r="M259" s="36">
        <f t="shared" si="82"/>
        <v>7.2463768115942027E-5</v>
      </c>
      <c r="N259" s="37">
        <f t="shared" si="83"/>
        <v>0</v>
      </c>
      <c r="O259" s="37">
        <f t="shared" si="84"/>
        <v>0</v>
      </c>
      <c r="P259" s="38">
        <f t="shared" si="85"/>
        <v>0</v>
      </c>
      <c r="Q259" s="39">
        <f t="shared" si="86"/>
        <v>0</v>
      </c>
      <c r="R259" s="39">
        <f t="shared" si="87"/>
        <v>0</v>
      </c>
      <c r="S259">
        <f t="shared" si="88"/>
        <v>0</v>
      </c>
      <c r="T259" s="39">
        <f t="shared" si="89"/>
        <v>0</v>
      </c>
      <c r="U259" t="str">
        <f t="shared" si="90"/>
        <v/>
      </c>
      <c r="V259">
        <f>IF(L259="","",IF($AO$1=1,IFERROR(MATCH(L259,'08-آب'!$L$2:$L$501,0),0),0))</f>
        <v>251</v>
      </c>
      <c r="W259" t="str">
        <f t="shared" si="91"/>
        <v/>
      </c>
      <c r="X259" s="38">
        <f>IF(L259="","",IF(V259&gt;0,INDEX('08-آب'!$P$2:$P$501,V259),IF($AO$1=1,0,"")))</f>
        <v>0</v>
      </c>
      <c r="Y259" s="38">
        <f t="shared" si="92"/>
        <v>0</v>
      </c>
      <c r="Z259" s="39">
        <f>IF(L259="","",IF(V259&gt;0,INDEX('08-آب'!$Q$2:$Q$501,V259),IF($AO$1=1,0,"")))</f>
        <v>0</v>
      </c>
      <c r="AA259" s="39">
        <f t="shared" si="93"/>
        <v>0</v>
      </c>
      <c r="AB259" s="40" t="str">
        <f>IF(OR(L259="",V259=0),"",IF(AND(N(I259)&gt;0,N(INDEX('08-آب'!$I$2:$I$501,V259))&gt;0,INDEX('08-آب'!$F$2:$F$501,V259)=F259),N(I259)/N(INDEX('08-آب'!$I$2:$I$501,V259))-1,""))</f>
        <v/>
      </c>
      <c r="AC259" t="str">
        <f>IF(L259="","",IF(AND($AO$2=1,ISNA(MATCH(L259,'10-تشرين الأول'!$L$2:$L$501,0))),"محذوف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>
        <f t="shared" si="94"/>
        <v>2.5899999999999998E-7</v>
      </c>
      <c r="AH259" s="39">
        <f t="shared" si="95"/>
        <v>0</v>
      </c>
      <c r="AI259" s="39">
        <f t="shared" si="96"/>
        <v>0</v>
      </c>
      <c r="AJ259" s="39">
        <f t="shared" si="97"/>
        <v>0</v>
      </c>
      <c r="AK259">
        <f t="shared" si="98"/>
        <v>2.5899999999999998E-7</v>
      </c>
      <c r="AL259">
        <f t="shared" si="99"/>
        <v>2.5899999999999998E-7</v>
      </c>
    </row>
    <row r="260" spans="1:38" ht="15">
      <c r="A260" t="s">
        <v>528</v>
      </c>
      <c r="B260">
        <v>29</v>
      </c>
      <c r="C260">
        <v>0</v>
      </c>
      <c r="D260">
        <v>0</v>
      </c>
      <c r="E260">
        <v>0</v>
      </c>
      <c r="F260" t="s">
        <v>268</v>
      </c>
      <c r="G260" t="s">
        <v>178</v>
      </c>
      <c r="H260" t="s">
        <v>176</v>
      </c>
      <c r="I260">
        <v>0.9</v>
      </c>
      <c r="K260" t="str">
        <f t="shared" si="80"/>
        <v/>
      </c>
      <c r="L260" t="str">
        <f t="shared" si="81"/>
        <v>بديل فورمول</v>
      </c>
      <c r="M260" s="36">
        <f t="shared" si="82"/>
        <v>1</v>
      </c>
      <c r="N260" s="37">
        <f t="shared" si="83"/>
        <v>0.9</v>
      </c>
      <c r="O260" s="37">
        <f t="shared" si="84"/>
        <v>0</v>
      </c>
      <c r="P260" s="38">
        <f t="shared" si="85"/>
        <v>29</v>
      </c>
      <c r="Q260" s="39">
        <f t="shared" si="86"/>
        <v>26.1</v>
      </c>
      <c r="R260" s="39">
        <f t="shared" si="87"/>
        <v>0</v>
      </c>
      <c r="S260">
        <f t="shared" si="88"/>
        <v>0</v>
      </c>
      <c r="T260" s="39">
        <f t="shared" si="89"/>
        <v>0</v>
      </c>
      <c r="U260" t="str">
        <f t="shared" si="90"/>
        <v/>
      </c>
      <c r="V260">
        <f>IF(L260="","",IF($AO$1=1,IFERROR(MATCH(L260,'08-آب'!$L$2:$L$501,0),0),0))</f>
        <v>252</v>
      </c>
      <c r="W260" t="str">
        <f t="shared" si="91"/>
        <v/>
      </c>
      <c r="X260" s="38">
        <f>IF(L260="","",IF(V260&gt;0,INDEX('08-آب'!$P$2:$P$501,V260),IF($AO$1=1,0,"")))</f>
        <v>29</v>
      </c>
      <c r="Y260" s="38">
        <f t="shared" si="92"/>
        <v>0</v>
      </c>
      <c r="Z260" s="39">
        <f>IF(L260="","",IF(V260&gt;0,INDEX('08-آب'!$Q$2:$Q$501,V260),IF($AO$1=1,0,"")))</f>
        <v>26.1</v>
      </c>
      <c r="AA260" s="39">
        <f t="shared" si="93"/>
        <v>0</v>
      </c>
      <c r="AB260" s="40">
        <f>IF(OR(L260="",V260=0),"",IF(AND(N(I260)&gt;0,N(INDEX('08-آب'!$I$2:$I$501,V260))&gt;0,INDEX('08-آب'!$F$2:$F$501,V260)=F260),N(I260)/N(INDEX('08-آب'!$I$2:$I$501,V260))-1,""))</f>
        <v>0</v>
      </c>
      <c r="AC260" t="str">
        <f>IF(L260="","",IF(AND($AO$2=1,ISNA(MATCH(L260,'10-تشرين الأول'!$L$2:$L$501,0))),"محذوف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>
        <f t="shared" si="94"/>
        <v>2.6E-7</v>
      </c>
      <c r="AH260" s="39">
        <f t="shared" si="95"/>
        <v>0</v>
      </c>
      <c r="AI260" s="39">
        <f t="shared" si="96"/>
        <v>0</v>
      </c>
      <c r="AJ260" s="39">
        <f t="shared" si="97"/>
        <v>0</v>
      </c>
      <c r="AK260">
        <f t="shared" si="98"/>
        <v>26.100000260000002</v>
      </c>
      <c r="AL260">
        <f t="shared" si="99"/>
        <v>2.6E-7</v>
      </c>
    </row>
    <row r="261" spans="1:38" ht="15">
      <c r="A261" t="s">
        <v>529</v>
      </c>
      <c r="B261">
        <v>24.3</v>
      </c>
      <c r="C261">
        <v>0</v>
      </c>
      <c r="D261">
        <v>0</v>
      </c>
      <c r="E261">
        <v>0</v>
      </c>
      <c r="F261" t="s">
        <v>268</v>
      </c>
      <c r="G261" t="s">
        <v>178</v>
      </c>
      <c r="H261" t="s">
        <v>176</v>
      </c>
      <c r="I261">
        <v>3</v>
      </c>
      <c r="K261" t="str">
        <f t="shared" si="80"/>
        <v/>
      </c>
      <c r="L261" t="str">
        <f t="shared" si="81"/>
        <v>ايمولجين وقف</v>
      </c>
      <c r="M261" s="36">
        <f t="shared" si="82"/>
        <v>1</v>
      </c>
      <c r="N261" s="37">
        <f t="shared" si="83"/>
        <v>3</v>
      </c>
      <c r="O261" s="37">
        <f t="shared" si="84"/>
        <v>0</v>
      </c>
      <c r="P261" s="38">
        <f t="shared" si="85"/>
        <v>24.3</v>
      </c>
      <c r="Q261" s="39">
        <f t="shared" si="86"/>
        <v>72.900000000000006</v>
      </c>
      <c r="R261" s="39">
        <f t="shared" si="87"/>
        <v>0</v>
      </c>
      <c r="S261">
        <f t="shared" si="88"/>
        <v>0</v>
      </c>
      <c r="T261" s="39">
        <f t="shared" si="89"/>
        <v>0</v>
      </c>
      <c r="U261" t="str">
        <f t="shared" si="90"/>
        <v/>
      </c>
      <c r="V261">
        <f>IF(L261="","",IF($AO$1=1,IFERROR(MATCH(L261,'08-آب'!$L$2:$L$501,0),0),0))</f>
        <v>253</v>
      </c>
      <c r="W261" t="str">
        <f t="shared" si="91"/>
        <v/>
      </c>
      <c r="X261" s="38">
        <f>IF(L261="","",IF(V261&gt;0,INDEX('08-آب'!$P$2:$P$501,V261),IF($AO$1=1,0,"")))</f>
        <v>24.3</v>
      </c>
      <c r="Y261" s="38">
        <f t="shared" si="92"/>
        <v>0</v>
      </c>
      <c r="Z261" s="39">
        <f>IF(L261="","",IF(V261&gt;0,INDEX('08-آب'!$Q$2:$Q$501,V261),IF($AO$1=1,0,"")))</f>
        <v>72.900000000000006</v>
      </c>
      <c r="AA261" s="39">
        <f t="shared" si="93"/>
        <v>0</v>
      </c>
      <c r="AB261" s="40">
        <f>IF(OR(L261="",V261=0),"",IF(AND(N(I261)&gt;0,N(INDEX('08-آب'!$I$2:$I$501,V261))&gt;0,INDEX('08-آب'!$F$2:$F$501,V261)=F261),N(I261)/N(INDEX('08-آب'!$I$2:$I$501,V261))-1,""))</f>
        <v>0</v>
      </c>
      <c r="AC261" t="str">
        <f>IF(L261="","",IF(AND($AO$2=1,ISNA(MATCH(L261,'10-تشرين الأول'!$L$2:$L$501,0))),"محذوف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>
        <f t="shared" si="94"/>
        <v>2.6100000000000002E-7</v>
      </c>
      <c r="AH261" s="39">
        <f t="shared" si="95"/>
        <v>0</v>
      </c>
      <c r="AI261" s="39">
        <f t="shared" si="96"/>
        <v>0</v>
      </c>
      <c r="AJ261" s="39">
        <f t="shared" si="97"/>
        <v>0</v>
      </c>
      <c r="AK261">
        <f t="shared" si="98"/>
        <v>72.900000261000002</v>
      </c>
      <c r="AL261">
        <f t="shared" si="99"/>
        <v>2.6100000000000002E-7</v>
      </c>
    </row>
    <row r="262" spans="1:38" ht="15">
      <c r="A262" t="s">
        <v>384</v>
      </c>
      <c r="B262">
        <v>0</v>
      </c>
      <c r="C262">
        <v>0</v>
      </c>
      <c r="D262">
        <v>0</v>
      </c>
      <c r="E262">
        <v>0</v>
      </c>
      <c r="F262" t="s">
        <v>268</v>
      </c>
      <c r="G262" t="s">
        <v>178</v>
      </c>
      <c r="H262" t="s">
        <v>176</v>
      </c>
      <c r="I262">
        <v>3</v>
      </c>
      <c r="K262" t="str">
        <f t="shared" si="80"/>
        <v/>
      </c>
      <c r="L262" t="str">
        <f t="shared" si="81"/>
        <v>ايمولجين</v>
      </c>
      <c r="M262" s="36">
        <f t="shared" si="82"/>
        <v>1</v>
      </c>
      <c r="N262" s="37">
        <f t="shared" si="83"/>
        <v>3</v>
      </c>
      <c r="O262" s="37">
        <f t="shared" si="84"/>
        <v>0</v>
      </c>
      <c r="P262" s="38">
        <f t="shared" si="85"/>
        <v>0</v>
      </c>
      <c r="Q262" s="39">
        <f t="shared" si="86"/>
        <v>0</v>
      </c>
      <c r="R262" s="39">
        <f t="shared" si="87"/>
        <v>0</v>
      </c>
      <c r="S262">
        <f t="shared" si="88"/>
        <v>0</v>
      </c>
      <c r="T262" s="39">
        <f t="shared" si="89"/>
        <v>0</v>
      </c>
      <c r="U262" t="str">
        <f t="shared" si="90"/>
        <v/>
      </c>
      <c r="V262">
        <f>IF(L262="","",IF($AO$1=1,IFERROR(MATCH(L262,'08-آب'!$L$2:$L$501,0),0),0))</f>
        <v>254</v>
      </c>
      <c r="W262" t="str">
        <f t="shared" si="91"/>
        <v/>
      </c>
      <c r="X262" s="38">
        <f>IF(L262="","",IF(V262&gt;0,INDEX('08-آب'!$P$2:$P$501,V262),IF($AO$1=1,0,"")))</f>
        <v>2</v>
      </c>
      <c r="Y262" s="38">
        <f t="shared" si="92"/>
        <v>-2</v>
      </c>
      <c r="Z262" s="39">
        <f>IF(L262="","",IF(V262&gt;0,INDEX('08-آب'!$Q$2:$Q$501,V262),IF($AO$1=1,0,"")))</f>
        <v>6</v>
      </c>
      <c r="AA262" s="39">
        <f t="shared" si="93"/>
        <v>-6</v>
      </c>
      <c r="AB262" s="40">
        <f>IF(OR(L262="",V262=0),"",IF(AND(N(I262)&gt;0,N(INDEX('08-آب'!$I$2:$I$501,V262))&gt;0,INDEX('08-آب'!$F$2:$F$501,V262)=F262),N(I262)/N(INDEX('08-آب'!$I$2:$I$501,V262))-1,""))</f>
        <v>0</v>
      </c>
      <c r="AC262" t="str">
        <f>IF(L262="","",IF(AND($AO$2=1,ISNA(MATCH(L262,'10-تشرين الأول'!$L$2:$L$501,0))),"محذوف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>
        <f t="shared" si="94"/>
        <v>6.0000002620000004</v>
      </c>
      <c r="AH262" s="39">
        <f t="shared" si="95"/>
        <v>0</v>
      </c>
      <c r="AI262" s="39">
        <f t="shared" si="96"/>
        <v>0</v>
      </c>
      <c r="AJ262" s="39">
        <f t="shared" si="97"/>
        <v>0</v>
      </c>
      <c r="AK262">
        <f t="shared" si="98"/>
        <v>2.6199999999999999E-7</v>
      </c>
      <c r="AL262">
        <f t="shared" si="99"/>
        <v>2.6199999999999999E-7</v>
      </c>
    </row>
    <row r="263" spans="1:38" ht="15">
      <c r="A263" t="s">
        <v>385</v>
      </c>
      <c r="B263">
        <v>16.5</v>
      </c>
      <c r="C263">
        <v>0</v>
      </c>
      <c r="D263">
        <v>0</v>
      </c>
      <c r="E263">
        <v>0</v>
      </c>
      <c r="F263" t="s">
        <v>268</v>
      </c>
      <c r="G263" t="s">
        <v>178</v>
      </c>
      <c r="H263" t="s">
        <v>176</v>
      </c>
      <c r="I263">
        <v>3.335</v>
      </c>
      <c r="K263" t="str">
        <f t="shared" si="80"/>
        <v/>
      </c>
      <c r="L263" t="str">
        <f t="shared" si="81"/>
        <v>ايديتا</v>
      </c>
      <c r="M263" s="36">
        <f t="shared" si="82"/>
        <v>1</v>
      </c>
      <c r="N263" s="37">
        <f t="shared" si="83"/>
        <v>3.335</v>
      </c>
      <c r="O263" s="37">
        <f t="shared" si="84"/>
        <v>0</v>
      </c>
      <c r="P263" s="38">
        <f t="shared" si="85"/>
        <v>16.5</v>
      </c>
      <c r="Q263" s="39">
        <f t="shared" si="86"/>
        <v>55.027499999999996</v>
      </c>
      <c r="R263" s="39">
        <f t="shared" si="87"/>
        <v>0</v>
      </c>
      <c r="S263">
        <f t="shared" si="88"/>
        <v>0</v>
      </c>
      <c r="T263" s="39">
        <f t="shared" si="89"/>
        <v>0</v>
      </c>
      <c r="U263" t="str">
        <f t="shared" si="90"/>
        <v/>
      </c>
      <c r="V263">
        <f>IF(L263="","",IF($AO$1=1,IFERROR(MATCH(L263,'08-آب'!$L$2:$L$501,0),0),0))</f>
        <v>255</v>
      </c>
      <c r="W263" t="str">
        <f t="shared" si="91"/>
        <v/>
      </c>
      <c r="X263" s="38">
        <f>IF(L263="","",IF(V263&gt;0,INDEX('08-آب'!$P$2:$P$501,V263),IF($AO$1=1,0,"")))</f>
        <v>16.5</v>
      </c>
      <c r="Y263" s="38">
        <f t="shared" si="92"/>
        <v>0</v>
      </c>
      <c r="Z263" s="39">
        <f>IF(L263="","",IF(V263&gt;0,INDEX('08-آب'!$Q$2:$Q$501,V263),IF($AO$1=1,0,"")))</f>
        <v>55.027499999999996</v>
      </c>
      <c r="AA263" s="39">
        <f t="shared" si="93"/>
        <v>0</v>
      </c>
      <c r="AB263" s="40">
        <f>IF(OR(L263="",V263=0),"",IF(AND(N(I263)&gt;0,N(INDEX('08-آب'!$I$2:$I$501,V263))&gt;0,INDEX('08-آب'!$F$2:$F$501,V263)=F263),N(I263)/N(INDEX('08-آب'!$I$2:$I$501,V263))-1,""))</f>
        <v>0</v>
      </c>
      <c r="AC263" t="str">
        <f>IF(L263="","",IF(AND($AO$2=1,ISNA(MATCH(L263,'10-تشرين الأول'!$L$2:$L$501,0))),"محذوف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>
        <f t="shared" si="94"/>
        <v>2.6300000000000001E-7</v>
      </c>
      <c r="AH263" s="39">
        <f t="shared" si="95"/>
        <v>0</v>
      </c>
      <c r="AI263" s="39">
        <f t="shared" si="96"/>
        <v>0</v>
      </c>
      <c r="AJ263" s="39">
        <f t="shared" si="97"/>
        <v>0</v>
      </c>
      <c r="AK263">
        <f t="shared" si="98"/>
        <v>55.027500262999993</v>
      </c>
      <c r="AL263">
        <f t="shared" si="99"/>
        <v>2.6300000000000001E-7</v>
      </c>
    </row>
    <row r="264" spans="1:38" ht="15">
      <c r="A264" t="s">
        <v>501</v>
      </c>
      <c r="B264">
        <v>223</v>
      </c>
      <c r="C264">
        <v>65000</v>
      </c>
      <c r="D264">
        <v>65000</v>
      </c>
      <c r="E264">
        <v>65000</v>
      </c>
      <c r="F264" t="s">
        <v>389</v>
      </c>
      <c r="G264" t="s">
        <v>178</v>
      </c>
      <c r="H264" t="s">
        <v>12</v>
      </c>
      <c r="I264">
        <v>55000</v>
      </c>
      <c r="K264" t="str">
        <f t="shared" si="80"/>
        <v/>
      </c>
      <c r="L264" t="str">
        <f t="shared" si="81"/>
        <v>اقراص كلور</v>
      </c>
      <c r="M264" s="36">
        <f t="shared" si="82"/>
        <v>7.2463768115942027E-5</v>
      </c>
      <c r="N264" s="37">
        <f t="shared" si="83"/>
        <v>3.9855072463768115</v>
      </c>
      <c r="O264" s="37">
        <f t="shared" si="84"/>
        <v>4.7101449275362315</v>
      </c>
      <c r="P264" s="38">
        <f t="shared" si="85"/>
        <v>223</v>
      </c>
      <c r="Q264" s="39">
        <f t="shared" si="86"/>
        <v>888.768115942029</v>
      </c>
      <c r="R264" s="39">
        <f t="shared" si="87"/>
        <v>1050.3623188405795</v>
      </c>
      <c r="S264">
        <f t="shared" si="88"/>
        <v>1</v>
      </c>
      <c r="T264" s="39">
        <f t="shared" si="89"/>
        <v>161.59420289855052</v>
      </c>
      <c r="U264" t="str">
        <f t="shared" si="90"/>
        <v/>
      </c>
      <c r="V264">
        <f>IF(L264="","",IF($AO$1=1,IFERROR(MATCH(L264,'08-آب'!$L$2:$L$501,0),0),0))</f>
        <v>256</v>
      </c>
      <c r="W264" t="str">
        <f t="shared" si="91"/>
        <v/>
      </c>
      <c r="X264" s="38">
        <f>IF(L264="","",IF(V264&gt;0,INDEX('08-آب'!$P$2:$P$501,V264),IF($AO$1=1,0,"")))</f>
        <v>224</v>
      </c>
      <c r="Y264" s="38">
        <f t="shared" si="92"/>
        <v>-1</v>
      </c>
      <c r="Z264" s="39">
        <f>IF(L264="","",IF(V264&gt;0,INDEX('08-آب'!$Q$2:$Q$501,V264),IF($AO$1=1,0,"")))</f>
        <v>933.33333333333337</v>
      </c>
      <c r="AA264" s="39">
        <f t="shared" si="93"/>
        <v>-44.565217391304373</v>
      </c>
      <c r="AB264" s="40">
        <f>IF(OR(L264="",V264=0),"",IF(AND(N(I264)&gt;0,N(INDEX('08-آب'!$I$2:$I$501,V264))&gt;0,INDEX('08-آب'!$F$2:$F$501,V264)=F264),N(I264)/N(INDEX('08-آب'!$I$2:$I$501,V264))-1,""))</f>
        <v>0</v>
      </c>
      <c r="AC264" t="str">
        <f>IF(L264="","",IF(AND($AO$2=1,ISNA(MATCH(L264,'10-تشرين الأول'!$L$2:$L$501,0))),"محذوف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>
        <f t="shared" si="94"/>
        <v>44.565217655304373</v>
      </c>
      <c r="AH264" s="39">
        <f t="shared" si="95"/>
        <v>161.59420289855066</v>
      </c>
      <c r="AI264" s="39">
        <f t="shared" si="96"/>
        <v>161.59420289855066</v>
      </c>
      <c r="AJ264" s="39">
        <f t="shared" si="97"/>
        <v>161.59420289855066</v>
      </c>
      <c r="AK264">
        <f t="shared" si="98"/>
        <v>888.76811620602905</v>
      </c>
      <c r="AL264">
        <f t="shared" si="99"/>
        <v>161.59420316255051</v>
      </c>
    </row>
    <row r="265" spans="1:38" ht="15">
      <c r="A265" t="s">
        <v>502</v>
      </c>
      <c r="B265">
        <v>4</v>
      </c>
      <c r="C265">
        <v>45000</v>
      </c>
      <c r="D265">
        <v>45000</v>
      </c>
      <c r="E265">
        <v>45000</v>
      </c>
      <c r="F265" t="s">
        <v>389</v>
      </c>
      <c r="G265" t="s">
        <v>178</v>
      </c>
      <c r="H265" t="s">
        <v>12</v>
      </c>
      <c r="I265">
        <v>18300</v>
      </c>
      <c r="K265" t="str">
        <f t="shared" si="80"/>
        <v/>
      </c>
      <c r="L265" t="str">
        <f t="shared" si="81"/>
        <v>اسيد 3 لتر</v>
      </c>
      <c r="M265" s="36">
        <f t="shared" si="82"/>
        <v>7.2463768115942027E-5</v>
      </c>
      <c r="N265" s="37">
        <f t="shared" si="83"/>
        <v>1.326086956521739</v>
      </c>
      <c r="O265" s="37">
        <f t="shared" si="84"/>
        <v>3.2608695652173911</v>
      </c>
      <c r="P265" s="38">
        <f t="shared" si="85"/>
        <v>4</v>
      </c>
      <c r="Q265" s="39">
        <f t="shared" si="86"/>
        <v>5.3043478260869561</v>
      </c>
      <c r="R265" s="39">
        <f t="shared" si="87"/>
        <v>13.043478260869565</v>
      </c>
      <c r="S265">
        <f t="shared" si="88"/>
        <v>1</v>
      </c>
      <c r="T265" s="39">
        <f t="shared" si="89"/>
        <v>7.7391304347826084</v>
      </c>
      <c r="U265" t="str">
        <f t="shared" si="90"/>
        <v/>
      </c>
      <c r="V265">
        <f>IF(L265="","",IF($AO$1=1,IFERROR(MATCH(L265,'08-آب'!$L$2:$L$501,0),0),0))</f>
        <v>257</v>
      </c>
      <c r="W265" t="str">
        <f t="shared" si="91"/>
        <v/>
      </c>
      <c r="X265" s="38">
        <f>IF(L265="","",IF(V265&gt;0,INDEX('08-آب'!$P$2:$P$501,V265),IF($AO$1=1,0,"")))</f>
        <v>1</v>
      </c>
      <c r="Y265" s="38">
        <f t="shared" si="92"/>
        <v>3</v>
      </c>
      <c r="Z265" s="39">
        <f>IF(L265="","",IF(V265&gt;0,INDEX('08-آب'!$Q$2:$Q$501,V265),IF($AO$1=1,0,"")))</f>
        <v>1.3863636363636365</v>
      </c>
      <c r="AA265" s="39">
        <f t="shared" si="93"/>
        <v>3.9179841897233194</v>
      </c>
      <c r="AB265" s="40">
        <f>IF(OR(L265="",V265=0),"",IF(AND(N(I265)&gt;0,N(INDEX('08-آب'!$I$2:$I$501,V265))&gt;0,INDEX('08-آب'!$F$2:$F$501,V265)=F265),N(I265)/N(INDEX('08-آب'!$I$2:$I$501,V265))-1,""))</f>
        <v>0</v>
      </c>
      <c r="AC265" t="str">
        <f>IF(L265="","",IF(AND($AO$2=1,ISNA(MATCH(L265,'10-تشرين الأول'!$L$2:$L$501,0))),"محذوف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>
        <f t="shared" si="94"/>
        <v>3.9179844547233196</v>
      </c>
      <c r="AH265" s="39">
        <f t="shared" si="95"/>
        <v>7.7391304347826084</v>
      </c>
      <c r="AI265" s="39">
        <f t="shared" si="96"/>
        <v>7.7391304347826084</v>
      </c>
      <c r="AJ265" s="39">
        <f t="shared" si="97"/>
        <v>7.7391304347826084</v>
      </c>
      <c r="AK265">
        <f t="shared" si="98"/>
        <v>5.3043480910869558</v>
      </c>
      <c r="AL265">
        <f t="shared" si="99"/>
        <v>7.7391306997826081</v>
      </c>
    </row>
    <row r="266" spans="1:38" ht="15">
      <c r="A266" t="s">
        <v>386</v>
      </c>
      <c r="B266">
        <v>1448.6</v>
      </c>
      <c r="C266">
        <v>0.5</v>
      </c>
      <c r="D266">
        <v>0.5</v>
      </c>
      <c r="E266">
        <v>0.5</v>
      </c>
      <c r="F266" t="s">
        <v>268</v>
      </c>
      <c r="G266" t="s">
        <v>178</v>
      </c>
      <c r="H266" t="s">
        <v>176</v>
      </c>
      <c r="I266">
        <v>0.21</v>
      </c>
      <c r="K266" t="str">
        <f t="shared" si="80"/>
        <v/>
      </c>
      <c r="L266" t="str">
        <f t="shared" si="81"/>
        <v>اسيد - روح الملح - حمض كلور الماء</v>
      </c>
      <c r="M266" s="36">
        <f t="shared" si="82"/>
        <v>1</v>
      </c>
      <c r="N266" s="37">
        <f t="shared" si="83"/>
        <v>0.21</v>
      </c>
      <c r="O266" s="37">
        <f t="shared" si="84"/>
        <v>0.5</v>
      </c>
      <c r="P266" s="38">
        <f t="shared" si="85"/>
        <v>1448.6</v>
      </c>
      <c r="Q266" s="39">
        <f t="shared" si="86"/>
        <v>304.20599999999996</v>
      </c>
      <c r="R266" s="39">
        <f t="shared" si="87"/>
        <v>724.3</v>
      </c>
      <c r="S266">
        <f t="shared" si="88"/>
        <v>1</v>
      </c>
      <c r="T266" s="39">
        <f t="shared" si="89"/>
        <v>420.09399999999999</v>
      </c>
      <c r="U266" t="str">
        <f t="shared" si="90"/>
        <v/>
      </c>
      <c r="V266">
        <f>IF(L266="","",IF($AO$1=1,IFERROR(MATCH(L266,'08-آب'!$L$2:$L$501,0),0),0))</f>
        <v>258</v>
      </c>
      <c r="W266" t="str">
        <f t="shared" si="91"/>
        <v/>
      </c>
      <c r="X266" s="38">
        <f>IF(L266="","",IF(V266&gt;0,INDEX('08-آب'!$P$2:$P$501,V266),IF($AO$1=1,0,"")))</f>
        <v>1653.6</v>
      </c>
      <c r="Y266" s="38">
        <f t="shared" si="92"/>
        <v>-205</v>
      </c>
      <c r="Z266" s="39">
        <f>IF(L266="","",IF(V266&gt;0,INDEX('08-آب'!$Q$2:$Q$501,V266),IF($AO$1=1,0,"")))</f>
        <v>347.25599999999997</v>
      </c>
      <c r="AA266" s="39">
        <f t="shared" si="93"/>
        <v>-43.050000000000011</v>
      </c>
      <c r="AB266" s="40">
        <f>IF(OR(L266="",V266=0),"",IF(AND(N(I266)&gt;0,N(INDEX('08-آب'!$I$2:$I$501,V266))&gt;0,INDEX('08-آب'!$F$2:$F$501,V266)=F266),N(I266)/N(INDEX('08-آب'!$I$2:$I$501,V266))-1,""))</f>
        <v>0</v>
      </c>
      <c r="AC266" t="str">
        <f>IF(L266="","",IF(AND($AO$2=1,ISNA(MATCH(L266,'10-تشرين الأول'!$L$2:$L$501,0))),"محذوف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>
        <f t="shared" si="94"/>
        <v>43.050000266000012</v>
      </c>
      <c r="AH266" s="39">
        <f t="shared" si="95"/>
        <v>420.09400000000005</v>
      </c>
      <c r="AI266" s="39">
        <f t="shared" si="96"/>
        <v>420.09400000000005</v>
      </c>
      <c r="AJ266" s="39">
        <f t="shared" si="97"/>
        <v>420.09400000000005</v>
      </c>
      <c r="AK266">
        <f t="shared" si="98"/>
        <v>304.20600026599993</v>
      </c>
      <c r="AL266">
        <f t="shared" si="99"/>
        <v>420.09400026599997</v>
      </c>
    </row>
    <row r="267" spans="1:38" ht="15">
      <c r="A267" t="s">
        <v>387</v>
      </c>
      <c r="B267">
        <v>212</v>
      </c>
      <c r="C267">
        <v>0</v>
      </c>
      <c r="D267">
        <v>0</v>
      </c>
      <c r="E267">
        <v>0</v>
      </c>
      <c r="F267" t="s">
        <v>268</v>
      </c>
      <c r="G267" t="s">
        <v>178</v>
      </c>
      <c r="H267" t="s">
        <v>176</v>
      </c>
      <c r="I267">
        <v>0.65</v>
      </c>
      <c r="K267" t="str">
        <f t="shared" si="80"/>
        <v/>
      </c>
      <c r="L267" t="str">
        <f t="shared" si="81"/>
        <v>اسيتون</v>
      </c>
      <c r="M267" s="36">
        <f t="shared" si="82"/>
        <v>1</v>
      </c>
      <c r="N267" s="37">
        <f t="shared" si="83"/>
        <v>0.65</v>
      </c>
      <c r="O267" s="37">
        <f t="shared" si="84"/>
        <v>0</v>
      </c>
      <c r="P267" s="38">
        <f t="shared" si="85"/>
        <v>212</v>
      </c>
      <c r="Q267" s="39">
        <f t="shared" si="86"/>
        <v>137.80000000000001</v>
      </c>
      <c r="R267" s="39">
        <f t="shared" si="87"/>
        <v>0</v>
      </c>
      <c r="S267">
        <f t="shared" si="88"/>
        <v>0</v>
      </c>
      <c r="T267" s="39">
        <f t="shared" si="89"/>
        <v>0</v>
      </c>
      <c r="U267" t="str">
        <f t="shared" si="90"/>
        <v/>
      </c>
      <c r="V267">
        <f>IF(L267="","",IF($AO$1=1,IFERROR(MATCH(L267,'08-آب'!$L$2:$L$501,0),0),0))</f>
        <v>259</v>
      </c>
      <c r="W267" t="str">
        <f t="shared" si="91"/>
        <v/>
      </c>
      <c r="X267" s="38">
        <f>IF(L267="","",IF(V267&gt;0,INDEX('08-آب'!$P$2:$P$501,V267),IF($AO$1=1,0,"")))</f>
        <v>212</v>
      </c>
      <c r="Y267" s="38">
        <f t="shared" si="92"/>
        <v>0</v>
      </c>
      <c r="Z267" s="39">
        <f>IF(L267="","",IF(V267&gt;0,INDEX('08-آب'!$Q$2:$Q$501,V267),IF($AO$1=1,0,"")))</f>
        <v>137.80000000000001</v>
      </c>
      <c r="AA267" s="39">
        <f t="shared" si="93"/>
        <v>0</v>
      </c>
      <c r="AB267" s="40">
        <f>IF(OR(L267="",V267=0),"",IF(AND(N(I267)&gt;0,N(INDEX('08-آب'!$I$2:$I$501,V267))&gt;0,INDEX('08-آب'!$F$2:$F$501,V267)=F267),N(I267)/N(INDEX('08-آب'!$I$2:$I$501,V267))-1,""))</f>
        <v>0</v>
      </c>
      <c r="AC267" t="str">
        <f>IF(L267="","",IF(AND($AO$2=1,ISNA(MATCH(L267,'10-تشرين الأول'!$L$2:$L$501,0))),"محذوف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>
        <f t="shared" si="94"/>
        <v>2.67E-7</v>
      </c>
      <c r="AH267" s="39">
        <f t="shared" si="95"/>
        <v>0</v>
      </c>
      <c r="AI267" s="39">
        <f t="shared" si="96"/>
        <v>0</v>
      </c>
      <c r="AJ267" s="39">
        <f t="shared" si="97"/>
        <v>0</v>
      </c>
      <c r="AK267">
        <f t="shared" si="98"/>
        <v>137.800000267</v>
      </c>
      <c r="AL267">
        <f t="shared" si="99"/>
        <v>2.67E-7</v>
      </c>
    </row>
    <row r="268" spans="1:38" ht="15">
      <c r="A268" t="s">
        <v>503</v>
      </c>
      <c r="B268">
        <v>0</v>
      </c>
      <c r="C268">
        <v>27000</v>
      </c>
      <c r="D268">
        <v>27000</v>
      </c>
      <c r="E268">
        <v>27000</v>
      </c>
      <c r="F268" t="s">
        <v>389</v>
      </c>
      <c r="G268" t="s">
        <v>178</v>
      </c>
      <c r="H268" t="s">
        <v>12</v>
      </c>
      <c r="I268">
        <v>10700</v>
      </c>
      <c r="K268" t="str">
        <f t="shared" si="80"/>
        <v/>
      </c>
      <c r="L268" t="str">
        <f t="shared" si="81"/>
        <v>أسيد 3 لتر</v>
      </c>
      <c r="M268" s="36">
        <f t="shared" si="82"/>
        <v>7.2463768115942027E-5</v>
      </c>
      <c r="N268" s="37">
        <f t="shared" si="83"/>
        <v>0.77536231884057971</v>
      </c>
      <c r="O268" s="37">
        <f t="shared" si="84"/>
        <v>1.9565217391304348</v>
      </c>
      <c r="P268" s="38">
        <f t="shared" si="85"/>
        <v>0</v>
      </c>
      <c r="Q268" s="39">
        <f t="shared" si="86"/>
        <v>0</v>
      </c>
      <c r="R268" s="39">
        <f t="shared" si="87"/>
        <v>0</v>
      </c>
      <c r="S268">
        <f t="shared" si="88"/>
        <v>0</v>
      </c>
      <c r="T268" s="39">
        <f t="shared" si="89"/>
        <v>0</v>
      </c>
      <c r="U268" t="str">
        <f t="shared" si="90"/>
        <v/>
      </c>
      <c r="V268">
        <f>IF(L268="","",IF($AO$1=1,IFERROR(MATCH(L268,'08-آب'!$L$2:$L$501,0),0),0))</f>
        <v>257</v>
      </c>
      <c r="W268" t="str">
        <f t="shared" si="91"/>
        <v/>
      </c>
      <c r="X268" s="38">
        <f>IF(L268="","",IF(V268&gt;0,INDEX('08-آب'!$P$2:$P$501,V268),IF($AO$1=1,0,"")))</f>
        <v>1</v>
      </c>
      <c r="Y268" s="38">
        <f t="shared" si="92"/>
        <v>-1</v>
      </c>
      <c r="Z268" s="39">
        <f>IF(L268="","",IF(V268&gt;0,INDEX('08-آب'!$Q$2:$Q$501,V268),IF($AO$1=1,0,"")))</f>
        <v>1.3863636363636365</v>
      </c>
      <c r="AA268" s="39">
        <f t="shared" si="93"/>
        <v>-1.3863636363636365</v>
      </c>
      <c r="AB268" s="40">
        <f>IF(OR(L268="",V268=0),"",IF(AND(N(I268)&gt;0,N(INDEX('08-آب'!$I$2:$I$501,V268))&gt;0,INDEX('08-آب'!$F$2:$F$501,V268)=F268),N(I268)/N(INDEX('08-آب'!$I$2:$I$501,V268))-1,""))</f>
        <v>-0.41530054644808745</v>
      </c>
      <c r="AC268" t="str">
        <f>IF(L268="","",IF(AND($AO$2=1,ISNA(MATCH(L268,'10-تشرين الأول'!$L$2:$L$501,0))),"محذوف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>
        <f t="shared" si="94"/>
        <v>1.3863639043636364</v>
      </c>
      <c r="AH268" s="39">
        <f t="shared" si="95"/>
        <v>0</v>
      </c>
      <c r="AI268" s="39">
        <f t="shared" si="96"/>
        <v>0</v>
      </c>
      <c r="AJ268" s="39">
        <f t="shared" si="97"/>
        <v>0</v>
      </c>
      <c r="AK268">
        <f t="shared" si="98"/>
        <v>2.6800000000000002E-7</v>
      </c>
      <c r="AL268">
        <f t="shared" si="99"/>
        <v>2.6800000000000002E-7</v>
      </c>
    </row>
    <row r="269" spans="1:38" ht="15">
      <c r="A269" t="s">
        <v>504</v>
      </c>
      <c r="B269">
        <v>0</v>
      </c>
      <c r="C269">
        <v>5500</v>
      </c>
      <c r="D269">
        <v>5500</v>
      </c>
      <c r="E269">
        <v>5500</v>
      </c>
      <c r="F269" t="s">
        <v>389</v>
      </c>
      <c r="G269" t="s">
        <v>178</v>
      </c>
      <c r="H269" t="s">
        <v>12</v>
      </c>
      <c r="I269">
        <v>3500</v>
      </c>
      <c r="K269" t="str">
        <f t="shared" si="80"/>
        <v/>
      </c>
      <c r="L269" t="str">
        <f t="shared" si="81"/>
        <v>أسيد 1 لتر</v>
      </c>
      <c r="M269" s="36">
        <f t="shared" si="82"/>
        <v>7.2463768115942027E-5</v>
      </c>
      <c r="N269" s="37">
        <f t="shared" si="83"/>
        <v>0.25362318840579712</v>
      </c>
      <c r="O269" s="37">
        <f t="shared" si="84"/>
        <v>0.39855072463768115</v>
      </c>
      <c r="P269" s="38">
        <f t="shared" si="85"/>
        <v>0</v>
      </c>
      <c r="Q269" s="39">
        <f t="shared" si="86"/>
        <v>0</v>
      </c>
      <c r="R269" s="39">
        <f t="shared" si="87"/>
        <v>0</v>
      </c>
      <c r="S269">
        <f t="shared" si="88"/>
        <v>0</v>
      </c>
      <c r="T269" s="39">
        <f t="shared" si="89"/>
        <v>0</v>
      </c>
      <c r="U269" t="str">
        <f t="shared" si="90"/>
        <v/>
      </c>
      <c r="V269">
        <f>IF(L269="","",IF($AO$1=1,IFERROR(MATCH(L269,'08-آب'!$L$2:$L$501,0),0),0))</f>
        <v>261</v>
      </c>
      <c r="W269" t="str">
        <f t="shared" si="91"/>
        <v/>
      </c>
      <c r="X269" s="38">
        <f>IF(L269="","",IF(V269&gt;0,INDEX('08-آب'!$P$2:$P$501,V269),IF($AO$1=1,0,"")))</f>
        <v>0</v>
      </c>
      <c r="Y269" s="38">
        <f t="shared" si="92"/>
        <v>0</v>
      </c>
      <c r="Z269" s="39">
        <f>IF(L269="","",IF(V269&gt;0,INDEX('08-آب'!$Q$2:$Q$501,V269),IF($AO$1=1,0,"")))</f>
        <v>0</v>
      </c>
      <c r="AA269" s="39">
        <f t="shared" si="93"/>
        <v>0</v>
      </c>
      <c r="AB269" s="40">
        <f>IF(OR(L269="",V269=0),"",IF(AND(N(I269)&gt;0,N(INDEX('08-آب'!$I$2:$I$501,V269))&gt;0,INDEX('08-آب'!$F$2:$F$501,V269)=F269),N(I269)/N(INDEX('08-آب'!$I$2:$I$501,V269))-1,""))</f>
        <v>0</v>
      </c>
      <c r="AC269" t="str">
        <f>IF(L269="","",IF(AND($AO$2=1,ISNA(MATCH(L269,'10-تشرين الأول'!$L$2:$L$501,0))),"محذوف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>
        <f t="shared" si="94"/>
        <v>2.6899999999999999E-7</v>
      </c>
      <c r="AH269" s="39">
        <f t="shared" si="95"/>
        <v>0</v>
      </c>
      <c r="AI269" s="39">
        <f t="shared" si="96"/>
        <v>0</v>
      </c>
      <c r="AJ269" s="39">
        <f t="shared" si="97"/>
        <v>0</v>
      </c>
      <c r="AK269">
        <f t="shared" si="98"/>
        <v>2.6899999999999999E-7</v>
      </c>
      <c r="AL269">
        <f t="shared" si="99"/>
        <v>2.6899999999999999E-7</v>
      </c>
    </row>
    <row r="270" spans="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IF(L270="","",IF($AO$1=1,IFERROR(MATCH(L270,'08-آب'!$L$2:$L$501,0),0),0))</f>
        <v/>
      </c>
      <c r="W270" t="str">
        <f t="shared" si="91"/>
        <v/>
      </c>
      <c r="X270" s="38" t="str">
        <f>IF(L270="","",IF(V270&gt;0,INDEX('08-آب'!$P$2:$P$501,V270),IF($AO$1=1,0,"")))</f>
        <v/>
      </c>
      <c r="Y270" s="38" t="str">
        <f t="shared" si="92"/>
        <v/>
      </c>
      <c r="Z270" s="39" t="str">
        <f>IF(L270="","",IF(V270&gt;0,INDEX('08-آب'!$Q$2:$Q$501,V270),IF($AO$1=1,0,"")))</f>
        <v/>
      </c>
      <c r="AA270" s="39" t="str">
        <f t="shared" si="93"/>
        <v/>
      </c>
      <c r="AB270" s="40" t="str">
        <f>IF(OR(L270="",V270=0),"",IF(AND(N(I270)&gt;0,N(INDEX('08-آب'!$I$2:$I$501,V270))&gt;0,INDEX('08-آب'!$F$2:$F$501,V270)=F270),N(I270)/N(INDEX('08-آب'!$I$2:$I$501,V270))-1,""))</f>
        <v/>
      </c>
      <c r="AC270" t="str">
        <f>IF(L270="","",IF(AND($AO$2=1,ISNA(MATCH(L270,'10-تشرين الأول'!$L$2:$L$501,0))),"محذوف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IF(L271="","",IF($AO$1=1,IFERROR(MATCH(L271,'08-آب'!$L$2:$L$501,0),0),0))</f>
        <v/>
      </c>
      <c r="W271" t="str">
        <f t="shared" si="91"/>
        <v/>
      </c>
      <c r="X271" s="38" t="str">
        <f>IF(L271="","",IF(V271&gt;0,INDEX('08-آب'!$P$2:$P$501,V271),IF($AO$1=1,0,"")))</f>
        <v/>
      </c>
      <c r="Y271" s="38" t="str">
        <f t="shared" si="92"/>
        <v/>
      </c>
      <c r="Z271" s="39" t="str">
        <f>IF(L271="","",IF(V271&gt;0,INDEX('08-آب'!$Q$2:$Q$501,V271),IF($AO$1=1,0,"")))</f>
        <v/>
      </c>
      <c r="AA271" s="39" t="str">
        <f t="shared" si="93"/>
        <v/>
      </c>
      <c r="AB271" s="40" t="str">
        <f>IF(OR(L271="",V271=0),"",IF(AND(N(I271)&gt;0,N(INDEX('08-آب'!$I$2:$I$501,V271))&gt;0,INDEX('08-آب'!$F$2:$F$501,V271)=F271),N(I271)/N(INDEX('08-آب'!$I$2:$I$501,V271))-1,""))</f>
        <v/>
      </c>
      <c r="AC271" t="str">
        <f>IF(L271="","",IF(AND($AO$2=1,ISNA(MATCH(L271,'10-تشرين الأول'!$L$2:$L$501,0))),"محذوف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IF(L272="","",IF($AO$1=1,IFERROR(MATCH(L272,'08-آب'!$L$2:$L$501,0),0),0))</f>
        <v/>
      </c>
      <c r="W272" t="str">
        <f t="shared" si="91"/>
        <v/>
      </c>
      <c r="X272" s="38" t="str">
        <f>IF(L272="","",IF(V272&gt;0,INDEX('08-آب'!$P$2:$P$501,V272),IF($AO$1=1,0,"")))</f>
        <v/>
      </c>
      <c r="Y272" s="38" t="str">
        <f t="shared" si="92"/>
        <v/>
      </c>
      <c r="Z272" s="39" t="str">
        <f>IF(L272="","",IF(V272&gt;0,INDEX('08-آب'!$Q$2:$Q$501,V272),IF($AO$1=1,0,"")))</f>
        <v/>
      </c>
      <c r="AA272" s="39" t="str">
        <f t="shared" si="93"/>
        <v/>
      </c>
      <c r="AB272" s="40" t="str">
        <f>IF(OR(L272="",V272=0),"",IF(AND(N(I272)&gt;0,N(INDEX('08-آب'!$I$2:$I$501,V272))&gt;0,INDEX('08-آب'!$F$2:$F$501,V272)=F272),N(I272)/N(INDEX('08-آب'!$I$2:$I$501,V272))-1,""))</f>
        <v/>
      </c>
      <c r="AC272" t="str">
        <f>IF(L272="","",IF(AND($AO$2=1,ISNA(MATCH(L272,'10-تشرين الأول'!$L$2:$L$501,0))),"محذوف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IF(L273="","",IF($AO$1=1,IFERROR(MATCH(L273,'08-آب'!$L$2:$L$501,0),0),0))</f>
        <v/>
      </c>
      <c r="W273" t="str">
        <f t="shared" si="91"/>
        <v/>
      </c>
      <c r="X273" s="38" t="str">
        <f>IF(L273="","",IF(V273&gt;0,INDEX('08-آب'!$P$2:$P$501,V273),IF($AO$1=1,0,"")))</f>
        <v/>
      </c>
      <c r="Y273" s="38" t="str">
        <f t="shared" si="92"/>
        <v/>
      </c>
      <c r="Z273" s="39" t="str">
        <f>IF(L273="","",IF(V273&gt;0,INDEX('08-آب'!$Q$2:$Q$501,V273),IF($AO$1=1,0,"")))</f>
        <v/>
      </c>
      <c r="AA273" s="39" t="str">
        <f t="shared" si="93"/>
        <v/>
      </c>
      <c r="AB273" s="40" t="str">
        <f>IF(OR(L273="",V273=0),"",IF(AND(N(I273)&gt;0,N(INDEX('08-آب'!$I$2:$I$501,V273))&gt;0,INDEX('08-آب'!$F$2:$F$501,V273)=F273),N(I273)/N(INDEX('08-آب'!$I$2:$I$501,V273))-1,""))</f>
        <v/>
      </c>
      <c r="AC273" t="str">
        <f>IF(L273="","",IF(AND($AO$2=1,ISNA(MATCH(L273,'10-تشرين الأول'!$L$2:$L$501,0))),"محذوف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IF(L274="","",IF($AO$1=1,IFERROR(MATCH(L274,'08-آب'!$L$2:$L$501,0),0),0))</f>
        <v/>
      </c>
      <c r="W274" t="str">
        <f t="shared" si="91"/>
        <v/>
      </c>
      <c r="X274" s="38" t="str">
        <f>IF(L274="","",IF(V274&gt;0,INDEX('08-آب'!$P$2:$P$501,V274),IF($AO$1=1,0,"")))</f>
        <v/>
      </c>
      <c r="Y274" s="38" t="str">
        <f t="shared" si="92"/>
        <v/>
      </c>
      <c r="Z274" s="39" t="str">
        <f>IF(L274="","",IF(V274&gt;0,INDEX('08-آب'!$Q$2:$Q$501,V274),IF($AO$1=1,0,"")))</f>
        <v/>
      </c>
      <c r="AA274" s="39" t="str">
        <f t="shared" si="93"/>
        <v/>
      </c>
      <c r="AB274" s="40" t="str">
        <f>IF(OR(L274="",V274=0),"",IF(AND(N(I274)&gt;0,N(INDEX('08-آب'!$I$2:$I$501,V274))&gt;0,INDEX('08-آب'!$F$2:$F$501,V274)=F274),N(I274)/N(INDEX('08-آب'!$I$2:$I$501,V274))-1,""))</f>
        <v/>
      </c>
      <c r="AC274" t="str">
        <f>IF(L274="","",IF(AND($AO$2=1,ISNA(MATCH(L274,'10-تشرين الأول'!$L$2:$L$501,0))),"محذوف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IF(L275="","",IF($AO$1=1,IFERROR(MATCH(L275,'08-آب'!$L$2:$L$501,0),0),0))</f>
        <v/>
      </c>
      <c r="W275" t="str">
        <f t="shared" si="91"/>
        <v/>
      </c>
      <c r="X275" s="38" t="str">
        <f>IF(L275="","",IF(V275&gt;0,INDEX('08-آب'!$P$2:$P$501,V275),IF($AO$1=1,0,"")))</f>
        <v/>
      </c>
      <c r="Y275" s="38" t="str">
        <f t="shared" si="92"/>
        <v/>
      </c>
      <c r="Z275" s="39" t="str">
        <f>IF(L275="","",IF(V275&gt;0,INDEX('08-آب'!$Q$2:$Q$501,V275),IF($AO$1=1,0,"")))</f>
        <v/>
      </c>
      <c r="AA275" s="39" t="str">
        <f t="shared" si="93"/>
        <v/>
      </c>
      <c r="AB275" s="40" t="str">
        <f>IF(OR(L275="",V275=0),"",IF(AND(N(I275)&gt;0,N(INDEX('08-آب'!$I$2:$I$501,V275))&gt;0,INDEX('08-آب'!$F$2:$F$501,V275)=F275),N(I275)/N(INDEX('08-آب'!$I$2:$I$501,V275))-1,""))</f>
        <v/>
      </c>
      <c r="AC275" t="str">
        <f>IF(L275="","",IF(AND($AO$2=1,ISNA(MATCH(L275,'10-تشرين الأول'!$L$2:$L$501,0))),"محذوف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IF(L276="","",IF($AO$1=1,IFERROR(MATCH(L276,'08-آب'!$L$2:$L$501,0),0),0))</f>
        <v/>
      </c>
      <c r="W276" t="str">
        <f t="shared" si="91"/>
        <v/>
      </c>
      <c r="X276" s="38" t="str">
        <f>IF(L276="","",IF(V276&gt;0,INDEX('08-آب'!$P$2:$P$501,V276),IF($AO$1=1,0,"")))</f>
        <v/>
      </c>
      <c r="Y276" s="38" t="str">
        <f t="shared" si="92"/>
        <v/>
      </c>
      <c r="Z276" s="39" t="str">
        <f>IF(L276="","",IF(V276&gt;0,INDEX('08-آب'!$Q$2:$Q$501,V276),IF($AO$1=1,0,"")))</f>
        <v/>
      </c>
      <c r="AA276" s="39" t="str">
        <f t="shared" si="93"/>
        <v/>
      </c>
      <c r="AB276" s="40" t="str">
        <f>IF(OR(L276="",V276=0),"",IF(AND(N(I276)&gt;0,N(INDEX('08-آب'!$I$2:$I$501,V276))&gt;0,INDEX('08-آب'!$F$2:$F$501,V276)=F276),N(I276)/N(INDEX('08-آب'!$I$2:$I$501,V276))-1,""))</f>
        <v/>
      </c>
      <c r="AC276" t="str">
        <f>IF(L276="","",IF(AND($AO$2=1,ISNA(MATCH(L276,'10-تشرين الأول'!$L$2:$L$501,0))),"محذوف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IF(L277="","",IF($AO$1=1,IFERROR(MATCH(L277,'08-آب'!$L$2:$L$501,0),0),0))</f>
        <v/>
      </c>
      <c r="W277" t="str">
        <f t="shared" si="91"/>
        <v/>
      </c>
      <c r="X277" s="38" t="str">
        <f>IF(L277="","",IF(V277&gt;0,INDEX('08-آب'!$P$2:$P$501,V277),IF($AO$1=1,0,"")))</f>
        <v/>
      </c>
      <c r="Y277" s="38" t="str">
        <f t="shared" si="92"/>
        <v/>
      </c>
      <c r="Z277" s="39" t="str">
        <f>IF(L277="","",IF(V277&gt;0,INDEX('08-آب'!$Q$2:$Q$501,V277),IF($AO$1=1,0,"")))</f>
        <v/>
      </c>
      <c r="AA277" s="39" t="str">
        <f t="shared" si="93"/>
        <v/>
      </c>
      <c r="AB277" s="40" t="str">
        <f>IF(OR(L277="",V277=0),"",IF(AND(N(I277)&gt;0,N(INDEX('08-آب'!$I$2:$I$501,V277))&gt;0,INDEX('08-آب'!$F$2:$F$501,V277)=F277),N(I277)/N(INDEX('08-آب'!$I$2:$I$501,V277))-1,""))</f>
        <v/>
      </c>
      <c r="AC277" t="str">
        <f>IF(L277="","",IF(AND($AO$2=1,ISNA(MATCH(L277,'10-تشرين الأول'!$L$2:$L$501,0))),"محذوف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IF(L278="","",IF($AO$1=1,IFERROR(MATCH(L278,'08-آب'!$L$2:$L$501,0),0),0))</f>
        <v/>
      </c>
      <c r="W278" t="str">
        <f t="shared" si="91"/>
        <v/>
      </c>
      <c r="X278" s="38" t="str">
        <f>IF(L278="","",IF(V278&gt;0,INDEX('08-آب'!$P$2:$P$501,V278),IF($AO$1=1,0,"")))</f>
        <v/>
      </c>
      <c r="Y278" s="38" t="str">
        <f t="shared" si="92"/>
        <v/>
      </c>
      <c r="Z278" s="39" t="str">
        <f>IF(L278="","",IF(V278&gt;0,INDEX('08-آب'!$Q$2:$Q$501,V278),IF($AO$1=1,0,"")))</f>
        <v/>
      </c>
      <c r="AA278" s="39" t="str">
        <f t="shared" si="93"/>
        <v/>
      </c>
      <c r="AB278" s="40" t="str">
        <f>IF(OR(L278="",V278=0),"",IF(AND(N(I278)&gt;0,N(INDEX('08-آب'!$I$2:$I$501,V278))&gt;0,INDEX('08-آب'!$F$2:$F$501,V278)=F278),N(I278)/N(INDEX('08-آب'!$I$2:$I$501,V278))-1,""))</f>
        <v/>
      </c>
      <c r="AC278" t="str">
        <f>IF(L278="","",IF(AND($AO$2=1,ISNA(MATCH(L278,'10-تشرين الأول'!$L$2:$L$501,0))),"محذوف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IF(L279="","",IF($AO$1=1,IFERROR(MATCH(L279,'08-آب'!$L$2:$L$501,0),0),0))</f>
        <v/>
      </c>
      <c r="W279" t="str">
        <f t="shared" si="91"/>
        <v/>
      </c>
      <c r="X279" s="38" t="str">
        <f>IF(L279="","",IF(V279&gt;0,INDEX('08-آب'!$P$2:$P$501,V279),IF($AO$1=1,0,"")))</f>
        <v/>
      </c>
      <c r="Y279" s="38" t="str">
        <f t="shared" si="92"/>
        <v/>
      </c>
      <c r="Z279" s="39" t="str">
        <f>IF(L279="","",IF(V279&gt;0,INDEX('08-آب'!$Q$2:$Q$501,V279),IF($AO$1=1,0,"")))</f>
        <v/>
      </c>
      <c r="AA279" s="39" t="str">
        <f t="shared" si="93"/>
        <v/>
      </c>
      <c r="AB279" s="40" t="str">
        <f>IF(OR(L279="",V279=0),"",IF(AND(N(I279)&gt;0,N(INDEX('08-آب'!$I$2:$I$501,V279))&gt;0,INDEX('08-آب'!$F$2:$F$501,V279)=F279),N(I279)/N(INDEX('08-آب'!$I$2:$I$501,V279))-1,""))</f>
        <v/>
      </c>
      <c r="AC279" t="str">
        <f>IF(L279="","",IF(AND($AO$2=1,ISNA(MATCH(L279,'10-تشرين الأول'!$L$2:$L$501,0))),"محذوف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IF(L280="","",IF($AO$1=1,IFERROR(MATCH(L280,'08-آب'!$L$2:$L$501,0),0),0))</f>
        <v/>
      </c>
      <c r="W280" t="str">
        <f t="shared" si="91"/>
        <v/>
      </c>
      <c r="X280" s="38" t="str">
        <f>IF(L280="","",IF(V280&gt;0,INDEX('08-آب'!$P$2:$P$501,V280),IF($AO$1=1,0,"")))</f>
        <v/>
      </c>
      <c r="Y280" s="38" t="str">
        <f t="shared" si="92"/>
        <v/>
      </c>
      <c r="Z280" s="39" t="str">
        <f>IF(L280="","",IF(V280&gt;0,INDEX('08-آب'!$Q$2:$Q$501,V280),IF($AO$1=1,0,"")))</f>
        <v/>
      </c>
      <c r="AA280" s="39" t="str">
        <f t="shared" si="93"/>
        <v/>
      </c>
      <c r="AB280" s="40" t="str">
        <f>IF(OR(L280="",V280=0),"",IF(AND(N(I280)&gt;0,N(INDEX('08-آب'!$I$2:$I$501,V280))&gt;0,INDEX('08-آب'!$F$2:$F$501,V280)=F280),N(I280)/N(INDEX('08-آب'!$I$2:$I$501,V280))-1,""))</f>
        <v/>
      </c>
      <c r="AC280" t="str">
        <f>IF(L280="","",IF(AND($AO$2=1,ISNA(MATCH(L280,'10-تشرين الأول'!$L$2:$L$501,0))),"محذوف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IF(L281="","",IF($AO$1=1,IFERROR(MATCH(L281,'08-آب'!$L$2:$L$501,0),0),0))</f>
        <v/>
      </c>
      <c r="W281" t="str">
        <f t="shared" si="91"/>
        <v/>
      </c>
      <c r="X281" s="38" t="str">
        <f>IF(L281="","",IF(V281&gt;0,INDEX('08-آب'!$P$2:$P$501,V281),IF($AO$1=1,0,"")))</f>
        <v/>
      </c>
      <c r="Y281" s="38" t="str">
        <f t="shared" si="92"/>
        <v/>
      </c>
      <c r="Z281" s="39" t="str">
        <f>IF(L281="","",IF(V281&gt;0,INDEX('08-آب'!$Q$2:$Q$501,V281),IF($AO$1=1,0,"")))</f>
        <v/>
      </c>
      <c r="AA281" s="39" t="str">
        <f t="shared" si="93"/>
        <v/>
      </c>
      <c r="AB281" s="40" t="str">
        <f>IF(OR(L281="",V281=0),"",IF(AND(N(I281)&gt;0,N(INDEX('08-آب'!$I$2:$I$501,V281))&gt;0,INDEX('08-آب'!$F$2:$F$501,V281)=F281),N(I281)/N(INDEX('08-آب'!$I$2:$I$501,V281))-1,""))</f>
        <v/>
      </c>
      <c r="AC281" t="str">
        <f>IF(L281="","",IF(AND($AO$2=1,ISNA(MATCH(L281,'10-تشرين الأول'!$L$2:$L$501,0))),"محذوف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IF(L282="","",IF($AO$1=1,IFERROR(MATCH(L282,'08-آب'!$L$2:$L$501,0),0),0))</f>
        <v/>
      </c>
      <c r="W282" t="str">
        <f t="shared" si="91"/>
        <v/>
      </c>
      <c r="X282" s="38" t="str">
        <f>IF(L282="","",IF(V282&gt;0,INDEX('08-آب'!$P$2:$P$501,V282),IF($AO$1=1,0,"")))</f>
        <v/>
      </c>
      <c r="Y282" s="38" t="str">
        <f t="shared" si="92"/>
        <v/>
      </c>
      <c r="Z282" s="39" t="str">
        <f>IF(L282="","",IF(V282&gt;0,INDEX('08-آب'!$Q$2:$Q$501,V282),IF($AO$1=1,0,"")))</f>
        <v/>
      </c>
      <c r="AA282" s="39" t="str">
        <f t="shared" si="93"/>
        <v/>
      </c>
      <c r="AB282" s="40" t="str">
        <f>IF(OR(L282="",V282=0),"",IF(AND(N(I282)&gt;0,N(INDEX('08-آب'!$I$2:$I$501,V282))&gt;0,INDEX('08-آب'!$F$2:$F$501,V282)=F282),N(I282)/N(INDEX('08-آب'!$I$2:$I$501,V282))-1,""))</f>
        <v/>
      </c>
      <c r="AC282" t="str">
        <f>IF(L282="","",IF(AND($AO$2=1,ISNA(MATCH(L282,'10-تشرين الأول'!$L$2:$L$501,0))),"محذوف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IF(L283="","",IF($AO$1=1,IFERROR(MATCH(L283,'08-آب'!$L$2:$L$501,0),0),0))</f>
        <v/>
      </c>
      <c r="W283" t="str">
        <f t="shared" si="91"/>
        <v/>
      </c>
      <c r="X283" s="38" t="str">
        <f>IF(L283="","",IF(V283&gt;0,INDEX('08-آب'!$P$2:$P$501,V283),IF($AO$1=1,0,"")))</f>
        <v/>
      </c>
      <c r="Y283" s="38" t="str">
        <f t="shared" si="92"/>
        <v/>
      </c>
      <c r="Z283" s="39" t="str">
        <f>IF(L283="","",IF(V283&gt;0,INDEX('08-آب'!$Q$2:$Q$501,V283),IF($AO$1=1,0,"")))</f>
        <v/>
      </c>
      <c r="AA283" s="39" t="str">
        <f t="shared" si="93"/>
        <v/>
      </c>
      <c r="AB283" s="40" t="str">
        <f>IF(OR(L283="",V283=0),"",IF(AND(N(I283)&gt;0,N(INDEX('08-آب'!$I$2:$I$501,V283))&gt;0,INDEX('08-آب'!$F$2:$F$501,V283)=F283),N(I283)/N(INDEX('08-آب'!$I$2:$I$501,V283))-1,""))</f>
        <v/>
      </c>
      <c r="AC283" t="str">
        <f>IF(L283="","",IF(AND($AO$2=1,ISNA(MATCH(L283,'10-تشرين الأول'!$L$2:$L$501,0))),"محذوف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IF(L284="","",IF($AO$1=1,IFERROR(MATCH(L284,'08-آب'!$L$2:$L$501,0),0),0))</f>
        <v/>
      </c>
      <c r="W284" t="str">
        <f t="shared" si="91"/>
        <v/>
      </c>
      <c r="X284" s="38" t="str">
        <f>IF(L284="","",IF(V284&gt;0,INDEX('08-آب'!$P$2:$P$501,V284),IF($AO$1=1,0,"")))</f>
        <v/>
      </c>
      <c r="Y284" s="38" t="str">
        <f t="shared" si="92"/>
        <v/>
      </c>
      <c r="Z284" s="39" t="str">
        <f>IF(L284="","",IF(V284&gt;0,INDEX('08-آب'!$Q$2:$Q$501,V284),IF($AO$1=1,0,"")))</f>
        <v/>
      </c>
      <c r="AA284" s="39" t="str">
        <f t="shared" si="93"/>
        <v/>
      </c>
      <c r="AB284" s="40" t="str">
        <f>IF(OR(L284="",V284=0),"",IF(AND(N(I284)&gt;0,N(INDEX('08-آب'!$I$2:$I$501,V284))&gt;0,INDEX('08-آب'!$F$2:$F$501,V284)=F284),N(I284)/N(INDEX('08-آب'!$I$2:$I$501,V284))-1,""))</f>
        <v/>
      </c>
      <c r="AC284" t="str">
        <f>IF(L284="","",IF(AND($AO$2=1,ISNA(MATCH(L284,'10-تشرين الأول'!$L$2:$L$501,0))),"محذوف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IF(L285="","",IF($AO$1=1,IFERROR(MATCH(L285,'08-آب'!$L$2:$L$501,0),0),0))</f>
        <v/>
      </c>
      <c r="W285" t="str">
        <f t="shared" si="91"/>
        <v/>
      </c>
      <c r="X285" s="38" t="str">
        <f>IF(L285="","",IF(V285&gt;0,INDEX('08-آب'!$P$2:$P$501,V285),IF($AO$1=1,0,"")))</f>
        <v/>
      </c>
      <c r="Y285" s="38" t="str">
        <f t="shared" si="92"/>
        <v/>
      </c>
      <c r="Z285" s="39" t="str">
        <f>IF(L285="","",IF(V285&gt;0,INDEX('08-آب'!$Q$2:$Q$501,V285),IF($AO$1=1,0,"")))</f>
        <v/>
      </c>
      <c r="AA285" s="39" t="str">
        <f t="shared" si="93"/>
        <v/>
      </c>
      <c r="AB285" s="40" t="str">
        <f>IF(OR(L285="",V285=0),"",IF(AND(N(I285)&gt;0,N(INDEX('08-آب'!$I$2:$I$501,V285))&gt;0,INDEX('08-آب'!$F$2:$F$501,V285)=F285),N(I285)/N(INDEX('08-آب'!$I$2:$I$501,V285))-1,""))</f>
        <v/>
      </c>
      <c r="AC285" t="str">
        <f>IF(L285="","",IF(AND($AO$2=1,ISNA(MATCH(L285,'10-تشرين الأول'!$L$2:$L$501,0))),"محذوف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IF(L286="","",IF($AO$1=1,IFERROR(MATCH(L286,'08-آب'!$L$2:$L$501,0),0),0))</f>
        <v/>
      </c>
      <c r="W286" t="str">
        <f t="shared" si="91"/>
        <v/>
      </c>
      <c r="X286" s="38" t="str">
        <f>IF(L286="","",IF(V286&gt;0,INDEX('08-آب'!$P$2:$P$501,V286),IF($AO$1=1,0,"")))</f>
        <v/>
      </c>
      <c r="Y286" s="38" t="str">
        <f t="shared" si="92"/>
        <v/>
      </c>
      <c r="Z286" s="39" t="str">
        <f>IF(L286="","",IF(V286&gt;0,INDEX('08-آب'!$Q$2:$Q$501,V286),IF($AO$1=1,0,"")))</f>
        <v/>
      </c>
      <c r="AA286" s="39" t="str">
        <f t="shared" si="93"/>
        <v/>
      </c>
      <c r="AB286" s="40" t="str">
        <f>IF(OR(L286="",V286=0),"",IF(AND(N(I286)&gt;0,N(INDEX('08-آب'!$I$2:$I$501,V286))&gt;0,INDEX('08-آب'!$F$2:$F$501,V286)=F286),N(I286)/N(INDEX('08-آب'!$I$2:$I$501,V286))-1,""))</f>
        <v/>
      </c>
      <c r="AC286" t="str">
        <f>IF(L286="","",IF(AND($AO$2=1,ISNA(MATCH(L286,'10-تشرين الأول'!$L$2:$L$501,0))),"محذوف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IF(L287="","",IF($AO$1=1,IFERROR(MATCH(L287,'08-آب'!$L$2:$L$501,0),0),0))</f>
        <v/>
      </c>
      <c r="W287" t="str">
        <f t="shared" si="91"/>
        <v/>
      </c>
      <c r="X287" s="38" t="str">
        <f>IF(L287="","",IF(V287&gt;0,INDEX('08-آب'!$P$2:$P$501,V287),IF($AO$1=1,0,"")))</f>
        <v/>
      </c>
      <c r="Y287" s="38" t="str">
        <f t="shared" si="92"/>
        <v/>
      </c>
      <c r="Z287" s="39" t="str">
        <f>IF(L287="","",IF(V287&gt;0,INDEX('08-آب'!$Q$2:$Q$501,V287),IF($AO$1=1,0,"")))</f>
        <v/>
      </c>
      <c r="AA287" s="39" t="str">
        <f t="shared" si="93"/>
        <v/>
      </c>
      <c r="AB287" s="40" t="str">
        <f>IF(OR(L287="",V287=0),"",IF(AND(N(I287)&gt;0,N(INDEX('08-آب'!$I$2:$I$501,V287))&gt;0,INDEX('08-آب'!$F$2:$F$501,V287)=F287),N(I287)/N(INDEX('08-آب'!$I$2:$I$501,V287))-1,""))</f>
        <v/>
      </c>
      <c r="AC287" t="str">
        <f>IF(L287="","",IF(AND($AO$2=1,ISNA(MATCH(L287,'10-تشرين الأول'!$L$2:$L$501,0))),"محذوف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IF(L288="","",IF($AO$1=1,IFERROR(MATCH(L288,'08-آب'!$L$2:$L$501,0),0),0))</f>
        <v/>
      </c>
      <c r="W288" t="str">
        <f t="shared" si="91"/>
        <v/>
      </c>
      <c r="X288" s="38" t="str">
        <f>IF(L288="","",IF(V288&gt;0,INDEX('08-آب'!$P$2:$P$501,V288),IF($AO$1=1,0,"")))</f>
        <v/>
      </c>
      <c r="Y288" s="38" t="str">
        <f t="shared" si="92"/>
        <v/>
      </c>
      <c r="Z288" s="39" t="str">
        <f>IF(L288="","",IF(V288&gt;0,INDEX('08-آب'!$Q$2:$Q$501,V288),IF($AO$1=1,0,"")))</f>
        <v/>
      </c>
      <c r="AA288" s="39" t="str">
        <f t="shared" si="93"/>
        <v/>
      </c>
      <c r="AB288" s="40" t="str">
        <f>IF(OR(L288="",V288=0),"",IF(AND(N(I288)&gt;0,N(INDEX('08-آب'!$I$2:$I$501,V288))&gt;0,INDEX('08-آب'!$F$2:$F$501,V288)=F288),N(I288)/N(INDEX('08-آب'!$I$2:$I$501,V288))-1,""))</f>
        <v/>
      </c>
      <c r="AC288" t="str">
        <f>IF(L288="","",IF(AND($AO$2=1,ISNA(MATCH(L288,'10-تشرين الأول'!$L$2:$L$501,0))),"محذوف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IF(L289="","",IF($AO$1=1,IFERROR(MATCH(L289,'08-آب'!$L$2:$L$501,0),0),0))</f>
        <v/>
      </c>
      <c r="W289" t="str">
        <f t="shared" si="91"/>
        <v/>
      </c>
      <c r="X289" s="38" t="str">
        <f>IF(L289="","",IF(V289&gt;0,INDEX('08-آب'!$P$2:$P$501,V289),IF($AO$1=1,0,"")))</f>
        <v/>
      </c>
      <c r="Y289" s="38" t="str">
        <f t="shared" si="92"/>
        <v/>
      </c>
      <c r="Z289" s="39" t="str">
        <f>IF(L289="","",IF(V289&gt;0,INDEX('08-آب'!$Q$2:$Q$501,V289),IF($AO$1=1,0,"")))</f>
        <v/>
      </c>
      <c r="AA289" s="39" t="str">
        <f t="shared" si="93"/>
        <v/>
      </c>
      <c r="AB289" s="40" t="str">
        <f>IF(OR(L289="",V289=0),"",IF(AND(N(I289)&gt;0,N(INDEX('08-آب'!$I$2:$I$501,V289))&gt;0,INDEX('08-آب'!$F$2:$F$501,V289)=F289),N(I289)/N(INDEX('08-آب'!$I$2:$I$501,V289))-1,""))</f>
        <v/>
      </c>
      <c r="AC289" t="str">
        <f>IF(L289="","",IF(AND($AO$2=1,ISNA(MATCH(L289,'10-تشرين الأول'!$L$2:$L$501,0))),"محذوف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IF(L290="","",IF($AO$1=1,IFERROR(MATCH(L290,'08-آب'!$L$2:$L$501,0),0),0))</f>
        <v/>
      </c>
      <c r="W290" t="str">
        <f t="shared" si="91"/>
        <v/>
      </c>
      <c r="X290" s="38" t="str">
        <f>IF(L290="","",IF(V290&gt;0,INDEX('08-آب'!$P$2:$P$501,V290),IF($AO$1=1,0,"")))</f>
        <v/>
      </c>
      <c r="Y290" s="38" t="str">
        <f t="shared" si="92"/>
        <v/>
      </c>
      <c r="Z290" s="39" t="str">
        <f>IF(L290="","",IF(V290&gt;0,INDEX('08-آب'!$Q$2:$Q$501,V290),IF($AO$1=1,0,"")))</f>
        <v/>
      </c>
      <c r="AA290" s="39" t="str">
        <f t="shared" si="93"/>
        <v/>
      </c>
      <c r="AB290" s="40" t="str">
        <f>IF(OR(L290="",V290=0),"",IF(AND(N(I290)&gt;0,N(INDEX('08-آب'!$I$2:$I$501,V290))&gt;0,INDEX('08-آب'!$F$2:$F$501,V290)=F290),N(I290)/N(INDEX('08-آب'!$I$2:$I$501,V290))-1,""))</f>
        <v/>
      </c>
      <c r="AC290" t="str">
        <f>IF(L290="","",IF(AND($AO$2=1,ISNA(MATCH(L290,'10-تشرين الأول'!$L$2:$L$501,0))),"محذوف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IF(L291="","",IF($AO$1=1,IFERROR(MATCH(L291,'08-آب'!$L$2:$L$501,0),0),0))</f>
        <v/>
      </c>
      <c r="W291" t="str">
        <f t="shared" si="91"/>
        <v/>
      </c>
      <c r="X291" s="38" t="str">
        <f>IF(L291="","",IF(V291&gt;0,INDEX('08-آب'!$P$2:$P$501,V291),IF($AO$1=1,0,"")))</f>
        <v/>
      </c>
      <c r="Y291" s="38" t="str">
        <f t="shared" si="92"/>
        <v/>
      </c>
      <c r="Z291" s="39" t="str">
        <f>IF(L291="","",IF(V291&gt;0,INDEX('08-آب'!$Q$2:$Q$501,V291),IF($AO$1=1,0,"")))</f>
        <v/>
      </c>
      <c r="AA291" s="39" t="str">
        <f t="shared" si="93"/>
        <v/>
      </c>
      <c r="AB291" s="40" t="str">
        <f>IF(OR(L291="",V291=0),"",IF(AND(N(I291)&gt;0,N(INDEX('08-آب'!$I$2:$I$501,V291))&gt;0,INDEX('08-آب'!$F$2:$F$501,V291)=F291),N(I291)/N(INDEX('08-آب'!$I$2:$I$501,V291))-1,""))</f>
        <v/>
      </c>
      <c r="AC291" t="str">
        <f>IF(L291="","",IF(AND($AO$2=1,ISNA(MATCH(L291,'10-تشرين الأول'!$L$2:$L$501,0))),"محذوف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IF(L292="","",IF($AO$1=1,IFERROR(MATCH(L292,'08-آب'!$L$2:$L$501,0),0),0))</f>
        <v/>
      </c>
      <c r="W292" t="str">
        <f t="shared" si="91"/>
        <v/>
      </c>
      <c r="X292" s="38" t="str">
        <f>IF(L292="","",IF(V292&gt;0,INDEX('08-آب'!$P$2:$P$501,V292),IF($AO$1=1,0,"")))</f>
        <v/>
      </c>
      <c r="Y292" s="38" t="str">
        <f t="shared" si="92"/>
        <v/>
      </c>
      <c r="Z292" s="39" t="str">
        <f>IF(L292="","",IF(V292&gt;0,INDEX('08-آب'!$Q$2:$Q$501,V292),IF($AO$1=1,0,"")))</f>
        <v/>
      </c>
      <c r="AA292" s="39" t="str">
        <f t="shared" si="93"/>
        <v/>
      </c>
      <c r="AB292" s="40" t="str">
        <f>IF(OR(L292="",V292=0),"",IF(AND(N(I292)&gt;0,N(INDEX('08-آب'!$I$2:$I$501,V292))&gt;0,INDEX('08-آب'!$F$2:$F$501,V292)=F292),N(I292)/N(INDEX('08-آب'!$I$2:$I$501,V292))-1,""))</f>
        <v/>
      </c>
      <c r="AC292" t="str">
        <f>IF(L292="","",IF(AND($AO$2=1,ISNA(MATCH(L292,'10-تشرين الأول'!$L$2:$L$501,0))),"محذوف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IF(L293="","",IF($AO$1=1,IFERROR(MATCH(L293,'08-آب'!$L$2:$L$501,0),0),0))</f>
        <v/>
      </c>
      <c r="W293" t="str">
        <f t="shared" si="91"/>
        <v/>
      </c>
      <c r="X293" s="38" t="str">
        <f>IF(L293="","",IF(V293&gt;0,INDEX('08-آب'!$P$2:$P$501,V293),IF($AO$1=1,0,"")))</f>
        <v/>
      </c>
      <c r="Y293" s="38" t="str">
        <f t="shared" si="92"/>
        <v/>
      </c>
      <c r="Z293" s="39" t="str">
        <f>IF(L293="","",IF(V293&gt;0,INDEX('08-آب'!$Q$2:$Q$501,V293),IF($AO$1=1,0,"")))</f>
        <v/>
      </c>
      <c r="AA293" s="39" t="str">
        <f t="shared" si="93"/>
        <v/>
      </c>
      <c r="AB293" s="40" t="str">
        <f>IF(OR(L293="",V293=0),"",IF(AND(N(I293)&gt;0,N(INDEX('08-آب'!$I$2:$I$501,V293))&gt;0,INDEX('08-آب'!$F$2:$F$501,V293)=F293),N(I293)/N(INDEX('08-آب'!$I$2:$I$501,V293))-1,""))</f>
        <v/>
      </c>
      <c r="AC293" t="str">
        <f>IF(L293="","",IF(AND($AO$2=1,ISNA(MATCH(L293,'10-تشرين الأول'!$L$2:$L$501,0))),"محذوف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IF(L294="","",IF($AO$1=1,IFERROR(MATCH(L294,'08-آب'!$L$2:$L$501,0),0),0))</f>
        <v/>
      </c>
      <c r="W294" t="str">
        <f t="shared" si="91"/>
        <v/>
      </c>
      <c r="X294" s="38" t="str">
        <f>IF(L294="","",IF(V294&gt;0,INDEX('08-آب'!$P$2:$P$501,V294),IF($AO$1=1,0,"")))</f>
        <v/>
      </c>
      <c r="Y294" s="38" t="str">
        <f t="shared" si="92"/>
        <v/>
      </c>
      <c r="Z294" s="39" t="str">
        <f>IF(L294="","",IF(V294&gt;0,INDEX('08-آب'!$Q$2:$Q$501,V294),IF($AO$1=1,0,"")))</f>
        <v/>
      </c>
      <c r="AA294" s="39" t="str">
        <f t="shared" si="93"/>
        <v/>
      </c>
      <c r="AB294" s="40" t="str">
        <f>IF(OR(L294="",V294=0),"",IF(AND(N(I294)&gt;0,N(INDEX('08-آب'!$I$2:$I$501,V294))&gt;0,INDEX('08-آب'!$F$2:$F$501,V294)=F294),N(I294)/N(INDEX('08-آب'!$I$2:$I$501,V294))-1,""))</f>
        <v/>
      </c>
      <c r="AC294" t="str">
        <f>IF(L294="","",IF(AND($AO$2=1,ISNA(MATCH(L294,'10-تشرين الأول'!$L$2:$L$501,0))),"محذوف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IF(L295="","",IF($AO$1=1,IFERROR(MATCH(L295,'08-آب'!$L$2:$L$501,0),0),0))</f>
        <v/>
      </c>
      <c r="W295" t="str">
        <f t="shared" si="91"/>
        <v/>
      </c>
      <c r="X295" s="38" t="str">
        <f>IF(L295="","",IF(V295&gt;0,INDEX('08-آب'!$P$2:$P$501,V295),IF($AO$1=1,0,"")))</f>
        <v/>
      </c>
      <c r="Y295" s="38" t="str">
        <f t="shared" si="92"/>
        <v/>
      </c>
      <c r="Z295" s="39" t="str">
        <f>IF(L295="","",IF(V295&gt;0,INDEX('08-آب'!$Q$2:$Q$501,V295),IF($AO$1=1,0,"")))</f>
        <v/>
      </c>
      <c r="AA295" s="39" t="str">
        <f t="shared" si="93"/>
        <v/>
      </c>
      <c r="AB295" s="40" t="str">
        <f>IF(OR(L295="",V295=0),"",IF(AND(N(I295)&gt;0,N(INDEX('08-آب'!$I$2:$I$501,V295))&gt;0,INDEX('08-آب'!$F$2:$F$501,V295)=F295),N(I295)/N(INDEX('08-آب'!$I$2:$I$501,V295))-1,""))</f>
        <v/>
      </c>
      <c r="AC295" t="str">
        <f>IF(L295="","",IF(AND($AO$2=1,ISNA(MATCH(L295,'10-تشرين الأول'!$L$2:$L$501,0))),"محذوف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IF(L296="","",IF($AO$1=1,IFERROR(MATCH(L296,'08-آب'!$L$2:$L$501,0),0),0))</f>
        <v/>
      </c>
      <c r="W296" t="str">
        <f t="shared" si="91"/>
        <v/>
      </c>
      <c r="X296" s="38" t="str">
        <f>IF(L296="","",IF(V296&gt;0,INDEX('08-آب'!$P$2:$P$501,V296),IF($AO$1=1,0,"")))</f>
        <v/>
      </c>
      <c r="Y296" s="38" t="str">
        <f t="shared" si="92"/>
        <v/>
      </c>
      <c r="Z296" s="39" t="str">
        <f>IF(L296="","",IF(V296&gt;0,INDEX('08-آب'!$Q$2:$Q$501,V296),IF($AO$1=1,0,"")))</f>
        <v/>
      </c>
      <c r="AA296" s="39" t="str">
        <f t="shared" si="93"/>
        <v/>
      </c>
      <c r="AB296" s="40" t="str">
        <f>IF(OR(L296="",V296=0),"",IF(AND(N(I296)&gt;0,N(INDEX('08-آب'!$I$2:$I$501,V296))&gt;0,INDEX('08-آب'!$F$2:$F$501,V296)=F296),N(I296)/N(INDEX('08-آب'!$I$2:$I$501,V296))-1,""))</f>
        <v/>
      </c>
      <c r="AC296" t="str">
        <f>IF(L296="","",IF(AND($AO$2=1,ISNA(MATCH(L296,'10-تشرين الأول'!$L$2:$L$501,0))),"محذوف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IF(L297="","",IF($AO$1=1,IFERROR(MATCH(L297,'08-آب'!$L$2:$L$501,0),0),0))</f>
        <v/>
      </c>
      <c r="W297" t="str">
        <f t="shared" si="91"/>
        <v/>
      </c>
      <c r="X297" s="38" t="str">
        <f>IF(L297="","",IF(V297&gt;0,INDEX('08-آب'!$P$2:$P$501,V297),IF($AO$1=1,0,"")))</f>
        <v/>
      </c>
      <c r="Y297" s="38" t="str">
        <f t="shared" si="92"/>
        <v/>
      </c>
      <c r="Z297" s="39" t="str">
        <f>IF(L297="","",IF(V297&gt;0,INDEX('08-آب'!$Q$2:$Q$501,V297),IF($AO$1=1,0,"")))</f>
        <v/>
      </c>
      <c r="AA297" s="39" t="str">
        <f t="shared" si="93"/>
        <v/>
      </c>
      <c r="AB297" s="40" t="str">
        <f>IF(OR(L297="",V297=0),"",IF(AND(N(I297)&gt;0,N(INDEX('08-آب'!$I$2:$I$501,V297))&gt;0,INDEX('08-آب'!$F$2:$F$501,V297)=F297),N(I297)/N(INDEX('08-آب'!$I$2:$I$501,V297))-1,""))</f>
        <v/>
      </c>
      <c r="AC297" t="str">
        <f>IF(L297="","",IF(AND($AO$2=1,ISNA(MATCH(L297,'10-تشرين الأول'!$L$2:$L$501,0))),"محذوف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IF(L298="","",IF($AO$1=1,IFERROR(MATCH(L298,'08-آب'!$L$2:$L$501,0),0),0))</f>
        <v/>
      </c>
      <c r="W298" t="str">
        <f t="shared" si="91"/>
        <v/>
      </c>
      <c r="X298" s="38" t="str">
        <f>IF(L298="","",IF(V298&gt;0,INDEX('08-آب'!$P$2:$P$501,V298),IF($AO$1=1,0,"")))</f>
        <v/>
      </c>
      <c r="Y298" s="38" t="str">
        <f t="shared" si="92"/>
        <v/>
      </c>
      <c r="Z298" s="39" t="str">
        <f>IF(L298="","",IF(V298&gt;0,INDEX('08-آب'!$Q$2:$Q$501,V298),IF($AO$1=1,0,"")))</f>
        <v/>
      </c>
      <c r="AA298" s="39" t="str">
        <f t="shared" si="93"/>
        <v/>
      </c>
      <c r="AB298" s="40" t="str">
        <f>IF(OR(L298="",V298=0),"",IF(AND(N(I298)&gt;0,N(INDEX('08-آب'!$I$2:$I$501,V298))&gt;0,INDEX('08-آب'!$F$2:$F$501,V298)=F298),N(I298)/N(INDEX('08-آب'!$I$2:$I$501,V298))-1,""))</f>
        <v/>
      </c>
      <c r="AC298" t="str">
        <f>IF(L298="","",IF(AND($AO$2=1,ISNA(MATCH(L298,'10-تشرين الأول'!$L$2:$L$501,0))),"محذوف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IF(L299="","",IF($AO$1=1,IFERROR(MATCH(L299,'08-آب'!$L$2:$L$501,0),0),0))</f>
        <v/>
      </c>
      <c r="W299" t="str">
        <f t="shared" si="91"/>
        <v/>
      </c>
      <c r="X299" s="38" t="str">
        <f>IF(L299="","",IF(V299&gt;0,INDEX('08-آب'!$P$2:$P$501,V299),IF($AO$1=1,0,"")))</f>
        <v/>
      </c>
      <c r="Y299" s="38" t="str">
        <f t="shared" si="92"/>
        <v/>
      </c>
      <c r="Z299" s="39" t="str">
        <f>IF(L299="","",IF(V299&gt;0,INDEX('08-آب'!$Q$2:$Q$501,V299),IF($AO$1=1,0,"")))</f>
        <v/>
      </c>
      <c r="AA299" s="39" t="str">
        <f t="shared" si="93"/>
        <v/>
      </c>
      <c r="AB299" s="40" t="str">
        <f>IF(OR(L299="",V299=0),"",IF(AND(N(I299)&gt;0,N(INDEX('08-آب'!$I$2:$I$501,V299))&gt;0,INDEX('08-آب'!$F$2:$F$501,V299)=F299),N(I299)/N(INDEX('08-آب'!$I$2:$I$501,V299))-1,""))</f>
        <v/>
      </c>
      <c r="AC299" t="str">
        <f>IF(L299="","",IF(AND($AO$2=1,ISNA(MATCH(L299,'10-تشرين الأول'!$L$2:$L$501,0))),"محذوف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IF(L300="","",IF($AO$1=1,IFERROR(MATCH(L300,'08-آب'!$L$2:$L$501,0),0),0))</f>
        <v/>
      </c>
      <c r="W300" t="str">
        <f t="shared" si="91"/>
        <v/>
      </c>
      <c r="X300" s="38" t="str">
        <f>IF(L300="","",IF(V300&gt;0,INDEX('08-آب'!$P$2:$P$501,V300),IF($AO$1=1,0,"")))</f>
        <v/>
      </c>
      <c r="Y300" s="38" t="str">
        <f t="shared" si="92"/>
        <v/>
      </c>
      <c r="Z300" s="39" t="str">
        <f>IF(L300="","",IF(V300&gt;0,INDEX('08-آب'!$Q$2:$Q$501,V300),IF($AO$1=1,0,"")))</f>
        <v/>
      </c>
      <c r="AA300" s="39" t="str">
        <f t="shared" si="93"/>
        <v/>
      </c>
      <c r="AB300" s="40" t="str">
        <f>IF(OR(L300="",V300=0),"",IF(AND(N(I300)&gt;0,N(INDEX('08-آب'!$I$2:$I$501,V300))&gt;0,INDEX('08-آب'!$F$2:$F$501,V300)=F300),N(I300)/N(INDEX('08-آب'!$I$2:$I$501,V300))-1,""))</f>
        <v/>
      </c>
      <c r="AC300" t="str">
        <f>IF(L300="","",IF(AND($AO$2=1,ISNA(MATCH(L300,'10-تشرين الأول'!$L$2:$L$501,0))),"محذوف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IF(L301="","",IF($AO$1=1,IFERROR(MATCH(L301,'08-آب'!$L$2:$L$501,0),0),0))</f>
        <v/>
      </c>
      <c r="W301" t="str">
        <f t="shared" si="91"/>
        <v/>
      </c>
      <c r="X301" s="38" t="str">
        <f>IF(L301="","",IF(V301&gt;0,INDEX('08-آب'!$P$2:$P$501,V301),IF($AO$1=1,0,"")))</f>
        <v/>
      </c>
      <c r="Y301" s="38" t="str">
        <f t="shared" si="92"/>
        <v/>
      </c>
      <c r="Z301" s="39" t="str">
        <f>IF(L301="","",IF(V301&gt;0,INDEX('08-آب'!$Q$2:$Q$501,V301),IF($AO$1=1,0,"")))</f>
        <v/>
      </c>
      <c r="AA301" s="39" t="str">
        <f t="shared" si="93"/>
        <v/>
      </c>
      <c r="AB301" s="40" t="str">
        <f>IF(OR(L301="",V301=0),"",IF(AND(N(I301)&gt;0,N(INDEX('08-آب'!$I$2:$I$501,V301))&gt;0,INDEX('08-آب'!$F$2:$F$501,V301)=F301),N(I301)/N(INDEX('08-آب'!$I$2:$I$501,V301))-1,""))</f>
        <v/>
      </c>
      <c r="AC301" t="str">
        <f>IF(L301="","",IF(AND($AO$2=1,ISNA(MATCH(L301,'10-تشرين الأول'!$L$2:$L$501,0))),"محذوف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IF(L302="","",IF($AO$1=1,IFERROR(MATCH(L302,'08-آب'!$L$2:$L$501,0),0),0))</f>
        <v/>
      </c>
      <c r="W302" t="str">
        <f t="shared" si="91"/>
        <v/>
      </c>
      <c r="X302" s="38" t="str">
        <f>IF(L302="","",IF(V302&gt;0,INDEX('08-آب'!$P$2:$P$501,V302),IF($AO$1=1,0,"")))</f>
        <v/>
      </c>
      <c r="Y302" s="38" t="str">
        <f t="shared" si="92"/>
        <v/>
      </c>
      <c r="Z302" s="39" t="str">
        <f>IF(L302="","",IF(V302&gt;0,INDEX('08-آب'!$Q$2:$Q$501,V302),IF($AO$1=1,0,"")))</f>
        <v/>
      </c>
      <c r="AA302" s="39" t="str">
        <f t="shared" si="93"/>
        <v/>
      </c>
      <c r="AB302" s="40" t="str">
        <f>IF(OR(L302="",V302=0),"",IF(AND(N(I302)&gt;0,N(INDEX('08-آب'!$I$2:$I$501,V302))&gt;0,INDEX('08-آب'!$F$2:$F$501,V302)=F302),N(I302)/N(INDEX('08-آب'!$I$2:$I$501,V302))-1,""))</f>
        <v/>
      </c>
      <c r="AC302" t="str">
        <f>IF(L302="","",IF(AND($AO$2=1,ISNA(MATCH(L302,'10-تشرين الأول'!$L$2:$L$501,0))),"محذوف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IF(L303="","",IF($AO$1=1,IFERROR(MATCH(L303,'08-آب'!$L$2:$L$501,0),0),0))</f>
        <v/>
      </c>
      <c r="W303" t="str">
        <f t="shared" si="91"/>
        <v/>
      </c>
      <c r="X303" s="38" t="str">
        <f>IF(L303="","",IF(V303&gt;0,INDEX('08-آب'!$P$2:$P$501,V303),IF($AO$1=1,0,"")))</f>
        <v/>
      </c>
      <c r="Y303" s="38" t="str">
        <f t="shared" si="92"/>
        <v/>
      </c>
      <c r="Z303" s="39" t="str">
        <f>IF(L303="","",IF(V303&gt;0,INDEX('08-آب'!$Q$2:$Q$501,V303),IF($AO$1=1,0,"")))</f>
        <v/>
      </c>
      <c r="AA303" s="39" t="str">
        <f t="shared" si="93"/>
        <v/>
      </c>
      <c r="AB303" s="40" t="str">
        <f>IF(OR(L303="",V303=0),"",IF(AND(N(I303)&gt;0,N(INDEX('08-آب'!$I$2:$I$501,V303))&gt;0,INDEX('08-آب'!$F$2:$F$501,V303)=F303),N(I303)/N(INDEX('08-آب'!$I$2:$I$501,V303))-1,""))</f>
        <v/>
      </c>
      <c r="AC303" t="str">
        <f>IF(L303="","",IF(AND($AO$2=1,ISNA(MATCH(L303,'10-تشرين الأول'!$L$2:$L$501,0))),"محذوف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IF(L304="","",IF($AO$1=1,IFERROR(MATCH(L304,'08-آب'!$L$2:$L$501,0),0),0))</f>
        <v/>
      </c>
      <c r="W304" t="str">
        <f t="shared" si="91"/>
        <v/>
      </c>
      <c r="X304" s="38" t="str">
        <f>IF(L304="","",IF(V304&gt;0,INDEX('08-آب'!$P$2:$P$501,V304),IF($AO$1=1,0,"")))</f>
        <v/>
      </c>
      <c r="Y304" s="38" t="str">
        <f t="shared" si="92"/>
        <v/>
      </c>
      <c r="Z304" s="39" t="str">
        <f>IF(L304="","",IF(V304&gt;0,INDEX('08-آب'!$Q$2:$Q$501,V304),IF($AO$1=1,0,"")))</f>
        <v/>
      </c>
      <c r="AA304" s="39" t="str">
        <f t="shared" si="93"/>
        <v/>
      </c>
      <c r="AB304" s="40" t="str">
        <f>IF(OR(L304="",V304=0),"",IF(AND(N(I304)&gt;0,N(INDEX('08-آب'!$I$2:$I$501,V304))&gt;0,INDEX('08-آب'!$F$2:$F$501,V304)=F304),N(I304)/N(INDEX('08-آب'!$I$2:$I$501,V304))-1,""))</f>
        <v/>
      </c>
      <c r="AC304" t="str">
        <f>IF(L304="","",IF(AND($AO$2=1,ISNA(MATCH(L304,'10-تشرين الأول'!$L$2:$L$501,0))),"محذوف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IF(L305="","",IF($AO$1=1,IFERROR(MATCH(L305,'08-آب'!$L$2:$L$501,0),0),0))</f>
        <v/>
      </c>
      <c r="W305" t="str">
        <f t="shared" si="91"/>
        <v/>
      </c>
      <c r="X305" s="38" t="str">
        <f>IF(L305="","",IF(V305&gt;0,INDEX('08-آب'!$P$2:$P$501,V305),IF($AO$1=1,0,"")))</f>
        <v/>
      </c>
      <c r="Y305" s="38" t="str">
        <f t="shared" si="92"/>
        <v/>
      </c>
      <c r="Z305" s="39" t="str">
        <f>IF(L305="","",IF(V305&gt;0,INDEX('08-آب'!$Q$2:$Q$501,V305),IF($AO$1=1,0,"")))</f>
        <v/>
      </c>
      <c r="AA305" s="39" t="str">
        <f t="shared" si="93"/>
        <v/>
      </c>
      <c r="AB305" s="40" t="str">
        <f>IF(OR(L305="",V305=0),"",IF(AND(N(I305)&gt;0,N(INDEX('08-آب'!$I$2:$I$501,V305))&gt;0,INDEX('08-آب'!$F$2:$F$501,V305)=F305),N(I305)/N(INDEX('08-آب'!$I$2:$I$501,V305))-1,""))</f>
        <v/>
      </c>
      <c r="AC305" t="str">
        <f>IF(L305="","",IF(AND($AO$2=1,ISNA(MATCH(L305,'10-تشرين الأول'!$L$2:$L$501,0))),"محذوف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IF(L306="","",IF($AO$1=1,IFERROR(MATCH(L306,'08-آب'!$L$2:$L$501,0),0),0))</f>
        <v/>
      </c>
      <c r="W306" t="str">
        <f t="shared" si="91"/>
        <v/>
      </c>
      <c r="X306" s="38" t="str">
        <f>IF(L306="","",IF(V306&gt;0,INDEX('08-آب'!$P$2:$P$501,V306),IF($AO$1=1,0,"")))</f>
        <v/>
      </c>
      <c r="Y306" s="38" t="str">
        <f t="shared" si="92"/>
        <v/>
      </c>
      <c r="Z306" s="39" t="str">
        <f>IF(L306="","",IF(V306&gt;0,INDEX('08-آب'!$Q$2:$Q$501,V306),IF($AO$1=1,0,"")))</f>
        <v/>
      </c>
      <c r="AA306" s="39" t="str">
        <f t="shared" si="93"/>
        <v/>
      </c>
      <c r="AB306" s="40" t="str">
        <f>IF(OR(L306="",V306=0),"",IF(AND(N(I306)&gt;0,N(INDEX('08-آب'!$I$2:$I$501,V306))&gt;0,INDEX('08-آب'!$F$2:$F$501,V306)=F306),N(I306)/N(INDEX('08-آب'!$I$2:$I$501,V306))-1,""))</f>
        <v/>
      </c>
      <c r="AC306" t="str">
        <f>IF(L306="","",IF(AND($AO$2=1,ISNA(MATCH(L306,'10-تشرين الأول'!$L$2:$L$501,0))),"محذوف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IF(L307="","",IF($AO$1=1,IFERROR(MATCH(L307,'08-آب'!$L$2:$L$501,0),0),0))</f>
        <v/>
      </c>
      <c r="W307" t="str">
        <f t="shared" si="91"/>
        <v/>
      </c>
      <c r="X307" s="38" t="str">
        <f>IF(L307="","",IF(V307&gt;0,INDEX('08-آب'!$P$2:$P$501,V307),IF($AO$1=1,0,"")))</f>
        <v/>
      </c>
      <c r="Y307" s="38" t="str">
        <f t="shared" si="92"/>
        <v/>
      </c>
      <c r="Z307" s="39" t="str">
        <f>IF(L307="","",IF(V307&gt;0,INDEX('08-آب'!$Q$2:$Q$501,V307),IF($AO$1=1,0,"")))</f>
        <v/>
      </c>
      <c r="AA307" s="39" t="str">
        <f t="shared" si="93"/>
        <v/>
      </c>
      <c r="AB307" s="40" t="str">
        <f>IF(OR(L307="",V307=0),"",IF(AND(N(I307)&gt;0,N(INDEX('08-آب'!$I$2:$I$501,V307))&gt;0,INDEX('08-آب'!$F$2:$F$501,V307)=F307),N(I307)/N(INDEX('08-آب'!$I$2:$I$501,V307))-1,""))</f>
        <v/>
      </c>
      <c r="AC307" t="str">
        <f>IF(L307="","",IF(AND($AO$2=1,ISNA(MATCH(L307,'10-تشرين الأول'!$L$2:$L$501,0))),"محذوف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IF(L308="","",IF($AO$1=1,IFERROR(MATCH(L308,'08-آب'!$L$2:$L$501,0),0),0))</f>
        <v/>
      </c>
      <c r="W308" t="str">
        <f t="shared" si="91"/>
        <v/>
      </c>
      <c r="X308" s="38" t="str">
        <f>IF(L308="","",IF(V308&gt;0,INDEX('08-آب'!$P$2:$P$501,V308),IF($AO$1=1,0,"")))</f>
        <v/>
      </c>
      <c r="Y308" s="38" t="str">
        <f t="shared" si="92"/>
        <v/>
      </c>
      <c r="Z308" s="39" t="str">
        <f>IF(L308="","",IF(V308&gt;0,INDEX('08-آب'!$Q$2:$Q$501,V308),IF($AO$1=1,0,"")))</f>
        <v/>
      </c>
      <c r="AA308" s="39" t="str">
        <f t="shared" si="93"/>
        <v/>
      </c>
      <c r="AB308" s="40" t="str">
        <f>IF(OR(L308="",V308=0),"",IF(AND(N(I308)&gt;0,N(INDEX('08-آب'!$I$2:$I$501,V308))&gt;0,INDEX('08-آب'!$F$2:$F$501,V308)=F308),N(I308)/N(INDEX('08-آب'!$I$2:$I$501,V308))-1,""))</f>
        <v/>
      </c>
      <c r="AC308" t="str">
        <f>IF(L308="","",IF(AND($AO$2=1,ISNA(MATCH(L308,'10-تشرين الأول'!$L$2:$L$501,0))),"محذوف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IF(L309="","",IF($AO$1=1,IFERROR(MATCH(L309,'08-آب'!$L$2:$L$501,0),0),0))</f>
        <v/>
      </c>
      <c r="W309" t="str">
        <f t="shared" si="91"/>
        <v/>
      </c>
      <c r="X309" s="38" t="str">
        <f>IF(L309="","",IF(V309&gt;0,INDEX('08-آب'!$P$2:$P$501,V309),IF($AO$1=1,0,"")))</f>
        <v/>
      </c>
      <c r="Y309" s="38" t="str">
        <f t="shared" si="92"/>
        <v/>
      </c>
      <c r="Z309" s="39" t="str">
        <f>IF(L309="","",IF(V309&gt;0,INDEX('08-آب'!$Q$2:$Q$501,V309),IF($AO$1=1,0,"")))</f>
        <v/>
      </c>
      <c r="AA309" s="39" t="str">
        <f t="shared" si="93"/>
        <v/>
      </c>
      <c r="AB309" s="40" t="str">
        <f>IF(OR(L309="",V309=0),"",IF(AND(N(I309)&gt;0,N(INDEX('08-آب'!$I$2:$I$501,V309))&gt;0,INDEX('08-آب'!$F$2:$F$501,V309)=F309),N(I309)/N(INDEX('08-آب'!$I$2:$I$501,V309))-1,""))</f>
        <v/>
      </c>
      <c r="AC309" t="str">
        <f>IF(L309="","",IF(AND($AO$2=1,ISNA(MATCH(L309,'10-تشرين الأول'!$L$2:$L$501,0))),"محذوف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IF(L310="","",IF($AO$1=1,IFERROR(MATCH(L310,'08-آب'!$L$2:$L$501,0),0),0))</f>
        <v/>
      </c>
      <c r="W310" t="str">
        <f t="shared" si="91"/>
        <v/>
      </c>
      <c r="X310" s="38" t="str">
        <f>IF(L310="","",IF(V310&gt;0,INDEX('08-آب'!$P$2:$P$501,V310),IF($AO$1=1,0,"")))</f>
        <v/>
      </c>
      <c r="Y310" s="38" t="str">
        <f t="shared" si="92"/>
        <v/>
      </c>
      <c r="Z310" s="39" t="str">
        <f>IF(L310="","",IF(V310&gt;0,INDEX('08-آب'!$Q$2:$Q$501,V310),IF($AO$1=1,0,"")))</f>
        <v/>
      </c>
      <c r="AA310" s="39" t="str">
        <f t="shared" si="93"/>
        <v/>
      </c>
      <c r="AB310" s="40" t="str">
        <f>IF(OR(L310="",V310=0),"",IF(AND(N(I310)&gt;0,N(INDEX('08-آب'!$I$2:$I$501,V310))&gt;0,INDEX('08-آب'!$F$2:$F$501,V310)=F310),N(I310)/N(INDEX('08-آب'!$I$2:$I$501,V310))-1,""))</f>
        <v/>
      </c>
      <c r="AC310" t="str">
        <f>IF(L310="","",IF(AND($AO$2=1,ISNA(MATCH(L310,'10-تشرين الأول'!$L$2:$L$501,0))),"محذوف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IF(L311="","",IF($AO$1=1,IFERROR(MATCH(L311,'08-آب'!$L$2:$L$501,0),0),0))</f>
        <v/>
      </c>
      <c r="W311" t="str">
        <f t="shared" si="91"/>
        <v/>
      </c>
      <c r="X311" s="38" t="str">
        <f>IF(L311="","",IF(V311&gt;0,INDEX('08-آب'!$P$2:$P$501,V311),IF($AO$1=1,0,"")))</f>
        <v/>
      </c>
      <c r="Y311" s="38" t="str">
        <f t="shared" si="92"/>
        <v/>
      </c>
      <c r="Z311" s="39" t="str">
        <f>IF(L311="","",IF(V311&gt;0,INDEX('08-آب'!$Q$2:$Q$501,V311),IF($AO$1=1,0,"")))</f>
        <v/>
      </c>
      <c r="AA311" s="39" t="str">
        <f t="shared" si="93"/>
        <v/>
      </c>
      <c r="AB311" s="40" t="str">
        <f>IF(OR(L311="",V311=0),"",IF(AND(N(I311)&gt;0,N(INDEX('08-آب'!$I$2:$I$501,V311))&gt;0,INDEX('08-آب'!$F$2:$F$501,V311)=F311),N(I311)/N(INDEX('08-آب'!$I$2:$I$501,V311))-1,""))</f>
        <v/>
      </c>
      <c r="AC311" t="str">
        <f>IF(L311="","",IF(AND($AO$2=1,ISNA(MATCH(L311,'10-تشرين الأول'!$L$2:$L$501,0))),"محذوف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IF(L312="","",IF($AO$1=1,IFERROR(MATCH(L312,'08-آب'!$L$2:$L$501,0),0),0))</f>
        <v/>
      </c>
      <c r="W312" t="str">
        <f t="shared" si="91"/>
        <v/>
      </c>
      <c r="X312" s="38" t="str">
        <f>IF(L312="","",IF(V312&gt;0,INDEX('08-آب'!$P$2:$P$501,V312),IF($AO$1=1,0,"")))</f>
        <v/>
      </c>
      <c r="Y312" s="38" t="str">
        <f t="shared" si="92"/>
        <v/>
      </c>
      <c r="Z312" s="39" t="str">
        <f>IF(L312="","",IF(V312&gt;0,INDEX('08-آب'!$Q$2:$Q$501,V312),IF($AO$1=1,0,"")))</f>
        <v/>
      </c>
      <c r="AA312" s="39" t="str">
        <f t="shared" si="93"/>
        <v/>
      </c>
      <c r="AB312" s="40" t="str">
        <f>IF(OR(L312="",V312=0),"",IF(AND(N(I312)&gt;0,N(INDEX('08-آب'!$I$2:$I$501,V312))&gt;0,INDEX('08-آب'!$F$2:$F$501,V312)=F312),N(I312)/N(INDEX('08-آب'!$I$2:$I$501,V312))-1,""))</f>
        <v/>
      </c>
      <c r="AC312" t="str">
        <f>IF(L312="","",IF(AND($AO$2=1,ISNA(MATCH(L312,'10-تشرين الأول'!$L$2:$L$501,0))),"محذوف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IF(L313="","",IF($AO$1=1,IFERROR(MATCH(L313,'08-آب'!$L$2:$L$501,0),0),0))</f>
        <v/>
      </c>
      <c r="W313" t="str">
        <f t="shared" si="91"/>
        <v/>
      </c>
      <c r="X313" s="38" t="str">
        <f>IF(L313="","",IF(V313&gt;0,INDEX('08-آب'!$P$2:$P$501,V313),IF($AO$1=1,0,"")))</f>
        <v/>
      </c>
      <c r="Y313" s="38" t="str">
        <f t="shared" si="92"/>
        <v/>
      </c>
      <c r="Z313" s="39" t="str">
        <f>IF(L313="","",IF(V313&gt;0,INDEX('08-آب'!$Q$2:$Q$501,V313),IF($AO$1=1,0,"")))</f>
        <v/>
      </c>
      <c r="AA313" s="39" t="str">
        <f t="shared" si="93"/>
        <v/>
      </c>
      <c r="AB313" s="40" t="str">
        <f>IF(OR(L313="",V313=0),"",IF(AND(N(I313)&gt;0,N(INDEX('08-آب'!$I$2:$I$501,V313))&gt;0,INDEX('08-آب'!$F$2:$F$501,V313)=F313),N(I313)/N(INDEX('08-آب'!$I$2:$I$501,V313))-1,""))</f>
        <v/>
      </c>
      <c r="AC313" t="str">
        <f>IF(L313="","",IF(AND($AO$2=1,ISNA(MATCH(L313,'10-تشرين الأول'!$L$2:$L$501,0))),"محذوف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IF(L314="","",IF($AO$1=1,IFERROR(MATCH(L314,'08-آب'!$L$2:$L$501,0),0),0))</f>
        <v/>
      </c>
      <c r="W314" t="str">
        <f t="shared" si="91"/>
        <v/>
      </c>
      <c r="X314" s="38" t="str">
        <f>IF(L314="","",IF(V314&gt;0,INDEX('08-آب'!$P$2:$P$501,V314),IF($AO$1=1,0,"")))</f>
        <v/>
      </c>
      <c r="Y314" s="38" t="str">
        <f t="shared" si="92"/>
        <v/>
      </c>
      <c r="Z314" s="39" t="str">
        <f>IF(L314="","",IF(V314&gt;0,INDEX('08-آب'!$Q$2:$Q$501,V314),IF($AO$1=1,0,"")))</f>
        <v/>
      </c>
      <c r="AA314" s="39" t="str">
        <f t="shared" si="93"/>
        <v/>
      </c>
      <c r="AB314" s="40" t="str">
        <f>IF(OR(L314="",V314=0),"",IF(AND(N(I314)&gt;0,N(INDEX('08-آب'!$I$2:$I$501,V314))&gt;0,INDEX('08-آب'!$F$2:$F$501,V314)=F314),N(I314)/N(INDEX('08-آب'!$I$2:$I$501,V314))-1,""))</f>
        <v/>
      </c>
      <c r="AC314" t="str">
        <f>IF(L314="","",IF(AND($AO$2=1,ISNA(MATCH(L314,'10-تشرين الأول'!$L$2:$L$501,0))),"محذوف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IF(L315="","",IF($AO$1=1,IFERROR(MATCH(L315,'08-آب'!$L$2:$L$501,0),0),0))</f>
        <v/>
      </c>
      <c r="W315" t="str">
        <f t="shared" si="91"/>
        <v/>
      </c>
      <c r="X315" s="38" t="str">
        <f>IF(L315="","",IF(V315&gt;0,INDEX('08-آب'!$P$2:$P$501,V315),IF($AO$1=1,0,"")))</f>
        <v/>
      </c>
      <c r="Y315" s="38" t="str">
        <f t="shared" si="92"/>
        <v/>
      </c>
      <c r="Z315" s="39" t="str">
        <f>IF(L315="","",IF(V315&gt;0,INDEX('08-آب'!$Q$2:$Q$501,V315),IF($AO$1=1,0,"")))</f>
        <v/>
      </c>
      <c r="AA315" s="39" t="str">
        <f t="shared" si="93"/>
        <v/>
      </c>
      <c r="AB315" s="40" t="str">
        <f>IF(OR(L315="",V315=0),"",IF(AND(N(I315)&gt;0,N(INDEX('08-آب'!$I$2:$I$501,V315))&gt;0,INDEX('08-آب'!$F$2:$F$501,V315)=F315),N(I315)/N(INDEX('08-آب'!$I$2:$I$501,V315))-1,""))</f>
        <v/>
      </c>
      <c r="AC315" t="str">
        <f>IF(L315="","",IF(AND($AO$2=1,ISNA(MATCH(L315,'10-تشرين الأول'!$L$2:$L$501,0))),"محذوف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IF(L316="","",IF($AO$1=1,IFERROR(MATCH(L316,'08-آب'!$L$2:$L$501,0),0),0))</f>
        <v/>
      </c>
      <c r="W316" t="str">
        <f t="shared" si="91"/>
        <v/>
      </c>
      <c r="X316" s="38" t="str">
        <f>IF(L316="","",IF(V316&gt;0,INDEX('08-آب'!$P$2:$P$501,V316),IF($AO$1=1,0,"")))</f>
        <v/>
      </c>
      <c r="Y316" s="38" t="str">
        <f t="shared" si="92"/>
        <v/>
      </c>
      <c r="Z316" s="39" t="str">
        <f>IF(L316="","",IF(V316&gt;0,INDEX('08-آب'!$Q$2:$Q$501,V316),IF($AO$1=1,0,"")))</f>
        <v/>
      </c>
      <c r="AA316" s="39" t="str">
        <f t="shared" si="93"/>
        <v/>
      </c>
      <c r="AB316" s="40" t="str">
        <f>IF(OR(L316="",V316=0),"",IF(AND(N(I316)&gt;0,N(INDEX('08-آب'!$I$2:$I$501,V316))&gt;0,INDEX('08-آب'!$F$2:$F$501,V316)=F316),N(I316)/N(INDEX('08-آب'!$I$2:$I$501,V316))-1,""))</f>
        <v/>
      </c>
      <c r="AC316" t="str">
        <f>IF(L316="","",IF(AND($AO$2=1,ISNA(MATCH(L316,'10-تشرين الأول'!$L$2:$L$501,0))),"محذوف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IF(L317="","",IF($AO$1=1,IFERROR(MATCH(L317,'08-آب'!$L$2:$L$501,0),0),0))</f>
        <v/>
      </c>
      <c r="W317" t="str">
        <f t="shared" si="91"/>
        <v/>
      </c>
      <c r="X317" s="38" t="str">
        <f>IF(L317="","",IF(V317&gt;0,INDEX('08-آب'!$P$2:$P$501,V317),IF($AO$1=1,0,"")))</f>
        <v/>
      </c>
      <c r="Y317" s="38" t="str">
        <f t="shared" si="92"/>
        <v/>
      </c>
      <c r="Z317" s="39" t="str">
        <f>IF(L317="","",IF(V317&gt;0,INDEX('08-آب'!$Q$2:$Q$501,V317),IF($AO$1=1,0,"")))</f>
        <v/>
      </c>
      <c r="AA317" s="39" t="str">
        <f t="shared" si="93"/>
        <v/>
      </c>
      <c r="AB317" s="40" t="str">
        <f>IF(OR(L317="",V317=0),"",IF(AND(N(I317)&gt;0,N(INDEX('08-آب'!$I$2:$I$501,V317))&gt;0,INDEX('08-آب'!$F$2:$F$501,V317)=F317),N(I317)/N(INDEX('08-آب'!$I$2:$I$501,V317))-1,""))</f>
        <v/>
      </c>
      <c r="AC317" t="str">
        <f>IF(L317="","",IF(AND($AO$2=1,ISNA(MATCH(L317,'10-تشرين الأول'!$L$2:$L$501,0))),"محذوف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IF(L318="","",IF($AO$1=1,IFERROR(MATCH(L318,'08-آب'!$L$2:$L$501,0),0),0))</f>
        <v/>
      </c>
      <c r="W318" t="str">
        <f t="shared" si="91"/>
        <v/>
      </c>
      <c r="X318" s="38" t="str">
        <f>IF(L318="","",IF(V318&gt;0,INDEX('08-آب'!$P$2:$P$501,V318),IF($AO$1=1,0,"")))</f>
        <v/>
      </c>
      <c r="Y318" s="38" t="str">
        <f t="shared" si="92"/>
        <v/>
      </c>
      <c r="Z318" s="39" t="str">
        <f>IF(L318="","",IF(V318&gt;0,INDEX('08-آب'!$Q$2:$Q$501,V318),IF($AO$1=1,0,"")))</f>
        <v/>
      </c>
      <c r="AA318" s="39" t="str">
        <f t="shared" si="93"/>
        <v/>
      </c>
      <c r="AB318" s="40" t="str">
        <f>IF(OR(L318="",V318=0),"",IF(AND(N(I318)&gt;0,N(INDEX('08-آب'!$I$2:$I$501,V318))&gt;0,INDEX('08-آب'!$F$2:$F$501,V318)=F318),N(I318)/N(INDEX('08-آب'!$I$2:$I$501,V318))-1,""))</f>
        <v/>
      </c>
      <c r="AC318" t="str">
        <f>IF(L318="","",IF(AND($AO$2=1,ISNA(MATCH(L318,'10-تشرين الأول'!$L$2:$L$501,0))),"محذوف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IF(L319="","",IF($AO$1=1,IFERROR(MATCH(L319,'08-آب'!$L$2:$L$501,0),0),0))</f>
        <v/>
      </c>
      <c r="W319" t="str">
        <f t="shared" si="91"/>
        <v/>
      </c>
      <c r="X319" s="38" t="str">
        <f>IF(L319="","",IF(V319&gt;0,INDEX('08-آب'!$P$2:$P$501,V319),IF($AO$1=1,0,"")))</f>
        <v/>
      </c>
      <c r="Y319" s="38" t="str">
        <f t="shared" si="92"/>
        <v/>
      </c>
      <c r="Z319" s="39" t="str">
        <f>IF(L319="","",IF(V319&gt;0,INDEX('08-آب'!$Q$2:$Q$501,V319),IF($AO$1=1,0,"")))</f>
        <v/>
      </c>
      <c r="AA319" s="39" t="str">
        <f t="shared" si="93"/>
        <v/>
      </c>
      <c r="AB319" s="40" t="str">
        <f>IF(OR(L319="",V319=0),"",IF(AND(N(I319)&gt;0,N(INDEX('08-آب'!$I$2:$I$501,V319))&gt;0,INDEX('08-آب'!$F$2:$F$501,V319)=F319),N(I319)/N(INDEX('08-آب'!$I$2:$I$501,V319))-1,""))</f>
        <v/>
      </c>
      <c r="AC319" t="str">
        <f>IF(L319="","",IF(AND($AO$2=1,ISNA(MATCH(L319,'10-تشرين الأول'!$L$2:$L$501,0))),"محذوف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IF(L320="","",IF($AO$1=1,IFERROR(MATCH(L320,'08-آب'!$L$2:$L$501,0),0),0))</f>
        <v/>
      </c>
      <c r="W320" t="str">
        <f t="shared" si="91"/>
        <v/>
      </c>
      <c r="X320" s="38" t="str">
        <f>IF(L320="","",IF(V320&gt;0,INDEX('08-آب'!$P$2:$P$501,V320),IF($AO$1=1,0,"")))</f>
        <v/>
      </c>
      <c r="Y320" s="38" t="str">
        <f t="shared" si="92"/>
        <v/>
      </c>
      <c r="Z320" s="39" t="str">
        <f>IF(L320="","",IF(V320&gt;0,INDEX('08-آب'!$Q$2:$Q$501,V320),IF($AO$1=1,0,"")))</f>
        <v/>
      </c>
      <c r="AA320" s="39" t="str">
        <f t="shared" si="93"/>
        <v/>
      </c>
      <c r="AB320" s="40" t="str">
        <f>IF(OR(L320="",V320=0),"",IF(AND(N(I320)&gt;0,N(INDEX('08-آب'!$I$2:$I$501,V320))&gt;0,INDEX('08-آب'!$F$2:$F$501,V320)=F320),N(I320)/N(INDEX('08-آب'!$I$2:$I$501,V320))-1,""))</f>
        <v/>
      </c>
      <c r="AC320" t="str">
        <f>IF(L320="","",IF(AND($AO$2=1,ISNA(MATCH(L320,'10-تشرين الأول'!$L$2:$L$501,0))),"محذوف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ref="K321:K384" si="100">IF(L321="","",IF(U321&lt;&gt;"","⚠",""))</f>
        <v/>
      </c>
      <c r="L321" t="str">
        <f t="shared" ref="L321:L384" si="101">IF(A321="","",TRIM(A321))</f>
        <v/>
      </c>
      <c r="M321" s="36" t="str">
        <f t="shared" ref="M321:M384" si="102">IF(L321="","",IF(ISNUMBER(SEARCH("دولار",F321)),1,IF(ISNUMBER(SEARCH("ليرة",F321)),IF($AO$3&gt;0,1/$AO$3,0),0)))</f>
        <v/>
      </c>
      <c r="N321" s="37" t="str">
        <f t="shared" ref="N321:N384" si="103">IF(L321="","",N(I321)*M321)</f>
        <v/>
      </c>
      <c r="O321" s="37" t="str">
        <f t="shared" ref="O321:O384" si="104">IF(L321="","",M321*CHOOSE($AO$4,N(C321),N(D321),N(E321)))</f>
        <v/>
      </c>
      <c r="P321" s="38" t="str">
        <f t="shared" ref="P321:P384" si="105">IF(L321="","",MAX(N(B321),0))</f>
        <v/>
      </c>
      <c r="Q321" s="39" t="str">
        <f t="shared" ref="Q321:Q384" si="106">IF(L321="","",P321*N321)</f>
        <v/>
      </c>
      <c r="R321" s="39" t="str">
        <f t="shared" ref="R321:R384" si="107">IF(L321="","",P321*O321)</f>
        <v/>
      </c>
      <c r="S321" t="str">
        <f t="shared" ref="S321:S384" si="108">IF(L321="","",IF(AND(P321&gt;0,N321&gt;0,O321&gt;0),1,0))</f>
        <v/>
      </c>
      <c r="T321" s="39" t="str">
        <f t="shared" ref="T321:T384" si="109">IF(L321="","",S321*(R321-Q321))</f>
        <v/>
      </c>
      <c r="U321" t="str">
        <f t="shared" ref="U321:U384" si="110">IF(L321="","",MID(IF(OR(NOT(ISNUMBER(B321)),NOT(ISNUMBER(C321)),NOT(ISNUMBER(D321)),NOT(ISNUMBER(E321)),NOT(ISNUMBER(I321)),AND(NOT(ISNUMBER(SEARCH("دولار",F321))),NOT(ISNUMBER(SEARCH("ليرة",F321)))))," | بيانات غير صالحة","")&amp;IF(N(B321)&lt;0," | كمية سالبة","")&amp;IF(AND(N(B321)&gt;0,N(I321)=0)," | شراء صفر","")&amp;IF(AND(N(B321)&gt;0,TRIM(H321)=$AO$5,OR(N(C321)=0,N(D321)=0,N(E321)=0))," | بيع صفر","")&amp;IF(AND(N321&gt;0,O321&gt;0,O321&lt;N321)," | بيع أقل من الشراء","")&amp;IF(OR(AND(ISNUMBER(SEARCH("ليرة",F321)),OR(AND(N(I321)&gt;0,N(I321)&lt;$AO$6),AND(N(C321)&gt;0,N(C321)&lt;$AO$6),AND(N(D321)&gt;0,N(D321)&lt;$AO$6),AND(N(E321)&gt;0,N(E321)&lt;$AO$6))),AND(ISNUMBER(SEARCH("دولار",F321)),MAX(N(I321),N(C321),N(D321),N(E321))&gt;$AO$7))," | عملة/سعر مشكوك","")&amp;IF(AND(COUNTIF(C321:E321,"&gt;0")&gt;=2,MAX(N(C321),N(D321),N(E321))&gt;$AO$8*MIN(IF(N(C321)&gt;0,N(C321),1E+99),IF(N(D321)&gt;0,N(D321),1E+99),IF(N(E321)&gt;0,N(E321),1E+99)))," | تباين أسعار البيع","")&amp;IF(OR(TRIM(H321)="All",TRIM(H321)="")," | بلا تصنيف",""),4,300))</f>
        <v/>
      </c>
      <c r="V321" t="str">
        <f>IF(L321="","",IF($AO$1=1,IFERROR(MATCH(L321,'08-آب'!$L$2:$L$501,0),0),0))</f>
        <v/>
      </c>
      <c r="W321" t="str">
        <f t="shared" ref="W321:W384" si="111">IF(L321="","",IF(AND($AO$1=1,V321=0),"جديد",""))</f>
        <v/>
      </c>
      <c r="X321" s="38" t="str">
        <f>IF(L321="","",IF(V321&gt;0,INDEX('08-آب'!$P$2:$P$501,V321),IF($AO$1=1,0,"")))</f>
        <v/>
      </c>
      <c r="Y321" s="38" t="str">
        <f t="shared" ref="Y321:Y384" si="112">IF(OR(L321="",X321=""),"",P321-X321)</f>
        <v/>
      </c>
      <c r="Z321" s="39" t="str">
        <f>IF(L321="","",IF(V321&gt;0,INDEX('08-آب'!$Q$2:$Q$501,V321),IF($AO$1=1,0,"")))</f>
        <v/>
      </c>
      <c r="AA321" s="39" t="str">
        <f t="shared" ref="AA321:AA384" si="113">IF(OR(L321="",Z321=""),"",Q321-Z321)</f>
        <v/>
      </c>
      <c r="AB321" s="40" t="str">
        <f>IF(OR(L321="",V321=0),"",IF(AND(N(I321)&gt;0,N(INDEX('08-آب'!$I$2:$I$501,V321))&gt;0,INDEX('08-آب'!$F$2:$F$501,V321)=F321),N(I321)/N(INDEX('08-آب'!$I$2:$I$501,V321))-1,""))</f>
        <v/>
      </c>
      <c r="AC321" t="str">
        <f>IF(L321="","",IF(AND($AO$2=1,ISNA(MATCH(L321,'10-تشرين الأول'!$L$2:$L$501,0))),"محذوف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ref="AG321:AG384" si="114">IF(AA321="","",ABS(AA321)+ROW()/1000000000)</f>
        <v/>
      </c>
      <c r="AH321" s="39" t="str">
        <f t="shared" ref="AH321:AH384" si="115">IF(L321="","",IF(AND(P321&gt;0,N321&gt;0,N(C321)&gt;0),P321*(M321*N(C321)-N321),0))</f>
        <v/>
      </c>
      <c r="AI321" s="39" t="str">
        <f t="shared" ref="AI321:AI384" si="116">IF(L321="","",IF(AND(P321&gt;0,N321&gt;0,N(D321)&gt;0),P321*(M321*N(D321)-N321),0))</f>
        <v/>
      </c>
      <c r="AJ321" s="39" t="str">
        <f t="shared" ref="AJ321:AJ384" si="117">IF(L321="","",IF(AND(P321&gt;0,N321&gt;0,N(E321)&gt;0),P321*(M321*N(E321)-N321),0))</f>
        <v/>
      </c>
      <c r="AK321" t="str">
        <f t="shared" ref="AK321:AK384" si="118">IF(L321="","",Q321+ROW()/1000000000)</f>
        <v/>
      </c>
      <c r="AL321" t="str">
        <f t="shared" ref="AL321:AL384" si="119">IF(L321="","",T321+ROW()/1000000000)</f>
        <v/>
      </c>
    </row>
    <row r="322" spans="11:38" ht="15">
      <c r="K322" t="str">
        <f t="shared" si="100"/>
        <v/>
      </c>
      <c r="L322" t="str">
        <f t="shared" si="101"/>
        <v/>
      </c>
      <c r="M322" s="36" t="str">
        <f t="shared" si="102"/>
        <v/>
      </c>
      <c r="N322" s="37" t="str">
        <f t="shared" si="103"/>
        <v/>
      </c>
      <c r="O322" s="37" t="str">
        <f t="shared" si="104"/>
        <v/>
      </c>
      <c r="P322" s="38" t="str">
        <f t="shared" si="105"/>
        <v/>
      </c>
      <c r="Q322" s="39" t="str">
        <f t="shared" si="106"/>
        <v/>
      </c>
      <c r="R322" s="39" t="str">
        <f t="shared" si="107"/>
        <v/>
      </c>
      <c r="S322" t="str">
        <f t="shared" si="108"/>
        <v/>
      </c>
      <c r="T322" s="39" t="str">
        <f t="shared" si="109"/>
        <v/>
      </c>
      <c r="U322" t="str">
        <f t="shared" si="110"/>
        <v/>
      </c>
      <c r="V322" t="str">
        <f>IF(L322="","",IF($AO$1=1,IFERROR(MATCH(L322,'08-آب'!$L$2:$L$501,0),0),0))</f>
        <v/>
      </c>
      <c r="W322" t="str">
        <f t="shared" si="111"/>
        <v/>
      </c>
      <c r="X322" s="38" t="str">
        <f>IF(L322="","",IF(V322&gt;0,INDEX('08-آب'!$P$2:$P$501,V322),IF($AO$1=1,0,"")))</f>
        <v/>
      </c>
      <c r="Y322" s="38" t="str">
        <f t="shared" si="112"/>
        <v/>
      </c>
      <c r="Z322" s="39" t="str">
        <f>IF(L322="","",IF(V322&gt;0,INDEX('08-آب'!$Q$2:$Q$501,V322),IF($AO$1=1,0,"")))</f>
        <v/>
      </c>
      <c r="AA322" s="39" t="str">
        <f t="shared" si="113"/>
        <v/>
      </c>
      <c r="AB322" s="40" t="str">
        <f>IF(OR(L322="",V322=0),"",IF(AND(N(I322)&gt;0,N(INDEX('08-آب'!$I$2:$I$501,V322))&gt;0,INDEX('08-آب'!$F$2:$F$501,V322)=F322),N(I322)/N(INDEX('08-آب'!$I$2:$I$501,V322))-1,""))</f>
        <v/>
      </c>
      <c r="AC322" t="str">
        <f>IF(L322="","",IF(AND($AO$2=1,ISNA(MATCH(L322,'10-تشرين الأول'!$L$2:$L$501,0))),"محذوف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si="114"/>
        <v/>
      </c>
      <c r="AH322" s="39" t="str">
        <f t="shared" si="115"/>
        <v/>
      </c>
      <c r="AI322" s="39" t="str">
        <f t="shared" si="116"/>
        <v/>
      </c>
      <c r="AJ322" s="39" t="str">
        <f t="shared" si="117"/>
        <v/>
      </c>
      <c r="AK322" t="str">
        <f t="shared" si="118"/>
        <v/>
      </c>
      <c r="AL322" t="str">
        <f t="shared" si="119"/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IF(L323="","",IF($AO$1=1,IFERROR(MATCH(L323,'08-آب'!$L$2:$L$501,0),0),0))</f>
        <v/>
      </c>
      <c r="W323" t="str">
        <f t="shared" si="111"/>
        <v/>
      </c>
      <c r="X323" s="38" t="str">
        <f>IF(L323="","",IF(V323&gt;0,INDEX('08-آب'!$P$2:$P$501,V323),IF($AO$1=1,0,"")))</f>
        <v/>
      </c>
      <c r="Y323" s="38" t="str">
        <f t="shared" si="112"/>
        <v/>
      </c>
      <c r="Z323" s="39" t="str">
        <f>IF(L323="","",IF(V323&gt;0,INDEX('08-آب'!$Q$2:$Q$501,V323),IF($AO$1=1,0,"")))</f>
        <v/>
      </c>
      <c r="AA323" s="39" t="str">
        <f t="shared" si="113"/>
        <v/>
      </c>
      <c r="AB323" s="40" t="str">
        <f>IF(OR(L323="",V323=0),"",IF(AND(N(I323)&gt;0,N(INDEX('08-آب'!$I$2:$I$501,V323))&gt;0,INDEX('08-آب'!$F$2:$F$501,V323)=F323),N(I323)/N(INDEX('08-آب'!$I$2:$I$501,V323))-1,""))</f>
        <v/>
      </c>
      <c r="AC323" t="str">
        <f>IF(L323="","",IF(AND($AO$2=1,ISNA(MATCH(L323,'10-تشرين الأول'!$L$2:$L$501,0))),"محذوف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IF(L324="","",IF($AO$1=1,IFERROR(MATCH(L324,'08-آب'!$L$2:$L$501,0),0),0))</f>
        <v/>
      </c>
      <c r="W324" t="str">
        <f t="shared" si="111"/>
        <v/>
      </c>
      <c r="X324" s="38" t="str">
        <f>IF(L324="","",IF(V324&gt;0,INDEX('08-آب'!$P$2:$P$501,V324),IF($AO$1=1,0,"")))</f>
        <v/>
      </c>
      <c r="Y324" s="38" t="str">
        <f t="shared" si="112"/>
        <v/>
      </c>
      <c r="Z324" s="39" t="str">
        <f>IF(L324="","",IF(V324&gt;0,INDEX('08-آب'!$Q$2:$Q$501,V324),IF($AO$1=1,0,"")))</f>
        <v/>
      </c>
      <c r="AA324" s="39" t="str">
        <f t="shared" si="113"/>
        <v/>
      </c>
      <c r="AB324" s="40" t="str">
        <f>IF(OR(L324="",V324=0),"",IF(AND(N(I324)&gt;0,N(INDEX('08-آب'!$I$2:$I$501,V324))&gt;0,INDEX('08-آب'!$F$2:$F$501,V324)=F324),N(I324)/N(INDEX('08-آب'!$I$2:$I$501,V324))-1,""))</f>
        <v/>
      </c>
      <c r="AC324" t="str">
        <f>IF(L324="","",IF(AND($AO$2=1,ISNA(MATCH(L324,'10-تشرين الأول'!$L$2:$L$501,0))),"محذوف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IF(L325="","",IF($AO$1=1,IFERROR(MATCH(L325,'08-آب'!$L$2:$L$501,0),0),0))</f>
        <v/>
      </c>
      <c r="W325" t="str">
        <f t="shared" si="111"/>
        <v/>
      </c>
      <c r="X325" s="38" t="str">
        <f>IF(L325="","",IF(V325&gt;0,INDEX('08-آب'!$P$2:$P$501,V325),IF($AO$1=1,0,"")))</f>
        <v/>
      </c>
      <c r="Y325" s="38" t="str">
        <f t="shared" si="112"/>
        <v/>
      </c>
      <c r="Z325" s="39" t="str">
        <f>IF(L325="","",IF(V325&gt;0,INDEX('08-آب'!$Q$2:$Q$501,V325),IF($AO$1=1,0,"")))</f>
        <v/>
      </c>
      <c r="AA325" s="39" t="str">
        <f t="shared" si="113"/>
        <v/>
      </c>
      <c r="AB325" s="40" t="str">
        <f>IF(OR(L325="",V325=0),"",IF(AND(N(I325)&gt;0,N(INDEX('08-آب'!$I$2:$I$501,V325))&gt;0,INDEX('08-آب'!$F$2:$F$501,V325)=F325),N(I325)/N(INDEX('08-آب'!$I$2:$I$501,V325))-1,""))</f>
        <v/>
      </c>
      <c r="AC325" t="str">
        <f>IF(L325="","",IF(AND($AO$2=1,ISNA(MATCH(L325,'10-تشرين الأول'!$L$2:$L$501,0))),"محذوف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IF(L326="","",IF($AO$1=1,IFERROR(MATCH(L326,'08-آب'!$L$2:$L$501,0),0),0))</f>
        <v/>
      </c>
      <c r="W326" t="str">
        <f t="shared" si="111"/>
        <v/>
      </c>
      <c r="X326" s="38" t="str">
        <f>IF(L326="","",IF(V326&gt;0,INDEX('08-آب'!$P$2:$P$501,V326),IF($AO$1=1,0,"")))</f>
        <v/>
      </c>
      <c r="Y326" s="38" t="str">
        <f t="shared" si="112"/>
        <v/>
      </c>
      <c r="Z326" s="39" t="str">
        <f>IF(L326="","",IF(V326&gt;0,INDEX('08-آب'!$Q$2:$Q$501,V326),IF($AO$1=1,0,"")))</f>
        <v/>
      </c>
      <c r="AA326" s="39" t="str">
        <f t="shared" si="113"/>
        <v/>
      </c>
      <c r="AB326" s="40" t="str">
        <f>IF(OR(L326="",V326=0),"",IF(AND(N(I326)&gt;0,N(INDEX('08-آب'!$I$2:$I$501,V326))&gt;0,INDEX('08-آب'!$F$2:$F$501,V326)=F326),N(I326)/N(INDEX('08-آب'!$I$2:$I$501,V326))-1,""))</f>
        <v/>
      </c>
      <c r="AC326" t="str">
        <f>IF(L326="","",IF(AND($AO$2=1,ISNA(MATCH(L326,'10-تشرين الأول'!$L$2:$L$501,0))),"محذوف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IF(L327="","",IF($AO$1=1,IFERROR(MATCH(L327,'08-آب'!$L$2:$L$501,0),0),0))</f>
        <v/>
      </c>
      <c r="W327" t="str">
        <f t="shared" si="111"/>
        <v/>
      </c>
      <c r="X327" s="38" t="str">
        <f>IF(L327="","",IF(V327&gt;0,INDEX('08-آب'!$P$2:$P$501,V327),IF($AO$1=1,0,"")))</f>
        <v/>
      </c>
      <c r="Y327" s="38" t="str">
        <f t="shared" si="112"/>
        <v/>
      </c>
      <c r="Z327" s="39" t="str">
        <f>IF(L327="","",IF(V327&gt;0,INDEX('08-آب'!$Q$2:$Q$501,V327),IF($AO$1=1,0,"")))</f>
        <v/>
      </c>
      <c r="AA327" s="39" t="str">
        <f t="shared" si="113"/>
        <v/>
      </c>
      <c r="AB327" s="40" t="str">
        <f>IF(OR(L327="",V327=0),"",IF(AND(N(I327)&gt;0,N(INDEX('08-آب'!$I$2:$I$501,V327))&gt;0,INDEX('08-آب'!$F$2:$F$501,V327)=F327),N(I327)/N(INDEX('08-آب'!$I$2:$I$501,V327))-1,""))</f>
        <v/>
      </c>
      <c r="AC327" t="str">
        <f>IF(L327="","",IF(AND($AO$2=1,ISNA(MATCH(L327,'10-تشرين الأول'!$L$2:$L$501,0))),"محذوف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IF(L328="","",IF($AO$1=1,IFERROR(MATCH(L328,'08-آب'!$L$2:$L$501,0),0),0))</f>
        <v/>
      </c>
      <c r="W328" t="str">
        <f t="shared" si="111"/>
        <v/>
      </c>
      <c r="X328" s="38" t="str">
        <f>IF(L328="","",IF(V328&gt;0,INDEX('08-آب'!$P$2:$P$501,V328),IF($AO$1=1,0,"")))</f>
        <v/>
      </c>
      <c r="Y328" s="38" t="str">
        <f t="shared" si="112"/>
        <v/>
      </c>
      <c r="Z328" s="39" t="str">
        <f>IF(L328="","",IF(V328&gt;0,INDEX('08-آب'!$Q$2:$Q$501,V328),IF($AO$1=1,0,"")))</f>
        <v/>
      </c>
      <c r="AA328" s="39" t="str">
        <f t="shared" si="113"/>
        <v/>
      </c>
      <c r="AB328" s="40" t="str">
        <f>IF(OR(L328="",V328=0),"",IF(AND(N(I328)&gt;0,N(INDEX('08-آب'!$I$2:$I$501,V328))&gt;0,INDEX('08-آب'!$F$2:$F$501,V328)=F328),N(I328)/N(INDEX('08-آب'!$I$2:$I$501,V328))-1,""))</f>
        <v/>
      </c>
      <c r="AC328" t="str">
        <f>IF(L328="","",IF(AND($AO$2=1,ISNA(MATCH(L328,'10-تشرين الأول'!$L$2:$L$501,0))),"محذوف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IF(L329="","",IF($AO$1=1,IFERROR(MATCH(L329,'08-آب'!$L$2:$L$501,0),0),0))</f>
        <v/>
      </c>
      <c r="W329" t="str">
        <f t="shared" si="111"/>
        <v/>
      </c>
      <c r="X329" s="38" t="str">
        <f>IF(L329="","",IF(V329&gt;0,INDEX('08-آب'!$P$2:$P$501,V329),IF($AO$1=1,0,"")))</f>
        <v/>
      </c>
      <c r="Y329" s="38" t="str">
        <f t="shared" si="112"/>
        <v/>
      </c>
      <c r="Z329" s="39" t="str">
        <f>IF(L329="","",IF(V329&gt;0,INDEX('08-آب'!$Q$2:$Q$501,V329),IF($AO$1=1,0,"")))</f>
        <v/>
      </c>
      <c r="AA329" s="39" t="str">
        <f t="shared" si="113"/>
        <v/>
      </c>
      <c r="AB329" s="40" t="str">
        <f>IF(OR(L329="",V329=0),"",IF(AND(N(I329)&gt;0,N(INDEX('08-آب'!$I$2:$I$501,V329))&gt;0,INDEX('08-آب'!$F$2:$F$501,V329)=F329),N(I329)/N(INDEX('08-آب'!$I$2:$I$501,V329))-1,""))</f>
        <v/>
      </c>
      <c r="AC329" t="str">
        <f>IF(L329="","",IF(AND($AO$2=1,ISNA(MATCH(L329,'10-تشرين الأول'!$L$2:$L$501,0))),"محذوف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IF(L330="","",IF($AO$1=1,IFERROR(MATCH(L330,'08-آب'!$L$2:$L$501,0),0),0))</f>
        <v/>
      </c>
      <c r="W330" t="str">
        <f t="shared" si="111"/>
        <v/>
      </c>
      <c r="X330" s="38" t="str">
        <f>IF(L330="","",IF(V330&gt;0,INDEX('08-آب'!$P$2:$P$501,V330),IF($AO$1=1,0,"")))</f>
        <v/>
      </c>
      <c r="Y330" s="38" t="str">
        <f t="shared" si="112"/>
        <v/>
      </c>
      <c r="Z330" s="39" t="str">
        <f>IF(L330="","",IF(V330&gt;0,INDEX('08-آب'!$Q$2:$Q$501,V330),IF($AO$1=1,0,"")))</f>
        <v/>
      </c>
      <c r="AA330" s="39" t="str">
        <f t="shared" si="113"/>
        <v/>
      </c>
      <c r="AB330" s="40" t="str">
        <f>IF(OR(L330="",V330=0),"",IF(AND(N(I330)&gt;0,N(INDEX('08-آب'!$I$2:$I$501,V330))&gt;0,INDEX('08-آب'!$F$2:$F$501,V330)=F330),N(I330)/N(INDEX('08-آب'!$I$2:$I$501,V330))-1,""))</f>
        <v/>
      </c>
      <c r="AC330" t="str">
        <f>IF(L330="","",IF(AND($AO$2=1,ISNA(MATCH(L330,'10-تشرين الأول'!$L$2:$L$501,0))),"محذوف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IF(L331="","",IF($AO$1=1,IFERROR(MATCH(L331,'08-آب'!$L$2:$L$501,0),0),0))</f>
        <v/>
      </c>
      <c r="W331" t="str">
        <f t="shared" si="111"/>
        <v/>
      </c>
      <c r="X331" s="38" t="str">
        <f>IF(L331="","",IF(V331&gt;0,INDEX('08-آب'!$P$2:$P$501,V331),IF($AO$1=1,0,"")))</f>
        <v/>
      </c>
      <c r="Y331" s="38" t="str">
        <f t="shared" si="112"/>
        <v/>
      </c>
      <c r="Z331" s="39" t="str">
        <f>IF(L331="","",IF(V331&gt;0,INDEX('08-آب'!$Q$2:$Q$501,V331),IF($AO$1=1,0,"")))</f>
        <v/>
      </c>
      <c r="AA331" s="39" t="str">
        <f t="shared" si="113"/>
        <v/>
      </c>
      <c r="AB331" s="40" t="str">
        <f>IF(OR(L331="",V331=0),"",IF(AND(N(I331)&gt;0,N(INDEX('08-آب'!$I$2:$I$501,V331))&gt;0,INDEX('08-آب'!$F$2:$F$501,V331)=F331),N(I331)/N(INDEX('08-آب'!$I$2:$I$501,V331))-1,""))</f>
        <v/>
      </c>
      <c r="AC331" t="str">
        <f>IF(L331="","",IF(AND($AO$2=1,ISNA(MATCH(L331,'10-تشرين الأول'!$L$2:$L$501,0))),"محذوف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IF(L332="","",IF($AO$1=1,IFERROR(MATCH(L332,'08-آب'!$L$2:$L$501,0),0),0))</f>
        <v/>
      </c>
      <c r="W332" t="str">
        <f t="shared" si="111"/>
        <v/>
      </c>
      <c r="X332" s="38" t="str">
        <f>IF(L332="","",IF(V332&gt;0,INDEX('08-آب'!$P$2:$P$501,V332),IF($AO$1=1,0,"")))</f>
        <v/>
      </c>
      <c r="Y332" s="38" t="str">
        <f t="shared" si="112"/>
        <v/>
      </c>
      <c r="Z332" s="39" t="str">
        <f>IF(L332="","",IF(V332&gt;0,INDEX('08-آب'!$Q$2:$Q$501,V332),IF($AO$1=1,0,"")))</f>
        <v/>
      </c>
      <c r="AA332" s="39" t="str">
        <f t="shared" si="113"/>
        <v/>
      </c>
      <c r="AB332" s="40" t="str">
        <f>IF(OR(L332="",V332=0),"",IF(AND(N(I332)&gt;0,N(INDEX('08-آب'!$I$2:$I$501,V332))&gt;0,INDEX('08-آب'!$F$2:$F$501,V332)=F332),N(I332)/N(INDEX('08-آب'!$I$2:$I$501,V332))-1,""))</f>
        <v/>
      </c>
      <c r="AC332" t="str">
        <f>IF(L332="","",IF(AND($AO$2=1,ISNA(MATCH(L332,'10-تشرين الأول'!$L$2:$L$501,0))),"محذوف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IF(L333="","",IF($AO$1=1,IFERROR(MATCH(L333,'08-آب'!$L$2:$L$501,0),0),0))</f>
        <v/>
      </c>
      <c r="W333" t="str">
        <f t="shared" si="111"/>
        <v/>
      </c>
      <c r="X333" s="38" t="str">
        <f>IF(L333="","",IF(V333&gt;0,INDEX('08-آب'!$P$2:$P$501,V333),IF($AO$1=1,0,"")))</f>
        <v/>
      </c>
      <c r="Y333" s="38" t="str">
        <f t="shared" si="112"/>
        <v/>
      </c>
      <c r="Z333" s="39" t="str">
        <f>IF(L333="","",IF(V333&gt;0,INDEX('08-آب'!$Q$2:$Q$501,V333),IF($AO$1=1,0,"")))</f>
        <v/>
      </c>
      <c r="AA333" s="39" t="str">
        <f t="shared" si="113"/>
        <v/>
      </c>
      <c r="AB333" s="40" t="str">
        <f>IF(OR(L333="",V333=0),"",IF(AND(N(I333)&gt;0,N(INDEX('08-آب'!$I$2:$I$501,V333))&gt;0,INDEX('08-آب'!$F$2:$F$501,V333)=F333),N(I333)/N(INDEX('08-آب'!$I$2:$I$501,V333))-1,""))</f>
        <v/>
      </c>
      <c r="AC333" t="str">
        <f>IF(L333="","",IF(AND($AO$2=1,ISNA(MATCH(L333,'10-تشرين الأول'!$L$2:$L$501,0))),"محذوف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IF(L334="","",IF($AO$1=1,IFERROR(MATCH(L334,'08-آب'!$L$2:$L$501,0),0),0))</f>
        <v/>
      </c>
      <c r="W334" t="str">
        <f t="shared" si="111"/>
        <v/>
      </c>
      <c r="X334" s="38" t="str">
        <f>IF(L334="","",IF(V334&gt;0,INDEX('08-آب'!$P$2:$P$501,V334),IF($AO$1=1,0,"")))</f>
        <v/>
      </c>
      <c r="Y334" s="38" t="str">
        <f t="shared" si="112"/>
        <v/>
      </c>
      <c r="Z334" s="39" t="str">
        <f>IF(L334="","",IF(V334&gt;0,INDEX('08-آب'!$Q$2:$Q$501,V334),IF($AO$1=1,0,"")))</f>
        <v/>
      </c>
      <c r="AA334" s="39" t="str">
        <f t="shared" si="113"/>
        <v/>
      </c>
      <c r="AB334" s="40" t="str">
        <f>IF(OR(L334="",V334=0),"",IF(AND(N(I334)&gt;0,N(INDEX('08-آب'!$I$2:$I$501,V334))&gt;0,INDEX('08-آب'!$F$2:$F$501,V334)=F334),N(I334)/N(INDEX('08-آب'!$I$2:$I$501,V334))-1,""))</f>
        <v/>
      </c>
      <c r="AC334" t="str">
        <f>IF(L334="","",IF(AND($AO$2=1,ISNA(MATCH(L334,'10-تشرين الأول'!$L$2:$L$501,0))),"محذوف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IF(L335="","",IF($AO$1=1,IFERROR(MATCH(L335,'08-آب'!$L$2:$L$501,0),0),0))</f>
        <v/>
      </c>
      <c r="W335" t="str">
        <f t="shared" si="111"/>
        <v/>
      </c>
      <c r="X335" s="38" t="str">
        <f>IF(L335="","",IF(V335&gt;0,INDEX('08-آب'!$P$2:$P$501,V335),IF($AO$1=1,0,"")))</f>
        <v/>
      </c>
      <c r="Y335" s="38" t="str">
        <f t="shared" si="112"/>
        <v/>
      </c>
      <c r="Z335" s="39" t="str">
        <f>IF(L335="","",IF(V335&gt;0,INDEX('08-آب'!$Q$2:$Q$501,V335),IF($AO$1=1,0,"")))</f>
        <v/>
      </c>
      <c r="AA335" s="39" t="str">
        <f t="shared" si="113"/>
        <v/>
      </c>
      <c r="AB335" s="40" t="str">
        <f>IF(OR(L335="",V335=0),"",IF(AND(N(I335)&gt;0,N(INDEX('08-آب'!$I$2:$I$501,V335))&gt;0,INDEX('08-آب'!$F$2:$F$501,V335)=F335),N(I335)/N(INDEX('08-آب'!$I$2:$I$501,V335))-1,""))</f>
        <v/>
      </c>
      <c r="AC335" t="str">
        <f>IF(L335="","",IF(AND($AO$2=1,ISNA(MATCH(L335,'10-تشرين الأول'!$L$2:$L$501,0))),"محذوف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IF(L336="","",IF($AO$1=1,IFERROR(MATCH(L336,'08-آب'!$L$2:$L$501,0),0),0))</f>
        <v/>
      </c>
      <c r="W336" t="str">
        <f t="shared" si="111"/>
        <v/>
      </c>
      <c r="X336" s="38" t="str">
        <f>IF(L336="","",IF(V336&gt;0,INDEX('08-آب'!$P$2:$P$501,V336),IF($AO$1=1,0,"")))</f>
        <v/>
      </c>
      <c r="Y336" s="38" t="str">
        <f t="shared" si="112"/>
        <v/>
      </c>
      <c r="Z336" s="39" t="str">
        <f>IF(L336="","",IF(V336&gt;0,INDEX('08-آب'!$Q$2:$Q$501,V336),IF($AO$1=1,0,"")))</f>
        <v/>
      </c>
      <c r="AA336" s="39" t="str">
        <f t="shared" si="113"/>
        <v/>
      </c>
      <c r="AB336" s="40" t="str">
        <f>IF(OR(L336="",V336=0),"",IF(AND(N(I336)&gt;0,N(INDEX('08-آب'!$I$2:$I$501,V336))&gt;0,INDEX('08-آب'!$F$2:$F$501,V336)=F336),N(I336)/N(INDEX('08-آب'!$I$2:$I$501,V336))-1,""))</f>
        <v/>
      </c>
      <c r="AC336" t="str">
        <f>IF(L336="","",IF(AND($AO$2=1,ISNA(MATCH(L336,'10-تشرين الأول'!$L$2:$L$501,0))),"محذوف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IF(L337="","",IF($AO$1=1,IFERROR(MATCH(L337,'08-آب'!$L$2:$L$501,0),0),0))</f>
        <v/>
      </c>
      <c r="W337" t="str">
        <f t="shared" si="111"/>
        <v/>
      </c>
      <c r="X337" s="38" t="str">
        <f>IF(L337="","",IF(V337&gt;0,INDEX('08-آب'!$P$2:$P$501,V337),IF($AO$1=1,0,"")))</f>
        <v/>
      </c>
      <c r="Y337" s="38" t="str">
        <f t="shared" si="112"/>
        <v/>
      </c>
      <c r="Z337" s="39" t="str">
        <f>IF(L337="","",IF(V337&gt;0,INDEX('08-آب'!$Q$2:$Q$501,V337),IF($AO$1=1,0,"")))</f>
        <v/>
      </c>
      <c r="AA337" s="39" t="str">
        <f t="shared" si="113"/>
        <v/>
      </c>
      <c r="AB337" s="40" t="str">
        <f>IF(OR(L337="",V337=0),"",IF(AND(N(I337)&gt;0,N(INDEX('08-آب'!$I$2:$I$501,V337))&gt;0,INDEX('08-آب'!$F$2:$F$501,V337)=F337),N(I337)/N(INDEX('08-آب'!$I$2:$I$501,V337))-1,""))</f>
        <v/>
      </c>
      <c r="AC337" t="str">
        <f>IF(L337="","",IF(AND($AO$2=1,ISNA(MATCH(L337,'10-تشرين الأول'!$L$2:$L$501,0))),"محذوف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IF(L338="","",IF($AO$1=1,IFERROR(MATCH(L338,'08-آب'!$L$2:$L$501,0),0),0))</f>
        <v/>
      </c>
      <c r="W338" t="str">
        <f t="shared" si="111"/>
        <v/>
      </c>
      <c r="X338" s="38" t="str">
        <f>IF(L338="","",IF(V338&gt;0,INDEX('08-آب'!$P$2:$P$501,V338),IF($AO$1=1,0,"")))</f>
        <v/>
      </c>
      <c r="Y338" s="38" t="str">
        <f t="shared" si="112"/>
        <v/>
      </c>
      <c r="Z338" s="39" t="str">
        <f>IF(L338="","",IF(V338&gt;0,INDEX('08-آب'!$Q$2:$Q$501,V338),IF($AO$1=1,0,"")))</f>
        <v/>
      </c>
      <c r="AA338" s="39" t="str">
        <f t="shared" si="113"/>
        <v/>
      </c>
      <c r="AB338" s="40" t="str">
        <f>IF(OR(L338="",V338=0),"",IF(AND(N(I338)&gt;0,N(INDEX('08-آب'!$I$2:$I$501,V338))&gt;0,INDEX('08-آب'!$F$2:$F$501,V338)=F338),N(I338)/N(INDEX('08-آب'!$I$2:$I$501,V338))-1,""))</f>
        <v/>
      </c>
      <c r="AC338" t="str">
        <f>IF(L338="","",IF(AND($AO$2=1,ISNA(MATCH(L338,'10-تشرين الأول'!$L$2:$L$501,0))),"محذوف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IF(L339="","",IF($AO$1=1,IFERROR(MATCH(L339,'08-آب'!$L$2:$L$501,0),0),0))</f>
        <v/>
      </c>
      <c r="W339" t="str">
        <f t="shared" si="111"/>
        <v/>
      </c>
      <c r="X339" s="38" t="str">
        <f>IF(L339="","",IF(V339&gt;0,INDEX('08-آب'!$P$2:$P$501,V339),IF($AO$1=1,0,"")))</f>
        <v/>
      </c>
      <c r="Y339" s="38" t="str">
        <f t="shared" si="112"/>
        <v/>
      </c>
      <c r="Z339" s="39" t="str">
        <f>IF(L339="","",IF(V339&gt;0,INDEX('08-آب'!$Q$2:$Q$501,V339),IF($AO$1=1,0,"")))</f>
        <v/>
      </c>
      <c r="AA339" s="39" t="str">
        <f t="shared" si="113"/>
        <v/>
      </c>
      <c r="AB339" s="40" t="str">
        <f>IF(OR(L339="",V339=0),"",IF(AND(N(I339)&gt;0,N(INDEX('08-آب'!$I$2:$I$501,V339))&gt;0,INDEX('08-آب'!$F$2:$F$501,V339)=F339),N(I339)/N(INDEX('08-آب'!$I$2:$I$501,V339))-1,""))</f>
        <v/>
      </c>
      <c r="AC339" t="str">
        <f>IF(L339="","",IF(AND($AO$2=1,ISNA(MATCH(L339,'10-تشرين الأول'!$L$2:$L$501,0))),"محذوف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IF(L340="","",IF($AO$1=1,IFERROR(MATCH(L340,'08-آب'!$L$2:$L$501,0),0),0))</f>
        <v/>
      </c>
      <c r="W340" t="str">
        <f t="shared" si="111"/>
        <v/>
      </c>
      <c r="X340" s="38" t="str">
        <f>IF(L340="","",IF(V340&gt;0,INDEX('08-آب'!$P$2:$P$501,V340),IF($AO$1=1,0,"")))</f>
        <v/>
      </c>
      <c r="Y340" s="38" t="str">
        <f t="shared" si="112"/>
        <v/>
      </c>
      <c r="Z340" s="39" t="str">
        <f>IF(L340="","",IF(V340&gt;0,INDEX('08-آب'!$Q$2:$Q$501,V340),IF($AO$1=1,0,"")))</f>
        <v/>
      </c>
      <c r="AA340" s="39" t="str">
        <f t="shared" si="113"/>
        <v/>
      </c>
      <c r="AB340" s="40" t="str">
        <f>IF(OR(L340="",V340=0),"",IF(AND(N(I340)&gt;0,N(INDEX('08-آب'!$I$2:$I$501,V340))&gt;0,INDEX('08-آب'!$F$2:$F$501,V340)=F340),N(I340)/N(INDEX('08-آب'!$I$2:$I$501,V340))-1,""))</f>
        <v/>
      </c>
      <c r="AC340" t="str">
        <f>IF(L340="","",IF(AND($AO$2=1,ISNA(MATCH(L340,'10-تشرين الأول'!$L$2:$L$501,0))),"محذوف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IF(L341="","",IF($AO$1=1,IFERROR(MATCH(L341,'08-آب'!$L$2:$L$501,0),0),0))</f>
        <v/>
      </c>
      <c r="W341" t="str">
        <f t="shared" si="111"/>
        <v/>
      </c>
      <c r="X341" s="38" t="str">
        <f>IF(L341="","",IF(V341&gt;0,INDEX('08-آب'!$P$2:$P$501,V341),IF($AO$1=1,0,"")))</f>
        <v/>
      </c>
      <c r="Y341" s="38" t="str">
        <f t="shared" si="112"/>
        <v/>
      </c>
      <c r="Z341" s="39" t="str">
        <f>IF(L341="","",IF(V341&gt;0,INDEX('08-آب'!$Q$2:$Q$501,V341),IF($AO$1=1,0,"")))</f>
        <v/>
      </c>
      <c r="AA341" s="39" t="str">
        <f t="shared" si="113"/>
        <v/>
      </c>
      <c r="AB341" s="40" t="str">
        <f>IF(OR(L341="",V341=0),"",IF(AND(N(I341)&gt;0,N(INDEX('08-آب'!$I$2:$I$501,V341))&gt;0,INDEX('08-آب'!$F$2:$F$501,V341)=F341),N(I341)/N(INDEX('08-آب'!$I$2:$I$501,V341))-1,""))</f>
        <v/>
      </c>
      <c r="AC341" t="str">
        <f>IF(L341="","",IF(AND($AO$2=1,ISNA(MATCH(L341,'10-تشرين الأول'!$L$2:$L$501,0))),"محذوف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IF(L342="","",IF($AO$1=1,IFERROR(MATCH(L342,'08-آب'!$L$2:$L$501,0),0),0))</f>
        <v/>
      </c>
      <c r="W342" t="str">
        <f t="shared" si="111"/>
        <v/>
      </c>
      <c r="X342" s="38" t="str">
        <f>IF(L342="","",IF(V342&gt;0,INDEX('08-آب'!$P$2:$P$501,V342),IF($AO$1=1,0,"")))</f>
        <v/>
      </c>
      <c r="Y342" s="38" t="str">
        <f t="shared" si="112"/>
        <v/>
      </c>
      <c r="Z342" s="39" t="str">
        <f>IF(L342="","",IF(V342&gt;0,INDEX('08-آب'!$Q$2:$Q$501,V342),IF($AO$1=1,0,"")))</f>
        <v/>
      </c>
      <c r="AA342" s="39" t="str">
        <f t="shared" si="113"/>
        <v/>
      </c>
      <c r="AB342" s="40" t="str">
        <f>IF(OR(L342="",V342=0),"",IF(AND(N(I342)&gt;0,N(INDEX('08-آب'!$I$2:$I$501,V342))&gt;0,INDEX('08-آب'!$F$2:$F$501,V342)=F342),N(I342)/N(INDEX('08-آب'!$I$2:$I$501,V342))-1,""))</f>
        <v/>
      </c>
      <c r="AC342" t="str">
        <f>IF(L342="","",IF(AND($AO$2=1,ISNA(MATCH(L342,'10-تشرين الأول'!$L$2:$L$501,0))),"محذوف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IF(L343="","",IF($AO$1=1,IFERROR(MATCH(L343,'08-آب'!$L$2:$L$501,0),0),0))</f>
        <v/>
      </c>
      <c r="W343" t="str">
        <f t="shared" si="111"/>
        <v/>
      </c>
      <c r="X343" s="38" t="str">
        <f>IF(L343="","",IF(V343&gt;0,INDEX('08-آب'!$P$2:$P$501,V343),IF($AO$1=1,0,"")))</f>
        <v/>
      </c>
      <c r="Y343" s="38" t="str">
        <f t="shared" si="112"/>
        <v/>
      </c>
      <c r="Z343" s="39" t="str">
        <f>IF(L343="","",IF(V343&gt;0,INDEX('08-آب'!$Q$2:$Q$501,V343),IF($AO$1=1,0,"")))</f>
        <v/>
      </c>
      <c r="AA343" s="39" t="str">
        <f t="shared" si="113"/>
        <v/>
      </c>
      <c r="AB343" s="40" t="str">
        <f>IF(OR(L343="",V343=0),"",IF(AND(N(I343)&gt;0,N(INDEX('08-آب'!$I$2:$I$501,V343))&gt;0,INDEX('08-آب'!$F$2:$F$501,V343)=F343),N(I343)/N(INDEX('08-آب'!$I$2:$I$501,V343))-1,""))</f>
        <v/>
      </c>
      <c r="AC343" t="str">
        <f>IF(L343="","",IF(AND($AO$2=1,ISNA(MATCH(L343,'10-تشرين الأول'!$L$2:$L$501,0))),"محذوف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IF(L344="","",IF($AO$1=1,IFERROR(MATCH(L344,'08-آب'!$L$2:$L$501,0),0),0))</f>
        <v/>
      </c>
      <c r="W344" t="str">
        <f t="shared" si="111"/>
        <v/>
      </c>
      <c r="X344" s="38" t="str">
        <f>IF(L344="","",IF(V344&gt;0,INDEX('08-آب'!$P$2:$P$501,V344),IF($AO$1=1,0,"")))</f>
        <v/>
      </c>
      <c r="Y344" s="38" t="str">
        <f t="shared" si="112"/>
        <v/>
      </c>
      <c r="Z344" s="39" t="str">
        <f>IF(L344="","",IF(V344&gt;0,INDEX('08-آب'!$Q$2:$Q$501,V344),IF($AO$1=1,0,"")))</f>
        <v/>
      </c>
      <c r="AA344" s="39" t="str">
        <f t="shared" si="113"/>
        <v/>
      </c>
      <c r="AB344" s="40" t="str">
        <f>IF(OR(L344="",V344=0),"",IF(AND(N(I344)&gt;0,N(INDEX('08-آب'!$I$2:$I$501,V344))&gt;0,INDEX('08-آب'!$F$2:$F$501,V344)=F344),N(I344)/N(INDEX('08-آب'!$I$2:$I$501,V344))-1,""))</f>
        <v/>
      </c>
      <c r="AC344" t="str">
        <f>IF(L344="","",IF(AND($AO$2=1,ISNA(MATCH(L344,'10-تشرين الأول'!$L$2:$L$501,0))),"محذوف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IF(L345="","",IF($AO$1=1,IFERROR(MATCH(L345,'08-آب'!$L$2:$L$501,0),0),0))</f>
        <v/>
      </c>
      <c r="W345" t="str">
        <f t="shared" si="111"/>
        <v/>
      </c>
      <c r="X345" s="38" t="str">
        <f>IF(L345="","",IF(V345&gt;0,INDEX('08-آب'!$P$2:$P$501,V345),IF($AO$1=1,0,"")))</f>
        <v/>
      </c>
      <c r="Y345" s="38" t="str">
        <f t="shared" si="112"/>
        <v/>
      </c>
      <c r="Z345" s="39" t="str">
        <f>IF(L345="","",IF(V345&gt;0,INDEX('08-آب'!$Q$2:$Q$501,V345),IF($AO$1=1,0,"")))</f>
        <v/>
      </c>
      <c r="AA345" s="39" t="str">
        <f t="shared" si="113"/>
        <v/>
      </c>
      <c r="AB345" s="40" t="str">
        <f>IF(OR(L345="",V345=0),"",IF(AND(N(I345)&gt;0,N(INDEX('08-آب'!$I$2:$I$501,V345))&gt;0,INDEX('08-آب'!$F$2:$F$501,V345)=F345),N(I345)/N(INDEX('08-آب'!$I$2:$I$501,V345))-1,""))</f>
        <v/>
      </c>
      <c r="AC345" t="str">
        <f>IF(L345="","",IF(AND($AO$2=1,ISNA(MATCH(L345,'10-تشرين الأول'!$L$2:$L$501,0))),"محذوف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IF(L346="","",IF($AO$1=1,IFERROR(MATCH(L346,'08-آب'!$L$2:$L$501,0),0),0))</f>
        <v/>
      </c>
      <c r="W346" t="str">
        <f t="shared" si="111"/>
        <v/>
      </c>
      <c r="X346" s="38" t="str">
        <f>IF(L346="","",IF(V346&gt;0,INDEX('08-آب'!$P$2:$P$501,V346),IF($AO$1=1,0,"")))</f>
        <v/>
      </c>
      <c r="Y346" s="38" t="str">
        <f t="shared" si="112"/>
        <v/>
      </c>
      <c r="Z346" s="39" t="str">
        <f>IF(L346="","",IF(V346&gt;0,INDEX('08-آب'!$Q$2:$Q$501,V346),IF($AO$1=1,0,"")))</f>
        <v/>
      </c>
      <c r="AA346" s="39" t="str">
        <f t="shared" si="113"/>
        <v/>
      </c>
      <c r="AB346" s="40" t="str">
        <f>IF(OR(L346="",V346=0),"",IF(AND(N(I346)&gt;0,N(INDEX('08-آب'!$I$2:$I$501,V346))&gt;0,INDEX('08-آب'!$F$2:$F$501,V346)=F346),N(I346)/N(INDEX('08-آب'!$I$2:$I$501,V346))-1,""))</f>
        <v/>
      </c>
      <c r="AC346" t="str">
        <f>IF(L346="","",IF(AND($AO$2=1,ISNA(MATCH(L346,'10-تشرين الأول'!$L$2:$L$501,0))),"محذوف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IF(L347="","",IF($AO$1=1,IFERROR(MATCH(L347,'08-آب'!$L$2:$L$501,0),0),0))</f>
        <v/>
      </c>
      <c r="W347" t="str">
        <f t="shared" si="111"/>
        <v/>
      </c>
      <c r="X347" s="38" t="str">
        <f>IF(L347="","",IF(V347&gt;0,INDEX('08-آب'!$P$2:$P$501,V347),IF($AO$1=1,0,"")))</f>
        <v/>
      </c>
      <c r="Y347" s="38" t="str">
        <f t="shared" si="112"/>
        <v/>
      </c>
      <c r="Z347" s="39" t="str">
        <f>IF(L347="","",IF(V347&gt;0,INDEX('08-آب'!$Q$2:$Q$501,V347),IF($AO$1=1,0,"")))</f>
        <v/>
      </c>
      <c r="AA347" s="39" t="str">
        <f t="shared" si="113"/>
        <v/>
      </c>
      <c r="AB347" s="40" t="str">
        <f>IF(OR(L347="",V347=0),"",IF(AND(N(I347)&gt;0,N(INDEX('08-آب'!$I$2:$I$501,V347))&gt;0,INDEX('08-آب'!$F$2:$F$501,V347)=F347),N(I347)/N(INDEX('08-آب'!$I$2:$I$501,V347))-1,""))</f>
        <v/>
      </c>
      <c r="AC347" t="str">
        <f>IF(L347="","",IF(AND($AO$2=1,ISNA(MATCH(L347,'10-تشرين الأول'!$L$2:$L$501,0))),"محذوف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IF(L348="","",IF($AO$1=1,IFERROR(MATCH(L348,'08-آب'!$L$2:$L$501,0),0),0))</f>
        <v/>
      </c>
      <c r="W348" t="str">
        <f t="shared" si="111"/>
        <v/>
      </c>
      <c r="X348" s="38" t="str">
        <f>IF(L348="","",IF(V348&gt;0,INDEX('08-آب'!$P$2:$P$501,V348),IF($AO$1=1,0,"")))</f>
        <v/>
      </c>
      <c r="Y348" s="38" t="str">
        <f t="shared" si="112"/>
        <v/>
      </c>
      <c r="Z348" s="39" t="str">
        <f>IF(L348="","",IF(V348&gt;0,INDEX('08-آب'!$Q$2:$Q$501,V348),IF($AO$1=1,0,"")))</f>
        <v/>
      </c>
      <c r="AA348" s="39" t="str">
        <f t="shared" si="113"/>
        <v/>
      </c>
      <c r="AB348" s="40" t="str">
        <f>IF(OR(L348="",V348=0),"",IF(AND(N(I348)&gt;0,N(INDEX('08-آب'!$I$2:$I$501,V348))&gt;0,INDEX('08-آب'!$F$2:$F$501,V348)=F348),N(I348)/N(INDEX('08-آب'!$I$2:$I$501,V348))-1,""))</f>
        <v/>
      </c>
      <c r="AC348" t="str">
        <f>IF(L348="","",IF(AND($AO$2=1,ISNA(MATCH(L348,'10-تشرين الأول'!$L$2:$L$501,0))),"محذوف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IF(L349="","",IF($AO$1=1,IFERROR(MATCH(L349,'08-آب'!$L$2:$L$501,0),0),0))</f>
        <v/>
      </c>
      <c r="W349" t="str">
        <f t="shared" si="111"/>
        <v/>
      </c>
      <c r="X349" s="38" t="str">
        <f>IF(L349="","",IF(V349&gt;0,INDEX('08-آب'!$P$2:$P$501,V349),IF($AO$1=1,0,"")))</f>
        <v/>
      </c>
      <c r="Y349" s="38" t="str">
        <f t="shared" si="112"/>
        <v/>
      </c>
      <c r="Z349" s="39" t="str">
        <f>IF(L349="","",IF(V349&gt;0,INDEX('08-آب'!$Q$2:$Q$501,V349),IF($AO$1=1,0,"")))</f>
        <v/>
      </c>
      <c r="AA349" s="39" t="str">
        <f t="shared" si="113"/>
        <v/>
      </c>
      <c r="AB349" s="40" t="str">
        <f>IF(OR(L349="",V349=0),"",IF(AND(N(I349)&gt;0,N(INDEX('08-آب'!$I$2:$I$501,V349))&gt;0,INDEX('08-آب'!$F$2:$F$501,V349)=F349),N(I349)/N(INDEX('08-آب'!$I$2:$I$501,V349))-1,""))</f>
        <v/>
      </c>
      <c r="AC349" t="str">
        <f>IF(L349="","",IF(AND($AO$2=1,ISNA(MATCH(L349,'10-تشرين الأول'!$L$2:$L$501,0))),"محذوف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IF(L350="","",IF($AO$1=1,IFERROR(MATCH(L350,'08-آب'!$L$2:$L$501,0),0),0))</f>
        <v/>
      </c>
      <c r="W350" t="str">
        <f t="shared" si="111"/>
        <v/>
      </c>
      <c r="X350" s="38" t="str">
        <f>IF(L350="","",IF(V350&gt;0,INDEX('08-آب'!$P$2:$P$501,V350),IF($AO$1=1,0,"")))</f>
        <v/>
      </c>
      <c r="Y350" s="38" t="str">
        <f t="shared" si="112"/>
        <v/>
      </c>
      <c r="Z350" s="39" t="str">
        <f>IF(L350="","",IF(V350&gt;0,INDEX('08-آب'!$Q$2:$Q$501,V350),IF($AO$1=1,0,"")))</f>
        <v/>
      </c>
      <c r="AA350" s="39" t="str">
        <f t="shared" si="113"/>
        <v/>
      </c>
      <c r="AB350" s="40" t="str">
        <f>IF(OR(L350="",V350=0),"",IF(AND(N(I350)&gt;0,N(INDEX('08-آب'!$I$2:$I$501,V350))&gt;0,INDEX('08-آب'!$F$2:$F$501,V350)=F350),N(I350)/N(INDEX('08-آب'!$I$2:$I$501,V350))-1,""))</f>
        <v/>
      </c>
      <c r="AC350" t="str">
        <f>IF(L350="","",IF(AND($AO$2=1,ISNA(MATCH(L350,'10-تشرين الأول'!$L$2:$L$501,0))),"محذوف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IF(L351="","",IF($AO$1=1,IFERROR(MATCH(L351,'08-آب'!$L$2:$L$501,0),0),0))</f>
        <v/>
      </c>
      <c r="W351" t="str">
        <f t="shared" si="111"/>
        <v/>
      </c>
      <c r="X351" s="38" t="str">
        <f>IF(L351="","",IF(V351&gt;0,INDEX('08-آب'!$P$2:$P$501,V351),IF($AO$1=1,0,"")))</f>
        <v/>
      </c>
      <c r="Y351" s="38" t="str">
        <f t="shared" si="112"/>
        <v/>
      </c>
      <c r="Z351" s="39" t="str">
        <f>IF(L351="","",IF(V351&gt;0,INDEX('08-آب'!$Q$2:$Q$501,V351),IF($AO$1=1,0,"")))</f>
        <v/>
      </c>
      <c r="AA351" s="39" t="str">
        <f t="shared" si="113"/>
        <v/>
      </c>
      <c r="AB351" s="40" t="str">
        <f>IF(OR(L351="",V351=0),"",IF(AND(N(I351)&gt;0,N(INDEX('08-آب'!$I$2:$I$501,V351))&gt;0,INDEX('08-آب'!$F$2:$F$501,V351)=F351),N(I351)/N(INDEX('08-آب'!$I$2:$I$501,V351))-1,""))</f>
        <v/>
      </c>
      <c r="AC351" t="str">
        <f>IF(L351="","",IF(AND($AO$2=1,ISNA(MATCH(L351,'10-تشرين الأول'!$L$2:$L$501,0))),"محذوف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IF(L352="","",IF($AO$1=1,IFERROR(MATCH(L352,'08-آب'!$L$2:$L$501,0),0),0))</f>
        <v/>
      </c>
      <c r="W352" t="str">
        <f t="shared" si="111"/>
        <v/>
      </c>
      <c r="X352" s="38" t="str">
        <f>IF(L352="","",IF(V352&gt;0,INDEX('08-آب'!$P$2:$P$501,V352),IF($AO$1=1,0,"")))</f>
        <v/>
      </c>
      <c r="Y352" s="38" t="str">
        <f t="shared" si="112"/>
        <v/>
      </c>
      <c r="Z352" s="39" t="str">
        <f>IF(L352="","",IF(V352&gt;0,INDEX('08-آب'!$Q$2:$Q$501,V352),IF($AO$1=1,0,"")))</f>
        <v/>
      </c>
      <c r="AA352" s="39" t="str">
        <f t="shared" si="113"/>
        <v/>
      </c>
      <c r="AB352" s="40" t="str">
        <f>IF(OR(L352="",V352=0),"",IF(AND(N(I352)&gt;0,N(INDEX('08-آب'!$I$2:$I$501,V352))&gt;0,INDEX('08-آب'!$F$2:$F$501,V352)=F352),N(I352)/N(INDEX('08-آب'!$I$2:$I$501,V352))-1,""))</f>
        <v/>
      </c>
      <c r="AC352" t="str">
        <f>IF(L352="","",IF(AND($AO$2=1,ISNA(MATCH(L352,'10-تشرين الأول'!$L$2:$L$501,0))),"محذوف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IF(L353="","",IF($AO$1=1,IFERROR(MATCH(L353,'08-آب'!$L$2:$L$501,0),0),0))</f>
        <v/>
      </c>
      <c r="W353" t="str">
        <f t="shared" si="111"/>
        <v/>
      </c>
      <c r="X353" s="38" t="str">
        <f>IF(L353="","",IF(V353&gt;0,INDEX('08-آب'!$P$2:$P$501,V353),IF($AO$1=1,0,"")))</f>
        <v/>
      </c>
      <c r="Y353" s="38" t="str">
        <f t="shared" si="112"/>
        <v/>
      </c>
      <c r="Z353" s="39" t="str">
        <f>IF(L353="","",IF(V353&gt;0,INDEX('08-آب'!$Q$2:$Q$501,V353),IF($AO$1=1,0,"")))</f>
        <v/>
      </c>
      <c r="AA353" s="39" t="str">
        <f t="shared" si="113"/>
        <v/>
      </c>
      <c r="AB353" s="40" t="str">
        <f>IF(OR(L353="",V353=0),"",IF(AND(N(I353)&gt;0,N(INDEX('08-آب'!$I$2:$I$501,V353))&gt;0,INDEX('08-آب'!$F$2:$F$501,V353)=F353),N(I353)/N(INDEX('08-آب'!$I$2:$I$501,V353))-1,""))</f>
        <v/>
      </c>
      <c r="AC353" t="str">
        <f>IF(L353="","",IF(AND($AO$2=1,ISNA(MATCH(L353,'10-تشرين الأول'!$L$2:$L$501,0))),"محذوف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IF(L354="","",IF($AO$1=1,IFERROR(MATCH(L354,'08-آب'!$L$2:$L$501,0),0),0))</f>
        <v/>
      </c>
      <c r="W354" t="str">
        <f t="shared" si="111"/>
        <v/>
      </c>
      <c r="X354" s="38" t="str">
        <f>IF(L354="","",IF(V354&gt;0,INDEX('08-آب'!$P$2:$P$501,V354),IF($AO$1=1,0,"")))</f>
        <v/>
      </c>
      <c r="Y354" s="38" t="str">
        <f t="shared" si="112"/>
        <v/>
      </c>
      <c r="Z354" s="39" t="str">
        <f>IF(L354="","",IF(V354&gt;0,INDEX('08-آب'!$Q$2:$Q$501,V354),IF($AO$1=1,0,"")))</f>
        <v/>
      </c>
      <c r="AA354" s="39" t="str">
        <f t="shared" si="113"/>
        <v/>
      </c>
      <c r="AB354" s="40" t="str">
        <f>IF(OR(L354="",V354=0),"",IF(AND(N(I354)&gt;0,N(INDEX('08-آب'!$I$2:$I$501,V354))&gt;0,INDEX('08-آب'!$F$2:$F$501,V354)=F354),N(I354)/N(INDEX('08-آب'!$I$2:$I$501,V354))-1,""))</f>
        <v/>
      </c>
      <c r="AC354" t="str">
        <f>IF(L354="","",IF(AND($AO$2=1,ISNA(MATCH(L354,'10-تشرين الأول'!$L$2:$L$501,0))),"محذوف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IF(L355="","",IF($AO$1=1,IFERROR(MATCH(L355,'08-آب'!$L$2:$L$501,0),0),0))</f>
        <v/>
      </c>
      <c r="W355" t="str">
        <f t="shared" si="111"/>
        <v/>
      </c>
      <c r="X355" s="38" t="str">
        <f>IF(L355="","",IF(V355&gt;0,INDEX('08-آب'!$P$2:$P$501,V355),IF($AO$1=1,0,"")))</f>
        <v/>
      </c>
      <c r="Y355" s="38" t="str">
        <f t="shared" si="112"/>
        <v/>
      </c>
      <c r="Z355" s="39" t="str">
        <f>IF(L355="","",IF(V355&gt;0,INDEX('08-آب'!$Q$2:$Q$501,V355),IF($AO$1=1,0,"")))</f>
        <v/>
      </c>
      <c r="AA355" s="39" t="str">
        <f t="shared" si="113"/>
        <v/>
      </c>
      <c r="AB355" s="40" t="str">
        <f>IF(OR(L355="",V355=0),"",IF(AND(N(I355)&gt;0,N(INDEX('08-آب'!$I$2:$I$501,V355))&gt;0,INDEX('08-آب'!$F$2:$F$501,V355)=F355),N(I355)/N(INDEX('08-آب'!$I$2:$I$501,V355))-1,""))</f>
        <v/>
      </c>
      <c r="AC355" t="str">
        <f>IF(L355="","",IF(AND($AO$2=1,ISNA(MATCH(L355,'10-تشرين الأول'!$L$2:$L$501,0))),"محذوف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IF(L356="","",IF($AO$1=1,IFERROR(MATCH(L356,'08-آب'!$L$2:$L$501,0),0),0))</f>
        <v/>
      </c>
      <c r="W356" t="str">
        <f t="shared" si="111"/>
        <v/>
      </c>
      <c r="X356" s="38" t="str">
        <f>IF(L356="","",IF(V356&gt;0,INDEX('08-آب'!$P$2:$P$501,V356),IF($AO$1=1,0,"")))</f>
        <v/>
      </c>
      <c r="Y356" s="38" t="str">
        <f t="shared" si="112"/>
        <v/>
      </c>
      <c r="Z356" s="39" t="str">
        <f>IF(L356="","",IF(V356&gt;0,INDEX('08-آب'!$Q$2:$Q$501,V356),IF($AO$1=1,0,"")))</f>
        <v/>
      </c>
      <c r="AA356" s="39" t="str">
        <f t="shared" si="113"/>
        <v/>
      </c>
      <c r="AB356" s="40" t="str">
        <f>IF(OR(L356="",V356=0),"",IF(AND(N(I356)&gt;0,N(INDEX('08-آب'!$I$2:$I$501,V356))&gt;0,INDEX('08-آب'!$F$2:$F$501,V356)=F356),N(I356)/N(INDEX('08-آب'!$I$2:$I$501,V356))-1,""))</f>
        <v/>
      </c>
      <c r="AC356" t="str">
        <f>IF(L356="","",IF(AND($AO$2=1,ISNA(MATCH(L356,'10-تشرين الأول'!$L$2:$L$501,0))),"محذوف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IF(L357="","",IF($AO$1=1,IFERROR(MATCH(L357,'08-آب'!$L$2:$L$501,0),0),0))</f>
        <v/>
      </c>
      <c r="W357" t="str">
        <f t="shared" si="111"/>
        <v/>
      </c>
      <c r="X357" s="38" t="str">
        <f>IF(L357="","",IF(V357&gt;0,INDEX('08-آب'!$P$2:$P$501,V357),IF($AO$1=1,0,"")))</f>
        <v/>
      </c>
      <c r="Y357" s="38" t="str">
        <f t="shared" si="112"/>
        <v/>
      </c>
      <c r="Z357" s="39" t="str">
        <f>IF(L357="","",IF(V357&gt;0,INDEX('08-آب'!$Q$2:$Q$501,V357),IF($AO$1=1,0,"")))</f>
        <v/>
      </c>
      <c r="AA357" s="39" t="str">
        <f t="shared" si="113"/>
        <v/>
      </c>
      <c r="AB357" s="40" t="str">
        <f>IF(OR(L357="",V357=0),"",IF(AND(N(I357)&gt;0,N(INDEX('08-آب'!$I$2:$I$501,V357))&gt;0,INDEX('08-آب'!$F$2:$F$501,V357)=F357),N(I357)/N(INDEX('08-آب'!$I$2:$I$501,V357))-1,""))</f>
        <v/>
      </c>
      <c r="AC357" t="str">
        <f>IF(L357="","",IF(AND($AO$2=1,ISNA(MATCH(L357,'10-تشرين الأول'!$L$2:$L$501,0))),"محذوف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IF(L358="","",IF($AO$1=1,IFERROR(MATCH(L358,'08-آب'!$L$2:$L$501,0),0),0))</f>
        <v/>
      </c>
      <c r="W358" t="str">
        <f t="shared" si="111"/>
        <v/>
      </c>
      <c r="X358" s="38" t="str">
        <f>IF(L358="","",IF(V358&gt;0,INDEX('08-آب'!$P$2:$P$501,V358),IF($AO$1=1,0,"")))</f>
        <v/>
      </c>
      <c r="Y358" s="38" t="str">
        <f t="shared" si="112"/>
        <v/>
      </c>
      <c r="Z358" s="39" t="str">
        <f>IF(L358="","",IF(V358&gt;0,INDEX('08-آب'!$Q$2:$Q$501,V358),IF($AO$1=1,0,"")))</f>
        <v/>
      </c>
      <c r="AA358" s="39" t="str">
        <f t="shared" si="113"/>
        <v/>
      </c>
      <c r="AB358" s="40" t="str">
        <f>IF(OR(L358="",V358=0),"",IF(AND(N(I358)&gt;0,N(INDEX('08-آب'!$I$2:$I$501,V358))&gt;0,INDEX('08-آب'!$F$2:$F$501,V358)=F358),N(I358)/N(INDEX('08-آب'!$I$2:$I$501,V358))-1,""))</f>
        <v/>
      </c>
      <c r="AC358" t="str">
        <f>IF(L358="","",IF(AND($AO$2=1,ISNA(MATCH(L358,'10-تشرين الأول'!$L$2:$L$501,0))),"محذوف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IF(L359="","",IF($AO$1=1,IFERROR(MATCH(L359,'08-آب'!$L$2:$L$501,0),0),0))</f>
        <v/>
      </c>
      <c r="W359" t="str">
        <f t="shared" si="111"/>
        <v/>
      </c>
      <c r="X359" s="38" t="str">
        <f>IF(L359="","",IF(V359&gt;0,INDEX('08-آب'!$P$2:$P$501,V359),IF($AO$1=1,0,"")))</f>
        <v/>
      </c>
      <c r="Y359" s="38" t="str">
        <f t="shared" si="112"/>
        <v/>
      </c>
      <c r="Z359" s="39" t="str">
        <f>IF(L359="","",IF(V359&gt;0,INDEX('08-آب'!$Q$2:$Q$501,V359),IF($AO$1=1,0,"")))</f>
        <v/>
      </c>
      <c r="AA359" s="39" t="str">
        <f t="shared" si="113"/>
        <v/>
      </c>
      <c r="AB359" s="40" t="str">
        <f>IF(OR(L359="",V359=0),"",IF(AND(N(I359)&gt;0,N(INDEX('08-آب'!$I$2:$I$501,V359))&gt;0,INDEX('08-آب'!$F$2:$F$501,V359)=F359),N(I359)/N(INDEX('08-آب'!$I$2:$I$501,V359))-1,""))</f>
        <v/>
      </c>
      <c r="AC359" t="str">
        <f>IF(L359="","",IF(AND($AO$2=1,ISNA(MATCH(L359,'10-تشرين الأول'!$L$2:$L$501,0))),"محذوف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IF(L360="","",IF($AO$1=1,IFERROR(MATCH(L360,'08-آب'!$L$2:$L$501,0),0),0))</f>
        <v/>
      </c>
      <c r="W360" t="str">
        <f t="shared" si="111"/>
        <v/>
      </c>
      <c r="X360" s="38" t="str">
        <f>IF(L360="","",IF(V360&gt;0,INDEX('08-آب'!$P$2:$P$501,V360),IF($AO$1=1,0,"")))</f>
        <v/>
      </c>
      <c r="Y360" s="38" t="str">
        <f t="shared" si="112"/>
        <v/>
      </c>
      <c r="Z360" s="39" t="str">
        <f>IF(L360="","",IF(V360&gt;0,INDEX('08-آب'!$Q$2:$Q$501,V360),IF($AO$1=1,0,"")))</f>
        <v/>
      </c>
      <c r="AA360" s="39" t="str">
        <f t="shared" si="113"/>
        <v/>
      </c>
      <c r="AB360" s="40" t="str">
        <f>IF(OR(L360="",V360=0),"",IF(AND(N(I360)&gt;0,N(INDEX('08-آب'!$I$2:$I$501,V360))&gt;0,INDEX('08-آب'!$F$2:$F$501,V360)=F360),N(I360)/N(INDEX('08-آب'!$I$2:$I$501,V360))-1,""))</f>
        <v/>
      </c>
      <c r="AC360" t="str">
        <f>IF(L360="","",IF(AND($AO$2=1,ISNA(MATCH(L360,'10-تشرين الأول'!$L$2:$L$501,0))),"محذوف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IF(L361="","",IF($AO$1=1,IFERROR(MATCH(L361,'08-آب'!$L$2:$L$501,0),0),0))</f>
        <v/>
      </c>
      <c r="W361" t="str">
        <f t="shared" si="111"/>
        <v/>
      </c>
      <c r="X361" s="38" t="str">
        <f>IF(L361="","",IF(V361&gt;0,INDEX('08-آب'!$P$2:$P$501,V361),IF($AO$1=1,0,"")))</f>
        <v/>
      </c>
      <c r="Y361" s="38" t="str">
        <f t="shared" si="112"/>
        <v/>
      </c>
      <c r="Z361" s="39" t="str">
        <f>IF(L361="","",IF(V361&gt;0,INDEX('08-آب'!$Q$2:$Q$501,V361),IF($AO$1=1,0,"")))</f>
        <v/>
      </c>
      <c r="AA361" s="39" t="str">
        <f t="shared" si="113"/>
        <v/>
      </c>
      <c r="AB361" s="40" t="str">
        <f>IF(OR(L361="",V361=0),"",IF(AND(N(I361)&gt;0,N(INDEX('08-آب'!$I$2:$I$501,V361))&gt;0,INDEX('08-آب'!$F$2:$F$501,V361)=F361),N(I361)/N(INDEX('08-آب'!$I$2:$I$501,V361))-1,""))</f>
        <v/>
      </c>
      <c r="AC361" t="str">
        <f>IF(L361="","",IF(AND($AO$2=1,ISNA(MATCH(L361,'10-تشرين الأول'!$L$2:$L$501,0))),"محذوف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IF(L362="","",IF($AO$1=1,IFERROR(MATCH(L362,'08-آب'!$L$2:$L$501,0),0),0))</f>
        <v/>
      </c>
      <c r="W362" t="str">
        <f t="shared" si="111"/>
        <v/>
      </c>
      <c r="X362" s="38" t="str">
        <f>IF(L362="","",IF(V362&gt;0,INDEX('08-آب'!$P$2:$P$501,V362),IF($AO$1=1,0,"")))</f>
        <v/>
      </c>
      <c r="Y362" s="38" t="str">
        <f t="shared" si="112"/>
        <v/>
      </c>
      <c r="Z362" s="39" t="str">
        <f>IF(L362="","",IF(V362&gt;0,INDEX('08-آب'!$Q$2:$Q$501,V362),IF($AO$1=1,0,"")))</f>
        <v/>
      </c>
      <c r="AA362" s="39" t="str">
        <f t="shared" si="113"/>
        <v/>
      </c>
      <c r="AB362" s="40" t="str">
        <f>IF(OR(L362="",V362=0),"",IF(AND(N(I362)&gt;0,N(INDEX('08-آب'!$I$2:$I$501,V362))&gt;0,INDEX('08-آب'!$F$2:$F$501,V362)=F362),N(I362)/N(INDEX('08-آب'!$I$2:$I$501,V362))-1,""))</f>
        <v/>
      </c>
      <c r="AC362" t="str">
        <f>IF(L362="","",IF(AND($AO$2=1,ISNA(MATCH(L362,'10-تشرين الأول'!$L$2:$L$501,0))),"محذوف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IF(L363="","",IF($AO$1=1,IFERROR(MATCH(L363,'08-آب'!$L$2:$L$501,0),0),0))</f>
        <v/>
      </c>
      <c r="W363" t="str">
        <f t="shared" si="111"/>
        <v/>
      </c>
      <c r="X363" s="38" t="str">
        <f>IF(L363="","",IF(V363&gt;0,INDEX('08-آب'!$P$2:$P$501,V363),IF($AO$1=1,0,"")))</f>
        <v/>
      </c>
      <c r="Y363" s="38" t="str">
        <f t="shared" si="112"/>
        <v/>
      </c>
      <c r="Z363" s="39" t="str">
        <f>IF(L363="","",IF(V363&gt;0,INDEX('08-آب'!$Q$2:$Q$501,V363),IF($AO$1=1,0,"")))</f>
        <v/>
      </c>
      <c r="AA363" s="39" t="str">
        <f t="shared" si="113"/>
        <v/>
      </c>
      <c r="AB363" s="40" t="str">
        <f>IF(OR(L363="",V363=0),"",IF(AND(N(I363)&gt;0,N(INDEX('08-آب'!$I$2:$I$501,V363))&gt;0,INDEX('08-آب'!$F$2:$F$501,V363)=F363),N(I363)/N(INDEX('08-آب'!$I$2:$I$501,V363))-1,""))</f>
        <v/>
      </c>
      <c r="AC363" t="str">
        <f>IF(L363="","",IF(AND($AO$2=1,ISNA(MATCH(L363,'10-تشرين الأول'!$L$2:$L$501,0))),"محذوف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IF(L364="","",IF($AO$1=1,IFERROR(MATCH(L364,'08-آب'!$L$2:$L$501,0),0),0))</f>
        <v/>
      </c>
      <c r="W364" t="str">
        <f t="shared" si="111"/>
        <v/>
      </c>
      <c r="X364" s="38" t="str">
        <f>IF(L364="","",IF(V364&gt;0,INDEX('08-آب'!$P$2:$P$501,V364),IF($AO$1=1,0,"")))</f>
        <v/>
      </c>
      <c r="Y364" s="38" t="str">
        <f t="shared" si="112"/>
        <v/>
      </c>
      <c r="Z364" s="39" t="str">
        <f>IF(L364="","",IF(V364&gt;0,INDEX('08-آب'!$Q$2:$Q$501,V364),IF($AO$1=1,0,"")))</f>
        <v/>
      </c>
      <c r="AA364" s="39" t="str">
        <f t="shared" si="113"/>
        <v/>
      </c>
      <c r="AB364" s="40" t="str">
        <f>IF(OR(L364="",V364=0),"",IF(AND(N(I364)&gt;0,N(INDEX('08-آب'!$I$2:$I$501,V364))&gt;0,INDEX('08-آب'!$F$2:$F$501,V364)=F364),N(I364)/N(INDEX('08-آب'!$I$2:$I$501,V364))-1,""))</f>
        <v/>
      </c>
      <c r="AC364" t="str">
        <f>IF(L364="","",IF(AND($AO$2=1,ISNA(MATCH(L364,'10-تشرين الأول'!$L$2:$L$501,0))),"محذوف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IF(L365="","",IF($AO$1=1,IFERROR(MATCH(L365,'08-آب'!$L$2:$L$501,0),0),0))</f>
        <v/>
      </c>
      <c r="W365" t="str">
        <f t="shared" si="111"/>
        <v/>
      </c>
      <c r="X365" s="38" t="str">
        <f>IF(L365="","",IF(V365&gt;0,INDEX('08-آب'!$P$2:$P$501,V365),IF($AO$1=1,0,"")))</f>
        <v/>
      </c>
      <c r="Y365" s="38" t="str">
        <f t="shared" si="112"/>
        <v/>
      </c>
      <c r="Z365" s="39" t="str">
        <f>IF(L365="","",IF(V365&gt;0,INDEX('08-آب'!$Q$2:$Q$501,V365),IF($AO$1=1,0,"")))</f>
        <v/>
      </c>
      <c r="AA365" s="39" t="str">
        <f t="shared" si="113"/>
        <v/>
      </c>
      <c r="AB365" s="40" t="str">
        <f>IF(OR(L365="",V365=0),"",IF(AND(N(I365)&gt;0,N(INDEX('08-آب'!$I$2:$I$501,V365))&gt;0,INDEX('08-آب'!$F$2:$F$501,V365)=F365),N(I365)/N(INDEX('08-آب'!$I$2:$I$501,V365))-1,""))</f>
        <v/>
      </c>
      <c r="AC365" t="str">
        <f>IF(L365="","",IF(AND($AO$2=1,ISNA(MATCH(L365,'10-تشرين الأول'!$L$2:$L$501,0))),"محذوف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IF(L366="","",IF($AO$1=1,IFERROR(MATCH(L366,'08-آب'!$L$2:$L$501,0),0),0))</f>
        <v/>
      </c>
      <c r="W366" t="str">
        <f t="shared" si="111"/>
        <v/>
      </c>
      <c r="X366" s="38" t="str">
        <f>IF(L366="","",IF(V366&gt;0,INDEX('08-آب'!$P$2:$P$501,V366),IF($AO$1=1,0,"")))</f>
        <v/>
      </c>
      <c r="Y366" s="38" t="str">
        <f t="shared" si="112"/>
        <v/>
      </c>
      <c r="Z366" s="39" t="str">
        <f>IF(L366="","",IF(V366&gt;0,INDEX('08-آب'!$Q$2:$Q$501,V366),IF($AO$1=1,0,"")))</f>
        <v/>
      </c>
      <c r="AA366" s="39" t="str">
        <f t="shared" si="113"/>
        <v/>
      </c>
      <c r="AB366" s="40" t="str">
        <f>IF(OR(L366="",V366=0),"",IF(AND(N(I366)&gt;0,N(INDEX('08-آب'!$I$2:$I$501,V366))&gt;0,INDEX('08-آب'!$F$2:$F$501,V366)=F366),N(I366)/N(INDEX('08-آب'!$I$2:$I$501,V366))-1,""))</f>
        <v/>
      </c>
      <c r="AC366" t="str">
        <f>IF(L366="","",IF(AND($AO$2=1,ISNA(MATCH(L366,'10-تشرين الأول'!$L$2:$L$501,0))),"محذوف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IF(L367="","",IF($AO$1=1,IFERROR(MATCH(L367,'08-آب'!$L$2:$L$501,0),0),0))</f>
        <v/>
      </c>
      <c r="W367" t="str">
        <f t="shared" si="111"/>
        <v/>
      </c>
      <c r="X367" s="38" t="str">
        <f>IF(L367="","",IF(V367&gt;0,INDEX('08-آب'!$P$2:$P$501,V367),IF($AO$1=1,0,"")))</f>
        <v/>
      </c>
      <c r="Y367" s="38" t="str">
        <f t="shared" si="112"/>
        <v/>
      </c>
      <c r="Z367" s="39" t="str">
        <f>IF(L367="","",IF(V367&gt;0,INDEX('08-آب'!$Q$2:$Q$501,V367),IF($AO$1=1,0,"")))</f>
        <v/>
      </c>
      <c r="AA367" s="39" t="str">
        <f t="shared" si="113"/>
        <v/>
      </c>
      <c r="AB367" s="40" t="str">
        <f>IF(OR(L367="",V367=0),"",IF(AND(N(I367)&gt;0,N(INDEX('08-آب'!$I$2:$I$501,V367))&gt;0,INDEX('08-آب'!$F$2:$F$501,V367)=F367),N(I367)/N(INDEX('08-آب'!$I$2:$I$501,V367))-1,""))</f>
        <v/>
      </c>
      <c r="AC367" t="str">
        <f>IF(L367="","",IF(AND($AO$2=1,ISNA(MATCH(L367,'10-تشرين الأول'!$L$2:$L$501,0))),"محذوف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IF(L368="","",IF($AO$1=1,IFERROR(MATCH(L368,'08-آب'!$L$2:$L$501,0),0),0))</f>
        <v/>
      </c>
      <c r="W368" t="str">
        <f t="shared" si="111"/>
        <v/>
      </c>
      <c r="X368" s="38" t="str">
        <f>IF(L368="","",IF(V368&gt;0,INDEX('08-آب'!$P$2:$P$501,V368),IF($AO$1=1,0,"")))</f>
        <v/>
      </c>
      <c r="Y368" s="38" t="str">
        <f t="shared" si="112"/>
        <v/>
      </c>
      <c r="Z368" s="39" t="str">
        <f>IF(L368="","",IF(V368&gt;0,INDEX('08-آب'!$Q$2:$Q$501,V368),IF($AO$1=1,0,"")))</f>
        <v/>
      </c>
      <c r="AA368" s="39" t="str">
        <f t="shared" si="113"/>
        <v/>
      </c>
      <c r="AB368" s="40" t="str">
        <f>IF(OR(L368="",V368=0),"",IF(AND(N(I368)&gt;0,N(INDEX('08-آب'!$I$2:$I$501,V368))&gt;0,INDEX('08-آب'!$F$2:$F$501,V368)=F368),N(I368)/N(INDEX('08-آب'!$I$2:$I$501,V368))-1,""))</f>
        <v/>
      </c>
      <c r="AC368" t="str">
        <f>IF(L368="","",IF(AND($AO$2=1,ISNA(MATCH(L368,'10-تشرين الأول'!$L$2:$L$501,0))),"محذوف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IF(L369="","",IF($AO$1=1,IFERROR(MATCH(L369,'08-آب'!$L$2:$L$501,0),0),0))</f>
        <v/>
      </c>
      <c r="W369" t="str">
        <f t="shared" si="111"/>
        <v/>
      </c>
      <c r="X369" s="38" t="str">
        <f>IF(L369="","",IF(V369&gt;0,INDEX('08-آب'!$P$2:$P$501,V369),IF($AO$1=1,0,"")))</f>
        <v/>
      </c>
      <c r="Y369" s="38" t="str">
        <f t="shared" si="112"/>
        <v/>
      </c>
      <c r="Z369" s="39" t="str">
        <f>IF(L369="","",IF(V369&gt;0,INDEX('08-آب'!$Q$2:$Q$501,V369),IF($AO$1=1,0,"")))</f>
        <v/>
      </c>
      <c r="AA369" s="39" t="str">
        <f t="shared" si="113"/>
        <v/>
      </c>
      <c r="AB369" s="40" t="str">
        <f>IF(OR(L369="",V369=0),"",IF(AND(N(I369)&gt;0,N(INDEX('08-آب'!$I$2:$I$501,V369))&gt;0,INDEX('08-آب'!$F$2:$F$501,V369)=F369),N(I369)/N(INDEX('08-آب'!$I$2:$I$501,V369))-1,""))</f>
        <v/>
      </c>
      <c r="AC369" t="str">
        <f>IF(L369="","",IF(AND($AO$2=1,ISNA(MATCH(L369,'10-تشرين الأول'!$L$2:$L$501,0))),"محذوف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IF(L370="","",IF($AO$1=1,IFERROR(MATCH(L370,'08-آب'!$L$2:$L$501,0),0),0))</f>
        <v/>
      </c>
      <c r="W370" t="str">
        <f t="shared" si="111"/>
        <v/>
      </c>
      <c r="X370" s="38" t="str">
        <f>IF(L370="","",IF(V370&gt;0,INDEX('08-آب'!$P$2:$P$501,V370),IF($AO$1=1,0,"")))</f>
        <v/>
      </c>
      <c r="Y370" s="38" t="str">
        <f t="shared" si="112"/>
        <v/>
      </c>
      <c r="Z370" s="39" t="str">
        <f>IF(L370="","",IF(V370&gt;0,INDEX('08-آب'!$Q$2:$Q$501,V370),IF($AO$1=1,0,"")))</f>
        <v/>
      </c>
      <c r="AA370" s="39" t="str">
        <f t="shared" si="113"/>
        <v/>
      </c>
      <c r="AB370" s="40" t="str">
        <f>IF(OR(L370="",V370=0),"",IF(AND(N(I370)&gt;0,N(INDEX('08-آب'!$I$2:$I$501,V370))&gt;0,INDEX('08-آب'!$F$2:$F$501,V370)=F370),N(I370)/N(INDEX('08-آب'!$I$2:$I$501,V370))-1,""))</f>
        <v/>
      </c>
      <c r="AC370" t="str">
        <f>IF(L370="","",IF(AND($AO$2=1,ISNA(MATCH(L370,'10-تشرين الأول'!$L$2:$L$501,0))),"محذوف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IF(L371="","",IF($AO$1=1,IFERROR(MATCH(L371,'08-آب'!$L$2:$L$501,0),0),0))</f>
        <v/>
      </c>
      <c r="W371" t="str">
        <f t="shared" si="111"/>
        <v/>
      </c>
      <c r="X371" s="38" t="str">
        <f>IF(L371="","",IF(V371&gt;0,INDEX('08-آب'!$P$2:$P$501,V371),IF($AO$1=1,0,"")))</f>
        <v/>
      </c>
      <c r="Y371" s="38" t="str">
        <f t="shared" si="112"/>
        <v/>
      </c>
      <c r="Z371" s="39" t="str">
        <f>IF(L371="","",IF(V371&gt;0,INDEX('08-آب'!$Q$2:$Q$501,V371),IF($AO$1=1,0,"")))</f>
        <v/>
      </c>
      <c r="AA371" s="39" t="str">
        <f t="shared" si="113"/>
        <v/>
      </c>
      <c r="AB371" s="40" t="str">
        <f>IF(OR(L371="",V371=0),"",IF(AND(N(I371)&gt;0,N(INDEX('08-آب'!$I$2:$I$501,V371))&gt;0,INDEX('08-آب'!$F$2:$F$501,V371)=F371),N(I371)/N(INDEX('08-آب'!$I$2:$I$501,V371))-1,""))</f>
        <v/>
      </c>
      <c r="AC371" t="str">
        <f>IF(L371="","",IF(AND($AO$2=1,ISNA(MATCH(L371,'10-تشرين الأول'!$L$2:$L$501,0))),"محذوف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IF(L372="","",IF($AO$1=1,IFERROR(MATCH(L372,'08-آب'!$L$2:$L$501,0),0),0))</f>
        <v/>
      </c>
      <c r="W372" t="str">
        <f t="shared" si="111"/>
        <v/>
      </c>
      <c r="X372" s="38" t="str">
        <f>IF(L372="","",IF(V372&gt;0,INDEX('08-آب'!$P$2:$P$501,V372),IF($AO$1=1,0,"")))</f>
        <v/>
      </c>
      <c r="Y372" s="38" t="str">
        <f t="shared" si="112"/>
        <v/>
      </c>
      <c r="Z372" s="39" t="str">
        <f>IF(L372="","",IF(V372&gt;0,INDEX('08-آب'!$Q$2:$Q$501,V372),IF($AO$1=1,0,"")))</f>
        <v/>
      </c>
      <c r="AA372" s="39" t="str">
        <f t="shared" si="113"/>
        <v/>
      </c>
      <c r="AB372" s="40" t="str">
        <f>IF(OR(L372="",V372=0),"",IF(AND(N(I372)&gt;0,N(INDEX('08-آب'!$I$2:$I$501,V372))&gt;0,INDEX('08-آب'!$F$2:$F$501,V372)=F372),N(I372)/N(INDEX('08-آب'!$I$2:$I$501,V372))-1,""))</f>
        <v/>
      </c>
      <c r="AC372" t="str">
        <f>IF(L372="","",IF(AND($AO$2=1,ISNA(MATCH(L372,'10-تشرين الأول'!$L$2:$L$501,0))),"محذوف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IF(L373="","",IF($AO$1=1,IFERROR(MATCH(L373,'08-آب'!$L$2:$L$501,0),0),0))</f>
        <v/>
      </c>
      <c r="W373" t="str">
        <f t="shared" si="111"/>
        <v/>
      </c>
      <c r="X373" s="38" t="str">
        <f>IF(L373="","",IF(V373&gt;0,INDEX('08-آب'!$P$2:$P$501,V373),IF($AO$1=1,0,"")))</f>
        <v/>
      </c>
      <c r="Y373" s="38" t="str">
        <f t="shared" si="112"/>
        <v/>
      </c>
      <c r="Z373" s="39" t="str">
        <f>IF(L373="","",IF(V373&gt;0,INDEX('08-آب'!$Q$2:$Q$501,V373),IF($AO$1=1,0,"")))</f>
        <v/>
      </c>
      <c r="AA373" s="39" t="str">
        <f t="shared" si="113"/>
        <v/>
      </c>
      <c r="AB373" s="40" t="str">
        <f>IF(OR(L373="",V373=0),"",IF(AND(N(I373)&gt;0,N(INDEX('08-آب'!$I$2:$I$501,V373))&gt;0,INDEX('08-آب'!$F$2:$F$501,V373)=F373),N(I373)/N(INDEX('08-آب'!$I$2:$I$501,V373))-1,""))</f>
        <v/>
      </c>
      <c r="AC373" t="str">
        <f>IF(L373="","",IF(AND($AO$2=1,ISNA(MATCH(L373,'10-تشرين الأول'!$L$2:$L$501,0))),"محذوف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IF(L374="","",IF($AO$1=1,IFERROR(MATCH(L374,'08-آب'!$L$2:$L$501,0),0),0))</f>
        <v/>
      </c>
      <c r="W374" t="str">
        <f t="shared" si="111"/>
        <v/>
      </c>
      <c r="X374" s="38" t="str">
        <f>IF(L374="","",IF(V374&gt;0,INDEX('08-آب'!$P$2:$P$501,V374),IF($AO$1=1,0,"")))</f>
        <v/>
      </c>
      <c r="Y374" s="38" t="str">
        <f t="shared" si="112"/>
        <v/>
      </c>
      <c r="Z374" s="39" t="str">
        <f>IF(L374="","",IF(V374&gt;0,INDEX('08-آب'!$Q$2:$Q$501,V374),IF($AO$1=1,0,"")))</f>
        <v/>
      </c>
      <c r="AA374" s="39" t="str">
        <f t="shared" si="113"/>
        <v/>
      </c>
      <c r="AB374" s="40" t="str">
        <f>IF(OR(L374="",V374=0),"",IF(AND(N(I374)&gt;0,N(INDEX('08-آب'!$I$2:$I$501,V374))&gt;0,INDEX('08-آب'!$F$2:$F$501,V374)=F374),N(I374)/N(INDEX('08-آب'!$I$2:$I$501,V374))-1,""))</f>
        <v/>
      </c>
      <c r="AC374" t="str">
        <f>IF(L374="","",IF(AND($AO$2=1,ISNA(MATCH(L374,'10-تشرين الأول'!$L$2:$L$501,0))),"محذوف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IF(L375="","",IF($AO$1=1,IFERROR(MATCH(L375,'08-آب'!$L$2:$L$501,0),0),0))</f>
        <v/>
      </c>
      <c r="W375" t="str">
        <f t="shared" si="111"/>
        <v/>
      </c>
      <c r="X375" s="38" t="str">
        <f>IF(L375="","",IF(V375&gt;0,INDEX('08-آب'!$P$2:$P$501,V375),IF($AO$1=1,0,"")))</f>
        <v/>
      </c>
      <c r="Y375" s="38" t="str">
        <f t="shared" si="112"/>
        <v/>
      </c>
      <c r="Z375" s="39" t="str">
        <f>IF(L375="","",IF(V375&gt;0,INDEX('08-آب'!$Q$2:$Q$501,V375),IF($AO$1=1,0,"")))</f>
        <v/>
      </c>
      <c r="AA375" s="39" t="str">
        <f t="shared" si="113"/>
        <v/>
      </c>
      <c r="AB375" s="40" t="str">
        <f>IF(OR(L375="",V375=0),"",IF(AND(N(I375)&gt;0,N(INDEX('08-آب'!$I$2:$I$501,V375))&gt;0,INDEX('08-آب'!$F$2:$F$501,V375)=F375),N(I375)/N(INDEX('08-آب'!$I$2:$I$501,V375))-1,""))</f>
        <v/>
      </c>
      <c r="AC375" t="str">
        <f>IF(L375="","",IF(AND($AO$2=1,ISNA(MATCH(L375,'10-تشرين الأول'!$L$2:$L$501,0))),"محذوف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IF(L376="","",IF($AO$1=1,IFERROR(MATCH(L376,'08-آب'!$L$2:$L$501,0),0),0))</f>
        <v/>
      </c>
      <c r="W376" t="str">
        <f t="shared" si="111"/>
        <v/>
      </c>
      <c r="X376" s="38" t="str">
        <f>IF(L376="","",IF(V376&gt;0,INDEX('08-آب'!$P$2:$P$501,V376),IF($AO$1=1,0,"")))</f>
        <v/>
      </c>
      <c r="Y376" s="38" t="str">
        <f t="shared" si="112"/>
        <v/>
      </c>
      <c r="Z376" s="39" t="str">
        <f>IF(L376="","",IF(V376&gt;0,INDEX('08-آب'!$Q$2:$Q$501,V376),IF($AO$1=1,0,"")))</f>
        <v/>
      </c>
      <c r="AA376" s="39" t="str">
        <f t="shared" si="113"/>
        <v/>
      </c>
      <c r="AB376" s="40" t="str">
        <f>IF(OR(L376="",V376=0),"",IF(AND(N(I376)&gt;0,N(INDEX('08-آب'!$I$2:$I$501,V376))&gt;0,INDEX('08-آب'!$F$2:$F$501,V376)=F376),N(I376)/N(INDEX('08-آب'!$I$2:$I$501,V376))-1,""))</f>
        <v/>
      </c>
      <c r="AC376" t="str">
        <f>IF(L376="","",IF(AND($AO$2=1,ISNA(MATCH(L376,'10-تشرين الأول'!$L$2:$L$501,0))),"محذوف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IF(L377="","",IF($AO$1=1,IFERROR(MATCH(L377,'08-آب'!$L$2:$L$501,0),0),0))</f>
        <v/>
      </c>
      <c r="W377" t="str">
        <f t="shared" si="111"/>
        <v/>
      </c>
      <c r="X377" s="38" t="str">
        <f>IF(L377="","",IF(V377&gt;0,INDEX('08-آب'!$P$2:$P$501,V377),IF($AO$1=1,0,"")))</f>
        <v/>
      </c>
      <c r="Y377" s="38" t="str">
        <f t="shared" si="112"/>
        <v/>
      </c>
      <c r="Z377" s="39" t="str">
        <f>IF(L377="","",IF(V377&gt;0,INDEX('08-آب'!$Q$2:$Q$501,V377),IF($AO$1=1,0,"")))</f>
        <v/>
      </c>
      <c r="AA377" s="39" t="str">
        <f t="shared" si="113"/>
        <v/>
      </c>
      <c r="AB377" s="40" t="str">
        <f>IF(OR(L377="",V377=0),"",IF(AND(N(I377)&gt;0,N(INDEX('08-آب'!$I$2:$I$501,V377))&gt;0,INDEX('08-آب'!$F$2:$F$501,V377)=F377),N(I377)/N(INDEX('08-آب'!$I$2:$I$501,V377))-1,""))</f>
        <v/>
      </c>
      <c r="AC377" t="str">
        <f>IF(L377="","",IF(AND($AO$2=1,ISNA(MATCH(L377,'10-تشرين الأول'!$L$2:$L$501,0))),"محذوف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IF(L378="","",IF($AO$1=1,IFERROR(MATCH(L378,'08-آب'!$L$2:$L$501,0),0),0))</f>
        <v/>
      </c>
      <c r="W378" t="str">
        <f t="shared" si="111"/>
        <v/>
      </c>
      <c r="X378" s="38" t="str">
        <f>IF(L378="","",IF(V378&gt;0,INDEX('08-آب'!$P$2:$P$501,V378),IF($AO$1=1,0,"")))</f>
        <v/>
      </c>
      <c r="Y378" s="38" t="str">
        <f t="shared" si="112"/>
        <v/>
      </c>
      <c r="Z378" s="39" t="str">
        <f>IF(L378="","",IF(V378&gt;0,INDEX('08-آب'!$Q$2:$Q$501,V378),IF($AO$1=1,0,"")))</f>
        <v/>
      </c>
      <c r="AA378" s="39" t="str">
        <f t="shared" si="113"/>
        <v/>
      </c>
      <c r="AB378" s="40" t="str">
        <f>IF(OR(L378="",V378=0),"",IF(AND(N(I378)&gt;0,N(INDEX('08-آب'!$I$2:$I$501,V378))&gt;0,INDEX('08-آب'!$F$2:$F$501,V378)=F378),N(I378)/N(INDEX('08-آب'!$I$2:$I$501,V378))-1,""))</f>
        <v/>
      </c>
      <c r="AC378" t="str">
        <f>IF(L378="","",IF(AND($AO$2=1,ISNA(MATCH(L378,'10-تشرين الأول'!$L$2:$L$501,0))),"محذوف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IF(L379="","",IF($AO$1=1,IFERROR(MATCH(L379,'08-آب'!$L$2:$L$501,0),0),0))</f>
        <v/>
      </c>
      <c r="W379" t="str">
        <f t="shared" si="111"/>
        <v/>
      </c>
      <c r="X379" s="38" t="str">
        <f>IF(L379="","",IF(V379&gt;0,INDEX('08-آب'!$P$2:$P$501,V379),IF($AO$1=1,0,"")))</f>
        <v/>
      </c>
      <c r="Y379" s="38" t="str">
        <f t="shared" si="112"/>
        <v/>
      </c>
      <c r="Z379" s="39" t="str">
        <f>IF(L379="","",IF(V379&gt;0,INDEX('08-آب'!$Q$2:$Q$501,V379),IF($AO$1=1,0,"")))</f>
        <v/>
      </c>
      <c r="AA379" s="39" t="str">
        <f t="shared" si="113"/>
        <v/>
      </c>
      <c r="AB379" s="40" t="str">
        <f>IF(OR(L379="",V379=0),"",IF(AND(N(I379)&gt;0,N(INDEX('08-آب'!$I$2:$I$501,V379))&gt;0,INDEX('08-آب'!$F$2:$F$501,V379)=F379),N(I379)/N(INDEX('08-آب'!$I$2:$I$501,V379))-1,""))</f>
        <v/>
      </c>
      <c r="AC379" t="str">
        <f>IF(L379="","",IF(AND($AO$2=1,ISNA(MATCH(L379,'10-تشرين الأول'!$L$2:$L$501,0))),"محذوف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IF(L380="","",IF($AO$1=1,IFERROR(MATCH(L380,'08-آب'!$L$2:$L$501,0),0),0))</f>
        <v/>
      </c>
      <c r="W380" t="str">
        <f t="shared" si="111"/>
        <v/>
      </c>
      <c r="X380" s="38" t="str">
        <f>IF(L380="","",IF(V380&gt;0,INDEX('08-آب'!$P$2:$P$501,V380),IF($AO$1=1,0,"")))</f>
        <v/>
      </c>
      <c r="Y380" s="38" t="str">
        <f t="shared" si="112"/>
        <v/>
      </c>
      <c r="Z380" s="39" t="str">
        <f>IF(L380="","",IF(V380&gt;0,INDEX('08-آب'!$Q$2:$Q$501,V380),IF($AO$1=1,0,"")))</f>
        <v/>
      </c>
      <c r="AA380" s="39" t="str">
        <f t="shared" si="113"/>
        <v/>
      </c>
      <c r="AB380" s="40" t="str">
        <f>IF(OR(L380="",V380=0),"",IF(AND(N(I380)&gt;0,N(INDEX('08-آب'!$I$2:$I$501,V380))&gt;0,INDEX('08-آب'!$F$2:$F$501,V380)=F380),N(I380)/N(INDEX('08-آب'!$I$2:$I$501,V380))-1,""))</f>
        <v/>
      </c>
      <c r="AC380" t="str">
        <f>IF(L380="","",IF(AND($AO$2=1,ISNA(MATCH(L380,'10-تشرين الأول'!$L$2:$L$501,0))),"محذوف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IF(L381="","",IF($AO$1=1,IFERROR(MATCH(L381,'08-آب'!$L$2:$L$501,0),0),0))</f>
        <v/>
      </c>
      <c r="W381" t="str">
        <f t="shared" si="111"/>
        <v/>
      </c>
      <c r="X381" s="38" t="str">
        <f>IF(L381="","",IF(V381&gt;0,INDEX('08-آب'!$P$2:$P$501,V381),IF($AO$1=1,0,"")))</f>
        <v/>
      </c>
      <c r="Y381" s="38" t="str">
        <f t="shared" si="112"/>
        <v/>
      </c>
      <c r="Z381" s="39" t="str">
        <f>IF(L381="","",IF(V381&gt;0,INDEX('08-آب'!$Q$2:$Q$501,V381),IF($AO$1=1,0,"")))</f>
        <v/>
      </c>
      <c r="AA381" s="39" t="str">
        <f t="shared" si="113"/>
        <v/>
      </c>
      <c r="AB381" s="40" t="str">
        <f>IF(OR(L381="",V381=0),"",IF(AND(N(I381)&gt;0,N(INDEX('08-آب'!$I$2:$I$501,V381))&gt;0,INDEX('08-آب'!$F$2:$F$501,V381)=F381),N(I381)/N(INDEX('08-آب'!$I$2:$I$501,V381))-1,""))</f>
        <v/>
      </c>
      <c r="AC381" t="str">
        <f>IF(L381="","",IF(AND($AO$2=1,ISNA(MATCH(L381,'10-تشرين الأول'!$L$2:$L$501,0))),"محذوف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IF(L382="","",IF($AO$1=1,IFERROR(MATCH(L382,'08-آب'!$L$2:$L$501,0),0),0))</f>
        <v/>
      </c>
      <c r="W382" t="str">
        <f t="shared" si="111"/>
        <v/>
      </c>
      <c r="X382" s="38" t="str">
        <f>IF(L382="","",IF(V382&gt;0,INDEX('08-آب'!$P$2:$P$501,V382),IF($AO$1=1,0,"")))</f>
        <v/>
      </c>
      <c r="Y382" s="38" t="str">
        <f t="shared" si="112"/>
        <v/>
      </c>
      <c r="Z382" s="39" t="str">
        <f>IF(L382="","",IF(V382&gt;0,INDEX('08-آب'!$Q$2:$Q$501,V382),IF($AO$1=1,0,"")))</f>
        <v/>
      </c>
      <c r="AA382" s="39" t="str">
        <f t="shared" si="113"/>
        <v/>
      </c>
      <c r="AB382" s="40" t="str">
        <f>IF(OR(L382="",V382=0),"",IF(AND(N(I382)&gt;0,N(INDEX('08-آب'!$I$2:$I$501,V382))&gt;0,INDEX('08-آب'!$F$2:$F$501,V382)=F382),N(I382)/N(INDEX('08-آب'!$I$2:$I$501,V382))-1,""))</f>
        <v/>
      </c>
      <c r="AC382" t="str">
        <f>IF(L382="","",IF(AND($AO$2=1,ISNA(MATCH(L382,'10-تشرين الأول'!$L$2:$L$501,0))),"محذوف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IF(L383="","",IF($AO$1=1,IFERROR(MATCH(L383,'08-آب'!$L$2:$L$501,0),0),0))</f>
        <v/>
      </c>
      <c r="W383" t="str">
        <f t="shared" si="111"/>
        <v/>
      </c>
      <c r="X383" s="38" t="str">
        <f>IF(L383="","",IF(V383&gt;0,INDEX('08-آب'!$P$2:$P$501,V383),IF($AO$1=1,0,"")))</f>
        <v/>
      </c>
      <c r="Y383" s="38" t="str">
        <f t="shared" si="112"/>
        <v/>
      </c>
      <c r="Z383" s="39" t="str">
        <f>IF(L383="","",IF(V383&gt;0,INDEX('08-آب'!$Q$2:$Q$501,V383),IF($AO$1=1,0,"")))</f>
        <v/>
      </c>
      <c r="AA383" s="39" t="str">
        <f t="shared" si="113"/>
        <v/>
      </c>
      <c r="AB383" s="40" t="str">
        <f>IF(OR(L383="",V383=0),"",IF(AND(N(I383)&gt;0,N(INDEX('08-آب'!$I$2:$I$501,V383))&gt;0,INDEX('08-آب'!$F$2:$F$501,V383)=F383),N(I383)/N(INDEX('08-آب'!$I$2:$I$501,V383))-1,""))</f>
        <v/>
      </c>
      <c r="AC383" t="str">
        <f>IF(L383="","",IF(AND($AO$2=1,ISNA(MATCH(L383,'10-تشرين الأول'!$L$2:$L$501,0))),"محذوف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IF(L384="","",IF($AO$1=1,IFERROR(MATCH(L384,'08-آب'!$L$2:$L$501,0),0),0))</f>
        <v/>
      </c>
      <c r="W384" t="str">
        <f t="shared" si="111"/>
        <v/>
      </c>
      <c r="X384" s="38" t="str">
        <f>IF(L384="","",IF(V384&gt;0,INDEX('08-آب'!$P$2:$P$501,V384),IF($AO$1=1,0,"")))</f>
        <v/>
      </c>
      <c r="Y384" s="38" t="str">
        <f t="shared" si="112"/>
        <v/>
      </c>
      <c r="Z384" s="39" t="str">
        <f>IF(L384="","",IF(V384&gt;0,INDEX('08-آب'!$Q$2:$Q$501,V384),IF($AO$1=1,0,"")))</f>
        <v/>
      </c>
      <c r="AA384" s="39" t="str">
        <f t="shared" si="113"/>
        <v/>
      </c>
      <c r="AB384" s="40" t="str">
        <f>IF(OR(L384="",V384=0),"",IF(AND(N(I384)&gt;0,N(INDEX('08-آب'!$I$2:$I$501,V384))&gt;0,INDEX('08-آب'!$F$2:$F$501,V384)=F384),N(I384)/N(INDEX('08-آب'!$I$2:$I$501,V384))-1,""))</f>
        <v/>
      </c>
      <c r="AC384" t="str">
        <f>IF(L384="","",IF(AND($AO$2=1,ISNA(MATCH(L384,'10-تشرين الأول'!$L$2:$L$501,0))),"محذوف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ref="K385:K448" si="120">IF(L385="","",IF(U385&lt;&gt;"","⚠",""))</f>
        <v/>
      </c>
      <c r="L385" t="str">
        <f t="shared" ref="L385:L448" si="121">IF(A385="","",TRIM(A385))</f>
        <v/>
      </c>
      <c r="M385" s="36" t="str">
        <f t="shared" ref="M385:M448" si="122">IF(L385="","",IF(ISNUMBER(SEARCH("دولار",F385)),1,IF(ISNUMBER(SEARCH("ليرة",F385)),IF($AO$3&gt;0,1/$AO$3,0),0)))</f>
        <v/>
      </c>
      <c r="N385" s="37" t="str">
        <f t="shared" ref="N385:N448" si="123">IF(L385="","",N(I385)*M385)</f>
        <v/>
      </c>
      <c r="O385" s="37" t="str">
        <f t="shared" ref="O385:O448" si="124">IF(L385="","",M385*CHOOSE($AO$4,N(C385),N(D385),N(E385)))</f>
        <v/>
      </c>
      <c r="P385" s="38" t="str">
        <f t="shared" ref="P385:P448" si="125">IF(L385="","",MAX(N(B385),0))</f>
        <v/>
      </c>
      <c r="Q385" s="39" t="str">
        <f t="shared" ref="Q385:Q448" si="126">IF(L385="","",P385*N385)</f>
        <v/>
      </c>
      <c r="R385" s="39" t="str">
        <f t="shared" ref="R385:R448" si="127">IF(L385="","",P385*O385)</f>
        <v/>
      </c>
      <c r="S385" t="str">
        <f t="shared" ref="S385:S448" si="128">IF(L385="","",IF(AND(P385&gt;0,N385&gt;0,O385&gt;0),1,0))</f>
        <v/>
      </c>
      <c r="T385" s="39" t="str">
        <f t="shared" ref="T385:T448" si="129">IF(L385="","",S385*(R385-Q385))</f>
        <v/>
      </c>
      <c r="U385" t="str">
        <f t="shared" ref="U385:U448" si="130">IF(L385="","",MID(IF(OR(NOT(ISNUMBER(B385)),NOT(ISNUMBER(C385)),NOT(ISNUMBER(D385)),NOT(ISNUMBER(E385)),NOT(ISNUMBER(I385)),AND(NOT(ISNUMBER(SEARCH("دولار",F385))),NOT(ISNUMBER(SEARCH("ليرة",F385)))))," | بيانات غير صالحة","")&amp;IF(N(B385)&lt;0," | كمية سالبة","")&amp;IF(AND(N(B385)&gt;0,N(I385)=0)," | شراء صفر","")&amp;IF(AND(N(B385)&gt;0,TRIM(H385)=$AO$5,OR(N(C385)=0,N(D385)=0,N(E385)=0))," | بيع صفر","")&amp;IF(AND(N385&gt;0,O385&gt;0,O385&lt;N385)," | بيع أقل من الشراء","")&amp;IF(OR(AND(ISNUMBER(SEARCH("ليرة",F385)),OR(AND(N(I385)&gt;0,N(I385)&lt;$AO$6),AND(N(C385)&gt;0,N(C385)&lt;$AO$6),AND(N(D385)&gt;0,N(D385)&lt;$AO$6),AND(N(E385)&gt;0,N(E385)&lt;$AO$6))),AND(ISNUMBER(SEARCH("دولار",F385)),MAX(N(I385),N(C385),N(D385),N(E385))&gt;$AO$7))," | عملة/سعر مشكوك","")&amp;IF(AND(COUNTIF(C385:E385,"&gt;0")&gt;=2,MAX(N(C385),N(D385),N(E385))&gt;$AO$8*MIN(IF(N(C385)&gt;0,N(C385),1E+99),IF(N(D385)&gt;0,N(D385),1E+99),IF(N(E385)&gt;0,N(E385),1E+99)))," | تباين أسعار البيع","")&amp;IF(OR(TRIM(H385)="All",TRIM(H385)="")," | بلا تصنيف",""),4,300))</f>
        <v/>
      </c>
      <c r="V385" t="str">
        <f>IF(L385="","",IF($AO$1=1,IFERROR(MATCH(L385,'08-آب'!$L$2:$L$501,0),0),0))</f>
        <v/>
      </c>
      <c r="W385" t="str">
        <f t="shared" ref="W385:W448" si="131">IF(L385="","",IF(AND($AO$1=1,V385=0),"جديد",""))</f>
        <v/>
      </c>
      <c r="X385" s="38" t="str">
        <f>IF(L385="","",IF(V385&gt;0,INDEX('08-آب'!$P$2:$P$501,V385),IF($AO$1=1,0,"")))</f>
        <v/>
      </c>
      <c r="Y385" s="38" t="str">
        <f t="shared" ref="Y385:Y448" si="132">IF(OR(L385="",X385=""),"",P385-X385)</f>
        <v/>
      </c>
      <c r="Z385" s="39" t="str">
        <f>IF(L385="","",IF(V385&gt;0,INDEX('08-آب'!$Q$2:$Q$501,V385),IF($AO$1=1,0,"")))</f>
        <v/>
      </c>
      <c r="AA385" s="39" t="str">
        <f t="shared" ref="AA385:AA448" si="133">IF(OR(L385="",Z385=""),"",Q385-Z385)</f>
        <v/>
      </c>
      <c r="AB385" s="40" t="str">
        <f>IF(OR(L385="",V385=0),"",IF(AND(N(I385)&gt;0,N(INDEX('08-آب'!$I$2:$I$501,V385))&gt;0,INDEX('08-آب'!$F$2:$F$501,V385)=F385),N(I385)/N(INDEX('08-آب'!$I$2:$I$501,V385))-1,""))</f>
        <v/>
      </c>
      <c r="AC385" t="str">
        <f>IF(L385="","",IF(AND($AO$2=1,ISNA(MATCH(L385,'10-تشرين الأول'!$L$2:$L$501,0))),"محذوف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ref="AG385:AG448" si="134">IF(AA385="","",ABS(AA385)+ROW()/1000000000)</f>
        <v/>
      </c>
      <c r="AH385" s="39" t="str">
        <f t="shared" ref="AH385:AH448" si="135">IF(L385="","",IF(AND(P385&gt;0,N385&gt;0,N(C385)&gt;0),P385*(M385*N(C385)-N385),0))</f>
        <v/>
      </c>
      <c r="AI385" s="39" t="str">
        <f t="shared" ref="AI385:AI448" si="136">IF(L385="","",IF(AND(P385&gt;0,N385&gt;0,N(D385)&gt;0),P385*(M385*N(D385)-N385),0))</f>
        <v/>
      </c>
      <c r="AJ385" s="39" t="str">
        <f t="shared" ref="AJ385:AJ448" si="137">IF(L385="","",IF(AND(P385&gt;0,N385&gt;0,N(E385)&gt;0),P385*(M385*N(E385)-N385),0))</f>
        <v/>
      </c>
      <c r="AK385" t="str">
        <f t="shared" ref="AK385:AK448" si="138">IF(L385="","",Q385+ROW()/1000000000)</f>
        <v/>
      </c>
      <c r="AL385" t="str">
        <f t="shared" ref="AL385:AL448" si="139">IF(L385="","",T385+ROW()/1000000000)</f>
        <v/>
      </c>
    </row>
    <row r="386" spans="11:38" ht="15">
      <c r="K386" t="str">
        <f t="shared" si="120"/>
        <v/>
      </c>
      <c r="L386" t="str">
        <f t="shared" si="121"/>
        <v/>
      </c>
      <c r="M386" s="36" t="str">
        <f t="shared" si="122"/>
        <v/>
      </c>
      <c r="N386" s="37" t="str">
        <f t="shared" si="123"/>
        <v/>
      </c>
      <c r="O386" s="37" t="str">
        <f t="shared" si="124"/>
        <v/>
      </c>
      <c r="P386" s="38" t="str">
        <f t="shared" si="125"/>
        <v/>
      </c>
      <c r="Q386" s="39" t="str">
        <f t="shared" si="126"/>
        <v/>
      </c>
      <c r="R386" s="39" t="str">
        <f t="shared" si="127"/>
        <v/>
      </c>
      <c r="S386" t="str">
        <f t="shared" si="128"/>
        <v/>
      </c>
      <c r="T386" s="39" t="str">
        <f t="shared" si="129"/>
        <v/>
      </c>
      <c r="U386" t="str">
        <f t="shared" si="130"/>
        <v/>
      </c>
      <c r="V386" t="str">
        <f>IF(L386="","",IF($AO$1=1,IFERROR(MATCH(L386,'08-آب'!$L$2:$L$501,0),0),0))</f>
        <v/>
      </c>
      <c r="W386" t="str">
        <f t="shared" si="131"/>
        <v/>
      </c>
      <c r="X386" s="38" t="str">
        <f>IF(L386="","",IF(V386&gt;0,INDEX('08-آب'!$P$2:$P$501,V386),IF($AO$1=1,0,"")))</f>
        <v/>
      </c>
      <c r="Y386" s="38" t="str">
        <f t="shared" si="132"/>
        <v/>
      </c>
      <c r="Z386" s="39" t="str">
        <f>IF(L386="","",IF(V386&gt;0,INDEX('08-آب'!$Q$2:$Q$501,V386),IF($AO$1=1,0,"")))</f>
        <v/>
      </c>
      <c r="AA386" s="39" t="str">
        <f t="shared" si="133"/>
        <v/>
      </c>
      <c r="AB386" s="40" t="str">
        <f>IF(OR(L386="",V386=0),"",IF(AND(N(I386)&gt;0,N(INDEX('08-آب'!$I$2:$I$501,V386))&gt;0,INDEX('08-آب'!$F$2:$F$501,V386)=F386),N(I386)/N(INDEX('08-آب'!$I$2:$I$501,V386))-1,""))</f>
        <v/>
      </c>
      <c r="AC386" t="str">
        <f>IF(L386="","",IF(AND($AO$2=1,ISNA(MATCH(L386,'10-تشرين الأول'!$L$2:$L$501,0))),"محذوف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si="134"/>
        <v/>
      </c>
      <c r="AH386" s="39" t="str">
        <f t="shared" si="135"/>
        <v/>
      </c>
      <c r="AI386" s="39" t="str">
        <f t="shared" si="136"/>
        <v/>
      </c>
      <c r="AJ386" s="39" t="str">
        <f t="shared" si="137"/>
        <v/>
      </c>
      <c r="AK386" t="str">
        <f t="shared" si="138"/>
        <v/>
      </c>
      <c r="AL386" t="str">
        <f t="shared" si="139"/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IF(L387="","",IF($AO$1=1,IFERROR(MATCH(L387,'08-آب'!$L$2:$L$501,0),0),0))</f>
        <v/>
      </c>
      <c r="W387" t="str">
        <f t="shared" si="131"/>
        <v/>
      </c>
      <c r="X387" s="38" t="str">
        <f>IF(L387="","",IF(V387&gt;0,INDEX('08-آب'!$P$2:$P$501,V387),IF($AO$1=1,0,"")))</f>
        <v/>
      </c>
      <c r="Y387" s="38" t="str">
        <f t="shared" si="132"/>
        <v/>
      </c>
      <c r="Z387" s="39" t="str">
        <f>IF(L387="","",IF(V387&gt;0,INDEX('08-آب'!$Q$2:$Q$501,V387),IF($AO$1=1,0,"")))</f>
        <v/>
      </c>
      <c r="AA387" s="39" t="str">
        <f t="shared" si="133"/>
        <v/>
      </c>
      <c r="AB387" s="40" t="str">
        <f>IF(OR(L387="",V387=0),"",IF(AND(N(I387)&gt;0,N(INDEX('08-آب'!$I$2:$I$501,V387))&gt;0,INDEX('08-آب'!$F$2:$F$501,V387)=F387),N(I387)/N(INDEX('08-آب'!$I$2:$I$501,V387))-1,""))</f>
        <v/>
      </c>
      <c r="AC387" t="str">
        <f>IF(L387="","",IF(AND($AO$2=1,ISNA(MATCH(L387,'10-تشرين الأول'!$L$2:$L$501,0))),"محذوف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IF(L388="","",IF($AO$1=1,IFERROR(MATCH(L388,'08-آب'!$L$2:$L$501,0),0),0))</f>
        <v/>
      </c>
      <c r="W388" t="str">
        <f t="shared" si="131"/>
        <v/>
      </c>
      <c r="X388" s="38" t="str">
        <f>IF(L388="","",IF(V388&gt;0,INDEX('08-آب'!$P$2:$P$501,V388),IF($AO$1=1,0,"")))</f>
        <v/>
      </c>
      <c r="Y388" s="38" t="str">
        <f t="shared" si="132"/>
        <v/>
      </c>
      <c r="Z388" s="39" t="str">
        <f>IF(L388="","",IF(V388&gt;0,INDEX('08-آب'!$Q$2:$Q$501,V388),IF($AO$1=1,0,"")))</f>
        <v/>
      </c>
      <c r="AA388" s="39" t="str">
        <f t="shared" si="133"/>
        <v/>
      </c>
      <c r="AB388" s="40" t="str">
        <f>IF(OR(L388="",V388=0),"",IF(AND(N(I388)&gt;0,N(INDEX('08-آب'!$I$2:$I$501,V388))&gt;0,INDEX('08-آب'!$F$2:$F$501,V388)=F388),N(I388)/N(INDEX('08-آب'!$I$2:$I$501,V388))-1,""))</f>
        <v/>
      </c>
      <c r="AC388" t="str">
        <f>IF(L388="","",IF(AND($AO$2=1,ISNA(MATCH(L388,'10-تشرين الأول'!$L$2:$L$501,0))),"محذوف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IF(L389="","",IF($AO$1=1,IFERROR(MATCH(L389,'08-آب'!$L$2:$L$501,0),0),0))</f>
        <v/>
      </c>
      <c r="W389" t="str">
        <f t="shared" si="131"/>
        <v/>
      </c>
      <c r="X389" s="38" t="str">
        <f>IF(L389="","",IF(V389&gt;0,INDEX('08-آب'!$P$2:$P$501,V389),IF($AO$1=1,0,"")))</f>
        <v/>
      </c>
      <c r="Y389" s="38" t="str">
        <f t="shared" si="132"/>
        <v/>
      </c>
      <c r="Z389" s="39" t="str">
        <f>IF(L389="","",IF(V389&gt;0,INDEX('08-آب'!$Q$2:$Q$501,V389),IF($AO$1=1,0,"")))</f>
        <v/>
      </c>
      <c r="AA389" s="39" t="str">
        <f t="shared" si="133"/>
        <v/>
      </c>
      <c r="AB389" s="40" t="str">
        <f>IF(OR(L389="",V389=0),"",IF(AND(N(I389)&gt;0,N(INDEX('08-آب'!$I$2:$I$501,V389))&gt;0,INDEX('08-آب'!$F$2:$F$501,V389)=F389),N(I389)/N(INDEX('08-آب'!$I$2:$I$501,V389))-1,""))</f>
        <v/>
      </c>
      <c r="AC389" t="str">
        <f>IF(L389="","",IF(AND($AO$2=1,ISNA(MATCH(L389,'10-تشرين الأول'!$L$2:$L$501,0))),"محذوف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IF(L390="","",IF($AO$1=1,IFERROR(MATCH(L390,'08-آب'!$L$2:$L$501,0),0),0))</f>
        <v/>
      </c>
      <c r="W390" t="str">
        <f t="shared" si="131"/>
        <v/>
      </c>
      <c r="X390" s="38" t="str">
        <f>IF(L390="","",IF(V390&gt;0,INDEX('08-آب'!$P$2:$P$501,V390),IF($AO$1=1,0,"")))</f>
        <v/>
      </c>
      <c r="Y390" s="38" t="str">
        <f t="shared" si="132"/>
        <v/>
      </c>
      <c r="Z390" s="39" t="str">
        <f>IF(L390="","",IF(V390&gt;0,INDEX('08-آب'!$Q$2:$Q$501,V390),IF($AO$1=1,0,"")))</f>
        <v/>
      </c>
      <c r="AA390" s="39" t="str">
        <f t="shared" si="133"/>
        <v/>
      </c>
      <c r="AB390" s="40" t="str">
        <f>IF(OR(L390="",V390=0),"",IF(AND(N(I390)&gt;0,N(INDEX('08-آب'!$I$2:$I$501,V390))&gt;0,INDEX('08-آب'!$F$2:$F$501,V390)=F390),N(I390)/N(INDEX('08-آب'!$I$2:$I$501,V390))-1,""))</f>
        <v/>
      </c>
      <c r="AC390" t="str">
        <f>IF(L390="","",IF(AND($AO$2=1,ISNA(MATCH(L390,'10-تشرين الأول'!$L$2:$L$501,0))),"محذوف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IF(L391="","",IF($AO$1=1,IFERROR(MATCH(L391,'08-آب'!$L$2:$L$501,0),0),0))</f>
        <v/>
      </c>
      <c r="W391" t="str">
        <f t="shared" si="131"/>
        <v/>
      </c>
      <c r="X391" s="38" t="str">
        <f>IF(L391="","",IF(V391&gt;0,INDEX('08-آب'!$P$2:$P$501,V391),IF($AO$1=1,0,"")))</f>
        <v/>
      </c>
      <c r="Y391" s="38" t="str">
        <f t="shared" si="132"/>
        <v/>
      </c>
      <c r="Z391" s="39" t="str">
        <f>IF(L391="","",IF(V391&gt;0,INDEX('08-آب'!$Q$2:$Q$501,V391),IF($AO$1=1,0,"")))</f>
        <v/>
      </c>
      <c r="AA391" s="39" t="str">
        <f t="shared" si="133"/>
        <v/>
      </c>
      <c r="AB391" s="40" t="str">
        <f>IF(OR(L391="",V391=0),"",IF(AND(N(I391)&gt;0,N(INDEX('08-آب'!$I$2:$I$501,V391))&gt;0,INDEX('08-آب'!$F$2:$F$501,V391)=F391),N(I391)/N(INDEX('08-آب'!$I$2:$I$501,V391))-1,""))</f>
        <v/>
      </c>
      <c r="AC391" t="str">
        <f>IF(L391="","",IF(AND($AO$2=1,ISNA(MATCH(L391,'10-تشرين الأول'!$L$2:$L$501,0))),"محذوف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IF(L392="","",IF($AO$1=1,IFERROR(MATCH(L392,'08-آب'!$L$2:$L$501,0),0),0))</f>
        <v/>
      </c>
      <c r="W392" t="str">
        <f t="shared" si="131"/>
        <v/>
      </c>
      <c r="X392" s="38" t="str">
        <f>IF(L392="","",IF(V392&gt;0,INDEX('08-آب'!$P$2:$P$501,V392),IF($AO$1=1,0,"")))</f>
        <v/>
      </c>
      <c r="Y392" s="38" t="str">
        <f t="shared" si="132"/>
        <v/>
      </c>
      <c r="Z392" s="39" t="str">
        <f>IF(L392="","",IF(V392&gt;0,INDEX('08-آب'!$Q$2:$Q$501,V392),IF($AO$1=1,0,"")))</f>
        <v/>
      </c>
      <c r="AA392" s="39" t="str">
        <f t="shared" si="133"/>
        <v/>
      </c>
      <c r="AB392" s="40" t="str">
        <f>IF(OR(L392="",V392=0),"",IF(AND(N(I392)&gt;0,N(INDEX('08-آب'!$I$2:$I$501,V392))&gt;0,INDEX('08-آب'!$F$2:$F$501,V392)=F392),N(I392)/N(INDEX('08-آب'!$I$2:$I$501,V392))-1,""))</f>
        <v/>
      </c>
      <c r="AC392" t="str">
        <f>IF(L392="","",IF(AND($AO$2=1,ISNA(MATCH(L392,'10-تشرين الأول'!$L$2:$L$501,0))),"محذوف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IF(L393="","",IF($AO$1=1,IFERROR(MATCH(L393,'08-آب'!$L$2:$L$501,0),0),0))</f>
        <v/>
      </c>
      <c r="W393" t="str">
        <f t="shared" si="131"/>
        <v/>
      </c>
      <c r="X393" s="38" t="str">
        <f>IF(L393="","",IF(V393&gt;0,INDEX('08-آب'!$P$2:$P$501,V393),IF($AO$1=1,0,"")))</f>
        <v/>
      </c>
      <c r="Y393" s="38" t="str">
        <f t="shared" si="132"/>
        <v/>
      </c>
      <c r="Z393" s="39" t="str">
        <f>IF(L393="","",IF(V393&gt;0,INDEX('08-آب'!$Q$2:$Q$501,V393),IF($AO$1=1,0,"")))</f>
        <v/>
      </c>
      <c r="AA393" s="39" t="str">
        <f t="shared" si="133"/>
        <v/>
      </c>
      <c r="AB393" s="40" t="str">
        <f>IF(OR(L393="",V393=0),"",IF(AND(N(I393)&gt;0,N(INDEX('08-آب'!$I$2:$I$501,V393))&gt;0,INDEX('08-آب'!$F$2:$F$501,V393)=F393),N(I393)/N(INDEX('08-آب'!$I$2:$I$501,V393))-1,""))</f>
        <v/>
      </c>
      <c r="AC393" t="str">
        <f>IF(L393="","",IF(AND($AO$2=1,ISNA(MATCH(L393,'10-تشرين الأول'!$L$2:$L$501,0))),"محذوف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IF(L394="","",IF($AO$1=1,IFERROR(MATCH(L394,'08-آب'!$L$2:$L$501,0),0),0))</f>
        <v/>
      </c>
      <c r="W394" t="str">
        <f t="shared" si="131"/>
        <v/>
      </c>
      <c r="X394" s="38" t="str">
        <f>IF(L394="","",IF(V394&gt;0,INDEX('08-آب'!$P$2:$P$501,V394),IF($AO$1=1,0,"")))</f>
        <v/>
      </c>
      <c r="Y394" s="38" t="str">
        <f t="shared" si="132"/>
        <v/>
      </c>
      <c r="Z394" s="39" t="str">
        <f>IF(L394="","",IF(V394&gt;0,INDEX('08-آب'!$Q$2:$Q$501,V394),IF($AO$1=1,0,"")))</f>
        <v/>
      </c>
      <c r="AA394" s="39" t="str">
        <f t="shared" si="133"/>
        <v/>
      </c>
      <c r="AB394" s="40" t="str">
        <f>IF(OR(L394="",V394=0),"",IF(AND(N(I394)&gt;0,N(INDEX('08-آب'!$I$2:$I$501,V394))&gt;0,INDEX('08-آب'!$F$2:$F$501,V394)=F394),N(I394)/N(INDEX('08-آب'!$I$2:$I$501,V394))-1,""))</f>
        <v/>
      </c>
      <c r="AC394" t="str">
        <f>IF(L394="","",IF(AND($AO$2=1,ISNA(MATCH(L394,'10-تشرين الأول'!$L$2:$L$501,0))),"محذوف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IF(L395="","",IF($AO$1=1,IFERROR(MATCH(L395,'08-آب'!$L$2:$L$501,0),0),0))</f>
        <v/>
      </c>
      <c r="W395" t="str">
        <f t="shared" si="131"/>
        <v/>
      </c>
      <c r="X395" s="38" t="str">
        <f>IF(L395="","",IF(V395&gt;0,INDEX('08-آب'!$P$2:$P$501,V395),IF($AO$1=1,0,"")))</f>
        <v/>
      </c>
      <c r="Y395" s="38" t="str">
        <f t="shared" si="132"/>
        <v/>
      </c>
      <c r="Z395" s="39" t="str">
        <f>IF(L395="","",IF(V395&gt;0,INDEX('08-آب'!$Q$2:$Q$501,V395),IF($AO$1=1,0,"")))</f>
        <v/>
      </c>
      <c r="AA395" s="39" t="str">
        <f t="shared" si="133"/>
        <v/>
      </c>
      <c r="AB395" s="40" t="str">
        <f>IF(OR(L395="",V395=0),"",IF(AND(N(I395)&gt;0,N(INDEX('08-آب'!$I$2:$I$501,V395))&gt;0,INDEX('08-آب'!$F$2:$F$501,V395)=F395),N(I395)/N(INDEX('08-آب'!$I$2:$I$501,V395))-1,""))</f>
        <v/>
      </c>
      <c r="AC395" t="str">
        <f>IF(L395="","",IF(AND($AO$2=1,ISNA(MATCH(L395,'10-تشرين الأول'!$L$2:$L$501,0))),"محذوف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IF(L396="","",IF($AO$1=1,IFERROR(MATCH(L396,'08-آب'!$L$2:$L$501,0),0),0))</f>
        <v/>
      </c>
      <c r="W396" t="str">
        <f t="shared" si="131"/>
        <v/>
      </c>
      <c r="X396" s="38" t="str">
        <f>IF(L396="","",IF(V396&gt;0,INDEX('08-آب'!$P$2:$P$501,V396),IF($AO$1=1,0,"")))</f>
        <v/>
      </c>
      <c r="Y396" s="38" t="str">
        <f t="shared" si="132"/>
        <v/>
      </c>
      <c r="Z396" s="39" t="str">
        <f>IF(L396="","",IF(V396&gt;0,INDEX('08-آب'!$Q$2:$Q$501,V396),IF($AO$1=1,0,"")))</f>
        <v/>
      </c>
      <c r="AA396" s="39" t="str">
        <f t="shared" si="133"/>
        <v/>
      </c>
      <c r="AB396" s="40" t="str">
        <f>IF(OR(L396="",V396=0),"",IF(AND(N(I396)&gt;0,N(INDEX('08-آب'!$I$2:$I$501,V396))&gt;0,INDEX('08-آب'!$F$2:$F$501,V396)=F396),N(I396)/N(INDEX('08-آب'!$I$2:$I$501,V396))-1,""))</f>
        <v/>
      </c>
      <c r="AC396" t="str">
        <f>IF(L396="","",IF(AND($AO$2=1,ISNA(MATCH(L396,'10-تشرين الأول'!$L$2:$L$501,0))),"محذوف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IF(L397="","",IF($AO$1=1,IFERROR(MATCH(L397,'08-آب'!$L$2:$L$501,0),0),0))</f>
        <v/>
      </c>
      <c r="W397" t="str">
        <f t="shared" si="131"/>
        <v/>
      </c>
      <c r="X397" s="38" t="str">
        <f>IF(L397="","",IF(V397&gt;0,INDEX('08-آب'!$P$2:$P$501,V397),IF($AO$1=1,0,"")))</f>
        <v/>
      </c>
      <c r="Y397" s="38" t="str">
        <f t="shared" si="132"/>
        <v/>
      </c>
      <c r="Z397" s="39" t="str">
        <f>IF(L397="","",IF(V397&gt;0,INDEX('08-آب'!$Q$2:$Q$501,V397),IF($AO$1=1,0,"")))</f>
        <v/>
      </c>
      <c r="AA397" s="39" t="str">
        <f t="shared" si="133"/>
        <v/>
      </c>
      <c r="AB397" s="40" t="str">
        <f>IF(OR(L397="",V397=0),"",IF(AND(N(I397)&gt;0,N(INDEX('08-آب'!$I$2:$I$501,V397))&gt;0,INDEX('08-آب'!$F$2:$F$501,V397)=F397),N(I397)/N(INDEX('08-آب'!$I$2:$I$501,V397))-1,""))</f>
        <v/>
      </c>
      <c r="AC397" t="str">
        <f>IF(L397="","",IF(AND($AO$2=1,ISNA(MATCH(L397,'10-تشرين الأول'!$L$2:$L$501,0))),"محذوف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IF(L398="","",IF($AO$1=1,IFERROR(MATCH(L398,'08-آب'!$L$2:$L$501,0),0),0))</f>
        <v/>
      </c>
      <c r="W398" t="str">
        <f t="shared" si="131"/>
        <v/>
      </c>
      <c r="X398" s="38" t="str">
        <f>IF(L398="","",IF(V398&gt;0,INDEX('08-آب'!$P$2:$P$501,V398),IF($AO$1=1,0,"")))</f>
        <v/>
      </c>
      <c r="Y398" s="38" t="str">
        <f t="shared" si="132"/>
        <v/>
      </c>
      <c r="Z398" s="39" t="str">
        <f>IF(L398="","",IF(V398&gt;0,INDEX('08-آب'!$Q$2:$Q$501,V398),IF($AO$1=1,0,"")))</f>
        <v/>
      </c>
      <c r="AA398" s="39" t="str">
        <f t="shared" si="133"/>
        <v/>
      </c>
      <c r="AB398" s="40" t="str">
        <f>IF(OR(L398="",V398=0),"",IF(AND(N(I398)&gt;0,N(INDEX('08-آب'!$I$2:$I$501,V398))&gt;0,INDEX('08-آب'!$F$2:$F$501,V398)=F398),N(I398)/N(INDEX('08-آب'!$I$2:$I$501,V398))-1,""))</f>
        <v/>
      </c>
      <c r="AC398" t="str">
        <f>IF(L398="","",IF(AND($AO$2=1,ISNA(MATCH(L398,'10-تشرين الأول'!$L$2:$L$501,0))),"محذوف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IF(L399="","",IF($AO$1=1,IFERROR(MATCH(L399,'08-آب'!$L$2:$L$501,0),0),0))</f>
        <v/>
      </c>
      <c r="W399" t="str">
        <f t="shared" si="131"/>
        <v/>
      </c>
      <c r="X399" s="38" t="str">
        <f>IF(L399="","",IF(V399&gt;0,INDEX('08-آب'!$P$2:$P$501,V399),IF($AO$1=1,0,"")))</f>
        <v/>
      </c>
      <c r="Y399" s="38" t="str">
        <f t="shared" si="132"/>
        <v/>
      </c>
      <c r="Z399" s="39" t="str">
        <f>IF(L399="","",IF(V399&gt;0,INDEX('08-آب'!$Q$2:$Q$501,V399),IF($AO$1=1,0,"")))</f>
        <v/>
      </c>
      <c r="AA399" s="39" t="str">
        <f t="shared" si="133"/>
        <v/>
      </c>
      <c r="AB399" s="40" t="str">
        <f>IF(OR(L399="",V399=0),"",IF(AND(N(I399)&gt;0,N(INDEX('08-آب'!$I$2:$I$501,V399))&gt;0,INDEX('08-آب'!$F$2:$F$501,V399)=F399),N(I399)/N(INDEX('08-آب'!$I$2:$I$501,V399))-1,""))</f>
        <v/>
      </c>
      <c r="AC399" t="str">
        <f>IF(L399="","",IF(AND($AO$2=1,ISNA(MATCH(L399,'10-تشرين الأول'!$L$2:$L$501,0))),"محذوف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IF(L400="","",IF($AO$1=1,IFERROR(MATCH(L400,'08-آب'!$L$2:$L$501,0),0),0))</f>
        <v/>
      </c>
      <c r="W400" t="str">
        <f t="shared" si="131"/>
        <v/>
      </c>
      <c r="X400" s="38" t="str">
        <f>IF(L400="","",IF(V400&gt;0,INDEX('08-آب'!$P$2:$P$501,V400),IF($AO$1=1,0,"")))</f>
        <v/>
      </c>
      <c r="Y400" s="38" t="str">
        <f t="shared" si="132"/>
        <v/>
      </c>
      <c r="Z400" s="39" t="str">
        <f>IF(L400="","",IF(V400&gt;0,INDEX('08-آب'!$Q$2:$Q$501,V400),IF($AO$1=1,0,"")))</f>
        <v/>
      </c>
      <c r="AA400" s="39" t="str">
        <f t="shared" si="133"/>
        <v/>
      </c>
      <c r="AB400" s="40" t="str">
        <f>IF(OR(L400="",V400=0),"",IF(AND(N(I400)&gt;0,N(INDEX('08-آب'!$I$2:$I$501,V400))&gt;0,INDEX('08-آب'!$F$2:$F$501,V400)=F400),N(I400)/N(INDEX('08-آب'!$I$2:$I$501,V400))-1,""))</f>
        <v/>
      </c>
      <c r="AC400" t="str">
        <f>IF(L400="","",IF(AND($AO$2=1,ISNA(MATCH(L400,'10-تشرين الأول'!$L$2:$L$501,0))),"محذوف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IF(L401="","",IF($AO$1=1,IFERROR(MATCH(L401,'08-آب'!$L$2:$L$501,0),0),0))</f>
        <v/>
      </c>
      <c r="W401" t="str">
        <f t="shared" si="131"/>
        <v/>
      </c>
      <c r="X401" s="38" t="str">
        <f>IF(L401="","",IF(V401&gt;0,INDEX('08-آب'!$P$2:$P$501,V401),IF($AO$1=1,0,"")))</f>
        <v/>
      </c>
      <c r="Y401" s="38" t="str">
        <f t="shared" si="132"/>
        <v/>
      </c>
      <c r="Z401" s="39" t="str">
        <f>IF(L401="","",IF(V401&gt;0,INDEX('08-آب'!$Q$2:$Q$501,V401),IF($AO$1=1,0,"")))</f>
        <v/>
      </c>
      <c r="AA401" s="39" t="str">
        <f t="shared" si="133"/>
        <v/>
      </c>
      <c r="AB401" s="40" t="str">
        <f>IF(OR(L401="",V401=0),"",IF(AND(N(I401)&gt;0,N(INDEX('08-آب'!$I$2:$I$501,V401))&gt;0,INDEX('08-آب'!$F$2:$F$501,V401)=F401),N(I401)/N(INDEX('08-آب'!$I$2:$I$501,V401))-1,""))</f>
        <v/>
      </c>
      <c r="AC401" t="str">
        <f>IF(L401="","",IF(AND($AO$2=1,ISNA(MATCH(L401,'10-تشرين الأول'!$L$2:$L$501,0))),"محذوف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IF(L402="","",IF($AO$1=1,IFERROR(MATCH(L402,'08-آب'!$L$2:$L$501,0),0),0))</f>
        <v/>
      </c>
      <c r="W402" t="str">
        <f t="shared" si="131"/>
        <v/>
      </c>
      <c r="X402" s="38" t="str">
        <f>IF(L402="","",IF(V402&gt;0,INDEX('08-آب'!$P$2:$P$501,V402),IF($AO$1=1,0,"")))</f>
        <v/>
      </c>
      <c r="Y402" s="38" t="str">
        <f t="shared" si="132"/>
        <v/>
      </c>
      <c r="Z402" s="39" t="str">
        <f>IF(L402="","",IF(V402&gt;0,INDEX('08-آب'!$Q$2:$Q$501,V402),IF($AO$1=1,0,"")))</f>
        <v/>
      </c>
      <c r="AA402" s="39" t="str">
        <f t="shared" si="133"/>
        <v/>
      </c>
      <c r="AB402" s="40" t="str">
        <f>IF(OR(L402="",V402=0),"",IF(AND(N(I402)&gt;0,N(INDEX('08-آب'!$I$2:$I$501,V402))&gt;0,INDEX('08-آب'!$F$2:$F$501,V402)=F402),N(I402)/N(INDEX('08-آب'!$I$2:$I$501,V402))-1,""))</f>
        <v/>
      </c>
      <c r="AC402" t="str">
        <f>IF(L402="","",IF(AND($AO$2=1,ISNA(MATCH(L402,'10-تشرين الأول'!$L$2:$L$501,0))),"محذوف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IF(L403="","",IF($AO$1=1,IFERROR(MATCH(L403,'08-آب'!$L$2:$L$501,0),0),0))</f>
        <v/>
      </c>
      <c r="W403" t="str">
        <f t="shared" si="131"/>
        <v/>
      </c>
      <c r="X403" s="38" t="str">
        <f>IF(L403="","",IF(V403&gt;0,INDEX('08-آب'!$P$2:$P$501,V403),IF($AO$1=1,0,"")))</f>
        <v/>
      </c>
      <c r="Y403" s="38" t="str">
        <f t="shared" si="132"/>
        <v/>
      </c>
      <c r="Z403" s="39" t="str">
        <f>IF(L403="","",IF(V403&gt;0,INDEX('08-آب'!$Q$2:$Q$501,V403),IF($AO$1=1,0,"")))</f>
        <v/>
      </c>
      <c r="AA403" s="39" t="str">
        <f t="shared" si="133"/>
        <v/>
      </c>
      <c r="AB403" s="40" t="str">
        <f>IF(OR(L403="",V403=0),"",IF(AND(N(I403)&gt;0,N(INDEX('08-آب'!$I$2:$I$501,V403))&gt;0,INDEX('08-آب'!$F$2:$F$501,V403)=F403),N(I403)/N(INDEX('08-آب'!$I$2:$I$501,V403))-1,""))</f>
        <v/>
      </c>
      <c r="AC403" t="str">
        <f>IF(L403="","",IF(AND($AO$2=1,ISNA(MATCH(L403,'10-تشرين الأول'!$L$2:$L$501,0))),"محذوف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IF(L404="","",IF($AO$1=1,IFERROR(MATCH(L404,'08-آب'!$L$2:$L$501,0),0),0))</f>
        <v/>
      </c>
      <c r="W404" t="str">
        <f t="shared" si="131"/>
        <v/>
      </c>
      <c r="X404" s="38" t="str">
        <f>IF(L404="","",IF(V404&gt;0,INDEX('08-آب'!$P$2:$P$501,V404),IF($AO$1=1,0,"")))</f>
        <v/>
      </c>
      <c r="Y404" s="38" t="str">
        <f t="shared" si="132"/>
        <v/>
      </c>
      <c r="Z404" s="39" t="str">
        <f>IF(L404="","",IF(V404&gt;0,INDEX('08-آب'!$Q$2:$Q$501,V404),IF($AO$1=1,0,"")))</f>
        <v/>
      </c>
      <c r="AA404" s="39" t="str">
        <f t="shared" si="133"/>
        <v/>
      </c>
      <c r="AB404" s="40" t="str">
        <f>IF(OR(L404="",V404=0),"",IF(AND(N(I404)&gt;0,N(INDEX('08-آب'!$I$2:$I$501,V404))&gt;0,INDEX('08-آب'!$F$2:$F$501,V404)=F404),N(I404)/N(INDEX('08-آب'!$I$2:$I$501,V404))-1,""))</f>
        <v/>
      </c>
      <c r="AC404" t="str">
        <f>IF(L404="","",IF(AND($AO$2=1,ISNA(MATCH(L404,'10-تشرين الأول'!$L$2:$L$501,0))),"محذوف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IF(L405="","",IF($AO$1=1,IFERROR(MATCH(L405,'08-آب'!$L$2:$L$501,0),0),0))</f>
        <v/>
      </c>
      <c r="W405" t="str">
        <f t="shared" si="131"/>
        <v/>
      </c>
      <c r="X405" s="38" t="str">
        <f>IF(L405="","",IF(V405&gt;0,INDEX('08-آب'!$P$2:$P$501,V405),IF($AO$1=1,0,"")))</f>
        <v/>
      </c>
      <c r="Y405" s="38" t="str">
        <f t="shared" si="132"/>
        <v/>
      </c>
      <c r="Z405" s="39" t="str">
        <f>IF(L405="","",IF(V405&gt;0,INDEX('08-آب'!$Q$2:$Q$501,V405),IF($AO$1=1,0,"")))</f>
        <v/>
      </c>
      <c r="AA405" s="39" t="str">
        <f t="shared" si="133"/>
        <v/>
      </c>
      <c r="AB405" s="40" t="str">
        <f>IF(OR(L405="",V405=0),"",IF(AND(N(I405)&gt;0,N(INDEX('08-آب'!$I$2:$I$501,V405))&gt;0,INDEX('08-آب'!$F$2:$F$501,V405)=F405),N(I405)/N(INDEX('08-آب'!$I$2:$I$501,V405))-1,""))</f>
        <v/>
      </c>
      <c r="AC405" t="str">
        <f>IF(L405="","",IF(AND($AO$2=1,ISNA(MATCH(L405,'10-تشرين الأول'!$L$2:$L$501,0))),"محذوف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IF(L406="","",IF($AO$1=1,IFERROR(MATCH(L406,'08-آب'!$L$2:$L$501,0),0),0))</f>
        <v/>
      </c>
      <c r="W406" t="str">
        <f t="shared" si="131"/>
        <v/>
      </c>
      <c r="X406" s="38" t="str">
        <f>IF(L406="","",IF(V406&gt;0,INDEX('08-آب'!$P$2:$P$501,V406),IF($AO$1=1,0,"")))</f>
        <v/>
      </c>
      <c r="Y406" s="38" t="str">
        <f t="shared" si="132"/>
        <v/>
      </c>
      <c r="Z406" s="39" t="str">
        <f>IF(L406="","",IF(V406&gt;0,INDEX('08-آب'!$Q$2:$Q$501,V406),IF($AO$1=1,0,"")))</f>
        <v/>
      </c>
      <c r="AA406" s="39" t="str">
        <f t="shared" si="133"/>
        <v/>
      </c>
      <c r="AB406" s="40" t="str">
        <f>IF(OR(L406="",V406=0),"",IF(AND(N(I406)&gt;0,N(INDEX('08-آب'!$I$2:$I$501,V406))&gt;0,INDEX('08-آب'!$F$2:$F$501,V406)=F406),N(I406)/N(INDEX('08-آب'!$I$2:$I$501,V406))-1,""))</f>
        <v/>
      </c>
      <c r="AC406" t="str">
        <f>IF(L406="","",IF(AND($AO$2=1,ISNA(MATCH(L406,'10-تشرين الأول'!$L$2:$L$501,0))),"محذوف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IF(L407="","",IF($AO$1=1,IFERROR(MATCH(L407,'08-آب'!$L$2:$L$501,0),0),0))</f>
        <v/>
      </c>
      <c r="W407" t="str">
        <f t="shared" si="131"/>
        <v/>
      </c>
      <c r="X407" s="38" t="str">
        <f>IF(L407="","",IF(V407&gt;0,INDEX('08-آب'!$P$2:$P$501,V407),IF($AO$1=1,0,"")))</f>
        <v/>
      </c>
      <c r="Y407" s="38" t="str">
        <f t="shared" si="132"/>
        <v/>
      </c>
      <c r="Z407" s="39" t="str">
        <f>IF(L407="","",IF(V407&gt;0,INDEX('08-آب'!$Q$2:$Q$501,V407),IF($AO$1=1,0,"")))</f>
        <v/>
      </c>
      <c r="AA407" s="39" t="str">
        <f t="shared" si="133"/>
        <v/>
      </c>
      <c r="AB407" s="40" t="str">
        <f>IF(OR(L407="",V407=0),"",IF(AND(N(I407)&gt;0,N(INDEX('08-آب'!$I$2:$I$501,V407))&gt;0,INDEX('08-آب'!$F$2:$F$501,V407)=F407),N(I407)/N(INDEX('08-آب'!$I$2:$I$501,V407))-1,""))</f>
        <v/>
      </c>
      <c r="AC407" t="str">
        <f>IF(L407="","",IF(AND($AO$2=1,ISNA(MATCH(L407,'10-تشرين الأول'!$L$2:$L$501,0))),"محذوف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IF(L408="","",IF($AO$1=1,IFERROR(MATCH(L408,'08-آب'!$L$2:$L$501,0),0),0))</f>
        <v/>
      </c>
      <c r="W408" t="str">
        <f t="shared" si="131"/>
        <v/>
      </c>
      <c r="X408" s="38" t="str">
        <f>IF(L408="","",IF(V408&gt;0,INDEX('08-آب'!$P$2:$P$501,V408),IF($AO$1=1,0,"")))</f>
        <v/>
      </c>
      <c r="Y408" s="38" t="str">
        <f t="shared" si="132"/>
        <v/>
      </c>
      <c r="Z408" s="39" t="str">
        <f>IF(L408="","",IF(V408&gt;0,INDEX('08-آب'!$Q$2:$Q$501,V408),IF($AO$1=1,0,"")))</f>
        <v/>
      </c>
      <c r="AA408" s="39" t="str">
        <f t="shared" si="133"/>
        <v/>
      </c>
      <c r="AB408" s="40" t="str">
        <f>IF(OR(L408="",V408=0),"",IF(AND(N(I408)&gt;0,N(INDEX('08-آب'!$I$2:$I$501,V408))&gt;0,INDEX('08-آب'!$F$2:$F$501,V408)=F408),N(I408)/N(INDEX('08-آب'!$I$2:$I$501,V408))-1,""))</f>
        <v/>
      </c>
      <c r="AC408" t="str">
        <f>IF(L408="","",IF(AND($AO$2=1,ISNA(MATCH(L408,'10-تشرين الأول'!$L$2:$L$501,0))),"محذوف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IF(L409="","",IF($AO$1=1,IFERROR(MATCH(L409,'08-آب'!$L$2:$L$501,0),0),0))</f>
        <v/>
      </c>
      <c r="W409" t="str">
        <f t="shared" si="131"/>
        <v/>
      </c>
      <c r="X409" s="38" t="str">
        <f>IF(L409="","",IF(V409&gt;0,INDEX('08-آب'!$P$2:$P$501,V409),IF($AO$1=1,0,"")))</f>
        <v/>
      </c>
      <c r="Y409" s="38" t="str">
        <f t="shared" si="132"/>
        <v/>
      </c>
      <c r="Z409" s="39" t="str">
        <f>IF(L409="","",IF(V409&gt;0,INDEX('08-آب'!$Q$2:$Q$501,V409),IF($AO$1=1,0,"")))</f>
        <v/>
      </c>
      <c r="AA409" s="39" t="str">
        <f t="shared" si="133"/>
        <v/>
      </c>
      <c r="AB409" s="40" t="str">
        <f>IF(OR(L409="",V409=0),"",IF(AND(N(I409)&gt;0,N(INDEX('08-آب'!$I$2:$I$501,V409))&gt;0,INDEX('08-آب'!$F$2:$F$501,V409)=F409),N(I409)/N(INDEX('08-آب'!$I$2:$I$501,V409))-1,""))</f>
        <v/>
      </c>
      <c r="AC409" t="str">
        <f>IF(L409="","",IF(AND($AO$2=1,ISNA(MATCH(L409,'10-تشرين الأول'!$L$2:$L$501,0))),"محذوف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IF(L410="","",IF($AO$1=1,IFERROR(MATCH(L410,'08-آب'!$L$2:$L$501,0),0),0))</f>
        <v/>
      </c>
      <c r="W410" t="str">
        <f t="shared" si="131"/>
        <v/>
      </c>
      <c r="X410" s="38" t="str">
        <f>IF(L410="","",IF(V410&gt;0,INDEX('08-آب'!$P$2:$P$501,V410),IF($AO$1=1,0,"")))</f>
        <v/>
      </c>
      <c r="Y410" s="38" t="str">
        <f t="shared" si="132"/>
        <v/>
      </c>
      <c r="Z410" s="39" t="str">
        <f>IF(L410="","",IF(V410&gt;0,INDEX('08-آب'!$Q$2:$Q$501,V410),IF($AO$1=1,0,"")))</f>
        <v/>
      </c>
      <c r="AA410" s="39" t="str">
        <f t="shared" si="133"/>
        <v/>
      </c>
      <c r="AB410" s="40" t="str">
        <f>IF(OR(L410="",V410=0),"",IF(AND(N(I410)&gt;0,N(INDEX('08-آب'!$I$2:$I$501,V410))&gt;0,INDEX('08-آب'!$F$2:$F$501,V410)=F410),N(I410)/N(INDEX('08-آب'!$I$2:$I$501,V410))-1,""))</f>
        <v/>
      </c>
      <c r="AC410" t="str">
        <f>IF(L410="","",IF(AND($AO$2=1,ISNA(MATCH(L410,'10-تشرين الأول'!$L$2:$L$501,0))),"محذوف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IF(L411="","",IF($AO$1=1,IFERROR(MATCH(L411,'08-آب'!$L$2:$L$501,0),0),0))</f>
        <v/>
      </c>
      <c r="W411" t="str">
        <f t="shared" si="131"/>
        <v/>
      </c>
      <c r="X411" s="38" t="str">
        <f>IF(L411="","",IF(V411&gt;0,INDEX('08-آب'!$P$2:$P$501,V411),IF($AO$1=1,0,"")))</f>
        <v/>
      </c>
      <c r="Y411" s="38" t="str">
        <f t="shared" si="132"/>
        <v/>
      </c>
      <c r="Z411" s="39" t="str">
        <f>IF(L411="","",IF(V411&gt;0,INDEX('08-آب'!$Q$2:$Q$501,V411),IF($AO$1=1,0,"")))</f>
        <v/>
      </c>
      <c r="AA411" s="39" t="str">
        <f t="shared" si="133"/>
        <v/>
      </c>
      <c r="AB411" s="40" t="str">
        <f>IF(OR(L411="",V411=0),"",IF(AND(N(I411)&gt;0,N(INDEX('08-آب'!$I$2:$I$501,V411))&gt;0,INDEX('08-آب'!$F$2:$F$501,V411)=F411),N(I411)/N(INDEX('08-آب'!$I$2:$I$501,V411))-1,""))</f>
        <v/>
      </c>
      <c r="AC411" t="str">
        <f>IF(L411="","",IF(AND($AO$2=1,ISNA(MATCH(L411,'10-تشرين الأول'!$L$2:$L$501,0))),"محذوف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IF(L412="","",IF($AO$1=1,IFERROR(MATCH(L412,'08-آب'!$L$2:$L$501,0),0),0))</f>
        <v/>
      </c>
      <c r="W412" t="str">
        <f t="shared" si="131"/>
        <v/>
      </c>
      <c r="X412" s="38" t="str">
        <f>IF(L412="","",IF(V412&gt;0,INDEX('08-آب'!$P$2:$P$501,V412),IF($AO$1=1,0,"")))</f>
        <v/>
      </c>
      <c r="Y412" s="38" t="str">
        <f t="shared" si="132"/>
        <v/>
      </c>
      <c r="Z412" s="39" t="str">
        <f>IF(L412="","",IF(V412&gt;0,INDEX('08-آب'!$Q$2:$Q$501,V412),IF($AO$1=1,0,"")))</f>
        <v/>
      </c>
      <c r="AA412" s="39" t="str">
        <f t="shared" si="133"/>
        <v/>
      </c>
      <c r="AB412" s="40" t="str">
        <f>IF(OR(L412="",V412=0),"",IF(AND(N(I412)&gt;0,N(INDEX('08-آب'!$I$2:$I$501,V412))&gt;0,INDEX('08-آب'!$F$2:$F$501,V412)=F412),N(I412)/N(INDEX('08-آب'!$I$2:$I$501,V412))-1,""))</f>
        <v/>
      </c>
      <c r="AC412" t="str">
        <f>IF(L412="","",IF(AND($AO$2=1,ISNA(MATCH(L412,'10-تشرين الأول'!$L$2:$L$501,0))),"محذوف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IF(L413="","",IF($AO$1=1,IFERROR(MATCH(L413,'08-آب'!$L$2:$L$501,0),0),0))</f>
        <v/>
      </c>
      <c r="W413" t="str">
        <f t="shared" si="131"/>
        <v/>
      </c>
      <c r="X413" s="38" t="str">
        <f>IF(L413="","",IF(V413&gt;0,INDEX('08-آب'!$P$2:$P$501,V413),IF($AO$1=1,0,"")))</f>
        <v/>
      </c>
      <c r="Y413" s="38" t="str">
        <f t="shared" si="132"/>
        <v/>
      </c>
      <c r="Z413" s="39" t="str">
        <f>IF(L413="","",IF(V413&gt;0,INDEX('08-آب'!$Q$2:$Q$501,V413),IF($AO$1=1,0,"")))</f>
        <v/>
      </c>
      <c r="AA413" s="39" t="str">
        <f t="shared" si="133"/>
        <v/>
      </c>
      <c r="AB413" s="40" t="str">
        <f>IF(OR(L413="",V413=0),"",IF(AND(N(I413)&gt;0,N(INDEX('08-آب'!$I$2:$I$501,V413))&gt;0,INDEX('08-آب'!$F$2:$F$501,V413)=F413),N(I413)/N(INDEX('08-آب'!$I$2:$I$501,V413))-1,""))</f>
        <v/>
      </c>
      <c r="AC413" t="str">
        <f>IF(L413="","",IF(AND($AO$2=1,ISNA(MATCH(L413,'10-تشرين الأول'!$L$2:$L$501,0))),"محذوف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IF(L414="","",IF($AO$1=1,IFERROR(MATCH(L414,'08-آب'!$L$2:$L$501,0),0),0))</f>
        <v/>
      </c>
      <c r="W414" t="str">
        <f t="shared" si="131"/>
        <v/>
      </c>
      <c r="X414" s="38" t="str">
        <f>IF(L414="","",IF(V414&gt;0,INDEX('08-آب'!$P$2:$P$501,V414),IF($AO$1=1,0,"")))</f>
        <v/>
      </c>
      <c r="Y414" s="38" t="str">
        <f t="shared" si="132"/>
        <v/>
      </c>
      <c r="Z414" s="39" t="str">
        <f>IF(L414="","",IF(V414&gt;0,INDEX('08-آب'!$Q$2:$Q$501,V414),IF($AO$1=1,0,"")))</f>
        <v/>
      </c>
      <c r="AA414" s="39" t="str">
        <f t="shared" si="133"/>
        <v/>
      </c>
      <c r="AB414" s="40" t="str">
        <f>IF(OR(L414="",V414=0),"",IF(AND(N(I414)&gt;0,N(INDEX('08-آب'!$I$2:$I$501,V414))&gt;0,INDEX('08-آب'!$F$2:$F$501,V414)=F414),N(I414)/N(INDEX('08-آب'!$I$2:$I$501,V414))-1,""))</f>
        <v/>
      </c>
      <c r="AC414" t="str">
        <f>IF(L414="","",IF(AND($AO$2=1,ISNA(MATCH(L414,'10-تشرين الأول'!$L$2:$L$501,0))),"محذوف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IF(L415="","",IF($AO$1=1,IFERROR(MATCH(L415,'08-آب'!$L$2:$L$501,0),0),0))</f>
        <v/>
      </c>
      <c r="W415" t="str">
        <f t="shared" si="131"/>
        <v/>
      </c>
      <c r="X415" s="38" t="str">
        <f>IF(L415="","",IF(V415&gt;0,INDEX('08-آب'!$P$2:$P$501,V415),IF($AO$1=1,0,"")))</f>
        <v/>
      </c>
      <c r="Y415" s="38" t="str">
        <f t="shared" si="132"/>
        <v/>
      </c>
      <c r="Z415" s="39" t="str">
        <f>IF(L415="","",IF(V415&gt;0,INDEX('08-آب'!$Q$2:$Q$501,V415),IF($AO$1=1,0,"")))</f>
        <v/>
      </c>
      <c r="AA415" s="39" t="str">
        <f t="shared" si="133"/>
        <v/>
      </c>
      <c r="AB415" s="40" t="str">
        <f>IF(OR(L415="",V415=0),"",IF(AND(N(I415)&gt;0,N(INDEX('08-آب'!$I$2:$I$501,V415))&gt;0,INDEX('08-آب'!$F$2:$F$501,V415)=F415),N(I415)/N(INDEX('08-آب'!$I$2:$I$501,V415))-1,""))</f>
        <v/>
      </c>
      <c r="AC415" t="str">
        <f>IF(L415="","",IF(AND($AO$2=1,ISNA(MATCH(L415,'10-تشرين الأول'!$L$2:$L$501,0))),"محذوف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IF(L416="","",IF($AO$1=1,IFERROR(MATCH(L416,'08-آب'!$L$2:$L$501,0),0),0))</f>
        <v/>
      </c>
      <c r="W416" t="str">
        <f t="shared" si="131"/>
        <v/>
      </c>
      <c r="X416" s="38" t="str">
        <f>IF(L416="","",IF(V416&gt;0,INDEX('08-آب'!$P$2:$P$501,V416),IF($AO$1=1,0,"")))</f>
        <v/>
      </c>
      <c r="Y416" s="38" t="str">
        <f t="shared" si="132"/>
        <v/>
      </c>
      <c r="Z416" s="39" t="str">
        <f>IF(L416="","",IF(V416&gt;0,INDEX('08-آب'!$Q$2:$Q$501,V416),IF($AO$1=1,0,"")))</f>
        <v/>
      </c>
      <c r="AA416" s="39" t="str">
        <f t="shared" si="133"/>
        <v/>
      </c>
      <c r="AB416" s="40" t="str">
        <f>IF(OR(L416="",V416=0),"",IF(AND(N(I416)&gt;0,N(INDEX('08-آب'!$I$2:$I$501,V416))&gt;0,INDEX('08-آب'!$F$2:$F$501,V416)=F416),N(I416)/N(INDEX('08-آب'!$I$2:$I$501,V416))-1,""))</f>
        <v/>
      </c>
      <c r="AC416" t="str">
        <f>IF(L416="","",IF(AND($AO$2=1,ISNA(MATCH(L416,'10-تشرين الأول'!$L$2:$L$501,0))),"محذوف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IF(L417="","",IF($AO$1=1,IFERROR(MATCH(L417,'08-آب'!$L$2:$L$501,0),0),0))</f>
        <v/>
      </c>
      <c r="W417" t="str">
        <f t="shared" si="131"/>
        <v/>
      </c>
      <c r="X417" s="38" t="str">
        <f>IF(L417="","",IF(V417&gt;0,INDEX('08-آب'!$P$2:$P$501,V417),IF($AO$1=1,0,"")))</f>
        <v/>
      </c>
      <c r="Y417" s="38" t="str">
        <f t="shared" si="132"/>
        <v/>
      </c>
      <c r="Z417" s="39" t="str">
        <f>IF(L417="","",IF(V417&gt;0,INDEX('08-آب'!$Q$2:$Q$501,V417),IF($AO$1=1,0,"")))</f>
        <v/>
      </c>
      <c r="AA417" s="39" t="str">
        <f t="shared" si="133"/>
        <v/>
      </c>
      <c r="AB417" s="40" t="str">
        <f>IF(OR(L417="",V417=0),"",IF(AND(N(I417)&gt;0,N(INDEX('08-آب'!$I$2:$I$501,V417))&gt;0,INDEX('08-آب'!$F$2:$F$501,V417)=F417),N(I417)/N(INDEX('08-آب'!$I$2:$I$501,V417))-1,""))</f>
        <v/>
      </c>
      <c r="AC417" t="str">
        <f>IF(L417="","",IF(AND($AO$2=1,ISNA(MATCH(L417,'10-تشرين الأول'!$L$2:$L$501,0))),"محذوف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IF(L418="","",IF($AO$1=1,IFERROR(MATCH(L418,'08-آب'!$L$2:$L$501,0),0),0))</f>
        <v/>
      </c>
      <c r="W418" t="str">
        <f t="shared" si="131"/>
        <v/>
      </c>
      <c r="X418" s="38" t="str">
        <f>IF(L418="","",IF(V418&gt;0,INDEX('08-آب'!$P$2:$P$501,V418),IF($AO$1=1,0,"")))</f>
        <v/>
      </c>
      <c r="Y418" s="38" t="str">
        <f t="shared" si="132"/>
        <v/>
      </c>
      <c r="Z418" s="39" t="str">
        <f>IF(L418="","",IF(V418&gt;0,INDEX('08-آب'!$Q$2:$Q$501,V418),IF($AO$1=1,0,"")))</f>
        <v/>
      </c>
      <c r="AA418" s="39" t="str">
        <f t="shared" si="133"/>
        <v/>
      </c>
      <c r="AB418" s="40" t="str">
        <f>IF(OR(L418="",V418=0),"",IF(AND(N(I418)&gt;0,N(INDEX('08-آب'!$I$2:$I$501,V418))&gt;0,INDEX('08-آب'!$F$2:$F$501,V418)=F418),N(I418)/N(INDEX('08-آب'!$I$2:$I$501,V418))-1,""))</f>
        <v/>
      </c>
      <c r="AC418" t="str">
        <f>IF(L418="","",IF(AND($AO$2=1,ISNA(MATCH(L418,'10-تشرين الأول'!$L$2:$L$501,0))),"محذوف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IF(L419="","",IF($AO$1=1,IFERROR(MATCH(L419,'08-آب'!$L$2:$L$501,0),0),0))</f>
        <v/>
      </c>
      <c r="W419" t="str">
        <f t="shared" si="131"/>
        <v/>
      </c>
      <c r="X419" s="38" t="str">
        <f>IF(L419="","",IF(V419&gt;0,INDEX('08-آب'!$P$2:$P$501,V419),IF($AO$1=1,0,"")))</f>
        <v/>
      </c>
      <c r="Y419" s="38" t="str">
        <f t="shared" si="132"/>
        <v/>
      </c>
      <c r="Z419" s="39" t="str">
        <f>IF(L419="","",IF(V419&gt;0,INDEX('08-آب'!$Q$2:$Q$501,V419),IF($AO$1=1,0,"")))</f>
        <v/>
      </c>
      <c r="AA419" s="39" t="str">
        <f t="shared" si="133"/>
        <v/>
      </c>
      <c r="AB419" s="40" t="str">
        <f>IF(OR(L419="",V419=0),"",IF(AND(N(I419)&gt;0,N(INDEX('08-آب'!$I$2:$I$501,V419))&gt;0,INDEX('08-آب'!$F$2:$F$501,V419)=F419),N(I419)/N(INDEX('08-آب'!$I$2:$I$501,V419))-1,""))</f>
        <v/>
      </c>
      <c r="AC419" t="str">
        <f>IF(L419="","",IF(AND($AO$2=1,ISNA(MATCH(L419,'10-تشرين الأول'!$L$2:$L$501,0))),"محذوف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IF(L420="","",IF($AO$1=1,IFERROR(MATCH(L420,'08-آب'!$L$2:$L$501,0),0),0))</f>
        <v/>
      </c>
      <c r="W420" t="str">
        <f t="shared" si="131"/>
        <v/>
      </c>
      <c r="X420" s="38" t="str">
        <f>IF(L420="","",IF(V420&gt;0,INDEX('08-آب'!$P$2:$P$501,V420),IF($AO$1=1,0,"")))</f>
        <v/>
      </c>
      <c r="Y420" s="38" t="str">
        <f t="shared" si="132"/>
        <v/>
      </c>
      <c r="Z420" s="39" t="str">
        <f>IF(L420="","",IF(V420&gt;0,INDEX('08-آب'!$Q$2:$Q$501,V420),IF($AO$1=1,0,"")))</f>
        <v/>
      </c>
      <c r="AA420" s="39" t="str">
        <f t="shared" si="133"/>
        <v/>
      </c>
      <c r="AB420" s="40" t="str">
        <f>IF(OR(L420="",V420=0),"",IF(AND(N(I420)&gt;0,N(INDEX('08-آب'!$I$2:$I$501,V420))&gt;0,INDEX('08-آب'!$F$2:$F$501,V420)=F420),N(I420)/N(INDEX('08-آب'!$I$2:$I$501,V420))-1,""))</f>
        <v/>
      </c>
      <c r="AC420" t="str">
        <f>IF(L420="","",IF(AND($AO$2=1,ISNA(MATCH(L420,'10-تشرين الأول'!$L$2:$L$501,0))),"محذوف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IF(L421="","",IF($AO$1=1,IFERROR(MATCH(L421,'08-آب'!$L$2:$L$501,0),0),0))</f>
        <v/>
      </c>
      <c r="W421" t="str">
        <f t="shared" si="131"/>
        <v/>
      </c>
      <c r="X421" s="38" t="str">
        <f>IF(L421="","",IF(V421&gt;0,INDEX('08-آب'!$P$2:$P$501,V421),IF($AO$1=1,0,"")))</f>
        <v/>
      </c>
      <c r="Y421" s="38" t="str">
        <f t="shared" si="132"/>
        <v/>
      </c>
      <c r="Z421" s="39" t="str">
        <f>IF(L421="","",IF(V421&gt;0,INDEX('08-آب'!$Q$2:$Q$501,V421),IF($AO$1=1,0,"")))</f>
        <v/>
      </c>
      <c r="AA421" s="39" t="str">
        <f t="shared" si="133"/>
        <v/>
      </c>
      <c r="AB421" s="40" t="str">
        <f>IF(OR(L421="",V421=0),"",IF(AND(N(I421)&gt;0,N(INDEX('08-آب'!$I$2:$I$501,V421))&gt;0,INDEX('08-آب'!$F$2:$F$501,V421)=F421),N(I421)/N(INDEX('08-آب'!$I$2:$I$501,V421))-1,""))</f>
        <v/>
      </c>
      <c r="AC421" t="str">
        <f>IF(L421="","",IF(AND($AO$2=1,ISNA(MATCH(L421,'10-تشرين الأول'!$L$2:$L$501,0))),"محذوف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IF(L422="","",IF($AO$1=1,IFERROR(MATCH(L422,'08-آب'!$L$2:$L$501,0),0),0))</f>
        <v/>
      </c>
      <c r="W422" t="str">
        <f t="shared" si="131"/>
        <v/>
      </c>
      <c r="X422" s="38" t="str">
        <f>IF(L422="","",IF(V422&gt;0,INDEX('08-آب'!$P$2:$P$501,V422),IF($AO$1=1,0,"")))</f>
        <v/>
      </c>
      <c r="Y422" s="38" t="str">
        <f t="shared" si="132"/>
        <v/>
      </c>
      <c r="Z422" s="39" t="str">
        <f>IF(L422="","",IF(V422&gt;0,INDEX('08-آب'!$Q$2:$Q$501,V422),IF($AO$1=1,0,"")))</f>
        <v/>
      </c>
      <c r="AA422" s="39" t="str">
        <f t="shared" si="133"/>
        <v/>
      </c>
      <c r="AB422" s="40" t="str">
        <f>IF(OR(L422="",V422=0),"",IF(AND(N(I422)&gt;0,N(INDEX('08-آب'!$I$2:$I$501,V422))&gt;0,INDEX('08-آب'!$F$2:$F$501,V422)=F422),N(I422)/N(INDEX('08-آب'!$I$2:$I$501,V422))-1,""))</f>
        <v/>
      </c>
      <c r="AC422" t="str">
        <f>IF(L422="","",IF(AND($AO$2=1,ISNA(MATCH(L422,'10-تشرين الأول'!$L$2:$L$501,0))),"محذوف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IF(L423="","",IF($AO$1=1,IFERROR(MATCH(L423,'08-آب'!$L$2:$L$501,0),0),0))</f>
        <v/>
      </c>
      <c r="W423" t="str">
        <f t="shared" si="131"/>
        <v/>
      </c>
      <c r="X423" s="38" t="str">
        <f>IF(L423="","",IF(V423&gt;0,INDEX('08-آب'!$P$2:$P$501,V423),IF($AO$1=1,0,"")))</f>
        <v/>
      </c>
      <c r="Y423" s="38" t="str">
        <f t="shared" si="132"/>
        <v/>
      </c>
      <c r="Z423" s="39" t="str">
        <f>IF(L423="","",IF(V423&gt;0,INDEX('08-آب'!$Q$2:$Q$501,V423),IF($AO$1=1,0,"")))</f>
        <v/>
      </c>
      <c r="AA423" s="39" t="str">
        <f t="shared" si="133"/>
        <v/>
      </c>
      <c r="AB423" s="40" t="str">
        <f>IF(OR(L423="",V423=0),"",IF(AND(N(I423)&gt;0,N(INDEX('08-آب'!$I$2:$I$501,V423))&gt;0,INDEX('08-آب'!$F$2:$F$501,V423)=F423),N(I423)/N(INDEX('08-آب'!$I$2:$I$501,V423))-1,""))</f>
        <v/>
      </c>
      <c r="AC423" t="str">
        <f>IF(L423="","",IF(AND($AO$2=1,ISNA(MATCH(L423,'10-تشرين الأول'!$L$2:$L$501,0))),"محذوف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IF(L424="","",IF($AO$1=1,IFERROR(MATCH(L424,'08-آب'!$L$2:$L$501,0),0),0))</f>
        <v/>
      </c>
      <c r="W424" t="str">
        <f t="shared" si="131"/>
        <v/>
      </c>
      <c r="X424" s="38" t="str">
        <f>IF(L424="","",IF(V424&gt;0,INDEX('08-آب'!$P$2:$P$501,V424),IF($AO$1=1,0,"")))</f>
        <v/>
      </c>
      <c r="Y424" s="38" t="str">
        <f t="shared" si="132"/>
        <v/>
      </c>
      <c r="Z424" s="39" t="str">
        <f>IF(L424="","",IF(V424&gt;0,INDEX('08-آب'!$Q$2:$Q$501,V424),IF($AO$1=1,0,"")))</f>
        <v/>
      </c>
      <c r="AA424" s="39" t="str">
        <f t="shared" si="133"/>
        <v/>
      </c>
      <c r="AB424" s="40" t="str">
        <f>IF(OR(L424="",V424=0),"",IF(AND(N(I424)&gt;0,N(INDEX('08-آب'!$I$2:$I$501,V424))&gt;0,INDEX('08-آب'!$F$2:$F$501,V424)=F424),N(I424)/N(INDEX('08-آب'!$I$2:$I$501,V424))-1,""))</f>
        <v/>
      </c>
      <c r="AC424" t="str">
        <f>IF(L424="","",IF(AND($AO$2=1,ISNA(MATCH(L424,'10-تشرين الأول'!$L$2:$L$501,0))),"محذوف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IF(L425="","",IF($AO$1=1,IFERROR(MATCH(L425,'08-آب'!$L$2:$L$501,0),0),0))</f>
        <v/>
      </c>
      <c r="W425" t="str">
        <f t="shared" si="131"/>
        <v/>
      </c>
      <c r="X425" s="38" t="str">
        <f>IF(L425="","",IF(V425&gt;0,INDEX('08-آب'!$P$2:$P$501,V425),IF($AO$1=1,0,"")))</f>
        <v/>
      </c>
      <c r="Y425" s="38" t="str">
        <f t="shared" si="132"/>
        <v/>
      </c>
      <c r="Z425" s="39" t="str">
        <f>IF(L425="","",IF(V425&gt;0,INDEX('08-آب'!$Q$2:$Q$501,V425),IF($AO$1=1,0,"")))</f>
        <v/>
      </c>
      <c r="AA425" s="39" t="str">
        <f t="shared" si="133"/>
        <v/>
      </c>
      <c r="AB425" s="40" t="str">
        <f>IF(OR(L425="",V425=0),"",IF(AND(N(I425)&gt;0,N(INDEX('08-آب'!$I$2:$I$501,V425))&gt;0,INDEX('08-آب'!$F$2:$F$501,V425)=F425),N(I425)/N(INDEX('08-آب'!$I$2:$I$501,V425))-1,""))</f>
        <v/>
      </c>
      <c r="AC425" t="str">
        <f>IF(L425="","",IF(AND($AO$2=1,ISNA(MATCH(L425,'10-تشرين الأول'!$L$2:$L$501,0))),"محذوف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IF(L426="","",IF($AO$1=1,IFERROR(MATCH(L426,'08-آب'!$L$2:$L$501,0),0),0))</f>
        <v/>
      </c>
      <c r="W426" t="str">
        <f t="shared" si="131"/>
        <v/>
      </c>
      <c r="X426" s="38" t="str">
        <f>IF(L426="","",IF(V426&gt;0,INDEX('08-آب'!$P$2:$P$501,V426),IF($AO$1=1,0,"")))</f>
        <v/>
      </c>
      <c r="Y426" s="38" t="str">
        <f t="shared" si="132"/>
        <v/>
      </c>
      <c r="Z426" s="39" t="str">
        <f>IF(L426="","",IF(V426&gt;0,INDEX('08-آب'!$Q$2:$Q$501,V426),IF($AO$1=1,0,"")))</f>
        <v/>
      </c>
      <c r="AA426" s="39" t="str">
        <f t="shared" si="133"/>
        <v/>
      </c>
      <c r="AB426" s="40" t="str">
        <f>IF(OR(L426="",V426=0),"",IF(AND(N(I426)&gt;0,N(INDEX('08-آب'!$I$2:$I$501,V426))&gt;0,INDEX('08-آب'!$F$2:$F$501,V426)=F426),N(I426)/N(INDEX('08-آب'!$I$2:$I$501,V426))-1,""))</f>
        <v/>
      </c>
      <c r="AC426" t="str">
        <f>IF(L426="","",IF(AND($AO$2=1,ISNA(MATCH(L426,'10-تشرين الأول'!$L$2:$L$501,0))),"محذوف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IF(L427="","",IF($AO$1=1,IFERROR(MATCH(L427,'08-آب'!$L$2:$L$501,0),0),0))</f>
        <v/>
      </c>
      <c r="W427" t="str">
        <f t="shared" si="131"/>
        <v/>
      </c>
      <c r="X427" s="38" t="str">
        <f>IF(L427="","",IF(V427&gt;0,INDEX('08-آب'!$P$2:$P$501,V427),IF($AO$1=1,0,"")))</f>
        <v/>
      </c>
      <c r="Y427" s="38" t="str">
        <f t="shared" si="132"/>
        <v/>
      </c>
      <c r="Z427" s="39" t="str">
        <f>IF(L427="","",IF(V427&gt;0,INDEX('08-آب'!$Q$2:$Q$501,V427),IF($AO$1=1,0,"")))</f>
        <v/>
      </c>
      <c r="AA427" s="39" t="str">
        <f t="shared" si="133"/>
        <v/>
      </c>
      <c r="AB427" s="40" t="str">
        <f>IF(OR(L427="",V427=0),"",IF(AND(N(I427)&gt;0,N(INDEX('08-آب'!$I$2:$I$501,V427))&gt;0,INDEX('08-آب'!$F$2:$F$501,V427)=F427),N(I427)/N(INDEX('08-آب'!$I$2:$I$501,V427))-1,""))</f>
        <v/>
      </c>
      <c r="AC427" t="str">
        <f>IF(L427="","",IF(AND($AO$2=1,ISNA(MATCH(L427,'10-تشرين الأول'!$L$2:$L$501,0))),"محذوف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IF(L428="","",IF($AO$1=1,IFERROR(MATCH(L428,'08-آب'!$L$2:$L$501,0),0),0))</f>
        <v/>
      </c>
      <c r="W428" t="str">
        <f t="shared" si="131"/>
        <v/>
      </c>
      <c r="X428" s="38" t="str">
        <f>IF(L428="","",IF(V428&gt;0,INDEX('08-آب'!$P$2:$P$501,V428),IF($AO$1=1,0,"")))</f>
        <v/>
      </c>
      <c r="Y428" s="38" t="str">
        <f t="shared" si="132"/>
        <v/>
      </c>
      <c r="Z428" s="39" t="str">
        <f>IF(L428="","",IF(V428&gt;0,INDEX('08-آب'!$Q$2:$Q$501,V428),IF($AO$1=1,0,"")))</f>
        <v/>
      </c>
      <c r="AA428" s="39" t="str">
        <f t="shared" si="133"/>
        <v/>
      </c>
      <c r="AB428" s="40" t="str">
        <f>IF(OR(L428="",V428=0),"",IF(AND(N(I428)&gt;0,N(INDEX('08-آب'!$I$2:$I$501,V428))&gt;0,INDEX('08-آب'!$F$2:$F$501,V428)=F428),N(I428)/N(INDEX('08-آب'!$I$2:$I$501,V428))-1,""))</f>
        <v/>
      </c>
      <c r="AC428" t="str">
        <f>IF(L428="","",IF(AND($AO$2=1,ISNA(MATCH(L428,'10-تشرين الأول'!$L$2:$L$501,0))),"محذوف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IF(L429="","",IF($AO$1=1,IFERROR(MATCH(L429,'08-آب'!$L$2:$L$501,0),0),0))</f>
        <v/>
      </c>
      <c r="W429" t="str">
        <f t="shared" si="131"/>
        <v/>
      </c>
      <c r="X429" s="38" t="str">
        <f>IF(L429="","",IF(V429&gt;0,INDEX('08-آب'!$P$2:$P$501,V429),IF($AO$1=1,0,"")))</f>
        <v/>
      </c>
      <c r="Y429" s="38" t="str">
        <f t="shared" si="132"/>
        <v/>
      </c>
      <c r="Z429" s="39" t="str">
        <f>IF(L429="","",IF(V429&gt;0,INDEX('08-آب'!$Q$2:$Q$501,V429),IF($AO$1=1,0,"")))</f>
        <v/>
      </c>
      <c r="AA429" s="39" t="str">
        <f t="shared" si="133"/>
        <v/>
      </c>
      <c r="AB429" s="40" t="str">
        <f>IF(OR(L429="",V429=0),"",IF(AND(N(I429)&gt;0,N(INDEX('08-آب'!$I$2:$I$501,V429))&gt;0,INDEX('08-آب'!$F$2:$F$501,V429)=F429),N(I429)/N(INDEX('08-آب'!$I$2:$I$501,V429))-1,""))</f>
        <v/>
      </c>
      <c r="AC429" t="str">
        <f>IF(L429="","",IF(AND($AO$2=1,ISNA(MATCH(L429,'10-تشرين الأول'!$L$2:$L$501,0))),"محذوف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IF(L430="","",IF($AO$1=1,IFERROR(MATCH(L430,'08-آب'!$L$2:$L$501,0),0),0))</f>
        <v/>
      </c>
      <c r="W430" t="str">
        <f t="shared" si="131"/>
        <v/>
      </c>
      <c r="X430" s="38" t="str">
        <f>IF(L430="","",IF(V430&gt;0,INDEX('08-آب'!$P$2:$P$501,V430),IF($AO$1=1,0,"")))</f>
        <v/>
      </c>
      <c r="Y430" s="38" t="str">
        <f t="shared" si="132"/>
        <v/>
      </c>
      <c r="Z430" s="39" t="str">
        <f>IF(L430="","",IF(V430&gt;0,INDEX('08-آب'!$Q$2:$Q$501,V430),IF($AO$1=1,0,"")))</f>
        <v/>
      </c>
      <c r="AA430" s="39" t="str">
        <f t="shared" si="133"/>
        <v/>
      </c>
      <c r="AB430" s="40" t="str">
        <f>IF(OR(L430="",V430=0),"",IF(AND(N(I430)&gt;0,N(INDEX('08-آب'!$I$2:$I$501,V430))&gt;0,INDEX('08-آب'!$F$2:$F$501,V430)=F430),N(I430)/N(INDEX('08-آب'!$I$2:$I$501,V430))-1,""))</f>
        <v/>
      </c>
      <c r="AC430" t="str">
        <f>IF(L430="","",IF(AND($AO$2=1,ISNA(MATCH(L430,'10-تشرين الأول'!$L$2:$L$501,0))),"محذوف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IF(L431="","",IF($AO$1=1,IFERROR(MATCH(L431,'08-آب'!$L$2:$L$501,0),0),0))</f>
        <v/>
      </c>
      <c r="W431" t="str">
        <f t="shared" si="131"/>
        <v/>
      </c>
      <c r="X431" s="38" t="str">
        <f>IF(L431="","",IF(V431&gt;0,INDEX('08-آب'!$P$2:$P$501,V431),IF($AO$1=1,0,"")))</f>
        <v/>
      </c>
      <c r="Y431" s="38" t="str">
        <f t="shared" si="132"/>
        <v/>
      </c>
      <c r="Z431" s="39" t="str">
        <f>IF(L431="","",IF(V431&gt;0,INDEX('08-آب'!$Q$2:$Q$501,V431),IF($AO$1=1,0,"")))</f>
        <v/>
      </c>
      <c r="AA431" s="39" t="str">
        <f t="shared" si="133"/>
        <v/>
      </c>
      <c r="AB431" s="40" t="str">
        <f>IF(OR(L431="",V431=0),"",IF(AND(N(I431)&gt;0,N(INDEX('08-آب'!$I$2:$I$501,V431))&gt;0,INDEX('08-آب'!$F$2:$F$501,V431)=F431),N(I431)/N(INDEX('08-آب'!$I$2:$I$501,V431))-1,""))</f>
        <v/>
      </c>
      <c r="AC431" t="str">
        <f>IF(L431="","",IF(AND($AO$2=1,ISNA(MATCH(L431,'10-تشرين الأول'!$L$2:$L$501,0))),"محذوف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IF(L432="","",IF($AO$1=1,IFERROR(MATCH(L432,'08-آب'!$L$2:$L$501,0),0),0))</f>
        <v/>
      </c>
      <c r="W432" t="str">
        <f t="shared" si="131"/>
        <v/>
      </c>
      <c r="X432" s="38" t="str">
        <f>IF(L432="","",IF(V432&gt;0,INDEX('08-آب'!$P$2:$P$501,V432),IF($AO$1=1,0,"")))</f>
        <v/>
      </c>
      <c r="Y432" s="38" t="str">
        <f t="shared" si="132"/>
        <v/>
      </c>
      <c r="Z432" s="39" t="str">
        <f>IF(L432="","",IF(V432&gt;0,INDEX('08-آب'!$Q$2:$Q$501,V432),IF($AO$1=1,0,"")))</f>
        <v/>
      </c>
      <c r="AA432" s="39" t="str">
        <f t="shared" si="133"/>
        <v/>
      </c>
      <c r="AB432" s="40" t="str">
        <f>IF(OR(L432="",V432=0),"",IF(AND(N(I432)&gt;0,N(INDEX('08-آب'!$I$2:$I$501,V432))&gt;0,INDEX('08-آب'!$F$2:$F$501,V432)=F432),N(I432)/N(INDEX('08-آب'!$I$2:$I$501,V432))-1,""))</f>
        <v/>
      </c>
      <c r="AC432" t="str">
        <f>IF(L432="","",IF(AND($AO$2=1,ISNA(MATCH(L432,'10-تشرين الأول'!$L$2:$L$501,0))),"محذوف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IF(L433="","",IF($AO$1=1,IFERROR(MATCH(L433,'08-آب'!$L$2:$L$501,0),0),0))</f>
        <v/>
      </c>
      <c r="W433" t="str">
        <f t="shared" si="131"/>
        <v/>
      </c>
      <c r="X433" s="38" t="str">
        <f>IF(L433="","",IF(V433&gt;0,INDEX('08-آب'!$P$2:$P$501,V433),IF($AO$1=1,0,"")))</f>
        <v/>
      </c>
      <c r="Y433" s="38" t="str">
        <f t="shared" si="132"/>
        <v/>
      </c>
      <c r="Z433" s="39" t="str">
        <f>IF(L433="","",IF(V433&gt;0,INDEX('08-آب'!$Q$2:$Q$501,V433),IF($AO$1=1,0,"")))</f>
        <v/>
      </c>
      <c r="AA433" s="39" t="str">
        <f t="shared" si="133"/>
        <v/>
      </c>
      <c r="AB433" s="40" t="str">
        <f>IF(OR(L433="",V433=0),"",IF(AND(N(I433)&gt;0,N(INDEX('08-آب'!$I$2:$I$501,V433))&gt;0,INDEX('08-آب'!$F$2:$F$501,V433)=F433),N(I433)/N(INDEX('08-آب'!$I$2:$I$501,V433))-1,""))</f>
        <v/>
      </c>
      <c r="AC433" t="str">
        <f>IF(L433="","",IF(AND($AO$2=1,ISNA(MATCH(L433,'10-تشرين الأول'!$L$2:$L$501,0))),"محذوف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IF(L434="","",IF($AO$1=1,IFERROR(MATCH(L434,'08-آب'!$L$2:$L$501,0),0),0))</f>
        <v/>
      </c>
      <c r="W434" t="str">
        <f t="shared" si="131"/>
        <v/>
      </c>
      <c r="X434" s="38" t="str">
        <f>IF(L434="","",IF(V434&gt;0,INDEX('08-آب'!$P$2:$P$501,V434),IF($AO$1=1,0,"")))</f>
        <v/>
      </c>
      <c r="Y434" s="38" t="str">
        <f t="shared" si="132"/>
        <v/>
      </c>
      <c r="Z434" s="39" t="str">
        <f>IF(L434="","",IF(V434&gt;0,INDEX('08-آب'!$Q$2:$Q$501,V434),IF($AO$1=1,0,"")))</f>
        <v/>
      </c>
      <c r="AA434" s="39" t="str">
        <f t="shared" si="133"/>
        <v/>
      </c>
      <c r="AB434" s="40" t="str">
        <f>IF(OR(L434="",V434=0),"",IF(AND(N(I434)&gt;0,N(INDEX('08-آب'!$I$2:$I$501,V434))&gt;0,INDEX('08-آب'!$F$2:$F$501,V434)=F434),N(I434)/N(INDEX('08-آب'!$I$2:$I$501,V434))-1,""))</f>
        <v/>
      </c>
      <c r="AC434" t="str">
        <f>IF(L434="","",IF(AND($AO$2=1,ISNA(MATCH(L434,'10-تشرين الأول'!$L$2:$L$501,0))),"محذوف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IF(L435="","",IF($AO$1=1,IFERROR(MATCH(L435,'08-آب'!$L$2:$L$501,0),0),0))</f>
        <v/>
      </c>
      <c r="W435" t="str">
        <f t="shared" si="131"/>
        <v/>
      </c>
      <c r="X435" s="38" t="str">
        <f>IF(L435="","",IF(V435&gt;0,INDEX('08-آب'!$P$2:$P$501,V435),IF($AO$1=1,0,"")))</f>
        <v/>
      </c>
      <c r="Y435" s="38" t="str">
        <f t="shared" si="132"/>
        <v/>
      </c>
      <c r="Z435" s="39" t="str">
        <f>IF(L435="","",IF(V435&gt;0,INDEX('08-آب'!$Q$2:$Q$501,V435),IF($AO$1=1,0,"")))</f>
        <v/>
      </c>
      <c r="AA435" s="39" t="str">
        <f t="shared" si="133"/>
        <v/>
      </c>
      <c r="AB435" s="40" t="str">
        <f>IF(OR(L435="",V435=0),"",IF(AND(N(I435)&gt;0,N(INDEX('08-آب'!$I$2:$I$501,V435))&gt;0,INDEX('08-آب'!$F$2:$F$501,V435)=F435),N(I435)/N(INDEX('08-آب'!$I$2:$I$501,V435))-1,""))</f>
        <v/>
      </c>
      <c r="AC435" t="str">
        <f>IF(L435="","",IF(AND($AO$2=1,ISNA(MATCH(L435,'10-تشرين الأول'!$L$2:$L$501,0))),"محذوف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IF(L436="","",IF($AO$1=1,IFERROR(MATCH(L436,'08-آب'!$L$2:$L$501,0),0),0))</f>
        <v/>
      </c>
      <c r="W436" t="str">
        <f t="shared" si="131"/>
        <v/>
      </c>
      <c r="X436" s="38" t="str">
        <f>IF(L436="","",IF(V436&gt;0,INDEX('08-آب'!$P$2:$P$501,V436),IF($AO$1=1,0,"")))</f>
        <v/>
      </c>
      <c r="Y436" s="38" t="str">
        <f t="shared" si="132"/>
        <v/>
      </c>
      <c r="Z436" s="39" t="str">
        <f>IF(L436="","",IF(V436&gt;0,INDEX('08-آب'!$Q$2:$Q$501,V436),IF($AO$1=1,0,"")))</f>
        <v/>
      </c>
      <c r="AA436" s="39" t="str">
        <f t="shared" si="133"/>
        <v/>
      </c>
      <c r="AB436" s="40" t="str">
        <f>IF(OR(L436="",V436=0),"",IF(AND(N(I436)&gt;0,N(INDEX('08-آب'!$I$2:$I$501,V436))&gt;0,INDEX('08-آب'!$F$2:$F$501,V436)=F436),N(I436)/N(INDEX('08-آب'!$I$2:$I$501,V436))-1,""))</f>
        <v/>
      </c>
      <c r="AC436" t="str">
        <f>IF(L436="","",IF(AND($AO$2=1,ISNA(MATCH(L436,'10-تشرين الأول'!$L$2:$L$501,0))),"محذوف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IF(L437="","",IF($AO$1=1,IFERROR(MATCH(L437,'08-آب'!$L$2:$L$501,0),0),0))</f>
        <v/>
      </c>
      <c r="W437" t="str">
        <f t="shared" si="131"/>
        <v/>
      </c>
      <c r="X437" s="38" t="str">
        <f>IF(L437="","",IF(V437&gt;0,INDEX('08-آب'!$P$2:$P$501,V437),IF($AO$1=1,0,"")))</f>
        <v/>
      </c>
      <c r="Y437" s="38" t="str">
        <f t="shared" si="132"/>
        <v/>
      </c>
      <c r="Z437" s="39" t="str">
        <f>IF(L437="","",IF(V437&gt;0,INDEX('08-آب'!$Q$2:$Q$501,V437),IF($AO$1=1,0,"")))</f>
        <v/>
      </c>
      <c r="AA437" s="39" t="str">
        <f t="shared" si="133"/>
        <v/>
      </c>
      <c r="AB437" s="40" t="str">
        <f>IF(OR(L437="",V437=0),"",IF(AND(N(I437)&gt;0,N(INDEX('08-آب'!$I$2:$I$501,V437))&gt;0,INDEX('08-آب'!$F$2:$F$501,V437)=F437),N(I437)/N(INDEX('08-آب'!$I$2:$I$501,V437))-1,""))</f>
        <v/>
      </c>
      <c r="AC437" t="str">
        <f>IF(L437="","",IF(AND($AO$2=1,ISNA(MATCH(L437,'10-تشرين الأول'!$L$2:$L$501,0))),"محذوف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IF(L438="","",IF($AO$1=1,IFERROR(MATCH(L438,'08-آب'!$L$2:$L$501,0),0),0))</f>
        <v/>
      </c>
      <c r="W438" t="str">
        <f t="shared" si="131"/>
        <v/>
      </c>
      <c r="X438" s="38" t="str">
        <f>IF(L438="","",IF(V438&gt;0,INDEX('08-آب'!$P$2:$P$501,V438),IF($AO$1=1,0,"")))</f>
        <v/>
      </c>
      <c r="Y438" s="38" t="str">
        <f t="shared" si="132"/>
        <v/>
      </c>
      <c r="Z438" s="39" t="str">
        <f>IF(L438="","",IF(V438&gt;0,INDEX('08-آب'!$Q$2:$Q$501,V438),IF($AO$1=1,0,"")))</f>
        <v/>
      </c>
      <c r="AA438" s="39" t="str">
        <f t="shared" si="133"/>
        <v/>
      </c>
      <c r="AB438" s="40" t="str">
        <f>IF(OR(L438="",V438=0),"",IF(AND(N(I438)&gt;0,N(INDEX('08-آب'!$I$2:$I$501,V438))&gt;0,INDEX('08-آب'!$F$2:$F$501,V438)=F438),N(I438)/N(INDEX('08-آب'!$I$2:$I$501,V438))-1,""))</f>
        <v/>
      </c>
      <c r="AC438" t="str">
        <f>IF(L438="","",IF(AND($AO$2=1,ISNA(MATCH(L438,'10-تشرين الأول'!$L$2:$L$501,0))),"محذوف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IF(L439="","",IF($AO$1=1,IFERROR(MATCH(L439,'08-آب'!$L$2:$L$501,0),0),0))</f>
        <v/>
      </c>
      <c r="W439" t="str">
        <f t="shared" si="131"/>
        <v/>
      </c>
      <c r="X439" s="38" t="str">
        <f>IF(L439="","",IF(V439&gt;0,INDEX('08-آب'!$P$2:$P$501,V439),IF($AO$1=1,0,"")))</f>
        <v/>
      </c>
      <c r="Y439" s="38" t="str">
        <f t="shared" si="132"/>
        <v/>
      </c>
      <c r="Z439" s="39" t="str">
        <f>IF(L439="","",IF(V439&gt;0,INDEX('08-آب'!$Q$2:$Q$501,V439),IF($AO$1=1,0,"")))</f>
        <v/>
      </c>
      <c r="AA439" s="39" t="str">
        <f t="shared" si="133"/>
        <v/>
      </c>
      <c r="AB439" s="40" t="str">
        <f>IF(OR(L439="",V439=0),"",IF(AND(N(I439)&gt;0,N(INDEX('08-آب'!$I$2:$I$501,V439))&gt;0,INDEX('08-آب'!$F$2:$F$501,V439)=F439),N(I439)/N(INDEX('08-آب'!$I$2:$I$501,V439))-1,""))</f>
        <v/>
      </c>
      <c r="AC439" t="str">
        <f>IF(L439="","",IF(AND($AO$2=1,ISNA(MATCH(L439,'10-تشرين الأول'!$L$2:$L$501,0))),"محذوف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IF(L440="","",IF($AO$1=1,IFERROR(MATCH(L440,'08-آب'!$L$2:$L$501,0),0),0))</f>
        <v/>
      </c>
      <c r="W440" t="str">
        <f t="shared" si="131"/>
        <v/>
      </c>
      <c r="X440" s="38" t="str">
        <f>IF(L440="","",IF(V440&gt;0,INDEX('08-آب'!$P$2:$P$501,V440),IF($AO$1=1,0,"")))</f>
        <v/>
      </c>
      <c r="Y440" s="38" t="str">
        <f t="shared" si="132"/>
        <v/>
      </c>
      <c r="Z440" s="39" t="str">
        <f>IF(L440="","",IF(V440&gt;0,INDEX('08-آب'!$Q$2:$Q$501,V440),IF($AO$1=1,0,"")))</f>
        <v/>
      </c>
      <c r="AA440" s="39" t="str">
        <f t="shared" si="133"/>
        <v/>
      </c>
      <c r="AB440" s="40" t="str">
        <f>IF(OR(L440="",V440=0),"",IF(AND(N(I440)&gt;0,N(INDEX('08-آب'!$I$2:$I$501,V440))&gt;0,INDEX('08-آب'!$F$2:$F$501,V440)=F440),N(I440)/N(INDEX('08-آب'!$I$2:$I$501,V440))-1,""))</f>
        <v/>
      </c>
      <c r="AC440" t="str">
        <f>IF(L440="","",IF(AND($AO$2=1,ISNA(MATCH(L440,'10-تشرين الأول'!$L$2:$L$501,0))),"محذوف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IF(L441="","",IF($AO$1=1,IFERROR(MATCH(L441,'08-آب'!$L$2:$L$501,0),0),0))</f>
        <v/>
      </c>
      <c r="W441" t="str">
        <f t="shared" si="131"/>
        <v/>
      </c>
      <c r="X441" s="38" t="str">
        <f>IF(L441="","",IF(V441&gt;0,INDEX('08-آب'!$P$2:$P$501,V441),IF($AO$1=1,0,"")))</f>
        <v/>
      </c>
      <c r="Y441" s="38" t="str">
        <f t="shared" si="132"/>
        <v/>
      </c>
      <c r="Z441" s="39" t="str">
        <f>IF(L441="","",IF(V441&gt;0,INDEX('08-آب'!$Q$2:$Q$501,V441),IF($AO$1=1,0,"")))</f>
        <v/>
      </c>
      <c r="AA441" s="39" t="str">
        <f t="shared" si="133"/>
        <v/>
      </c>
      <c r="AB441" s="40" t="str">
        <f>IF(OR(L441="",V441=0),"",IF(AND(N(I441)&gt;0,N(INDEX('08-آب'!$I$2:$I$501,V441))&gt;0,INDEX('08-آب'!$F$2:$F$501,V441)=F441),N(I441)/N(INDEX('08-آب'!$I$2:$I$501,V441))-1,""))</f>
        <v/>
      </c>
      <c r="AC441" t="str">
        <f>IF(L441="","",IF(AND($AO$2=1,ISNA(MATCH(L441,'10-تشرين الأول'!$L$2:$L$501,0))),"محذوف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IF(L442="","",IF($AO$1=1,IFERROR(MATCH(L442,'08-آب'!$L$2:$L$501,0),0),0))</f>
        <v/>
      </c>
      <c r="W442" t="str">
        <f t="shared" si="131"/>
        <v/>
      </c>
      <c r="X442" s="38" t="str">
        <f>IF(L442="","",IF(V442&gt;0,INDEX('08-آب'!$P$2:$P$501,V442),IF($AO$1=1,0,"")))</f>
        <v/>
      </c>
      <c r="Y442" s="38" t="str">
        <f t="shared" si="132"/>
        <v/>
      </c>
      <c r="Z442" s="39" t="str">
        <f>IF(L442="","",IF(V442&gt;0,INDEX('08-آب'!$Q$2:$Q$501,V442),IF($AO$1=1,0,"")))</f>
        <v/>
      </c>
      <c r="AA442" s="39" t="str">
        <f t="shared" si="133"/>
        <v/>
      </c>
      <c r="AB442" s="40" t="str">
        <f>IF(OR(L442="",V442=0),"",IF(AND(N(I442)&gt;0,N(INDEX('08-آب'!$I$2:$I$501,V442))&gt;0,INDEX('08-آب'!$F$2:$F$501,V442)=F442),N(I442)/N(INDEX('08-آب'!$I$2:$I$501,V442))-1,""))</f>
        <v/>
      </c>
      <c r="AC442" t="str">
        <f>IF(L442="","",IF(AND($AO$2=1,ISNA(MATCH(L442,'10-تشرين الأول'!$L$2:$L$501,0))),"محذوف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IF(L443="","",IF($AO$1=1,IFERROR(MATCH(L443,'08-آب'!$L$2:$L$501,0),0),0))</f>
        <v/>
      </c>
      <c r="W443" t="str">
        <f t="shared" si="131"/>
        <v/>
      </c>
      <c r="X443" s="38" t="str">
        <f>IF(L443="","",IF(V443&gt;0,INDEX('08-آب'!$P$2:$P$501,V443),IF($AO$1=1,0,"")))</f>
        <v/>
      </c>
      <c r="Y443" s="38" t="str">
        <f t="shared" si="132"/>
        <v/>
      </c>
      <c r="Z443" s="39" t="str">
        <f>IF(L443="","",IF(V443&gt;0,INDEX('08-آب'!$Q$2:$Q$501,V443),IF($AO$1=1,0,"")))</f>
        <v/>
      </c>
      <c r="AA443" s="39" t="str">
        <f t="shared" si="133"/>
        <v/>
      </c>
      <c r="AB443" s="40" t="str">
        <f>IF(OR(L443="",V443=0),"",IF(AND(N(I443)&gt;0,N(INDEX('08-آب'!$I$2:$I$501,V443))&gt;0,INDEX('08-آب'!$F$2:$F$501,V443)=F443),N(I443)/N(INDEX('08-آب'!$I$2:$I$501,V443))-1,""))</f>
        <v/>
      </c>
      <c r="AC443" t="str">
        <f>IF(L443="","",IF(AND($AO$2=1,ISNA(MATCH(L443,'10-تشرين الأول'!$L$2:$L$501,0))),"محذوف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IF(L444="","",IF($AO$1=1,IFERROR(MATCH(L444,'08-آب'!$L$2:$L$501,0),0),0))</f>
        <v/>
      </c>
      <c r="W444" t="str">
        <f t="shared" si="131"/>
        <v/>
      </c>
      <c r="X444" s="38" t="str">
        <f>IF(L444="","",IF(V444&gt;0,INDEX('08-آب'!$P$2:$P$501,V444),IF($AO$1=1,0,"")))</f>
        <v/>
      </c>
      <c r="Y444" s="38" t="str">
        <f t="shared" si="132"/>
        <v/>
      </c>
      <c r="Z444" s="39" t="str">
        <f>IF(L444="","",IF(V444&gt;0,INDEX('08-آب'!$Q$2:$Q$501,V444),IF($AO$1=1,0,"")))</f>
        <v/>
      </c>
      <c r="AA444" s="39" t="str">
        <f t="shared" si="133"/>
        <v/>
      </c>
      <c r="AB444" s="40" t="str">
        <f>IF(OR(L444="",V444=0),"",IF(AND(N(I444)&gt;0,N(INDEX('08-آب'!$I$2:$I$501,V444))&gt;0,INDEX('08-آب'!$F$2:$F$501,V444)=F444),N(I444)/N(INDEX('08-آب'!$I$2:$I$501,V444))-1,""))</f>
        <v/>
      </c>
      <c r="AC444" t="str">
        <f>IF(L444="","",IF(AND($AO$2=1,ISNA(MATCH(L444,'10-تشرين الأول'!$L$2:$L$501,0))),"محذوف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IF(L445="","",IF($AO$1=1,IFERROR(MATCH(L445,'08-آب'!$L$2:$L$501,0),0),0))</f>
        <v/>
      </c>
      <c r="W445" t="str">
        <f t="shared" si="131"/>
        <v/>
      </c>
      <c r="X445" s="38" t="str">
        <f>IF(L445="","",IF(V445&gt;0,INDEX('08-آب'!$P$2:$P$501,V445),IF($AO$1=1,0,"")))</f>
        <v/>
      </c>
      <c r="Y445" s="38" t="str">
        <f t="shared" si="132"/>
        <v/>
      </c>
      <c r="Z445" s="39" t="str">
        <f>IF(L445="","",IF(V445&gt;0,INDEX('08-آب'!$Q$2:$Q$501,V445),IF($AO$1=1,0,"")))</f>
        <v/>
      </c>
      <c r="AA445" s="39" t="str">
        <f t="shared" si="133"/>
        <v/>
      </c>
      <c r="AB445" s="40" t="str">
        <f>IF(OR(L445="",V445=0),"",IF(AND(N(I445)&gt;0,N(INDEX('08-آب'!$I$2:$I$501,V445))&gt;0,INDEX('08-آب'!$F$2:$F$501,V445)=F445),N(I445)/N(INDEX('08-آب'!$I$2:$I$501,V445))-1,""))</f>
        <v/>
      </c>
      <c r="AC445" t="str">
        <f>IF(L445="","",IF(AND($AO$2=1,ISNA(MATCH(L445,'10-تشرين الأول'!$L$2:$L$501,0))),"محذوف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IF(L446="","",IF($AO$1=1,IFERROR(MATCH(L446,'08-آب'!$L$2:$L$501,0),0),0))</f>
        <v/>
      </c>
      <c r="W446" t="str">
        <f t="shared" si="131"/>
        <v/>
      </c>
      <c r="X446" s="38" t="str">
        <f>IF(L446="","",IF(V446&gt;0,INDEX('08-آب'!$P$2:$P$501,V446),IF($AO$1=1,0,"")))</f>
        <v/>
      </c>
      <c r="Y446" s="38" t="str">
        <f t="shared" si="132"/>
        <v/>
      </c>
      <c r="Z446" s="39" t="str">
        <f>IF(L446="","",IF(V446&gt;0,INDEX('08-آب'!$Q$2:$Q$501,V446),IF($AO$1=1,0,"")))</f>
        <v/>
      </c>
      <c r="AA446" s="39" t="str">
        <f t="shared" si="133"/>
        <v/>
      </c>
      <c r="AB446" s="40" t="str">
        <f>IF(OR(L446="",V446=0),"",IF(AND(N(I446)&gt;0,N(INDEX('08-آب'!$I$2:$I$501,V446))&gt;0,INDEX('08-آب'!$F$2:$F$501,V446)=F446),N(I446)/N(INDEX('08-آب'!$I$2:$I$501,V446))-1,""))</f>
        <v/>
      </c>
      <c r="AC446" t="str">
        <f>IF(L446="","",IF(AND($AO$2=1,ISNA(MATCH(L446,'10-تشرين الأول'!$L$2:$L$501,0))),"محذوف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IF(L447="","",IF($AO$1=1,IFERROR(MATCH(L447,'08-آب'!$L$2:$L$501,0),0),0))</f>
        <v/>
      </c>
      <c r="W447" t="str">
        <f t="shared" si="131"/>
        <v/>
      </c>
      <c r="X447" s="38" t="str">
        <f>IF(L447="","",IF(V447&gt;0,INDEX('08-آب'!$P$2:$P$501,V447),IF($AO$1=1,0,"")))</f>
        <v/>
      </c>
      <c r="Y447" s="38" t="str">
        <f t="shared" si="132"/>
        <v/>
      </c>
      <c r="Z447" s="39" t="str">
        <f>IF(L447="","",IF(V447&gt;0,INDEX('08-آب'!$Q$2:$Q$501,V447),IF($AO$1=1,0,"")))</f>
        <v/>
      </c>
      <c r="AA447" s="39" t="str">
        <f t="shared" si="133"/>
        <v/>
      </c>
      <c r="AB447" s="40" t="str">
        <f>IF(OR(L447="",V447=0),"",IF(AND(N(I447)&gt;0,N(INDEX('08-آب'!$I$2:$I$501,V447))&gt;0,INDEX('08-آب'!$F$2:$F$501,V447)=F447),N(I447)/N(INDEX('08-آب'!$I$2:$I$501,V447))-1,""))</f>
        <v/>
      </c>
      <c r="AC447" t="str">
        <f>IF(L447="","",IF(AND($AO$2=1,ISNA(MATCH(L447,'10-تشرين الأول'!$L$2:$L$501,0))),"محذوف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IF(L448="","",IF($AO$1=1,IFERROR(MATCH(L448,'08-آب'!$L$2:$L$501,0),0),0))</f>
        <v/>
      </c>
      <c r="W448" t="str">
        <f t="shared" si="131"/>
        <v/>
      </c>
      <c r="X448" s="38" t="str">
        <f>IF(L448="","",IF(V448&gt;0,INDEX('08-آب'!$P$2:$P$501,V448),IF($AO$1=1,0,"")))</f>
        <v/>
      </c>
      <c r="Y448" s="38" t="str">
        <f t="shared" si="132"/>
        <v/>
      </c>
      <c r="Z448" s="39" t="str">
        <f>IF(L448="","",IF(V448&gt;0,INDEX('08-آب'!$Q$2:$Q$501,V448),IF($AO$1=1,0,"")))</f>
        <v/>
      </c>
      <c r="AA448" s="39" t="str">
        <f t="shared" si="133"/>
        <v/>
      </c>
      <c r="AB448" s="40" t="str">
        <f>IF(OR(L448="",V448=0),"",IF(AND(N(I448)&gt;0,N(INDEX('08-آب'!$I$2:$I$501,V448))&gt;0,INDEX('08-آب'!$F$2:$F$501,V448)=F448),N(I448)/N(INDEX('08-آب'!$I$2:$I$501,V448))-1,""))</f>
        <v/>
      </c>
      <c r="AC448" t="str">
        <f>IF(L448="","",IF(AND($AO$2=1,ISNA(MATCH(L448,'10-تشرين الأول'!$L$2:$L$501,0))),"محذوف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ref="K449:K500" si="140">IF(L449="","",IF(U449&lt;&gt;"","⚠",""))</f>
        <v/>
      </c>
      <c r="L449" t="str">
        <f t="shared" ref="L449:L500" si="141">IF(A449="","",TRIM(A449))</f>
        <v/>
      </c>
      <c r="M449" s="36" t="str">
        <f t="shared" ref="M449:M500" si="142">IF(L449="","",IF(ISNUMBER(SEARCH("دولار",F449)),1,IF(ISNUMBER(SEARCH("ليرة",F449)),IF($AO$3&gt;0,1/$AO$3,0),0)))</f>
        <v/>
      </c>
      <c r="N449" s="37" t="str">
        <f t="shared" ref="N449:N500" si="143">IF(L449="","",N(I449)*M449)</f>
        <v/>
      </c>
      <c r="O449" s="37" t="str">
        <f t="shared" ref="O449:O500" si="144">IF(L449="","",M449*CHOOSE($AO$4,N(C449),N(D449),N(E449)))</f>
        <v/>
      </c>
      <c r="P449" s="38" t="str">
        <f t="shared" ref="P449:P500" si="145">IF(L449="","",MAX(N(B449),0))</f>
        <v/>
      </c>
      <c r="Q449" s="39" t="str">
        <f t="shared" ref="Q449:Q500" si="146">IF(L449="","",P449*N449)</f>
        <v/>
      </c>
      <c r="R449" s="39" t="str">
        <f t="shared" ref="R449:R500" si="147">IF(L449="","",P449*O449)</f>
        <v/>
      </c>
      <c r="S449" t="str">
        <f t="shared" ref="S449:S500" si="148">IF(L449="","",IF(AND(P449&gt;0,N449&gt;0,O449&gt;0),1,0))</f>
        <v/>
      </c>
      <c r="T449" s="39" t="str">
        <f t="shared" ref="T449:T500" si="149">IF(L449="","",S449*(R449-Q449))</f>
        <v/>
      </c>
      <c r="U449" t="str">
        <f t="shared" ref="U449:U500" si="150">IF(L449="","",MID(IF(OR(NOT(ISNUMBER(B449)),NOT(ISNUMBER(C449)),NOT(ISNUMBER(D449)),NOT(ISNUMBER(E449)),NOT(ISNUMBER(I449)),AND(NOT(ISNUMBER(SEARCH("دولار",F449))),NOT(ISNUMBER(SEARCH("ليرة",F449)))))," | بيانات غير صالحة","")&amp;IF(N(B449)&lt;0," | كمية سالبة","")&amp;IF(AND(N(B449)&gt;0,N(I449)=0)," | شراء صفر","")&amp;IF(AND(N(B449)&gt;0,TRIM(H449)=$AO$5,OR(N(C449)=0,N(D449)=0,N(E449)=0))," | بيع صفر","")&amp;IF(AND(N449&gt;0,O449&gt;0,O449&lt;N449)," | بيع أقل من الشراء","")&amp;IF(OR(AND(ISNUMBER(SEARCH("ليرة",F449)),OR(AND(N(I449)&gt;0,N(I449)&lt;$AO$6),AND(N(C449)&gt;0,N(C449)&lt;$AO$6),AND(N(D449)&gt;0,N(D449)&lt;$AO$6),AND(N(E449)&gt;0,N(E449)&lt;$AO$6))),AND(ISNUMBER(SEARCH("دولار",F449)),MAX(N(I449),N(C449),N(D449),N(E449))&gt;$AO$7))," | عملة/سعر مشكوك","")&amp;IF(AND(COUNTIF(C449:E449,"&gt;0")&gt;=2,MAX(N(C449),N(D449),N(E449))&gt;$AO$8*MIN(IF(N(C449)&gt;0,N(C449),1E+99),IF(N(D449)&gt;0,N(D449),1E+99),IF(N(E449)&gt;0,N(E449),1E+99)))," | تباين أسعار البيع","")&amp;IF(OR(TRIM(H449)="All",TRIM(H449)="")," | بلا تصنيف",""),4,300))</f>
        <v/>
      </c>
      <c r="V449" t="str">
        <f>IF(L449="","",IF($AO$1=1,IFERROR(MATCH(L449,'08-آب'!$L$2:$L$501,0),0),0))</f>
        <v/>
      </c>
      <c r="W449" t="str">
        <f t="shared" ref="W449:W500" si="151">IF(L449="","",IF(AND($AO$1=1,V449=0),"جديد",""))</f>
        <v/>
      </c>
      <c r="X449" s="38" t="str">
        <f>IF(L449="","",IF(V449&gt;0,INDEX('08-آب'!$P$2:$P$501,V449),IF($AO$1=1,0,"")))</f>
        <v/>
      </c>
      <c r="Y449" s="38" t="str">
        <f t="shared" ref="Y449:Y500" si="152">IF(OR(L449="",X449=""),"",P449-X449)</f>
        <v/>
      </c>
      <c r="Z449" s="39" t="str">
        <f>IF(L449="","",IF(V449&gt;0,INDEX('08-آب'!$Q$2:$Q$501,V449),IF($AO$1=1,0,"")))</f>
        <v/>
      </c>
      <c r="AA449" s="39" t="str">
        <f t="shared" ref="AA449:AA500" si="153">IF(OR(L449="",Z449=""),"",Q449-Z449)</f>
        <v/>
      </c>
      <c r="AB449" s="40" t="str">
        <f>IF(OR(L449="",V449=0),"",IF(AND(N(I449)&gt;0,N(INDEX('08-آب'!$I$2:$I$501,V449))&gt;0,INDEX('08-آب'!$F$2:$F$501,V449)=F449),N(I449)/N(INDEX('08-آب'!$I$2:$I$501,V449))-1,""))</f>
        <v/>
      </c>
      <c r="AC449" t="str">
        <f>IF(L449="","",IF(AND($AO$2=1,ISNA(MATCH(L449,'10-تشرين الأول'!$L$2:$L$501,0))),"محذوف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ref="AG449:AG500" si="154">IF(AA449="","",ABS(AA449)+ROW()/1000000000)</f>
        <v/>
      </c>
      <c r="AH449" s="39" t="str">
        <f t="shared" ref="AH449:AH500" si="155">IF(L449="","",IF(AND(P449&gt;0,N449&gt;0,N(C449)&gt;0),P449*(M449*N(C449)-N449),0))</f>
        <v/>
      </c>
      <c r="AI449" s="39" t="str">
        <f t="shared" ref="AI449:AI500" si="156">IF(L449="","",IF(AND(P449&gt;0,N449&gt;0,N(D449)&gt;0),P449*(M449*N(D449)-N449),0))</f>
        <v/>
      </c>
      <c r="AJ449" s="39" t="str">
        <f t="shared" ref="AJ449:AJ500" si="157">IF(L449="","",IF(AND(P449&gt;0,N449&gt;0,N(E449)&gt;0),P449*(M449*N(E449)-N449),0))</f>
        <v/>
      </c>
      <c r="AK449" t="str">
        <f t="shared" ref="AK449:AK500" si="158">IF(L449="","",Q449+ROW()/1000000000)</f>
        <v/>
      </c>
      <c r="AL449" t="str">
        <f t="shared" ref="AL449:AL500" si="159">IF(L449="","",T449+ROW()/1000000000)</f>
        <v/>
      </c>
    </row>
    <row r="450" spans="11:38" ht="15">
      <c r="K450" t="str">
        <f t="shared" si="140"/>
        <v/>
      </c>
      <c r="L450" t="str">
        <f t="shared" si="141"/>
        <v/>
      </c>
      <c r="M450" s="36" t="str">
        <f t="shared" si="142"/>
        <v/>
      </c>
      <c r="N450" s="37" t="str">
        <f t="shared" si="143"/>
        <v/>
      </c>
      <c r="O450" s="37" t="str">
        <f t="shared" si="144"/>
        <v/>
      </c>
      <c r="P450" s="38" t="str">
        <f t="shared" si="145"/>
        <v/>
      </c>
      <c r="Q450" s="39" t="str">
        <f t="shared" si="146"/>
        <v/>
      </c>
      <c r="R450" s="39" t="str">
        <f t="shared" si="147"/>
        <v/>
      </c>
      <c r="S450" t="str">
        <f t="shared" si="148"/>
        <v/>
      </c>
      <c r="T450" s="39" t="str">
        <f t="shared" si="149"/>
        <v/>
      </c>
      <c r="U450" t="str">
        <f t="shared" si="150"/>
        <v/>
      </c>
      <c r="V450" t="str">
        <f>IF(L450="","",IF($AO$1=1,IFERROR(MATCH(L450,'08-آب'!$L$2:$L$501,0),0),0))</f>
        <v/>
      </c>
      <c r="W450" t="str">
        <f t="shared" si="151"/>
        <v/>
      </c>
      <c r="X450" s="38" t="str">
        <f>IF(L450="","",IF(V450&gt;0,INDEX('08-آب'!$P$2:$P$501,V450),IF($AO$1=1,0,"")))</f>
        <v/>
      </c>
      <c r="Y450" s="38" t="str">
        <f t="shared" si="152"/>
        <v/>
      </c>
      <c r="Z450" s="39" t="str">
        <f>IF(L450="","",IF(V450&gt;0,INDEX('08-آب'!$Q$2:$Q$501,V450),IF($AO$1=1,0,"")))</f>
        <v/>
      </c>
      <c r="AA450" s="39" t="str">
        <f t="shared" si="153"/>
        <v/>
      </c>
      <c r="AB450" s="40" t="str">
        <f>IF(OR(L450="",V450=0),"",IF(AND(N(I450)&gt;0,N(INDEX('08-آب'!$I$2:$I$501,V450))&gt;0,INDEX('08-آب'!$F$2:$F$501,V450)=F450),N(I450)/N(INDEX('08-آب'!$I$2:$I$501,V450))-1,""))</f>
        <v/>
      </c>
      <c r="AC450" t="str">
        <f>IF(L450="","",IF(AND($AO$2=1,ISNA(MATCH(L450,'10-تشرين الأول'!$L$2:$L$501,0))),"محذوف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si="154"/>
        <v/>
      </c>
      <c r="AH450" s="39" t="str">
        <f t="shared" si="155"/>
        <v/>
      </c>
      <c r="AI450" s="39" t="str">
        <f t="shared" si="156"/>
        <v/>
      </c>
      <c r="AJ450" s="39" t="str">
        <f t="shared" si="157"/>
        <v/>
      </c>
      <c r="AK450" t="str">
        <f t="shared" si="158"/>
        <v/>
      </c>
      <c r="AL450" t="str">
        <f t="shared" si="159"/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IF(L451="","",IF($AO$1=1,IFERROR(MATCH(L451,'08-آب'!$L$2:$L$501,0),0),0))</f>
        <v/>
      </c>
      <c r="W451" t="str">
        <f t="shared" si="151"/>
        <v/>
      </c>
      <c r="X451" s="38" t="str">
        <f>IF(L451="","",IF(V451&gt;0,INDEX('08-آب'!$P$2:$P$501,V451),IF($AO$1=1,0,"")))</f>
        <v/>
      </c>
      <c r="Y451" s="38" t="str">
        <f t="shared" si="152"/>
        <v/>
      </c>
      <c r="Z451" s="39" t="str">
        <f>IF(L451="","",IF(V451&gt;0,INDEX('08-آب'!$Q$2:$Q$501,V451),IF($AO$1=1,0,"")))</f>
        <v/>
      </c>
      <c r="AA451" s="39" t="str">
        <f t="shared" si="153"/>
        <v/>
      </c>
      <c r="AB451" s="40" t="str">
        <f>IF(OR(L451="",V451=0),"",IF(AND(N(I451)&gt;0,N(INDEX('08-آب'!$I$2:$I$501,V451))&gt;0,INDEX('08-آب'!$F$2:$F$501,V451)=F451),N(I451)/N(INDEX('08-آب'!$I$2:$I$501,V451))-1,""))</f>
        <v/>
      </c>
      <c r="AC451" t="str">
        <f>IF(L451="","",IF(AND($AO$2=1,ISNA(MATCH(L451,'10-تشرين الأول'!$L$2:$L$501,0))),"محذوف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IF(L452="","",IF($AO$1=1,IFERROR(MATCH(L452,'08-آب'!$L$2:$L$501,0),0),0))</f>
        <v/>
      </c>
      <c r="W452" t="str">
        <f t="shared" si="151"/>
        <v/>
      </c>
      <c r="X452" s="38" t="str">
        <f>IF(L452="","",IF(V452&gt;0,INDEX('08-آب'!$P$2:$P$501,V452),IF($AO$1=1,0,"")))</f>
        <v/>
      </c>
      <c r="Y452" s="38" t="str">
        <f t="shared" si="152"/>
        <v/>
      </c>
      <c r="Z452" s="39" t="str">
        <f>IF(L452="","",IF(V452&gt;0,INDEX('08-آب'!$Q$2:$Q$501,V452),IF($AO$1=1,0,"")))</f>
        <v/>
      </c>
      <c r="AA452" s="39" t="str">
        <f t="shared" si="153"/>
        <v/>
      </c>
      <c r="AB452" s="40" t="str">
        <f>IF(OR(L452="",V452=0),"",IF(AND(N(I452)&gt;0,N(INDEX('08-آب'!$I$2:$I$501,V452))&gt;0,INDEX('08-آب'!$F$2:$F$501,V452)=F452),N(I452)/N(INDEX('08-آب'!$I$2:$I$501,V452))-1,""))</f>
        <v/>
      </c>
      <c r="AC452" t="str">
        <f>IF(L452="","",IF(AND($AO$2=1,ISNA(MATCH(L452,'10-تشرين الأول'!$L$2:$L$501,0))),"محذوف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IF(L453="","",IF($AO$1=1,IFERROR(MATCH(L453,'08-آب'!$L$2:$L$501,0),0),0))</f>
        <v/>
      </c>
      <c r="W453" t="str">
        <f t="shared" si="151"/>
        <v/>
      </c>
      <c r="X453" s="38" t="str">
        <f>IF(L453="","",IF(V453&gt;0,INDEX('08-آب'!$P$2:$P$501,V453),IF($AO$1=1,0,"")))</f>
        <v/>
      </c>
      <c r="Y453" s="38" t="str">
        <f t="shared" si="152"/>
        <v/>
      </c>
      <c r="Z453" s="39" t="str">
        <f>IF(L453="","",IF(V453&gt;0,INDEX('08-آب'!$Q$2:$Q$501,V453),IF($AO$1=1,0,"")))</f>
        <v/>
      </c>
      <c r="AA453" s="39" t="str">
        <f t="shared" si="153"/>
        <v/>
      </c>
      <c r="AB453" s="40" t="str">
        <f>IF(OR(L453="",V453=0),"",IF(AND(N(I453)&gt;0,N(INDEX('08-آب'!$I$2:$I$501,V453))&gt;0,INDEX('08-آب'!$F$2:$F$501,V453)=F453),N(I453)/N(INDEX('08-آب'!$I$2:$I$501,V453))-1,""))</f>
        <v/>
      </c>
      <c r="AC453" t="str">
        <f>IF(L453="","",IF(AND($AO$2=1,ISNA(MATCH(L453,'10-تشرين الأول'!$L$2:$L$501,0))),"محذوف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IF(L454="","",IF($AO$1=1,IFERROR(MATCH(L454,'08-آب'!$L$2:$L$501,0),0),0))</f>
        <v/>
      </c>
      <c r="W454" t="str">
        <f t="shared" si="151"/>
        <v/>
      </c>
      <c r="X454" s="38" t="str">
        <f>IF(L454="","",IF(V454&gt;0,INDEX('08-آب'!$P$2:$P$501,V454),IF($AO$1=1,0,"")))</f>
        <v/>
      </c>
      <c r="Y454" s="38" t="str">
        <f t="shared" si="152"/>
        <v/>
      </c>
      <c r="Z454" s="39" t="str">
        <f>IF(L454="","",IF(V454&gt;0,INDEX('08-آب'!$Q$2:$Q$501,V454),IF($AO$1=1,0,"")))</f>
        <v/>
      </c>
      <c r="AA454" s="39" t="str">
        <f t="shared" si="153"/>
        <v/>
      </c>
      <c r="AB454" s="40" t="str">
        <f>IF(OR(L454="",V454=0),"",IF(AND(N(I454)&gt;0,N(INDEX('08-آب'!$I$2:$I$501,V454))&gt;0,INDEX('08-آب'!$F$2:$F$501,V454)=F454),N(I454)/N(INDEX('08-آب'!$I$2:$I$501,V454))-1,""))</f>
        <v/>
      </c>
      <c r="AC454" t="str">
        <f>IF(L454="","",IF(AND($AO$2=1,ISNA(MATCH(L454,'10-تشرين الأول'!$L$2:$L$501,0))),"محذوف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IF(L455="","",IF($AO$1=1,IFERROR(MATCH(L455,'08-آب'!$L$2:$L$501,0),0),0))</f>
        <v/>
      </c>
      <c r="W455" t="str">
        <f t="shared" si="151"/>
        <v/>
      </c>
      <c r="X455" s="38" t="str">
        <f>IF(L455="","",IF(V455&gt;0,INDEX('08-آب'!$P$2:$P$501,V455),IF($AO$1=1,0,"")))</f>
        <v/>
      </c>
      <c r="Y455" s="38" t="str">
        <f t="shared" si="152"/>
        <v/>
      </c>
      <c r="Z455" s="39" t="str">
        <f>IF(L455="","",IF(V455&gt;0,INDEX('08-آب'!$Q$2:$Q$501,V455),IF($AO$1=1,0,"")))</f>
        <v/>
      </c>
      <c r="AA455" s="39" t="str">
        <f t="shared" si="153"/>
        <v/>
      </c>
      <c r="AB455" s="40" t="str">
        <f>IF(OR(L455="",V455=0),"",IF(AND(N(I455)&gt;0,N(INDEX('08-آب'!$I$2:$I$501,V455))&gt;0,INDEX('08-آب'!$F$2:$F$501,V455)=F455),N(I455)/N(INDEX('08-آب'!$I$2:$I$501,V455))-1,""))</f>
        <v/>
      </c>
      <c r="AC455" t="str">
        <f>IF(L455="","",IF(AND($AO$2=1,ISNA(MATCH(L455,'10-تشرين الأول'!$L$2:$L$501,0))),"محذوف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IF(L456="","",IF($AO$1=1,IFERROR(MATCH(L456,'08-آب'!$L$2:$L$501,0),0),0))</f>
        <v/>
      </c>
      <c r="W456" t="str">
        <f t="shared" si="151"/>
        <v/>
      </c>
      <c r="X456" s="38" t="str">
        <f>IF(L456="","",IF(V456&gt;0,INDEX('08-آب'!$P$2:$P$501,V456),IF($AO$1=1,0,"")))</f>
        <v/>
      </c>
      <c r="Y456" s="38" t="str">
        <f t="shared" si="152"/>
        <v/>
      </c>
      <c r="Z456" s="39" t="str">
        <f>IF(L456="","",IF(V456&gt;0,INDEX('08-آب'!$Q$2:$Q$501,V456),IF($AO$1=1,0,"")))</f>
        <v/>
      </c>
      <c r="AA456" s="39" t="str">
        <f t="shared" si="153"/>
        <v/>
      </c>
      <c r="AB456" s="40" t="str">
        <f>IF(OR(L456="",V456=0),"",IF(AND(N(I456)&gt;0,N(INDEX('08-آب'!$I$2:$I$501,V456))&gt;0,INDEX('08-آب'!$F$2:$F$501,V456)=F456),N(I456)/N(INDEX('08-آب'!$I$2:$I$501,V456))-1,""))</f>
        <v/>
      </c>
      <c r="AC456" t="str">
        <f>IF(L456="","",IF(AND($AO$2=1,ISNA(MATCH(L456,'10-تشرين الأول'!$L$2:$L$501,0))),"محذوف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IF(L457="","",IF($AO$1=1,IFERROR(MATCH(L457,'08-آب'!$L$2:$L$501,0),0),0))</f>
        <v/>
      </c>
      <c r="W457" t="str">
        <f t="shared" si="151"/>
        <v/>
      </c>
      <c r="X457" s="38" t="str">
        <f>IF(L457="","",IF(V457&gt;0,INDEX('08-آب'!$P$2:$P$501,V457),IF($AO$1=1,0,"")))</f>
        <v/>
      </c>
      <c r="Y457" s="38" t="str">
        <f t="shared" si="152"/>
        <v/>
      </c>
      <c r="Z457" s="39" t="str">
        <f>IF(L457="","",IF(V457&gt;0,INDEX('08-آب'!$Q$2:$Q$501,V457),IF($AO$1=1,0,"")))</f>
        <v/>
      </c>
      <c r="AA457" s="39" t="str">
        <f t="shared" si="153"/>
        <v/>
      </c>
      <c r="AB457" s="40" t="str">
        <f>IF(OR(L457="",V457=0),"",IF(AND(N(I457)&gt;0,N(INDEX('08-آب'!$I$2:$I$501,V457))&gt;0,INDEX('08-آب'!$F$2:$F$501,V457)=F457),N(I457)/N(INDEX('08-آب'!$I$2:$I$501,V457))-1,""))</f>
        <v/>
      </c>
      <c r="AC457" t="str">
        <f>IF(L457="","",IF(AND($AO$2=1,ISNA(MATCH(L457,'10-تشرين الأول'!$L$2:$L$501,0))),"محذوف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IF(L458="","",IF($AO$1=1,IFERROR(MATCH(L458,'08-آب'!$L$2:$L$501,0),0),0))</f>
        <v/>
      </c>
      <c r="W458" t="str">
        <f t="shared" si="151"/>
        <v/>
      </c>
      <c r="X458" s="38" t="str">
        <f>IF(L458="","",IF(V458&gt;0,INDEX('08-آب'!$P$2:$P$501,V458),IF($AO$1=1,0,"")))</f>
        <v/>
      </c>
      <c r="Y458" s="38" t="str">
        <f t="shared" si="152"/>
        <v/>
      </c>
      <c r="Z458" s="39" t="str">
        <f>IF(L458="","",IF(V458&gt;0,INDEX('08-آب'!$Q$2:$Q$501,V458),IF($AO$1=1,0,"")))</f>
        <v/>
      </c>
      <c r="AA458" s="39" t="str">
        <f t="shared" si="153"/>
        <v/>
      </c>
      <c r="AB458" s="40" t="str">
        <f>IF(OR(L458="",V458=0),"",IF(AND(N(I458)&gt;0,N(INDEX('08-آب'!$I$2:$I$501,V458))&gt;0,INDEX('08-آب'!$F$2:$F$501,V458)=F458),N(I458)/N(INDEX('08-آب'!$I$2:$I$501,V458))-1,""))</f>
        <v/>
      </c>
      <c r="AC458" t="str">
        <f>IF(L458="","",IF(AND($AO$2=1,ISNA(MATCH(L458,'10-تشرين الأول'!$L$2:$L$501,0))),"محذوف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IF(L459="","",IF($AO$1=1,IFERROR(MATCH(L459,'08-آب'!$L$2:$L$501,0),0),0))</f>
        <v/>
      </c>
      <c r="W459" t="str">
        <f t="shared" si="151"/>
        <v/>
      </c>
      <c r="X459" s="38" t="str">
        <f>IF(L459="","",IF(V459&gt;0,INDEX('08-آب'!$P$2:$P$501,V459),IF($AO$1=1,0,"")))</f>
        <v/>
      </c>
      <c r="Y459" s="38" t="str">
        <f t="shared" si="152"/>
        <v/>
      </c>
      <c r="Z459" s="39" t="str">
        <f>IF(L459="","",IF(V459&gt;0,INDEX('08-آب'!$Q$2:$Q$501,V459),IF($AO$1=1,0,"")))</f>
        <v/>
      </c>
      <c r="AA459" s="39" t="str">
        <f t="shared" si="153"/>
        <v/>
      </c>
      <c r="AB459" s="40" t="str">
        <f>IF(OR(L459="",V459=0),"",IF(AND(N(I459)&gt;0,N(INDEX('08-آب'!$I$2:$I$501,V459))&gt;0,INDEX('08-آب'!$F$2:$F$501,V459)=F459),N(I459)/N(INDEX('08-آب'!$I$2:$I$501,V459))-1,""))</f>
        <v/>
      </c>
      <c r="AC459" t="str">
        <f>IF(L459="","",IF(AND($AO$2=1,ISNA(MATCH(L459,'10-تشرين الأول'!$L$2:$L$501,0))),"محذوف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IF(L460="","",IF($AO$1=1,IFERROR(MATCH(L460,'08-آب'!$L$2:$L$501,0),0),0))</f>
        <v/>
      </c>
      <c r="W460" t="str">
        <f t="shared" si="151"/>
        <v/>
      </c>
      <c r="X460" s="38" t="str">
        <f>IF(L460="","",IF(V460&gt;0,INDEX('08-آب'!$P$2:$P$501,V460),IF($AO$1=1,0,"")))</f>
        <v/>
      </c>
      <c r="Y460" s="38" t="str">
        <f t="shared" si="152"/>
        <v/>
      </c>
      <c r="Z460" s="39" t="str">
        <f>IF(L460="","",IF(V460&gt;0,INDEX('08-آب'!$Q$2:$Q$501,V460),IF($AO$1=1,0,"")))</f>
        <v/>
      </c>
      <c r="AA460" s="39" t="str">
        <f t="shared" si="153"/>
        <v/>
      </c>
      <c r="AB460" s="40" t="str">
        <f>IF(OR(L460="",V460=0),"",IF(AND(N(I460)&gt;0,N(INDEX('08-آب'!$I$2:$I$501,V460))&gt;0,INDEX('08-آب'!$F$2:$F$501,V460)=F460),N(I460)/N(INDEX('08-آب'!$I$2:$I$501,V460))-1,""))</f>
        <v/>
      </c>
      <c r="AC460" t="str">
        <f>IF(L460="","",IF(AND($AO$2=1,ISNA(MATCH(L460,'10-تشرين الأول'!$L$2:$L$501,0))),"محذوف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IF(L461="","",IF($AO$1=1,IFERROR(MATCH(L461,'08-آب'!$L$2:$L$501,0),0),0))</f>
        <v/>
      </c>
      <c r="W461" t="str">
        <f t="shared" si="151"/>
        <v/>
      </c>
      <c r="X461" s="38" t="str">
        <f>IF(L461="","",IF(V461&gt;0,INDEX('08-آب'!$P$2:$P$501,V461),IF($AO$1=1,0,"")))</f>
        <v/>
      </c>
      <c r="Y461" s="38" t="str">
        <f t="shared" si="152"/>
        <v/>
      </c>
      <c r="Z461" s="39" t="str">
        <f>IF(L461="","",IF(V461&gt;0,INDEX('08-آب'!$Q$2:$Q$501,V461),IF($AO$1=1,0,"")))</f>
        <v/>
      </c>
      <c r="AA461" s="39" t="str">
        <f t="shared" si="153"/>
        <v/>
      </c>
      <c r="AB461" s="40" t="str">
        <f>IF(OR(L461="",V461=0),"",IF(AND(N(I461)&gt;0,N(INDEX('08-آب'!$I$2:$I$501,V461))&gt;0,INDEX('08-آب'!$F$2:$F$501,V461)=F461),N(I461)/N(INDEX('08-آب'!$I$2:$I$501,V461))-1,""))</f>
        <v/>
      </c>
      <c r="AC461" t="str">
        <f>IF(L461="","",IF(AND($AO$2=1,ISNA(MATCH(L461,'10-تشرين الأول'!$L$2:$L$501,0))),"محذوف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IF(L462="","",IF($AO$1=1,IFERROR(MATCH(L462,'08-آب'!$L$2:$L$501,0),0),0))</f>
        <v/>
      </c>
      <c r="W462" t="str">
        <f t="shared" si="151"/>
        <v/>
      </c>
      <c r="X462" s="38" t="str">
        <f>IF(L462="","",IF(V462&gt;0,INDEX('08-آب'!$P$2:$P$501,V462),IF($AO$1=1,0,"")))</f>
        <v/>
      </c>
      <c r="Y462" s="38" t="str">
        <f t="shared" si="152"/>
        <v/>
      </c>
      <c r="Z462" s="39" t="str">
        <f>IF(L462="","",IF(V462&gt;0,INDEX('08-آب'!$Q$2:$Q$501,V462),IF($AO$1=1,0,"")))</f>
        <v/>
      </c>
      <c r="AA462" s="39" t="str">
        <f t="shared" si="153"/>
        <v/>
      </c>
      <c r="AB462" s="40" t="str">
        <f>IF(OR(L462="",V462=0),"",IF(AND(N(I462)&gt;0,N(INDEX('08-آب'!$I$2:$I$501,V462))&gt;0,INDEX('08-آب'!$F$2:$F$501,V462)=F462),N(I462)/N(INDEX('08-آب'!$I$2:$I$501,V462))-1,""))</f>
        <v/>
      </c>
      <c r="AC462" t="str">
        <f>IF(L462="","",IF(AND($AO$2=1,ISNA(MATCH(L462,'10-تشرين الأول'!$L$2:$L$501,0))),"محذوف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IF(L463="","",IF($AO$1=1,IFERROR(MATCH(L463,'08-آب'!$L$2:$L$501,0),0),0))</f>
        <v/>
      </c>
      <c r="W463" t="str">
        <f t="shared" si="151"/>
        <v/>
      </c>
      <c r="X463" s="38" t="str">
        <f>IF(L463="","",IF(V463&gt;0,INDEX('08-آب'!$P$2:$P$501,V463),IF($AO$1=1,0,"")))</f>
        <v/>
      </c>
      <c r="Y463" s="38" t="str">
        <f t="shared" si="152"/>
        <v/>
      </c>
      <c r="Z463" s="39" t="str">
        <f>IF(L463="","",IF(V463&gt;0,INDEX('08-آب'!$Q$2:$Q$501,V463),IF($AO$1=1,0,"")))</f>
        <v/>
      </c>
      <c r="AA463" s="39" t="str">
        <f t="shared" si="153"/>
        <v/>
      </c>
      <c r="AB463" s="40" t="str">
        <f>IF(OR(L463="",V463=0),"",IF(AND(N(I463)&gt;0,N(INDEX('08-آب'!$I$2:$I$501,V463))&gt;0,INDEX('08-آب'!$F$2:$F$501,V463)=F463),N(I463)/N(INDEX('08-آب'!$I$2:$I$501,V463))-1,""))</f>
        <v/>
      </c>
      <c r="AC463" t="str">
        <f>IF(L463="","",IF(AND($AO$2=1,ISNA(MATCH(L463,'10-تشرين الأول'!$L$2:$L$501,0))),"محذوف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IF(L464="","",IF($AO$1=1,IFERROR(MATCH(L464,'08-آب'!$L$2:$L$501,0),0),0))</f>
        <v/>
      </c>
      <c r="W464" t="str">
        <f t="shared" si="151"/>
        <v/>
      </c>
      <c r="X464" s="38" t="str">
        <f>IF(L464="","",IF(V464&gt;0,INDEX('08-آب'!$P$2:$P$501,V464),IF($AO$1=1,0,"")))</f>
        <v/>
      </c>
      <c r="Y464" s="38" t="str">
        <f t="shared" si="152"/>
        <v/>
      </c>
      <c r="Z464" s="39" t="str">
        <f>IF(L464="","",IF(V464&gt;0,INDEX('08-آب'!$Q$2:$Q$501,V464),IF($AO$1=1,0,"")))</f>
        <v/>
      </c>
      <c r="AA464" s="39" t="str">
        <f t="shared" si="153"/>
        <v/>
      </c>
      <c r="AB464" s="40" t="str">
        <f>IF(OR(L464="",V464=0),"",IF(AND(N(I464)&gt;0,N(INDEX('08-آب'!$I$2:$I$501,V464))&gt;0,INDEX('08-آب'!$F$2:$F$501,V464)=F464),N(I464)/N(INDEX('08-آب'!$I$2:$I$501,V464))-1,""))</f>
        <v/>
      </c>
      <c r="AC464" t="str">
        <f>IF(L464="","",IF(AND($AO$2=1,ISNA(MATCH(L464,'10-تشرين الأول'!$L$2:$L$501,0))),"محذوف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IF(L465="","",IF($AO$1=1,IFERROR(MATCH(L465,'08-آب'!$L$2:$L$501,0),0),0))</f>
        <v/>
      </c>
      <c r="W465" t="str">
        <f t="shared" si="151"/>
        <v/>
      </c>
      <c r="X465" s="38" t="str">
        <f>IF(L465="","",IF(V465&gt;0,INDEX('08-آب'!$P$2:$P$501,V465),IF($AO$1=1,0,"")))</f>
        <v/>
      </c>
      <c r="Y465" s="38" t="str">
        <f t="shared" si="152"/>
        <v/>
      </c>
      <c r="Z465" s="39" t="str">
        <f>IF(L465="","",IF(V465&gt;0,INDEX('08-آب'!$Q$2:$Q$501,V465),IF($AO$1=1,0,"")))</f>
        <v/>
      </c>
      <c r="AA465" s="39" t="str">
        <f t="shared" si="153"/>
        <v/>
      </c>
      <c r="AB465" s="40" t="str">
        <f>IF(OR(L465="",V465=0),"",IF(AND(N(I465)&gt;0,N(INDEX('08-آب'!$I$2:$I$501,V465))&gt;0,INDEX('08-آب'!$F$2:$F$501,V465)=F465),N(I465)/N(INDEX('08-آب'!$I$2:$I$501,V465))-1,""))</f>
        <v/>
      </c>
      <c r="AC465" t="str">
        <f>IF(L465="","",IF(AND($AO$2=1,ISNA(MATCH(L465,'10-تشرين الأول'!$L$2:$L$501,0))),"محذوف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IF(L466="","",IF($AO$1=1,IFERROR(MATCH(L466,'08-آب'!$L$2:$L$501,0),0),0))</f>
        <v/>
      </c>
      <c r="W466" t="str">
        <f t="shared" si="151"/>
        <v/>
      </c>
      <c r="X466" s="38" t="str">
        <f>IF(L466="","",IF(V466&gt;0,INDEX('08-آب'!$P$2:$P$501,V466),IF($AO$1=1,0,"")))</f>
        <v/>
      </c>
      <c r="Y466" s="38" t="str">
        <f t="shared" si="152"/>
        <v/>
      </c>
      <c r="Z466" s="39" t="str">
        <f>IF(L466="","",IF(V466&gt;0,INDEX('08-آب'!$Q$2:$Q$501,V466),IF($AO$1=1,0,"")))</f>
        <v/>
      </c>
      <c r="AA466" s="39" t="str">
        <f t="shared" si="153"/>
        <v/>
      </c>
      <c r="AB466" s="40" t="str">
        <f>IF(OR(L466="",V466=0),"",IF(AND(N(I466)&gt;0,N(INDEX('08-آب'!$I$2:$I$501,V466))&gt;0,INDEX('08-آب'!$F$2:$F$501,V466)=F466),N(I466)/N(INDEX('08-آب'!$I$2:$I$501,V466))-1,""))</f>
        <v/>
      </c>
      <c r="AC466" t="str">
        <f>IF(L466="","",IF(AND($AO$2=1,ISNA(MATCH(L466,'10-تشرين الأول'!$L$2:$L$501,0))),"محذوف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IF(L467="","",IF($AO$1=1,IFERROR(MATCH(L467,'08-آب'!$L$2:$L$501,0),0),0))</f>
        <v/>
      </c>
      <c r="W467" t="str">
        <f t="shared" si="151"/>
        <v/>
      </c>
      <c r="X467" s="38" t="str">
        <f>IF(L467="","",IF(V467&gt;0,INDEX('08-آب'!$P$2:$P$501,V467),IF($AO$1=1,0,"")))</f>
        <v/>
      </c>
      <c r="Y467" s="38" t="str">
        <f t="shared" si="152"/>
        <v/>
      </c>
      <c r="Z467" s="39" t="str">
        <f>IF(L467="","",IF(V467&gt;0,INDEX('08-آب'!$Q$2:$Q$501,V467),IF($AO$1=1,0,"")))</f>
        <v/>
      </c>
      <c r="AA467" s="39" t="str">
        <f t="shared" si="153"/>
        <v/>
      </c>
      <c r="AB467" s="40" t="str">
        <f>IF(OR(L467="",V467=0),"",IF(AND(N(I467)&gt;0,N(INDEX('08-آب'!$I$2:$I$501,V467))&gt;0,INDEX('08-آب'!$F$2:$F$501,V467)=F467),N(I467)/N(INDEX('08-آب'!$I$2:$I$501,V467))-1,""))</f>
        <v/>
      </c>
      <c r="AC467" t="str">
        <f>IF(L467="","",IF(AND($AO$2=1,ISNA(MATCH(L467,'10-تشرين الأول'!$L$2:$L$501,0))),"محذوف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IF(L468="","",IF($AO$1=1,IFERROR(MATCH(L468,'08-آب'!$L$2:$L$501,0),0),0))</f>
        <v/>
      </c>
      <c r="W468" t="str">
        <f t="shared" si="151"/>
        <v/>
      </c>
      <c r="X468" s="38" t="str">
        <f>IF(L468="","",IF(V468&gt;0,INDEX('08-آب'!$P$2:$P$501,V468),IF($AO$1=1,0,"")))</f>
        <v/>
      </c>
      <c r="Y468" s="38" t="str">
        <f t="shared" si="152"/>
        <v/>
      </c>
      <c r="Z468" s="39" t="str">
        <f>IF(L468="","",IF(V468&gt;0,INDEX('08-آب'!$Q$2:$Q$501,V468),IF($AO$1=1,0,"")))</f>
        <v/>
      </c>
      <c r="AA468" s="39" t="str">
        <f t="shared" si="153"/>
        <v/>
      </c>
      <c r="AB468" s="40" t="str">
        <f>IF(OR(L468="",V468=0),"",IF(AND(N(I468)&gt;0,N(INDEX('08-آب'!$I$2:$I$501,V468))&gt;0,INDEX('08-آب'!$F$2:$F$501,V468)=F468),N(I468)/N(INDEX('08-آب'!$I$2:$I$501,V468))-1,""))</f>
        <v/>
      </c>
      <c r="AC468" t="str">
        <f>IF(L468="","",IF(AND($AO$2=1,ISNA(MATCH(L468,'10-تشرين الأول'!$L$2:$L$501,0))),"محذوف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IF(L469="","",IF($AO$1=1,IFERROR(MATCH(L469,'08-آب'!$L$2:$L$501,0),0),0))</f>
        <v/>
      </c>
      <c r="W469" t="str">
        <f t="shared" si="151"/>
        <v/>
      </c>
      <c r="X469" s="38" t="str">
        <f>IF(L469="","",IF(V469&gt;0,INDEX('08-آب'!$P$2:$P$501,V469),IF($AO$1=1,0,"")))</f>
        <v/>
      </c>
      <c r="Y469" s="38" t="str">
        <f t="shared" si="152"/>
        <v/>
      </c>
      <c r="Z469" s="39" t="str">
        <f>IF(L469="","",IF(V469&gt;0,INDEX('08-آب'!$Q$2:$Q$501,V469),IF($AO$1=1,0,"")))</f>
        <v/>
      </c>
      <c r="AA469" s="39" t="str">
        <f t="shared" si="153"/>
        <v/>
      </c>
      <c r="AB469" s="40" t="str">
        <f>IF(OR(L469="",V469=0),"",IF(AND(N(I469)&gt;0,N(INDEX('08-آب'!$I$2:$I$501,V469))&gt;0,INDEX('08-آب'!$F$2:$F$501,V469)=F469),N(I469)/N(INDEX('08-آب'!$I$2:$I$501,V469))-1,""))</f>
        <v/>
      </c>
      <c r="AC469" t="str">
        <f>IF(L469="","",IF(AND($AO$2=1,ISNA(MATCH(L469,'10-تشرين الأول'!$L$2:$L$501,0))),"محذوف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IF(L470="","",IF($AO$1=1,IFERROR(MATCH(L470,'08-آب'!$L$2:$L$501,0),0),0))</f>
        <v/>
      </c>
      <c r="W470" t="str">
        <f t="shared" si="151"/>
        <v/>
      </c>
      <c r="X470" s="38" t="str">
        <f>IF(L470="","",IF(V470&gt;0,INDEX('08-آب'!$P$2:$P$501,V470),IF($AO$1=1,0,"")))</f>
        <v/>
      </c>
      <c r="Y470" s="38" t="str">
        <f t="shared" si="152"/>
        <v/>
      </c>
      <c r="Z470" s="39" t="str">
        <f>IF(L470="","",IF(V470&gt;0,INDEX('08-آب'!$Q$2:$Q$501,V470),IF($AO$1=1,0,"")))</f>
        <v/>
      </c>
      <c r="AA470" s="39" t="str">
        <f t="shared" si="153"/>
        <v/>
      </c>
      <c r="AB470" s="40" t="str">
        <f>IF(OR(L470="",V470=0),"",IF(AND(N(I470)&gt;0,N(INDEX('08-آب'!$I$2:$I$501,V470))&gt;0,INDEX('08-آب'!$F$2:$F$501,V470)=F470),N(I470)/N(INDEX('08-آب'!$I$2:$I$501,V470))-1,""))</f>
        <v/>
      </c>
      <c r="AC470" t="str">
        <f>IF(L470="","",IF(AND($AO$2=1,ISNA(MATCH(L470,'10-تشرين الأول'!$L$2:$L$501,0))),"محذوف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IF(L471="","",IF($AO$1=1,IFERROR(MATCH(L471,'08-آب'!$L$2:$L$501,0),0),0))</f>
        <v/>
      </c>
      <c r="W471" t="str">
        <f t="shared" si="151"/>
        <v/>
      </c>
      <c r="X471" s="38" t="str">
        <f>IF(L471="","",IF(V471&gt;0,INDEX('08-آب'!$P$2:$P$501,V471),IF($AO$1=1,0,"")))</f>
        <v/>
      </c>
      <c r="Y471" s="38" t="str">
        <f t="shared" si="152"/>
        <v/>
      </c>
      <c r="Z471" s="39" t="str">
        <f>IF(L471="","",IF(V471&gt;0,INDEX('08-آب'!$Q$2:$Q$501,V471),IF($AO$1=1,0,"")))</f>
        <v/>
      </c>
      <c r="AA471" s="39" t="str">
        <f t="shared" si="153"/>
        <v/>
      </c>
      <c r="AB471" s="40" t="str">
        <f>IF(OR(L471="",V471=0),"",IF(AND(N(I471)&gt;0,N(INDEX('08-آب'!$I$2:$I$501,V471))&gt;0,INDEX('08-آب'!$F$2:$F$501,V471)=F471),N(I471)/N(INDEX('08-آب'!$I$2:$I$501,V471))-1,""))</f>
        <v/>
      </c>
      <c r="AC471" t="str">
        <f>IF(L471="","",IF(AND($AO$2=1,ISNA(MATCH(L471,'10-تشرين الأول'!$L$2:$L$501,0))),"محذوف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IF(L472="","",IF($AO$1=1,IFERROR(MATCH(L472,'08-آب'!$L$2:$L$501,0),0),0))</f>
        <v/>
      </c>
      <c r="W472" t="str">
        <f t="shared" si="151"/>
        <v/>
      </c>
      <c r="X472" s="38" t="str">
        <f>IF(L472="","",IF(V472&gt;0,INDEX('08-آب'!$P$2:$P$501,V472),IF($AO$1=1,0,"")))</f>
        <v/>
      </c>
      <c r="Y472" s="38" t="str">
        <f t="shared" si="152"/>
        <v/>
      </c>
      <c r="Z472" s="39" t="str">
        <f>IF(L472="","",IF(V472&gt;0,INDEX('08-آب'!$Q$2:$Q$501,V472),IF($AO$1=1,0,"")))</f>
        <v/>
      </c>
      <c r="AA472" s="39" t="str">
        <f t="shared" si="153"/>
        <v/>
      </c>
      <c r="AB472" s="40" t="str">
        <f>IF(OR(L472="",V472=0),"",IF(AND(N(I472)&gt;0,N(INDEX('08-آب'!$I$2:$I$501,V472))&gt;0,INDEX('08-آب'!$F$2:$F$501,V472)=F472),N(I472)/N(INDEX('08-آب'!$I$2:$I$501,V472))-1,""))</f>
        <v/>
      </c>
      <c r="AC472" t="str">
        <f>IF(L472="","",IF(AND($AO$2=1,ISNA(MATCH(L472,'10-تشرين الأول'!$L$2:$L$501,0))),"محذوف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IF(L473="","",IF($AO$1=1,IFERROR(MATCH(L473,'08-آب'!$L$2:$L$501,0),0),0))</f>
        <v/>
      </c>
      <c r="W473" t="str">
        <f t="shared" si="151"/>
        <v/>
      </c>
      <c r="X473" s="38" t="str">
        <f>IF(L473="","",IF(V473&gt;0,INDEX('08-آب'!$P$2:$P$501,V473),IF($AO$1=1,0,"")))</f>
        <v/>
      </c>
      <c r="Y473" s="38" t="str">
        <f t="shared" si="152"/>
        <v/>
      </c>
      <c r="Z473" s="39" t="str">
        <f>IF(L473="","",IF(V473&gt;0,INDEX('08-آب'!$Q$2:$Q$501,V473),IF($AO$1=1,0,"")))</f>
        <v/>
      </c>
      <c r="AA473" s="39" t="str">
        <f t="shared" si="153"/>
        <v/>
      </c>
      <c r="AB473" s="40" t="str">
        <f>IF(OR(L473="",V473=0),"",IF(AND(N(I473)&gt;0,N(INDEX('08-آب'!$I$2:$I$501,V473))&gt;0,INDEX('08-آب'!$F$2:$F$501,V473)=F473),N(I473)/N(INDEX('08-آب'!$I$2:$I$501,V473))-1,""))</f>
        <v/>
      </c>
      <c r="AC473" t="str">
        <f>IF(L473="","",IF(AND($AO$2=1,ISNA(MATCH(L473,'10-تشرين الأول'!$L$2:$L$501,0))),"محذوف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IF(L474="","",IF($AO$1=1,IFERROR(MATCH(L474,'08-آب'!$L$2:$L$501,0),0),0))</f>
        <v/>
      </c>
      <c r="W474" t="str">
        <f t="shared" si="151"/>
        <v/>
      </c>
      <c r="X474" s="38" t="str">
        <f>IF(L474="","",IF(V474&gt;0,INDEX('08-آب'!$P$2:$P$501,V474),IF($AO$1=1,0,"")))</f>
        <v/>
      </c>
      <c r="Y474" s="38" t="str">
        <f t="shared" si="152"/>
        <v/>
      </c>
      <c r="Z474" s="39" t="str">
        <f>IF(L474="","",IF(V474&gt;0,INDEX('08-آب'!$Q$2:$Q$501,V474),IF($AO$1=1,0,"")))</f>
        <v/>
      </c>
      <c r="AA474" s="39" t="str">
        <f t="shared" si="153"/>
        <v/>
      </c>
      <c r="AB474" s="40" t="str">
        <f>IF(OR(L474="",V474=0),"",IF(AND(N(I474)&gt;0,N(INDEX('08-آب'!$I$2:$I$501,V474))&gt;0,INDEX('08-آب'!$F$2:$F$501,V474)=F474),N(I474)/N(INDEX('08-آب'!$I$2:$I$501,V474))-1,""))</f>
        <v/>
      </c>
      <c r="AC474" t="str">
        <f>IF(L474="","",IF(AND($AO$2=1,ISNA(MATCH(L474,'10-تشرين الأول'!$L$2:$L$501,0))),"محذوف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IF(L475="","",IF($AO$1=1,IFERROR(MATCH(L475,'08-آب'!$L$2:$L$501,0),0),0))</f>
        <v/>
      </c>
      <c r="W475" t="str">
        <f t="shared" si="151"/>
        <v/>
      </c>
      <c r="X475" s="38" t="str">
        <f>IF(L475="","",IF(V475&gt;0,INDEX('08-آب'!$P$2:$P$501,V475),IF($AO$1=1,0,"")))</f>
        <v/>
      </c>
      <c r="Y475" s="38" t="str">
        <f t="shared" si="152"/>
        <v/>
      </c>
      <c r="Z475" s="39" t="str">
        <f>IF(L475="","",IF(V475&gt;0,INDEX('08-آب'!$Q$2:$Q$501,V475),IF($AO$1=1,0,"")))</f>
        <v/>
      </c>
      <c r="AA475" s="39" t="str">
        <f t="shared" si="153"/>
        <v/>
      </c>
      <c r="AB475" s="40" t="str">
        <f>IF(OR(L475="",V475=0),"",IF(AND(N(I475)&gt;0,N(INDEX('08-آب'!$I$2:$I$501,V475))&gt;0,INDEX('08-آب'!$F$2:$F$501,V475)=F475),N(I475)/N(INDEX('08-آب'!$I$2:$I$501,V475))-1,""))</f>
        <v/>
      </c>
      <c r="AC475" t="str">
        <f>IF(L475="","",IF(AND($AO$2=1,ISNA(MATCH(L475,'10-تشرين الأول'!$L$2:$L$501,0))),"محذوف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IF(L476="","",IF($AO$1=1,IFERROR(MATCH(L476,'08-آب'!$L$2:$L$501,0),0),0))</f>
        <v/>
      </c>
      <c r="W476" t="str">
        <f t="shared" si="151"/>
        <v/>
      </c>
      <c r="X476" s="38" t="str">
        <f>IF(L476="","",IF(V476&gt;0,INDEX('08-آب'!$P$2:$P$501,V476),IF($AO$1=1,0,"")))</f>
        <v/>
      </c>
      <c r="Y476" s="38" t="str">
        <f t="shared" si="152"/>
        <v/>
      </c>
      <c r="Z476" s="39" t="str">
        <f>IF(L476="","",IF(V476&gt;0,INDEX('08-آب'!$Q$2:$Q$501,V476),IF($AO$1=1,0,"")))</f>
        <v/>
      </c>
      <c r="AA476" s="39" t="str">
        <f t="shared" si="153"/>
        <v/>
      </c>
      <c r="AB476" s="40" t="str">
        <f>IF(OR(L476="",V476=0),"",IF(AND(N(I476)&gt;0,N(INDEX('08-آب'!$I$2:$I$501,V476))&gt;0,INDEX('08-آب'!$F$2:$F$501,V476)=F476),N(I476)/N(INDEX('08-آب'!$I$2:$I$501,V476))-1,""))</f>
        <v/>
      </c>
      <c r="AC476" t="str">
        <f>IF(L476="","",IF(AND($AO$2=1,ISNA(MATCH(L476,'10-تشرين الأول'!$L$2:$L$501,0))),"محذوف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IF(L477="","",IF($AO$1=1,IFERROR(MATCH(L477,'08-آب'!$L$2:$L$501,0),0),0))</f>
        <v/>
      </c>
      <c r="W477" t="str">
        <f t="shared" si="151"/>
        <v/>
      </c>
      <c r="X477" s="38" t="str">
        <f>IF(L477="","",IF(V477&gt;0,INDEX('08-آب'!$P$2:$P$501,V477),IF($AO$1=1,0,"")))</f>
        <v/>
      </c>
      <c r="Y477" s="38" t="str">
        <f t="shared" si="152"/>
        <v/>
      </c>
      <c r="Z477" s="39" t="str">
        <f>IF(L477="","",IF(V477&gt;0,INDEX('08-آب'!$Q$2:$Q$501,V477),IF($AO$1=1,0,"")))</f>
        <v/>
      </c>
      <c r="AA477" s="39" t="str">
        <f t="shared" si="153"/>
        <v/>
      </c>
      <c r="AB477" s="40" t="str">
        <f>IF(OR(L477="",V477=0),"",IF(AND(N(I477)&gt;0,N(INDEX('08-آب'!$I$2:$I$501,V477))&gt;0,INDEX('08-آب'!$F$2:$F$501,V477)=F477),N(I477)/N(INDEX('08-آب'!$I$2:$I$501,V477))-1,""))</f>
        <v/>
      </c>
      <c r="AC477" t="str">
        <f>IF(L477="","",IF(AND($AO$2=1,ISNA(MATCH(L477,'10-تشرين الأول'!$L$2:$L$501,0))),"محذوف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IF(L478="","",IF($AO$1=1,IFERROR(MATCH(L478,'08-آب'!$L$2:$L$501,0),0),0))</f>
        <v/>
      </c>
      <c r="W478" t="str">
        <f t="shared" si="151"/>
        <v/>
      </c>
      <c r="X478" s="38" t="str">
        <f>IF(L478="","",IF(V478&gt;0,INDEX('08-آب'!$P$2:$P$501,V478),IF($AO$1=1,0,"")))</f>
        <v/>
      </c>
      <c r="Y478" s="38" t="str">
        <f t="shared" si="152"/>
        <v/>
      </c>
      <c r="Z478" s="39" t="str">
        <f>IF(L478="","",IF(V478&gt;0,INDEX('08-آب'!$Q$2:$Q$501,V478),IF($AO$1=1,0,"")))</f>
        <v/>
      </c>
      <c r="AA478" s="39" t="str">
        <f t="shared" si="153"/>
        <v/>
      </c>
      <c r="AB478" s="40" t="str">
        <f>IF(OR(L478="",V478=0),"",IF(AND(N(I478)&gt;0,N(INDEX('08-آب'!$I$2:$I$501,V478))&gt;0,INDEX('08-آب'!$F$2:$F$501,V478)=F478),N(I478)/N(INDEX('08-آب'!$I$2:$I$501,V478))-1,""))</f>
        <v/>
      </c>
      <c r="AC478" t="str">
        <f>IF(L478="","",IF(AND($AO$2=1,ISNA(MATCH(L478,'10-تشرين الأول'!$L$2:$L$501,0))),"محذوف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IF(L479="","",IF($AO$1=1,IFERROR(MATCH(L479,'08-آب'!$L$2:$L$501,0),0),0))</f>
        <v/>
      </c>
      <c r="W479" t="str">
        <f t="shared" si="151"/>
        <v/>
      </c>
      <c r="X479" s="38" t="str">
        <f>IF(L479="","",IF(V479&gt;0,INDEX('08-آب'!$P$2:$P$501,V479),IF($AO$1=1,0,"")))</f>
        <v/>
      </c>
      <c r="Y479" s="38" t="str">
        <f t="shared" si="152"/>
        <v/>
      </c>
      <c r="Z479" s="39" t="str">
        <f>IF(L479="","",IF(V479&gt;0,INDEX('08-آب'!$Q$2:$Q$501,V479),IF($AO$1=1,0,"")))</f>
        <v/>
      </c>
      <c r="AA479" s="39" t="str">
        <f t="shared" si="153"/>
        <v/>
      </c>
      <c r="AB479" s="40" t="str">
        <f>IF(OR(L479="",V479=0),"",IF(AND(N(I479)&gt;0,N(INDEX('08-آب'!$I$2:$I$501,V479))&gt;0,INDEX('08-آب'!$F$2:$F$501,V479)=F479),N(I479)/N(INDEX('08-آب'!$I$2:$I$501,V479))-1,""))</f>
        <v/>
      </c>
      <c r="AC479" t="str">
        <f>IF(L479="","",IF(AND($AO$2=1,ISNA(MATCH(L479,'10-تشرين الأول'!$L$2:$L$501,0))),"محذوف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IF(L480="","",IF($AO$1=1,IFERROR(MATCH(L480,'08-آب'!$L$2:$L$501,0),0),0))</f>
        <v/>
      </c>
      <c r="W480" t="str">
        <f t="shared" si="151"/>
        <v/>
      </c>
      <c r="X480" s="38" t="str">
        <f>IF(L480="","",IF(V480&gt;0,INDEX('08-آب'!$P$2:$P$501,V480),IF($AO$1=1,0,"")))</f>
        <v/>
      </c>
      <c r="Y480" s="38" t="str">
        <f t="shared" si="152"/>
        <v/>
      </c>
      <c r="Z480" s="39" t="str">
        <f>IF(L480="","",IF(V480&gt;0,INDEX('08-آب'!$Q$2:$Q$501,V480),IF($AO$1=1,0,"")))</f>
        <v/>
      </c>
      <c r="AA480" s="39" t="str">
        <f t="shared" si="153"/>
        <v/>
      </c>
      <c r="AB480" s="40" t="str">
        <f>IF(OR(L480="",V480=0),"",IF(AND(N(I480)&gt;0,N(INDEX('08-آب'!$I$2:$I$501,V480))&gt;0,INDEX('08-آب'!$F$2:$F$501,V480)=F480),N(I480)/N(INDEX('08-آب'!$I$2:$I$501,V480))-1,""))</f>
        <v/>
      </c>
      <c r="AC480" t="str">
        <f>IF(L480="","",IF(AND($AO$2=1,ISNA(MATCH(L480,'10-تشرين الأول'!$L$2:$L$501,0))),"محذوف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IF(L481="","",IF($AO$1=1,IFERROR(MATCH(L481,'08-آب'!$L$2:$L$501,0),0),0))</f>
        <v/>
      </c>
      <c r="W481" t="str">
        <f t="shared" si="151"/>
        <v/>
      </c>
      <c r="X481" s="38" t="str">
        <f>IF(L481="","",IF(V481&gt;0,INDEX('08-آب'!$P$2:$P$501,V481),IF($AO$1=1,0,"")))</f>
        <v/>
      </c>
      <c r="Y481" s="38" t="str">
        <f t="shared" si="152"/>
        <v/>
      </c>
      <c r="Z481" s="39" t="str">
        <f>IF(L481="","",IF(V481&gt;0,INDEX('08-آب'!$Q$2:$Q$501,V481),IF($AO$1=1,0,"")))</f>
        <v/>
      </c>
      <c r="AA481" s="39" t="str">
        <f t="shared" si="153"/>
        <v/>
      </c>
      <c r="AB481" s="40" t="str">
        <f>IF(OR(L481="",V481=0),"",IF(AND(N(I481)&gt;0,N(INDEX('08-آب'!$I$2:$I$501,V481))&gt;0,INDEX('08-آب'!$F$2:$F$501,V481)=F481),N(I481)/N(INDEX('08-آب'!$I$2:$I$501,V481))-1,""))</f>
        <v/>
      </c>
      <c r="AC481" t="str">
        <f>IF(L481="","",IF(AND($AO$2=1,ISNA(MATCH(L481,'10-تشرين الأول'!$L$2:$L$501,0))),"محذوف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IF(L482="","",IF($AO$1=1,IFERROR(MATCH(L482,'08-آب'!$L$2:$L$501,0),0),0))</f>
        <v/>
      </c>
      <c r="W482" t="str">
        <f t="shared" si="151"/>
        <v/>
      </c>
      <c r="X482" s="38" t="str">
        <f>IF(L482="","",IF(V482&gt;0,INDEX('08-آب'!$P$2:$P$501,V482),IF($AO$1=1,0,"")))</f>
        <v/>
      </c>
      <c r="Y482" s="38" t="str">
        <f t="shared" si="152"/>
        <v/>
      </c>
      <c r="Z482" s="39" t="str">
        <f>IF(L482="","",IF(V482&gt;0,INDEX('08-آب'!$Q$2:$Q$501,V482),IF($AO$1=1,0,"")))</f>
        <v/>
      </c>
      <c r="AA482" s="39" t="str">
        <f t="shared" si="153"/>
        <v/>
      </c>
      <c r="AB482" s="40" t="str">
        <f>IF(OR(L482="",V482=0),"",IF(AND(N(I482)&gt;0,N(INDEX('08-آب'!$I$2:$I$501,V482))&gt;0,INDEX('08-آب'!$F$2:$F$501,V482)=F482),N(I482)/N(INDEX('08-آب'!$I$2:$I$501,V482))-1,""))</f>
        <v/>
      </c>
      <c r="AC482" t="str">
        <f>IF(L482="","",IF(AND($AO$2=1,ISNA(MATCH(L482,'10-تشرين الأول'!$L$2:$L$501,0))),"محذوف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IF(L483="","",IF($AO$1=1,IFERROR(MATCH(L483,'08-آب'!$L$2:$L$501,0),0),0))</f>
        <v/>
      </c>
      <c r="W483" t="str">
        <f t="shared" si="151"/>
        <v/>
      </c>
      <c r="X483" s="38" t="str">
        <f>IF(L483="","",IF(V483&gt;0,INDEX('08-آب'!$P$2:$P$501,V483),IF($AO$1=1,0,"")))</f>
        <v/>
      </c>
      <c r="Y483" s="38" t="str">
        <f t="shared" si="152"/>
        <v/>
      </c>
      <c r="Z483" s="39" t="str">
        <f>IF(L483="","",IF(V483&gt;0,INDEX('08-آب'!$Q$2:$Q$501,V483),IF($AO$1=1,0,"")))</f>
        <v/>
      </c>
      <c r="AA483" s="39" t="str">
        <f t="shared" si="153"/>
        <v/>
      </c>
      <c r="AB483" s="40" t="str">
        <f>IF(OR(L483="",V483=0),"",IF(AND(N(I483)&gt;0,N(INDEX('08-آب'!$I$2:$I$501,V483))&gt;0,INDEX('08-آب'!$F$2:$F$501,V483)=F483),N(I483)/N(INDEX('08-آب'!$I$2:$I$501,V483))-1,""))</f>
        <v/>
      </c>
      <c r="AC483" t="str">
        <f>IF(L483="","",IF(AND($AO$2=1,ISNA(MATCH(L483,'10-تشرين الأول'!$L$2:$L$501,0))),"محذوف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IF(L484="","",IF($AO$1=1,IFERROR(MATCH(L484,'08-آب'!$L$2:$L$501,0),0),0))</f>
        <v/>
      </c>
      <c r="W484" t="str">
        <f t="shared" si="151"/>
        <v/>
      </c>
      <c r="X484" s="38" t="str">
        <f>IF(L484="","",IF(V484&gt;0,INDEX('08-آب'!$P$2:$P$501,V484),IF($AO$1=1,0,"")))</f>
        <v/>
      </c>
      <c r="Y484" s="38" t="str">
        <f t="shared" si="152"/>
        <v/>
      </c>
      <c r="Z484" s="39" t="str">
        <f>IF(L484="","",IF(V484&gt;0,INDEX('08-آب'!$Q$2:$Q$501,V484),IF($AO$1=1,0,"")))</f>
        <v/>
      </c>
      <c r="AA484" s="39" t="str">
        <f t="shared" si="153"/>
        <v/>
      </c>
      <c r="AB484" s="40" t="str">
        <f>IF(OR(L484="",V484=0),"",IF(AND(N(I484)&gt;0,N(INDEX('08-آب'!$I$2:$I$501,V484))&gt;0,INDEX('08-آب'!$F$2:$F$501,V484)=F484),N(I484)/N(INDEX('08-آب'!$I$2:$I$501,V484))-1,""))</f>
        <v/>
      </c>
      <c r="AC484" t="str">
        <f>IF(L484="","",IF(AND($AO$2=1,ISNA(MATCH(L484,'10-تشرين الأول'!$L$2:$L$501,0))),"محذوف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IF(L485="","",IF($AO$1=1,IFERROR(MATCH(L485,'08-آب'!$L$2:$L$501,0),0),0))</f>
        <v/>
      </c>
      <c r="W485" t="str">
        <f t="shared" si="151"/>
        <v/>
      </c>
      <c r="X485" s="38" t="str">
        <f>IF(L485="","",IF(V485&gt;0,INDEX('08-آب'!$P$2:$P$501,V485),IF($AO$1=1,0,"")))</f>
        <v/>
      </c>
      <c r="Y485" s="38" t="str">
        <f t="shared" si="152"/>
        <v/>
      </c>
      <c r="Z485" s="39" t="str">
        <f>IF(L485="","",IF(V485&gt;0,INDEX('08-آب'!$Q$2:$Q$501,V485),IF($AO$1=1,0,"")))</f>
        <v/>
      </c>
      <c r="AA485" s="39" t="str">
        <f t="shared" si="153"/>
        <v/>
      </c>
      <c r="AB485" s="40" t="str">
        <f>IF(OR(L485="",V485=0),"",IF(AND(N(I485)&gt;0,N(INDEX('08-آب'!$I$2:$I$501,V485))&gt;0,INDEX('08-آب'!$F$2:$F$501,V485)=F485),N(I485)/N(INDEX('08-آب'!$I$2:$I$501,V485))-1,""))</f>
        <v/>
      </c>
      <c r="AC485" t="str">
        <f>IF(L485="","",IF(AND($AO$2=1,ISNA(MATCH(L485,'10-تشرين الأول'!$L$2:$L$501,0))),"محذوف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IF(L486="","",IF($AO$1=1,IFERROR(MATCH(L486,'08-آب'!$L$2:$L$501,0),0),0))</f>
        <v/>
      </c>
      <c r="W486" t="str">
        <f t="shared" si="151"/>
        <v/>
      </c>
      <c r="X486" s="38" t="str">
        <f>IF(L486="","",IF(V486&gt;0,INDEX('08-آب'!$P$2:$P$501,V486),IF($AO$1=1,0,"")))</f>
        <v/>
      </c>
      <c r="Y486" s="38" t="str">
        <f t="shared" si="152"/>
        <v/>
      </c>
      <c r="Z486" s="39" t="str">
        <f>IF(L486="","",IF(V486&gt;0,INDEX('08-آب'!$Q$2:$Q$501,V486),IF($AO$1=1,0,"")))</f>
        <v/>
      </c>
      <c r="AA486" s="39" t="str">
        <f t="shared" si="153"/>
        <v/>
      </c>
      <c r="AB486" s="40" t="str">
        <f>IF(OR(L486="",V486=0),"",IF(AND(N(I486)&gt;0,N(INDEX('08-آب'!$I$2:$I$501,V486))&gt;0,INDEX('08-آب'!$F$2:$F$501,V486)=F486),N(I486)/N(INDEX('08-آب'!$I$2:$I$501,V486))-1,""))</f>
        <v/>
      </c>
      <c r="AC486" t="str">
        <f>IF(L486="","",IF(AND($AO$2=1,ISNA(MATCH(L486,'10-تشرين الأول'!$L$2:$L$501,0))),"محذوف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IF(L487="","",IF($AO$1=1,IFERROR(MATCH(L487,'08-آب'!$L$2:$L$501,0),0),0))</f>
        <v/>
      </c>
      <c r="W487" t="str">
        <f t="shared" si="151"/>
        <v/>
      </c>
      <c r="X487" s="38" t="str">
        <f>IF(L487="","",IF(V487&gt;0,INDEX('08-آب'!$P$2:$P$501,V487),IF($AO$1=1,0,"")))</f>
        <v/>
      </c>
      <c r="Y487" s="38" t="str">
        <f t="shared" si="152"/>
        <v/>
      </c>
      <c r="Z487" s="39" t="str">
        <f>IF(L487="","",IF(V487&gt;0,INDEX('08-آب'!$Q$2:$Q$501,V487),IF($AO$1=1,0,"")))</f>
        <v/>
      </c>
      <c r="AA487" s="39" t="str">
        <f t="shared" si="153"/>
        <v/>
      </c>
      <c r="AB487" s="40" t="str">
        <f>IF(OR(L487="",V487=0),"",IF(AND(N(I487)&gt;0,N(INDEX('08-آب'!$I$2:$I$501,V487))&gt;0,INDEX('08-آب'!$F$2:$F$501,V487)=F487),N(I487)/N(INDEX('08-آب'!$I$2:$I$501,V487))-1,""))</f>
        <v/>
      </c>
      <c r="AC487" t="str">
        <f>IF(L487="","",IF(AND($AO$2=1,ISNA(MATCH(L487,'10-تشرين الأول'!$L$2:$L$501,0))),"محذوف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IF(L488="","",IF($AO$1=1,IFERROR(MATCH(L488,'08-آب'!$L$2:$L$501,0),0),0))</f>
        <v/>
      </c>
      <c r="W488" t="str">
        <f t="shared" si="151"/>
        <v/>
      </c>
      <c r="X488" s="38" t="str">
        <f>IF(L488="","",IF(V488&gt;0,INDEX('08-آب'!$P$2:$P$501,V488),IF($AO$1=1,0,"")))</f>
        <v/>
      </c>
      <c r="Y488" s="38" t="str">
        <f t="shared" si="152"/>
        <v/>
      </c>
      <c r="Z488" s="39" t="str">
        <f>IF(L488="","",IF(V488&gt;0,INDEX('08-آب'!$Q$2:$Q$501,V488),IF($AO$1=1,0,"")))</f>
        <v/>
      </c>
      <c r="AA488" s="39" t="str">
        <f t="shared" si="153"/>
        <v/>
      </c>
      <c r="AB488" s="40" t="str">
        <f>IF(OR(L488="",V488=0),"",IF(AND(N(I488)&gt;0,N(INDEX('08-آب'!$I$2:$I$501,V488))&gt;0,INDEX('08-آب'!$F$2:$F$501,V488)=F488),N(I488)/N(INDEX('08-آب'!$I$2:$I$501,V488))-1,""))</f>
        <v/>
      </c>
      <c r="AC488" t="str">
        <f>IF(L488="","",IF(AND($AO$2=1,ISNA(MATCH(L488,'10-تشرين الأول'!$L$2:$L$501,0))),"محذوف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IF(L489="","",IF($AO$1=1,IFERROR(MATCH(L489,'08-آب'!$L$2:$L$501,0),0),0))</f>
        <v/>
      </c>
      <c r="W489" t="str">
        <f t="shared" si="151"/>
        <v/>
      </c>
      <c r="X489" s="38" t="str">
        <f>IF(L489="","",IF(V489&gt;0,INDEX('08-آب'!$P$2:$P$501,V489),IF($AO$1=1,0,"")))</f>
        <v/>
      </c>
      <c r="Y489" s="38" t="str">
        <f t="shared" si="152"/>
        <v/>
      </c>
      <c r="Z489" s="39" t="str">
        <f>IF(L489="","",IF(V489&gt;0,INDEX('08-آب'!$Q$2:$Q$501,V489),IF($AO$1=1,0,"")))</f>
        <v/>
      </c>
      <c r="AA489" s="39" t="str">
        <f t="shared" si="153"/>
        <v/>
      </c>
      <c r="AB489" s="40" t="str">
        <f>IF(OR(L489="",V489=0),"",IF(AND(N(I489)&gt;0,N(INDEX('08-آب'!$I$2:$I$501,V489))&gt;0,INDEX('08-آب'!$F$2:$F$501,V489)=F489),N(I489)/N(INDEX('08-آب'!$I$2:$I$501,V489))-1,""))</f>
        <v/>
      </c>
      <c r="AC489" t="str">
        <f>IF(L489="","",IF(AND($AO$2=1,ISNA(MATCH(L489,'10-تشرين الأول'!$L$2:$L$501,0))),"محذوف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IF(L490="","",IF($AO$1=1,IFERROR(MATCH(L490,'08-آب'!$L$2:$L$501,0),0),0))</f>
        <v/>
      </c>
      <c r="W490" t="str">
        <f t="shared" si="151"/>
        <v/>
      </c>
      <c r="X490" s="38" t="str">
        <f>IF(L490="","",IF(V490&gt;0,INDEX('08-آب'!$P$2:$P$501,V490),IF($AO$1=1,0,"")))</f>
        <v/>
      </c>
      <c r="Y490" s="38" t="str">
        <f t="shared" si="152"/>
        <v/>
      </c>
      <c r="Z490" s="39" t="str">
        <f>IF(L490="","",IF(V490&gt;0,INDEX('08-آب'!$Q$2:$Q$501,V490),IF($AO$1=1,0,"")))</f>
        <v/>
      </c>
      <c r="AA490" s="39" t="str">
        <f t="shared" si="153"/>
        <v/>
      </c>
      <c r="AB490" s="40" t="str">
        <f>IF(OR(L490="",V490=0),"",IF(AND(N(I490)&gt;0,N(INDEX('08-آب'!$I$2:$I$501,V490))&gt;0,INDEX('08-آب'!$F$2:$F$501,V490)=F490),N(I490)/N(INDEX('08-آب'!$I$2:$I$501,V490))-1,""))</f>
        <v/>
      </c>
      <c r="AC490" t="str">
        <f>IF(L490="","",IF(AND($AO$2=1,ISNA(MATCH(L490,'10-تشرين الأول'!$L$2:$L$501,0))),"محذوف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IF(L491="","",IF($AO$1=1,IFERROR(MATCH(L491,'08-آب'!$L$2:$L$501,0),0),0))</f>
        <v/>
      </c>
      <c r="W491" t="str">
        <f t="shared" si="151"/>
        <v/>
      </c>
      <c r="X491" s="38" t="str">
        <f>IF(L491="","",IF(V491&gt;0,INDEX('08-آب'!$P$2:$P$501,V491),IF($AO$1=1,0,"")))</f>
        <v/>
      </c>
      <c r="Y491" s="38" t="str">
        <f t="shared" si="152"/>
        <v/>
      </c>
      <c r="Z491" s="39" t="str">
        <f>IF(L491="","",IF(V491&gt;0,INDEX('08-آب'!$Q$2:$Q$501,V491),IF($AO$1=1,0,"")))</f>
        <v/>
      </c>
      <c r="AA491" s="39" t="str">
        <f t="shared" si="153"/>
        <v/>
      </c>
      <c r="AB491" s="40" t="str">
        <f>IF(OR(L491="",V491=0),"",IF(AND(N(I491)&gt;0,N(INDEX('08-آب'!$I$2:$I$501,V491))&gt;0,INDEX('08-آب'!$F$2:$F$501,V491)=F491),N(I491)/N(INDEX('08-آب'!$I$2:$I$501,V491))-1,""))</f>
        <v/>
      </c>
      <c r="AC491" t="str">
        <f>IF(L491="","",IF(AND($AO$2=1,ISNA(MATCH(L491,'10-تشرين الأول'!$L$2:$L$501,0))),"محذوف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IF(L492="","",IF($AO$1=1,IFERROR(MATCH(L492,'08-آب'!$L$2:$L$501,0),0),0))</f>
        <v/>
      </c>
      <c r="W492" t="str">
        <f t="shared" si="151"/>
        <v/>
      </c>
      <c r="X492" s="38" t="str">
        <f>IF(L492="","",IF(V492&gt;0,INDEX('08-آب'!$P$2:$P$501,V492),IF($AO$1=1,0,"")))</f>
        <v/>
      </c>
      <c r="Y492" s="38" t="str">
        <f t="shared" si="152"/>
        <v/>
      </c>
      <c r="Z492" s="39" t="str">
        <f>IF(L492="","",IF(V492&gt;0,INDEX('08-آب'!$Q$2:$Q$501,V492),IF($AO$1=1,0,"")))</f>
        <v/>
      </c>
      <c r="AA492" s="39" t="str">
        <f t="shared" si="153"/>
        <v/>
      </c>
      <c r="AB492" s="40" t="str">
        <f>IF(OR(L492="",V492=0),"",IF(AND(N(I492)&gt;0,N(INDEX('08-آب'!$I$2:$I$501,V492))&gt;0,INDEX('08-آب'!$F$2:$F$501,V492)=F492),N(I492)/N(INDEX('08-آب'!$I$2:$I$501,V492))-1,""))</f>
        <v/>
      </c>
      <c r="AC492" t="str">
        <f>IF(L492="","",IF(AND($AO$2=1,ISNA(MATCH(L492,'10-تشرين الأول'!$L$2:$L$501,0))),"محذوف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IF(L493="","",IF($AO$1=1,IFERROR(MATCH(L493,'08-آب'!$L$2:$L$501,0),0),0))</f>
        <v/>
      </c>
      <c r="W493" t="str">
        <f t="shared" si="151"/>
        <v/>
      </c>
      <c r="X493" s="38" t="str">
        <f>IF(L493="","",IF(V493&gt;0,INDEX('08-آب'!$P$2:$P$501,V493),IF($AO$1=1,0,"")))</f>
        <v/>
      </c>
      <c r="Y493" s="38" t="str">
        <f t="shared" si="152"/>
        <v/>
      </c>
      <c r="Z493" s="39" t="str">
        <f>IF(L493="","",IF(V493&gt;0,INDEX('08-آب'!$Q$2:$Q$501,V493),IF($AO$1=1,0,"")))</f>
        <v/>
      </c>
      <c r="AA493" s="39" t="str">
        <f t="shared" si="153"/>
        <v/>
      </c>
      <c r="AB493" s="40" t="str">
        <f>IF(OR(L493="",V493=0),"",IF(AND(N(I493)&gt;0,N(INDEX('08-آب'!$I$2:$I$501,V493))&gt;0,INDEX('08-آب'!$F$2:$F$501,V493)=F493),N(I493)/N(INDEX('08-آب'!$I$2:$I$501,V493))-1,""))</f>
        <v/>
      </c>
      <c r="AC493" t="str">
        <f>IF(L493="","",IF(AND($AO$2=1,ISNA(MATCH(L493,'10-تشرين الأول'!$L$2:$L$501,0))),"محذوف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IF(L494="","",IF($AO$1=1,IFERROR(MATCH(L494,'08-آب'!$L$2:$L$501,0),0),0))</f>
        <v/>
      </c>
      <c r="W494" t="str">
        <f t="shared" si="151"/>
        <v/>
      </c>
      <c r="X494" s="38" t="str">
        <f>IF(L494="","",IF(V494&gt;0,INDEX('08-آب'!$P$2:$P$501,V494),IF($AO$1=1,0,"")))</f>
        <v/>
      </c>
      <c r="Y494" s="38" t="str">
        <f t="shared" si="152"/>
        <v/>
      </c>
      <c r="Z494" s="39" t="str">
        <f>IF(L494="","",IF(V494&gt;0,INDEX('08-آب'!$Q$2:$Q$501,V494),IF($AO$1=1,0,"")))</f>
        <v/>
      </c>
      <c r="AA494" s="39" t="str">
        <f t="shared" si="153"/>
        <v/>
      </c>
      <c r="AB494" s="40" t="str">
        <f>IF(OR(L494="",V494=0),"",IF(AND(N(I494)&gt;0,N(INDEX('08-آب'!$I$2:$I$501,V494))&gt;0,INDEX('08-آب'!$F$2:$F$501,V494)=F494),N(I494)/N(INDEX('08-آب'!$I$2:$I$501,V494))-1,""))</f>
        <v/>
      </c>
      <c r="AC494" t="str">
        <f>IF(L494="","",IF(AND($AO$2=1,ISNA(MATCH(L494,'10-تشرين الأول'!$L$2:$L$501,0))),"محذوف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IF(L495="","",IF($AO$1=1,IFERROR(MATCH(L495,'08-آب'!$L$2:$L$501,0),0),0))</f>
        <v/>
      </c>
      <c r="W495" t="str">
        <f t="shared" si="151"/>
        <v/>
      </c>
      <c r="X495" s="38" t="str">
        <f>IF(L495="","",IF(V495&gt;0,INDEX('08-آب'!$P$2:$P$501,V495),IF($AO$1=1,0,"")))</f>
        <v/>
      </c>
      <c r="Y495" s="38" t="str">
        <f t="shared" si="152"/>
        <v/>
      </c>
      <c r="Z495" s="39" t="str">
        <f>IF(L495="","",IF(V495&gt;0,INDEX('08-آب'!$Q$2:$Q$501,V495),IF($AO$1=1,0,"")))</f>
        <v/>
      </c>
      <c r="AA495" s="39" t="str">
        <f t="shared" si="153"/>
        <v/>
      </c>
      <c r="AB495" s="40" t="str">
        <f>IF(OR(L495="",V495=0),"",IF(AND(N(I495)&gt;0,N(INDEX('08-آب'!$I$2:$I$501,V495))&gt;0,INDEX('08-آب'!$F$2:$F$501,V495)=F495),N(I495)/N(INDEX('08-آب'!$I$2:$I$501,V495))-1,""))</f>
        <v/>
      </c>
      <c r="AC495" t="str">
        <f>IF(L495="","",IF(AND($AO$2=1,ISNA(MATCH(L495,'10-تشرين الأول'!$L$2:$L$501,0))),"محذوف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IF(L496="","",IF($AO$1=1,IFERROR(MATCH(L496,'08-آب'!$L$2:$L$501,0),0),0))</f>
        <v/>
      </c>
      <c r="W496" t="str">
        <f t="shared" si="151"/>
        <v/>
      </c>
      <c r="X496" s="38" t="str">
        <f>IF(L496="","",IF(V496&gt;0,INDEX('08-آب'!$P$2:$P$501,V496),IF($AO$1=1,0,"")))</f>
        <v/>
      </c>
      <c r="Y496" s="38" t="str">
        <f t="shared" si="152"/>
        <v/>
      </c>
      <c r="Z496" s="39" t="str">
        <f>IF(L496="","",IF(V496&gt;0,INDEX('08-آب'!$Q$2:$Q$501,V496),IF($AO$1=1,0,"")))</f>
        <v/>
      </c>
      <c r="AA496" s="39" t="str">
        <f t="shared" si="153"/>
        <v/>
      </c>
      <c r="AB496" s="40" t="str">
        <f>IF(OR(L496="",V496=0),"",IF(AND(N(I496)&gt;0,N(INDEX('08-آب'!$I$2:$I$501,V496))&gt;0,INDEX('08-آب'!$F$2:$F$501,V496)=F496),N(I496)/N(INDEX('08-آب'!$I$2:$I$501,V496))-1,""))</f>
        <v/>
      </c>
      <c r="AC496" t="str">
        <f>IF(L496="","",IF(AND($AO$2=1,ISNA(MATCH(L496,'10-تشرين الأول'!$L$2:$L$501,0))),"محذوف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IF(L497="","",IF($AO$1=1,IFERROR(MATCH(L497,'08-آب'!$L$2:$L$501,0),0),0))</f>
        <v/>
      </c>
      <c r="W497" t="str">
        <f t="shared" si="151"/>
        <v/>
      </c>
      <c r="X497" s="38" t="str">
        <f>IF(L497="","",IF(V497&gt;0,INDEX('08-آب'!$P$2:$P$501,V497),IF($AO$1=1,0,"")))</f>
        <v/>
      </c>
      <c r="Y497" s="38" t="str">
        <f t="shared" si="152"/>
        <v/>
      </c>
      <c r="Z497" s="39" t="str">
        <f>IF(L497="","",IF(V497&gt;0,INDEX('08-آب'!$Q$2:$Q$501,V497),IF($AO$1=1,0,"")))</f>
        <v/>
      </c>
      <c r="AA497" s="39" t="str">
        <f t="shared" si="153"/>
        <v/>
      </c>
      <c r="AB497" s="40" t="str">
        <f>IF(OR(L497="",V497=0),"",IF(AND(N(I497)&gt;0,N(INDEX('08-آب'!$I$2:$I$501,V497))&gt;0,INDEX('08-آب'!$F$2:$F$501,V497)=F497),N(I497)/N(INDEX('08-آب'!$I$2:$I$501,V497))-1,""))</f>
        <v/>
      </c>
      <c r="AC497" t="str">
        <f>IF(L497="","",IF(AND($AO$2=1,ISNA(MATCH(L497,'10-تشرين الأول'!$L$2:$L$501,0))),"محذوف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IF(L498="","",IF($AO$1=1,IFERROR(MATCH(L498,'08-آب'!$L$2:$L$501,0),0),0))</f>
        <v/>
      </c>
      <c r="W498" t="str">
        <f t="shared" si="151"/>
        <v/>
      </c>
      <c r="X498" s="38" t="str">
        <f>IF(L498="","",IF(V498&gt;0,INDEX('08-آب'!$P$2:$P$501,V498),IF($AO$1=1,0,"")))</f>
        <v/>
      </c>
      <c r="Y498" s="38" t="str">
        <f t="shared" si="152"/>
        <v/>
      </c>
      <c r="Z498" s="39" t="str">
        <f>IF(L498="","",IF(V498&gt;0,INDEX('08-آب'!$Q$2:$Q$501,V498),IF($AO$1=1,0,"")))</f>
        <v/>
      </c>
      <c r="AA498" s="39" t="str">
        <f t="shared" si="153"/>
        <v/>
      </c>
      <c r="AB498" s="40" t="str">
        <f>IF(OR(L498="",V498=0),"",IF(AND(N(I498)&gt;0,N(INDEX('08-آب'!$I$2:$I$501,V498))&gt;0,INDEX('08-آب'!$F$2:$F$501,V498)=F498),N(I498)/N(INDEX('08-آب'!$I$2:$I$501,V498))-1,""))</f>
        <v/>
      </c>
      <c r="AC498" t="str">
        <f>IF(L498="","",IF(AND($AO$2=1,ISNA(MATCH(L498,'10-تشرين الأول'!$L$2:$L$501,0))),"محذوف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IF(L499="","",IF($AO$1=1,IFERROR(MATCH(L499,'08-آب'!$L$2:$L$501,0),0),0))</f>
        <v/>
      </c>
      <c r="W499" t="str">
        <f t="shared" si="151"/>
        <v/>
      </c>
      <c r="X499" s="38" t="str">
        <f>IF(L499="","",IF(V499&gt;0,INDEX('08-آب'!$P$2:$P$501,V499),IF($AO$1=1,0,"")))</f>
        <v/>
      </c>
      <c r="Y499" s="38" t="str">
        <f t="shared" si="152"/>
        <v/>
      </c>
      <c r="Z499" s="39" t="str">
        <f>IF(L499="","",IF(V499&gt;0,INDEX('08-آب'!$Q$2:$Q$501,V499),IF($AO$1=1,0,"")))</f>
        <v/>
      </c>
      <c r="AA499" s="39" t="str">
        <f t="shared" si="153"/>
        <v/>
      </c>
      <c r="AB499" s="40" t="str">
        <f>IF(OR(L499="",V499=0),"",IF(AND(N(I499)&gt;0,N(INDEX('08-آب'!$I$2:$I$501,V499))&gt;0,INDEX('08-آب'!$F$2:$F$501,V499)=F499),N(I499)/N(INDEX('08-آب'!$I$2:$I$501,V499))-1,""))</f>
        <v/>
      </c>
      <c r="AC499" t="str">
        <f>IF(L499="","",IF(AND($AO$2=1,ISNA(MATCH(L499,'10-تشرين الأول'!$L$2:$L$501,0))),"محذوف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IF(L500="","",IF($AO$1=1,IFERROR(MATCH(L500,'08-آب'!$L$2:$L$501,0),0),0))</f>
        <v/>
      </c>
      <c r="W500" t="str">
        <f t="shared" si="151"/>
        <v/>
      </c>
      <c r="X500" s="38" t="str">
        <f>IF(L500="","",IF(V500&gt;0,INDEX('08-آب'!$P$2:$P$501,V500),IF($AO$1=1,0,"")))</f>
        <v/>
      </c>
      <c r="Y500" s="38" t="str">
        <f t="shared" si="152"/>
        <v/>
      </c>
      <c r="Z500" s="39" t="str">
        <f>IF(L500="","",IF(V500&gt;0,INDEX('08-آب'!$Q$2:$Q$501,V500),IF($AO$1=1,0,"")))</f>
        <v/>
      </c>
      <c r="AA500" s="39" t="str">
        <f t="shared" si="153"/>
        <v/>
      </c>
      <c r="AB500" s="40" t="str">
        <f>IF(OR(L500="",V500=0),"",IF(AND(N(I500)&gt;0,N(INDEX('08-آب'!$I$2:$I$501,V500))&gt;0,INDEX('08-آب'!$F$2:$F$501,V500)=F500),N(I500)/N(INDEX('08-آب'!$I$2:$I$501,V500))-1,""))</f>
        <v/>
      </c>
      <c r="AC500" t="str">
        <f>IF(L500="","",IF(AND($AO$2=1,ISNA(MATCH(L500,'10-تشرين الأول'!$L$2:$L$501,0))),"محذوف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</sheetData>
  <autoFilter ref="A1:AL500" xr:uid="{00000000-0009-0000-0000-00000E000000}"/>
  <conditionalFormatting sqref="K1">
    <cfRule type="expression" dxfId="19" priority="2">
      <formula>LEFT(K1,1)="⚠"</formula>
    </cfRule>
    <cfRule type="expression" dxfId="18" priority="3">
      <formula>LEFT(K1,1)="✓"</formula>
    </cfRule>
  </conditionalFormatting>
  <conditionalFormatting sqref="K2:U500">
    <cfRule type="expression" dxfId="17" priority="4">
      <formula>$U2&lt;&gt;""</formula>
    </cfRule>
  </conditionalFormatting>
  <conditionalFormatting sqref="W2:W500">
    <cfRule type="expression" dxfId="16" priority="5">
      <formula>$W2="جديد"</formula>
    </cfRule>
  </conditionalFormatting>
  <conditionalFormatting sqref="AC2:AC500">
    <cfRule type="expression" dxfId="1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IF(COUNTA('09-أيلول'!$A$2:$A$500)&gt;0,1,0)</f>
        <v>1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IF(L2="","",IF($AO$1=1,IFERROR(MATCH(L2,'09-أيلول'!$L$2:$L$500,0),0),0))</f>
        <v/>
      </c>
      <c r="W2" t="str">
        <f t="shared" ref="W2:W65" si="11">IF(L2="","",IF(AND($AO$1=1,V2=0),"جديد",""))</f>
        <v/>
      </c>
      <c r="X2" s="38" t="str">
        <f>IF(L2="","",IF(V2&gt;0,INDEX('09-أيلول'!$P$2:$P$500,V2),IF($AO$1=1,0,"")))</f>
        <v/>
      </c>
      <c r="Y2" s="38" t="str">
        <f t="shared" ref="Y2:Y65" si="12">IF(OR(L2="",X2=""),"",P2-X2)</f>
        <v/>
      </c>
      <c r="Z2" s="39" t="str">
        <f>IF(L2="","",IF(V2&gt;0,INDEX('09-أيلول'!$Q$2:$Q$500,V2),IF($AO$1=1,0,"")))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IF(OR(L2="",V2=0),"",IF(AND(N(I2)&gt;0,N(INDEX('09-أيلول'!$I$2:$I$500,V2))&gt;0,INDEX('09-أيلول'!$F$2:$F$500,V2)=F2),N(I2)/N(INDEX('09-أيلول'!$I$2:$I$500,V2))-1,""))</f>
        <v/>
      </c>
      <c r="AC2" t="str">
        <f>IF(L2="","",IF(AND($AO$2=1,ISNA(MATCH(L2,'11-تشرين الثاني'!$L$2:$L$501,0))),"محذوف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IF(COUNTA('11-تشرين الثاني'!$A$2:$A$501)&gt;0,1,0)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IF(L3="","",IF($AO$1=1,IFERROR(MATCH(L3,'09-أيلول'!$L$2:$L$500,0),0),0))</f>
        <v/>
      </c>
      <c r="W3" t="str">
        <f t="shared" si="11"/>
        <v/>
      </c>
      <c r="X3" s="38" t="str">
        <f>IF(L3="","",IF(V3&gt;0,INDEX('09-أيلول'!$P$2:$P$500,V3),IF($AO$1=1,0,"")))</f>
        <v/>
      </c>
      <c r="Y3" s="38" t="str">
        <f t="shared" si="12"/>
        <v/>
      </c>
      <c r="Z3" s="39" t="str">
        <f>IF(L3="","",IF(V3&gt;0,INDEX('09-أيلول'!$Q$2:$Q$500,V3),IF($AO$1=1,0,"")))</f>
        <v/>
      </c>
      <c r="AA3" s="39" t="str">
        <f t="shared" si="13"/>
        <v/>
      </c>
      <c r="AB3" s="40" t="str">
        <f>IF(OR(L3="",V3=0),"",IF(AND(N(I3)&gt;0,N(INDEX('09-أيلول'!$I$2:$I$500,V3))&gt;0,INDEX('09-أيلول'!$F$2:$F$500,V3)=F3),N(I3)/N(INDEX('09-أيلول'!$I$2:$I$500,V3))-1,""))</f>
        <v/>
      </c>
      <c r="AC3" t="str">
        <f>IF(L3="","",IF(AND($AO$2=1,ISNA(MATCH(L3,'11-تشرين الثاني'!$L$2:$L$501,0))),"محذوف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التحكم'!$C$25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IF(L4="","",IF($AO$1=1,IFERROR(MATCH(L4,'09-أيلول'!$L$2:$L$500,0),0),0))</f>
        <v/>
      </c>
      <c r="W4" t="str">
        <f t="shared" si="11"/>
        <v/>
      </c>
      <c r="X4" s="38" t="str">
        <f>IF(L4="","",IF(V4&gt;0,INDEX('09-أيلول'!$P$2:$P$500,V4),IF($AO$1=1,0,"")))</f>
        <v/>
      </c>
      <c r="Y4" s="38" t="str">
        <f t="shared" si="12"/>
        <v/>
      </c>
      <c r="Z4" s="39" t="str">
        <f>IF(L4="","",IF(V4&gt;0,INDEX('09-أيلول'!$Q$2:$Q$500,V4),IF($AO$1=1,0,"")))</f>
        <v/>
      </c>
      <c r="AA4" s="39" t="str">
        <f t="shared" si="13"/>
        <v/>
      </c>
      <c r="AB4" s="40" t="str">
        <f>IF(OR(L4="",V4=0),"",IF(AND(N(I4)&gt;0,N(INDEX('09-أيلول'!$I$2:$I$500,V4))&gt;0,INDEX('09-أيلول'!$F$2:$F$500,V4)=F4),N(I4)/N(INDEX('09-أيلول'!$I$2:$I$500,V4))-1,""))</f>
        <v/>
      </c>
      <c r="AC4" t="str">
        <f>IF(L4="","",IF(AND($AO$2=1,ISNA(MATCH(L4,'11-تشرين الثاني'!$L$2:$L$501,0))),"محذوف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IF(L5="","",IF($AO$1=1,IFERROR(MATCH(L5,'09-أيلول'!$L$2:$L$500,0),0),0))</f>
        <v/>
      </c>
      <c r="W5" t="str">
        <f t="shared" si="11"/>
        <v/>
      </c>
      <c r="X5" s="38" t="str">
        <f>IF(L5="","",IF(V5&gt;0,INDEX('09-أيلول'!$P$2:$P$500,V5),IF($AO$1=1,0,"")))</f>
        <v/>
      </c>
      <c r="Y5" s="38" t="str">
        <f t="shared" si="12"/>
        <v/>
      </c>
      <c r="Z5" s="39" t="str">
        <f>IF(L5="","",IF(V5&gt;0,INDEX('09-أيلول'!$Q$2:$Q$500,V5),IF($AO$1=1,0,"")))</f>
        <v/>
      </c>
      <c r="AA5" s="39" t="str">
        <f t="shared" si="13"/>
        <v/>
      </c>
      <c r="AB5" s="40" t="str">
        <f>IF(OR(L5="",V5=0),"",IF(AND(N(I5)&gt;0,N(INDEX('09-أيلول'!$I$2:$I$500,V5))&gt;0,INDEX('09-أيلول'!$F$2:$F$500,V5)=F5),N(I5)/N(INDEX('09-أيلول'!$I$2:$I$500,V5))-1,""))</f>
        <v/>
      </c>
      <c r="AC5" t="str">
        <f>IF(L5="","",IF(AND($AO$2=1,ISNA(MATCH(L5,'11-تشرين الثاني'!$L$2:$L$501,0))),"محذوف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IF(L6="","",IF($AO$1=1,IFERROR(MATCH(L6,'09-أيلول'!$L$2:$L$500,0),0),0))</f>
        <v/>
      </c>
      <c r="W6" t="str">
        <f t="shared" si="11"/>
        <v/>
      </c>
      <c r="X6" s="38" t="str">
        <f>IF(L6="","",IF(V6&gt;0,INDEX('09-أيلول'!$P$2:$P$500,V6),IF($AO$1=1,0,"")))</f>
        <v/>
      </c>
      <c r="Y6" s="38" t="str">
        <f t="shared" si="12"/>
        <v/>
      </c>
      <c r="Z6" s="39" t="str">
        <f>IF(L6="","",IF(V6&gt;0,INDEX('09-أيلول'!$Q$2:$Q$500,V6),IF($AO$1=1,0,"")))</f>
        <v/>
      </c>
      <c r="AA6" s="39" t="str">
        <f t="shared" si="13"/>
        <v/>
      </c>
      <c r="AB6" s="40" t="str">
        <f>IF(OR(L6="",V6=0),"",IF(AND(N(I6)&gt;0,N(INDEX('09-أيلول'!$I$2:$I$500,V6))&gt;0,INDEX('09-أيلول'!$F$2:$F$500,V6)=F6),N(I6)/N(INDEX('09-أيلول'!$I$2:$I$500,V6))-1,""))</f>
        <v/>
      </c>
      <c r="AC6" t="str">
        <f>IF(L6="","",IF(AND($AO$2=1,ISNA(MATCH(L6,'11-تشرين الثاني'!$L$2:$L$501,0))),"محذوف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IF(L7="","",IF($AO$1=1,IFERROR(MATCH(L7,'09-أيلول'!$L$2:$L$500,0),0),0))</f>
        <v/>
      </c>
      <c r="W7" t="str">
        <f t="shared" si="11"/>
        <v/>
      </c>
      <c r="X7" s="38" t="str">
        <f>IF(L7="","",IF(V7&gt;0,INDEX('09-أيلول'!$P$2:$P$500,V7),IF($AO$1=1,0,"")))</f>
        <v/>
      </c>
      <c r="Y7" s="38" t="str">
        <f t="shared" si="12"/>
        <v/>
      </c>
      <c r="Z7" s="39" t="str">
        <f>IF(L7="","",IF(V7&gt;0,INDEX('09-أيلول'!$Q$2:$Q$500,V7),IF($AO$1=1,0,"")))</f>
        <v/>
      </c>
      <c r="AA7" s="39" t="str">
        <f t="shared" si="13"/>
        <v/>
      </c>
      <c r="AB7" s="40" t="str">
        <f>IF(OR(L7="",V7=0),"",IF(AND(N(I7)&gt;0,N(INDEX('09-أيلول'!$I$2:$I$500,V7))&gt;0,INDEX('09-أيلول'!$F$2:$F$500,V7)=F7),N(I7)/N(INDEX('09-أيلول'!$I$2:$I$500,V7))-1,""))</f>
        <v/>
      </c>
      <c r="AC7" t="str">
        <f>IF(L7="","",IF(AND($AO$2=1,ISNA(MATCH(L7,'11-تشرين الثاني'!$L$2:$L$501,0))),"محذوف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IF(L8="","",IF($AO$1=1,IFERROR(MATCH(L8,'09-أيلول'!$L$2:$L$500,0),0),0))</f>
        <v/>
      </c>
      <c r="W8" t="str">
        <f t="shared" si="11"/>
        <v/>
      </c>
      <c r="X8" s="38" t="str">
        <f>IF(L8="","",IF(V8&gt;0,INDEX('09-أيلول'!$P$2:$P$500,V8),IF($AO$1=1,0,"")))</f>
        <v/>
      </c>
      <c r="Y8" s="38" t="str">
        <f t="shared" si="12"/>
        <v/>
      </c>
      <c r="Z8" s="39" t="str">
        <f>IF(L8="","",IF(V8&gt;0,INDEX('09-أيلول'!$Q$2:$Q$500,V8),IF($AO$1=1,0,"")))</f>
        <v/>
      </c>
      <c r="AA8" s="39" t="str">
        <f t="shared" si="13"/>
        <v/>
      </c>
      <c r="AB8" s="40" t="str">
        <f>IF(OR(L8="",V8=0),"",IF(AND(N(I8)&gt;0,N(INDEX('09-أيلول'!$I$2:$I$500,V8))&gt;0,INDEX('09-أيلول'!$F$2:$F$500,V8)=F8),N(I8)/N(INDEX('09-أيلول'!$I$2:$I$500,V8))-1,""))</f>
        <v/>
      </c>
      <c r="AC8" t="str">
        <f>IF(L8="","",IF(AND($AO$2=1,ISNA(MATCH(L8,'11-تشرين الثاني'!$L$2:$L$501,0))),"محذوف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IF(L9="","",IF($AO$1=1,IFERROR(MATCH(L9,'09-أيلول'!$L$2:$L$500,0),0),0))</f>
        <v/>
      </c>
      <c r="W9" t="str">
        <f t="shared" si="11"/>
        <v/>
      </c>
      <c r="X9" s="38" t="str">
        <f>IF(L9="","",IF(V9&gt;0,INDEX('09-أيلول'!$P$2:$P$500,V9),IF($AO$1=1,0,"")))</f>
        <v/>
      </c>
      <c r="Y9" s="38" t="str">
        <f t="shared" si="12"/>
        <v/>
      </c>
      <c r="Z9" s="39" t="str">
        <f>IF(L9="","",IF(V9&gt;0,INDEX('09-أيلول'!$Q$2:$Q$500,V9),IF($AO$1=1,0,"")))</f>
        <v/>
      </c>
      <c r="AA9" s="39" t="str">
        <f t="shared" si="13"/>
        <v/>
      </c>
      <c r="AB9" s="40" t="str">
        <f>IF(OR(L9="",V9=0),"",IF(AND(N(I9)&gt;0,N(INDEX('09-أيلول'!$I$2:$I$500,V9))&gt;0,INDEX('09-أيلول'!$F$2:$F$500,V9)=F9),N(I9)/N(INDEX('09-أيلول'!$I$2:$I$500,V9))-1,""))</f>
        <v/>
      </c>
      <c r="AC9" t="str">
        <f>IF(L9="","",IF(AND($AO$2=1,ISNA(MATCH(L9,'11-تشرين الثاني'!$L$2:$L$501,0))),"محذوف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IF(L10="","",IF($AO$1=1,IFERROR(MATCH(L10,'09-أيلول'!$L$2:$L$500,0),0),0))</f>
        <v/>
      </c>
      <c r="W10" t="str">
        <f t="shared" si="11"/>
        <v/>
      </c>
      <c r="X10" s="38" t="str">
        <f>IF(L10="","",IF(V10&gt;0,INDEX('09-أيلول'!$P$2:$P$500,V10),IF($AO$1=1,0,"")))</f>
        <v/>
      </c>
      <c r="Y10" s="38" t="str">
        <f t="shared" si="12"/>
        <v/>
      </c>
      <c r="Z10" s="39" t="str">
        <f>IF(L10="","",IF(V10&gt;0,INDEX('09-أيلول'!$Q$2:$Q$500,V10),IF($AO$1=1,0,"")))</f>
        <v/>
      </c>
      <c r="AA10" s="39" t="str">
        <f t="shared" si="13"/>
        <v/>
      </c>
      <c r="AB10" s="40" t="str">
        <f>IF(OR(L10="",V10=0),"",IF(AND(N(I10)&gt;0,N(INDEX('09-أيلول'!$I$2:$I$500,V10))&gt;0,INDEX('09-أيلول'!$F$2:$F$500,V10)=F10),N(I10)/N(INDEX('09-أيلول'!$I$2:$I$500,V10))-1,""))</f>
        <v/>
      </c>
      <c r="AC10" t="str">
        <f>IF(L10="","",IF(AND($AO$2=1,ISNA(MATCH(L10,'11-تشرين الثاني'!$L$2:$L$501,0))),"محذوف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IF(L11="","",IF($AO$1=1,IFERROR(MATCH(L11,'09-أيلول'!$L$2:$L$500,0),0),0))</f>
        <v/>
      </c>
      <c r="W11" t="str">
        <f t="shared" si="11"/>
        <v/>
      </c>
      <c r="X11" s="38" t="str">
        <f>IF(L11="","",IF(V11&gt;0,INDEX('09-أيلول'!$P$2:$P$500,V11),IF($AO$1=1,0,"")))</f>
        <v/>
      </c>
      <c r="Y11" s="38" t="str">
        <f t="shared" si="12"/>
        <v/>
      </c>
      <c r="Z11" s="39" t="str">
        <f>IF(L11="","",IF(V11&gt;0,INDEX('09-أيلول'!$Q$2:$Q$500,V11),IF($AO$1=1,0,"")))</f>
        <v/>
      </c>
      <c r="AA11" s="39" t="str">
        <f t="shared" si="13"/>
        <v/>
      </c>
      <c r="AB11" s="40" t="str">
        <f>IF(OR(L11="",V11=0),"",IF(AND(N(I11)&gt;0,N(INDEX('09-أيلول'!$I$2:$I$500,V11))&gt;0,INDEX('09-أيلول'!$F$2:$F$500,V11)=F11),N(I11)/N(INDEX('09-أيلول'!$I$2:$I$500,V11))-1,""))</f>
        <v/>
      </c>
      <c r="AC11" t="str">
        <f>IF(L11="","",IF(AND($AO$2=1,ISNA(MATCH(L11,'11-تشرين الثاني'!$L$2:$L$501,0))),"محذوف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IF(L12="","",IF($AO$1=1,IFERROR(MATCH(L12,'09-أيلول'!$L$2:$L$500,0),0),0))</f>
        <v/>
      </c>
      <c r="W12" t="str">
        <f t="shared" si="11"/>
        <v/>
      </c>
      <c r="X12" s="38" t="str">
        <f>IF(L12="","",IF(V12&gt;0,INDEX('09-أيلول'!$P$2:$P$500,V12),IF($AO$1=1,0,"")))</f>
        <v/>
      </c>
      <c r="Y12" s="38" t="str">
        <f t="shared" si="12"/>
        <v/>
      </c>
      <c r="Z12" s="39" t="str">
        <f>IF(L12="","",IF(V12&gt;0,INDEX('09-أيلول'!$Q$2:$Q$500,V12),IF($AO$1=1,0,"")))</f>
        <v/>
      </c>
      <c r="AA12" s="39" t="str">
        <f t="shared" si="13"/>
        <v/>
      </c>
      <c r="AB12" s="40" t="str">
        <f>IF(OR(L12="",V12=0),"",IF(AND(N(I12)&gt;0,N(INDEX('09-أيلول'!$I$2:$I$500,V12))&gt;0,INDEX('09-أيلول'!$F$2:$F$500,V12)=F12),N(I12)/N(INDEX('09-أيلول'!$I$2:$I$500,V12))-1,""))</f>
        <v/>
      </c>
      <c r="AC12" t="str">
        <f>IF(L12="","",IF(AND($AO$2=1,ISNA(MATCH(L12,'11-تشرين الثاني'!$L$2:$L$501,0))),"محذوف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IF(L13="","",IF($AO$1=1,IFERROR(MATCH(L13,'09-أيلول'!$L$2:$L$500,0),0),0))</f>
        <v/>
      </c>
      <c r="W13" t="str">
        <f t="shared" si="11"/>
        <v/>
      </c>
      <c r="X13" s="38" t="str">
        <f>IF(L13="","",IF(V13&gt;0,INDEX('09-أيلول'!$P$2:$P$500,V13),IF($AO$1=1,0,"")))</f>
        <v/>
      </c>
      <c r="Y13" s="38" t="str">
        <f t="shared" si="12"/>
        <v/>
      </c>
      <c r="Z13" s="39" t="str">
        <f>IF(L13="","",IF(V13&gt;0,INDEX('09-أيلول'!$Q$2:$Q$500,V13),IF($AO$1=1,0,"")))</f>
        <v/>
      </c>
      <c r="AA13" s="39" t="str">
        <f t="shared" si="13"/>
        <v/>
      </c>
      <c r="AB13" s="40" t="str">
        <f>IF(OR(L13="",V13=0),"",IF(AND(N(I13)&gt;0,N(INDEX('09-أيلول'!$I$2:$I$500,V13))&gt;0,INDEX('09-أيلول'!$F$2:$F$500,V13)=F13),N(I13)/N(INDEX('09-أيلول'!$I$2:$I$500,V13))-1,""))</f>
        <v/>
      </c>
      <c r="AC13" t="str">
        <f>IF(L13="","",IF(AND($AO$2=1,ISNA(MATCH(L13,'11-تشرين الثاني'!$L$2:$L$501,0))),"محذوف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IF(L14="","",IF($AO$1=1,IFERROR(MATCH(L14,'09-أيلول'!$L$2:$L$500,0),0),0))</f>
        <v/>
      </c>
      <c r="W14" t="str">
        <f t="shared" si="11"/>
        <v/>
      </c>
      <c r="X14" s="38" t="str">
        <f>IF(L14="","",IF(V14&gt;0,INDEX('09-أيلول'!$P$2:$P$500,V14),IF($AO$1=1,0,"")))</f>
        <v/>
      </c>
      <c r="Y14" s="38" t="str">
        <f t="shared" si="12"/>
        <v/>
      </c>
      <c r="Z14" s="39" t="str">
        <f>IF(L14="","",IF(V14&gt;0,INDEX('09-أيلول'!$Q$2:$Q$500,V14),IF($AO$1=1,0,"")))</f>
        <v/>
      </c>
      <c r="AA14" s="39" t="str">
        <f t="shared" si="13"/>
        <v/>
      </c>
      <c r="AB14" s="40" t="str">
        <f>IF(OR(L14="",V14=0),"",IF(AND(N(I14)&gt;0,N(INDEX('09-أيلول'!$I$2:$I$500,V14))&gt;0,INDEX('09-أيلول'!$F$2:$F$500,V14)=F14),N(I14)/N(INDEX('09-أيلول'!$I$2:$I$500,V14))-1,""))</f>
        <v/>
      </c>
      <c r="AC14" t="str">
        <f>IF(L14="","",IF(AND($AO$2=1,ISNA(MATCH(L14,'11-تشرين الثاني'!$L$2:$L$501,0))),"محذوف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IF(L15="","",IF($AO$1=1,IFERROR(MATCH(L15,'09-أيلول'!$L$2:$L$500,0),0),0))</f>
        <v/>
      </c>
      <c r="W15" t="str">
        <f t="shared" si="11"/>
        <v/>
      </c>
      <c r="X15" s="38" t="str">
        <f>IF(L15="","",IF(V15&gt;0,INDEX('09-أيلول'!$P$2:$P$500,V15),IF($AO$1=1,0,"")))</f>
        <v/>
      </c>
      <c r="Y15" s="38" t="str">
        <f t="shared" si="12"/>
        <v/>
      </c>
      <c r="Z15" s="39" t="str">
        <f>IF(L15="","",IF(V15&gt;0,INDEX('09-أيلول'!$Q$2:$Q$500,V15),IF($AO$1=1,0,"")))</f>
        <v/>
      </c>
      <c r="AA15" s="39" t="str">
        <f t="shared" si="13"/>
        <v/>
      </c>
      <c r="AB15" s="40" t="str">
        <f>IF(OR(L15="",V15=0),"",IF(AND(N(I15)&gt;0,N(INDEX('09-أيلول'!$I$2:$I$500,V15))&gt;0,INDEX('09-أيلول'!$F$2:$F$500,V15)=F15),N(I15)/N(INDEX('09-أيلول'!$I$2:$I$500,V15))-1,""))</f>
        <v/>
      </c>
      <c r="AC15" t="str">
        <f>IF(L15="","",IF(AND($AO$2=1,ISNA(MATCH(L15,'11-تشرين الثاني'!$L$2:$L$501,0))),"محذوف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IF(L16="","",IF($AO$1=1,IFERROR(MATCH(L16,'09-أيلول'!$L$2:$L$500,0),0),0))</f>
        <v/>
      </c>
      <c r="W16" t="str">
        <f t="shared" si="11"/>
        <v/>
      </c>
      <c r="X16" s="38" t="str">
        <f>IF(L16="","",IF(V16&gt;0,INDEX('09-أيلول'!$P$2:$P$500,V16),IF($AO$1=1,0,"")))</f>
        <v/>
      </c>
      <c r="Y16" s="38" t="str">
        <f t="shared" si="12"/>
        <v/>
      </c>
      <c r="Z16" s="39" t="str">
        <f>IF(L16="","",IF(V16&gt;0,INDEX('09-أيلول'!$Q$2:$Q$500,V16),IF($AO$1=1,0,"")))</f>
        <v/>
      </c>
      <c r="AA16" s="39" t="str">
        <f t="shared" si="13"/>
        <v/>
      </c>
      <c r="AB16" s="40" t="str">
        <f>IF(OR(L16="",V16=0),"",IF(AND(N(I16)&gt;0,N(INDEX('09-أيلول'!$I$2:$I$500,V16))&gt;0,INDEX('09-أيلول'!$F$2:$F$500,V16)=F16),N(I16)/N(INDEX('09-أيلول'!$I$2:$I$500,V16))-1,""))</f>
        <v/>
      </c>
      <c r="AC16" t="str">
        <f>IF(L16="","",IF(AND($AO$2=1,ISNA(MATCH(L16,'11-تشرين الثاني'!$L$2:$L$501,0))),"محذوف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IF(L17="","",IF($AO$1=1,IFERROR(MATCH(L17,'09-أيلول'!$L$2:$L$500,0),0),0))</f>
        <v/>
      </c>
      <c r="W17" t="str">
        <f t="shared" si="11"/>
        <v/>
      </c>
      <c r="X17" s="38" t="str">
        <f>IF(L17="","",IF(V17&gt;0,INDEX('09-أيلول'!$P$2:$P$500,V17),IF($AO$1=1,0,"")))</f>
        <v/>
      </c>
      <c r="Y17" s="38" t="str">
        <f t="shared" si="12"/>
        <v/>
      </c>
      <c r="Z17" s="39" t="str">
        <f>IF(L17="","",IF(V17&gt;0,INDEX('09-أيلول'!$Q$2:$Q$500,V17),IF($AO$1=1,0,"")))</f>
        <v/>
      </c>
      <c r="AA17" s="39" t="str">
        <f t="shared" si="13"/>
        <v/>
      </c>
      <c r="AB17" s="40" t="str">
        <f>IF(OR(L17="",V17=0),"",IF(AND(N(I17)&gt;0,N(INDEX('09-أيلول'!$I$2:$I$500,V17))&gt;0,INDEX('09-أيلول'!$F$2:$F$500,V17)=F17),N(I17)/N(INDEX('09-أيلول'!$I$2:$I$500,V17))-1,""))</f>
        <v/>
      </c>
      <c r="AC17" t="str">
        <f>IF(L17="","",IF(AND($AO$2=1,ISNA(MATCH(L17,'11-تشرين الثاني'!$L$2:$L$501,0))),"محذوف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IF(L18="","",IF($AO$1=1,IFERROR(MATCH(L18,'09-أيلول'!$L$2:$L$500,0),0),0))</f>
        <v/>
      </c>
      <c r="W18" t="str">
        <f t="shared" si="11"/>
        <v/>
      </c>
      <c r="X18" s="38" t="str">
        <f>IF(L18="","",IF(V18&gt;0,INDEX('09-أيلول'!$P$2:$P$500,V18),IF($AO$1=1,0,"")))</f>
        <v/>
      </c>
      <c r="Y18" s="38" t="str">
        <f t="shared" si="12"/>
        <v/>
      </c>
      <c r="Z18" s="39" t="str">
        <f>IF(L18="","",IF(V18&gt;0,INDEX('09-أيلول'!$Q$2:$Q$500,V18),IF($AO$1=1,0,"")))</f>
        <v/>
      </c>
      <c r="AA18" s="39" t="str">
        <f t="shared" si="13"/>
        <v/>
      </c>
      <c r="AB18" s="40" t="str">
        <f>IF(OR(L18="",V18=0),"",IF(AND(N(I18)&gt;0,N(INDEX('09-أيلول'!$I$2:$I$500,V18))&gt;0,INDEX('09-أيلول'!$F$2:$F$500,V18)=F18),N(I18)/N(INDEX('09-أيلول'!$I$2:$I$500,V18))-1,""))</f>
        <v/>
      </c>
      <c r="AC18" t="str">
        <f>IF(L18="","",IF(AND($AO$2=1,ISNA(MATCH(L18,'11-تشرين الثاني'!$L$2:$L$501,0))),"محذوف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IF(L19="","",IF($AO$1=1,IFERROR(MATCH(L19,'09-أيلول'!$L$2:$L$500,0),0),0))</f>
        <v/>
      </c>
      <c r="W19" t="str">
        <f t="shared" si="11"/>
        <v/>
      </c>
      <c r="X19" s="38" t="str">
        <f>IF(L19="","",IF(V19&gt;0,INDEX('09-أيلول'!$P$2:$P$500,V19),IF($AO$1=1,0,"")))</f>
        <v/>
      </c>
      <c r="Y19" s="38" t="str">
        <f t="shared" si="12"/>
        <v/>
      </c>
      <c r="Z19" s="39" t="str">
        <f>IF(L19="","",IF(V19&gt;0,INDEX('09-أيلول'!$Q$2:$Q$500,V19),IF($AO$1=1,0,"")))</f>
        <v/>
      </c>
      <c r="AA19" s="39" t="str">
        <f t="shared" si="13"/>
        <v/>
      </c>
      <c r="AB19" s="40" t="str">
        <f>IF(OR(L19="",V19=0),"",IF(AND(N(I19)&gt;0,N(INDEX('09-أيلول'!$I$2:$I$500,V19))&gt;0,INDEX('09-أيلول'!$F$2:$F$500,V19)=F19),N(I19)/N(INDEX('09-أيلول'!$I$2:$I$500,V19))-1,""))</f>
        <v/>
      </c>
      <c r="AC19" t="str">
        <f>IF(L19="","",IF(AND($AO$2=1,ISNA(MATCH(L19,'11-تشرين الثاني'!$L$2:$L$501,0))),"محذوف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IF(L20="","",IF($AO$1=1,IFERROR(MATCH(L20,'09-أيلول'!$L$2:$L$500,0),0),0))</f>
        <v/>
      </c>
      <c r="W20" t="str">
        <f t="shared" si="11"/>
        <v/>
      </c>
      <c r="X20" s="38" t="str">
        <f>IF(L20="","",IF(V20&gt;0,INDEX('09-أيلول'!$P$2:$P$500,V20),IF($AO$1=1,0,"")))</f>
        <v/>
      </c>
      <c r="Y20" s="38" t="str">
        <f t="shared" si="12"/>
        <v/>
      </c>
      <c r="Z20" s="39" t="str">
        <f>IF(L20="","",IF(V20&gt;0,INDEX('09-أيلول'!$Q$2:$Q$500,V20),IF($AO$1=1,0,"")))</f>
        <v/>
      </c>
      <c r="AA20" s="39" t="str">
        <f t="shared" si="13"/>
        <v/>
      </c>
      <c r="AB20" s="40" t="str">
        <f>IF(OR(L20="",V20=0),"",IF(AND(N(I20)&gt;0,N(INDEX('09-أيلول'!$I$2:$I$500,V20))&gt;0,INDEX('09-أيلول'!$F$2:$F$500,V20)=F20),N(I20)/N(INDEX('09-أيلول'!$I$2:$I$500,V20))-1,""))</f>
        <v/>
      </c>
      <c r="AC20" t="str">
        <f>IF(L20="","",IF(AND($AO$2=1,ISNA(MATCH(L20,'11-تشرين الثاني'!$L$2:$L$501,0))),"محذوف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IF(L21="","",IF($AO$1=1,IFERROR(MATCH(L21,'09-أيلول'!$L$2:$L$500,0),0),0))</f>
        <v/>
      </c>
      <c r="W21" t="str">
        <f t="shared" si="11"/>
        <v/>
      </c>
      <c r="X21" s="38" t="str">
        <f>IF(L21="","",IF(V21&gt;0,INDEX('09-أيلول'!$P$2:$P$500,V21),IF($AO$1=1,0,"")))</f>
        <v/>
      </c>
      <c r="Y21" s="38" t="str">
        <f t="shared" si="12"/>
        <v/>
      </c>
      <c r="Z21" s="39" t="str">
        <f>IF(L21="","",IF(V21&gt;0,INDEX('09-أيلول'!$Q$2:$Q$500,V21),IF($AO$1=1,0,"")))</f>
        <v/>
      </c>
      <c r="AA21" s="39" t="str">
        <f t="shared" si="13"/>
        <v/>
      </c>
      <c r="AB21" s="40" t="str">
        <f>IF(OR(L21="",V21=0),"",IF(AND(N(I21)&gt;0,N(INDEX('09-أيلول'!$I$2:$I$500,V21))&gt;0,INDEX('09-أيلول'!$F$2:$F$500,V21)=F21),N(I21)/N(INDEX('09-أيلول'!$I$2:$I$500,V21))-1,""))</f>
        <v/>
      </c>
      <c r="AC21" t="str">
        <f>IF(L21="","",IF(AND($AO$2=1,ISNA(MATCH(L21,'11-تشرين الثاني'!$L$2:$L$501,0))),"محذوف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IF(L22="","",IF($AO$1=1,IFERROR(MATCH(L22,'09-أيلول'!$L$2:$L$500,0),0),0))</f>
        <v/>
      </c>
      <c r="W22" t="str">
        <f t="shared" si="11"/>
        <v/>
      </c>
      <c r="X22" s="38" t="str">
        <f>IF(L22="","",IF(V22&gt;0,INDEX('09-أيلول'!$P$2:$P$500,V22),IF($AO$1=1,0,"")))</f>
        <v/>
      </c>
      <c r="Y22" s="38" t="str">
        <f t="shared" si="12"/>
        <v/>
      </c>
      <c r="Z22" s="39" t="str">
        <f>IF(L22="","",IF(V22&gt;0,INDEX('09-أيلول'!$Q$2:$Q$500,V22),IF($AO$1=1,0,"")))</f>
        <v/>
      </c>
      <c r="AA22" s="39" t="str">
        <f t="shared" si="13"/>
        <v/>
      </c>
      <c r="AB22" s="40" t="str">
        <f>IF(OR(L22="",V22=0),"",IF(AND(N(I22)&gt;0,N(INDEX('09-أيلول'!$I$2:$I$500,V22))&gt;0,INDEX('09-أيلول'!$F$2:$F$500,V22)=F22),N(I22)/N(INDEX('09-أيلول'!$I$2:$I$500,V22))-1,""))</f>
        <v/>
      </c>
      <c r="AC22" t="str">
        <f>IF(L22="","",IF(AND($AO$2=1,ISNA(MATCH(L22,'11-تشرين الثاني'!$L$2:$L$501,0))),"محذوف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IF(L23="","",IF($AO$1=1,IFERROR(MATCH(L23,'09-أيلول'!$L$2:$L$500,0),0),0))</f>
        <v/>
      </c>
      <c r="W23" t="str">
        <f t="shared" si="11"/>
        <v/>
      </c>
      <c r="X23" s="38" t="str">
        <f>IF(L23="","",IF(V23&gt;0,INDEX('09-أيلول'!$P$2:$P$500,V23),IF($AO$1=1,0,"")))</f>
        <v/>
      </c>
      <c r="Y23" s="38" t="str">
        <f t="shared" si="12"/>
        <v/>
      </c>
      <c r="Z23" s="39" t="str">
        <f>IF(L23="","",IF(V23&gt;0,INDEX('09-أيلول'!$Q$2:$Q$500,V23),IF($AO$1=1,0,"")))</f>
        <v/>
      </c>
      <c r="AA23" s="39" t="str">
        <f t="shared" si="13"/>
        <v/>
      </c>
      <c r="AB23" s="40" t="str">
        <f>IF(OR(L23="",V23=0),"",IF(AND(N(I23)&gt;0,N(INDEX('09-أيلول'!$I$2:$I$500,V23))&gt;0,INDEX('09-أيلول'!$F$2:$F$500,V23)=F23),N(I23)/N(INDEX('09-أيلول'!$I$2:$I$500,V23))-1,""))</f>
        <v/>
      </c>
      <c r="AC23" t="str">
        <f>IF(L23="","",IF(AND($AO$2=1,ISNA(MATCH(L23,'11-تشرين الثاني'!$L$2:$L$501,0))),"محذوف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IF(L24="","",IF($AO$1=1,IFERROR(MATCH(L24,'09-أيلول'!$L$2:$L$500,0),0),0))</f>
        <v/>
      </c>
      <c r="W24" t="str">
        <f t="shared" si="11"/>
        <v/>
      </c>
      <c r="X24" s="38" t="str">
        <f>IF(L24="","",IF(V24&gt;0,INDEX('09-أيلول'!$P$2:$P$500,V24),IF($AO$1=1,0,"")))</f>
        <v/>
      </c>
      <c r="Y24" s="38" t="str">
        <f t="shared" si="12"/>
        <v/>
      </c>
      <c r="Z24" s="39" t="str">
        <f>IF(L24="","",IF(V24&gt;0,INDEX('09-أيلول'!$Q$2:$Q$500,V24),IF($AO$1=1,0,"")))</f>
        <v/>
      </c>
      <c r="AA24" s="39" t="str">
        <f t="shared" si="13"/>
        <v/>
      </c>
      <c r="AB24" s="40" t="str">
        <f>IF(OR(L24="",V24=0),"",IF(AND(N(I24)&gt;0,N(INDEX('09-أيلول'!$I$2:$I$500,V24))&gt;0,INDEX('09-أيلول'!$F$2:$F$500,V24)=F24),N(I24)/N(INDEX('09-أيلول'!$I$2:$I$500,V24))-1,""))</f>
        <v/>
      </c>
      <c r="AC24" t="str">
        <f>IF(L24="","",IF(AND($AO$2=1,ISNA(MATCH(L24,'11-تشرين الثاني'!$L$2:$L$501,0))),"محذوف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IF(L25="","",IF($AO$1=1,IFERROR(MATCH(L25,'09-أيلول'!$L$2:$L$500,0),0),0))</f>
        <v/>
      </c>
      <c r="W25" t="str">
        <f t="shared" si="11"/>
        <v/>
      </c>
      <c r="X25" s="38" t="str">
        <f>IF(L25="","",IF(V25&gt;0,INDEX('09-أيلول'!$P$2:$P$500,V25),IF($AO$1=1,0,"")))</f>
        <v/>
      </c>
      <c r="Y25" s="38" t="str">
        <f t="shared" si="12"/>
        <v/>
      </c>
      <c r="Z25" s="39" t="str">
        <f>IF(L25="","",IF(V25&gt;0,INDEX('09-أيلول'!$Q$2:$Q$500,V25),IF($AO$1=1,0,"")))</f>
        <v/>
      </c>
      <c r="AA25" s="39" t="str">
        <f t="shared" si="13"/>
        <v/>
      </c>
      <c r="AB25" s="40" t="str">
        <f>IF(OR(L25="",V25=0),"",IF(AND(N(I25)&gt;0,N(INDEX('09-أيلول'!$I$2:$I$500,V25))&gt;0,INDEX('09-أيلول'!$F$2:$F$500,V25)=F25),N(I25)/N(INDEX('09-أيلول'!$I$2:$I$500,V25))-1,""))</f>
        <v/>
      </c>
      <c r="AC25" t="str">
        <f>IF(L25="","",IF(AND($AO$2=1,ISNA(MATCH(L25,'11-تشرين الثاني'!$L$2:$L$501,0))),"محذوف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IF(L26="","",IF($AO$1=1,IFERROR(MATCH(L26,'09-أيلول'!$L$2:$L$500,0),0),0))</f>
        <v/>
      </c>
      <c r="W26" t="str">
        <f t="shared" si="11"/>
        <v/>
      </c>
      <c r="X26" s="38" t="str">
        <f>IF(L26="","",IF(V26&gt;0,INDEX('09-أيلول'!$P$2:$P$500,V26),IF($AO$1=1,0,"")))</f>
        <v/>
      </c>
      <c r="Y26" s="38" t="str">
        <f t="shared" si="12"/>
        <v/>
      </c>
      <c r="Z26" s="39" t="str">
        <f>IF(L26="","",IF(V26&gt;0,INDEX('09-أيلول'!$Q$2:$Q$500,V26),IF($AO$1=1,0,"")))</f>
        <v/>
      </c>
      <c r="AA26" s="39" t="str">
        <f t="shared" si="13"/>
        <v/>
      </c>
      <c r="AB26" s="40" t="str">
        <f>IF(OR(L26="",V26=0),"",IF(AND(N(I26)&gt;0,N(INDEX('09-أيلول'!$I$2:$I$500,V26))&gt;0,INDEX('09-أيلول'!$F$2:$F$500,V26)=F26),N(I26)/N(INDEX('09-أيلول'!$I$2:$I$500,V26))-1,""))</f>
        <v/>
      </c>
      <c r="AC26" t="str">
        <f>IF(L26="","",IF(AND($AO$2=1,ISNA(MATCH(L26,'11-تشرين الثاني'!$L$2:$L$501,0))),"محذوف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IF(L27="","",IF($AO$1=1,IFERROR(MATCH(L27,'09-أيلول'!$L$2:$L$500,0),0),0))</f>
        <v/>
      </c>
      <c r="W27" t="str">
        <f t="shared" si="11"/>
        <v/>
      </c>
      <c r="X27" s="38" t="str">
        <f>IF(L27="","",IF(V27&gt;0,INDEX('09-أيلول'!$P$2:$P$500,V27),IF($AO$1=1,0,"")))</f>
        <v/>
      </c>
      <c r="Y27" s="38" t="str">
        <f t="shared" si="12"/>
        <v/>
      </c>
      <c r="Z27" s="39" t="str">
        <f>IF(L27="","",IF(V27&gt;0,INDEX('09-أيلول'!$Q$2:$Q$500,V27),IF($AO$1=1,0,"")))</f>
        <v/>
      </c>
      <c r="AA27" s="39" t="str">
        <f t="shared" si="13"/>
        <v/>
      </c>
      <c r="AB27" s="40" t="str">
        <f>IF(OR(L27="",V27=0),"",IF(AND(N(I27)&gt;0,N(INDEX('09-أيلول'!$I$2:$I$500,V27))&gt;0,INDEX('09-أيلول'!$F$2:$F$500,V27)=F27),N(I27)/N(INDEX('09-أيلول'!$I$2:$I$500,V27))-1,""))</f>
        <v/>
      </c>
      <c r="AC27" t="str">
        <f>IF(L27="","",IF(AND($AO$2=1,ISNA(MATCH(L27,'11-تشرين الثاني'!$L$2:$L$501,0))),"محذوف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IF(L28="","",IF($AO$1=1,IFERROR(MATCH(L28,'09-أيلول'!$L$2:$L$500,0),0),0))</f>
        <v/>
      </c>
      <c r="W28" t="str">
        <f t="shared" si="11"/>
        <v/>
      </c>
      <c r="X28" s="38" t="str">
        <f>IF(L28="","",IF(V28&gt;0,INDEX('09-أيلول'!$P$2:$P$500,V28),IF($AO$1=1,0,"")))</f>
        <v/>
      </c>
      <c r="Y28" s="38" t="str">
        <f t="shared" si="12"/>
        <v/>
      </c>
      <c r="Z28" s="39" t="str">
        <f>IF(L28="","",IF(V28&gt;0,INDEX('09-أيلول'!$Q$2:$Q$500,V28),IF($AO$1=1,0,"")))</f>
        <v/>
      </c>
      <c r="AA28" s="39" t="str">
        <f t="shared" si="13"/>
        <v/>
      </c>
      <c r="AB28" s="40" t="str">
        <f>IF(OR(L28="",V28=0),"",IF(AND(N(I28)&gt;0,N(INDEX('09-أيلول'!$I$2:$I$500,V28))&gt;0,INDEX('09-أيلول'!$F$2:$F$500,V28)=F28),N(I28)/N(INDEX('09-أيلول'!$I$2:$I$500,V28))-1,""))</f>
        <v/>
      </c>
      <c r="AC28" t="str">
        <f>IF(L28="","",IF(AND($AO$2=1,ISNA(MATCH(L28,'11-تشرين الثاني'!$L$2:$L$501,0))),"محذوف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IF(L29="","",IF($AO$1=1,IFERROR(MATCH(L29,'09-أيلول'!$L$2:$L$500,0),0),0))</f>
        <v/>
      </c>
      <c r="W29" t="str">
        <f t="shared" si="11"/>
        <v/>
      </c>
      <c r="X29" s="38" t="str">
        <f>IF(L29="","",IF(V29&gt;0,INDEX('09-أيلول'!$P$2:$P$500,V29),IF($AO$1=1,0,"")))</f>
        <v/>
      </c>
      <c r="Y29" s="38" t="str">
        <f t="shared" si="12"/>
        <v/>
      </c>
      <c r="Z29" s="39" t="str">
        <f>IF(L29="","",IF(V29&gt;0,INDEX('09-أيلول'!$Q$2:$Q$500,V29),IF($AO$1=1,0,"")))</f>
        <v/>
      </c>
      <c r="AA29" s="39" t="str">
        <f t="shared" si="13"/>
        <v/>
      </c>
      <c r="AB29" s="40" t="str">
        <f>IF(OR(L29="",V29=0),"",IF(AND(N(I29)&gt;0,N(INDEX('09-أيلول'!$I$2:$I$500,V29))&gt;0,INDEX('09-أيلول'!$F$2:$F$500,V29)=F29),N(I29)/N(INDEX('09-أيلول'!$I$2:$I$500,V29))-1,""))</f>
        <v/>
      </c>
      <c r="AC29" t="str">
        <f>IF(L29="","",IF(AND($AO$2=1,ISNA(MATCH(L29,'11-تشرين الثاني'!$L$2:$L$501,0))),"محذوف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IF(L30="","",IF($AO$1=1,IFERROR(MATCH(L30,'09-أيلول'!$L$2:$L$500,0),0),0))</f>
        <v/>
      </c>
      <c r="W30" t="str">
        <f t="shared" si="11"/>
        <v/>
      </c>
      <c r="X30" s="38" t="str">
        <f>IF(L30="","",IF(V30&gt;0,INDEX('09-أيلول'!$P$2:$P$500,V30),IF($AO$1=1,0,"")))</f>
        <v/>
      </c>
      <c r="Y30" s="38" t="str">
        <f t="shared" si="12"/>
        <v/>
      </c>
      <c r="Z30" s="39" t="str">
        <f>IF(L30="","",IF(V30&gt;0,INDEX('09-أيلول'!$Q$2:$Q$500,V30),IF($AO$1=1,0,"")))</f>
        <v/>
      </c>
      <c r="AA30" s="39" t="str">
        <f t="shared" si="13"/>
        <v/>
      </c>
      <c r="AB30" s="40" t="str">
        <f>IF(OR(L30="",V30=0),"",IF(AND(N(I30)&gt;0,N(INDEX('09-أيلول'!$I$2:$I$500,V30))&gt;0,INDEX('09-أيلول'!$F$2:$F$500,V30)=F30),N(I30)/N(INDEX('09-أيلول'!$I$2:$I$500,V30))-1,""))</f>
        <v/>
      </c>
      <c r="AC30" t="str">
        <f>IF(L30="","",IF(AND($AO$2=1,ISNA(MATCH(L30,'11-تشرين الثاني'!$L$2:$L$501,0))),"محذوف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IF(L31="","",IF($AO$1=1,IFERROR(MATCH(L31,'09-أيلول'!$L$2:$L$500,0),0),0))</f>
        <v/>
      </c>
      <c r="W31" t="str">
        <f t="shared" si="11"/>
        <v/>
      </c>
      <c r="X31" s="38" t="str">
        <f>IF(L31="","",IF(V31&gt;0,INDEX('09-أيلول'!$P$2:$P$500,V31),IF($AO$1=1,0,"")))</f>
        <v/>
      </c>
      <c r="Y31" s="38" t="str">
        <f t="shared" si="12"/>
        <v/>
      </c>
      <c r="Z31" s="39" t="str">
        <f>IF(L31="","",IF(V31&gt;0,INDEX('09-أيلول'!$Q$2:$Q$500,V31),IF($AO$1=1,0,"")))</f>
        <v/>
      </c>
      <c r="AA31" s="39" t="str">
        <f t="shared" si="13"/>
        <v/>
      </c>
      <c r="AB31" s="40" t="str">
        <f>IF(OR(L31="",V31=0),"",IF(AND(N(I31)&gt;0,N(INDEX('09-أيلول'!$I$2:$I$500,V31))&gt;0,INDEX('09-أيلول'!$F$2:$F$500,V31)=F31),N(I31)/N(INDEX('09-أيلول'!$I$2:$I$500,V31))-1,""))</f>
        <v/>
      </c>
      <c r="AC31" t="str">
        <f>IF(L31="","",IF(AND($AO$2=1,ISNA(MATCH(L31,'11-تشرين الثاني'!$L$2:$L$501,0))),"محذوف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IF(L32="","",IF($AO$1=1,IFERROR(MATCH(L32,'09-أيلول'!$L$2:$L$500,0),0),0))</f>
        <v/>
      </c>
      <c r="W32" t="str">
        <f t="shared" si="11"/>
        <v/>
      </c>
      <c r="X32" s="38" t="str">
        <f>IF(L32="","",IF(V32&gt;0,INDEX('09-أيلول'!$P$2:$P$500,V32),IF($AO$1=1,0,"")))</f>
        <v/>
      </c>
      <c r="Y32" s="38" t="str">
        <f t="shared" si="12"/>
        <v/>
      </c>
      <c r="Z32" s="39" t="str">
        <f>IF(L32="","",IF(V32&gt;0,INDEX('09-أيلول'!$Q$2:$Q$500,V32),IF($AO$1=1,0,"")))</f>
        <v/>
      </c>
      <c r="AA32" s="39" t="str">
        <f t="shared" si="13"/>
        <v/>
      </c>
      <c r="AB32" s="40" t="str">
        <f>IF(OR(L32="",V32=0),"",IF(AND(N(I32)&gt;0,N(INDEX('09-أيلول'!$I$2:$I$500,V32))&gt;0,INDEX('09-أيلول'!$F$2:$F$500,V32)=F32),N(I32)/N(INDEX('09-أيلول'!$I$2:$I$500,V32))-1,""))</f>
        <v/>
      </c>
      <c r="AC32" t="str">
        <f>IF(L32="","",IF(AND($AO$2=1,ISNA(MATCH(L32,'11-تشرين الثاني'!$L$2:$L$501,0))),"محذوف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IF(L33="","",IF($AO$1=1,IFERROR(MATCH(L33,'09-أيلول'!$L$2:$L$500,0),0),0))</f>
        <v/>
      </c>
      <c r="W33" t="str">
        <f t="shared" si="11"/>
        <v/>
      </c>
      <c r="X33" s="38" t="str">
        <f>IF(L33="","",IF(V33&gt;0,INDEX('09-أيلول'!$P$2:$P$500,V33),IF($AO$1=1,0,"")))</f>
        <v/>
      </c>
      <c r="Y33" s="38" t="str">
        <f t="shared" si="12"/>
        <v/>
      </c>
      <c r="Z33" s="39" t="str">
        <f>IF(L33="","",IF(V33&gt;0,INDEX('09-أيلول'!$Q$2:$Q$500,V33),IF($AO$1=1,0,"")))</f>
        <v/>
      </c>
      <c r="AA33" s="39" t="str">
        <f t="shared" si="13"/>
        <v/>
      </c>
      <c r="AB33" s="40" t="str">
        <f>IF(OR(L33="",V33=0),"",IF(AND(N(I33)&gt;0,N(INDEX('09-أيلول'!$I$2:$I$500,V33))&gt;0,INDEX('09-أيلول'!$F$2:$F$500,V33)=F33),N(I33)/N(INDEX('09-أيلول'!$I$2:$I$500,V33))-1,""))</f>
        <v/>
      </c>
      <c r="AC33" t="str">
        <f>IF(L33="","",IF(AND($AO$2=1,ISNA(MATCH(L33,'11-تشرين الثاني'!$L$2:$L$501,0))),"محذوف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IF(L34="","",IF($AO$1=1,IFERROR(MATCH(L34,'09-أيلول'!$L$2:$L$500,0),0),0))</f>
        <v/>
      </c>
      <c r="W34" t="str">
        <f t="shared" si="11"/>
        <v/>
      </c>
      <c r="X34" s="38" t="str">
        <f>IF(L34="","",IF(V34&gt;0,INDEX('09-أيلول'!$P$2:$P$500,V34),IF($AO$1=1,0,"")))</f>
        <v/>
      </c>
      <c r="Y34" s="38" t="str">
        <f t="shared" si="12"/>
        <v/>
      </c>
      <c r="Z34" s="39" t="str">
        <f>IF(L34="","",IF(V34&gt;0,INDEX('09-أيلول'!$Q$2:$Q$500,V34),IF($AO$1=1,0,"")))</f>
        <v/>
      </c>
      <c r="AA34" s="39" t="str">
        <f t="shared" si="13"/>
        <v/>
      </c>
      <c r="AB34" s="40" t="str">
        <f>IF(OR(L34="",V34=0),"",IF(AND(N(I34)&gt;0,N(INDEX('09-أيلول'!$I$2:$I$500,V34))&gt;0,INDEX('09-أيلول'!$F$2:$F$500,V34)=F34),N(I34)/N(INDEX('09-أيلول'!$I$2:$I$500,V34))-1,""))</f>
        <v/>
      </c>
      <c r="AC34" t="str">
        <f>IF(L34="","",IF(AND($AO$2=1,ISNA(MATCH(L34,'11-تشرين الثاني'!$L$2:$L$501,0))),"محذوف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IF(L35="","",IF($AO$1=1,IFERROR(MATCH(L35,'09-أيلول'!$L$2:$L$500,0),0),0))</f>
        <v/>
      </c>
      <c r="W35" t="str">
        <f t="shared" si="11"/>
        <v/>
      </c>
      <c r="X35" s="38" t="str">
        <f>IF(L35="","",IF(V35&gt;0,INDEX('09-أيلول'!$P$2:$P$500,V35),IF($AO$1=1,0,"")))</f>
        <v/>
      </c>
      <c r="Y35" s="38" t="str">
        <f t="shared" si="12"/>
        <v/>
      </c>
      <c r="Z35" s="39" t="str">
        <f>IF(L35="","",IF(V35&gt;0,INDEX('09-أيلول'!$Q$2:$Q$500,V35),IF($AO$1=1,0,"")))</f>
        <v/>
      </c>
      <c r="AA35" s="39" t="str">
        <f t="shared" si="13"/>
        <v/>
      </c>
      <c r="AB35" s="40" t="str">
        <f>IF(OR(L35="",V35=0),"",IF(AND(N(I35)&gt;0,N(INDEX('09-أيلول'!$I$2:$I$500,V35))&gt;0,INDEX('09-أيلول'!$F$2:$F$500,V35)=F35),N(I35)/N(INDEX('09-أيلول'!$I$2:$I$500,V35))-1,""))</f>
        <v/>
      </c>
      <c r="AC35" t="str">
        <f>IF(L35="","",IF(AND($AO$2=1,ISNA(MATCH(L35,'11-تشرين الثاني'!$L$2:$L$501,0))),"محذوف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IF(L36="","",IF($AO$1=1,IFERROR(MATCH(L36,'09-أيلول'!$L$2:$L$500,0),0),0))</f>
        <v/>
      </c>
      <c r="W36" t="str">
        <f t="shared" si="11"/>
        <v/>
      </c>
      <c r="X36" s="38" t="str">
        <f>IF(L36="","",IF(V36&gt;0,INDEX('09-أيلول'!$P$2:$P$500,V36),IF($AO$1=1,0,"")))</f>
        <v/>
      </c>
      <c r="Y36" s="38" t="str">
        <f t="shared" si="12"/>
        <v/>
      </c>
      <c r="Z36" s="39" t="str">
        <f>IF(L36="","",IF(V36&gt;0,INDEX('09-أيلول'!$Q$2:$Q$500,V36),IF($AO$1=1,0,"")))</f>
        <v/>
      </c>
      <c r="AA36" s="39" t="str">
        <f t="shared" si="13"/>
        <v/>
      </c>
      <c r="AB36" s="40" t="str">
        <f>IF(OR(L36="",V36=0),"",IF(AND(N(I36)&gt;0,N(INDEX('09-أيلول'!$I$2:$I$500,V36))&gt;0,INDEX('09-أيلول'!$F$2:$F$500,V36)=F36),N(I36)/N(INDEX('09-أيلول'!$I$2:$I$500,V36))-1,""))</f>
        <v/>
      </c>
      <c r="AC36" t="str">
        <f>IF(L36="","",IF(AND($AO$2=1,ISNA(MATCH(L36,'11-تشرين الثاني'!$L$2:$L$501,0))),"محذوف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IF(L37="","",IF($AO$1=1,IFERROR(MATCH(L37,'09-أيلول'!$L$2:$L$500,0),0),0))</f>
        <v/>
      </c>
      <c r="W37" t="str">
        <f t="shared" si="11"/>
        <v/>
      </c>
      <c r="X37" s="38" t="str">
        <f>IF(L37="","",IF(V37&gt;0,INDEX('09-أيلول'!$P$2:$P$500,V37),IF($AO$1=1,0,"")))</f>
        <v/>
      </c>
      <c r="Y37" s="38" t="str">
        <f t="shared" si="12"/>
        <v/>
      </c>
      <c r="Z37" s="39" t="str">
        <f>IF(L37="","",IF(V37&gt;0,INDEX('09-أيلول'!$Q$2:$Q$500,V37),IF($AO$1=1,0,"")))</f>
        <v/>
      </c>
      <c r="AA37" s="39" t="str">
        <f t="shared" si="13"/>
        <v/>
      </c>
      <c r="AB37" s="40" t="str">
        <f>IF(OR(L37="",V37=0),"",IF(AND(N(I37)&gt;0,N(INDEX('09-أيلول'!$I$2:$I$500,V37))&gt;0,INDEX('09-أيلول'!$F$2:$F$500,V37)=F37),N(I37)/N(INDEX('09-أيلول'!$I$2:$I$500,V37))-1,""))</f>
        <v/>
      </c>
      <c r="AC37" t="str">
        <f>IF(L37="","",IF(AND($AO$2=1,ISNA(MATCH(L37,'11-تشرين الثاني'!$L$2:$L$501,0))),"محذوف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IF(L38="","",IF($AO$1=1,IFERROR(MATCH(L38,'09-أيلول'!$L$2:$L$500,0),0),0))</f>
        <v/>
      </c>
      <c r="W38" t="str">
        <f t="shared" si="11"/>
        <v/>
      </c>
      <c r="X38" s="38" t="str">
        <f>IF(L38="","",IF(V38&gt;0,INDEX('09-أيلول'!$P$2:$P$500,V38),IF($AO$1=1,0,"")))</f>
        <v/>
      </c>
      <c r="Y38" s="38" t="str">
        <f t="shared" si="12"/>
        <v/>
      </c>
      <c r="Z38" s="39" t="str">
        <f>IF(L38="","",IF(V38&gt;0,INDEX('09-أيلول'!$Q$2:$Q$500,V38),IF($AO$1=1,0,"")))</f>
        <v/>
      </c>
      <c r="AA38" s="39" t="str">
        <f t="shared" si="13"/>
        <v/>
      </c>
      <c r="AB38" s="40" t="str">
        <f>IF(OR(L38="",V38=0),"",IF(AND(N(I38)&gt;0,N(INDEX('09-أيلول'!$I$2:$I$500,V38))&gt;0,INDEX('09-أيلول'!$F$2:$F$500,V38)=F38),N(I38)/N(INDEX('09-أيلول'!$I$2:$I$500,V38))-1,""))</f>
        <v/>
      </c>
      <c r="AC38" t="str">
        <f>IF(L38="","",IF(AND($AO$2=1,ISNA(MATCH(L38,'11-تشرين الثاني'!$L$2:$L$501,0))),"محذوف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IF(L39="","",IF($AO$1=1,IFERROR(MATCH(L39,'09-أيلول'!$L$2:$L$500,0),0),0))</f>
        <v/>
      </c>
      <c r="W39" t="str">
        <f t="shared" si="11"/>
        <v/>
      </c>
      <c r="X39" s="38" t="str">
        <f>IF(L39="","",IF(V39&gt;0,INDEX('09-أيلول'!$P$2:$P$500,V39),IF($AO$1=1,0,"")))</f>
        <v/>
      </c>
      <c r="Y39" s="38" t="str">
        <f t="shared" si="12"/>
        <v/>
      </c>
      <c r="Z39" s="39" t="str">
        <f>IF(L39="","",IF(V39&gt;0,INDEX('09-أيلول'!$Q$2:$Q$500,V39),IF($AO$1=1,0,"")))</f>
        <v/>
      </c>
      <c r="AA39" s="39" t="str">
        <f t="shared" si="13"/>
        <v/>
      </c>
      <c r="AB39" s="40" t="str">
        <f>IF(OR(L39="",V39=0),"",IF(AND(N(I39)&gt;0,N(INDEX('09-أيلول'!$I$2:$I$500,V39))&gt;0,INDEX('09-أيلول'!$F$2:$F$500,V39)=F39),N(I39)/N(INDEX('09-أيلول'!$I$2:$I$500,V39))-1,""))</f>
        <v/>
      </c>
      <c r="AC39" t="str">
        <f>IF(L39="","",IF(AND($AO$2=1,ISNA(MATCH(L39,'11-تشرين الثاني'!$L$2:$L$501,0))),"محذوف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IF(L40="","",IF($AO$1=1,IFERROR(MATCH(L40,'09-أيلول'!$L$2:$L$500,0),0),0))</f>
        <v/>
      </c>
      <c r="W40" t="str">
        <f t="shared" si="11"/>
        <v/>
      </c>
      <c r="X40" s="38" t="str">
        <f>IF(L40="","",IF(V40&gt;0,INDEX('09-أيلول'!$P$2:$P$500,V40),IF($AO$1=1,0,"")))</f>
        <v/>
      </c>
      <c r="Y40" s="38" t="str">
        <f t="shared" si="12"/>
        <v/>
      </c>
      <c r="Z40" s="39" t="str">
        <f>IF(L40="","",IF(V40&gt;0,INDEX('09-أيلول'!$Q$2:$Q$500,V40),IF($AO$1=1,0,"")))</f>
        <v/>
      </c>
      <c r="AA40" s="39" t="str">
        <f t="shared" si="13"/>
        <v/>
      </c>
      <c r="AB40" s="40" t="str">
        <f>IF(OR(L40="",V40=0),"",IF(AND(N(I40)&gt;0,N(INDEX('09-أيلول'!$I$2:$I$500,V40))&gt;0,INDEX('09-أيلول'!$F$2:$F$500,V40)=F40),N(I40)/N(INDEX('09-أيلول'!$I$2:$I$500,V40))-1,""))</f>
        <v/>
      </c>
      <c r="AC40" t="str">
        <f>IF(L40="","",IF(AND($AO$2=1,ISNA(MATCH(L40,'11-تشرين الثاني'!$L$2:$L$501,0))),"محذوف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IF(L41="","",IF($AO$1=1,IFERROR(MATCH(L41,'09-أيلول'!$L$2:$L$500,0),0),0))</f>
        <v/>
      </c>
      <c r="W41" t="str">
        <f t="shared" si="11"/>
        <v/>
      </c>
      <c r="X41" s="38" t="str">
        <f>IF(L41="","",IF(V41&gt;0,INDEX('09-أيلول'!$P$2:$P$500,V41),IF($AO$1=1,0,"")))</f>
        <v/>
      </c>
      <c r="Y41" s="38" t="str">
        <f t="shared" si="12"/>
        <v/>
      </c>
      <c r="Z41" s="39" t="str">
        <f>IF(L41="","",IF(V41&gt;0,INDEX('09-أيلول'!$Q$2:$Q$500,V41),IF($AO$1=1,0,"")))</f>
        <v/>
      </c>
      <c r="AA41" s="39" t="str">
        <f t="shared" si="13"/>
        <v/>
      </c>
      <c r="AB41" s="40" t="str">
        <f>IF(OR(L41="",V41=0),"",IF(AND(N(I41)&gt;0,N(INDEX('09-أيلول'!$I$2:$I$500,V41))&gt;0,INDEX('09-أيلول'!$F$2:$F$500,V41)=F41),N(I41)/N(INDEX('09-أيلول'!$I$2:$I$500,V41))-1,""))</f>
        <v/>
      </c>
      <c r="AC41" t="str">
        <f>IF(L41="","",IF(AND($AO$2=1,ISNA(MATCH(L41,'11-تشرين الثاني'!$L$2:$L$501,0))),"محذوف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IF(L42="","",IF($AO$1=1,IFERROR(MATCH(L42,'09-أيلول'!$L$2:$L$500,0),0),0))</f>
        <v/>
      </c>
      <c r="W42" t="str">
        <f t="shared" si="11"/>
        <v/>
      </c>
      <c r="X42" s="38" t="str">
        <f>IF(L42="","",IF(V42&gt;0,INDEX('09-أيلول'!$P$2:$P$500,V42),IF($AO$1=1,0,"")))</f>
        <v/>
      </c>
      <c r="Y42" s="38" t="str">
        <f t="shared" si="12"/>
        <v/>
      </c>
      <c r="Z42" s="39" t="str">
        <f>IF(L42="","",IF(V42&gt;0,INDEX('09-أيلول'!$Q$2:$Q$500,V42),IF($AO$1=1,0,"")))</f>
        <v/>
      </c>
      <c r="AA42" s="39" t="str">
        <f t="shared" si="13"/>
        <v/>
      </c>
      <c r="AB42" s="40" t="str">
        <f>IF(OR(L42="",V42=0),"",IF(AND(N(I42)&gt;0,N(INDEX('09-أيلول'!$I$2:$I$500,V42))&gt;0,INDEX('09-أيلول'!$F$2:$F$500,V42)=F42),N(I42)/N(INDEX('09-أيلول'!$I$2:$I$500,V42))-1,""))</f>
        <v/>
      </c>
      <c r="AC42" t="str">
        <f>IF(L42="","",IF(AND($AO$2=1,ISNA(MATCH(L42,'11-تشرين الثاني'!$L$2:$L$501,0))),"محذوف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IF(L43="","",IF($AO$1=1,IFERROR(MATCH(L43,'09-أيلول'!$L$2:$L$500,0),0),0))</f>
        <v/>
      </c>
      <c r="W43" t="str">
        <f t="shared" si="11"/>
        <v/>
      </c>
      <c r="X43" s="38" t="str">
        <f>IF(L43="","",IF(V43&gt;0,INDEX('09-أيلول'!$P$2:$P$500,V43),IF($AO$1=1,0,"")))</f>
        <v/>
      </c>
      <c r="Y43" s="38" t="str">
        <f t="shared" si="12"/>
        <v/>
      </c>
      <c r="Z43" s="39" t="str">
        <f>IF(L43="","",IF(V43&gt;0,INDEX('09-أيلول'!$Q$2:$Q$500,V43),IF($AO$1=1,0,"")))</f>
        <v/>
      </c>
      <c r="AA43" s="39" t="str">
        <f t="shared" si="13"/>
        <v/>
      </c>
      <c r="AB43" s="40" t="str">
        <f>IF(OR(L43="",V43=0),"",IF(AND(N(I43)&gt;0,N(INDEX('09-أيلول'!$I$2:$I$500,V43))&gt;0,INDEX('09-أيلول'!$F$2:$F$500,V43)=F43),N(I43)/N(INDEX('09-أيلول'!$I$2:$I$500,V43))-1,""))</f>
        <v/>
      </c>
      <c r="AC43" t="str">
        <f>IF(L43="","",IF(AND($AO$2=1,ISNA(MATCH(L43,'11-تشرين الثاني'!$L$2:$L$501,0))),"محذوف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IF(L44="","",IF($AO$1=1,IFERROR(MATCH(L44,'09-أيلول'!$L$2:$L$500,0),0),0))</f>
        <v/>
      </c>
      <c r="W44" t="str">
        <f t="shared" si="11"/>
        <v/>
      </c>
      <c r="X44" s="38" t="str">
        <f>IF(L44="","",IF(V44&gt;0,INDEX('09-أيلول'!$P$2:$P$500,V44),IF($AO$1=1,0,"")))</f>
        <v/>
      </c>
      <c r="Y44" s="38" t="str">
        <f t="shared" si="12"/>
        <v/>
      </c>
      <c r="Z44" s="39" t="str">
        <f>IF(L44="","",IF(V44&gt;0,INDEX('09-أيلول'!$Q$2:$Q$500,V44),IF($AO$1=1,0,"")))</f>
        <v/>
      </c>
      <c r="AA44" s="39" t="str">
        <f t="shared" si="13"/>
        <v/>
      </c>
      <c r="AB44" s="40" t="str">
        <f>IF(OR(L44="",V44=0),"",IF(AND(N(I44)&gt;0,N(INDEX('09-أيلول'!$I$2:$I$500,V44))&gt;0,INDEX('09-أيلول'!$F$2:$F$500,V44)=F44),N(I44)/N(INDEX('09-أيلول'!$I$2:$I$500,V44))-1,""))</f>
        <v/>
      </c>
      <c r="AC44" t="str">
        <f>IF(L44="","",IF(AND($AO$2=1,ISNA(MATCH(L44,'11-تشرين الثاني'!$L$2:$L$501,0))),"محذوف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IF(L45="","",IF($AO$1=1,IFERROR(MATCH(L45,'09-أيلول'!$L$2:$L$500,0),0),0))</f>
        <v/>
      </c>
      <c r="W45" t="str">
        <f t="shared" si="11"/>
        <v/>
      </c>
      <c r="X45" s="38" t="str">
        <f>IF(L45="","",IF(V45&gt;0,INDEX('09-أيلول'!$P$2:$P$500,V45),IF($AO$1=1,0,"")))</f>
        <v/>
      </c>
      <c r="Y45" s="38" t="str">
        <f t="shared" si="12"/>
        <v/>
      </c>
      <c r="Z45" s="39" t="str">
        <f>IF(L45="","",IF(V45&gt;0,INDEX('09-أيلول'!$Q$2:$Q$500,V45),IF($AO$1=1,0,"")))</f>
        <v/>
      </c>
      <c r="AA45" s="39" t="str">
        <f t="shared" si="13"/>
        <v/>
      </c>
      <c r="AB45" s="40" t="str">
        <f>IF(OR(L45="",V45=0),"",IF(AND(N(I45)&gt;0,N(INDEX('09-أيلول'!$I$2:$I$500,V45))&gt;0,INDEX('09-أيلول'!$F$2:$F$500,V45)=F45),N(I45)/N(INDEX('09-أيلول'!$I$2:$I$500,V45))-1,""))</f>
        <v/>
      </c>
      <c r="AC45" t="str">
        <f>IF(L45="","",IF(AND($AO$2=1,ISNA(MATCH(L45,'11-تشرين الثاني'!$L$2:$L$501,0))),"محذوف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IF(L46="","",IF($AO$1=1,IFERROR(MATCH(L46,'09-أيلول'!$L$2:$L$500,0),0),0))</f>
        <v/>
      </c>
      <c r="W46" t="str">
        <f t="shared" si="11"/>
        <v/>
      </c>
      <c r="X46" s="38" t="str">
        <f>IF(L46="","",IF(V46&gt;0,INDEX('09-أيلول'!$P$2:$P$500,V46),IF($AO$1=1,0,"")))</f>
        <v/>
      </c>
      <c r="Y46" s="38" t="str">
        <f t="shared" si="12"/>
        <v/>
      </c>
      <c r="Z46" s="39" t="str">
        <f>IF(L46="","",IF(V46&gt;0,INDEX('09-أيلول'!$Q$2:$Q$500,V46),IF($AO$1=1,0,"")))</f>
        <v/>
      </c>
      <c r="AA46" s="39" t="str">
        <f t="shared" si="13"/>
        <v/>
      </c>
      <c r="AB46" s="40" t="str">
        <f>IF(OR(L46="",V46=0),"",IF(AND(N(I46)&gt;0,N(INDEX('09-أيلول'!$I$2:$I$500,V46))&gt;0,INDEX('09-أيلول'!$F$2:$F$500,V46)=F46),N(I46)/N(INDEX('09-أيلول'!$I$2:$I$500,V46))-1,""))</f>
        <v/>
      </c>
      <c r="AC46" t="str">
        <f>IF(L46="","",IF(AND($AO$2=1,ISNA(MATCH(L46,'11-تشرين الثاني'!$L$2:$L$501,0))),"محذوف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IF(L47="","",IF($AO$1=1,IFERROR(MATCH(L47,'09-أيلول'!$L$2:$L$500,0),0),0))</f>
        <v/>
      </c>
      <c r="W47" t="str">
        <f t="shared" si="11"/>
        <v/>
      </c>
      <c r="X47" s="38" t="str">
        <f>IF(L47="","",IF(V47&gt;0,INDEX('09-أيلول'!$P$2:$P$500,V47),IF($AO$1=1,0,"")))</f>
        <v/>
      </c>
      <c r="Y47" s="38" t="str">
        <f t="shared" si="12"/>
        <v/>
      </c>
      <c r="Z47" s="39" t="str">
        <f>IF(L47="","",IF(V47&gt;0,INDEX('09-أيلول'!$Q$2:$Q$500,V47),IF($AO$1=1,0,"")))</f>
        <v/>
      </c>
      <c r="AA47" s="39" t="str">
        <f t="shared" si="13"/>
        <v/>
      </c>
      <c r="AB47" s="40" t="str">
        <f>IF(OR(L47="",V47=0),"",IF(AND(N(I47)&gt;0,N(INDEX('09-أيلول'!$I$2:$I$500,V47))&gt;0,INDEX('09-أيلول'!$F$2:$F$500,V47)=F47),N(I47)/N(INDEX('09-أيلول'!$I$2:$I$500,V47))-1,""))</f>
        <v/>
      </c>
      <c r="AC47" t="str">
        <f>IF(L47="","",IF(AND($AO$2=1,ISNA(MATCH(L47,'11-تشرين الثاني'!$L$2:$L$501,0))),"محذوف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IF(L48="","",IF($AO$1=1,IFERROR(MATCH(L48,'09-أيلول'!$L$2:$L$500,0),0),0))</f>
        <v/>
      </c>
      <c r="W48" t="str">
        <f t="shared" si="11"/>
        <v/>
      </c>
      <c r="X48" s="38" t="str">
        <f>IF(L48="","",IF(V48&gt;0,INDEX('09-أيلول'!$P$2:$P$500,V48),IF($AO$1=1,0,"")))</f>
        <v/>
      </c>
      <c r="Y48" s="38" t="str">
        <f t="shared" si="12"/>
        <v/>
      </c>
      <c r="Z48" s="39" t="str">
        <f>IF(L48="","",IF(V48&gt;0,INDEX('09-أيلول'!$Q$2:$Q$500,V48),IF($AO$1=1,0,"")))</f>
        <v/>
      </c>
      <c r="AA48" s="39" t="str">
        <f t="shared" si="13"/>
        <v/>
      </c>
      <c r="AB48" s="40" t="str">
        <f>IF(OR(L48="",V48=0),"",IF(AND(N(I48)&gt;0,N(INDEX('09-أيلول'!$I$2:$I$500,V48))&gt;0,INDEX('09-أيلول'!$F$2:$F$500,V48)=F48),N(I48)/N(INDEX('09-أيلول'!$I$2:$I$500,V48))-1,""))</f>
        <v/>
      </c>
      <c r="AC48" t="str">
        <f>IF(L48="","",IF(AND($AO$2=1,ISNA(MATCH(L48,'11-تشرين الثاني'!$L$2:$L$501,0))),"محذوف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IF(L49="","",IF($AO$1=1,IFERROR(MATCH(L49,'09-أيلول'!$L$2:$L$500,0),0),0))</f>
        <v/>
      </c>
      <c r="W49" t="str">
        <f t="shared" si="11"/>
        <v/>
      </c>
      <c r="X49" s="38" t="str">
        <f>IF(L49="","",IF(V49&gt;0,INDEX('09-أيلول'!$P$2:$P$500,V49),IF($AO$1=1,0,"")))</f>
        <v/>
      </c>
      <c r="Y49" s="38" t="str">
        <f t="shared" si="12"/>
        <v/>
      </c>
      <c r="Z49" s="39" t="str">
        <f>IF(L49="","",IF(V49&gt;0,INDEX('09-أيلول'!$Q$2:$Q$500,V49),IF($AO$1=1,0,"")))</f>
        <v/>
      </c>
      <c r="AA49" s="39" t="str">
        <f t="shared" si="13"/>
        <v/>
      </c>
      <c r="AB49" s="40" t="str">
        <f>IF(OR(L49="",V49=0),"",IF(AND(N(I49)&gt;0,N(INDEX('09-أيلول'!$I$2:$I$500,V49))&gt;0,INDEX('09-أيلول'!$F$2:$F$500,V49)=F49),N(I49)/N(INDEX('09-أيلول'!$I$2:$I$500,V49))-1,""))</f>
        <v/>
      </c>
      <c r="AC49" t="str">
        <f>IF(L49="","",IF(AND($AO$2=1,ISNA(MATCH(L49,'11-تشرين الثاني'!$L$2:$L$501,0))),"محذوف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IF(L50="","",IF($AO$1=1,IFERROR(MATCH(L50,'09-أيلول'!$L$2:$L$500,0),0),0))</f>
        <v/>
      </c>
      <c r="W50" t="str">
        <f t="shared" si="11"/>
        <v/>
      </c>
      <c r="X50" s="38" t="str">
        <f>IF(L50="","",IF(V50&gt;0,INDEX('09-أيلول'!$P$2:$P$500,V50),IF($AO$1=1,0,"")))</f>
        <v/>
      </c>
      <c r="Y50" s="38" t="str">
        <f t="shared" si="12"/>
        <v/>
      </c>
      <c r="Z50" s="39" t="str">
        <f>IF(L50="","",IF(V50&gt;0,INDEX('09-أيلول'!$Q$2:$Q$500,V50),IF($AO$1=1,0,"")))</f>
        <v/>
      </c>
      <c r="AA50" s="39" t="str">
        <f t="shared" si="13"/>
        <v/>
      </c>
      <c r="AB50" s="40" t="str">
        <f>IF(OR(L50="",V50=0),"",IF(AND(N(I50)&gt;0,N(INDEX('09-أيلول'!$I$2:$I$500,V50))&gt;0,INDEX('09-أيلول'!$F$2:$F$500,V50)=F50),N(I50)/N(INDEX('09-أيلول'!$I$2:$I$500,V50))-1,""))</f>
        <v/>
      </c>
      <c r="AC50" t="str">
        <f>IF(L50="","",IF(AND($AO$2=1,ISNA(MATCH(L50,'11-تشرين الثاني'!$L$2:$L$501,0))),"محذوف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IF(L51="","",IF($AO$1=1,IFERROR(MATCH(L51,'09-أيلول'!$L$2:$L$500,0),0),0))</f>
        <v/>
      </c>
      <c r="W51" t="str">
        <f t="shared" si="11"/>
        <v/>
      </c>
      <c r="X51" s="38" t="str">
        <f>IF(L51="","",IF(V51&gt;0,INDEX('09-أيلول'!$P$2:$P$500,V51),IF($AO$1=1,0,"")))</f>
        <v/>
      </c>
      <c r="Y51" s="38" t="str">
        <f t="shared" si="12"/>
        <v/>
      </c>
      <c r="Z51" s="39" t="str">
        <f>IF(L51="","",IF(V51&gt;0,INDEX('09-أيلول'!$Q$2:$Q$500,V51),IF($AO$1=1,0,"")))</f>
        <v/>
      </c>
      <c r="AA51" s="39" t="str">
        <f t="shared" si="13"/>
        <v/>
      </c>
      <c r="AB51" s="40" t="str">
        <f>IF(OR(L51="",V51=0),"",IF(AND(N(I51)&gt;0,N(INDEX('09-أيلول'!$I$2:$I$500,V51))&gt;0,INDEX('09-أيلول'!$F$2:$F$500,V51)=F51),N(I51)/N(INDEX('09-أيلول'!$I$2:$I$500,V51))-1,""))</f>
        <v/>
      </c>
      <c r="AC51" t="str">
        <f>IF(L51="","",IF(AND($AO$2=1,ISNA(MATCH(L51,'11-تشرين الثاني'!$L$2:$L$501,0))),"محذوف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IF(L52="","",IF($AO$1=1,IFERROR(MATCH(L52,'09-أيلول'!$L$2:$L$500,0),0),0))</f>
        <v/>
      </c>
      <c r="W52" t="str">
        <f t="shared" si="11"/>
        <v/>
      </c>
      <c r="X52" s="38" t="str">
        <f>IF(L52="","",IF(V52&gt;0,INDEX('09-أيلول'!$P$2:$P$500,V52),IF($AO$1=1,0,"")))</f>
        <v/>
      </c>
      <c r="Y52" s="38" t="str">
        <f t="shared" si="12"/>
        <v/>
      </c>
      <c r="Z52" s="39" t="str">
        <f>IF(L52="","",IF(V52&gt;0,INDEX('09-أيلول'!$Q$2:$Q$500,V52),IF($AO$1=1,0,"")))</f>
        <v/>
      </c>
      <c r="AA52" s="39" t="str">
        <f t="shared" si="13"/>
        <v/>
      </c>
      <c r="AB52" s="40" t="str">
        <f>IF(OR(L52="",V52=0),"",IF(AND(N(I52)&gt;0,N(INDEX('09-أيلول'!$I$2:$I$500,V52))&gt;0,INDEX('09-أيلول'!$F$2:$F$500,V52)=F52),N(I52)/N(INDEX('09-أيلول'!$I$2:$I$500,V52))-1,""))</f>
        <v/>
      </c>
      <c r="AC52" t="str">
        <f>IF(L52="","",IF(AND($AO$2=1,ISNA(MATCH(L52,'11-تشرين الثاني'!$L$2:$L$501,0))),"محذوف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IF(L53="","",IF($AO$1=1,IFERROR(MATCH(L53,'09-أيلول'!$L$2:$L$500,0),0),0))</f>
        <v/>
      </c>
      <c r="W53" t="str">
        <f t="shared" si="11"/>
        <v/>
      </c>
      <c r="X53" s="38" t="str">
        <f>IF(L53="","",IF(V53&gt;0,INDEX('09-أيلول'!$P$2:$P$500,V53),IF($AO$1=1,0,"")))</f>
        <v/>
      </c>
      <c r="Y53" s="38" t="str">
        <f t="shared" si="12"/>
        <v/>
      </c>
      <c r="Z53" s="39" t="str">
        <f>IF(L53="","",IF(V53&gt;0,INDEX('09-أيلول'!$Q$2:$Q$500,V53),IF($AO$1=1,0,"")))</f>
        <v/>
      </c>
      <c r="AA53" s="39" t="str">
        <f t="shared" si="13"/>
        <v/>
      </c>
      <c r="AB53" s="40" t="str">
        <f>IF(OR(L53="",V53=0),"",IF(AND(N(I53)&gt;0,N(INDEX('09-أيلول'!$I$2:$I$500,V53))&gt;0,INDEX('09-أيلول'!$F$2:$F$500,V53)=F53),N(I53)/N(INDEX('09-أيلول'!$I$2:$I$500,V53))-1,""))</f>
        <v/>
      </c>
      <c r="AC53" t="str">
        <f>IF(L53="","",IF(AND($AO$2=1,ISNA(MATCH(L53,'11-تشرين الثاني'!$L$2:$L$501,0))),"محذوف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IF(L54="","",IF($AO$1=1,IFERROR(MATCH(L54,'09-أيلول'!$L$2:$L$500,0),0),0))</f>
        <v/>
      </c>
      <c r="W54" t="str">
        <f t="shared" si="11"/>
        <v/>
      </c>
      <c r="X54" s="38" t="str">
        <f>IF(L54="","",IF(V54&gt;0,INDEX('09-أيلول'!$P$2:$P$500,V54),IF($AO$1=1,0,"")))</f>
        <v/>
      </c>
      <c r="Y54" s="38" t="str">
        <f t="shared" si="12"/>
        <v/>
      </c>
      <c r="Z54" s="39" t="str">
        <f>IF(L54="","",IF(V54&gt;0,INDEX('09-أيلول'!$Q$2:$Q$500,V54),IF($AO$1=1,0,"")))</f>
        <v/>
      </c>
      <c r="AA54" s="39" t="str">
        <f t="shared" si="13"/>
        <v/>
      </c>
      <c r="AB54" s="40" t="str">
        <f>IF(OR(L54="",V54=0),"",IF(AND(N(I54)&gt;0,N(INDEX('09-أيلول'!$I$2:$I$500,V54))&gt;0,INDEX('09-أيلول'!$F$2:$F$500,V54)=F54),N(I54)/N(INDEX('09-أيلول'!$I$2:$I$500,V54))-1,""))</f>
        <v/>
      </c>
      <c r="AC54" t="str">
        <f>IF(L54="","",IF(AND($AO$2=1,ISNA(MATCH(L54,'11-تشرين الثاني'!$L$2:$L$501,0))),"محذوف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IF(L55="","",IF($AO$1=1,IFERROR(MATCH(L55,'09-أيلول'!$L$2:$L$500,0),0),0))</f>
        <v/>
      </c>
      <c r="W55" t="str">
        <f t="shared" si="11"/>
        <v/>
      </c>
      <c r="X55" s="38" t="str">
        <f>IF(L55="","",IF(V55&gt;0,INDEX('09-أيلول'!$P$2:$P$500,V55),IF($AO$1=1,0,"")))</f>
        <v/>
      </c>
      <c r="Y55" s="38" t="str">
        <f t="shared" si="12"/>
        <v/>
      </c>
      <c r="Z55" s="39" t="str">
        <f>IF(L55="","",IF(V55&gt;0,INDEX('09-أيلول'!$Q$2:$Q$500,V55),IF($AO$1=1,0,"")))</f>
        <v/>
      </c>
      <c r="AA55" s="39" t="str">
        <f t="shared" si="13"/>
        <v/>
      </c>
      <c r="AB55" s="40" t="str">
        <f>IF(OR(L55="",V55=0),"",IF(AND(N(I55)&gt;0,N(INDEX('09-أيلول'!$I$2:$I$500,V55))&gt;0,INDEX('09-أيلول'!$F$2:$F$500,V55)=F55),N(I55)/N(INDEX('09-أيلول'!$I$2:$I$500,V55))-1,""))</f>
        <v/>
      </c>
      <c r="AC55" t="str">
        <f>IF(L55="","",IF(AND($AO$2=1,ISNA(MATCH(L55,'11-تشرين الثاني'!$L$2:$L$501,0))),"محذوف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IF(L56="","",IF($AO$1=1,IFERROR(MATCH(L56,'09-أيلول'!$L$2:$L$500,0),0),0))</f>
        <v/>
      </c>
      <c r="W56" t="str">
        <f t="shared" si="11"/>
        <v/>
      </c>
      <c r="X56" s="38" t="str">
        <f>IF(L56="","",IF(V56&gt;0,INDEX('09-أيلول'!$P$2:$P$500,V56),IF($AO$1=1,0,"")))</f>
        <v/>
      </c>
      <c r="Y56" s="38" t="str">
        <f t="shared" si="12"/>
        <v/>
      </c>
      <c r="Z56" s="39" t="str">
        <f>IF(L56="","",IF(V56&gt;0,INDEX('09-أيلول'!$Q$2:$Q$500,V56),IF($AO$1=1,0,"")))</f>
        <v/>
      </c>
      <c r="AA56" s="39" t="str">
        <f t="shared" si="13"/>
        <v/>
      </c>
      <c r="AB56" s="40" t="str">
        <f>IF(OR(L56="",V56=0),"",IF(AND(N(I56)&gt;0,N(INDEX('09-أيلول'!$I$2:$I$500,V56))&gt;0,INDEX('09-أيلول'!$F$2:$F$500,V56)=F56),N(I56)/N(INDEX('09-أيلول'!$I$2:$I$500,V56))-1,""))</f>
        <v/>
      </c>
      <c r="AC56" t="str">
        <f>IF(L56="","",IF(AND($AO$2=1,ISNA(MATCH(L56,'11-تشرين الثاني'!$L$2:$L$501,0))),"محذوف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IF(L57="","",IF($AO$1=1,IFERROR(MATCH(L57,'09-أيلول'!$L$2:$L$500,0),0),0))</f>
        <v/>
      </c>
      <c r="W57" t="str">
        <f t="shared" si="11"/>
        <v/>
      </c>
      <c r="X57" s="38" t="str">
        <f>IF(L57="","",IF(V57&gt;0,INDEX('09-أيلول'!$P$2:$P$500,V57),IF($AO$1=1,0,"")))</f>
        <v/>
      </c>
      <c r="Y57" s="38" t="str">
        <f t="shared" si="12"/>
        <v/>
      </c>
      <c r="Z57" s="39" t="str">
        <f>IF(L57="","",IF(V57&gt;0,INDEX('09-أيلول'!$Q$2:$Q$500,V57),IF($AO$1=1,0,"")))</f>
        <v/>
      </c>
      <c r="AA57" s="39" t="str">
        <f t="shared" si="13"/>
        <v/>
      </c>
      <c r="AB57" s="40" t="str">
        <f>IF(OR(L57="",V57=0),"",IF(AND(N(I57)&gt;0,N(INDEX('09-أيلول'!$I$2:$I$500,V57))&gt;0,INDEX('09-أيلول'!$F$2:$F$500,V57)=F57),N(I57)/N(INDEX('09-أيلول'!$I$2:$I$500,V57))-1,""))</f>
        <v/>
      </c>
      <c r="AC57" t="str">
        <f>IF(L57="","",IF(AND($AO$2=1,ISNA(MATCH(L57,'11-تشرين الثاني'!$L$2:$L$501,0))),"محذوف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IF(L58="","",IF($AO$1=1,IFERROR(MATCH(L58,'09-أيلول'!$L$2:$L$500,0),0),0))</f>
        <v/>
      </c>
      <c r="W58" t="str">
        <f t="shared" si="11"/>
        <v/>
      </c>
      <c r="X58" s="38" t="str">
        <f>IF(L58="","",IF(V58&gt;0,INDEX('09-أيلول'!$P$2:$P$500,V58),IF($AO$1=1,0,"")))</f>
        <v/>
      </c>
      <c r="Y58" s="38" t="str">
        <f t="shared" si="12"/>
        <v/>
      </c>
      <c r="Z58" s="39" t="str">
        <f>IF(L58="","",IF(V58&gt;0,INDEX('09-أيلول'!$Q$2:$Q$500,V58),IF($AO$1=1,0,"")))</f>
        <v/>
      </c>
      <c r="AA58" s="39" t="str">
        <f t="shared" si="13"/>
        <v/>
      </c>
      <c r="AB58" s="40" t="str">
        <f>IF(OR(L58="",V58=0),"",IF(AND(N(I58)&gt;0,N(INDEX('09-أيلول'!$I$2:$I$500,V58))&gt;0,INDEX('09-أيلول'!$F$2:$F$500,V58)=F58),N(I58)/N(INDEX('09-أيلول'!$I$2:$I$500,V58))-1,""))</f>
        <v/>
      </c>
      <c r="AC58" t="str">
        <f>IF(L58="","",IF(AND($AO$2=1,ISNA(MATCH(L58,'11-تشرين الثاني'!$L$2:$L$501,0))),"محذوف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IF(L59="","",IF($AO$1=1,IFERROR(MATCH(L59,'09-أيلول'!$L$2:$L$500,0),0),0))</f>
        <v/>
      </c>
      <c r="W59" t="str">
        <f t="shared" si="11"/>
        <v/>
      </c>
      <c r="X59" s="38" t="str">
        <f>IF(L59="","",IF(V59&gt;0,INDEX('09-أيلول'!$P$2:$P$500,V59),IF($AO$1=1,0,"")))</f>
        <v/>
      </c>
      <c r="Y59" s="38" t="str">
        <f t="shared" si="12"/>
        <v/>
      </c>
      <c r="Z59" s="39" t="str">
        <f>IF(L59="","",IF(V59&gt;0,INDEX('09-أيلول'!$Q$2:$Q$500,V59),IF($AO$1=1,0,"")))</f>
        <v/>
      </c>
      <c r="AA59" s="39" t="str">
        <f t="shared" si="13"/>
        <v/>
      </c>
      <c r="AB59" s="40" t="str">
        <f>IF(OR(L59="",V59=0),"",IF(AND(N(I59)&gt;0,N(INDEX('09-أيلول'!$I$2:$I$500,V59))&gt;0,INDEX('09-أيلول'!$F$2:$F$500,V59)=F59),N(I59)/N(INDEX('09-أيلول'!$I$2:$I$500,V59))-1,""))</f>
        <v/>
      </c>
      <c r="AC59" t="str">
        <f>IF(L59="","",IF(AND($AO$2=1,ISNA(MATCH(L59,'11-تشرين الثاني'!$L$2:$L$501,0))),"محذوف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IF(L60="","",IF($AO$1=1,IFERROR(MATCH(L60,'09-أيلول'!$L$2:$L$500,0),0),0))</f>
        <v/>
      </c>
      <c r="W60" t="str">
        <f t="shared" si="11"/>
        <v/>
      </c>
      <c r="X60" s="38" t="str">
        <f>IF(L60="","",IF(V60&gt;0,INDEX('09-أيلول'!$P$2:$P$500,V60),IF($AO$1=1,0,"")))</f>
        <v/>
      </c>
      <c r="Y60" s="38" t="str">
        <f t="shared" si="12"/>
        <v/>
      </c>
      <c r="Z60" s="39" t="str">
        <f>IF(L60="","",IF(V60&gt;0,INDEX('09-أيلول'!$Q$2:$Q$500,V60),IF($AO$1=1,0,"")))</f>
        <v/>
      </c>
      <c r="AA60" s="39" t="str">
        <f t="shared" si="13"/>
        <v/>
      </c>
      <c r="AB60" s="40" t="str">
        <f>IF(OR(L60="",V60=0),"",IF(AND(N(I60)&gt;0,N(INDEX('09-أيلول'!$I$2:$I$500,V60))&gt;0,INDEX('09-أيلول'!$F$2:$F$500,V60)=F60),N(I60)/N(INDEX('09-أيلول'!$I$2:$I$500,V60))-1,""))</f>
        <v/>
      </c>
      <c r="AC60" t="str">
        <f>IF(L60="","",IF(AND($AO$2=1,ISNA(MATCH(L60,'11-تشرين الثاني'!$L$2:$L$501,0))),"محذوف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IF(L61="","",IF($AO$1=1,IFERROR(MATCH(L61,'09-أيلول'!$L$2:$L$500,0),0),0))</f>
        <v/>
      </c>
      <c r="W61" t="str">
        <f t="shared" si="11"/>
        <v/>
      </c>
      <c r="X61" s="38" t="str">
        <f>IF(L61="","",IF(V61&gt;0,INDEX('09-أيلول'!$P$2:$P$500,V61),IF($AO$1=1,0,"")))</f>
        <v/>
      </c>
      <c r="Y61" s="38" t="str">
        <f t="shared" si="12"/>
        <v/>
      </c>
      <c r="Z61" s="39" t="str">
        <f>IF(L61="","",IF(V61&gt;0,INDEX('09-أيلول'!$Q$2:$Q$500,V61),IF($AO$1=1,0,"")))</f>
        <v/>
      </c>
      <c r="AA61" s="39" t="str">
        <f t="shared" si="13"/>
        <v/>
      </c>
      <c r="AB61" s="40" t="str">
        <f>IF(OR(L61="",V61=0),"",IF(AND(N(I61)&gt;0,N(INDEX('09-أيلول'!$I$2:$I$500,V61))&gt;0,INDEX('09-أيلول'!$F$2:$F$500,V61)=F61),N(I61)/N(INDEX('09-أيلول'!$I$2:$I$500,V61))-1,""))</f>
        <v/>
      </c>
      <c r="AC61" t="str">
        <f>IF(L61="","",IF(AND($AO$2=1,ISNA(MATCH(L61,'11-تشرين الثاني'!$L$2:$L$501,0))),"محذوف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IF(L62="","",IF($AO$1=1,IFERROR(MATCH(L62,'09-أيلول'!$L$2:$L$500,0),0),0))</f>
        <v/>
      </c>
      <c r="W62" t="str">
        <f t="shared" si="11"/>
        <v/>
      </c>
      <c r="X62" s="38" t="str">
        <f>IF(L62="","",IF(V62&gt;0,INDEX('09-أيلول'!$P$2:$P$500,V62),IF($AO$1=1,0,"")))</f>
        <v/>
      </c>
      <c r="Y62" s="38" t="str">
        <f t="shared" si="12"/>
        <v/>
      </c>
      <c r="Z62" s="39" t="str">
        <f>IF(L62="","",IF(V62&gt;0,INDEX('09-أيلول'!$Q$2:$Q$500,V62),IF($AO$1=1,0,"")))</f>
        <v/>
      </c>
      <c r="AA62" s="39" t="str">
        <f t="shared" si="13"/>
        <v/>
      </c>
      <c r="AB62" s="40" t="str">
        <f>IF(OR(L62="",V62=0),"",IF(AND(N(I62)&gt;0,N(INDEX('09-أيلول'!$I$2:$I$500,V62))&gt;0,INDEX('09-أيلول'!$F$2:$F$500,V62)=F62),N(I62)/N(INDEX('09-أيلول'!$I$2:$I$500,V62))-1,""))</f>
        <v/>
      </c>
      <c r="AC62" t="str">
        <f>IF(L62="","",IF(AND($AO$2=1,ISNA(MATCH(L62,'11-تشرين الثاني'!$L$2:$L$501,0))),"محذوف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IF(L63="","",IF($AO$1=1,IFERROR(MATCH(L63,'09-أيلول'!$L$2:$L$500,0),0),0))</f>
        <v/>
      </c>
      <c r="W63" t="str">
        <f t="shared" si="11"/>
        <v/>
      </c>
      <c r="X63" s="38" t="str">
        <f>IF(L63="","",IF(V63&gt;0,INDEX('09-أيلول'!$P$2:$P$500,V63),IF($AO$1=1,0,"")))</f>
        <v/>
      </c>
      <c r="Y63" s="38" t="str">
        <f t="shared" si="12"/>
        <v/>
      </c>
      <c r="Z63" s="39" t="str">
        <f>IF(L63="","",IF(V63&gt;0,INDEX('09-أيلول'!$Q$2:$Q$500,V63),IF($AO$1=1,0,"")))</f>
        <v/>
      </c>
      <c r="AA63" s="39" t="str">
        <f t="shared" si="13"/>
        <v/>
      </c>
      <c r="AB63" s="40" t="str">
        <f>IF(OR(L63="",V63=0),"",IF(AND(N(I63)&gt;0,N(INDEX('09-أيلول'!$I$2:$I$500,V63))&gt;0,INDEX('09-أيلول'!$F$2:$F$500,V63)=F63),N(I63)/N(INDEX('09-أيلول'!$I$2:$I$500,V63))-1,""))</f>
        <v/>
      </c>
      <c r="AC63" t="str">
        <f>IF(L63="","",IF(AND($AO$2=1,ISNA(MATCH(L63,'11-تشرين الثاني'!$L$2:$L$501,0))),"محذوف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IF(L64="","",IF($AO$1=1,IFERROR(MATCH(L64,'09-أيلول'!$L$2:$L$500,0),0),0))</f>
        <v/>
      </c>
      <c r="W64" t="str">
        <f t="shared" si="11"/>
        <v/>
      </c>
      <c r="X64" s="38" t="str">
        <f>IF(L64="","",IF(V64&gt;0,INDEX('09-أيلول'!$P$2:$P$500,V64),IF($AO$1=1,0,"")))</f>
        <v/>
      </c>
      <c r="Y64" s="38" t="str">
        <f t="shared" si="12"/>
        <v/>
      </c>
      <c r="Z64" s="39" t="str">
        <f>IF(L64="","",IF(V64&gt;0,INDEX('09-أيلول'!$Q$2:$Q$500,V64),IF($AO$1=1,0,"")))</f>
        <v/>
      </c>
      <c r="AA64" s="39" t="str">
        <f t="shared" si="13"/>
        <v/>
      </c>
      <c r="AB64" s="40" t="str">
        <f>IF(OR(L64="",V64=0),"",IF(AND(N(I64)&gt;0,N(INDEX('09-أيلول'!$I$2:$I$500,V64))&gt;0,INDEX('09-أيلول'!$F$2:$F$500,V64)=F64),N(I64)/N(INDEX('09-أيلول'!$I$2:$I$500,V64))-1,""))</f>
        <v/>
      </c>
      <c r="AC64" t="str">
        <f>IF(L64="","",IF(AND($AO$2=1,ISNA(MATCH(L64,'11-تشرين الثاني'!$L$2:$L$501,0))),"محذوف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IF(L65="","",IF($AO$1=1,IFERROR(MATCH(L65,'09-أيلول'!$L$2:$L$500,0),0),0))</f>
        <v/>
      </c>
      <c r="W65" t="str">
        <f t="shared" si="11"/>
        <v/>
      </c>
      <c r="X65" s="38" t="str">
        <f>IF(L65="","",IF(V65&gt;0,INDEX('09-أيلول'!$P$2:$P$500,V65),IF($AO$1=1,0,"")))</f>
        <v/>
      </c>
      <c r="Y65" s="38" t="str">
        <f t="shared" si="12"/>
        <v/>
      </c>
      <c r="Z65" s="39" t="str">
        <f>IF(L65="","",IF(V65&gt;0,INDEX('09-أيلول'!$Q$2:$Q$500,V65),IF($AO$1=1,0,"")))</f>
        <v/>
      </c>
      <c r="AA65" s="39" t="str">
        <f t="shared" si="13"/>
        <v/>
      </c>
      <c r="AB65" s="40" t="str">
        <f>IF(OR(L65="",V65=0),"",IF(AND(N(I65)&gt;0,N(INDEX('09-أيلول'!$I$2:$I$500,V65))&gt;0,INDEX('09-أيلول'!$F$2:$F$500,V65)=F65),N(I65)/N(INDEX('09-أيلول'!$I$2:$I$500,V65))-1,""))</f>
        <v/>
      </c>
      <c r="AC65" t="str">
        <f>IF(L65="","",IF(AND($AO$2=1,ISNA(MATCH(L65,'11-تشرين الثاني'!$L$2:$L$501,0))),"محذوف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IF(L66="","",IF($AO$1=1,IFERROR(MATCH(L66,'09-أيلول'!$L$2:$L$500,0),0),0))</f>
        <v/>
      </c>
      <c r="W66" t="str">
        <f t="shared" ref="W66:W129" si="31">IF(L66="","",IF(AND($AO$1=1,V66=0),"جديد",""))</f>
        <v/>
      </c>
      <c r="X66" s="38" t="str">
        <f>IF(L66="","",IF(V66&gt;0,INDEX('09-أيلول'!$P$2:$P$500,V66),IF($AO$1=1,0,"")))</f>
        <v/>
      </c>
      <c r="Y66" s="38" t="str">
        <f t="shared" ref="Y66:Y129" si="32">IF(OR(L66="",X66=""),"",P66-X66)</f>
        <v/>
      </c>
      <c r="Z66" s="39" t="str">
        <f>IF(L66="","",IF(V66&gt;0,INDEX('09-أيلول'!$Q$2:$Q$500,V66),IF($AO$1=1,0,"")))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IF(OR(L66="",V66=0),"",IF(AND(N(I66)&gt;0,N(INDEX('09-أيلول'!$I$2:$I$500,V66))&gt;0,INDEX('09-أيلول'!$F$2:$F$500,V66)=F66),N(I66)/N(INDEX('09-أيلول'!$I$2:$I$500,V66))-1,""))</f>
        <v/>
      </c>
      <c r="AC66" t="str">
        <f>IF(L66="","",IF(AND($AO$2=1,ISNA(MATCH(L66,'11-تشرين الثاني'!$L$2:$L$501,0))),"محذوف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IF(L67="","",IF($AO$1=1,IFERROR(MATCH(L67,'09-أيلول'!$L$2:$L$500,0),0),0))</f>
        <v/>
      </c>
      <c r="W67" t="str">
        <f t="shared" si="31"/>
        <v/>
      </c>
      <c r="X67" s="38" t="str">
        <f>IF(L67="","",IF(V67&gt;0,INDEX('09-أيلول'!$P$2:$P$500,V67),IF($AO$1=1,0,"")))</f>
        <v/>
      </c>
      <c r="Y67" s="38" t="str">
        <f t="shared" si="32"/>
        <v/>
      </c>
      <c r="Z67" s="39" t="str">
        <f>IF(L67="","",IF(V67&gt;0,INDEX('09-أيلول'!$Q$2:$Q$500,V67),IF($AO$1=1,0,"")))</f>
        <v/>
      </c>
      <c r="AA67" s="39" t="str">
        <f t="shared" si="33"/>
        <v/>
      </c>
      <c r="AB67" s="40" t="str">
        <f>IF(OR(L67="",V67=0),"",IF(AND(N(I67)&gt;0,N(INDEX('09-أيلول'!$I$2:$I$500,V67))&gt;0,INDEX('09-أيلول'!$F$2:$F$500,V67)=F67),N(I67)/N(INDEX('09-أيلول'!$I$2:$I$500,V67))-1,""))</f>
        <v/>
      </c>
      <c r="AC67" t="str">
        <f>IF(L67="","",IF(AND($AO$2=1,ISNA(MATCH(L67,'11-تشرين الثاني'!$L$2:$L$501,0))),"محذوف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IF(L68="","",IF($AO$1=1,IFERROR(MATCH(L68,'09-أيلول'!$L$2:$L$500,0),0),0))</f>
        <v/>
      </c>
      <c r="W68" t="str">
        <f t="shared" si="31"/>
        <v/>
      </c>
      <c r="X68" s="38" t="str">
        <f>IF(L68="","",IF(V68&gt;0,INDEX('09-أيلول'!$P$2:$P$500,V68),IF($AO$1=1,0,"")))</f>
        <v/>
      </c>
      <c r="Y68" s="38" t="str">
        <f t="shared" si="32"/>
        <v/>
      </c>
      <c r="Z68" s="39" t="str">
        <f>IF(L68="","",IF(V68&gt;0,INDEX('09-أيلول'!$Q$2:$Q$500,V68),IF($AO$1=1,0,"")))</f>
        <v/>
      </c>
      <c r="AA68" s="39" t="str">
        <f t="shared" si="33"/>
        <v/>
      </c>
      <c r="AB68" s="40" t="str">
        <f>IF(OR(L68="",V68=0),"",IF(AND(N(I68)&gt;0,N(INDEX('09-أيلول'!$I$2:$I$500,V68))&gt;0,INDEX('09-أيلول'!$F$2:$F$500,V68)=F68),N(I68)/N(INDEX('09-أيلول'!$I$2:$I$500,V68))-1,""))</f>
        <v/>
      </c>
      <c r="AC68" t="str">
        <f>IF(L68="","",IF(AND($AO$2=1,ISNA(MATCH(L68,'11-تشرين الثاني'!$L$2:$L$501,0))),"محذوف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IF(L69="","",IF($AO$1=1,IFERROR(MATCH(L69,'09-أيلول'!$L$2:$L$500,0),0),0))</f>
        <v/>
      </c>
      <c r="W69" t="str">
        <f t="shared" si="31"/>
        <v/>
      </c>
      <c r="X69" s="38" t="str">
        <f>IF(L69="","",IF(V69&gt;0,INDEX('09-أيلول'!$P$2:$P$500,V69),IF($AO$1=1,0,"")))</f>
        <v/>
      </c>
      <c r="Y69" s="38" t="str">
        <f t="shared" si="32"/>
        <v/>
      </c>
      <c r="Z69" s="39" t="str">
        <f>IF(L69="","",IF(V69&gt;0,INDEX('09-أيلول'!$Q$2:$Q$500,V69),IF($AO$1=1,0,"")))</f>
        <v/>
      </c>
      <c r="AA69" s="39" t="str">
        <f t="shared" si="33"/>
        <v/>
      </c>
      <c r="AB69" s="40" t="str">
        <f>IF(OR(L69="",V69=0),"",IF(AND(N(I69)&gt;0,N(INDEX('09-أيلول'!$I$2:$I$500,V69))&gt;0,INDEX('09-أيلول'!$F$2:$F$500,V69)=F69),N(I69)/N(INDEX('09-أيلول'!$I$2:$I$500,V69))-1,""))</f>
        <v/>
      </c>
      <c r="AC69" t="str">
        <f>IF(L69="","",IF(AND($AO$2=1,ISNA(MATCH(L69,'11-تشرين الثاني'!$L$2:$L$501,0))),"محذوف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IF(L70="","",IF($AO$1=1,IFERROR(MATCH(L70,'09-أيلول'!$L$2:$L$500,0),0),0))</f>
        <v/>
      </c>
      <c r="W70" t="str">
        <f t="shared" si="31"/>
        <v/>
      </c>
      <c r="X70" s="38" t="str">
        <f>IF(L70="","",IF(V70&gt;0,INDEX('09-أيلول'!$P$2:$P$500,V70),IF($AO$1=1,0,"")))</f>
        <v/>
      </c>
      <c r="Y70" s="38" t="str">
        <f t="shared" si="32"/>
        <v/>
      </c>
      <c r="Z70" s="39" t="str">
        <f>IF(L70="","",IF(V70&gt;0,INDEX('09-أيلول'!$Q$2:$Q$500,V70),IF($AO$1=1,0,"")))</f>
        <v/>
      </c>
      <c r="AA70" s="39" t="str">
        <f t="shared" si="33"/>
        <v/>
      </c>
      <c r="AB70" s="40" t="str">
        <f>IF(OR(L70="",V70=0),"",IF(AND(N(I70)&gt;0,N(INDEX('09-أيلول'!$I$2:$I$500,V70))&gt;0,INDEX('09-أيلول'!$F$2:$F$500,V70)=F70),N(I70)/N(INDEX('09-أيلول'!$I$2:$I$500,V70))-1,""))</f>
        <v/>
      </c>
      <c r="AC70" t="str">
        <f>IF(L70="","",IF(AND($AO$2=1,ISNA(MATCH(L70,'11-تشرين الثاني'!$L$2:$L$501,0))),"محذوف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IF(L71="","",IF($AO$1=1,IFERROR(MATCH(L71,'09-أيلول'!$L$2:$L$500,0),0),0))</f>
        <v/>
      </c>
      <c r="W71" t="str">
        <f t="shared" si="31"/>
        <v/>
      </c>
      <c r="X71" s="38" t="str">
        <f>IF(L71="","",IF(V71&gt;0,INDEX('09-أيلول'!$P$2:$P$500,V71),IF($AO$1=1,0,"")))</f>
        <v/>
      </c>
      <c r="Y71" s="38" t="str">
        <f t="shared" si="32"/>
        <v/>
      </c>
      <c r="Z71" s="39" t="str">
        <f>IF(L71="","",IF(V71&gt;0,INDEX('09-أيلول'!$Q$2:$Q$500,V71),IF($AO$1=1,0,"")))</f>
        <v/>
      </c>
      <c r="AA71" s="39" t="str">
        <f t="shared" si="33"/>
        <v/>
      </c>
      <c r="AB71" s="40" t="str">
        <f>IF(OR(L71="",V71=0),"",IF(AND(N(I71)&gt;0,N(INDEX('09-أيلول'!$I$2:$I$500,V71))&gt;0,INDEX('09-أيلول'!$F$2:$F$500,V71)=F71),N(I71)/N(INDEX('09-أيلول'!$I$2:$I$500,V71))-1,""))</f>
        <v/>
      </c>
      <c r="AC71" t="str">
        <f>IF(L71="","",IF(AND($AO$2=1,ISNA(MATCH(L71,'11-تشرين الثاني'!$L$2:$L$501,0))),"محذوف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IF(L72="","",IF($AO$1=1,IFERROR(MATCH(L72,'09-أيلول'!$L$2:$L$500,0),0),0))</f>
        <v/>
      </c>
      <c r="W72" t="str">
        <f t="shared" si="31"/>
        <v/>
      </c>
      <c r="X72" s="38" t="str">
        <f>IF(L72="","",IF(V72&gt;0,INDEX('09-أيلول'!$P$2:$P$500,V72),IF($AO$1=1,0,"")))</f>
        <v/>
      </c>
      <c r="Y72" s="38" t="str">
        <f t="shared" si="32"/>
        <v/>
      </c>
      <c r="Z72" s="39" t="str">
        <f>IF(L72="","",IF(V72&gt;0,INDEX('09-أيلول'!$Q$2:$Q$500,V72),IF($AO$1=1,0,"")))</f>
        <v/>
      </c>
      <c r="AA72" s="39" t="str">
        <f t="shared" si="33"/>
        <v/>
      </c>
      <c r="AB72" s="40" t="str">
        <f>IF(OR(L72="",V72=0),"",IF(AND(N(I72)&gt;0,N(INDEX('09-أيلول'!$I$2:$I$500,V72))&gt;0,INDEX('09-أيلول'!$F$2:$F$500,V72)=F72),N(I72)/N(INDEX('09-أيلول'!$I$2:$I$500,V72))-1,""))</f>
        <v/>
      </c>
      <c r="AC72" t="str">
        <f>IF(L72="","",IF(AND($AO$2=1,ISNA(MATCH(L72,'11-تشرين الثاني'!$L$2:$L$501,0))),"محذوف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IF(L73="","",IF($AO$1=1,IFERROR(MATCH(L73,'09-أيلول'!$L$2:$L$500,0),0),0))</f>
        <v/>
      </c>
      <c r="W73" t="str">
        <f t="shared" si="31"/>
        <v/>
      </c>
      <c r="X73" s="38" t="str">
        <f>IF(L73="","",IF(V73&gt;0,INDEX('09-أيلول'!$P$2:$P$500,V73),IF($AO$1=1,0,"")))</f>
        <v/>
      </c>
      <c r="Y73" s="38" t="str">
        <f t="shared" si="32"/>
        <v/>
      </c>
      <c r="Z73" s="39" t="str">
        <f>IF(L73="","",IF(V73&gt;0,INDEX('09-أيلول'!$Q$2:$Q$500,V73),IF($AO$1=1,0,"")))</f>
        <v/>
      </c>
      <c r="AA73" s="39" t="str">
        <f t="shared" si="33"/>
        <v/>
      </c>
      <c r="AB73" s="40" t="str">
        <f>IF(OR(L73="",V73=0),"",IF(AND(N(I73)&gt;0,N(INDEX('09-أيلول'!$I$2:$I$500,V73))&gt;0,INDEX('09-أيلول'!$F$2:$F$500,V73)=F73),N(I73)/N(INDEX('09-أيلول'!$I$2:$I$500,V73))-1,""))</f>
        <v/>
      </c>
      <c r="AC73" t="str">
        <f>IF(L73="","",IF(AND($AO$2=1,ISNA(MATCH(L73,'11-تشرين الثاني'!$L$2:$L$501,0))),"محذوف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IF(L74="","",IF($AO$1=1,IFERROR(MATCH(L74,'09-أيلول'!$L$2:$L$500,0),0),0))</f>
        <v/>
      </c>
      <c r="W74" t="str">
        <f t="shared" si="31"/>
        <v/>
      </c>
      <c r="X74" s="38" t="str">
        <f>IF(L74="","",IF(V74&gt;0,INDEX('09-أيلول'!$P$2:$P$500,V74),IF($AO$1=1,0,"")))</f>
        <v/>
      </c>
      <c r="Y74" s="38" t="str">
        <f t="shared" si="32"/>
        <v/>
      </c>
      <c r="Z74" s="39" t="str">
        <f>IF(L74="","",IF(V74&gt;0,INDEX('09-أيلول'!$Q$2:$Q$500,V74),IF($AO$1=1,0,"")))</f>
        <v/>
      </c>
      <c r="AA74" s="39" t="str">
        <f t="shared" si="33"/>
        <v/>
      </c>
      <c r="AB74" s="40" t="str">
        <f>IF(OR(L74="",V74=0),"",IF(AND(N(I74)&gt;0,N(INDEX('09-أيلول'!$I$2:$I$500,V74))&gt;0,INDEX('09-أيلول'!$F$2:$F$500,V74)=F74),N(I74)/N(INDEX('09-أيلول'!$I$2:$I$500,V74))-1,""))</f>
        <v/>
      </c>
      <c r="AC74" t="str">
        <f>IF(L74="","",IF(AND($AO$2=1,ISNA(MATCH(L74,'11-تشرين الثاني'!$L$2:$L$501,0))),"محذوف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IF(L75="","",IF($AO$1=1,IFERROR(MATCH(L75,'09-أيلول'!$L$2:$L$500,0),0),0))</f>
        <v/>
      </c>
      <c r="W75" t="str">
        <f t="shared" si="31"/>
        <v/>
      </c>
      <c r="X75" s="38" t="str">
        <f>IF(L75="","",IF(V75&gt;0,INDEX('09-أيلول'!$P$2:$P$500,V75),IF($AO$1=1,0,"")))</f>
        <v/>
      </c>
      <c r="Y75" s="38" t="str">
        <f t="shared" si="32"/>
        <v/>
      </c>
      <c r="Z75" s="39" t="str">
        <f>IF(L75="","",IF(V75&gt;0,INDEX('09-أيلول'!$Q$2:$Q$500,V75),IF($AO$1=1,0,"")))</f>
        <v/>
      </c>
      <c r="AA75" s="39" t="str">
        <f t="shared" si="33"/>
        <v/>
      </c>
      <c r="AB75" s="40" t="str">
        <f>IF(OR(L75="",V75=0),"",IF(AND(N(I75)&gt;0,N(INDEX('09-أيلول'!$I$2:$I$500,V75))&gt;0,INDEX('09-أيلول'!$F$2:$F$500,V75)=F75),N(I75)/N(INDEX('09-أيلول'!$I$2:$I$500,V75))-1,""))</f>
        <v/>
      </c>
      <c r="AC75" t="str">
        <f>IF(L75="","",IF(AND($AO$2=1,ISNA(MATCH(L75,'11-تشرين الثاني'!$L$2:$L$501,0))),"محذوف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IF(L76="","",IF($AO$1=1,IFERROR(MATCH(L76,'09-أيلول'!$L$2:$L$500,0),0),0))</f>
        <v/>
      </c>
      <c r="W76" t="str">
        <f t="shared" si="31"/>
        <v/>
      </c>
      <c r="X76" s="38" t="str">
        <f>IF(L76="","",IF(V76&gt;0,INDEX('09-أيلول'!$P$2:$P$500,V76),IF($AO$1=1,0,"")))</f>
        <v/>
      </c>
      <c r="Y76" s="38" t="str">
        <f t="shared" si="32"/>
        <v/>
      </c>
      <c r="Z76" s="39" t="str">
        <f>IF(L76="","",IF(V76&gt;0,INDEX('09-أيلول'!$Q$2:$Q$500,V76),IF($AO$1=1,0,"")))</f>
        <v/>
      </c>
      <c r="AA76" s="39" t="str">
        <f t="shared" si="33"/>
        <v/>
      </c>
      <c r="AB76" s="40" t="str">
        <f>IF(OR(L76="",V76=0),"",IF(AND(N(I76)&gt;0,N(INDEX('09-أيلول'!$I$2:$I$500,V76))&gt;0,INDEX('09-أيلول'!$F$2:$F$500,V76)=F76),N(I76)/N(INDEX('09-أيلول'!$I$2:$I$500,V76))-1,""))</f>
        <v/>
      </c>
      <c r="AC76" t="str">
        <f>IF(L76="","",IF(AND($AO$2=1,ISNA(MATCH(L76,'11-تشرين الثاني'!$L$2:$L$501,0))),"محذوف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IF(L77="","",IF($AO$1=1,IFERROR(MATCH(L77,'09-أيلول'!$L$2:$L$500,0),0),0))</f>
        <v/>
      </c>
      <c r="W77" t="str">
        <f t="shared" si="31"/>
        <v/>
      </c>
      <c r="X77" s="38" t="str">
        <f>IF(L77="","",IF(V77&gt;0,INDEX('09-أيلول'!$P$2:$P$500,V77),IF($AO$1=1,0,"")))</f>
        <v/>
      </c>
      <c r="Y77" s="38" t="str">
        <f t="shared" si="32"/>
        <v/>
      </c>
      <c r="Z77" s="39" t="str">
        <f>IF(L77="","",IF(V77&gt;0,INDEX('09-أيلول'!$Q$2:$Q$500,V77),IF($AO$1=1,0,"")))</f>
        <v/>
      </c>
      <c r="AA77" s="39" t="str">
        <f t="shared" si="33"/>
        <v/>
      </c>
      <c r="AB77" s="40" t="str">
        <f>IF(OR(L77="",V77=0),"",IF(AND(N(I77)&gt;0,N(INDEX('09-أيلول'!$I$2:$I$500,V77))&gt;0,INDEX('09-أيلول'!$F$2:$F$500,V77)=F77),N(I77)/N(INDEX('09-أيلول'!$I$2:$I$500,V77))-1,""))</f>
        <v/>
      </c>
      <c r="AC77" t="str">
        <f>IF(L77="","",IF(AND($AO$2=1,ISNA(MATCH(L77,'11-تشرين الثاني'!$L$2:$L$501,0))),"محذوف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IF(L78="","",IF($AO$1=1,IFERROR(MATCH(L78,'09-أيلول'!$L$2:$L$500,0),0),0))</f>
        <v/>
      </c>
      <c r="W78" t="str">
        <f t="shared" si="31"/>
        <v/>
      </c>
      <c r="X78" s="38" t="str">
        <f>IF(L78="","",IF(V78&gt;0,INDEX('09-أيلول'!$P$2:$P$500,V78),IF($AO$1=1,0,"")))</f>
        <v/>
      </c>
      <c r="Y78" s="38" t="str">
        <f t="shared" si="32"/>
        <v/>
      </c>
      <c r="Z78" s="39" t="str">
        <f>IF(L78="","",IF(V78&gt;0,INDEX('09-أيلول'!$Q$2:$Q$500,V78),IF($AO$1=1,0,"")))</f>
        <v/>
      </c>
      <c r="AA78" s="39" t="str">
        <f t="shared" si="33"/>
        <v/>
      </c>
      <c r="AB78" s="40" t="str">
        <f>IF(OR(L78="",V78=0),"",IF(AND(N(I78)&gt;0,N(INDEX('09-أيلول'!$I$2:$I$500,V78))&gt;0,INDEX('09-أيلول'!$F$2:$F$500,V78)=F78),N(I78)/N(INDEX('09-أيلول'!$I$2:$I$500,V78))-1,""))</f>
        <v/>
      </c>
      <c r="AC78" t="str">
        <f>IF(L78="","",IF(AND($AO$2=1,ISNA(MATCH(L78,'11-تشرين الثاني'!$L$2:$L$501,0))),"محذوف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IF(L79="","",IF($AO$1=1,IFERROR(MATCH(L79,'09-أيلول'!$L$2:$L$500,0),0),0))</f>
        <v/>
      </c>
      <c r="W79" t="str">
        <f t="shared" si="31"/>
        <v/>
      </c>
      <c r="X79" s="38" t="str">
        <f>IF(L79="","",IF(V79&gt;0,INDEX('09-أيلول'!$P$2:$P$500,V79),IF($AO$1=1,0,"")))</f>
        <v/>
      </c>
      <c r="Y79" s="38" t="str">
        <f t="shared" si="32"/>
        <v/>
      </c>
      <c r="Z79" s="39" t="str">
        <f>IF(L79="","",IF(V79&gt;0,INDEX('09-أيلول'!$Q$2:$Q$500,V79),IF($AO$1=1,0,"")))</f>
        <v/>
      </c>
      <c r="AA79" s="39" t="str">
        <f t="shared" si="33"/>
        <v/>
      </c>
      <c r="AB79" s="40" t="str">
        <f>IF(OR(L79="",V79=0),"",IF(AND(N(I79)&gt;0,N(INDEX('09-أيلول'!$I$2:$I$500,V79))&gt;0,INDEX('09-أيلول'!$F$2:$F$500,V79)=F79),N(I79)/N(INDEX('09-أيلول'!$I$2:$I$500,V79))-1,""))</f>
        <v/>
      </c>
      <c r="AC79" t="str">
        <f>IF(L79="","",IF(AND($AO$2=1,ISNA(MATCH(L79,'11-تشرين الثاني'!$L$2:$L$501,0))),"محذوف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IF(L80="","",IF($AO$1=1,IFERROR(MATCH(L80,'09-أيلول'!$L$2:$L$500,0),0),0))</f>
        <v/>
      </c>
      <c r="W80" t="str">
        <f t="shared" si="31"/>
        <v/>
      </c>
      <c r="X80" s="38" t="str">
        <f>IF(L80="","",IF(V80&gt;0,INDEX('09-أيلول'!$P$2:$P$500,V80),IF($AO$1=1,0,"")))</f>
        <v/>
      </c>
      <c r="Y80" s="38" t="str">
        <f t="shared" si="32"/>
        <v/>
      </c>
      <c r="Z80" s="39" t="str">
        <f>IF(L80="","",IF(V80&gt;0,INDEX('09-أيلول'!$Q$2:$Q$500,V80),IF($AO$1=1,0,"")))</f>
        <v/>
      </c>
      <c r="AA80" s="39" t="str">
        <f t="shared" si="33"/>
        <v/>
      </c>
      <c r="AB80" s="40" t="str">
        <f>IF(OR(L80="",V80=0),"",IF(AND(N(I80)&gt;0,N(INDEX('09-أيلول'!$I$2:$I$500,V80))&gt;0,INDEX('09-أيلول'!$F$2:$F$500,V80)=F80),N(I80)/N(INDEX('09-أيلول'!$I$2:$I$500,V80))-1,""))</f>
        <v/>
      </c>
      <c r="AC80" t="str">
        <f>IF(L80="","",IF(AND($AO$2=1,ISNA(MATCH(L80,'11-تشرين الثاني'!$L$2:$L$501,0))),"محذوف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IF(L81="","",IF($AO$1=1,IFERROR(MATCH(L81,'09-أيلول'!$L$2:$L$500,0),0),0))</f>
        <v/>
      </c>
      <c r="W81" t="str">
        <f t="shared" si="31"/>
        <v/>
      </c>
      <c r="X81" s="38" t="str">
        <f>IF(L81="","",IF(V81&gt;0,INDEX('09-أيلول'!$P$2:$P$500,V81),IF($AO$1=1,0,"")))</f>
        <v/>
      </c>
      <c r="Y81" s="38" t="str">
        <f t="shared" si="32"/>
        <v/>
      </c>
      <c r="Z81" s="39" t="str">
        <f>IF(L81="","",IF(V81&gt;0,INDEX('09-أيلول'!$Q$2:$Q$500,V81),IF($AO$1=1,0,"")))</f>
        <v/>
      </c>
      <c r="AA81" s="39" t="str">
        <f t="shared" si="33"/>
        <v/>
      </c>
      <c r="AB81" s="40" t="str">
        <f>IF(OR(L81="",V81=0),"",IF(AND(N(I81)&gt;0,N(INDEX('09-أيلول'!$I$2:$I$500,V81))&gt;0,INDEX('09-أيلول'!$F$2:$F$500,V81)=F81),N(I81)/N(INDEX('09-أيلول'!$I$2:$I$500,V81))-1,""))</f>
        <v/>
      </c>
      <c r="AC81" t="str">
        <f>IF(L81="","",IF(AND($AO$2=1,ISNA(MATCH(L81,'11-تشرين الثاني'!$L$2:$L$501,0))),"محذوف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IF(L82="","",IF($AO$1=1,IFERROR(MATCH(L82,'09-أيلول'!$L$2:$L$500,0),0),0))</f>
        <v/>
      </c>
      <c r="W82" t="str">
        <f t="shared" si="31"/>
        <v/>
      </c>
      <c r="X82" s="38" t="str">
        <f>IF(L82="","",IF(V82&gt;0,INDEX('09-أيلول'!$P$2:$P$500,V82),IF($AO$1=1,0,"")))</f>
        <v/>
      </c>
      <c r="Y82" s="38" t="str">
        <f t="shared" si="32"/>
        <v/>
      </c>
      <c r="Z82" s="39" t="str">
        <f>IF(L82="","",IF(V82&gt;0,INDEX('09-أيلول'!$Q$2:$Q$500,V82),IF($AO$1=1,0,"")))</f>
        <v/>
      </c>
      <c r="AA82" s="39" t="str">
        <f t="shared" si="33"/>
        <v/>
      </c>
      <c r="AB82" s="40" t="str">
        <f>IF(OR(L82="",V82=0),"",IF(AND(N(I82)&gt;0,N(INDEX('09-أيلول'!$I$2:$I$500,V82))&gt;0,INDEX('09-أيلول'!$F$2:$F$500,V82)=F82),N(I82)/N(INDEX('09-أيلول'!$I$2:$I$500,V82))-1,""))</f>
        <v/>
      </c>
      <c r="AC82" t="str">
        <f>IF(L82="","",IF(AND($AO$2=1,ISNA(MATCH(L82,'11-تشرين الثاني'!$L$2:$L$501,0))),"محذوف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IF(L83="","",IF($AO$1=1,IFERROR(MATCH(L83,'09-أيلول'!$L$2:$L$500,0),0),0))</f>
        <v/>
      </c>
      <c r="W83" t="str">
        <f t="shared" si="31"/>
        <v/>
      </c>
      <c r="X83" s="38" t="str">
        <f>IF(L83="","",IF(V83&gt;0,INDEX('09-أيلول'!$P$2:$P$500,V83),IF($AO$1=1,0,"")))</f>
        <v/>
      </c>
      <c r="Y83" s="38" t="str">
        <f t="shared" si="32"/>
        <v/>
      </c>
      <c r="Z83" s="39" t="str">
        <f>IF(L83="","",IF(V83&gt;0,INDEX('09-أيلول'!$Q$2:$Q$500,V83),IF($AO$1=1,0,"")))</f>
        <v/>
      </c>
      <c r="AA83" s="39" t="str">
        <f t="shared" si="33"/>
        <v/>
      </c>
      <c r="AB83" s="40" t="str">
        <f>IF(OR(L83="",V83=0),"",IF(AND(N(I83)&gt;0,N(INDEX('09-أيلول'!$I$2:$I$500,V83))&gt;0,INDEX('09-أيلول'!$F$2:$F$500,V83)=F83),N(I83)/N(INDEX('09-أيلول'!$I$2:$I$500,V83))-1,""))</f>
        <v/>
      </c>
      <c r="AC83" t="str">
        <f>IF(L83="","",IF(AND($AO$2=1,ISNA(MATCH(L83,'11-تشرين الثاني'!$L$2:$L$501,0))),"محذوف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IF(L84="","",IF($AO$1=1,IFERROR(MATCH(L84,'09-أيلول'!$L$2:$L$500,0),0),0))</f>
        <v/>
      </c>
      <c r="W84" t="str">
        <f t="shared" si="31"/>
        <v/>
      </c>
      <c r="X84" s="38" t="str">
        <f>IF(L84="","",IF(V84&gt;0,INDEX('09-أيلول'!$P$2:$P$500,V84),IF($AO$1=1,0,"")))</f>
        <v/>
      </c>
      <c r="Y84" s="38" t="str">
        <f t="shared" si="32"/>
        <v/>
      </c>
      <c r="Z84" s="39" t="str">
        <f>IF(L84="","",IF(V84&gt;0,INDEX('09-أيلول'!$Q$2:$Q$500,V84),IF($AO$1=1,0,"")))</f>
        <v/>
      </c>
      <c r="AA84" s="39" t="str">
        <f t="shared" si="33"/>
        <v/>
      </c>
      <c r="AB84" s="40" t="str">
        <f>IF(OR(L84="",V84=0),"",IF(AND(N(I84)&gt;0,N(INDEX('09-أيلول'!$I$2:$I$500,V84))&gt;0,INDEX('09-أيلول'!$F$2:$F$500,V84)=F84),N(I84)/N(INDEX('09-أيلول'!$I$2:$I$500,V84))-1,""))</f>
        <v/>
      </c>
      <c r="AC84" t="str">
        <f>IF(L84="","",IF(AND($AO$2=1,ISNA(MATCH(L84,'11-تشرين الثاني'!$L$2:$L$501,0))),"محذوف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IF(L85="","",IF($AO$1=1,IFERROR(MATCH(L85,'09-أيلول'!$L$2:$L$500,0),0),0))</f>
        <v/>
      </c>
      <c r="W85" t="str">
        <f t="shared" si="31"/>
        <v/>
      </c>
      <c r="X85" s="38" t="str">
        <f>IF(L85="","",IF(V85&gt;0,INDEX('09-أيلول'!$P$2:$P$500,V85),IF($AO$1=1,0,"")))</f>
        <v/>
      </c>
      <c r="Y85" s="38" t="str">
        <f t="shared" si="32"/>
        <v/>
      </c>
      <c r="Z85" s="39" t="str">
        <f>IF(L85="","",IF(V85&gt;0,INDEX('09-أيلول'!$Q$2:$Q$500,V85),IF($AO$1=1,0,"")))</f>
        <v/>
      </c>
      <c r="AA85" s="39" t="str">
        <f t="shared" si="33"/>
        <v/>
      </c>
      <c r="AB85" s="40" t="str">
        <f>IF(OR(L85="",V85=0),"",IF(AND(N(I85)&gt;0,N(INDEX('09-أيلول'!$I$2:$I$500,V85))&gt;0,INDEX('09-أيلول'!$F$2:$F$500,V85)=F85),N(I85)/N(INDEX('09-أيلول'!$I$2:$I$500,V85))-1,""))</f>
        <v/>
      </c>
      <c r="AC85" t="str">
        <f>IF(L85="","",IF(AND($AO$2=1,ISNA(MATCH(L85,'11-تشرين الثاني'!$L$2:$L$501,0))),"محذوف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IF(L86="","",IF($AO$1=1,IFERROR(MATCH(L86,'09-أيلول'!$L$2:$L$500,0),0),0))</f>
        <v/>
      </c>
      <c r="W86" t="str">
        <f t="shared" si="31"/>
        <v/>
      </c>
      <c r="X86" s="38" t="str">
        <f>IF(L86="","",IF(V86&gt;0,INDEX('09-أيلول'!$P$2:$P$500,V86),IF($AO$1=1,0,"")))</f>
        <v/>
      </c>
      <c r="Y86" s="38" t="str">
        <f t="shared" si="32"/>
        <v/>
      </c>
      <c r="Z86" s="39" t="str">
        <f>IF(L86="","",IF(V86&gt;0,INDEX('09-أيلول'!$Q$2:$Q$500,V86),IF($AO$1=1,0,"")))</f>
        <v/>
      </c>
      <c r="AA86" s="39" t="str">
        <f t="shared" si="33"/>
        <v/>
      </c>
      <c r="AB86" s="40" t="str">
        <f>IF(OR(L86="",V86=0),"",IF(AND(N(I86)&gt;0,N(INDEX('09-أيلول'!$I$2:$I$500,V86))&gt;0,INDEX('09-أيلول'!$F$2:$F$500,V86)=F86),N(I86)/N(INDEX('09-أيلول'!$I$2:$I$500,V86))-1,""))</f>
        <v/>
      </c>
      <c r="AC86" t="str">
        <f>IF(L86="","",IF(AND($AO$2=1,ISNA(MATCH(L86,'11-تشرين الثاني'!$L$2:$L$501,0))),"محذوف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IF(L87="","",IF($AO$1=1,IFERROR(MATCH(L87,'09-أيلول'!$L$2:$L$500,0),0),0))</f>
        <v/>
      </c>
      <c r="W87" t="str">
        <f t="shared" si="31"/>
        <v/>
      </c>
      <c r="X87" s="38" t="str">
        <f>IF(L87="","",IF(V87&gt;0,INDEX('09-أيلول'!$P$2:$P$500,V87),IF($AO$1=1,0,"")))</f>
        <v/>
      </c>
      <c r="Y87" s="38" t="str">
        <f t="shared" si="32"/>
        <v/>
      </c>
      <c r="Z87" s="39" t="str">
        <f>IF(L87="","",IF(V87&gt;0,INDEX('09-أيلول'!$Q$2:$Q$500,V87),IF($AO$1=1,0,"")))</f>
        <v/>
      </c>
      <c r="AA87" s="39" t="str">
        <f t="shared" si="33"/>
        <v/>
      </c>
      <c r="AB87" s="40" t="str">
        <f>IF(OR(L87="",V87=0),"",IF(AND(N(I87)&gt;0,N(INDEX('09-أيلول'!$I$2:$I$500,V87))&gt;0,INDEX('09-أيلول'!$F$2:$F$500,V87)=F87),N(I87)/N(INDEX('09-أيلول'!$I$2:$I$500,V87))-1,""))</f>
        <v/>
      </c>
      <c r="AC87" t="str">
        <f>IF(L87="","",IF(AND($AO$2=1,ISNA(MATCH(L87,'11-تشرين الثاني'!$L$2:$L$501,0))),"محذوف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IF(L88="","",IF($AO$1=1,IFERROR(MATCH(L88,'09-أيلول'!$L$2:$L$500,0),0),0))</f>
        <v/>
      </c>
      <c r="W88" t="str">
        <f t="shared" si="31"/>
        <v/>
      </c>
      <c r="X88" s="38" t="str">
        <f>IF(L88="","",IF(V88&gt;0,INDEX('09-أيلول'!$P$2:$P$500,V88),IF($AO$1=1,0,"")))</f>
        <v/>
      </c>
      <c r="Y88" s="38" t="str">
        <f t="shared" si="32"/>
        <v/>
      </c>
      <c r="Z88" s="39" t="str">
        <f>IF(L88="","",IF(V88&gt;0,INDEX('09-أيلول'!$Q$2:$Q$500,V88),IF($AO$1=1,0,"")))</f>
        <v/>
      </c>
      <c r="AA88" s="39" t="str">
        <f t="shared" si="33"/>
        <v/>
      </c>
      <c r="AB88" s="40" t="str">
        <f>IF(OR(L88="",V88=0),"",IF(AND(N(I88)&gt;0,N(INDEX('09-أيلول'!$I$2:$I$500,V88))&gt;0,INDEX('09-أيلول'!$F$2:$F$500,V88)=F88),N(I88)/N(INDEX('09-أيلول'!$I$2:$I$500,V88))-1,""))</f>
        <v/>
      </c>
      <c r="AC88" t="str">
        <f>IF(L88="","",IF(AND($AO$2=1,ISNA(MATCH(L88,'11-تشرين الثاني'!$L$2:$L$501,0))),"محذوف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IF(L89="","",IF($AO$1=1,IFERROR(MATCH(L89,'09-أيلول'!$L$2:$L$500,0),0),0))</f>
        <v/>
      </c>
      <c r="W89" t="str">
        <f t="shared" si="31"/>
        <v/>
      </c>
      <c r="X89" s="38" t="str">
        <f>IF(L89="","",IF(V89&gt;0,INDEX('09-أيلول'!$P$2:$P$500,V89),IF($AO$1=1,0,"")))</f>
        <v/>
      </c>
      <c r="Y89" s="38" t="str">
        <f t="shared" si="32"/>
        <v/>
      </c>
      <c r="Z89" s="39" t="str">
        <f>IF(L89="","",IF(V89&gt;0,INDEX('09-أيلول'!$Q$2:$Q$500,V89),IF($AO$1=1,0,"")))</f>
        <v/>
      </c>
      <c r="AA89" s="39" t="str">
        <f t="shared" si="33"/>
        <v/>
      </c>
      <c r="AB89" s="40" t="str">
        <f>IF(OR(L89="",V89=0),"",IF(AND(N(I89)&gt;0,N(INDEX('09-أيلول'!$I$2:$I$500,V89))&gt;0,INDEX('09-أيلول'!$F$2:$F$500,V89)=F89),N(I89)/N(INDEX('09-أيلول'!$I$2:$I$500,V89))-1,""))</f>
        <v/>
      </c>
      <c r="AC89" t="str">
        <f>IF(L89="","",IF(AND($AO$2=1,ISNA(MATCH(L89,'11-تشرين الثاني'!$L$2:$L$501,0))),"محذوف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IF(L90="","",IF($AO$1=1,IFERROR(MATCH(L90,'09-أيلول'!$L$2:$L$500,0),0),0))</f>
        <v/>
      </c>
      <c r="W90" t="str">
        <f t="shared" si="31"/>
        <v/>
      </c>
      <c r="X90" s="38" t="str">
        <f>IF(L90="","",IF(V90&gt;0,INDEX('09-أيلول'!$P$2:$P$500,V90),IF($AO$1=1,0,"")))</f>
        <v/>
      </c>
      <c r="Y90" s="38" t="str">
        <f t="shared" si="32"/>
        <v/>
      </c>
      <c r="Z90" s="39" t="str">
        <f>IF(L90="","",IF(V90&gt;0,INDEX('09-أيلول'!$Q$2:$Q$500,V90),IF($AO$1=1,0,"")))</f>
        <v/>
      </c>
      <c r="AA90" s="39" t="str">
        <f t="shared" si="33"/>
        <v/>
      </c>
      <c r="AB90" s="40" t="str">
        <f>IF(OR(L90="",V90=0),"",IF(AND(N(I90)&gt;0,N(INDEX('09-أيلول'!$I$2:$I$500,V90))&gt;0,INDEX('09-أيلول'!$F$2:$F$500,V90)=F90),N(I90)/N(INDEX('09-أيلول'!$I$2:$I$500,V90))-1,""))</f>
        <v/>
      </c>
      <c r="AC90" t="str">
        <f>IF(L90="","",IF(AND($AO$2=1,ISNA(MATCH(L90,'11-تشرين الثاني'!$L$2:$L$501,0))),"محذوف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IF(L91="","",IF($AO$1=1,IFERROR(MATCH(L91,'09-أيلول'!$L$2:$L$500,0),0),0))</f>
        <v/>
      </c>
      <c r="W91" t="str">
        <f t="shared" si="31"/>
        <v/>
      </c>
      <c r="X91" s="38" t="str">
        <f>IF(L91="","",IF(V91&gt;0,INDEX('09-أيلول'!$P$2:$P$500,V91),IF($AO$1=1,0,"")))</f>
        <v/>
      </c>
      <c r="Y91" s="38" t="str">
        <f t="shared" si="32"/>
        <v/>
      </c>
      <c r="Z91" s="39" t="str">
        <f>IF(L91="","",IF(V91&gt;0,INDEX('09-أيلول'!$Q$2:$Q$500,V91),IF($AO$1=1,0,"")))</f>
        <v/>
      </c>
      <c r="AA91" s="39" t="str">
        <f t="shared" si="33"/>
        <v/>
      </c>
      <c r="AB91" s="40" t="str">
        <f>IF(OR(L91="",V91=0),"",IF(AND(N(I91)&gt;0,N(INDEX('09-أيلول'!$I$2:$I$500,V91))&gt;0,INDEX('09-أيلول'!$F$2:$F$500,V91)=F91),N(I91)/N(INDEX('09-أيلول'!$I$2:$I$500,V91))-1,""))</f>
        <v/>
      </c>
      <c r="AC91" t="str">
        <f>IF(L91="","",IF(AND($AO$2=1,ISNA(MATCH(L91,'11-تشرين الثاني'!$L$2:$L$501,0))),"محذوف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IF(L92="","",IF($AO$1=1,IFERROR(MATCH(L92,'09-أيلول'!$L$2:$L$500,0),0),0))</f>
        <v/>
      </c>
      <c r="W92" t="str">
        <f t="shared" si="31"/>
        <v/>
      </c>
      <c r="X92" s="38" t="str">
        <f>IF(L92="","",IF(V92&gt;0,INDEX('09-أيلول'!$P$2:$P$500,V92),IF($AO$1=1,0,"")))</f>
        <v/>
      </c>
      <c r="Y92" s="38" t="str">
        <f t="shared" si="32"/>
        <v/>
      </c>
      <c r="Z92" s="39" t="str">
        <f>IF(L92="","",IF(V92&gt;0,INDEX('09-أيلول'!$Q$2:$Q$500,V92),IF($AO$1=1,0,"")))</f>
        <v/>
      </c>
      <c r="AA92" s="39" t="str">
        <f t="shared" si="33"/>
        <v/>
      </c>
      <c r="AB92" s="40" t="str">
        <f>IF(OR(L92="",V92=0),"",IF(AND(N(I92)&gt;0,N(INDEX('09-أيلول'!$I$2:$I$500,V92))&gt;0,INDEX('09-أيلول'!$F$2:$F$500,V92)=F92),N(I92)/N(INDEX('09-أيلول'!$I$2:$I$500,V92))-1,""))</f>
        <v/>
      </c>
      <c r="AC92" t="str">
        <f>IF(L92="","",IF(AND($AO$2=1,ISNA(MATCH(L92,'11-تشرين الثاني'!$L$2:$L$501,0))),"محذوف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IF(L93="","",IF($AO$1=1,IFERROR(MATCH(L93,'09-أيلول'!$L$2:$L$500,0),0),0))</f>
        <v/>
      </c>
      <c r="W93" t="str">
        <f t="shared" si="31"/>
        <v/>
      </c>
      <c r="X93" s="38" t="str">
        <f>IF(L93="","",IF(V93&gt;0,INDEX('09-أيلول'!$P$2:$P$500,V93),IF($AO$1=1,0,"")))</f>
        <v/>
      </c>
      <c r="Y93" s="38" t="str">
        <f t="shared" si="32"/>
        <v/>
      </c>
      <c r="Z93" s="39" t="str">
        <f>IF(L93="","",IF(V93&gt;0,INDEX('09-أيلول'!$Q$2:$Q$500,V93),IF($AO$1=1,0,"")))</f>
        <v/>
      </c>
      <c r="AA93" s="39" t="str">
        <f t="shared" si="33"/>
        <v/>
      </c>
      <c r="AB93" s="40" t="str">
        <f>IF(OR(L93="",V93=0),"",IF(AND(N(I93)&gt;0,N(INDEX('09-أيلول'!$I$2:$I$500,V93))&gt;0,INDEX('09-أيلول'!$F$2:$F$500,V93)=F93),N(I93)/N(INDEX('09-أيلول'!$I$2:$I$500,V93))-1,""))</f>
        <v/>
      </c>
      <c r="AC93" t="str">
        <f>IF(L93="","",IF(AND($AO$2=1,ISNA(MATCH(L93,'11-تشرين الثاني'!$L$2:$L$501,0))),"محذوف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IF(L94="","",IF($AO$1=1,IFERROR(MATCH(L94,'09-أيلول'!$L$2:$L$500,0),0),0))</f>
        <v/>
      </c>
      <c r="W94" t="str">
        <f t="shared" si="31"/>
        <v/>
      </c>
      <c r="X94" s="38" t="str">
        <f>IF(L94="","",IF(V94&gt;0,INDEX('09-أيلول'!$P$2:$P$500,V94),IF($AO$1=1,0,"")))</f>
        <v/>
      </c>
      <c r="Y94" s="38" t="str">
        <f t="shared" si="32"/>
        <v/>
      </c>
      <c r="Z94" s="39" t="str">
        <f>IF(L94="","",IF(V94&gt;0,INDEX('09-أيلول'!$Q$2:$Q$500,V94),IF($AO$1=1,0,"")))</f>
        <v/>
      </c>
      <c r="AA94" s="39" t="str">
        <f t="shared" si="33"/>
        <v/>
      </c>
      <c r="AB94" s="40" t="str">
        <f>IF(OR(L94="",V94=0),"",IF(AND(N(I94)&gt;0,N(INDEX('09-أيلول'!$I$2:$I$500,V94))&gt;0,INDEX('09-أيلول'!$F$2:$F$500,V94)=F94),N(I94)/N(INDEX('09-أيلول'!$I$2:$I$500,V94))-1,""))</f>
        <v/>
      </c>
      <c r="AC94" t="str">
        <f>IF(L94="","",IF(AND($AO$2=1,ISNA(MATCH(L94,'11-تشرين الثاني'!$L$2:$L$501,0))),"محذوف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IF(L95="","",IF($AO$1=1,IFERROR(MATCH(L95,'09-أيلول'!$L$2:$L$500,0),0),0))</f>
        <v/>
      </c>
      <c r="W95" t="str">
        <f t="shared" si="31"/>
        <v/>
      </c>
      <c r="X95" s="38" t="str">
        <f>IF(L95="","",IF(V95&gt;0,INDEX('09-أيلول'!$P$2:$P$500,V95),IF($AO$1=1,0,"")))</f>
        <v/>
      </c>
      <c r="Y95" s="38" t="str">
        <f t="shared" si="32"/>
        <v/>
      </c>
      <c r="Z95" s="39" t="str">
        <f>IF(L95="","",IF(V95&gt;0,INDEX('09-أيلول'!$Q$2:$Q$500,V95),IF($AO$1=1,0,"")))</f>
        <v/>
      </c>
      <c r="AA95" s="39" t="str">
        <f t="shared" si="33"/>
        <v/>
      </c>
      <c r="AB95" s="40" t="str">
        <f>IF(OR(L95="",V95=0),"",IF(AND(N(I95)&gt;0,N(INDEX('09-أيلول'!$I$2:$I$500,V95))&gt;0,INDEX('09-أيلول'!$F$2:$F$500,V95)=F95),N(I95)/N(INDEX('09-أيلول'!$I$2:$I$500,V95))-1,""))</f>
        <v/>
      </c>
      <c r="AC95" t="str">
        <f>IF(L95="","",IF(AND($AO$2=1,ISNA(MATCH(L95,'11-تشرين الثاني'!$L$2:$L$501,0))),"محذوف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IF(L96="","",IF($AO$1=1,IFERROR(MATCH(L96,'09-أيلول'!$L$2:$L$500,0),0),0))</f>
        <v/>
      </c>
      <c r="W96" t="str">
        <f t="shared" si="31"/>
        <v/>
      </c>
      <c r="X96" s="38" t="str">
        <f>IF(L96="","",IF(V96&gt;0,INDEX('09-أيلول'!$P$2:$P$500,V96),IF($AO$1=1,0,"")))</f>
        <v/>
      </c>
      <c r="Y96" s="38" t="str">
        <f t="shared" si="32"/>
        <v/>
      </c>
      <c r="Z96" s="39" t="str">
        <f>IF(L96="","",IF(V96&gt;0,INDEX('09-أيلول'!$Q$2:$Q$500,V96),IF($AO$1=1,0,"")))</f>
        <v/>
      </c>
      <c r="AA96" s="39" t="str">
        <f t="shared" si="33"/>
        <v/>
      </c>
      <c r="AB96" s="40" t="str">
        <f>IF(OR(L96="",V96=0),"",IF(AND(N(I96)&gt;0,N(INDEX('09-أيلول'!$I$2:$I$500,V96))&gt;0,INDEX('09-أيلول'!$F$2:$F$500,V96)=F96),N(I96)/N(INDEX('09-أيلول'!$I$2:$I$500,V96))-1,""))</f>
        <v/>
      </c>
      <c r="AC96" t="str">
        <f>IF(L96="","",IF(AND($AO$2=1,ISNA(MATCH(L96,'11-تشرين الثاني'!$L$2:$L$501,0))),"محذوف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IF(L97="","",IF($AO$1=1,IFERROR(MATCH(L97,'09-أيلول'!$L$2:$L$500,0),0),0))</f>
        <v/>
      </c>
      <c r="W97" t="str">
        <f t="shared" si="31"/>
        <v/>
      </c>
      <c r="X97" s="38" t="str">
        <f>IF(L97="","",IF(V97&gt;0,INDEX('09-أيلول'!$P$2:$P$500,V97),IF($AO$1=1,0,"")))</f>
        <v/>
      </c>
      <c r="Y97" s="38" t="str">
        <f t="shared" si="32"/>
        <v/>
      </c>
      <c r="Z97" s="39" t="str">
        <f>IF(L97="","",IF(V97&gt;0,INDEX('09-أيلول'!$Q$2:$Q$500,V97),IF($AO$1=1,0,"")))</f>
        <v/>
      </c>
      <c r="AA97" s="39" t="str">
        <f t="shared" si="33"/>
        <v/>
      </c>
      <c r="AB97" s="40" t="str">
        <f>IF(OR(L97="",V97=0),"",IF(AND(N(I97)&gt;0,N(INDEX('09-أيلول'!$I$2:$I$500,V97))&gt;0,INDEX('09-أيلول'!$F$2:$F$500,V97)=F97),N(I97)/N(INDEX('09-أيلول'!$I$2:$I$500,V97))-1,""))</f>
        <v/>
      </c>
      <c r="AC97" t="str">
        <f>IF(L97="","",IF(AND($AO$2=1,ISNA(MATCH(L97,'11-تشرين الثاني'!$L$2:$L$501,0))),"محذوف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IF(L98="","",IF($AO$1=1,IFERROR(MATCH(L98,'09-أيلول'!$L$2:$L$500,0),0),0))</f>
        <v/>
      </c>
      <c r="W98" t="str">
        <f t="shared" si="31"/>
        <v/>
      </c>
      <c r="X98" s="38" t="str">
        <f>IF(L98="","",IF(V98&gt;0,INDEX('09-أيلول'!$P$2:$P$500,V98),IF($AO$1=1,0,"")))</f>
        <v/>
      </c>
      <c r="Y98" s="38" t="str">
        <f t="shared" si="32"/>
        <v/>
      </c>
      <c r="Z98" s="39" t="str">
        <f>IF(L98="","",IF(V98&gt;0,INDEX('09-أيلول'!$Q$2:$Q$500,V98),IF($AO$1=1,0,"")))</f>
        <v/>
      </c>
      <c r="AA98" s="39" t="str">
        <f t="shared" si="33"/>
        <v/>
      </c>
      <c r="AB98" s="40" t="str">
        <f>IF(OR(L98="",V98=0),"",IF(AND(N(I98)&gt;0,N(INDEX('09-أيلول'!$I$2:$I$500,V98))&gt;0,INDEX('09-أيلول'!$F$2:$F$500,V98)=F98),N(I98)/N(INDEX('09-أيلول'!$I$2:$I$500,V98))-1,""))</f>
        <v/>
      </c>
      <c r="AC98" t="str">
        <f>IF(L98="","",IF(AND($AO$2=1,ISNA(MATCH(L98,'11-تشرين الثاني'!$L$2:$L$501,0))),"محذوف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IF(L99="","",IF($AO$1=1,IFERROR(MATCH(L99,'09-أيلول'!$L$2:$L$500,0),0),0))</f>
        <v/>
      </c>
      <c r="W99" t="str">
        <f t="shared" si="31"/>
        <v/>
      </c>
      <c r="X99" s="38" t="str">
        <f>IF(L99="","",IF(V99&gt;0,INDEX('09-أيلول'!$P$2:$P$500,V99),IF($AO$1=1,0,"")))</f>
        <v/>
      </c>
      <c r="Y99" s="38" t="str">
        <f t="shared" si="32"/>
        <v/>
      </c>
      <c r="Z99" s="39" t="str">
        <f>IF(L99="","",IF(V99&gt;0,INDEX('09-أيلول'!$Q$2:$Q$500,V99),IF($AO$1=1,0,"")))</f>
        <v/>
      </c>
      <c r="AA99" s="39" t="str">
        <f t="shared" si="33"/>
        <v/>
      </c>
      <c r="AB99" s="40" t="str">
        <f>IF(OR(L99="",V99=0),"",IF(AND(N(I99)&gt;0,N(INDEX('09-أيلول'!$I$2:$I$500,V99))&gt;0,INDEX('09-أيلول'!$F$2:$F$500,V99)=F99),N(I99)/N(INDEX('09-أيلول'!$I$2:$I$500,V99))-1,""))</f>
        <v/>
      </c>
      <c r="AC99" t="str">
        <f>IF(L99="","",IF(AND($AO$2=1,ISNA(MATCH(L99,'11-تشرين الثاني'!$L$2:$L$501,0))),"محذوف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IF(L100="","",IF($AO$1=1,IFERROR(MATCH(L100,'09-أيلول'!$L$2:$L$500,0),0),0))</f>
        <v/>
      </c>
      <c r="W100" t="str">
        <f t="shared" si="31"/>
        <v/>
      </c>
      <c r="X100" s="38" t="str">
        <f>IF(L100="","",IF(V100&gt;0,INDEX('09-أيلول'!$P$2:$P$500,V100),IF($AO$1=1,0,"")))</f>
        <v/>
      </c>
      <c r="Y100" s="38" t="str">
        <f t="shared" si="32"/>
        <v/>
      </c>
      <c r="Z100" s="39" t="str">
        <f>IF(L100="","",IF(V100&gt;0,INDEX('09-أيلول'!$Q$2:$Q$500,V100),IF($AO$1=1,0,"")))</f>
        <v/>
      </c>
      <c r="AA100" s="39" t="str">
        <f t="shared" si="33"/>
        <v/>
      </c>
      <c r="AB100" s="40" t="str">
        <f>IF(OR(L100="",V100=0),"",IF(AND(N(I100)&gt;0,N(INDEX('09-أيلول'!$I$2:$I$500,V100))&gt;0,INDEX('09-أيلول'!$F$2:$F$500,V100)=F100),N(I100)/N(INDEX('09-أيلول'!$I$2:$I$500,V100))-1,""))</f>
        <v/>
      </c>
      <c r="AC100" t="str">
        <f>IF(L100="","",IF(AND($AO$2=1,ISNA(MATCH(L100,'11-تشرين الثاني'!$L$2:$L$501,0))),"محذوف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IF(L101="","",IF($AO$1=1,IFERROR(MATCH(L101,'09-أيلول'!$L$2:$L$500,0),0),0))</f>
        <v/>
      </c>
      <c r="W101" t="str">
        <f t="shared" si="31"/>
        <v/>
      </c>
      <c r="X101" s="38" t="str">
        <f>IF(L101="","",IF(V101&gt;0,INDEX('09-أيلول'!$P$2:$P$500,V101),IF($AO$1=1,0,"")))</f>
        <v/>
      </c>
      <c r="Y101" s="38" t="str">
        <f t="shared" si="32"/>
        <v/>
      </c>
      <c r="Z101" s="39" t="str">
        <f>IF(L101="","",IF(V101&gt;0,INDEX('09-أيلول'!$Q$2:$Q$500,V101),IF($AO$1=1,0,"")))</f>
        <v/>
      </c>
      <c r="AA101" s="39" t="str">
        <f t="shared" si="33"/>
        <v/>
      </c>
      <c r="AB101" s="40" t="str">
        <f>IF(OR(L101="",V101=0),"",IF(AND(N(I101)&gt;0,N(INDEX('09-أيلول'!$I$2:$I$500,V101))&gt;0,INDEX('09-أيلول'!$F$2:$F$500,V101)=F101),N(I101)/N(INDEX('09-أيلول'!$I$2:$I$500,V101))-1,""))</f>
        <v/>
      </c>
      <c r="AC101" t="str">
        <f>IF(L101="","",IF(AND($AO$2=1,ISNA(MATCH(L101,'11-تشرين الثاني'!$L$2:$L$501,0))),"محذوف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IF(L102="","",IF($AO$1=1,IFERROR(MATCH(L102,'09-أيلول'!$L$2:$L$500,0),0),0))</f>
        <v/>
      </c>
      <c r="W102" t="str">
        <f t="shared" si="31"/>
        <v/>
      </c>
      <c r="X102" s="38" t="str">
        <f>IF(L102="","",IF(V102&gt;0,INDEX('09-أيلول'!$P$2:$P$500,V102),IF($AO$1=1,0,"")))</f>
        <v/>
      </c>
      <c r="Y102" s="38" t="str">
        <f t="shared" si="32"/>
        <v/>
      </c>
      <c r="Z102" s="39" t="str">
        <f>IF(L102="","",IF(V102&gt;0,INDEX('09-أيلول'!$Q$2:$Q$500,V102),IF($AO$1=1,0,"")))</f>
        <v/>
      </c>
      <c r="AA102" s="39" t="str">
        <f t="shared" si="33"/>
        <v/>
      </c>
      <c r="AB102" s="40" t="str">
        <f>IF(OR(L102="",V102=0),"",IF(AND(N(I102)&gt;0,N(INDEX('09-أيلول'!$I$2:$I$500,V102))&gt;0,INDEX('09-أيلول'!$F$2:$F$500,V102)=F102),N(I102)/N(INDEX('09-أيلول'!$I$2:$I$500,V102))-1,""))</f>
        <v/>
      </c>
      <c r="AC102" t="str">
        <f>IF(L102="","",IF(AND($AO$2=1,ISNA(MATCH(L102,'11-تشرين الثاني'!$L$2:$L$501,0))),"محذوف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IF(L103="","",IF($AO$1=1,IFERROR(MATCH(L103,'09-أيلول'!$L$2:$L$500,0),0),0))</f>
        <v/>
      </c>
      <c r="W103" t="str">
        <f t="shared" si="31"/>
        <v/>
      </c>
      <c r="X103" s="38" t="str">
        <f>IF(L103="","",IF(V103&gt;0,INDEX('09-أيلول'!$P$2:$P$500,V103),IF($AO$1=1,0,"")))</f>
        <v/>
      </c>
      <c r="Y103" s="38" t="str">
        <f t="shared" si="32"/>
        <v/>
      </c>
      <c r="Z103" s="39" t="str">
        <f>IF(L103="","",IF(V103&gt;0,INDEX('09-أيلول'!$Q$2:$Q$500,V103),IF($AO$1=1,0,"")))</f>
        <v/>
      </c>
      <c r="AA103" s="39" t="str">
        <f t="shared" si="33"/>
        <v/>
      </c>
      <c r="AB103" s="40" t="str">
        <f>IF(OR(L103="",V103=0),"",IF(AND(N(I103)&gt;0,N(INDEX('09-أيلول'!$I$2:$I$500,V103))&gt;0,INDEX('09-أيلول'!$F$2:$F$500,V103)=F103),N(I103)/N(INDEX('09-أيلول'!$I$2:$I$500,V103))-1,""))</f>
        <v/>
      </c>
      <c r="AC103" t="str">
        <f>IF(L103="","",IF(AND($AO$2=1,ISNA(MATCH(L103,'11-تشرين الثاني'!$L$2:$L$501,0))),"محذوف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IF(L104="","",IF($AO$1=1,IFERROR(MATCH(L104,'09-أيلول'!$L$2:$L$500,0),0),0))</f>
        <v/>
      </c>
      <c r="W104" t="str">
        <f t="shared" si="31"/>
        <v/>
      </c>
      <c r="X104" s="38" t="str">
        <f>IF(L104="","",IF(V104&gt;0,INDEX('09-أيلول'!$P$2:$P$500,V104),IF($AO$1=1,0,"")))</f>
        <v/>
      </c>
      <c r="Y104" s="38" t="str">
        <f t="shared" si="32"/>
        <v/>
      </c>
      <c r="Z104" s="39" t="str">
        <f>IF(L104="","",IF(V104&gt;0,INDEX('09-أيلول'!$Q$2:$Q$500,V104),IF($AO$1=1,0,"")))</f>
        <v/>
      </c>
      <c r="AA104" s="39" t="str">
        <f t="shared" si="33"/>
        <v/>
      </c>
      <c r="AB104" s="40" t="str">
        <f>IF(OR(L104="",V104=0),"",IF(AND(N(I104)&gt;0,N(INDEX('09-أيلول'!$I$2:$I$500,V104))&gt;0,INDEX('09-أيلول'!$F$2:$F$500,V104)=F104),N(I104)/N(INDEX('09-أيلول'!$I$2:$I$500,V104))-1,""))</f>
        <v/>
      </c>
      <c r="AC104" t="str">
        <f>IF(L104="","",IF(AND($AO$2=1,ISNA(MATCH(L104,'11-تشرين الثاني'!$L$2:$L$501,0))),"محذوف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IF(L105="","",IF($AO$1=1,IFERROR(MATCH(L105,'09-أيلول'!$L$2:$L$500,0),0),0))</f>
        <v/>
      </c>
      <c r="W105" t="str">
        <f t="shared" si="31"/>
        <v/>
      </c>
      <c r="X105" s="38" t="str">
        <f>IF(L105="","",IF(V105&gt;0,INDEX('09-أيلول'!$P$2:$P$500,V105),IF($AO$1=1,0,"")))</f>
        <v/>
      </c>
      <c r="Y105" s="38" t="str">
        <f t="shared" si="32"/>
        <v/>
      </c>
      <c r="Z105" s="39" t="str">
        <f>IF(L105="","",IF(V105&gt;0,INDEX('09-أيلول'!$Q$2:$Q$500,V105),IF($AO$1=1,0,"")))</f>
        <v/>
      </c>
      <c r="AA105" s="39" t="str">
        <f t="shared" si="33"/>
        <v/>
      </c>
      <c r="AB105" s="40" t="str">
        <f>IF(OR(L105="",V105=0),"",IF(AND(N(I105)&gt;0,N(INDEX('09-أيلول'!$I$2:$I$500,V105))&gt;0,INDEX('09-أيلول'!$F$2:$F$500,V105)=F105),N(I105)/N(INDEX('09-أيلول'!$I$2:$I$500,V105))-1,""))</f>
        <v/>
      </c>
      <c r="AC105" t="str">
        <f>IF(L105="","",IF(AND($AO$2=1,ISNA(MATCH(L105,'11-تشرين الثاني'!$L$2:$L$501,0))),"محذوف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IF(L106="","",IF($AO$1=1,IFERROR(MATCH(L106,'09-أيلول'!$L$2:$L$500,0),0),0))</f>
        <v/>
      </c>
      <c r="W106" t="str">
        <f t="shared" si="31"/>
        <v/>
      </c>
      <c r="X106" s="38" t="str">
        <f>IF(L106="","",IF(V106&gt;0,INDEX('09-أيلول'!$P$2:$P$500,V106),IF($AO$1=1,0,"")))</f>
        <v/>
      </c>
      <c r="Y106" s="38" t="str">
        <f t="shared" si="32"/>
        <v/>
      </c>
      <c r="Z106" s="39" t="str">
        <f>IF(L106="","",IF(V106&gt;0,INDEX('09-أيلول'!$Q$2:$Q$500,V106),IF($AO$1=1,0,"")))</f>
        <v/>
      </c>
      <c r="AA106" s="39" t="str">
        <f t="shared" si="33"/>
        <v/>
      </c>
      <c r="AB106" s="40" t="str">
        <f>IF(OR(L106="",V106=0),"",IF(AND(N(I106)&gt;0,N(INDEX('09-أيلول'!$I$2:$I$500,V106))&gt;0,INDEX('09-أيلول'!$F$2:$F$500,V106)=F106),N(I106)/N(INDEX('09-أيلول'!$I$2:$I$500,V106))-1,""))</f>
        <v/>
      </c>
      <c r="AC106" t="str">
        <f>IF(L106="","",IF(AND($AO$2=1,ISNA(MATCH(L106,'11-تشرين الثاني'!$L$2:$L$501,0))),"محذوف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IF(L107="","",IF($AO$1=1,IFERROR(MATCH(L107,'09-أيلول'!$L$2:$L$500,0),0),0))</f>
        <v/>
      </c>
      <c r="W107" t="str">
        <f t="shared" si="31"/>
        <v/>
      </c>
      <c r="X107" s="38" t="str">
        <f>IF(L107="","",IF(V107&gt;0,INDEX('09-أيلول'!$P$2:$P$500,V107),IF($AO$1=1,0,"")))</f>
        <v/>
      </c>
      <c r="Y107" s="38" t="str">
        <f t="shared" si="32"/>
        <v/>
      </c>
      <c r="Z107" s="39" t="str">
        <f>IF(L107="","",IF(V107&gt;0,INDEX('09-أيلول'!$Q$2:$Q$500,V107),IF($AO$1=1,0,"")))</f>
        <v/>
      </c>
      <c r="AA107" s="39" t="str">
        <f t="shared" si="33"/>
        <v/>
      </c>
      <c r="AB107" s="40" t="str">
        <f>IF(OR(L107="",V107=0),"",IF(AND(N(I107)&gt;0,N(INDEX('09-أيلول'!$I$2:$I$500,V107))&gt;0,INDEX('09-أيلول'!$F$2:$F$500,V107)=F107),N(I107)/N(INDEX('09-أيلول'!$I$2:$I$500,V107))-1,""))</f>
        <v/>
      </c>
      <c r="AC107" t="str">
        <f>IF(L107="","",IF(AND($AO$2=1,ISNA(MATCH(L107,'11-تشرين الثاني'!$L$2:$L$501,0))),"محذوف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IF(L108="","",IF($AO$1=1,IFERROR(MATCH(L108,'09-أيلول'!$L$2:$L$500,0),0),0))</f>
        <v/>
      </c>
      <c r="W108" t="str">
        <f t="shared" si="31"/>
        <v/>
      </c>
      <c r="X108" s="38" t="str">
        <f>IF(L108="","",IF(V108&gt;0,INDEX('09-أيلول'!$P$2:$P$500,V108),IF($AO$1=1,0,"")))</f>
        <v/>
      </c>
      <c r="Y108" s="38" t="str">
        <f t="shared" si="32"/>
        <v/>
      </c>
      <c r="Z108" s="39" t="str">
        <f>IF(L108="","",IF(V108&gt;0,INDEX('09-أيلول'!$Q$2:$Q$500,V108),IF($AO$1=1,0,"")))</f>
        <v/>
      </c>
      <c r="AA108" s="39" t="str">
        <f t="shared" si="33"/>
        <v/>
      </c>
      <c r="AB108" s="40" t="str">
        <f>IF(OR(L108="",V108=0),"",IF(AND(N(I108)&gt;0,N(INDEX('09-أيلول'!$I$2:$I$500,V108))&gt;0,INDEX('09-أيلول'!$F$2:$F$500,V108)=F108),N(I108)/N(INDEX('09-أيلول'!$I$2:$I$500,V108))-1,""))</f>
        <v/>
      </c>
      <c r="AC108" t="str">
        <f>IF(L108="","",IF(AND($AO$2=1,ISNA(MATCH(L108,'11-تشرين الثاني'!$L$2:$L$501,0))),"محذوف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IF(L109="","",IF($AO$1=1,IFERROR(MATCH(L109,'09-أيلول'!$L$2:$L$500,0),0),0))</f>
        <v/>
      </c>
      <c r="W109" t="str">
        <f t="shared" si="31"/>
        <v/>
      </c>
      <c r="X109" s="38" t="str">
        <f>IF(L109="","",IF(V109&gt;0,INDEX('09-أيلول'!$P$2:$P$500,V109),IF($AO$1=1,0,"")))</f>
        <v/>
      </c>
      <c r="Y109" s="38" t="str">
        <f t="shared" si="32"/>
        <v/>
      </c>
      <c r="Z109" s="39" t="str">
        <f>IF(L109="","",IF(V109&gt;0,INDEX('09-أيلول'!$Q$2:$Q$500,V109),IF($AO$1=1,0,"")))</f>
        <v/>
      </c>
      <c r="AA109" s="39" t="str">
        <f t="shared" si="33"/>
        <v/>
      </c>
      <c r="AB109" s="40" t="str">
        <f>IF(OR(L109="",V109=0),"",IF(AND(N(I109)&gt;0,N(INDEX('09-أيلول'!$I$2:$I$500,V109))&gt;0,INDEX('09-أيلول'!$F$2:$F$500,V109)=F109),N(I109)/N(INDEX('09-أيلول'!$I$2:$I$500,V109))-1,""))</f>
        <v/>
      </c>
      <c r="AC109" t="str">
        <f>IF(L109="","",IF(AND($AO$2=1,ISNA(MATCH(L109,'11-تشرين الثاني'!$L$2:$L$501,0))),"محذوف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IF(L110="","",IF($AO$1=1,IFERROR(MATCH(L110,'09-أيلول'!$L$2:$L$500,0),0),0))</f>
        <v/>
      </c>
      <c r="W110" t="str">
        <f t="shared" si="31"/>
        <v/>
      </c>
      <c r="X110" s="38" t="str">
        <f>IF(L110="","",IF(V110&gt;0,INDEX('09-أيلول'!$P$2:$P$500,V110),IF($AO$1=1,0,"")))</f>
        <v/>
      </c>
      <c r="Y110" s="38" t="str">
        <f t="shared" si="32"/>
        <v/>
      </c>
      <c r="Z110" s="39" t="str">
        <f>IF(L110="","",IF(V110&gt;0,INDEX('09-أيلول'!$Q$2:$Q$500,V110),IF($AO$1=1,0,"")))</f>
        <v/>
      </c>
      <c r="AA110" s="39" t="str">
        <f t="shared" si="33"/>
        <v/>
      </c>
      <c r="AB110" s="40" t="str">
        <f>IF(OR(L110="",V110=0),"",IF(AND(N(I110)&gt;0,N(INDEX('09-أيلول'!$I$2:$I$500,V110))&gt;0,INDEX('09-أيلول'!$F$2:$F$500,V110)=F110),N(I110)/N(INDEX('09-أيلول'!$I$2:$I$500,V110))-1,""))</f>
        <v/>
      </c>
      <c r="AC110" t="str">
        <f>IF(L110="","",IF(AND($AO$2=1,ISNA(MATCH(L110,'11-تشرين الثاني'!$L$2:$L$501,0))),"محذوف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IF(L111="","",IF($AO$1=1,IFERROR(MATCH(L111,'09-أيلول'!$L$2:$L$500,0),0),0))</f>
        <v/>
      </c>
      <c r="W111" t="str">
        <f t="shared" si="31"/>
        <v/>
      </c>
      <c r="X111" s="38" t="str">
        <f>IF(L111="","",IF(V111&gt;0,INDEX('09-أيلول'!$P$2:$P$500,V111),IF($AO$1=1,0,"")))</f>
        <v/>
      </c>
      <c r="Y111" s="38" t="str">
        <f t="shared" si="32"/>
        <v/>
      </c>
      <c r="Z111" s="39" t="str">
        <f>IF(L111="","",IF(V111&gt;0,INDEX('09-أيلول'!$Q$2:$Q$500,V111),IF($AO$1=1,0,"")))</f>
        <v/>
      </c>
      <c r="AA111" s="39" t="str">
        <f t="shared" si="33"/>
        <v/>
      </c>
      <c r="AB111" s="40" t="str">
        <f>IF(OR(L111="",V111=0),"",IF(AND(N(I111)&gt;0,N(INDEX('09-أيلول'!$I$2:$I$500,V111))&gt;0,INDEX('09-أيلول'!$F$2:$F$500,V111)=F111),N(I111)/N(INDEX('09-أيلول'!$I$2:$I$500,V111))-1,""))</f>
        <v/>
      </c>
      <c r="AC111" t="str">
        <f>IF(L111="","",IF(AND($AO$2=1,ISNA(MATCH(L111,'11-تشرين الثاني'!$L$2:$L$501,0))),"محذوف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IF(L112="","",IF($AO$1=1,IFERROR(MATCH(L112,'09-أيلول'!$L$2:$L$500,0),0),0))</f>
        <v/>
      </c>
      <c r="W112" t="str">
        <f t="shared" si="31"/>
        <v/>
      </c>
      <c r="X112" s="38" t="str">
        <f>IF(L112="","",IF(V112&gt;0,INDEX('09-أيلول'!$P$2:$P$500,V112),IF($AO$1=1,0,"")))</f>
        <v/>
      </c>
      <c r="Y112" s="38" t="str">
        <f t="shared" si="32"/>
        <v/>
      </c>
      <c r="Z112" s="39" t="str">
        <f>IF(L112="","",IF(V112&gt;0,INDEX('09-أيلول'!$Q$2:$Q$500,V112),IF($AO$1=1,0,"")))</f>
        <v/>
      </c>
      <c r="AA112" s="39" t="str">
        <f t="shared" si="33"/>
        <v/>
      </c>
      <c r="AB112" s="40" t="str">
        <f>IF(OR(L112="",V112=0),"",IF(AND(N(I112)&gt;0,N(INDEX('09-أيلول'!$I$2:$I$500,V112))&gt;0,INDEX('09-أيلول'!$F$2:$F$500,V112)=F112),N(I112)/N(INDEX('09-أيلول'!$I$2:$I$500,V112))-1,""))</f>
        <v/>
      </c>
      <c r="AC112" t="str">
        <f>IF(L112="","",IF(AND($AO$2=1,ISNA(MATCH(L112,'11-تشرين الثاني'!$L$2:$L$501,0))),"محذوف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IF(L113="","",IF($AO$1=1,IFERROR(MATCH(L113,'09-أيلول'!$L$2:$L$500,0),0),0))</f>
        <v/>
      </c>
      <c r="W113" t="str">
        <f t="shared" si="31"/>
        <v/>
      </c>
      <c r="X113" s="38" t="str">
        <f>IF(L113="","",IF(V113&gt;0,INDEX('09-أيلول'!$P$2:$P$500,V113),IF($AO$1=1,0,"")))</f>
        <v/>
      </c>
      <c r="Y113" s="38" t="str">
        <f t="shared" si="32"/>
        <v/>
      </c>
      <c r="Z113" s="39" t="str">
        <f>IF(L113="","",IF(V113&gt;0,INDEX('09-أيلول'!$Q$2:$Q$500,V113),IF($AO$1=1,0,"")))</f>
        <v/>
      </c>
      <c r="AA113" s="39" t="str">
        <f t="shared" si="33"/>
        <v/>
      </c>
      <c r="AB113" s="40" t="str">
        <f>IF(OR(L113="",V113=0),"",IF(AND(N(I113)&gt;0,N(INDEX('09-أيلول'!$I$2:$I$500,V113))&gt;0,INDEX('09-أيلول'!$F$2:$F$500,V113)=F113),N(I113)/N(INDEX('09-أيلول'!$I$2:$I$500,V113))-1,""))</f>
        <v/>
      </c>
      <c r="AC113" t="str">
        <f>IF(L113="","",IF(AND($AO$2=1,ISNA(MATCH(L113,'11-تشرين الثاني'!$L$2:$L$501,0))),"محذوف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IF(L114="","",IF($AO$1=1,IFERROR(MATCH(L114,'09-أيلول'!$L$2:$L$500,0),0),0))</f>
        <v/>
      </c>
      <c r="W114" t="str">
        <f t="shared" si="31"/>
        <v/>
      </c>
      <c r="X114" s="38" t="str">
        <f>IF(L114="","",IF(V114&gt;0,INDEX('09-أيلول'!$P$2:$P$500,V114),IF($AO$1=1,0,"")))</f>
        <v/>
      </c>
      <c r="Y114" s="38" t="str">
        <f t="shared" si="32"/>
        <v/>
      </c>
      <c r="Z114" s="39" t="str">
        <f>IF(L114="","",IF(V114&gt;0,INDEX('09-أيلول'!$Q$2:$Q$500,V114),IF($AO$1=1,0,"")))</f>
        <v/>
      </c>
      <c r="AA114" s="39" t="str">
        <f t="shared" si="33"/>
        <v/>
      </c>
      <c r="AB114" s="40" t="str">
        <f>IF(OR(L114="",V114=0),"",IF(AND(N(I114)&gt;0,N(INDEX('09-أيلول'!$I$2:$I$500,V114))&gt;0,INDEX('09-أيلول'!$F$2:$F$500,V114)=F114),N(I114)/N(INDEX('09-أيلول'!$I$2:$I$500,V114))-1,""))</f>
        <v/>
      </c>
      <c r="AC114" t="str">
        <f>IF(L114="","",IF(AND($AO$2=1,ISNA(MATCH(L114,'11-تشرين الثاني'!$L$2:$L$501,0))),"محذوف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IF(L115="","",IF($AO$1=1,IFERROR(MATCH(L115,'09-أيلول'!$L$2:$L$500,0),0),0))</f>
        <v/>
      </c>
      <c r="W115" t="str">
        <f t="shared" si="31"/>
        <v/>
      </c>
      <c r="X115" s="38" t="str">
        <f>IF(L115="","",IF(V115&gt;0,INDEX('09-أيلول'!$P$2:$P$500,V115),IF($AO$1=1,0,"")))</f>
        <v/>
      </c>
      <c r="Y115" s="38" t="str">
        <f t="shared" si="32"/>
        <v/>
      </c>
      <c r="Z115" s="39" t="str">
        <f>IF(L115="","",IF(V115&gt;0,INDEX('09-أيلول'!$Q$2:$Q$500,V115),IF($AO$1=1,0,"")))</f>
        <v/>
      </c>
      <c r="AA115" s="39" t="str">
        <f t="shared" si="33"/>
        <v/>
      </c>
      <c r="AB115" s="40" t="str">
        <f>IF(OR(L115="",V115=0),"",IF(AND(N(I115)&gt;0,N(INDEX('09-أيلول'!$I$2:$I$500,V115))&gt;0,INDEX('09-أيلول'!$F$2:$F$500,V115)=F115),N(I115)/N(INDEX('09-أيلول'!$I$2:$I$500,V115))-1,""))</f>
        <v/>
      </c>
      <c r="AC115" t="str">
        <f>IF(L115="","",IF(AND($AO$2=1,ISNA(MATCH(L115,'11-تشرين الثاني'!$L$2:$L$501,0))),"محذوف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IF(L116="","",IF($AO$1=1,IFERROR(MATCH(L116,'09-أيلول'!$L$2:$L$500,0),0),0))</f>
        <v/>
      </c>
      <c r="W116" t="str">
        <f t="shared" si="31"/>
        <v/>
      </c>
      <c r="X116" s="38" t="str">
        <f>IF(L116="","",IF(V116&gt;0,INDEX('09-أيلول'!$P$2:$P$500,V116),IF($AO$1=1,0,"")))</f>
        <v/>
      </c>
      <c r="Y116" s="38" t="str">
        <f t="shared" si="32"/>
        <v/>
      </c>
      <c r="Z116" s="39" t="str">
        <f>IF(L116="","",IF(V116&gt;0,INDEX('09-أيلول'!$Q$2:$Q$500,V116),IF($AO$1=1,0,"")))</f>
        <v/>
      </c>
      <c r="AA116" s="39" t="str">
        <f t="shared" si="33"/>
        <v/>
      </c>
      <c r="AB116" s="40" t="str">
        <f>IF(OR(L116="",V116=0),"",IF(AND(N(I116)&gt;0,N(INDEX('09-أيلول'!$I$2:$I$500,V116))&gt;0,INDEX('09-أيلول'!$F$2:$F$500,V116)=F116),N(I116)/N(INDEX('09-أيلول'!$I$2:$I$500,V116))-1,""))</f>
        <v/>
      </c>
      <c r="AC116" t="str">
        <f>IF(L116="","",IF(AND($AO$2=1,ISNA(MATCH(L116,'11-تشرين الثاني'!$L$2:$L$501,0))),"محذوف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IF(L117="","",IF($AO$1=1,IFERROR(MATCH(L117,'09-أيلول'!$L$2:$L$500,0),0),0))</f>
        <v/>
      </c>
      <c r="W117" t="str">
        <f t="shared" si="31"/>
        <v/>
      </c>
      <c r="X117" s="38" t="str">
        <f>IF(L117="","",IF(V117&gt;0,INDEX('09-أيلول'!$P$2:$P$500,V117),IF($AO$1=1,0,"")))</f>
        <v/>
      </c>
      <c r="Y117" s="38" t="str">
        <f t="shared" si="32"/>
        <v/>
      </c>
      <c r="Z117" s="39" t="str">
        <f>IF(L117="","",IF(V117&gt;0,INDEX('09-أيلول'!$Q$2:$Q$500,V117),IF($AO$1=1,0,"")))</f>
        <v/>
      </c>
      <c r="AA117" s="39" t="str">
        <f t="shared" si="33"/>
        <v/>
      </c>
      <c r="AB117" s="40" t="str">
        <f>IF(OR(L117="",V117=0),"",IF(AND(N(I117)&gt;0,N(INDEX('09-أيلول'!$I$2:$I$500,V117))&gt;0,INDEX('09-أيلول'!$F$2:$F$500,V117)=F117),N(I117)/N(INDEX('09-أيلول'!$I$2:$I$500,V117))-1,""))</f>
        <v/>
      </c>
      <c r="AC117" t="str">
        <f>IF(L117="","",IF(AND($AO$2=1,ISNA(MATCH(L117,'11-تشرين الثاني'!$L$2:$L$501,0))),"محذوف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IF(L118="","",IF($AO$1=1,IFERROR(MATCH(L118,'09-أيلول'!$L$2:$L$500,0),0),0))</f>
        <v/>
      </c>
      <c r="W118" t="str">
        <f t="shared" si="31"/>
        <v/>
      </c>
      <c r="X118" s="38" t="str">
        <f>IF(L118="","",IF(V118&gt;0,INDEX('09-أيلول'!$P$2:$P$500,V118),IF($AO$1=1,0,"")))</f>
        <v/>
      </c>
      <c r="Y118" s="38" t="str">
        <f t="shared" si="32"/>
        <v/>
      </c>
      <c r="Z118" s="39" t="str">
        <f>IF(L118="","",IF(V118&gt;0,INDEX('09-أيلول'!$Q$2:$Q$500,V118),IF($AO$1=1,0,"")))</f>
        <v/>
      </c>
      <c r="AA118" s="39" t="str">
        <f t="shared" si="33"/>
        <v/>
      </c>
      <c r="AB118" s="40" t="str">
        <f>IF(OR(L118="",V118=0),"",IF(AND(N(I118)&gt;0,N(INDEX('09-أيلول'!$I$2:$I$500,V118))&gt;0,INDEX('09-أيلول'!$F$2:$F$500,V118)=F118),N(I118)/N(INDEX('09-أيلول'!$I$2:$I$500,V118))-1,""))</f>
        <v/>
      </c>
      <c r="AC118" t="str">
        <f>IF(L118="","",IF(AND($AO$2=1,ISNA(MATCH(L118,'11-تشرين الثاني'!$L$2:$L$501,0))),"محذوف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IF(L119="","",IF($AO$1=1,IFERROR(MATCH(L119,'09-أيلول'!$L$2:$L$500,0),0),0))</f>
        <v/>
      </c>
      <c r="W119" t="str">
        <f t="shared" si="31"/>
        <v/>
      </c>
      <c r="X119" s="38" t="str">
        <f>IF(L119="","",IF(V119&gt;0,INDEX('09-أيلول'!$P$2:$P$500,V119),IF($AO$1=1,0,"")))</f>
        <v/>
      </c>
      <c r="Y119" s="38" t="str">
        <f t="shared" si="32"/>
        <v/>
      </c>
      <c r="Z119" s="39" t="str">
        <f>IF(L119="","",IF(V119&gt;0,INDEX('09-أيلول'!$Q$2:$Q$500,V119),IF($AO$1=1,0,"")))</f>
        <v/>
      </c>
      <c r="AA119" s="39" t="str">
        <f t="shared" si="33"/>
        <v/>
      </c>
      <c r="AB119" s="40" t="str">
        <f>IF(OR(L119="",V119=0),"",IF(AND(N(I119)&gt;0,N(INDEX('09-أيلول'!$I$2:$I$500,V119))&gt;0,INDEX('09-أيلول'!$F$2:$F$500,V119)=F119),N(I119)/N(INDEX('09-أيلول'!$I$2:$I$500,V119))-1,""))</f>
        <v/>
      </c>
      <c r="AC119" t="str">
        <f>IF(L119="","",IF(AND($AO$2=1,ISNA(MATCH(L119,'11-تشرين الثاني'!$L$2:$L$501,0))),"محذوف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IF(L120="","",IF($AO$1=1,IFERROR(MATCH(L120,'09-أيلول'!$L$2:$L$500,0),0),0))</f>
        <v/>
      </c>
      <c r="W120" t="str">
        <f t="shared" si="31"/>
        <v/>
      </c>
      <c r="X120" s="38" t="str">
        <f>IF(L120="","",IF(V120&gt;0,INDEX('09-أيلول'!$P$2:$P$500,V120),IF($AO$1=1,0,"")))</f>
        <v/>
      </c>
      <c r="Y120" s="38" t="str">
        <f t="shared" si="32"/>
        <v/>
      </c>
      <c r="Z120" s="39" t="str">
        <f>IF(L120="","",IF(V120&gt;0,INDEX('09-أيلول'!$Q$2:$Q$500,V120),IF($AO$1=1,0,"")))</f>
        <v/>
      </c>
      <c r="AA120" s="39" t="str">
        <f t="shared" si="33"/>
        <v/>
      </c>
      <c r="AB120" s="40" t="str">
        <f>IF(OR(L120="",V120=0),"",IF(AND(N(I120)&gt;0,N(INDEX('09-أيلول'!$I$2:$I$500,V120))&gt;0,INDEX('09-أيلول'!$F$2:$F$500,V120)=F120),N(I120)/N(INDEX('09-أيلول'!$I$2:$I$500,V120))-1,""))</f>
        <v/>
      </c>
      <c r="AC120" t="str">
        <f>IF(L120="","",IF(AND($AO$2=1,ISNA(MATCH(L120,'11-تشرين الثاني'!$L$2:$L$501,0))),"محذوف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IF(L121="","",IF($AO$1=1,IFERROR(MATCH(L121,'09-أيلول'!$L$2:$L$500,0),0),0))</f>
        <v/>
      </c>
      <c r="W121" t="str">
        <f t="shared" si="31"/>
        <v/>
      </c>
      <c r="X121" s="38" t="str">
        <f>IF(L121="","",IF(V121&gt;0,INDEX('09-أيلول'!$P$2:$P$500,V121),IF($AO$1=1,0,"")))</f>
        <v/>
      </c>
      <c r="Y121" s="38" t="str">
        <f t="shared" si="32"/>
        <v/>
      </c>
      <c r="Z121" s="39" t="str">
        <f>IF(L121="","",IF(V121&gt;0,INDEX('09-أيلول'!$Q$2:$Q$500,V121),IF($AO$1=1,0,"")))</f>
        <v/>
      </c>
      <c r="AA121" s="39" t="str">
        <f t="shared" si="33"/>
        <v/>
      </c>
      <c r="AB121" s="40" t="str">
        <f>IF(OR(L121="",V121=0),"",IF(AND(N(I121)&gt;0,N(INDEX('09-أيلول'!$I$2:$I$500,V121))&gt;0,INDEX('09-أيلول'!$F$2:$F$500,V121)=F121),N(I121)/N(INDEX('09-أيلول'!$I$2:$I$500,V121))-1,""))</f>
        <v/>
      </c>
      <c r="AC121" t="str">
        <f>IF(L121="","",IF(AND($AO$2=1,ISNA(MATCH(L121,'11-تشرين الثاني'!$L$2:$L$501,0))),"محذوف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IF(L122="","",IF($AO$1=1,IFERROR(MATCH(L122,'09-أيلول'!$L$2:$L$500,0),0),0))</f>
        <v/>
      </c>
      <c r="W122" t="str">
        <f t="shared" si="31"/>
        <v/>
      </c>
      <c r="X122" s="38" t="str">
        <f>IF(L122="","",IF(V122&gt;0,INDEX('09-أيلول'!$P$2:$P$500,V122),IF($AO$1=1,0,"")))</f>
        <v/>
      </c>
      <c r="Y122" s="38" t="str">
        <f t="shared" si="32"/>
        <v/>
      </c>
      <c r="Z122" s="39" t="str">
        <f>IF(L122="","",IF(V122&gt;0,INDEX('09-أيلول'!$Q$2:$Q$500,V122),IF($AO$1=1,0,"")))</f>
        <v/>
      </c>
      <c r="AA122" s="39" t="str">
        <f t="shared" si="33"/>
        <v/>
      </c>
      <c r="AB122" s="40" t="str">
        <f>IF(OR(L122="",V122=0),"",IF(AND(N(I122)&gt;0,N(INDEX('09-أيلول'!$I$2:$I$500,V122))&gt;0,INDEX('09-أيلول'!$F$2:$F$500,V122)=F122),N(I122)/N(INDEX('09-أيلول'!$I$2:$I$500,V122))-1,""))</f>
        <v/>
      </c>
      <c r="AC122" t="str">
        <f>IF(L122="","",IF(AND($AO$2=1,ISNA(MATCH(L122,'11-تشرين الثاني'!$L$2:$L$501,0))),"محذوف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IF(L123="","",IF($AO$1=1,IFERROR(MATCH(L123,'09-أيلول'!$L$2:$L$500,0),0),0))</f>
        <v/>
      </c>
      <c r="W123" t="str">
        <f t="shared" si="31"/>
        <v/>
      </c>
      <c r="X123" s="38" t="str">
        <f>IF(L123="","",IF(V123&gt;0,INDEX('09-أيلول'!$P$2:$P$500,V123),IF($AO$1=1,0,"")))</f>
        <v/>
      </c>
      <c r="Y123" s="38" t="str">
        <f t="shared" si="32"/>
        <v/>
      </c>
      <c r="Z123" s="39" t="str">
        <f>IF(L123="","",IF(V123&gt;0,INDEX('09-أيلول'!$Q$2:$Q$500,V123),IF($AO$1=1,0,"")))</f>
        <v/>
      </c>
      <c r="AA123" s="39" t="str">
        <f t="shared" si="33"/>
        <v/>
      </c>
      <c r="AB123" s="40" t="str">
        <f>IF(OR(L123="",V123=0),"",IF(AND(N(I123)&gt;0,N(INDEX('09-أيلول'!$I$2:$I$500,V123))&gt;0,INDEX('09-أيلول'!$F$2:$F$500,V123)=F123),N(I123)/N(INDEX('09-أيلول'!$I$2:$I$500,V123))-1,""))</f>
        <v/>
      </c>
      <c r="AC123" t="str">
        <f>IF(L123="","",IF(AND($AO$2=1,ISNA(MATCH(L123,'11-تشرين الثاني'!$L$2:$L$501,0))),"محذوف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IF(L124="","",IF($AO$1=1,IFERROR(MATCH(L124,'09-أيلول'!$L$2:$L$500,0),0),0))</f>
        <v/>
      </c>
      <c r="W124" t="str">
        <f t="shared" si="31"/>
        <v/>
      </c>
      <c r="X124" s="38" t="str">
        <f>IF(L124="","",IF(V124&gt;0,INDEX('09-أيلول'!$P$2:$P$500,V124),IF($AO$1=1,0,"")))</f>
        <v/>
      </c>
      <c r="Y124" s="38" t="str">
        <f t="shared" si="32"/>
        <v/>
      </c>
      <c r="Z124" s="39" t="str">
        <f>IF(L124="","",IF(V124&gt;0,INDEX('09-أيلول'!$Q$2:$Q$500,V124),IF($AO$1=1,0,"")))</f>
        <v/>
      </c>
      <c r="AA124" s="39" t="str">
        <f t="shared" si="33"/>
        <v/>
      </c>
      <c r="AB124" s="40" t="str">
        <f>IF(OR(L124="",V124=0),"",IF(AND(N(I124)&gt;0,N(INDEX('09-أيلول'!$I$2:$I$500,V124))&gt;0,INDEX('09-أيلول'!$F$2:$F$500,V124)=F124),N(I124)/N(INDEX('09-أيلول'!$I$2:$I$500,V124))-1,""))</f>
        <v/>
      </c>
      <c r="AC124" t="str">
        <f>IF(L124="","",IF(AND($AO$2=1,ISNA(MATCH(L124,'11-تشرين الثاني'!$L$2:$L$501,0))),"محذوف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IF(L125="","",IF($AO$1=1,IFERROR(MATCH(L125,'09-أيلول'!$L$2:$L$500,0),0),0))</f>
        <v/>
      </c>
      <c r="W125" t="str">
        <f t="shared" si="31"/>
        <v/>
      </c>
      <c r="X125" s="38" t="str">
        <f>IF(L125="","",IF(V125&gt;0,INDEX('09-أيلول'!$P$2:$P$500,V125),IF($AO$1=1,0,"")))</f>
        <v/>
      </c>
      <c r="Y125" s="38" t="str">
        <f t="shared" si="32"/>
        <v/>
      </c>
      <c r="Z125" s="39" t="str">
        <f>IF(L125="","",IF(V125&gt;0,INDEX('09-أيلول'!$Q$2:$Q$500,V125),IF($AO$1=1,0,"")))</f>
        <v/>
      </c>
      <c r="AA125" s="39" t="str">
        <f t="shared" si="33"/>
        <v/>
      </c>
      <c r="AB125" s="40" t="str">
        <f>IF(OR(L125="",V125=0),"",IF(AND(N(I125)&gt;0,N(INDEX('09-أيلول'!$I$2:$I$500,V125))&gt;0,INDEX('09-أيلول'!$F$2:$F$500,V125)=F125),N(I125)/N(INDEX('09-أيلول'!$I$2:$I$500,V125))-1,""))</f>
        <v/>
      </c>
      <c r="AC125" t="str">
        <f>IF(L125="","",IF(AND($AO$2=1,ISNA(MATCH(L125,'11-تشرين الثاني'!$L$2:$L$501,0))),"محذوف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IF(L126="","",IF($AO$1=1,IFERROR(MATCH(L126,'09-أيلول'!$L$2:$L$500,0),0),0))</f>
        <v/>
      </c>
      <c r="W126" t="str">
        <f t="shared" si="31"/>
        <v/>
      </c>
      <c r="X126" s="38" t="str">
        <f>IF(L126="","",IF(V126&gt;0,INDEX('09-أيلول'!$P$2:$P$500,V126),IF($AO$1=1,0,"")))</f>
        <v/>
      </c>
      <c r="Y126" s="38" t="str">
        <f t="shared" si="32"/>
        <v/>
      </c>
      <c r="Z126" s="39" t="str">
        <f>IF(L126="","",IF(V126&gt;0,INDEX('09-أيلول'!$Q$2:$Q$500,V126),IF($AO$1=1,0,"")))</f>
        <v/>
      </c>
      <c r="AA126" s="39" t="str">
        <f t="shared" si="33"/>
        <v/>
      </c>
      <c r="AB126" s="40" t="str">
        <f>IF(OR(L126="",V126=0),"",IF(AND(N(I126)&gt;0,N(INDEX('09-أيلول'!$I$2:$I$500,V126))&gt;0,INDEX('09-أيلول'!$F$2:$F$500,V126)=F126),N(I126)/N(INDEX('09-أيلول'!$I$2:$I$500,V126))-1,""))</f>
        <v/>
      </c>
      <c r="AC126" t="str">
        <f>IF(L126="","",IF(AND($AO$2=1,ISNA(MATCH(L126,'11-تشرين الثاني'!$L$2:$L$501,0))),"محذوف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IF(L127="","",IF($AO$1=1,IFERROR(MATCH(L127,'09-أيلول'!$L$2:$L$500,0),0),0))</f>
        <v/>
      </c>
      <c r="W127" t="str">
        <f t="shared" si="31"/>
        <v/>
      </c>
      <c r="X127" s="38" t="str">
        <f>IF(L127="","",IF(V127&gt;0,INDEX('09-أيلول'!$P$2:$P$500,V127),IF($AO$1=1,0,"")))</f>
        <v/>
      </c>
      <c r="Y127" s="38" t="str">
        <f t="shared" si="32"/>
        <v/>
      </c>
      <c r="Z127" s="39" t="str">
        <f>IF(L127="","",IF(V127&gt;0,INDEX('09-أيلول'!$Q$2:$Q$500,V127),IF($AO$1=1,0,"")))</f>
        <v/>
      </c>
      <c r="AA127" s="39" t="str">
        <f t="shared" si="33"/>
        <v/>
      </c>
      <c r="AB127" s="40" t="str">
        <f>IF(OR(L127="",V127=0),"",IF(AND(N(I127)&gt;0,N(INDEX('09-أيلول'!$I$2:$I$500,V127))&gt;0,INDEX('09-أيلول'!$F$2:$F$500,V127)=F127),N(I127)/N(INDEX('09-أيلول'!$I$2:$I$500,V127))-1,""))</f>
        <v/>
      </c>
      <c r="AC127" t="str">
        <f>IF(L127="","",IF(AND($AO$2=1,ISNA(MATCH(L127,'11-تشرين الثاني'!$L$2:$L$501,0))),"محذوف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IF(L128="","",IF($AO$1=1,IFERROR(MATCH(L128,'09-أيلول'!$L$2:$L$500,0),0),0))</f>
        <v/>
      </c>
      <c r="W128" t="str">
        <f t="shared" si="31"/>
        <v/>
      </c>
      <c r="X128" s="38" t="str">
        <f>IF(L128="","",IF(V128&gt;0,INDEX('09-أيلول'!$P$2:$P$500,V128),IF($AO$1=1,0,"")))</f>
        <v/>
      </c>
      <c r="Y128" s="38" t="str">
        <f t="shared" si="32"/>
        <v/>
      </c>
      <c r="Z128" s="39" t="str">
        <f>IF(L128="","",IF(V128&gt;0,INDEX('09-أيلول'!$Q$2:$Q$500,V128),IF($AO$1=1,0,"")))</f>
        <v/>
      </c>
      <c r="AA128" s="39" t="str">
        <f t="shared" si="33"/>
        <v/>
      </c>
      <c r="AB128" s="40" t="str">
        <f>IF(OR(L128="",V128=0),"",IF(AND(N(I128)&gt;0,N(INDEX('09-أيلول'!$I$2:$I$500,V128))&gt;0,INDEX('09-أيلول'!$F$2:$F$500,V128)=F128),N(I128)/N(INDEX('09-أيلول'!$I$2:$I$500,V128))-1,""))</f>
        <v/>
      </c>
      <c r="AC128" t="str">
        <f>IF(L128="","",IF(AND($AO$2=1,ISNA(MATCH(L128,'11-تشرين الثاني'!$L$2:$L$501,0))),"محذوف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IF(L129="","",IF($AO$1=1,IFERROR(MATCH(L129,'09-أيلول'!$L$2:$L$500,0),0),0))</f>
        <v/>
      </c>
      <c r="W129" t="str">
        <f t="shared" si="31"/>
        <v/>
      </c>
      <c r="X129" s="38" t="str">
        <f>IF(L129="","",IF(V129&gt;0,INDEX('09-أيلول'!$P$2:$P$500,V129),IF($AO$1=1,0,"")))</f>
        <v/>
      </c>
      <c r="Y129" s="38" t="str">
        <f t="shared" si="32"/>
        <v/>
      </c>
      <c r="Z129" s="39" t="str">
        <f>IF(L129="","",IF(V129&gt;0,INDEX('09-أيلول'!$Q$2:$Q$500,V129),IF($AO$1=1,0,"")))</f>
        <v/>
      </c>
      <c r="AA129" s="39" t="str">
        <f t="shared" si="33"/>
        <v/>
      </c>
      <c r="AB129" s="40" t="str">
        <f>IF(OR(L129="",V129=0),"",IF(AND(N(I129)&gt;0,N(INDEX('09-أيلول'!$I$2:$I$500,V129))&gt;0,INDEX('09-أيلول'!$F$2:$F$500,V129)=F129),N(I129)/N(INDEX('09-أيلول'!$I$2:$I$500,V129))-1,""))</f>
        <v/>
      </c>
      <c r="AC129" t="str">
        <f>IF(L129="","",IF(AND($AO$2=1,ISNA(MATCH(L129,'11-تشرين الثاني'!$L$2:$L$501,0))),"محذوف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IF(L130="","",IF($AO$1=1,IFERROR(MATCH(L130,'09-أيلول'!$L$2:$L$500,0),0),0))</f>
        <v/>
      </c>
      <c r="W130" t="str">
        <f t="shared" ref="W130:W193" si="51">IF(L130="","",IF(AND($AO$1=1,V130=0),"جديد",""))</f>
        <v/>
      </c>
      <c r="X130" s="38" t="str">
        <f>IF(L130="","",IF(V130&gt;0,INDEX('09-أيلول'!$P$2:$P$500,V130),IF($AO$1=1,0,"")))</f>
        <v/>
      </c>
      <c r="Y130" s="38" t="str">
        <f t="shared" ref="Y130:Y193" si="52">IF(OR(L130="",X130=""),"",P130-X130)</f>
        <v/>
      </c>
      <c r="Z130" s="39" t="str">
        <f>IF(L130="","",IF(V130&gt;0,INDEX('09-أيلول'!$Q$2:$Q$500,V130),IF($AO$1=1,0,"")))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IF(OR(L130="",V130=0),"",IF(AND(N(I130)&gt;0,N(INDEX('09-أيلول'!$I$2:$I$500,V130))&gt;0,INDEX('09-أيلول'!$F$2:$F$500,V130)=F130),N(I130)/N(INDEX('09-أيلول'!$I$2:$I$500,V130))-1,""))</f>
        <v/>
      </c>
      <c r="AC130" t="str">
        <f>IF(L130="","",IF(AND($AO$2=1,ISNA(MATCH(L130,'11-تشرين الثاني'!$L$2:$L$501,0))),"محذوف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IF(L131="","",IF($AO$1=1,IFERROR(MATCH(L131,'09-أيلول'!$L$2:$L$500,0),0),0))</f>
        <v/>
      </c>
      <c r="W131" t="str">
        <f t="shared" si="51"/>
        <v/>
      </c>
      <c r="X131" s="38" t="str">
        <f>IF(L131="","",IF(V131&gt;0,INDEX('09-أيلول'!$P$2:$P$500,V131),IF($AO$1=1,0,"")))</f>
        <v/>
      </c>
      <c r="Y131" s="38" t="str">
        <f t="shared" si="52"/>
        <v/>
      </c>
      <c r="Z131" s="39" t="str">
        <f>IF(L131="","",IF(V131&gt;0,INDEX('09-أيلول'!$Q$2:$Q$500,V131),IF($AO$1=1,0,"")))</f>
        <v/>
      </c>
      <c r="AA131" s="39" t="str">
        <f t="shared" si="53"/>
        <v/>
      </c>
      <c r="AB131" s="40" t="str">
        <f>IF(OR(L131="",V131=0),"",IF(AND(N(I131)&gt;0,N(INDEX('09-أيلول'!$I$2:$I$500,V131))&gt;0,INDEX('09-أيلول'!$F$2:$F$500,V131)=F131),N(I131)/N(INDEX('09-أيلول'!$I$2:$I$500,V131))-1,""))</f>
        <v/>
      </c>
      <c r="AC131" t="str">
        <f>IF(L131="","",IF(AND($AO$2=1,ISNA(MATCH(L131,'11-تشرين الثاني'!$L$2:$L$501,0))),"محذوف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IF(L132="","",IF($AO$1=1,IFERROR(MATCH(L132,'09-أيلول'!$L$2:$L$500,0),0),0))</f>
        <v/>
      </c>
      <c r="W132" t="str">
        <f t="shared" si="51"/>
        <v/>
      </c>
      <c r="X132" s="38" t="str">
        <f>IF(L132="","",IF(V132&gt;0,INDEX('09-أيلول'!$P$2:$P$500,V132),IF($AO$1=1,0,"")))</f>
        <v/>
      </c>
      <c r="Y132" s="38" t="str">
        <f t="shared" si="52"/>
        <v/>
      </c>
      <c r="Z132" s="39" t="str">
        <f>IF(L132="","",IF(V132&gt;0,INDEX('09-أيلول'!$Q$2:$Q$500,V132),IF($AO$1=1,0,"")))</f>
        <v/>
      </c>
      <c r="AA132" s="39" t="str">
        <f t="shared" si="53"/>
        <v/>
      </c>
      <c r="AB132" s="40" t="str">
        <f>IF(OR(L132="",V132=0),"",IF(AND(N(I132)&gt;0,N(INDEX('09-أيلول'!$I$2:$I$500,V132))&gt;0,INDEX('09-أيلول'!$F$2:$F$500,V132)=F132),N(I132)/N(INDEX('09-أيلول'!$I$2:$I$500,V132))-1,""))</f>
        <v/>
      </c>
      <c r="AC132" t="str">
        <f>IF(L132="","",IF(AND($AO$2=1,ISNA(MATCH(L132,'11-تشرين الثاني'!$L$2:$L$501,0))),"محذوف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IF(L133="","",IF($AO$1=1,IFERROR(MATCH(L133,'09-أيلول'!$L$2:$L$500,0),0),0))</f>
        <v/>
      </c>
      <c r="W133" t="str">
        <f t="shared" si="51"/>
        <v/>
      </c>
      <c r="X133" s="38" t="str">
        <f>IF(L133="","",IF(V133&gt;0,INDEX('09-أيلول'!$P$2:$P$500,V133),IF($AO$1=1,0,"")))</f>
        <v/>
      </c>
      <c r="Y133" s="38" t="str">
        <f t="shared" si="52"/>
        <v/>
      </c>
      <c r="Z133" s="39" t="str">
        <f>IF(L133="","",IF(V133&gt;0,INDEX('09-أيلول'!$Q$2:$Q$500,V133),IF($AO$1=1,0,"")))</f>
        <v/>
      </c>
      <c r="AA133" s="39" t="str">
        <f t="shared" si="53"/>
        <v/>
      </c>
      <c r="AB133" s="40" t="str">
        <f>IF(OR(L133="",V133=0),"",IF(AND(N(I133)&gt;0,N(INDEX('09-أيلول'!$I$2:$I$500,V133))&gt;0,INDEX('09-أيلول'!$F$2:$F$500,V133)=F133),N(I133)/N(INDEX('09-أيلول'!$I$2:$I$500,V133))-1,""))</f>
        <v/>
      </c>
      <c r="AC133" t="str">
        <f>IF(L133="","",IF(AND($AO$2=1,ISNA(MATCH(L133,'11-تشرين الثاني'!$L$2:$L$501,0))),"محذوف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IF(L134="","",IF($AO$1=1,IFERROR(MATCH(L134,'09-أيلول'!$L$2:$L$500,0),0),0))</f>
        <v/>
      </c>
      <c r="W134" t="str">
        <f t="shared" si="51"/>
        <v/>
      </c>
      <c r="X134" s="38" t="str">
        <f>IF(L134="","",IF(V134&gt;0,INDEX('09-أيلول'!$P$2:$P$500,V134),IF($AO$1=1,0,"")))</f>
        <v/>
      </c>
      <c r="Y134" s="38" t="str">
        <f t="shared" si="52"/>
        <v/>
      </c>
      <c r="Z134" s="39" t="str">
        <f>IF(L134="","",IF(V134&gt;0,INDEX('09-أيلول'!$Q$2:$Q$500,V134),IF($AO$1=1,0,"")))</f>
        <v/>
      </c>
      <c r="AA134" s="39" t="str">
        <f t="shared" si="53"/>
        <v/>
      </c>
      <c r="AB134" s="40" t="str">
        <f>IF(OR(L134="",V134=0),"",IF(AND(N(I134)&gt;0,N(INDEX('09-أيلول'!$I$2:$I$500,V134))&gt;0,INDEX('09-أيلول'!$F$2:$F$500,V134)=F134),N(I134)/N(INDEX('09-أيلول'!$I$2:$I$500,V134))-1,""))</f>
        <v/>
      </c>
      <c r="AC134" t="str">
        <f>IF(L134="","",IF(AND($AO$2=1,ISNA(MATCH(L134,'11-تشرين الثاني'!$L$2:$L$501,0))),"محذوف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IF(L135="","",IF($AO$1=1,IFERROR(MATCH(L135,'09-أيلول'!$L$2:$L$500,0),0),0))</f>
        <v/>
      </c>
      <c r="W135" t="str">
        <f t="shared" si="51"/>
        <v/>
      </c>
      <c r="X135" s="38" t="str">
        <f>IF(L135="","",IF(V135&gt;0,INDEX('09-أيلول'!$P$2:$P$500,V135),IF($AO$1=1,0,"")))</f>
        <v/>
      </c>
      <c r="Y135" s="38" t="str">
        <f t="shared" si="52"/>
        <v/>
      </c>
      <c r="Z135" s="39" t="str">
        <f>IF(L135="","",IF(V135&gt;0,INDEX('09-أيلول'!$Q$2:$Q$500,V135),IF($AO$1=1,0,"")))</f>
        <v/>
      </c>
      <c r="AA135" s="39" t="str">
        <f t="shared" si="53"/>
        <v/>
      </c>
      <c r="AB135" s="40" t="str">
        <f>IF(OR(L135="",V135=0),"",IF(AND(N(I135)&gt;0,N(INDEX('09-أيلول'!$I$2:$I$500,V135))&gt;0,INDEX('09-أيلول'!$F$2:$F$500,V135)=F135),N(I135)/N(INDEX('09-أيلول'!$I$2:$I$500,V135))-1,""))</f>
        <v/>
      </c>
      <c r="AC135" t="str">
        <f>IF(L135="","",IF(AND($AO$2=1,ISNA(MATCH(L135,'11-تشرين الثاني'!$L$2:$L$501,0))),"محذوف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IF(L136="","",IF($AO$1=1,IFERROR(MATCH(L136,'09-أيلول'!$L$2:$L$500,0),0),0))</f>
        <v/>
      </c>
      <c r="W136" t="str">
        <f t="shared" si="51"/>
        <v/>
      </c>
      <c r="X136" s="38" t="str">
        <f>IF(L136="","",IF(V136&gt;0,INDEX('09-أيلول'!$P$2:$P$500,V136),IF($AO$1=1,0,"")))</f>
        <v/>
      </c>
      <c r="Y136" s="38" t="str">
        <f t="shared" si="52"/>
        <v/>
      </c>
      <c r="Z136" s="39" t="str">
        <f>IF(L136="","",IF(V136&gt;0,INDEX('09-أيلول'!$Q$2:$Q$500,V136),IF($AO$1=1,0,"")))</f>
        <v/>
      </c>
      <c r="AA136" s="39" t="str">
        <f t="shared" si="53"/>
        <v/>
      </c>
      <c r="AB136" s="40" t="str">
        <f>IF(OR(L136="",V136=0),"",IF(AND(N(I136)&gt;0,N(INDEX('09-أيلول'!$I$2:$I$500,V136))&gt;0,INDEX('09-أيلول'!$F$2:$F$500,V136)=F136),N(I136)/N(INDEX('09-أيلول'!$I$2:$I$500,V136))-1,""))</f>
        <v/>
      </c>
      <c r="AC136" t="str">
        <f>IF(L136="","",IF(AND($AO$2=1,ISNA(MATCH(L136,'11-تشرين الثاني'!$L$2:$L$501,0))),"محذوف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IF(L137="","",IF($AO$1=1,IFERROR(MATCH(L137,'09-أيلول'!$L$2:$L$500,0),0),0))</f>
        <v/>
      </c>
      <c r="W137" t="str">
        <f t="shared" si="51"/>
        <v/>
      </c>
      <c r="X137" s="38" t="str">
        <f>IF(L137="","",IF(V137&gt;0,INDEX('09-أيلول'!$P$2:$P$500,V137),IF($AO$1=1,0,"")))</f>
        <v/>
      </c>
      <c r="Y137" s="38" t="str">
        <f t="shared" si="52"/>
        <v/>
      </c>
      <c r="Z137" s="39" t="str">
        <f>IF(L137="","",IF(V137&gt;0,INDEX('09-أيلول'!$Q$2:$Q$500,V137),IF($AO$1=1,0,"")))</f>
        <v/>
      </c>
      <c r="AA137" s="39" t="str">
        <f t="shared" si="53"/>
        <v/>
      </c>
      <c r="AB137" s="40" t="str">
        <f>IF(OR(L137="",V137=0),"",IF(AND(N(I137)&gt;0,N(INDEX('09-أيلول'!$I$2:$I$500,V137))&gt;0,INDEX('09-أيلول'!$F$2:$F$500,V137)=F137),N(I137)/N(INDEX('09-أيلول'!$I$2:$I$500,V137))-1,""))</f>
        <v/>
      </c>
      <c r="AC137" t="str">
        <f>IF(L137="","",IF(AND($AO$2=1,ISNA(MATCH(L137,'11-تشرين الثاني'!$L$2:$L$501,0))),"محذوف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IF(L138="","",IF($AO$1=1,IFERROR(MATCH(L138,'09-أيلول'!$L$2:$L$500,0),0),0))</f>
        <v/>
      </c>
      <c r="W138" t="str">
        <f t="shared" si="51"/>
        <v/>
      </c>
      <c r="X138" s="38" t="str">
        <f>IF(L138="","",IF(V138&gt;0,INDEX('09-أيلول'!$P$2:$P$500,V138),IF($AO$1=1,0,"")))</f>
        <v/>
      </c>
      <c r="Y138" s="38" t="str">
        <f t="shared" si="52"/>
        <v/>
      </c>
      <c r="Z138" s="39" t="str">
        <f>IF(L138="","",IF(V138&gt;0,INDEX('09-أيلول'!$Q$2:$Q$500,V138),IF($AO$1=1,0,"")))</f>
        <v/>
      </c>
      <c r="AA138" s="39" t="str">
        <f t="shared" si="53"/>
        <v/>
      </c>
      <c r="AB138" s="40" t="str">
        <f>IF(OR(L138="",V138=0),"",IF(AND(N(I138)&gt;0,N(INDEX('09-أيلول'!$I$2:$I$500,V138))&gt;0,INDEX('09-أيلول'!$F$2:$F$500,V138)=F138),N(I138)/N(INDEX('09-أيلول'!$I$2:$I$500,V138))-1,""))</f>
        <v/>
      </c>
      <c r="AC138" t="str">
        <f>IF(L138="","",IF(AND($AO$2=1,ISNA(MATCH(L138,'11-تشرين الثاني'!$L$2:$L$501,0))),"محذوف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IF(L139="","",IF($AO$1=1,IFERROR(MATCH(L139,'09-أيلول'!$L$2:$L$500,0),0),0))</f>
        <v/>
      </c>
      <c r="W139" t="str">
        <f t="shared" si="51"/>
        <v/>
      </c>
      <c r="X139" s="38" t="str">
        <f>IF(L139="","",IF(V139&gt;0,INDEX('09-أيلول'!$P$2:$P$500,V139),IF($AO$1=1,0,"")))</f>
        <v/>
      </c>
      <c r="Y139" s="38" t="str">
        <f t="shared" si="52"/>
        <v/>
      </c>
      <c r="Z139" s="39" t="str">
        <f>IF(L139="","",IF(V139&gt;0,INDEX('09-أيلول'!$Q$2:$Q$500,V139),IF($AO$1=1,0,"")))</f>
        <v/>
      </c>
      <c r="AA139" s="39" t="str">
        <f t="shared" si="53"/>
        <v/>
      </c>
      <c r="AB139" s="40" t="str">
        <f>IF(OR(L139="",V139=0),"",IF(AND(N(I139)&gt;0,N(INDEX('09-أيلول'!$I$2:$I$500,V139))&gt;0,INDEX('09-أيلول'!$F$2:$F$500,V139)=F139),N(I139)/N(INDEX('09-أيلول'!$I$2:$I$500,V139))-1,""))</f>
        <v/>
      </c>
      <c r="AC139" t="str">
        <f>IF(L139="","",IF(AND($AO$2=1,ISNA(MATCH(L139,'11-تشرين الثاني'!$L$2:$L$501,0))),"محذوف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IF(L140="","",IF($AO$1=1,IFERROR(MATCH(L140,'09-أيلول'!$L$2:$L$500,0),0),0))</f>
        <v/>
      </c>
      <c r="W140" t="str">
        <f t="shared" si="51"/>
        <v/>
      </c>
      <c r="X140" s="38" t="str">
        <f>IF(L140="","",IF(V140&gt;0,INDEX('09-أيلول'!$P$2:$P$500,V140),IF($AO$1=1,0,"")))</f>
        <v/>
      </c>
      <c r="Y140" s="38" t="str">
        <f t="shared" si="52"/>
        <v/>
      </c>
      <c r="Z140" s="39" t="str">
        <f>IF(L140="","",IF(V140&gt;0,INDEX('09-أيلول'!$Q$2:$Q$500,V140),IF($AO$1=1,0,"")))</f>
        <v/>
      </c>
      <c r="AA140" s="39" t="str">
        <f t="shared" si="53"/>
        <v/>
      </c>
      <c r="AB140" s="40" t="str">
        <f>IF(OR(L140="",V140=0),"",IF(AND(N(I140)&gt;0,N(INDEX('09-أيلول'!$I$2:$I$500,V140))&gt;0,INDEX('09-أيلول'!$F$2:$F$500,V140)=F140),N(I140)/N(INDEX('09-أيلول'!$I$2:$I$500,V140))-1,""))</f>
        <v/>
      </c>
      <c r="AC140" t="str">
        <f>IF(L140="","",IF(AND($AO$2=1,ISNA(MATCH(L140,'11-تشرين الثاني'!$L$2:$L$501,0))),"محذوف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IF(L141="","",IF($AO$1=1,IFERROR(MATCH(L141,'09-أيلول'!$L$2:$L$500,0),0),0))</f>
        <v/>
      </c>
      <c r="W141" t="str">
        <f t="shared" si="51"/>
        <v/>
      </c>
      <c r="X141" s="38" t="str">
        <f>IF(L141="","",IF(V141&gt;0,INDEX('09-أيلول'!$P$2:$P$500,V141),IF($AO$1=1,0,"")))</f>
        <v/>
      </c>
      <c r="Y141" s="38" t="str">
        <f t="shared" si="52"/>
        <v/>
      </c>
      <c r="Z141" s="39" t="str">
        <f>IF(L141="","",IF(V141&gt;0,INDEX('09-أيلول'!$Q$2:$Q$500,V141),IF($AO$1=1,0,"")))</f>
        <v/>
      </c>
      <c r="AA141" s="39" t="str">
        <f t="shared" si="53"/>
        <v/>
      </c>
      <c r="AB141" s="40" t="str">
        <f>IF(OR(L141="",V141=0),"",IF(AND(N(I141)&gt;0,N(INDEX('09-أيلول'!$I$2:$I$500,V141))&gt;0,INDEX('09-أيلول'!$F$2:$F$500,V141)=F141),N(I141)/N(INDEX('09-أيلول'!$I$2:$I$500,V141))-1,""))</f>
        <v/>
      </c>
      <c r="AC141" t="str">
        <f>IF(L141="","",IF(AND($AO$2=1,ISNA(MATCH(L141,'11-تشرين الثاني'!$L$2:$L$501,0))),"محذوف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IF(L142="","",IF($AO$1=1,IFERROR(MATCH(L142,'09-أيلول'!$L$2:$L$500,0),0),0))</f>
        <v/>
      </c>
      <c r="W142" t="str">
        <f t="shared" si="51"/>
        <v/>
      </c>
      <c r="X142" s="38" t="str">
        <f>IF(L142="","",IF(V142&gt;0,INDEX('09-أيلول'!$P$2:$P$500,V142),IF($AO$1=1,0,"")))</f>
        <v/>
      </c>
      <c r="Y142" s="38" t="str">
        <f t="shared" si="52"/>
        <v/>
      </c>
      <c r="Z142" s="39" t="str">
        <f>IF(L142="","",IF(V142&gt;0,INDEX('09-أيلول'!$Q$2:$Q$500,V142),IF($AO$1=1,0,"")))</f>
        <v/>
      </c>
      <c r="AA142" s="39" t="str">
        <f t="shared" si="53"/>
        <v/>
      </c>
      <c r="AB142" s="40" t="str">
        <f>IF(OR(L142="",V142=0),"",IF(AND(N(I142)&gt;0,N(INDEX('09-أيلول'!$I$2:$I$500,V142))&gt;0,INDEX('09-أيلول'!$F$2:$F$500,V142)=F142),N(I142)/N(INDEX('09-أيلول'!$I$2:$I$500,V142))-1,""))</f>
        <v/>
      </c>
      <c r="AC142" t="str">
        <f>IF(L142="","",IF(AND($AO$2=1,ISNA(MATCH(L142,'11-تشرين الثاني'!$L$2:$L$501,0))),"محذوف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IF(L143="","",IF($AO$1=1,IFERROR(MATCH(L143,'09-أيلول'!$L$2:$L$500,0),0),0))</f>
        <v/>
      </c>
      <c r="W143" t="str">
        <f t="shared" si="51"/>
        <v/>
      </c>
      <c r="X143" s="38" t="str">
        <f>IF(L143="","",IF(V143&gt;0,INDEX('09-أيلول'!$P$2:$P$500,V143),IF($AO$1=1,0,"")))</f>
        <v/>
      </c>
      <c r="Y143" s="38" t="str">
        <f t="shared" si="52"/>
        <v/>
      </c>
      <c r="Z143" s="39" t="str">
        <f>IF(L143="","",IF(V143&gt;0,INDEX('09-أيلول'!$Q$2:$Q$500,V143),IF($AO$1=1,0,"")))</f>
        <v/>
      </c>
      <c r="AA143" s="39" t="str">
        <f t="shared" si="53"/>
        <v/>
      </c>
      <c r="AB143" s="40" t="str">
        <f>IF(OR(L143="",V143=0),"",IF(AND(N(I143)&gt;0,N(INDEX('09-أيلول'!$I$2:$I$500,V143))&gt;0,INDEX('09-أيلول'!$F$2:$F$500,V143)=F143),N(I143)/N(INDEX('09-أيلول'!$I$2:$I$500,V143))-1,""))</f>
        <v/>
      </c>
      <c r="AC143" t="str">
        <f>IF(L143="","",IF(AND($AO$2=1,ISNA(MATCH(L143,'11-تشرين الثاني'!$L$2:$L$501,0))),"محذوف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IF(L144="","",IF($AO$1=1,IFERROR(MATCH(L144,'09-أيلول'!$L$2:$L$500,0),0),0))</f>
        <v/>
      </c>
      <c r="W144" t="str">
        <f t="shared" si="51"/>
        <v/>
      </c>
      <c r="X144" s="38" t="str">
        <f>IF(L144="","",IF(V144&gt;0,INDEX('09-أيلول'!$P$2:$P$500,V144),IF($AO$1=1,0,"")))</f>
        <v/>
      </c>
      <c r="Y144" s="38" t="str">
        <f t="shared" si="52"/>
        <v/>
      </c>
      <c r="Z144" s="39" t="str">
        <f>IF(L144="","",IF(V144&gt;0,INDEX('09-أيلول'!$Q$2:$Q$500,V144),IF($AO$1=1,0,"")))</f>
        <v/>
      </c>
      <c r="AA144" s="39" t="str">
        <f t="shared" si="53"/>
        <v/>
      </c>
      <c r="AB144" s="40" t="str">
        <f>IF(OR(L144="",V144=0),"",IF(AND(N(I144)&gt;0,N(INDEX('09-أيلول'!$I$2:$I$500,V144))&gt;0,INDEX('09-أيلول'!$F$2:$F$500,V144)=F144),N(I144)/N(INDEX('09-أيلول'!$I$2:$I$500,V144))-1,""))</f>
        <v/>
      </c>
      <c r="AC144" t="str">
        <f>IF(L144="","",IF(AND($AO$2=1,ISNA(MATCH(L144,'11-تشرين الثاني'!$L$2:$L$501,0))),"محذوف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IF(L145="","",IF($AO$1=1,IFERROR(MATCH(L145,'09-أيلول'!$L$2:$L$500,0),0),0))</f>
        <v/>
      </c>
      <c r="W145" t="str">
        <f t="shared" si="51"/>
        <v/>
      </c>
      <c r="X145" s="38" t="str">
        <f>IF(L145="","",IF(V145&gt;0,INDEX('09-أيلول'!$P$2:$P$500,V145),IF($AO$1=1,0,"")))</f>
        <v/>
      </c>
      <c r="Y145" s="38" t="str">
        <f t="shared" si="52"/>
        <v/>
      </c>
      <c r="Z145" s="39" t="str">
        <f>IF(L145="","",IF(V145&gt;0,INDEX('09-أيلول'!$Q$2:$Q$500,V145),IF($AO$1=1,0,"")))</f>
        <v/>
      </c>
      <c r="AA145" s="39" t="str">
        <f t="shared" si="53"/>
        <v/>
      </c>
      <c r="AB145" s="40" t="str">
        <f>IF(OR(L145="",V145=0),"",IF(AND(N(I145)&gt;0,N(INDEX('09-أيلول'!$I$2:$I$500,V145))&gt;0,INDEX('09-أيلول'!$F$2:$F$500,V145)=F145),N(I145)/N(INDEX('09-أيلول'!$I$2:$I$500,V145))-1,""))</f>
        <v/>
      </c>
      <c r="AC145" t="str">
        <f>IF(L145="","",IF(AND($AO$2=1,ISNA(MATCH(L145,'11-تشرين الثاني'!$L$2:$L$501,0))),"محذوف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IF(L146="","",IF($AO$1=1,IFERROR(MATCH(L146,'09-أيلول'!$L$2:$L$500,0),0),0))</f>
        <v/>
      </c>
      <c r="W146" t="str">
        <f t="shared" si="51"/>
        <v/>
      </c>
      <c r="X146" s="38" t="str">
        <f>IF(L146="","",IF(V146&gt;0,INDEX('09-أيلول'!$P$2:$P$500,V146),IF($AO$1=1,0,"")))</f>
        <v/>
      </c>
      <c r="Y146" s="38" t="str">
        <f t="shared" si="52"/>
        <v/>
      </c>
      <c r="Z146" s="39" t="str">
        <f>IF(L146="","",IF(V146&gt;0,INDEX('09-أيلول'!$Q$2:$Q$500,V146),IF($AO$1=1,0,"")))</f>
        <v/>
      </c>
      <c r="AA146" s="39" t="str">
        <f t="shared" si="53"/>
        <v/>
      </c>
      <c r="AB146" s="40" t="str">
        <f>IF(OR(L146="",V146=0),"",IF(AND(N(I146)&gt;0,N(INDEX('09-أيلول'!$I$2:$I$500,V146))&gt;0,INDEX('09-أيلول'!$F$2:$F$500,V146)=F146),N(I146)/N(INDEX('09-أيلول'!$I$2:$I$500,V146))-1,""))</f>
        <v/>
      </c>
      <c r="AC146" t="str">
        <f>IF(L146="","",IF(AND($AO$2=1,ISNA(MATCH(L146,'11-تشرين الثاني'!$L$2:$L$501,0))),"محذوف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IF(L147="","",IF($AO$1=1,IFERROR(MATCH(L147,'09-أيلول'!$L$2:$L$500,0),0),0))</f>
        <v/>
      </c>
      <c r="W147" t="str">
        <f t="shared" si="51"/>
        <v/>
      </c>
      <c r="X147" s="38" t="str">
        <f>IF(L147="","",IF(V147&gt;0,INDEX('09-أيلول'!$P$2:$P$500,V147),IF($AO$1=1,0,"")))</f>
        <v/>
      </c>
      <c r="Y147" s="38" t="str">
        <f t="shared" si="52"/>
        <v/>
      </c>
      <c r="Z147" s="39" t="str">
        <f>IF(L147="","",IF(V147&gt;0,INDEX('09-أيلول'!$Q$2:$Q$500,V147),IF($AO$1=1,0,"")))</f>
        <v/>
      </c>
      <c r="AA147" s="39" t="str">
        <f t="shared" si="53"/>
        <v/>
      </c>
      <c r="AB147" s="40" t="str">
        <f>IF(OR(L147="",V147=0),"",IF(AND(N(I147)&gt;0,N(INDEX('09-أيلول'!$I$2:$I$500,V147))&gt;0,INDEX('09-أيلول'!$F$2:$F$500,V147)=F147),N(I147)/N(INDEX('09-أيلول'!$I$2:$I$500,V147))-1,""))</f>
        <v/>
      </c>
      <c r="AC147" t="str">
        <f>IF(L147="","",IF(AND($AO$2=1,ISNA(MATCH(L147,'11-تشرين الثاني'!$L$2:$L$501,0))),"محذوف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IF(L148="","",IF($AO$1=1,IFERROR(MATCH(L148,'09-أيلول'!$L$2:$L$500,0),0),0))</f>
        <v/>
      </c>
      <c r="W148" t="str">
        <f t="shared" si="51"/>
        <v/>
      </c>
      <c r="X148" s="38" t="str">
        <f>IF(L148="","",IF(V148&gt;0,INDEX('09-أيلول'!$P$2:$P$500,V148),IF($AO$1=1,0,"")))</f>
        <v/>
      </c>
      <c r="Y148" s="38" t="str">
        <f t="shared" si="52"/>
        <v/>
      </c>
      <c r="Z148" s="39" t="str">
        <f>IF(L148="","",IF(V148&gt;0,INDEX('09-أيلول'!$Q$2:$Q$500,V148),IF($AO$1=1,0,"")))</f>
        <v/>
      </c>
      <c r="AA148" s="39" t="str">
        <f t="shared" si="53"/>
        <v/>
      </c>
      <c r="AB148" s="40" t="str">
        <f>IF(OR(L148="",V148=0),"",IF(AND(N(I148)&gt;0,N(INDEX('09-أيلول'!$I$2:$I$500,V148))&gt;0,INDEX('09-أيلول'!$F$2:$F$500,V148)=F148),N(I148)/N(INDEX('09-أيلول'!$I$2:$I$500,V148))-1,""))</f>
        <v/>
      </c>
      <c r="AC148" t="str">
        <f>IF(L148="","",IF(AND($AO$2=1,ISNA(MATCH(L148,'11-تشرين الثاني'!$L$2:$L$501,0))),"محذوف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IF(L149="","",IF($AO$1=1,IFERROR(MATCH(L149,'09-أيلول'!$L$2:$L$500,0),0),0))</f>
        <v/>
      </c>
      <c r="W149" t="str">
        <f t="shared" si="51"/>
        <v/>
      </c>
      <c r="X149" s="38" t="str">
        <f>IF(L149="","",IF(V149&gt;0,INDEX('09-أيلول'!$P$2:$P$500,V149),IF($AO$1=1,0,"")))</f>
        <v/>
      </c>
      <c r="Y149" s="38" t="str">
        <f t="shared" si="52"/>
        <v/>
      </c>
      <c r="Z149" s="39" t="str">
        <f>IF(L149="","",IF(V149&gt;0,INDEX('09-أيلول'!$Q$2:$Q$500,V149),IF($AO$1=1,0,"")))</f>
        <v/>
      </c>
      <c r="AA149" s="39" t="str">
        <f t="shared" si="53"/>
        <v/>
      </c>
      <c r="AB149" s="40" t="str">
        <f>IF(OR(L149="",V149=0),"",IF(AND(N(I149)&gt;0,N(INDEX('09-أيلول'!$I$2:$I$500,V149))&gt;0,INDEX('09-أيلول'!$F$2:$F$500,V149)=F149),N(I149)/N(INDEX('09-أيلول'!$I$2:$I$500,V149))-1,""))</f>
        <v/>
      </c>
      <c r="AC149" t="str">
        <f>IF(L149="","",IF(AND($AO$2=1,ISNA(MATCH(L149,'11-تشرين الثاني'!$L$2:$L$501,0))),"محذوف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IF(L150="","",IF($AO$1=1,IFERROR(MATCH(L150,'09-أيلول'!$L$2:$L$500,0),0),0))</f>
        <v/>
      </c>
      <c r="W150" t="str">
        <f t="shared" si="51"/>
        <v/>
      </c>
      <c r="X150" s="38" t="str">
        <f>IF(L150="","",IF(V150&gt;0,INDEX('09-أيلول'!$P$2:$P$500,V150),IF($AO$1=1,0,"")))</f>
        <v/>
      </c>
      <c r="Y150" s="38" t="str">
        <f t="shared" si="52"/>
        <v/>
      </c>
      <c r="Z150" s="39" t="str">
        <f>IF(L150="","",IF(V150&gt;0,INDEX('09-أيلول'!$Q$2:$Q$500,V150),IF($AO$1=1,0,"")))</f>
        <v/>
      </c>
      <c r="AA150" s="39" t="str">
        <f t="shared" si="53"/>
        <v/>
      </c>
      <c r="AB150" s="40" t="str">
        <f>IF(OR(L150="",V150=0),"",IF(AND(N(I150)&gt;0,N(INDEX('09-أيلول'!$I$2:$I$500,V150))&gt;0,INDEX('09-أيلول'!$F$2:$F$500,V150)=F150),N(I150)/N(INDEX('09-أيلول'!$I$2:$I$500,V150))-1,""))</f>
        <v/>
      </c>
      <c r="AC150" t="str">
        <f>IF(L150="","",IF(AND($AO$2=1,ISNA(MATCH(L150,'11-تشرين الثاني'!$L$2:$L$501,0))),"محذوف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IF(L151="","",IF($AO$1=1,IFERROR(MATCH(L151,'09-أيلول'!$L$2:$L$500,0),0),0))</f>
        <v/>
      </c>
      <c r="W151" t="str">
        <f t="shared" si="51"/>
        <v/>
      </c>
      <c r="X151" s="38" t="str">
        <f>IF(L151="","",IF(V151&gt;0,INDEX('09-أيلول'!$P$2:$P$500,V151),IF($AO$1=1,0,"")))</f>
        <v/>
      </c>
      <c r="Y151" s="38" t="str">
        <f t="shared" si="52"/>
        <v/>
      </c>
      <c r="Z151" s="39" t="str">
        <f>IF(L151="","",IF(V151&gt;0,INDEX('09-أيلول'!$Q$2:$Q$500,V151),IF($AO$1=1,0,"")))</f>
        <v/>
      </c>
      <c r="AA151" s="39" t="str">
        <f t="shared" si="53"/>
        <v/>
      </c>
      <c r="AB151" s="40" t="str">
        <f>IF(OR(L151="",V151=0),"",IF(AND(N(I151)&gt;0,N(INDEX('09-أيلول'!$I$2:$I$500,V151))&gt;0,INDEX('09-أيلول'!$F$2:$F$500,V151)=F151),N(I151)/N(INDEX('09-أيلول'!$I$2:$I$500,V151))-1,""))</f>
        <v/>
      </c>
      <c r="AC151" t="str">
        <f>IF(L151="","",IF(AND($AO$2=1,ISNA(MATCH(L151,'11-تشرين الثاني'!$L$2:$L$501,0))),"محذوف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IF(L152="","",IF($AO$1=1,IFERROR(MATCH(L152,'09-أيلول'!$L$2:$L$500,0),0),0))</f>
        <v/>
      </c>
      <c r="W152" t="str">
        <f t="shared" si="51"/>
        <v/>
      </c>
      <c r="X152" s="38" t="str">
        <f>IF(L152="","",IF(V152&gt;0,INDEX('09-أيلول'!$P$2:$P$500,V152),IF($AO$1=1,0,"")))</f>
        <v/>
      </c>
      <c r="Y152" s="38" t="str">
        <f t="shared" si="52"/>
        <v/>
      </c>
      <c r="Z152" s="39" t="str">
        <f>IF(L152="","",IF(V152&gt;0,INDEX('09-أيلول'!$Q$2:$Q$500,V152),IF($AO$1=1,0,"")))</f>
        <v/>
      </c>
      <c r="AA152" s="39" t="str">
        <f t="shared" si="53"/>
        <v/>
      </c>
      <c r="AB152" s="40" t="str">
        <f>IF(OR(L152="",V152=0),"",IF(AND(N(I152)&gt;0,N(INDEX('09-أيلول'!$I$2:$I$500,V152))&gt;0,INDEX('09-أيلول'!$F$2:$F$500,V152)=F152),N(I152)/N(INDEX('09-أيلول'!$I$2:$I$500,V152))-1,""))</f>
        <v/>
      </c>
      <c r="AC152" t="str">
        <f>IF(L152="","",IF(AND($AO$2=1,ISNA(MATCH(L152,'11-تشرين الثاني'!$L$2:$L$501,0))),"محذوف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IF(L153="","",IF($AO$1=1,IFERROR(MATCH(L153,'09-أيلول'!$L$2:$L$500,0),0),0))</f>
        <v/>
      </c>
      <c r="W153" t="str">
        <f t="shared" si="51"/>
        <v/>
      </c>
      <c r="X153" s="38" t="str">
        <f>IF(L153="","",IF(V153&gt;0,INDEX('09-أيلول'!$P$2:$P$500,V153),IF($AO$1=1,0,"")))</f>
        <v/>
      </c>
      <c r="Y153" s="38" t="str">
        <f t="shared" si="52"/>
        <v/>
      </c>
      <c r="Z153" s="39" t="str">
        <f>IF(L153="","",IF(V153&gt;0,INDEX('09-أيلول'!$Q$2:$Q$500,V153),IF($AO$1=1,0,"")))</f>
        <v/>
      </c>
      <c r="AA153" s="39" t="str">
        <f t="shared" si="53"/>
        <v/>
      </c>
      <c r="AB153" s="40" t="str">
        <f>IF(OR(L153="",V153=0),"",IF(AND(N(I153)&gt;0,N(INDEX('09-أيلول'!$I$2:$I$500,V153))&gt;0,INDEX('09-أيلول'!$F$2:$F$500,V153)=F153),N(I153)/N(INDEX('09-أيلول'!$I$2:$I$500,V153))-1,""))</f>
        <v/>
      </c>
      <c r="AC153" t="str">
        <f>IF(L153="","",IF(AND($AO$2=1,ISNA(MATCH(L153,'11-تشرين الثاني'!$L$2:$L$501,0))),"محذوف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IF(L154="","",IF($AO$1=1,IFERROR(MATCH(L154,'09-أيلول'!$L$2:$L$500,0),0),0))</f>
        <v/>
      </c>
      <c r="W154" t="str">
        <f t="shared" si="51"/>
        <v/>
      </c>
      <c r="X154" s="38" t="str">
        <f>IF(L154="","",IF(V154&gt;0,INDEX('09-أيلول'!$P$2:$P$500,V154),IF($AO$1=1,0,"")))</f>
        <v/>
      </c>
      <c r="Y154" s="38" t="str">
        <f t="shared" si="52"/>
        <v/>
      </c>
      <c r="Z154" s="39" t="str">
        <f>IF(L154="","",IF(V154&gt;0,INDEX('09-أيلول'!$Q$2:$Q$500,V154),IF($AO$1=1,0,"")))</f>
        <v/>
      </c>
      <c r="AA154" s="39" t="str">
        <f t="shared" si="53"/>
        <v/>
      </c>
      <c r="AB154" s="40" t="str">
        <f>IF(OR(L154="",V154=0),"",IF(AND(N(I154)&gt;0,N(INDEX('09-أيلول'!$I$2:$I$500,V154))&gt;0,INDEX('09-أيلول'!$F$2:$F$500,V154)=F154),N(I154)/N(INDEX('09-أيلول'!$I$2:$I$500,V154))-1,""))</f>
        <v/>
      </c>
      <c r="AC154" t="str">
        <f>IF(L154="","",IF(AND($AO$2=1,ISNA(MATCH(L154,'11-تشرين الثاني'!$L$2:$L$501,0))),"محذوف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IF(L155="","",IF($AO$1=1,IFERROR(MATCH(L155,'09-أيلول'!$L$2:$L$500,0),0),0))</f>
        <v/>
      </c>
      <c r="W155" t="str">
        <f t="shared" si="51"/>
        <v/>
      </c>
      <c r="X155" s="38" t="str">
        <f>IF(L155="","",IF(V155&gt;0,INDEX('09-أيلول'!$P$2:$P$500,V155),IF($AO$1=1,0,"")))</f>
        <v/>
      </c>
      <c r="Y155" s="38" t="str">
        <f t="shared" si="52"/>
        <v/>
      </c>
      <c r="Z155" s="39" t="str">
        <f>IF(L155="","",IF(V155&gt;0,INDEX('09-أيلول'!$Q$2:$Q$500,V155),IF($AO$1=1,0,"")))</f>
        <v/>
      </c>
      <c r="AA155" s="39" t="str">
        <f t="shared" si="53"/>
        <v/>
      </c>
      <c r="AB155" s="40" t="str">
        <f>IF(OR(L155="",V155=0),"",IF(AND(N(I155)&gt;0,N(INDEX('09-أيلول'!$I$2:$I$500,V155))&gt;0,INDEX('09-أيلول'!$F$2:$F$500,V155)=F155),N(I155)/N(INDEX('09-أيلول'!$I$2:$I$500,V155))-1,""))</f>
        <v/>
      </c>
      <c r="AC155" t="str">
        <f>IF(L155="","",IF(AND($AO$2=1,ISNA(MATCH(L155,'11-تشرين الثاني'!$L$2:$L$501,0))),"محذوف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IF(L156="","",IF($AO$1=1,IFERROR(MATCH(L156,'09-أيلول'!$L$2:$L$500,0),0),0))</f>
        <v/>
      </c>
      <c r="W156" t="str">
        <f t="shared" si="51"/>
        <v/>
      </c>
      <c r="X156" s="38" t="str">
        <f>IF(L156="","",IF(V156&gt;0,INDEX('09-أيلول'!$P$2:$P$500,V156),IF($AO$1=1,0,"")))</f>
        <v/>
      </c>
      <c r="Y156" s="38" t="str">
        <f t="shared" si="52"/>
        <v/>
      </c>
      <c r="Z156" s="39" t="str">
        <f>IF(L156="","",IF(V156&gt;0,INDEX('09-أيلول'!$Q$2:$Q$500,V156),IF($AO$1=1,0,"")))</f>
        <v/>
      </c>
      <c r="AA156" s="39" t="str">
        <f t="shared" si="53"/>
        <v/>
      </c>
      <c r="AB156" s="40" t="str">
        <f>IF(OR(L156="",V156=0),"",IF(AND(N(I156)&gt;0,N(INDEX('09-أيلول'!$I$2:$I$500,V156))&gt;0,INDEX('09-أيلول'!$F$2:$F$500,V156)=F156),N(I156)/N(INDEX('09-أيلول'!$I$2:$I$500,V156))-1,""))</f>
        <v/>
      </c>
      <c r="AC156" t="str">
        <f>IF(L156="","",IF(AND($AO$2=1,ISNA(MATCH(L156,'11-تشرين الثاني'!$L$2:$L$501,0))),"محذوف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IF(L157="","",IF($AO$1=1,IFERROR(MATCH(L157,'09-أيلول'!$L$2:$L$500,0),0),0))</f>
        <v/>
      </c>
      <c r="W157" t="str">
        <f t="shared" si="51"/>
        <v/>
      </c>
      <c r="X157" s="38" t="str">
        <f>IF(L157="","",IF(V157&gt;0,INDEX('09-أيلول'!$P$2:$P$500,V157),IF($AO$1=1,0,"")))</f>
        <v/>
      </c>
      <c r="Y157" s="38" t="str">
        <f t="shared" si="52"/>
        <v/>
      </c>
      <c r="Z157" s="39" t="str">
        <f>IF(L157="","",IF(V157&gt;0,INDEX('09-أيلول'!$Q$2:$Q$500,V157),IF($AO$1=1,0,"")))</f>
        <v/>
      </c>
      <c r="AA157" s="39" t="str">
        <f t="shared" si="53"/>
        <v/>
      </c>
      <c r="AB157" s="40" t="str">
        <f>IF(OR(L157="",V157=0),"",IF(AND(N(I157)&gt;0,N(INDEX('09-أيلول'!$I$2:$I$500,V157))&gt;0,INDEX('09-أيلول'!$F$2:$F$500,V157)=F157),N(I157)/N(INDEX('09-أيلول'!$I$2:$I$500,V157))-1,""))</f>
        <v/>
      </c>
      <c r="AC157" t="str">
        <f>IF(L157="","",IF(AND($AO$2=1,ISNA(MATCH(L157,'11-تشرين الثاني'!$L$2:$L$501,0))),"محذوف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IF(L158="","",IF($AO$1=1,IFERROR(MATCH(L158,'09-أيلول'!$L$2:$L$500,0),0),0))</f>
        <v/>
      </c>
      <c r="W158" t="str">
        <f t="shared" si="51"/>
        <v/>
      </c>
      <c r="X158" s="38" t="str">
        <f>IF(L158="","",IF(V158&gt;0,INDEX('09-أيلول'!$P$2:$P$500,V158),IF($AO$1=1,0,"")))</f>
        <v/>
      </c>
      <c r="Y158" s="38" t="str">
        <f t="shared" si="52"/>
        <v/>
      </c>
      <c r="Z158" s="39" t="str">
        <f>IF(L158="","",IF(V158&gt;0,INDEX('09-أيلول'!$Q$2:$Q$500,V158),IF($AO$1=1,0,"")))</f>
        <v/>
      </c>
      <c r="AA158" s="39" t="str">
        <f t="shared" si="53"/>
        <v/>
      </c>
      <c r="AB158" s="40" t="str">
        <f>IF(OR(L158="",V158=0),"",IF(AND(N(I158)&gt;0,N(INDEX('09-أيلول'!$I$2:$I$500,V158))&gt;0,INDEX('09-أيلول'!$F$2:$F$500,V158)=F158),N(I158)/N(INDEX('09-أيلول'!$I$2:$I$500,V158))-1,""))</f>
        <v/>
      </c>
      <c r="AC158" t="str">
        <f>IF(L158="","",IF(AND($AO$2=1,ISNA(MATCH(L158,'11-تشرين الثاني'!$L$2:$L$501,0))),"محذوف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IF(L159="","",IF($AO$1=1,IFERROR(MATCH(L159,'09-أيلول'!$L$2:$L$500,0),0),0))</f>
        <v/>
      </c>
      <c r="W159" t="str">
        <f t="shared" si="51"/>
        <v/>
      </c>
      <c r="X159" s="38" t="str">
        <f>IF(L159="","",IF(V159&gt;0,INDEX('09-أيلول'!$P$2:$P$500,V159),IF($AO$1=1,0,"")))</f>
        <v/>
      </c>
      <c r="Y159" s="38" t="str">
        <f t="shared" si="52"/>
        <v/>
      </c>
      <c r="Z159" s="39" t="str">
        <f>IF(L159="","",IF(V159&gt;0,INDEX('09-أيلول'!$Q$2:$Q$500,V159),IF($AO$1=1,0,"")))</f>
        <v/>
      </c>
      <c r="AA159" s="39" t="str">
        <f t="shared" si="53"/>
        <v/>
      </c>
      <c r="AB159" s="40" t="str">
        <f>IF(OR(L159="",V159=0),"",IF(AND(N(I159)&gt;0,N(INDEX('09-أيلول'!$I$2:$I$500,V159))&gt;0,INDEX('09-أيلول'!$F$2:$F$500,V159)=F159),N(I159)/N(INDEX('09-أيلول'!$I$2:$I$500,V159))-1,""))</f>
        <v/>
      </c>
      <c r="AC159" t="str">
        <f>IF(L159="","",IF(AND($AO$2=1,ISNA(MATCH(L159,'11-تشرين الثاني'!$L$2:$L$501,0))),"محذوف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IF(L160="","",IF($AO$1=1,IFERROR(MATCH(L160,'09-أيلول'!$L$2:$L$500,0),0),0))</f>
        <v/>
      </c>
      <c r="W160" t="str">
        <f t="shared" si="51"/>
        <v/>
      </c>
      <c r="X160" s="38" t="str">
        <f>IF(L160="","",IF(V160&gt;0,INDEX('09-أيلول'!$P$2:$P$500,V160),IF($AO$1=1,0,"")))</f>
        <v/>
      </c>
      <c r="Y160" s="38" t="str">
        <f t="shared" si="52"/>
        <v/>
      </c>
      <c r="Z160" s="39" t="str">
        <f>IF(L160="","",IF(V160&gt;0,INDEX('09-أيلول'!$Q$2:$Q$500,V160),IF($AO$1=1,0,"")))</f>
        <v/>
      </c>
      <c r="AA160" s="39" t="str">
        <f t="shared" si="53"/>
        <v/>
      </c>
      <c r="AB160" s="40" t="str">
        <f>IF(OR(L160="",V160=0),"",IF(AND(N(I160)&gt;0,N(INDEX('09-أيلول'!$I$2:$I$500,V160))&gt;0,INDEX('09-أيلول'!$F$2:$F$500,V160)=F160),N(I160)/N(INDEX('09-أيلول'!$I$2:$I$500,V160))-1,""))</f>
        <v/>
      </c>
      <c r="AC160" t="str">
        <f>IF(L160="","",IF(AND($AO$2=1,ISNA(MATCH(L160,'11-تشرين الثاني'!$L$2:$L$501,0))),"محذوف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IF(L161="","",IF($AO$1=1,IFERROR(MATCH(L161,'09-أيلول'!$L$2:$L$500,0),0),0))</f>
        <v/>
      </c>
      <c r="W161" t="str">
        <f t="shared" si="51"/>
        <v/>
      </c>
      <c r="X161" s="38" t="str">
        <f>IF(L161="","",IF(V161&gt;0,INDEX('09-أيلول'!$P$2:$P$500,V161),IF($AO$1=1,0,"")))</f>
        <v/>
      </c>
      <c r="Y161" s="38" t="str">
        <f t="shared" si="52"/>
        <v/>
      </c>
      <c r="Z161" s="39" t="str">
        <f>IF(L161="","",IF(V161&gt;0,INDEX('09-أيلول'!$Q$2:$Q$500,V161),IF($AO$1=1,0,"")))</f>
        <v/>
      </c>
      <c r="AA161" s="39" t="str">
        <f t="shared" si="53"/>
        <v/>
      </c>
      <c r="AB161" s="40" t="str">
        <f>IF(OR(L161="",V161=0),"",IF(AND(N(I161)&gt;0,N(INDEX('09-أيلول'!$I$2:$I$500,V161))&gt;0,INDEX('09-أيلول'!$F$2:$F$500,V161)=F161),N(I161)/N(INDEX('09-أيلول'!$I$2:$I$500,V161))-1,""))</f>
        <v/>
      </c>
      <c r="AC161" t="str">
        <f>IF(L161="","",IF(AND($AO$2=1,ISNA(MATCH(L161,'11-تشرين الثاني'!$L$2:$L$501,0))),"محذوف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IF(L162="","",IF($AO$1=1,IFERROR(MATCH(L162,'09-أيلول'!$L$2:$L$500,0),0),0))</f>
        <v/>
      </c>
      <c r="W162" t="str">
        <f t="shared" si="51"/>
        <v/>
      </c>
      <c r="X162" s="38" t="str">
        <f>IF(L162="","",IF(V162&gt;0,INDEX('09-أيلول'!$P$2:$P$500,V162),IF($AO$1=1,0,"")))</f>
        <v/>
      </c>
      <c r="Y162" s="38" t="str">
        <f t="shared" si="52"/>
        <v/>
      </c>
      <c r="Z162" s="39" t="str">
        <f>IF(L162="","",IF(V162&gt;0,INDEX('09-أيلول'!$Q$2:$Q$500,V162),IF($AO$1=1,0,"")))</f>
        <v/>
      </c>
      <c r="AA162" s="39" t="str">
        <f t="shared" si="53"/>
        <v/>
      </c>
      <c r="AB162" s="40" t="str">
        <f>IF(OR(L162="",V162=0),"",IF(AND(N(I162)&gt;0,N(INDEX('09-أيلول'!$I$2:$I$500,V162))&gt;0,INDEX('09-أيلول'!$F$2:$F$500,V162)=F162),N(I162)/N(INDEX('09-أيلول'!$I$2:$I$500,V162))-1,""))</f>
        <v/>
      </c>
      <c r="AC162" t="str">
        <f>IF(L162="","",IF(AND($AO$2=1,ISNA(MATCH(L162,'11-تشرين الثاني'!$L$2:$L$501,0))),"محذوف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IF(L163="","",IF($AO$1=1,IFERROR(MATCH(L163,'09-أيلول'!$L$2:$L$500,0),0),0))</f>
        <v/>
      </c>
      <c r="W163" t="str">
        <f t="shared" si="51"/>
        <v/>
      </c>
      <c r="X163" s="38" t="str">
        <f>IF(L163="","",IF(V163&gt;0,INDEX('09-أيلول'!$P$2:$P$500,V163),IF($AO$1=1,0,"")))</f>
        <v/>
      </c>
      <c r="Y163" s="38" t="str">
        <f t="shared" si="52"/>
        <v/>
      </c>
      <c r="Z163" s="39" t="str">
        <f>IF(L163="","",IF(V163&gt;0,INDEX('09-أيلول'!$Q$2:$Q$500,V163),IF($AO$1=1,0,"")))</f>
        <v/>
      </c>
      <c r="AA163" s="39" t="str">
        <f t="shared" si="53"/>
        <v/>
      </c>
      <c r="AB163" s="40" t="str">
        <f>IF(OR(L163="",V163=0),"",IF(AND(N(I163)&gt;0,N(INDEX('09-أيلول'!$I$2:$I$500,V163))&gt;0,INDEX('09-أيلول'!$F$2:$F$500,V163)=F163),N(I163)/N(INDEX('09-أيلول'!$I$2:$I$500,V163))-1,""))</f>
        <v/>
      </c>
      <c r="AC163" t="str">
        <f>IF(L163="","",IF(AND($AO$2=1,ISNA(MATCH(L163,'11-تشرين الثاني'!$L$2:$L$501,0))),"محذوف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IF(L164="","",IF($AO$1=1,IFERROR(MATCH(L164,'09-أيلول'!$L$2:$L$500,0),0),0))</f>
        <v/>
      </c>
      <c r="W164" t="str">
        <f t="shared" si="51"/>
        <v/>
      </c>
      <c r="X164" s="38" t="str">
        <f>IF(L164="","",IF(V164&gt;0,INDEX('09-أيلول'!$P$2:$P$500,V164),IF($AO$1=1,0,"")))</f>
        <v/>
      </c>
      <c r="Y164" s="38" t="str">
        <f t="shared" si="52"/>
        <v/>
      </c>
      <c r="Z164" s="39" t="str">
        <f>IF(L164="","",IF(V164&gt;0,INDEX('09-أيلول'!$Q$2:$Q$500,V164),IF($AO$1=1,0,"")))</f>
        <v/>
      </c>
      <c r="AA164" s="39" t="str">
        <f t="shared" si="53"/>
        <v/>
      </c>
      <c r="AB164" s="40" t="str">
        <f>IF(OR(L164="",V164=0),"",IF(AND(N(I164)&gt;0,N(INDEX('09-أيلول'!$I$2:$I$500,V164))&gt;0,INDEX('09-أيلول'!$F$2:$F$500,V164)=F164),N(I164)/N(INDEX('09-أيلول'!$I$2:$I$500,V164))-1,""))</f>
        <v/>
      </c>
      <c r="AC164" t="str">
        <f>IF(L164="","",IF(AND($AO$2=1,ISNA(MATCH(L164,'11-تشرين الثاني'!$L$2:$L$501,0))),"محذوف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IF(L165="","",IF($AO$1=1,IFERROR(MATCH(L165,'09-أيلول'!$L$2:$L$500,0),0),0))</f>
        <v/>
      </c>
      <c r="W165" t="str">
        <f t="shared" si="51"/>
        <v/>
      </c>
      <c r="X165" s="38" t="str">
        <f>IF(L165="","",IF(V165&gt;0,INDEX('09-أيلول'!$P$2:$P$500,V165),IF($AO$1=1,0,"")))</f>
        <v/>
      </c>
      <c r="Y165" s="38" t="str">
        <f t="shared" si="52"/>
        <v/>
      </c>
      <c r="Z165" s="39" t="str">
        <f>IF(L165="","",IF(V165&gt;0,INDEX('09-أيلول'!$Q$2:$Q$500,V165),IF($AO$1=1,0,"")))</f>
        <v/>
      </c>
      <c r="AA165" s="39" t="str">
        <f t="shared" si="53"/>
        <v/>
      </c>
      <c r="AB165" s="40" t="str">
        <f>IF(OR(L165="",V165=0),"",IF(AND(N(I165)&gt;0,N(INDEX('09-أيلول'!$I$2:$I$500,V165))&gt;0,INDEX('09-أيلول'!$F$2:$F$500,V165)=F165),N(I165)/N(INDEX('09-أيلول'!$I$2:$I$500,V165))-1,""))</f>
        <v/>
      </c>
      <c r="AC165" t="str">
        <f>IF(L165="","",IF(AND($AO$2=1,ISNA(MATCH(L165,'11-تشرين الثاني'!$L$2:$L$501,0))),"محذوف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IF(L166="","",IF($AO$1=1,IFERROR(MATCH(L166,'09-أيلول'!$L$2:$L$500,0),0),0))</f>
        <v/>
      </c>
      <c r="W166" t="str">
        <f t="shared" si="51"/>
        <v/>
      </c>
      <c r="X166" s="38" t="str">
        <f>IF(L166="","",IF(V166&gt;0,INDEX('09-أيلول'!$P$2:$P$500,V166),IF($AO$1=1,0,"")))</f>
        <v/>
      </c>
      <c r="Y166" s="38" t="str">
        <f t="shared" si="52"/>
        <v/>
      </c>
      <c r="Z166" s="39" t="str">
        <f>IF(L166="","",IF(V166&gt;0,INDEX('09-أيلول'!$Q$2:$Q$500,V166),IF($AO$1=1,0,"")))</f>
        <v/>
      </c>
      <c r="AA166" s="39" t="str">
        <f t="shared" si="53"/>
        <v/>
      </c>
      <c r="AB166" s="40" t="str">
        <f>IF(OR(L166="",V166=0),"",IF(AND(N(I166)&gt;0,N(INDEX('09-أيلول'!$I$2:$I$500,V166))&gt;0,INDEX('09-أيلول'!$F$2:$F$500,V166)=F166),N(I166)/N(INDEX('09-أيلول'!$I$2:$I$500,V166))-1,""))</f>
        <v/>
      </c>
      <c r="AC166" t="str">
        <f>IF(L166="","",IF(AND($AO$2=1,ISNA(MATCH(L166,'11-تشرين الثاني'!$L$2:$L$501,0))),"محذوف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IF(L167="","",IF($AO$1=1,IFERROR(MATCH(L167,'09-أيلول'!$L$2:$L$500,0),0),0))</f>
        <v/>
      </c>
      <c r="W167" t="str">
        <f t="shared" si="51"/>
        <v/>
      </c>
      <c r="X167" s="38" t="str">
        <f>IF(L167="","",IF(V167&gt;0,INDEX('09-أيلول'!$P$2:$P$500,V167),IF($AO$1=1,0,"")))</f>
        <v/>
      </c>
      <c r="Y167" s="38" t="str">
        <f t="shared" si="52"/>
        <v/>
      </c>
      <c r="Z167" s="39" t="str">
        <f>IF(L167="","",IF(V167&gt;0,INDEX('09-أيلول'!$Q$2:$Q$500,V167),IF($AO$1=1,0,"")))</f>
        <v/>
      </c>
      <c r="AA167" s="39" t="str">
        <f t="shared" si="53"/>
        <v/>
      </c>
      <c r="AB167" s="40" t="str">
        <f>IF(OR(L167="",V167=0),"",IF(AND(N(I167)&gt;0,N(INDEX('09-أيلول'!$I$2:$I$500,V167))&gt;0,INDEX('09-أيلول'!$F$2:$F$500,V167)=F167),N(I167)/N(INDEX('09-أيلول'!$I$2:$I$500,V167))-1,""))</f>
        <v/>
      </c>
      <c r="AC167" t="str">
        <f>IF(L167="","",IF(AND($AO$2=1,ISNA(MATCH(L167,'11-تشرين الثاني'!$L$2:$L$501,0))),"محذوف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IF(L168="","",IF($AO$1=1,IFERROR(MATCH(L168,'09-أيلول'!$L$2:$L$500,0),0),0))</f>
        <v/>
      </c>
      <c r="W168" t="str">
        <f t="shared" si="51"/>
        <v/>
      </c>
      <c r="X168" s="38" t="str">
        <f>IF(L168="","",IF(V168&gt;0,INDEX('09-أيلول'!$P$2:$P$500,V168),IF($AO$1=1,0,"")))</f>
        <v/>
      </c>
      <c r="Y168" s="38" t="str">
        <f t="shared" si="52"/>
        <v/>
      </c>
      <c r="Z168" s="39" t="str">
        <f>IF(L168="","",IF(V168&gt;0,INDEX('09-أيلول'!$Q$2:$Q$500,V168),IF($AO$1=1,0,"")))</f>
        <v/>
      </c>
      <c r="AA168" s="39" t="str">
        <f t="shared" si="53"/>
        <v/>
      </c>
      <c r="AB168" s="40" t="str">
        <f>IF(OR(L168="",V168=0),"",IF(AND(N(I168)&gt;0,N(INDEX('09-أيلول'!$I$2:$I$500,V168))&gt;0,INDEX('09-أيلول'!$F$2:$F$500,V168)=F168),N(I168)/N(INDEX('09-أيلول'!$I$2:$I$500,V168))-1,""))</f>
        <v/>
      </c>
      <c r="AC168" t="str">
        <f>IF(L168="","",IF(AND($AO$2=1,ISNA(MATCH(L168,'11-تشرين الثاني'!$L$2:$L$501,0))),"محذوف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IF(L169="","",IF($AO$1=1,IFERROR(MATCH(L169,'09-أيلول'!$L$2:$L$500,0),0),0))</f>
        <v/>
      </c>
      <c r="W169" t="str">
        <f t="shared" si="51"/>
        <v/>
      </c>
      <c r="X169" s="38" t="str">
        <f>IF(L169="","",IF(V169&gt;0,INDEX('09-أيلول'!$P$2:$P$500,V169),IF($AO$1=1,0,"")))</f>
        <v/>
      </c>
      <c r="Y169" s="38" t="str">
        <f t="shared" si="52"/>
        <v/>
      </c>
      <c r="Z169" s="39" t="str">
        <f>IF(L169="","",IF(V169&gt;0,INDEX('09-أيلول'!$Q$2:$Q$500,V169),IF($AO$1=1,0,"")))</f>
        <v/>
      </c>
      <c r="AA169" s="39" t="str">
        <f t="shared" si="53"/>
        <v/>
      </c>
      <c r="AB169" s="40" t="str">
        <f>IF(OR(L169="",V169=0),"",IF(AND(N(I169)&gt;0,N(INDEX('09-أيلول'!$I$2:$I$500,V169))&gt;0,INDEX('09-أيلول'!$F$2:$F$500,V169)=F169),N(I169)/N(INDEX('09-أيلول'!$I$2:$I$500,V169))-1,""))</f>
        <v/>
      </c>
      <c r="AC169" t="str">
        <f>IF(L169="","",IF(AND($AO$2=1,ISNA(MATCH(L169,'11-تشرين الثاني'!$L$2:$L$501,0))),"محذوف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IF(L170="","",IF($AO$1=1,IFERROR(MATCH(L170,'09-أيلول'!$L$2:$L$500,0),0),0))</f>
        <v/>
      </c>
      <c r="W170" t="str">
        <f t="shared" si="51"/>
        <v/>
      </c>
      <c r="X170" s="38" t="str">
        <f>IF(L170="","",IF(V170&gt;0,INDEX('09-أيلول'!$P$2:$P$500,V170),IF($AO$1=1,0,"")))</f>
        <v/>
      </c>
      <c r="Y170" s="38" t="str">
        <f t="shared" si="52"/>
        <v/>
      </c>
      <c r="Z170" s="39" t="str">
        <f>IF(L170="","",IF(V170&gt;0,INDEX('09-أيلول'!$Q$2:$Q$500,V170),IF($AO$1=1,0,"")))</f>
        <v/>
      </c>
      <c r="AA170" s="39" t="str">
        <f t="shared" si="53"/>
        <v/>
      </c>
      <c r="AB170" s="40" t="str">
        <f>IF(OR(L170="",V170=0),"",IF(AND(N(I170)&gt;0,N(INDEX('09-أيلول'!$I$2:$I$500,V170))&gt;0,INDEX('09-أيلول'!$F$2:$F$500,V170)=F170),N(I170)/N(INDEX('09-أيلول'!$I$2:$I$500,V170))-1,""))</f>
        <v/>
      </c>
      <c r="AC170" t="str">
        <f>IF(L170="","",IF(AND($AO$2=1,ISNA(MATCH(L170,'11-تشرين الثاني'!$L$2:$L$501,0))),"محذوف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IF(L171="","",IF($AO$1=1,IFERROR(MATCH(L171,'09-أيلول'!$L$2:$L$500,0),0),0))</f>
        <v/>
      </c>
      <c r="W171" t="str">
        <f t="shared" si="51"/>
        <v/>
      </c>
      <c r="X171" s="38" t="str">
        <f>IF(L171="","",IF(V171&gt;0,INDEX('09-أيلول'!$P$2:$P$500,V171),IF($AO$1=1,0,"")))</f>
        <v/>
      </c>
      <c r="Y171" s="38" t="str">
        <f t="shared" si="52"/>
        <v/>
      </c>
      <c r="Z171" s="39" t="str">
        <f>IF(L171="","",IF(V171&gt;0,INDEX('09-أيلول'!$Q$2:$Q$500,V171),IF($AO$1=1,0,"")))</f>
        <v/>
      </c>
      <c r="AA171" s="39" t="str">
        <f t="shared" si="53"/>
        <v/>
      </c>
      <c r="AB171" s="40" t="str">
        <f>IF(OR(L171="",V171=0),"",IF(AND(N(I171)&gt;0,N(INDEX('09-أيلول'!$I$2:$I$500,V171))&gt;0,INDEX('09-أيلول'!$F$2:$F$500,V171)=F171),N(I171)/N(INDEX('09-أيلول'!$I$2:$I$500,V171))-1,""))</f>
        <v/>
      </c>
      <c r="AC171" t="str">
        <f>IF(L171="","",IF(AND($AO$2=1,ISNA(MATCH(L171,'11-تشرين الثاني'!$L$2:$L$501,0))),"محذوف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IF(L172="","",IF($AO$1=1,IFERROR(MATCH(L172,'09-أيلول'!$L$2:$L$500,0),0),0))</f>
        <v/>
      </c>
      <c r="W172" t="str">
        <f t="shared" si="51"/>
        <v/>
      </c>
      <c r="X172" s="38" t="str">
        <f>IF(L172="","",IF(V172&gt;0,INDEX('09-أيلول'!$P$2:$P$500,V172),IF($AO$1=1,0,"")))</f>
        <v/>
      </c>
      <c r="Y172" s="38" t="str">
        <f t="shared" si="52"/>
        <v/>
      </c>
      <c r="Z172" s="39" t="str">
        <f>IF(L172="","",IF(V172&gt;0,INDEX('09-أيلول'!$Q$2:$Q$500,V172),IF($AO$1=1,0,"")))</f>
        <v/>
      </c>
      <c r="AA172" s="39" t="str">
        <f t="shared" si="53"/>
        <v/>
      </c>
      <c r="AB172" s="40" t="str">
        <f>IF(OR(L172="",V172=0),"",IF(AND(N(I172)&gt;0,N(INDEX('09-أيلول'!$I$2:$I$500,V172))&gt;0,INDEX('09-أيلول'!$F$2:$F$500,V172)=F172),N(I172)/N(INDEX('09-أيلول'!$I$2:$I$500,V172))-1,""))</f>
        <v/>
      </c>
      <c r="AC172" t="str">
        <f>IF(L172="","",IF(AND($AO$2=1,ISNA(MATCH(L172,'11-تشرين الثاني'!$L$2:$L$501,0))),"محذوف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IF(L173="","",IF($AO$1=1,IFERROR(MATCH(L173,'09-أيلول'!$L$2:$L$500,0),0),0))</f>
        <v/>
      </c>
      <c r="W173" t="str">
        <f t="shared" si="51"/>
        <v/>
      </c>
      <c r="X173" s="38" t="str">
        <f>IF(L173="","",IF(V173&gt;0,INDEX('09-أيلول'!$P$2:$P$500,V173),IF($AO$1=1,0,"")))</f>
        <v/>
      </c>
      <c r="Y173" s="38" t="str">
        <f t="shared" si="52"/>
        <v/>
      </c>
      <c r="Z173" s="39" t="str">
        <f>IF(L173="","",IF(V173&gt;0,INDEX('09-أيلول'!$Q$2:$Q$500,V173),IF($AO$1=1,0,"")))</f>
        <v/>
      </c>
      <c r="AA173" s="39" t="str">
        <f t="shared" si="53"/>
        <v/>
      </c>
      <c r="AB173" s="40" t="str">
        <f>IF(OR(L173="",V173=0),"",IF(AND(N(I173)&gt;0,N(INDEX('09-أيلول'!$I$2:$I$500,V173))&gt;0,INDEX('09-أيلول'!$F$2:$F$500,V173)=F173),N(I173)/N(INDEX('09-أيلول'!$I$2:$I$500,V173))-1,""))</f>
        <v/>
      </c>
      <c r="AC173" t="str">
        <f>IF(L173="","",IF(AND($AO$2=1,ISNA(MATCH(L173,'11-تشرين الثاني'!$L$2:$L$501,0))),"محذوف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IF(L174="","",IF($AO$1=1,IFERROR(MATCH(L174,'09-أيلول'!$L$2:$L$500,0),0),0))</f>
        <v/>
      </c>
      <c r="W174" t="str">
        <f t="shared" si="51"/>
        <v/>
      </c>
      <c r="X174" s="38" t="str">
        <f>IF(L174="","",IF(V174&gt;0,INDEX('09-أيلول'!$P$2:$P$500,V174),IF($AO$1=1,0,"")))</f>
        <v/>
      </c>
      <c r="Y174" s="38" t="str">
        <f t="shared" si="52"/>
        <v/>
      </c>
      <c r="Z174" s="39" t="str">
        <f>IF(L174="","",IF(V174&gt;0,INDEX('09-أيلول'!$Q$2:$Q$500,V174),IF($AO$1=1,0,"")))</f>
        <v/>
      </c>
      <c r="AA174" s="39" t="str">
        <f t="shared" si="53"/>
        <v/>
      </c>
      <c r="AB174" s="40" t="str">
        <f>IF(OR(L174="",V174=0),"",IF(AND(N(I174)&gt;0,N(INDEX('09-أيلول'!$I$2:$I$500,V174))&gt;0,INDEX('09-أيلول'!$F$2:$F$500,V174)=F174),N(I174)/N(INDEX('09-أيلول'!$I$2:$I$500,V174))-1,""))</f>
        <v/>
      </c>
      <c r="AC174" t="str">
        <f>IF(L174="","",IF(AND($AO$2=1,ISNA(MATCH(L174,'11-تشرين الثاني'!$L$2:$L$501,0))),"محذوف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IF(L175="","",IF($AO$1=1,IFERROR(MATCH(L175,'09-أيلول'!$L$2:$L$500,0),0),0))</f>
        <v/>
      </c>
      <c r="W175" t="str">
        <f t="shared" si="51"/>
        <v/>
      </c>
      <c r="X175" s="38" t="str">
        <f>IF(L175="","",IF(V175&gt;0,INDEX('09-أيلول'!$P$2:$P$500,V175),IF($AO$1=1,0,"")))</f>
        <v/>
      </c>
      <c r="Y175" s="38" t="str">
        <f t="shared" si="52"/>
        <v/>
      </c>
      <c r="Z175" s="39" t="str">
        <f>IF(L175="","",IF(V175&gt;0,INDEX('09-أيلول'!$Q$2:$Q$500,V175),IF($AO$1=1,0,"")))</f>
        <v/>
      </c>
      <c r="AA175" s="39" t="str">
        <f t="shared" si="53"/>
        <v/>
      </c>
      <c r="AB175" s="40" t="str">
        <f>IF(OR(L175="",V175=0),"",IF(AND(N(I175)&gt;0,N(INDEX('09-أيلول'!$I$2:$I$500,V175))&gt;0,INDEX('09-أيلول'!$F$2:$F$500,V175)=F175),N(I175)/N(INDEX('09-أيلول'!$I$2:$I$500,V175))-1,""))</f>
        <v/>
      </c>
      <c r="AC175" t="str">
        <f>IF(L175="","",IF(AND($AO$2=1,ISNA(MATCH(L175,'11-تشرين الثاني'!$L$2:$L$501,0))),"محذوف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IF(L176="","",IF($AO$1=1,IFERROR(MATCH(L176,'09-أيلول'!$L$2:$L$500,0),0),0))</f>
        <v/>
      </c>
      <c r="W176" t="str">
        <f t="shared" si="51"/>
        <v/>
      </c>
      <c r="X176" s="38" t="str">
        <f>IF(L176="","",IF(V176&gt;0,INDEX('09-أيلول'!$P$2:$P$500,V176),IF($AO$1=1,0,"")))</f>
        <v/>
      </c>
      <c r="Y176" s="38" t="str">
        <f t="shared" si="52"/>
        <v/>
      </c>
      <c r="Z176" s="39" t="str">
        <f>IF(L176="","",IF(V176&gt;0,INDEX('09-أيلول'!$Q$2:$Q$500,V176),IF($AO$1=1,0,"")))</f>
        <v/>
      </c>
      <c r="AA176" s="39" t="str">
        <f t="shared" si="53"/>
        <v/>
      </c>
      <c r="AB176" s="40" t="str">
        <f>IF(OR(L176="",V176=0),"",IF(AND(N(I176)&gt;0,N(INDEX('09-أيلول'!$I$2:$I$500,V176))&gt;0,INDEX('09-أيلول'!$F$2:$F$500,V176)=F176),N(I176)/N(INDEX('09-أيلول'!$I$2:$I$500,V176))-1,""))</f>
        <v/>
      </c>
      <c r="AC176" t="str">
        <f>IF(L176="","",IF(AND($AO$2=1,ISNA(MATCH(L176,'11-تشرين الثاني'!$L$2:$L$501,0))),"محذوف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IF(L177="","",IF($AO$1=1,IFERROR(MATCH(L177,'09-أيلول'!$L$2:$L$500,0),0),0))</f>
        <v/>
      </c>
      <c r="W177" t="str">
        <f t="shared" si="51"/>
        <v/>
      </c>
      <c r="X177" s="38" t="str">
        <f>IF(L177="","",IF(V177&gt;0,INDEX('09-أيلول'!$P$2:$P$500,V177),IF($AO$1=1,0,"")))</f>
        <v/>
      </c>
      <c r="Y177" s="38" t="str">
        <f t="shared" si="52"/>
        <v/>
      </c>
      <c r="Z177" s="39" t="str">
        <f>IF(L177="","",IF(V177&gt;0,INDEX('09-أيلول'!$Q$2:$Q$500,V177),IF($AO$1=1,0,"")))</f>
        <v/>
      </c>
      <c r="AA177" s="39" t="str">
        <f t="shared" si="53"/>
        <v/>
      </c>
      <c r="AB177" s="40" t="str">
        <f>IF(OR(L177="",V177=0),"",IF(AND(N(I177)&gt;0,N(INDEX('09-أيلول'!$I$2:$I$500,V177))&gt;0,INDEX('09-أيلول'!$F$2:$F$500,V177)=F177),N(I177)/N(INDEX('09-أيلول'!$I$2:$I$500,V177))-1,""))</f>
        <v/>
      </c>
      <c r="AC177" t="str">
        <f>IF(L177="","",IF(AND($AO$2=1,ISNA(MATCH(L177,'11-تشرين الثاني'!$L$2:$L$501,0))),"محذوف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IF(L178="","",IF($AO$1=1,IFERROR(MATCH(L178,'09-أيلول'!$L$2:$L$500,0),0),0))</f>
        <v/>
      </c>
      <c r="W178" t="str">
        <f t="shared" si="51"/>
        <v/>
      </c>
      <c r="X178" s="38" t="str">
        <f>IF(L178="","",IF(V178&gt;0,INDEX('09-أيلول'!$P$2:$P$500,V178),IF($AO$1=1,0,"")))</f>
        <v/>
      </c>
      <c r="Y178" s="38" t="str">
        <f t="shared" si="52"/>
        <v/>
      </c>
      <c r="Z178" s="39" t="str">
        <f>IF(L178="","",IF(V178&gt;0,INDEX('09-أيلول'!$Q$2:$Q$500,V178),IF($AO$1=1,0,"")))</f>
        <v/>
      </c>
      <c r="AA178" s="39" t="str">
        <f t="shared" si="53"/>
        <v/>
      </c>
      <c r="AB178" s="40" t="str">
        <f>IF(OR(L178="",V178=0),"",IF(AND(N(I178)&gt;0,N(INDEX('09-أيلول'!$I$2:$I$500,V178))&gt;0,INDEX('09-أيلول'!$F$2:$F$500,V178)=F178),N(I178)/N(INDEX('09-أيلول'!$I$2:$I$500,V178))-1,""))</f>
        <v/>
      </c>
      <c r="AC178" t="str">
        <f>IF(L178="","",IF(AND($AO$2=1,ISNA(MATCH(L178,'11-تشرين الثاني'!$L$2:$L$501,0))),"محذوف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IF(L179="","",IF($AO$1=1,IFERROR(MATCH(L179,'09-أيلول'!$L$2:$L$500,0),0),0))</f>
        <v/>
      </c>
      <c r="W179" t="str">
        <f t="shared" si="51"/>
        <v/>
      </c>
      <c r="X179" s="38" t="str">
        <f>IF(L179="","",IF(V179&gt;0,INDEX('09-أيلول'!$P$2:$P$500,V179),IF($AO$1=1,0,"")))</f>
        <v/>
      </c>
      <c r="Y179" s="38" t="str">
        <f t="shared" si="52"/>
        <v/>
      </c>
      <c r="Z179" s="39" t="str">
        <f>IF(L179="","",IF(V179&gt;0,INDEX('09-أيلول'!$Q$2:$Q$500,V179),IF($AO$1=1,0,"")))</f>
        <v/>
      </c>
      <c r="AA179" s="39" t="str">
        <f t="shared" si="53"/>
        <v/>
      </c>
      <c r="AB179" s="40" t="str">
        <f>IF(OR(L179="",V179=0),"",IF(AND(N(I179)&gt;0,N(INDEX('09-أيلول'!$I$2:$I$500,V179))&gt;0,INDEX('09-أيلول'!$F$2:$F$500,V179)=F179),N(I179)/N(INDEX('09-أيلول'!$I$2:$I$500,V179))-1,""))</f>
        <v/>
      </c>
      <c r="AC179" t="str">
        <f>IF(L179="","",IF(AND($AO$2=1,ISNA(MATCH(L179,'11-تشرين الثاني'!$L$2:$L$501,0))),"محذوف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IF(L180="","",IF($AO$1=1,IFERROR(MATCH(L180,'09-أيلول'!$L$2:$L$500,0),0),0))</f>
        <v/>
      </c>
      <c r="W180" t="str">
        <f t="shared" si="51"/>
        <v/>
      </c>
      <c r="X180" s="38" t="str">
        <f>IF(L180="","",IF(V180&gt;0,INDEX('09-أيلول'!$P$2:$P$500,V180),IF($AO$1=1,0,"")))</f>
        <v/>
      </c>
      <c r="Y180" s="38" t="str">
        <f t="shared" si="52"/>
        <v/>
      </c>
      <c r="Z180" s="39" t="str">
        <f>IF(L180="","",IF(V180&gt;0,INDEX('09-أيلول'!$Q$2:$Q$500,V180),IF($AO$1=1,0,"")))</f>
        <v/>
      </c>
      <c r="AA180" s="39" t="str">
        <f t="shared" si="53"/>
        <v/>
      </c>
      <c r="AB180" s="40" t="str">
        <f>IF(OR(L180="",V180=0),"",IF(AND(N(I180)&gt;0,N(INDEX('09-أيلول'!$I$2:$I$500,V180))&gt;0,INDEX('09-أيلول'!$F$2:$F$500,V180)=F180),N(I180)/N(INDEX('09-أيلول'!$I$2:$I$500,V180))-1,""))</f>
        <v/>
      </c>
      <c r="AC180" t="str">
        <f>IF(L180="","",IF(AND($AO$2=1,ISNA(MATCH(L180,'11-تشرين الثاني'!$L$2:$L$501,0))),"محذوف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IF(L181="","",IF($AO$1=1,IFERROR(MATCH(L181,'09-أيلول'!$L$2:$L$500,0),0),0))</f>
        <v/>
      </c>
      <c r="W181" t="str">
        <f t="shared" si="51"/>
        <v/>
      </c>
      <c r="X181" s="38" t="str">
        <f>IF(L181="","",IF(V181&gt;0,INDEX('09-أيلول'!$P$2:$P$500,V181),IF($AO$1=1,0,"")))</f>
        <v/>
      </c>
      <c r="Y181" s="38" t="str">
        <f t="shared" si="52"/>
        <v/>
      </c>
      <c r="Z181" s="39" t="str">
        <f>IF(L181="","",IF(V181&gt;0,INDEX('09-أيلول'!$Q$2:$Q$500,V181),IF($AO$1=1,0,"")))</f>
        <v/>
      </c>
      <c r="AA181" s="39" t="str">
        <f t="shared" si="53"/>
        <v/>
      </c>
      <c r="AB181" s="40" t="str">
        <f>IF(OR(L181="",V181=0),"",IF(AND(N(I181)&gt;0,N(INDEX('09-أيلول'!$I$2:$I$500,V181))&gt;0,INDEX('09-أيلول'!$F$2:$F$500,V181)=F181),N(I181)/N(INDEX('09-أيلول'!$I$2:$I$500,V181))-1,""))</f>
        <v/>
      </c>
      <c r="AC181" t="str">
        <f>IF(L181="","",IF(AND($AO$2=1,ISNA(MATCH(L181,'11-تشرين الثاني'!$L$2:$L$501,0))),"محذوف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IF(L182="","",IF($AO$1=1,IFERROR(MATCH(L182,'09-أيلول'!$L$2:$L$500,0),0),0))</f>
        <v/>
      </c>
      <c r="W182" t="str">
        <f t="shared" si="51"/>
        <v/>
      </c>
      <c r="X182" s="38" t="str">
        <f>IF(L182="","",IF(V182&gt;0,INDEX('09-أيلول'!$P$2:$P$500,V182),IF($AO$1=1,0,"")))</f>
        <v/>
      </c>
      <c r="Y182" s="38" t="str">
        <f t="shared" si="52"/>
        <v/>
      </c>
      <c r="Z182" s="39" t="str">
        <f>IF(L182="","",IF(V182&gt;0,INDEX('09-أيلول'!$Q$2:$Q$500,V182),IF($AO$1=1,0,"")))</f>
        <v/>
      </c>
      <c r="AA182" s="39" t="str">
        <f t="shared" si="53"/>
        <v/>
      </c>
      <c r="AB182" s="40" t="str">
        <f>IF(OR(L182="",V182=0),"",IF(AND(N(I182)&gt;0,N(INDEX('09-أيلول'!$I$2:$I$500,V182))&gt;0,INDEX('09-أيلول'!$F$2:$F$500,V182)=F182),N(I182)/N(INDEX('09-أيلول'!$I$2:$I$500,V182))-1,""))</f>
        <v/>
      </c>
      <c r="AC182" t="str">
        <f>IF(L182="","",IF(AND($AO$2=1,ISNA(MATCH(L182,'11-تشرين الثاني'!$L$2:$L$501,0))),"محذوف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IF(L183="","",IF($AO$1=1,IFERROR(MATCH(L183,'09-أيلول'!$L$2:$L$500,0),0),0))</f>
        <v/>
      </c>
      <c r="W183" t="str">
        <f t="shared" si="51"/>
        <v/>
      </c>
      <c r="X183" s="38" t="str">
        <f>IF(L183="","",IF(V183&gt;0,INDEX('09-أيلول'!$P$2:$P$500,V183),IF($AO$1=1,0,"")))</f>
        <v/>
      </c>
      <c r="Y183" s="38" t="str">
        <f t="shared" si="52"/>
        <v/>
      </c>
      <c r="Z183" s="39" t="str">
        <f>IF(L183="","",IF(V183&gt;0,INDEX('09-أيلول'!$Q$2:$Q$500,V183),IF($AO$1=1,0,"")))</f>
        <v/>
      </c>
      <c r="AA183" s="39" t="str">
        <f t="shared" si="53"/>
        <v/>
      </c>
      <c r="AB183" s="40" t="str">
        <f>IF(OR(L183="",V183=0),"",IF(AND(N(I183)&gt;0,N(INDEX('09-أيلول'!$I$2:$I$500,V183))&gt;0,INDEX('09-أيلول'!$F$2:$F$500,V183)=F183),N(I183)/N(INDEX('09-أيلول'!$I$2:$I$500,V183))-1,""))</f>
        <v/>
      </c>
      <c r="AC183" t="str">
        <f>IF(L183="","",IF(AND($AO$2=1,ISNA(MATCH(L183,'11-تشرين الثاني'!$L$2:$L$501,0))),"محذوف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IF(L184="","",IF($AO$1=1,IFERROR(MATCH(L184,'09-أيلول'!$L$2:$L$500,0),0),0))</f>
        <v/>
      </c>
      <c r="W184" t="str">
        <f t="shared" si="51"/>
        <v/>
      </c>
      <c r="X184" s="38" t="str">
        <f>IF(L184="","",IF(V184&gt;0,INDEX('09-أيلول'!$P$2:$P$500,V184),IF($AO$1=1,0,"")))</f>
        <v/>
      </c>
      <c r="Y184" s="38" t="str">
        <f t="shared" si="52"/>
        <v/>
      </c>
      <c r="Z184" s="39" t="str">
        <f>IF(L184="","",IF(V184&gt;0,INDEX('09-أيلول'!$Q$2:$Q$500,V184),IF($AO$1=1,0,"")))</f>
        <v/>
      </c>
      <c r="AA184" s="39" t="str">
        <f t="shared" si="53"/>
        <v/>
      </c>
      <c r="AB184" s="40" t="str">
        <f>IF(OR(L184="",V184=0),"",IF(AND(N(I184)&gt;0,N(INDEX('09-أيلول'!$I$2:$I$500,V184))&gt;0,INDEX('09-أيلول'!$F$2:$F$500,V184)=F184),N(I184)/N(INDEX('09-أيلول'!$I$2:$I$500,V184))-1,""))</f>
        <v/>
      </c>
      <c r="AC184" t="str">
        <f>IF(L184="","",IF(AND($AO$2=1,ISNA(MATCH(L184,'11-تشرين الثاني'!$L$2:$L$501,0))),"محذوف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IF(L185="","",IF($AO$1=1,IFERROR(MATCH(L185,'09-أيلول'!$L$2:$L$500,0),0),0))</f>
        <v/>
      </c>
      <c r="W185" t="str">
        <f t="shared" si="51"/>
        <v/>
      </c>
      <c r="X185" s="38" t="str">
        <f>IF(L185="","",IF(V185&gt;0,INDEX('09-أيلول'!$P$2:$P$500,V185),IF($AO$1=1,0,"")))</f>
        <v/>
      </c>
      <c r="Y185" s="38" t="str">
        <f t="shared" si="52"/>
        <v/>
      </c>
      <c r="Z185" s="39" t="str">
        <f>IF(L185="","",IF(V185&gt;0,INDEX('09-أيلول'!$Q$2:$Q$500,V185),IF($AO$1=1,0,"")))</f>
        <v/>
      </c>
      <c r="AA185" s="39" t="str">
        <f t="shared" si="53"/>
        <v/>
      </c>
      <c r="AB185" s="40" t="str">
        <f>IF(OR(L185="",V185=0),"",IF(AND(N(I185)&gt;0,N(INDEX('09-أيلول'!$I$2:$I$500,V185))&gt;0,INDEX('09-أيلول'!$F$2:$F$500,V185)=F185),N(I185)/N(INDEX('09-أيلول'!$I$2:$I$500,V185))-1,""))</f>
        <v/>
      </c>
      <c r="AC185" t="str">
        <f>IF(L185="","",IF(AND($AO$2=1,ISNA(MATCH(L185,'11-تشرين الثاني'!$L$2:$L$501,0))),"محذوف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IF(L186="","",IF($AO$1=1,IFERROR(MATCH(L186,'09-أيلول'!$L$2:$L$500,0),0),0))</f>
        <v/>
      </c>
      <c r="W186" t="str">
        <f t="shared" si="51"/>
        <v/>
      </c>
      <c r="X186" s="38" t="str">
        <f>IF(L186="","",IF(V186&gt;0,INDEX('09-أيلول'!$P$2:$P$500,V186),IF($AO$1=1,0,"")))</f>
        <v/>
      </c>
      <c r="Y186" s="38" t="str">
        <f t="shared" si="52"/>
        <v/>
      </c>
      <c r="Z186" s="39" t="str">
        <f>IF(L186="","",IF(V186&gt;0,INDEX('09-أيلول'!$Q$2:$Q$500,V186),IF($AO$1=1,0,"")))</f>
        <v/>
      </c>
      <c r="AA186" s="39" t="str">
        <f t="shared" si="53"/>
        <v/>
      </c>
      <c r="AB186" s="40" t="str">
        <f>IF(OR(L186="",V186=0),"",IF(AND(N(I186)&gt;0,N(INDEX('09-أيلول'!$I$2:$I$500,V186))&gt;0,INDEX('09-أيلول'!$F$2:$F$500,V186)=F186),N(I186)/N(INDEX('09-أيلول'!$I$2:$I$500,V186))-1,""))</f>
        <v/>
      </c>
      <c r="AC186" t="str">
        <f>IF(L186="","",IF(AND($AO$2=1,ISNA(MATCH(L186,'11-تشرين الثاني'!$L$2:$L$501,0))),"محذوف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IF(L187="","",IF($AO$1=1,IFERROR(MATCH(L187,'09-أيلول'!$L$2:$L$500,0),0),0))</f>
        <v/>
      </c>
      <c r="W187" t="str">
        <f t="shared" si="51"/>
        <v/>
      </c>
      <c r="X187" s="38" t="str">
        <f>IF(L187="","",IF(V187&gt;0,INDEX('09-أيلول'!$P$2:$P$500,V187),IF($AO$1=1,0,"")))</f>
        <v/>
      </c>
      <c r="Y187" s="38" t="str">
        <f t="shared" si="52"/>
        <v/>
      </c>
      <c r="Z187" s="39" t="str">
        <f>IF(L187="","",IF(V187&gt;0,INDEX('09-أيلول'!$Q$2:$Q$500,V187),IF($AO$1=1,0,"")))</f>
        <v/>
      </c>
      <c r="AA187" s="39" t="str">
        <f t="shared" si="53"/>
        <v/>
      </c>
      <c r="AB187" s="40" t="str">
        <f>IF(OR(L187="",V187=0),"",IF(AND(N(I187)&gt;0,N(INDEX('09-أيلول'!$I$2:$I$500,V187))&gt;0,INDEX('09-أيلول'!$F$2:$F$500,V187)=F187),N(I187)/N(INDEX('09-أيلول'!$I$2:$I$500,V187))-1,""))</f>
        <v/>
      </c>
      <c r="AC187" t="str">
        <f>IF(L187="","",IF(AND($AO$2=1,ISNA(MATCH(L187,'11-تشرين الثاني'!$L$2:$L$501,0))),"محذوف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IF(L188="","",IF($AO$1=1,IFERROR(MATCH(L188,'09-أيلول'!$L$2:$L$500,0),0),0))</f>
        <v/>
      </c>
      <c r="W188" t="str">
        <f t="shared" si="51"/>
        <v/>
      </c>
      <c r="X188" s="38" t="str">
        <f>IF(L188="","",IF(V188&gt;0,INDEX('09-أيلول'!$P$2:$P$500,V188),IF($AO$1=1,0,"")))</f>
        <v/>
      </c>
      <c r="Y188" s="38" t="str">
        <f t="shared" si="52"/>
        <v/>
      </c>
      <c r="Z188" s="39" t="str">
        <f>IF(L188="","",IF(V188&gt;0,INDEX('09-أيلول'!$Q$2:$Q$500,V188),IF($AO$1=1,0,"")))</f>
        <v/>
      </c>
      <c r="AA188" s="39" t="str">
        <f t="shared" si="53"/>
        <v/>
      </c>
      <c r="AB188" s="40" t="str">
        <f>IF(OR(L188="",V188=0),"",IF(AND(N(I188)&gt;0,N(INDEX('09-أيلول'!$I$2:$I$500,V188))&gt;0,INDEX('09-أيلول'!$F$2:$F$500,V188)=F188),N(I188)/N(INDEX('09-أيلول'!$I$2:$I$500,V188))-1,""))</f>
        <v/>
      </c>
      <c r="AC188" t="str">
        <f>IF(L188="","",IF(AND($AO$2=1,ISNA(MATCH(L188,'11-تشرين الثاني'!$L$2:$L$501,0))),"محذوف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IF(L189="","",IF($AO$1=1,IFERROR(MATCH(L189,'09-أيلول'!$L$2:$L$500,0),0),0))</f>
        <v/>
      </c>
      <c r="W189" t="str">
        <f t="shared" si="51"/>
        <v/>
      </c>
      <c r="X189" s="38" t="str">
        <f>IF(L189="","",IF(V189&gt;0,INDEX('09-أيلول'!$P$2:$P$500,V189),IF($AO$1=1,0,"")))</f>
        <v/>
      </c>
      <c r="Y189" s="38" t="str">
        <f t="shared" si="52"/>
        <v/>
      </c>
      <c r="Z189" s="39" t="str">
        <f>IF(L189="","",IF(V189&gt;0,INDEX('09-أيلول'!$Q$2:$Q$500,V189),IF($AO$1=1,0,"")))</f>
        <v/>
      </c>
      <c r="AA189" s="39" t="str">
        <f t="shared" si="53"/>
        <v/>
      </c>
      <c r="AB189" s="40" t="str">
        <f>IF(OR(L189="",V189=0),"",IF(AND(N(I189)&gt;0,N(INDEX('09-أيلول'!$I$2:$I$500,V189))&gt;0,INDEX('09-أيلول'!$F$2:$F$500,V189)=F189),N(I189)/N(INDEX('09-أيلول'!$I$2:$I$500,V189))-1,""))</f>
        <v/>
      </c>
      <c r="AC189" t="str">
        <f>IF(L189="","",IF(AND($AO$2=1,ISNA(MATCH(L189,'11-تشرين الثاني'!$L$2:$L$501,0))),"محذوف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IF(L190="","",IF($AO$1=1,IFERROR(MATCH(L190,'09-أيلول'!$L$2:$L$500,0),0),0))</f>
        <v/>
      </c>
      <c r="W190" t="str">
        <f t="shared" si="51"/>
        <v/>
      </c>
      <c r="X190" s="38" t="str">
        <f>IF(L190="","",IF(V190&gt;0,INDEX('09-أيلول'!$P$2:$P$500,V190),IF($AO$1=1,0,"")))</f>
        <v/>
      </c>
      <c r="Y190" s="38" t="str">
        <f t="shared" si="52"/>
        <v/>
      </c>
      <c r="Z190" s="39" t="str">
        <f>IF(L190="","",IF(V190&gt;0,INDEX('09-أيلول'!$Q$2:$Q$500,V190),IF($AO$1=1,0,"")))</f>
        <v/>
      </c>
      <c r="AA190" s="39" t="str">
        <f t="shared" si="53"/>
        <v/>
      </c>
      <c r="AB190" s="40" t="str">
        <f>IF(OR(L190="",V190=0),"",IF(AND(N(I190)&gt;0,N(INDEX('09-أيلول'!$I$2:$I$500,V190))&gt;0,INDEX('09-أيلول'!$F$2:$F$500,V190)=F190),N(I190)/N(INDEX('09-أيلول'!$I$2:$I$500,V190))-1,""))</f>
        <v/>
      </c>
      <c r="AC190" t="str">
        <f>IF(L190="","",IF(AND($AO$2=1,ISNA(MATCH(L190,'11-تشرين الثاني'!$L$2:$L$501,0))),"محذوف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IF(L191="","",IF($AO$1=1,IFERROR(MATCH(L191,'09-أيلول'!$L$2:$L$500,0),0),0))</f>
        <v/>
      </c>
      <c r="W191" t="str">
        <f t="shared" si="51"/>
        <v/>
      </c>
      <c r="X191" s="38" t="str">
        <f>IF(L191="","",IF(V191&gt;0,INDEX('09-أيلول'!$P$2:$P$500,V191),IF($AO$1=1,0,"")))</f>
        <v/>
      </c>
      <c r="Y191" s="38" t="str">
        <f t="shared" si="52"/>
        <v/>
      </c>
      <c r="Z191" s="39" t="str">
        <f>IF(L191="","",IF(V191&gt;0,INDEX('09-أيلول'!$Q$2:$Q$500,V191),IF($AO$1=1,0,"")))</f>
        <v/>
      </c>
      <c r="AA191" s="39" t="str">
        <f t="shared" si="53"/>
        <v/>
      </c>
      <c r="AB191" s="40" t="str">
        <f>IF(OR(L191="",V191=0),"",IF(AND(N(I191)&gt;0,N(INDEX('09-أيلول'!$I$2:$I$500,V191))&gt;0,INDEX('09-أيلول'!$F$2:$F$500,V191)=F191),N(I191)/N(INDEX('09-أيلول'!$I$2:$I$500,V191))-1,""))</f>
        <v/>
      </c>
      <c r="AC191" t="str">
        <f>IF(L191="","",IF(AND($AO$2=1,ISNA(MATCH(L191,'11-تشرين الثاني'!$L$2:$L$501,0))),"محذوف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IF(L192="","",IF($AO$1=1,IFERROR(MATCH(L192,'09-أيلول'!$L$2:$L$500,0),0),0))</f>
        <v/>
      </c>
      <c r="W192" t="str">
        <f t="shared" si="51"/>
        <v/>
      </c>
      <c r="X192" s="38" t="str">
        <f>IF(L192="","",IF(V192&gt;0,INDEX('09-أيلول'!$P$2:$P$500,V192),IF($AO$1=1,0,"")))</f>
        <v/>
      </c>
      <c r="Y192" s="38" t="str">
        <f t="shared" si="52"/>
        <v/>
      </c>
      <c r="Z192" s="39" t="str">
        <f>IF(L192="","",IF(V192&gt;0,INDEX('09-أيلول'!$Q$2:$Q$500,V192),IF($AO$1=1,0,"")))</f>
        <v/>
      </c>
      <c r="AA192" s="39" t="str">
        <f t="shared" si="53"/>
        <v/>
      </c>
      <c r="AB192" s="40" t="str">
        <f>IF(OR(L192="",V192=0),"",IF(AND(N(I192)&gt;0,N(INDEX('09-أيلول'!$I$2:$I$500,V192))&gt;0,INDEX('09-أيلول'!$F$2:$F$500,V192)=F192),N(I192)/N(INDEX('09-أيلول'!$I$2:$I$500,V192))-1,""))</f>
        <v/>
      </c>
      <c r="AC192" t="str">
        <f>IF(L192="","",IF(AND($AO$2=1,ISNA(MATCH(L192,'11-تشرين الثاني'!$L$2:$L$501,0))),"محذوف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IF(L193="","",IF($AO$1=1,IFERROR(MATCH(L193,'09-أيلول'!$L$2:$L$500,0),0),0))</f>
        <v/>
      </c>
      <c r="W193" t="str">
        <f t="shared" si="51"/>
        <v/>
      </c>
      <c r="X193" s="38" t="str">
        <f>IF(L193="","",IF(V193&gt;0,INDEX('09-أيلول'!$P$2:$P$500,V193),IF($AO$1=1,0,"")))</f>
        <v/>
      </c>
      <c r="Y193" s="38" t="str">
        <f t="shared" si="52"/>
        <v/>
      </c>
      <c r="Z193" s="39" t="str">
        <f>IF(L193="","",IF(V193&gt;0,INDEX('09-أيلول'!$Q$2:$Q$500,V193),IF($AO$1=1,0,"")))</f>
        <v/>
      </c>
      <c r="AA193" s="39" t="str">
        <f t="shared" si="53"/>
        <v/>
      </c>
      <c r="AB193" s="40" t="str">
        <f>IF(OR(L193="",V193=0),"",IF(AND(N(I193)&gt;0,N(INDEX('09-أيلول'!$I$2:$I$500,V193))&gt;0,INDEX('09-أيلول'!$F$2:$F$500,V193)=F193),N(I193)/N(INDEX('09-أيلول'!$I$2:$I$500,V193))-1,""))</f>
        <v/>
      </c>
      <c r="AC193" t="str">
        <f>IF(L193="","",IF(AND($AO$2=1,ISNA(MATCH(L193,'11-تشرين الثاني'!$L$2:$L$501,0))),"محذوف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IF(L194="","",IF($AO$1=1,IFERROR(MATCH(L194,'09-أيلول'!$L$2:$L$500,0),0),0))</f>
        <v/>
      </c>
      <c r="W194" t="str">
        <f t="shared" ref="W194:W257" si="71">IF(L194="","",IF(AND($AO$1=1,V194=0),"جديد",""))</f>
        <v/>
      </c>
      <c r="X194" s="38" t="str">
        <f>IF(L194="","",IF(V194&gt;0,INDEX('09-أيلول'!$P$2:$P$500,V194),IF($AO$1=1,0,"")))</f>
        <v/>
      </c>
      <c r="Y194" s="38" t="str">
        <f t="shared" ref="Y194:Y257" si="72">IF(OR(L194="",X194=""),"",P194-X194)</f>
        <v/>
      </c>
      <c r="Z194" s="39" t="str">
        <f>IF(L194="","",IF(V194&gt;0,INDEX('09-أيلول'!$Q$2:$Q$500,V194),IF($AO$1=1,0,"")))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IF(OR(L194="",V194=0),"",IF(AND(N(I194)&gt;0,N(INDEX('09-أيلول'!$I$2:$I$500,V194))&gt;0,INDEX('09-أيلول'!$F$2:$F$500,V194)=F194),N(I194)/N(INDEX('09-أيلول'!$I$2:$I$500,V194))-1,""))</f>
        <v/>
      </c>
      <c r="AC194" t="str">
        <f>IF(L194="","",IF(AND($AO$2=1,ISNA(MATCH(L194,'11-تشرين الثاني'!$L$2:$L$501,0))),"محذوف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IF(L195="","",IF($AO$1=1,IFERROR(MATCH(L195,'09-أيلول'!$L$2:$L$500,0),0),0))</f>
        <v/>
      </c>
      <c r="W195" t="str">
        <f t="shared" si="71"/>
        <v/>
      </c>
      <c r="X195" s="38" t="str">
        <f>IF(L195="","",IF(V195&gt;0,INDEX('09-أيلول'!$P$2:$P$500,V195),IF($AO$1=1,0,"")))</f>
        <v/>
      </c>
      <c r="Y195" s="38" t="str">
        <f t="shared" si="72"/>
        <v/>
      </c>
      <c r="Z195" s="39" t="str">
        <f>IF(L195="","",IF(V195&gt;0,INDEX('09-أيلول'!$Q$2:$Q$500,V195),IF($AO$1=1,0,"")))</f>
        <v/>
      </c>
      <c r="AA195" s="39" t="str">
        <f t="shared" si="73"/>
        <v/>
      </c>
      <c r="AB195" s="40" t="str">
        <f>IF(OR(L195="",V195=0),"",IF(AND(N(I195)&gt;0,N(INDEX('09-أيلول'!$I$2:$I$500,V195))&gt;0,INDEX('09-أيلول'!$F$2:$F$500,V195)=F195),N(I195)/N(INDEX('09-أيلول'!$I$2:$I$500,V195))-1,""))</f>
        <v/>
      </c>
      <c r="AC195" t="str">
        <f>IF(L195="","",IF(AND($AO$2=1,ISNA(MATCH(L195,'11-تشرين الثاني'!$L$2:$L$501,0))),"محذوف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IF(L196="","",IF($AO$1=1,IFERROR(MATCH(L196,'09-أيلول'!$L$2:$L$500,0),0),0))</f>
        <v/>
      </c>
      <c r="W196" t="str">
        <f t="shared" si="71"/>
        <v/>
      </c>
      <c r="X196" s="38" t="str">
        <f>IF(L196="","",IF(V196&gt;0,INDEX('09-أيلول'!$P$2:$P$500,V196),IF($AO$1=1,0,"")))</f>
        <v/>
      </c>
      <c r="Y196" s="38" t="str">
        <f t="shared" si="72"/>
        <v/>
      </c>
      <c r="Z196" s="39" t="str">
        <f>IF(L196="","",IF(V196&gt;0,INDEX('09-أيلول'!$Q$2:$Q$500,V196),IF($AO$1=1,0,"")))</f>
        <v/>
      </c>
      <c r="AA196" s="39" t="str">
        <f t="shared" si="73"/>
        <v/>
      </c>
      <c r="AB196" s="40" t="str">
        <f>IF(OR(L196="",V196=0),"",IF(AND(N(I196)&gt;0,N(INDEX('09-أيلول'!$I$2:$I$500,V196))&gt;0,INDEX('09-أيلول'!$F$2:$F$500,V196)=F196),N(I196)/N(INDEX('09-أيلول'!$I$2:$I$500,V196))-1,""))</f>
        <v/>
      </c>
      <c r="AC196" t="str">
        <f>IF(L196="","",IF(AND($AO$2=1,ISNA(MATCH(L196,'11-تشرين الثاني'!$L$2:$L$501,0))),"محذوف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IF(L197="","",IF($AO$1=1,IFERROR(MATCH(L197,'09-أيلول'!$L$2:$L$500,0),0),0))</f>
        <v/>
      </c>
      <c r="W197" t="str">
        <f t="shared" si="71"/>
        <v/>
      </c>
      <c r="X197" s="38" t="str">
        <f>IF(L197="","",IF(V197&gt;0,INDEX('09-أيلول'!$P$2:$P$500,V197),IF($AO$1=1,0,"")))</f>
        <v/>
      </c>
      <c r="Y197" s="38" t="str">
        <f t="shared" si="72"/>
        <v/>
      </c>
      <c r="Z197" s="39" t="str">
        <f>IF(L197="","",IF(V197&gt;0,INDEX('09-أيلول'!$Q$2:$Q$500,V197),IF($AO$1=1,0,"")))</f>
        <v/>
      </c>
      <c r="AA197" s="39" t="str">
        <f t="shared" si="73"/>
        <v/>
      </c>
      <c r="AB197" s="40" t="str">
        <f>IF(OR(L197="",V197=0),"",IF(AND(N(I197)&gt;0,N(INDEX('09-أيلول'!$I$2:$I$500,V197))&gt;0,INDEX('09-أيلول'!$F$2:$F$500,V197)=F197),N(I197)/N(INDEX('09-أيلول'!$I$2:$I$500,V197))-1,""))</f>
        <v/>
      </c>
      <c r="AC197" t="str">
        <f>IF(L197="","",IF(AND($AO$2=1,ISNA(MATCH(L197,'11-تشرين الثاني'!$L$2:$L$501,0))),"محذوف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IF(L198="","",IF($AO$1=1,IFERROR(MATCH(L198,'09-أيلول'!$L$2:$L$500,0),0),0))</f>
        <v/>
      </c>
      <c r="W198" t="str">
        <f t="shared" si="71"/>
        <v/>
      </c>
      <c r="X198" s="38" t="str">
        <f>IF(L198="","",IF(V198&gt;0,INDEX('09-أيلول'!$P$2:$P$500,V198),IF($AO$1=1,0,"")))</f>
        <v/>
      </c>
      <c r="Y198" s="38" t="str">
        <f t="shared" si="72"/>
        <v/>
      </c>
      <c r="Z198" s="39" t="str">
        <f>IF(L198="","",IF(V198&gt;0,INDEX('09-أيلول'!$Q$2:$Q$500,V198),IF($AO$1=1,0,"")))</f>
        <v/>
      </c>
      <c r="AA198" s="39" t="str">
        <f t="shared" si="73"/>
        <v/>
      </c>
      <c r="AB198" s="40" t="str">
        <f>IF(OR(L198="",V198=0),"",IF(AND(N(I198)&gt;0,N(INDEX('09-أيلول'!$I$2:$I$500,V198))&gt;0,INDEX('09-أيلول'!$F$2:$F$500,V198)=F198),N(I198)/N(INDEX('09-أيلول'!$I$2:$I$500,V198))-1,""))</f>
        <v/>
      </c>
      <c r="AC198" t="str">
        <f>IF(L198="","",IF(AND($AO$2=1,ISNA(MATCH(L198,'11-تشرين الثاني'!$L$2:$L$501,0))),"محذوف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IF(L199="","",IF($AO$1=1,IFERROR(MATCH(L199,'09-أيلول'!$L$2:$L$500,0),0),0))</f>
        <v/>
      </c>
      <c r="W199" t="str">
        <f t="shared" si="71"/>
        <v/>
      </c>
      <c r="X199" s="38" t="str">
        <f>IF(L199="","",IF(V199&gt;0,INDEX('09-أيلول'!$P$2:$P$500,V199),IF($AO$1=1,0,"")))</f>
        <v/>
      </c>
      <c r="Y199" s="38" t="str">
        <f t="shared" si="72"/>
        <v/>
      </c>
      <c r="Z199" s="39" t="str">
        <f>IF(L199="","",IF(V199&gt;0,INDEX('09-أيلول'!$Q$2:$Q$500,V199),IF($AO$1=1,0,"")))</f>
        <v/>
      </c>
      <c r="AA199" s="39" t="str">
        <f t="shared" si="73"/>
        <v/>
      </c>
      <c r="AB199" s="40" t="str">
        <f>IF(OR(L199="",V199=0),"",IF(AND(N(I199)&gt;0,N(INDEX('09-أيلول'!$I$2:$I$500,V199))&gt;0,INDEX('09-أيلول'!$F$2:$F$500,V199)=F199),N(I199)/N(INDEX('09-أيلول'!$I$2:$I$500,V199))-1,""))</f>
        <v/>
      </c>
      <c r="AC199" t="str">
        <f>IF(L199="","",IF(AND($AO$2=1,ISNA(MATCH(L199,'11-تشرين الثاني'!$L$2:$L$501,0))),"محذوف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IF(L200="","",IF($AO$1=1,IFERROR(MATCH(L200,'09-أيلول'!$L$2:$L$500,0),0),0))</f>
        <v/>
      </c>
      <c r="W200" t="str">
        <f t="shared" si="71"/>
        <v/>
      </c>
      <c r="X200" s="38" t="str">
        <f>IF(L200="","",IF(V200&gt;0,INDEX('09-أيلول'!$P$2:$P$500,V200),IF($AO$1=1,0,"")))</f>
        <v/>
      </c>
      <c r="Y200" s="38" t="str">
        <f t="shared" si="72"/>
        <v/>
      </c>
      <c r="Z200" s="39" t="str">
        <f>IF(L200="","",IF(V200&gt;0,INDEX('09-أيلول'!$Q$2:$Q$500,V200),IF($AO$1=1,0,"")))</f>
        <v/>
      </c>
      <c r="AA200" s="39" t="str">
        <f t="shared" si="73"/>
        <v/>
      </c>
      <c r="AB200" s="40" t="str">
        <f>IF(OR(L200="",V200=0),"",IF(AND(N(I200)&gt;0,N(INDEX('09-أيلول'!$I$2:$I$500,V200))&gt;0,INDEX('09-أيلول'!$F$2:$F$500,V200)=F200),N(I200)/N(INDEX('09-أيلول'!$I$2:$I$500,V200))-1,""))</f>
        <v/>
      </c>
      <c r="AC200" t="str">
        <f>IF(L200="","",IF(AND($AO$2=1,ISNA(MATCH(L200,'11-تشرين الثاني'!$L$2:$L$501,0))),"محذوف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IF(L201="","",IF($AO$1=1,IFERROR(MATCH(L201,'09-أيلول'!$L$2:$L$500,0),0),0))</f>
        <v/>
      </c>
      <c r="W201" t="str">
        <f t="shared" si="71"/>
        <v/>
      </c>
      <c r="X201" s="38" t="str">
        <f>IF(L201="","",IF(V201&gt;0,INDEX('09-أيلول'!$P$2:$P$500,V201),IF($AO$1=1,0,"")))</f>
        <v/>
      </c>
      <c r="Y201" s="38" t="str">
        <f t="shared" si="72"/>
        <v/>
      </c>
      <c r="Z201" s="39" t="str">
        <f>IF(L201="","",IF(V201&gt;0,INDEX('09-أيلول'!$Q$2:$Q$500,V201),IF($AO$1=1,0,"")))</f>
        <v/>
      </c>
      <c r="AA201" s="39" t="str">
        <f t="shared" si="73"/>
        <v/>
      </c>
      <c r="AB201" s="40" t="str">
        <f>IF(OR(L201="",V201=0),"",IF(AND(N(I201)&gt;0,N(INDEX('09-أيلول'!$I$2:$I$500,V201))&gt;0,INDEX('09-أيلول'!$F$2:$F$500,V201)=F201),N(I201)/N(INDEX('09-أيلول'!$I$2:$I$500,V201))-1,""))</f>
        <v/>
      </c>
      <c r="AC201" t="str">
        <f>IF(L201="","",IF(AND($AO$2=1,ISNA(MATCH(L201,'11-تشرين الثاني'!$L$2:$L$501,0))),"محذوف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IF(L202="","",IF($AO$1=1,IFERROR(MATCH(L202,'09-أيلول'!$L$2:$L$500,0),0),0))</f>
        <v/>
      </c>
      <c r="W202" t="str">
        <f t="shared" si="71"/>
        <v/>
      </c>
      <c r="X202" s="38" t="str">
        <f>IF(L202="","",IF(V202&gt;0,INDEX('09-أيلول'!$P$2:$P$500,V202),IF($AO$1=1,0,"")))</f>
        <v/>
      </c>
      <c r="Y202" s="38" t="str">
        <f t="shared" si="72"/>
        <v/>
      </c>
      <c r="Z202" s="39" t="str">
        <f>IF(L202="","",IF(V202&gt;0,INDEX('09-أيلول'!$Q$2:$Q$500,V202),IF($AO$1=1,0,"")))</f>
        <v/>
      </c>
      <c r="AA202" s="39" t="str">
        <f t="shared" si="73"/>
        <v/>
      </c>
      <c r="AB202" s="40" t="str">
        <f>IF(OR(L202="",V202=0),"",IF(AND(N(I202)&gt;0,N(INDEX('09-أيلول'!$I$2:$I$500,V202))&gt;0,INDEX('09-أيلول'!$F$2:$F$500,V202)=F202),N(I202)/N(INDEX('09-أيلول'!$I$2:$I$500,V202))-1,""))</f>
        <v/>
      </c>
      <c r="AC202" t="str">
        <f>IF(L202="","",IF(AND($AO$2=1,ISNA(MATCH(L202,'11-تشرين الثاني'!$L$2:$L$501,0))),"محذوف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IF(L203="","",IF($AO$1=1,IFERROR(MATCH(L203,'09-أيلول'!$L$2:$L$500,0),0),0))</f>
        <v/>
      </c>
      <c r="W203" t="str">
        <f t="shared" si="71"/>
        <v/>
      </c>
      <c r="X203" s="38" t="str">
        <f>IF(L203="","",IF(V203&gt;0,INDEX('09-أيلول'!$P$2:$P$500,V203),IF($AO$1=1,0,"")))</f>
        <v/>
      </c>
      <c r="Y203" s="38" t="str">
        <f t="shared" si="72"/>
        <v/>
      </c>
      <c r="Z203" s="39" t="str">
        <f>IF(L203="","",IF(V203&gt;0,INDEX('09-أيلول'!$Q$2:$Q$500,V203),IF($AO$1=1,0,"")))</f>
        <v/>
      </c>
      <c r="AA203" s="39" t="str">
        <f t="shared" si="73"/>
        <v/>
      </c>
      <c r="AB203" s="40" t="str">
        <f>IF(OR(L203="",V203=0),"",IF(AND(N(I203)&gt;0,N(INDEX('09-أيلول'!$I$2:$I$500,V203))&gt;0,INDEX('09-أيلول'!$F$2:$F$500,V203)=F203),N(I203)/N(INDEX('09-أيلول'!$I$2:$I$500,V203))-1,""))</f>
        <v/>
      </c>
      <c r="AC203" t="str">
        <f>IF(L203="","",IF(AND($AO$2=1,ISNA(MATCH(L203,'11-تشرين الثاني'!$L$2:$L$501,0))),"محذوف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IF(L204="","",IF($AO$1=1,IFERROR(MATCH(L204,'09-أيلول'!$L$2:$L$500,0),0),0))</f>
        <v/>
      </c>
      <c r="W204" t="str">
        <f t="shared" si="71"/>
        <v/>
      </c>
      <c r="X204" s="38" t="str">
        <f>IF(L204="","",IF(V204&gt;0,INDEX('09-أيلول'!$P$2:$P$500,V204),IF($AO$1=1,0,"")))</f>
        <v/>
      </c>
      <c r="Y204" s="38" t="str">
        <f t="shared" si="72"/>
        <v/>
      </c>
      <c r="Z204" s="39" t="str">
        <f>IF(L204="","",IF(V204&gt;0,INDEX('09-أيلول'!$Q$2:$Q$500,V204),IF($AO$1=1,0,"")))</f>
        <v/>
      </c>
      <c r="AA204" s="39" t="str">
        <f t="shared" si="73"/>
        <v/>
      </c>
      <c r="AB204" s="40" t="str">
        <f>IF(OR(L204="",V204=0),"",IF(AND(N(I204)&gt;0,N(INDEX('09-أيلول'!$I$2:$I$500,V204))&gt;0,INDEX('09-أيلول'!$F$2:$F$500,V204)=F204),N(I204)/N(INDEX('09-أيلول'!$I$2:$I$500,V204))-1,""))</f>
        <v/>
      </c>
      <c r="AC204" t="str">
        <f>IF(L204="","",IF(AND($AO$2=1,ISNA(MATCH(L204,'11-تشرين الثاني'!$L$2:$L$501,0))),"محذوف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IF(L205="","",IF($AO$1=1,IFERROR(MATCH(L205,'09-أيلول'!$L$2:$L$500,0),0),0))</f>
        <v/>
      </c>
      <c r="W205" t="str">
        <f t="shared" si="71"/>
        <v/>
      </c>
      <c r="X205" s="38" t="str">
        <f>IF(L205="","",IF(V205&gt;0,INDEX('09-أيلول'!$P$2:$P$500,V205),IF($AO$1=1,0,"")))</f>
        <v/>
      </c>
      <c r="Y205" s="38" t="str">
        <f t="shared" si="72"/>
        <v/>
      </c>
      <c r="Z205" s="39" t="str">
        <f>IF(L205="","",IF(V205&gt;0,INDEX('09-أيلول'!$Q$2:$Q$500,V205),IF($AO$1=1,0,"")))</f>
        <v/>
      </c>
      <c r="AA205" s="39" t="str">
        <f t="shared" si="73"/>
        <v/>
      </c>
      <c r="AB205" s="40" t="str">
        <f>IF(OR(L205="",V205=0),"",IF(AND(N(I205)&gt;0,N(INDEX('09-أيلول'!$I$2:$I$500,V205))&gt;0,INDEX('09-أيلول'!$F$2:$F$500,V205)=F205),N(I205)/N(INDEX('09-أيلول'!$I$2:$I$500,V205))-1,""))</f>
        <v/>
      </c>
      <c r="AC205" t="str">
        <f>IF(L205="","",IF(AND($AO$2=1,ISNA(MATCH(L205,'11-تشرين الثاني'!$L$2:$L$501,0))),"محذوف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IF(L206="","",IF($AO$1=1,IFERROR(MATCH(L206,'09-أيلول'!$L$2:$L$500,0),0),0))</f>
        <v/>
      </c>
      <c r="W206" t="str">
        <f t="shared" si="71"/>
        <v/>
      </c>
      <c r="X206" s="38" t="str">
        <f>IF(L206="","",IF(V206&gt;0,INDEX('09-أيلول'!$P$2:$P$500,V206),IF($AO$1=1,0,"")))</f>
        <v/>
      </c>
      <c r="Y206" s="38" t="str">
        <f t="shared" si="72"/>
        <v/>
      </c>
      <c r="Z206" s="39" t="str">
        <f>IF(L206="","",IF(V206&gt;0,INDEX('09-أيلول'!$Q$2:$Q$500,V206),IF($AO$1=1,0,"")))</f>
        <v/>
      </c>
      <c r="AA206" s="39" t="str">
        <f t="shared" si="73"/>
        <v/>
      </c>
      <c r="AB206" s="40" t="str">
        <f>IF(OR(L206="",V206=0),"",IF(AND(N(I206)&gt;0,N(INDEX('09-أيلول'!$I$2:$I$500,V206))&gt;0,INDEX('09-أيلول'!$F$2:$F$500,V206)=F206),N(I206)/N(INDEX('09-أيلول'!$I$2:$I$500,V206))-1,""))</f>
        <v/>
      </c>
      <c r="AC206" t="str">
        <f>IF(L206="","",IF(AND($AO$2=1,ISNA(MATCH(L206,'11-تشرين الثاني'!$L$2:$L$501,0))),"محذوف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IF(L207="","",IF($AO$1=1,IFERROR(MATCH(L207,'09-أيلول'!$L$2:$L$500,0),0),0))</f>
        <v/>
      </c>
      <c r="W207" t="str">
        <f t="shared" si="71"/>
        <v/>
      </c>
      <c r="X207" s="38" t="str">
        <f>IF(L207="","",IF(V207&gt;0,INDEX('09-أيلول'!$P$2:$P$500,V207),IF($AO$1=1,0,"")))</f>
        <v/>
      </c>
      <c r="Y207" s="38" t="str">
        <f t="shared" si="72"/>
        <v/>
      </c>
      <c r="Z207" s="39" t="str">
        <f>IF(L207="","",IF(V207&gt;0,INDEX('09-أيلول'!$Q$2:$Q$500,V207),IF($AO$1=1,0,"")))</f>
        <v/>
      </c>
      <c r="AA207" s="39" t="str">
        <f t="shared" si="73"/>
        <v/>
      </c>
      <c r="AB207" s="40" t="str">
        <f>IF(OR(L207="",V207=0),"",IF(AND(N(I207)&gt;0,N(INDEX('09-أيلول'!$I$2:$I$500,V207))&gt;0,INDEX('09-أيلول'!$F$2:$F$500,V207)=F207),N(I207)/N(INDEX('09-أيلول'!$I$2:$I$500,V207))-1,""))</f>
        <v/>
      </c>
      <c r="AC207" t="str">
        <f>IF(L207="","",IF(AND($AO$2=1,ISNA(MATCH(L207,'11-تشرين الثاني'!$L$2:$L$501,0))),"محذوف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IF(L208="","",IF($AO$1=1,IFERROR(MATCH(L208,'09-أيلول'!$L$2:$L$500,0),0),0))</f>
        <v/>
      </c>
      <c r="W208" t="str">
        <f t="shared" si="71"/>
        <v/>
      </c>
      <c r="X208" s="38" t="str">
        <f>IF(L208="","",IF(V208&gt;0,INDEX('09-أيلول'!$P$2:$P$500,V208),IF($AO$1=1,0,"")))</f>
        <v/>
      </c>
      <c r="Y208" s="38" t="str">
        <f t="shared" si="72"/>
        <v/>
      </c>
      <c r="Z208" s="39" t="str">
        <f>IF(L208="","",IF(V208&gt;0,INDEX('09-أيلول'!$Q$2:$Q$500,V208),IF($AO$1=1,0,"")))</f>
        <v/>
      </c>
      <c r="AA208" s="39" t="str">
        <f t="shared" si="73"/>
        <v/>
      </c>
      <c r="AB208" s="40" t="str">
        <f>IF(OR(L208="",V208=0),"",IF(AND(N(I208)&gt;0,N(INDEX('09-أيلول'!$I$2:$I$500,V208))&gt;0,INDEX('09-أيلول'!$F$2:$F$500,V208)=F208),N(I208)/N(INDEX('09-أيلول'!$I$2:$I$500,V208))-1,""))</f>
        <v/>
      </c>
      <c r="AC208" t="str">
        <f>IF(L208="","",IF(AND($AO$2=1,ISNA(MATCH(L208,'11-تشرين الثاني'!$L$2:$L$501,0))),"محذوف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IF(L209="","",IF($AO$1=1,IFERROR(MATCH(L209,'09-أيلول'!$L$2:$L$500,0),0),0))</f>
        <v/>
      </c>
      <c r="W209" t="str">
        <f t="shared" si="71"/>
        <v/>
      </c>
      <c r="X209" s="38" t="str">
        <f>IF(L209="","",IF(V209&gt;0,INDEX('09-أيلول'!$P$2:$P$500,V209),IF($AO$1=1,0,"")))</f>
        <v/>
      </c>
      <c r="Y209" s="38" t="str">
        <f t="shared" si="72"/>
        <v/>
      </c>
      <c r="Z209" s="39" t="str">
        <f>IF(L209="","",IF(V209&gt;0,INDEX('09-أيلول'!$Q$2:$Q$500,V209),IF($AO$1=1,0,"")))</f>
        <v/>
      </c>
      <c r="AA209" s="39" t="str">
        <f t="shared" si="73"/>
        <v/>
      </c>
      <c r="AB209" s="40" t="str">
        <f>IF(OR(L209="",V209=0),"",IF(AND(N(I209)&gt;0,N(INDEX('09-أيلول'!$I$2:$I$500,V209))&gt;0,INDEX('09-أيلول'!$F$2:$F$500,V209)=F209),N(I209)/N(INDEX('09-أيلول'!$I$2:$I$500,V209))-1,""))</f>
        <v/>
      </c>
      <c r="AC209" t="str">
        <f>IF(L209="","",IF(AND($AO$2=1,ISNA(MATCH(L209,'11-تشرين الثاني'!$L$2:$L$501,0))),"محذوف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IF(L210="","",IF($AO$1=1,IFERROR(MATCH(L210,'09-أيلول'!$L$2:$L$500,0),0),0))</f>
        <v/>
      </c>
      <c r="W210" t="str">
        <f t="shared" si="71"/>
        <v/>
      </c>
      <c r="X210" s="38" t="str">
        <f>IF(L210="","",IF(V210&gt;0,INDEX('09-أيلول'!$P$2:$P$500,V210),IF($AO$1=1,0,"")))</f>
        <v/>
      </c>
      <c r="Y210" s="38" t="str">
        <f t="shared" si="72"/>
        <v/>
      </c>
      <c r="Z210" s="39" t="str">
        <f>IF(L210="","",IF(V210&gt;0,INDEX('09-أيلول'!$Q$2:$Q$500,V210),IF($AO$1=1,0,"")))</f>
        <v/>
      </c>
      <c r="AA210" s="39" t="str">
        <f t="shared" si="73"/>
        <v/>
      </c>
      <c r="AB210" s="40" t="str">
        <f>IF(OR(L210="",V210=0),"",IF(AND(N(I210)&gt;0,N(INDEX('09-أيلول'!$I$2:$I$500,V210))&gt;0,INDEX('09-أيلول'!$F$2:$F$500,V210)=F210),N(I210)/N(INDEX('09-أيلول'!$I$2:$I$500,V210))-1,""))</f>
        <v/>
      </c>
      <c r="AC210" t="str">
        <f>IF(L210="","",IF(AND($AO$2=1,ISNA(MATCH(L210,'11-تشرين الثاني'!$L$2:$L$501,0))),"محذوف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IF(L211="","",IF($AO$1=1,IFERROR(MATCH(L211,'09-أيلول'!$L$2:$L$500,0),0),0))</f>
        <v/>
      </c>
      <c r="W211" t="str">
        <f t="shared" si="71"/>
        <v/>
      </c>
      <c r="X211" s="38" t="str">
        <f>IF(L211="","",IF(V211&gt;0,INDEX('09-أيلول'!$P$2:$P$500,V211),IF($AO$1=1,0,"")))</f>
        <v/>
      </c>
      <c r="Y211" s="38" t="str">
        <f t="shared" si="72"/>
        <v/>
      </c>
      <c r="Z211" s="39" t="str">
        <f>IF(L211="","",IF(V211&gt;0,INDEX('09-أيلول'!$Q$2:$Q$500,V211),IF($AO$1=1,0,"")))</f>
        <v/>
      </c>
      <c r="AA211" s="39" t="str">
        <f t="shared" si="73"/>
        <v/>
      </c>
      <c r="AB211" s="40" t="str">
        <f>IF(OR(L211="",V211=0),"",IF(AND(N(I211)&gt;0,N(INDEX('09-أيلول'!$I$2:$I$500,V211))&gt;0,INDEX('09-أيلول'!$F$2:$F$500,V211)=F211),N(I211)/N(INDEX('09-أيلول'!$I$2:$I$500,V211))-1,""))</f>
        <v/>
      </c>
      <c r="AC211" t="str">
        <f>IF(L211="","",IF(AND($AO$2=1,ISNA(MATCH(L211,'11-تشرين الثاني'!$L$2:$L$501,0))),"محذوف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IF(L212="","",IF($AO$1=1,IFERROR(MATCH(L212,'09-أيلول'!$L$2:$L$500,0),0),0))</f>
        <v/>
      </c>
      <c r="W212" t="str">
        <f t="shared" si="71"/>
        <v/>
      </c>
      <c r="X212" s="38" t="str">
        <f>IF(L212="","",IF(V212&gt;0,INDEX('09-أيلول'!$P$2:$P$500,V212),IF($AO$1=1,0,"")))</f>
        <v/>
      </c>
      <c r="Y212" s="38" t="str">
        <f t="shared" si="72"/>
        <v/>
      </c>
      <c r="Z212" s="39" t="str">
        <f>IF(L212="","",IF(V212&gt;0,INDEX('09-أيلول'!$Q$2:$Q$500,V212),IF($AO$1=1,0,"")))</f>
        <v/>
      </c>
      <c r="AA212" s="39" t="str">
        <f t="shared" si="73"/>
        <v/>
      </c>
      <c r="AB212" s="40" t="str">
        <f>IF(OR(L212="",V212=0),"",IF(AND(N(I212)&gt;0,N(INDEX('09-أيلول'!$I$2:$I$500,V212))&gt;0,INDEX('09-أيلول'!$F$2:$F$500,V212)=F212),N(I212)/N(INDEX('09-أيلول'!$I$2:$I$500,V212))-1,""))</f>
        <v/>
      </c>
      <c r="AC212" t="str">
        <f>IF(L212="","",IF(AND($AO$2=1,ISNA(MATCH(L212,'11-تشرين الثاني'!$L$2:$L$501,0))),"محذوف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IF(L213="","",IF($AO$1=1,IFERROR(MATCH(L213,'09-أيلول'!$L$2:$L$500,0),0),0))</f>
        <v/>
      </c>
      <c r="W213" t="str">
        <f t="shared" si="71"/>
        <v/>
      </c>
      <c r="X213" s="38" t="str">
        <f>IF(L213="","",IF(V213&gt;0,INDEX('09-أيلول'!$P$2:$P$500,V213),IF($AO$1=1,0,"")))</f>
        <v/>
      </c>
      <c r="Y213" s="38" t="str">
        <f t="shared" si="72"/>
        <v/>
      </c>
      <c r="Z213" s="39" t="str">
        <f>IF(L213="","",IF(V213&gt;0,INDEX('09-أيلول'!$Q$2:$Q$500,V213),IF($AO$1=1,0,"")))</f>
        <v/>
      </c>
      <c r="AA213" s="39" t="str">
        <f t="shared" si="73"/>
        <v/>
      </c>
      <c r="AB213" s="40" t="str">
        <f>IF(OR(L213="",V213=0),"",IF(AND(N(I213)&gt;0,N(INDEX('09-أيلول'!$I$2:$I$500,V213))&gt;0,INDEX('09-أيلول'!$F$2:$F$500,V213)=F213),N(I213)/N(INDEX('09-أيلول'!$I$2:$I$500,V213))-1,""))</f>
        <v/>
      </c>
      <c r="AC213" t="str">
        <f>IF(L213="","",IF(AND($AO$2=1,ISNA(MATCH(L213,'11-تشرين الثاني'!$L$2:$L$501,0))),"محذوف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IF(L214="","",IF($AO$1=1,IFERROR(MATCH(L214,'09-أيلول'!$L$2:$L$500,0),0),0))</f>
        <v/>
      </c>
      <c r="W214" t="str">
        <f t="shared" si="71"/>
        <v/>
      </c>
      <c r="X214" s="38" t="str">
        <f>IF(L214="","",IF(V214&gt;0,INDEX('09-أيلول'!$P$2:$P$500,V214),IF($AO$1=1,0,"")))</f>
        <v/>
      </c>
      <c r="Y214" s="38" t="str">
        <f t="shared" si="72"/>
        <v/>
      </c>
      <c r="Z214" s="39" t="str">
        <f>IF(L214="","",IF(V214&gt;0,INDEX('09-أيلول'!$Q$2:$Q$500,V214),IF($AO$1=1,0,"")))</f>
        <v/>
      </c>
      <c r="AA214" s="39" t="str">
        <f t="shared" si="73"/>
        <v/>
      </c>
      <c r="AB214" s="40" t="str">
        <f>IF(OR(L214="",V214=0),"",IF(AND(N(I214)&gt;0,N(INDEX('09-أيلول'!$I$2:$I$500,V214))&gt;0,INDEX('09-أيلول'!$F$2:$F$500,V214)=F214),N(I214)/N(INDEX('09-أيلول'!$I$2:$I$500,V214))-1,""))</f>
        <v/>
      </c>
      <c r="AC214" t="str">
        <f>IF(L214="","",IF(AND($AO$2=1,ISNA(MATCH(L214,'11-تشرين الثاني'!$L$2:$L$501,0))),"محذوف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IF(L215="","",IF($AO$1=1,IFERROR(MATCH(L215,'09-أيلول'!$L$2:$L$500,0),0),0))</f>
        <v/>
      </c>
      <c r="W215" t="str">
        <f t="shared" si="71"/>
        <v/>
      </c>
      <c r="X215" s="38" t="str">
        <f>IF(L215="","",IF(V215&gt;0,INDEX('09-أيلول'!$P$2:$P$500,V215),IF($AO$1=1,0,"")))</f>
        <v/>
      </c>
      <c r="Y215" s="38" t="str">
        <f t="shared" si="72"/>
        <v/>
      </c>
      <c r="Z215" s="39" t="str">
        <f>IF(L215="","",IF(V215&gt;0,INDEX('09-أيلول'!$Q$2:$Q$500,V215),IF($AO$1=1,0,"")))</f>
        <v/>
      </c>
      <c r="AA215" s="39" t="str">
        <f t="shared" si="73"/>
        <v/>
      </c>
      <c r="AB215" s="40" t="str">
        <f>IF(OR(L215="",V215=0),"",IF(AND(N(I215)&gt;0,N(INDEX('09-أيلول'!$I$2:$I$500,V215))&gt;0,INDEX('09-أيلول'!$F$2:$F$500,V215)=F215),N(I215)/N(INDEX('09-أيلول'!$I$2:$I$500,V215))-1,""))</f>
        <v/>
      </c>
      <c r="AC215" t="str">
        <f>IF(L215="","",IF(AND($AO$2=1,ISNA(MATCH(L215,'11-تشرين الثاني'!$L$2:$L$501,0))),"محذوف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IF(L216="","",IF($AO$1=1,IFERROR(MATCH(L216,'09-أيلول'!$L$2:$L$500,0),0),0))</f>
        <v/>
      </c>
      <c r="W216" t="str">
        <f t="shared" si="71"/>
        <v/>
      </c>
      <c r="X216" s="38" t="str">
        <f>IF(L216="","",IF(V216&gt;0,INDEX('09-أيلول'!$P$2:$P$500,V216),IF($AO$1=1,0,"")))</f>
        <v/>
      </c>
      <c r="Y216" s="38" t="str">
        <f t="shared" si="72"/>
        <v/>
      </c>
      <c r="Z216" s="39" t="str">
        <f>IF(L216="","",IF(V216&gt;0,INDEX('09-أيلول'!$Q$2:$Q$500,V216),IF($AO$1=1,0,"")))</f>
        <v/>
      </c>
      <c r="AA216" s="39" t="str">
        <f t="shared" si="73"/>
        <v/>
      </c>
      <c r="AB216" s="40" t="str">
        <f>IF(OR(L216="",V216=0),"",IF(AND(N(I216)&gt;0,N(INDEX('09-أيلول'!$I$2:$I$500,V216))&gt;0,INDEX('09-أيلول'!$F$2:$F$500,V216)=F216),N(I216)/N(INDEX('09-أيلول'!$I$2:$I$500,V216))-1,""))</f>
        <v/>
      </c>
      <c r="AC216" t="str">
        <f>IF(L216="","",IF(AND($AO$2=1,ISNA(MATCH(L216,'11-تشرين الثاني'!$L$2:$L$501,0))),"محذوف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IF(L217="","",IF($AO$1=1,IFERROR(MATCH(L217,'09-أيلول'!$L$2:$L$500,0),0),0))</f>
        <v/>
      </c>
      <c r="W217" t="str">
        <f t="shared" si="71"/>
        <v/>
      </c>
      <c r="X217" s="38" t="str">
        <f>IF(L217="","",IF(V217&gt;0,INDEX('09-أيلول'!$P$2:$P$500,V217),IF($AO$1=1,0,"")))</f>
        <v/>
      </c>
      <c r="Y217" s="38" t="str">
        <f t="shared" si="72"/>
        <v/>
      </c>
      <c r="Z217" s="39" t="str">
        <f>IF(L217="","",IF(V217&gt;0,INDEX('09-أيلول'!$Q$2:$Q$500,V217),IF($AO$1=1,0,"")))</f>
        <v/>
      </c>
      <c r="AA217" s="39" t="str">
        <f t="shared" si="73"/>
        <v/>
      </c>
      <c r="AB217" s="40" t="str">
        <f>IF(OR(L217="",V217=0),"",IF(AND(N(I217)&gt;0,N(INDEX('09-أيلول'!$I$2:$I$500,V217))&gt;0,INDEX('09-أيلول'!$F$2:$F$500,V217)=F217),N(I217)/N(INDEX('09-أيلول'!$I$2:$I$500,V217))-1,""))</f>
        <v/>
      </c>
      <c r="AC217" t="str">
        <f>IF(L217="","",IF(AND($AO$2=1,ISNA(MATCH(L217,'11-تشرين الثاني'!$L$2:$L$501,0))),"محذوف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IF(L218="","",IF($AO$1=1,IFERROR(MATCH(L218,'09-أيلول'!$L$2:$L$500,0),0),0))</f>
        <v/>
      </c>
      <c r="W218" t="str">
        <f t="shared" si="71"/>
        <v/>
      </c>
      <c r="X218" s="38" t="str">
        <f>IF(L218="","",IF(V218&gt;0,INDEX('09-أيلول'!$P$2:$P$500,V218),IF($AO$1=1,0,"")))</f>
        <v/>
      </c>
      <c r="Y218" s="38" t="str">
        <f t="shared" si="72"/>
        <v/>
      </c>
      <c r="Z218" s="39" t="str">
        <f>IF(L218="","",IF(V218&gt;0,INDEX('09-أيلول'!$Q$2:$Q$500,V218),IF($AO$1=1,0,"")))</f>
        <v/>
      </c>
      <c r="AA218" s="39" t="str">
        <f t="shared" si="73"/>
        <v/>
      </c>
      <c r="AB218" s="40" t="str">
        <f>IF(OR(L218="",V218=0),"",IF(AND(N(I218)&gt;0,N(INDEX('09-أيلول'!$I$2:$I$500,V218))&gt;0,INDEX('09-أيلول'!$F$2:$F$500,V218)=F218),N(I218)/N(INDEX('09-أيلول'!$I$2:$I$500,V218))-1,""))</f>
        <v/>
      </c>
      <c r="AC218" t="str">
        <f>IF(L218="","",IF(AND($AO$2=1,ISNA(MATCH(L218,'11-تشرين الثاني'!$L$2:$L$501,0))),"محذوف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IF(L219="","",IF($AO$1=1,IFERROR(MATCH(L219,'09-أيلول'!$L$2:$L$500,0),0),0))</f>
        <v/>
      </c>
      <c r="W219" t="str">
        <f t="shared" si="71"/>
        <v/>
      </c>
      <c r="X219" s="38" t="str">
        <f>IF(L219="","",IF(V219&gt;0,INDEX('09-أيلول'!$P$2:$P$500,V219),IF($AO$1=1,0,"")))</f>
        <v/>
      </c>
      <c r="Y219" s="38" t="str">
        <f t="shared" si="72"/>
        <v/>
      </c>
      <c r="Z219" s="39" t="str">
        <f>IF(L219="","",IF(V219&gt;0,INDEX('09-أيلول'!$Q$2:$Q$500,V219),IF($AO$1=1,0,"")))</f>
        <v/>
      </c>
      <c r="AA219" s="39" t="str">
        <f t="shared" si="73"/>
        <v/>
      </c>
      <c r="AB219" s="40" t="str">
        <f>IF(OR(L219="",V219=0),"",IF(AND(N(I219)&gt;0,N(INDEX('09-أيلول'!$I$2:$I$500,V219))&gt;0,INDEX('09-أيلول'!$F$2:$F$500,V219)=F219),N(I219)/N(INDEX('09-أيلول'!$I$2:$I$500,V219))-1,""))</f>
        <v/>
      </c>
      <c r="AC219" t="str">
        <f>IF(L219="","",IF(AND($AO$2=1,ISNA(MATCH(L219,'11-تشرين الثاني'!$L$2:$L$501,0))),"محذوف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IF(L220="","",IF($AO$1=1,IFERROR(MATCH(L220,'09-أيلول'!$L$2:$L$500,0),0),0))</f>
        <v/>
      </c>
      <c r="W220" t="str">
        <f t="shared" si="71"/>
        <v/>
      </c>
      <c r="X220" s="38" t="str">
        <f>IF(L220="","",IF(V220&gt;0,INDEX('09-أيلول'!$P$2:$P$500,V220),IF($AO$1=1,0,"")))</f>
        <v/>
      </c>
      <c r="Y220" s="38" t="str">
        <f t="shared" si="72"/>
        <v/>
      </c>
      <c r="Z220" s="39" t="str">
        <f>IF(L220="","",IF(V220&gt;0,INDEX('09-أيلول'!$Q$2:$Q$500,V220),IF($AO$1=1,0,"")))</f>
        <v/>
      </c>
      <c r="AA220" s="39" t="str">
        <f t="shared" si="73"/>
        <v/>
      </c>
      <c r="AB220" s="40" t="str">
        <f>IF(OR(L220="",V220=0),"",IF(AND(N(I220)&gt;0,N(INDEX('09-أيلول'!$I$2:$I$500,V220))&gt;0,INDEX('09-أيلول'!$F$2:$F$500,V220)=F220),N(I220)/N(INDEX('09-أيلول'!$I$2:$I$500,V220))-1,""))</f>
        <v/>
      </c>
      <c r="AC220" t="str">
        <f>IF(L220="","",IF(AND($AO$2=1,ISNA(MATCH(L220,'11-تشرين الثاني'!$L$2:$L$501,0))),"محذوف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IF(L221="","",IF($AO$1=1,IFERROR(MATCH(L221,'09-أيلول'!$L$2:$L$500,0),0),0))</f>
        <v/>
      </c>
      <c r="W221" t="str">
        <f t="shared" si="71"/>
        <v/>
      </c>
      <c r="X221" s="38" t="str">
        <f>IF(L221="","",IF(V221&gt;0,INDEX('09-أيلول'!$P$2:$P$500,V221),IF($AO$1=1,0,"")))</f>
        <v/>
      </c>
      <c r="Y221" s="38" t="str">
        <f t="shared" si="72"/>
        <v/>
      </c>
      <c r="Z221" s="39" t="str">
        <f>IF(L221="","",IF(V221&gt;0,INDEX('09-أيلول'!$Q$2:$Q$500,V221),IF($AO$1=1,0,"")))</f>
        <v/>
      </c>
      <c r="AA221" s="39" t="str">
        <f t="shared" si="73"/>
        <v/>
      </c>
      <c r="AB221" s="40" t="str">
        <f>IF(OR(L221="",V221=0),"",IF(AND(N(I221)&gt;0,N(INDEX('09-أيلول'!$I$2:$I$500,V221))&gt;0,INDEX('09-أيلول'!$F$2:$F$500,V221)=F221),N(I221)/N(INDEX('09-أيلول'!$I$2:$I$500,V221))-1,""))</f>
        <v/>
      </c>
      <c r="AC221" t="str">
        <f>IF(L221="","",IF(AND($AO$2=1,ISNA(MATCH(L221,'11-تشرين الثاني'!$L$2:$L$501,0))),"محذوف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IF(L222="","",IF($AO$1=1,IFERROR(MATCH(L222,'09-أيلول'!$L$2:$L$500,0),0),0))</f>
        <v/>
      </c>
      <c r="W222" t="str">
        <f t="shared" si="71"/>
        <v/>
      </c>
      <c r="X222" s="38" t="str">
        <f>IF(L222="","",IF(V222&gt;0,INDEX('09-أيلول'!$P$2:$P$500,V222),IF($AO$1=1,0,"")))</f>
        <v/>
      </c>
      <c r="Y222" s="38" t="str">
        <f t="shared" si="72"/>
        <v/>
      </c>
      <c r="Z222" s="39" t="str">
        <f>IF(L222="","",IF(V222&gt;0,INDEX('09-أيلول'!$Q$2:$Q$500,V222),IF($AO$1=1,0,"")))</f>
        <v/>
      </c>
      <c r="AA222" s="39" t="str">
        <f t="shared" si="73"/>
        <v/>
      </c>
      <c r="AB222" s="40" t="str">
        <f>IF(OR(L222="",V222=0),"",IF(AND(N(I222)&gt;0,N(INDEX('09-أيلول'!$I$2:$I$500,V222))&gt;0,INDEX('09-أيلول'!$F$2:$F$500,V222)=F222),N(I222)/N(INDEX('09-أيلول'!$I$2:$I$500,V222))-1,""))</f>
        <v/>
      </c>
      <c r="AC222" t="str">
        <f>IF(L222="","",IF(AND($AO$2=1,ISNA(MATCH(L222,'11-تشرين الثاني'!$L$2:$L$501,0))),"محذوف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IF(L223="","",IF($AO$1=1,IFERROR(MATCH(L223,'09-أيلول'!$L$2:$L$500,0),0),0))</f>
        <v/>
      </c>
      <c r="W223" t="str">
        <f t="shared" si="71"/>
        <v/>
      </c>
      <c r="X223" s="38" t="str">
        <f>IF(L223="","",IF(V223&gt;0,INDEX('09-أيلول'!$P$2:$P$500,V223),IF($AO$1=1,0,"")))</f>
        <v/>
      </c>
      <c r="Y223" s="38" t="str">
        <f t="shared" si="72"/>
        <v/>
      </c>
      <c r="Z223" s="39" t="str">
        <f>IF(L223="","",IF(V223&gt;0,INDEX('09-أيلول'!$Q$2:$Q$500,V223),IF($AO$1=1,0,"")))</f>
        <v/>
      </c>
      <c r="AA223" s="39" t="str">
        <f t="shared" si="73"/>
        <v/>
      </c>
      <c r="AB223" s="40" t="str">
        <f>IF(OR(L223="",V223=0),"",IF(AND(N(I223)&gt;0,N(INDEX('09-أيلول'!$I$2:$I$500,V223))&gt;0,INDEX('09-أيلول'!$F$2:$F$500,V223)=F223),N(I223)/N(INDEX('09-أيلول'!$I$2:$I$500,V223))-1,""))</f>
        <v/>
      </c>
      <c r="AC223" t="str">
        <f>IF(L223="","",IF(AND($AO$2=1,ISNA(MATCH(L223,'11-تشرين الثاني'!$L$2:$L$501,0))),"محذوف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IF(L224="","",IF($AO$1=1,IFERROR(MATCH(L224,'09-أيلول'!$L$2:$L$500,0),0),0))</f>
        <v/>
      </c>
      <c r="W224" t="str">
        <f t="shared" si="71"/>
        <v/>
      </c>
      <c r="X224" s="38" t="str">
        <f>IF(L224="","",IF(V224&gt;0,INDEX('09-أيلول'!$P$2:$P$500,V224),IF($AO$1=1,0,"")))</f>
        <v/>
      </c>
      <c r="Y224" s="38" t="str">
        <f t="shared" si="72"/>
        <v/>
      </c>
      <c r="Z224" s="39" t="str">
        <f>IF(L224="","",IF(V224&gt;0,INDEX('09-أيلول'!$Q$2:$Q$500,V224),IF($AO$1=1,0,"")))</f>
        <v/>
      </c>
      <c r="AA224" s="39" t="str">
        <f t="shared" si="73"/>
        <v/>
      </c>
      <c r="AB224" s="40" t="str">
        <f>IF(OR(L224="",V224=0),"",IF(AND(N(I224)&gt;0,N(INDEX('09-أيلول'!$I$2:$I$500,V224))&gt;0,INDEX('09-أيلول'!$F$2:$F$500,V224)=F224),N(I224)/N(INDEX('09-أيلول'!$I$2:$I$500,V224))-1,""))</f>
        <v/>
      </c>
      <c r="AC224" t="str">
        <f>IF(L224="","",IF(AND($AO$2=1,ISNA(MATCH(L224,'11-تشرين الثاني'!$L$2:$L$501,0))),"محذوف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IF(L225="","",IF($AO$1=1,IFERROR(MATCH(L225,'09-أيلول'!$L$2:$L$500,0),0),0))</f>
        <v/>
      </c>
      <c r="W225" t="str">
        <f t="shared" si="71"/>
        <v/>
      </c>
      <c r="X225" s="38" t="str">
        <f>IF(L225="","",IF(V225&gt;0,INDEX('09-أيلول'!$P$2:$P$500,V225),IF($AO$1=1,0,"")))</f>
        <v/>
      </c>
      <c r="Y225" s="38" t="str">
        <f t="shared" si="72"/>
        <v/>
      </c>
      <c r="Z225" s="39" t="str">
        <f>IF(L225="","",IF(V225&gt;0,INDEX('09-أيلول'!$Q$2:$Q$500,V225),IF($AO$1=1,0,"")))</f>
        <v/>
      </c>
      <c r="AA225" s="39" t="str">
        <f t="shared" si="73"/>
        <v/>
      </c>
      <c r="AB225" s="40" t="str">
        <f>IF(OR(L225="",V225=0),"",IF(AND(N(I225)&gt;0,N(INDEX('09-أيلول'!$I$2:$I$500,V225))&gt;0,INDEX('09-أيلول'!$F$2:$F$500,V225)=F225),N(I225)/N(INDEX('09-أيلول'!$I$2:$I$500,V225))-1,""))</f>
        <v/>
      </c>
      <c r="AC225" t="str">
        <f>IF(L225="","",IF(AND($AO$2=1,ISNA(MATCH(L225,'11-تشرين الثاني'!$L$2:$L$501,0))),"محذوف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IF(L226="","",IF($AO$1=1,IFERROR(MATCH(L226,'09-أيلول'!$L$2:$L$500,0),0),0))</f>
        <v/>
      </c>
      <c r="W226" t="str">
        <f t="shared" si="71"/>
        <v/>
      </c>
      <c r="X226" s="38" t="str">
        <f>IF(L226="","",IF(V226&gt;0,INDEX('09-أيلول'!$P$2:$P$500,V226),IF($AO$1=1,0,"")))</f>
        <v/>
      </c>
      <c r="Y226" s="38" t="str">
        <f t="shared" si="72"/>
        <v/>
      </c>
      <c r="Z226" s="39" t="str">
        <f>IF(L226="","",IF(V226&gt;0,INDEX('09-أيلول'!$Q$2:$Q$500,V226),IF($AO$1=1,0,"")))</f>
        <v/>
      </c>
      <c r="AA226" s="39" t="str">
        <f t="shared" si="73"/>
        <v/>
      </c>
      <c r="AB226" s="40" t="str">
        <f>IF(OR(L226="",V226=0),"",IF(AND(N(I226)&gt;0,N(INDEX('09-أيلول'!$I$2:$I$500,V226))&gt;0,INDEX('09-أيلول'!$F$2:$F$500,V226)=F226),N(I226)/N(INDEX('09-أيلول'!$I$2:$I$500,V226))-1,""))</f>
        <v/>
      </c>
      <c r="AC226" t="str">
        <f>IF(L226="","",IF(AND($AO$2=1,ISNA(MATCH(L226,'11-تشرين الثاني'!$L$2:$L$501,0))),"محذوف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IF(L227="","",IF($AO$1=1,IFERROR(MATCH(L227,'09-أيلول'!$L$2:$L$500,0),0),0))</f>
        <v/>
      </c>
      <c r="W227" t="str">
        <f t="shared" si="71"/>
        <v/>
      </c>
      <c r="X227" s="38" t="str">
        <f>IF(L227="","",IF(V227&gt;0,INDEX('09-أيلول'!$P$2:$P$500,V227),IF($AO$1=1,0,"")))</f>
        <v/>
      </c>
      <c r="Y227" s="38" t="str">
        <f t="shared" si="72"/>
        <v/>
      </c>
      <c r="Z227" s="39" t="str">
        <f>IF(L227="","",IF(V227&gt;0,INDEX('09-أيلول'!$Q$2:$Q$500,V227),IF($AO$1=1,0,"")))</f>
        <v/>
      </c>
      <c r="AA227" s="39" t="str">
        <f t="shared" si="73"/>
        <v/>
      </c>
      <c r="AB227" s="40" t="str">
        <f>IF(OR(L227="",V227=0),"",IF(AND(N(I227)&gt;0,N(INDEX('09-أيلول'!$I$2:$I$500,V227))&gt;0,INDEX('09-أيلول'!$F$2:$F$500,V227)=F227),N(I227)/N(INDEX('09-أيلول'!$I$2:$I$500,V227))-1,""))</f>
        <v/>
      </c>
      <c r="AC227" t="str">
        <f>IF(L227="","",IF(AND($AO$2=1,ISNA(MATCH(L227,'11-تشرين الثاني'!$L$2:$L$501,0))),"محذوف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IF(L228="","",IF($AO$1=1,IFERROR(MATCH(L228,'09-أيلول'!$L$2:$L$500,0),0),0))</f>
        <v/>
      </c>
      <c r="W228" t="str">
        <f t="shared" si="71"/>
        <v/>
      </c>
      <c r="X228" s="38" t="str">
        <f>IF(L228="","",IF(V228&gt;0,INDEX('09-أيلول'!$P$2:$P$500,V228),IF($AO$1=1,0,"")))</f>
        <v/>
      </c>
      <c r="Y228" s="38" t="str">
        <f t="shared" si="72"/>
        <v/>
      </c>
      <c r="Z228" s="39" t="str">
        <f>IF(L228="","",IF(V228&gt;0,INDEX('09-أيلول'!$Q$2:$Q$500,V228),IF($AO$1=1,0,"")))</f>
        <v/>
      </c>
      <c r="AA228" s="39" t="str">
        <f t="shared" si="73"/>
        <v/>
      </c>
      <c r="AB228" s="40" t="str">
        <f>IF(OR(L228="",V228=0),"",IF(AND(N(I228)&gt;0,N(INDEX('09-أيلول'!$I$2:$I$500,V228))&gt;0,INDEX('09-أيلول'!$F$2:$F$500,V228)=F228),N(I228)/N(INDEX('09-أيلول'!$I$2:$I$500,V228))-1,""))</f>
        <v/>
      </c>
      <c r="AC228" t="str">
        <f>IF(L228="","",IF(AND($AO$2=1,ISNA(MATCH(L228,'11-تشرين الثاني'!$L$2:$L$501,0))),"محذوف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IF(L229="","",IF($AO$1=1,IFERROR(MATCH(L229,'09-أيلول'!$L$2:$L$500,0),0),0))</f>
        <v/>
      </c>
      <c r="W229" t="str">
        <f t="shared" si="71"/>
        <v/>
      </c>
      <c r="X229" s="38" t="str">
        <f>IF(L229="","",IF(V229&gt;0,INDEX('09-أيلول'!$P$2:$P$500,V229),IF($AO$1=1,0,"")))</f>
        <v/>
      </c>
      <c r="Y229" s="38" t="str">
        <f t="shared" si="72"/>
        <v/>
      </c>
      <c r="Z229" s="39" t="str">
        <f>IF(L229="","",IF(V229&gt;0,INDEX('09-أيلول'!$Q$2:$Q$500,V229),IF($AO$1=1,0,"")))</f>
        <v/>
      </c>
      <c r="AA229" s="39" t="str">
        <f t="shared" si="73"/>
        <v/>
      </c>
      <c r="AB229" s="40" t="str">
        <f>IF(OR(L229="",V229=0),"",IF(AND(N(I229)&gt;0,N(INDEX('09-أيلول'!$I$2:$I$500,V229))&gt;0,INDEX('09-أيلول'!$F$2:$F$500,V229)=F229),N(I229)/N(INDEX('09-أيلول'!$I$2:$I$500,V229))-1,""))</f>
        <v/>
      </c>
      <c r="AC229" t="str">
        <f>IF(L229="","",IF(AND($AO$2=1,ISNA(MATCH(L229,'11-تشرين الثاني'!$L$2:$L$501,0))),"محذوف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IF(L230="","",IF($AO$1=1,IFERROR(MATCH(L230,'09-أيلول'!$L$2:$L$500,0),0),0))</f>
        <v/>
      </c>
      <c r="W230" t="str">
        <f t="shared" si="71"/>
        <v/>
      </c>
      <c r="X230" s="38" t="str">
        <f>IF(L230="","",IF(V230&gt;0,INDEX('09-أيلول'!$P$2:$P$500,V230),IF($AO$1=1,0,"")))</f>
        <v/>
      </c>
      <c r="Y230" s="38" t="str">
        <f t="shared" si="72"/>
        <v/>
      </c>
      <c r="Z230" s="39" t="str">
        <f>IF(L230="","",IF(V230&gt;0,INDEX('09-أيلول'!$Q$2:$Q$500,V230),IF($AO$1=1,0,"")))</f>
        <v/>
      </c>
      <c r="AA230" s="39" t="str">
        <f t="shared" si="73"/>
        <v/>
      </c>
      <c r="AB230" s="40" t="str">
        <f>IF(OR(L230="",V230=0),"",IF(AND(N(I230)&gt;0,N(INDEX('09-أيلول'!$I$2:$I$500,V230))&gt;0,INDEX('09-أيلول'!$F$2:$F$500,V230)=F230),N(I230)/N(INDEX('09-أيلول'!$I$2:$I$500,V230))-1,""))</f>
        <v/>
      </c>
      <c r="AC230" t="str">
        <f>IF(L230="","",IF(AND($AO$2=1,ISNA(MATCH(L230,'11-تشرين الثاني'!$L$2:$L$501,0))),"محذوف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IF(L231="","",IF($AO$1=1,IFERROR(MATCH(L231,'09-أيلول'!$L$2:$L$500,0),0),0))</f>
        <v/>
      </c>
      <c r="W231" t="str">
        <f t="shared" si="71"/>
        <v/>
      </c>
      <c r="X231" s="38" t="str">
        <f>IF(L231="","",IF(V231&gt;0,INDEX('09-أيلول'!$P$2:$P$500,V231),IF($AO$1=1,0,"")))</f>
        <v/>
      </c>
      <c r="Y231" s="38" t="str">
        <f t="shared" si="72"/>
        <v/>
      </c>
      <c r="Z231" s="39" t="str">
        <f>IF(L231="","",IF(V231&gt;0,INDEX('09-أيلول'!$Q$2:$Q$500,V231),IF($AO$1=1,0,"")))</f>
        <v/>
      </c>
      <c r="AA231" s="39" t="str">
        <f t="shared" si="73"/>
        <v/>
      </c>
      <c r="AB231" s="40" t="str">
        <f>IF(OR(L231="",V231=0),"",IF(AND(N(I231)&gt;0,N(INDEX('09-أيلول'!$I$2:$I$500,V231))&gt;0,INDEX('09-أيلول'!$F$2:$F$500,V231)=F231),N(I231)/N(INDEX('09-أيلول'!$I$2:$I$500,V231))-1,""))</f>
        <v/>
      </c>
      <c r="AC231" t="str">
        <f>IF(L231="","",IF(AND($AO$2=1,ISNA(MATCH(L231,'11-تشرين الثاني'!$L$2:$L$501,0))),"محذوف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IF(L232="","",IF($AO$1=1,IFERROR(MATCH(L232,'09-أيلول'!$L$2:$L$500,0),0),0))</f>
        <v/>
      </c>
      <c r="W232" t="str">
        <f t="shared" si="71"/>
        <v/>
      </c>
      <c r="X232" s="38" t="str">
        <f>IF(L232="","",IF(V232&gt;0,INDEX('09-أيلول'!$P$2:$P$500,V232),IF($AO$1=1,0,"")))</f>
        <v/>
      </c>
      <c r="Y232" s="38" t="str">
        <f t="shared" si="72"/>
        <v/>
      </c>
      <c r="Z232" s="39" t="str">
        <f>IF(L232="","",IF(V232&gt;0,INDEX('09-أيلول'!$Q$2:$Q$500,V232),IF($AO$1=1,0,"")))</f>
        <v/>
      </c>
      <c r="AA232" s="39" t="str">
        <f t="shared" si="73"/>
        <v/>
      </c>
      <c r="AB232" s="40" t="str">
        <f>IF(OR(L232="",V232=0),"",IF(AND(N(I232)&gt;0,N(INDEX('09-أيلول'!$I$2:$I$500,V232))&gt;0,INDEX('09-أيلول'!$F$2:$F$500,V232)=F232),N(I232)/N(INDEX('09-أيلول'!$I$2:$I$500,V232))-1,""))</f>
        <v/>
      </c>
      <c r="AC232" t="str">
        <f>IF(L232="","",IF(AND($AO$2=1,ISNA(MATCH(L232,'11-تشرين الثاني'!$L$2:$L$501,0))),"محذوف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IF(L233="","",IF($AO$1=1,IFERROR(MATCH(L233,'09-أيلول'!$L$2:$L$500,0),0),0))</f>
        <v/>
      </c>
      <c r="W233" t="str">
        <f t="shared" si="71"/>
        <v/>
      </c>
      <c r="X233" s="38" t="str">
        <f>IF(L233="","",IF(V233&gt;0,INDEX('09-أيلول'!$P$2:$P$500,V233),IF($AO$1=1,0,"")))</f>
        <v/>
      </c>
      <c r="Y233" s="38" t="str">
        <f t="shared" si="72"/>
        <v/>
      </c>
      <c r="Z233" s="39" t="str">
        <f>IF(L233="","",IF(V233&gt;0,INDEX('09-أيلول'!$Q$2:$Q$500,V233),IF($AO$1=1,0,"")))</f>
        <v/>
      </c>
      <c r="AA233" s="39" t="str">
        <f t="shared" si="73"/>
        <v/>
      </c>
      <c r="AB233" s="40" t="str">
        <f>IF(OR(L233="",V233=0),"",IF(AND(N(I233)&gt;0,N(INDEX('09-أيلول'!$I$2:$I$500,V233))&gt;0,INDEX('09-أيلول'!$F$2:$F$500,V233)=F233),N(I233)/N(INDEX('09-أيلول'!$I$2:$I$500,V233))-1,""))</f>
        <v/>
      </c>
      <c r="AC233" t="str">
        <f>IF(L233="","",IF(AND($AO$2=1,ISNA(MATCH(L233,'11-تشرين الثاني'!$L$2:$L$501,0))),"محذوف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IF(L234="","",IF($AO$1=1,IFERROR(MATCH(L234,'09-أيلول'!$L$2:$L$500,0),0),0))</f>
        <v/>
      </c>
      <c r="W234" t="str">
        <f t="shared" si="71"/>
        <v/>
      </c>
      <c r="X234" s="38" t="str">
        <f>IF(L234="","",IF(V234&gt;0,INDEX('09-أيلول'!$P$2:$P$500,V234),IF($AO$1=1,0,"")))</f>
        <v/>
      </c>
      <c r="Y234" s="38" t="str">
        <f t="shared" si="72"/>
        <v/>
      </c>
      <c r="Z234" s="39" t="str">
        <f>IF(L234="","",IF(V234&gt;0,INDEX('09-أيلول'!$Q$2:$Q$500,V234),IF($AO$1=1,0,"")))</f>
        <v/>
      </c>
      <c r="AA234" s="39" t="str">
        <f t="shared" si="73"/>
        <v/>
      </c>
      <c r="AB234" s="40" t="str">
        <f>IF(OR(L234="",V234=0),"",IF(AND(N(I234)&gt;0,N(INDEX('09-أيلول'!$I$2:$I$500,V234))&gt;0,INDEX('09-أيلول'!$F$2:$F$500,V234)=F234),N(I234)/N(INDEX('09-أيلول'!$I$2:$I$500,V234))-1,""))</f>
        <v/>
      </c>
      <c r="AC234" t="str">
        <f>IF(L234="","",IF(AND($AO$2=1,ISNA(MATCH(L234,'11-تشرين الثاني'!$L$2:$L$501,0))),"محذوف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IF(L235="","",IF($AO$1=1,IFERROR(MATCH(L235,'09-أيلول'!$L$2:$L$500,0),0),0))</f>
        <v/>
      </c>
      <c r="W235" t="str">
        <f t="shared" si="71"/>
        <v/>
      </c>
      <c r="X235" s="38" t="str">
        <f>IF(L235="","",IF(V235&gt;0,INDEX('09-أيلول'!$P$2:$P$500,V235),IF($AO$1=1,0,"")))</f>
        <v/>
      </c>
      <c r="Y235" s="38" t="str">
        <f t="shared" si="72"/>
        <v/>
      </c>
      <c r="Z235" s="39" t="str">
        <f>IF(L235="","",IF(V235&gt;0,INDEX('09-أيلول'!$Q$2:$Q$500,V235),IF($AO$1=1,0,"")))</f>
        <v/>
      </c>
      <c r="AA235" s="39" t="str">
        <f t="shared" si="73"/>
        <v/>
      </c>
      <c r="AB235" s="40" t="str">
        <f>IF(OR(L235="",V235=0),"",IF(AND(N(I235)&gt;0,N(INDEX('09-أيلول'!$I$2:$I$500,V235))&gt;0,INDEX('09-أيلول'!$F$2:$F$500,V235)=F235),N(I235)/N(INDEX('09-أيلول'!$I$2:$I$500,V235))-1,""))</f>
        <v/>
      </c>
      <c r="AC235" t="str">
        <f>IF(L235="","",IF(AND($AO$2=1,ISNA(MATCH(L235,'11-تشرين الثاني'!$L$2:$L$501,0))),"محذوف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IF(L236="","",IF($AO$1=1,IFERROR(MATCH(L236,'09-أيلول'!$L$2:$L$500,0),0),0))</f>
        <v/>
      </c>
      <c r="W236" t="str">
        <f t="shared" si="71"/>
        <v/>
      </c>
      <c r="X236" s="38" t="str">
        <f>IF(L236="","",IF(V236&gt;0,INDEX('09-أيلول'!$P$2:$P$500,V236),IF($AO$1=1,0,"")))</f>
        <v/>
      </c>
      <c r="Y236" s="38" t="str">
        <f t="shared" si="72"/>
        <v/>
      </c>
      <c r="Z236" s="39" t="str">
        <f>IF(L236="","",IF(V236&gt;0,INDEX('09-أيلول'!$Q$2:$Q$500,V236),IF($AO$1=1,0,"")))</f>
        <v/>
      </c>
      <c r="AA236" s="39" t="str">
        <f t="shared" si="73"/>
        <v/>
      </c>
      <c r="AB236" s="40" t="str">
        <f>IF(OR(L236="",V236=0),"",IF(AND(N(I236)&gt;0,N(INDEX('09-أيلول'!$I$2:$I$500,V236))&gt;0,INDEX('09-أيلول'!$F$2:$F$500,V236)=F236),N(I236)/N(INDEX('09-أيلول'!$I$2:$I$500,V236))-1,""))</f>
        <v/>
      </c>
      <c r="AC236" t="str">
        <f>IF(L236="","",IF(AND($AO$2=1,ISNA(MATCH(L236,'11-تشرين الثاني'!$L$2:$L$501,0))),"محذوف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IF(L237="","",IF($AO$1=1,IFERROR(MATCH(L237,'09-أيلول'!$L$2:$L$500,0),0),0))</f>
        <v/>
      </c>
      <c r="W237" t="str">
        <f t="shared" si="71"/>
        <v/>
      </c>
      <c r="X237" s="38" t="str">
        <f>IF(L237="","",IF(V237&gt;0,INDEX('09-أيلول'!$P$2:$P$500,V237),IF($AO$1=1,0,"")))</f>
        <v/>
      </c>
      <c r="Y237" s="38" t="str">
        <f t="shared" si="72"/>
        <v/>
      </c>
      <c r="Z237" s="39" t="str">
        <f>IF(L237="","",IF(V237&gt;0,INDEX('09-أيلول'!$Q$2:$Q$500,V237),IF($AO$1=1,0,"")))</f>
        <v/>
      </c>
      <c r="AA237" s="39" t="str">
        <f t="shared" si="73"/>
        <v/>
      </c>
      <c r="AB237" s="40" t="str">
        <f>IF(OR(L237="",V237=0),"",IF(AND(N(I237)&gt;0,N(INDEX('09-أيلول'!$I$2:$I$500,V237))&gt;0,INDEX('09-أيلول'!$F$2:$F$500,V237)=F237),N(I237)/N(INDEX('09-أيلول'!$I$2:$I$500,V237))-1,""))</f>
        <v/>
      </c>
      <c r="AC237" t="str">
        <f>IF(L237="","",IF(AND($AO$2=1,ISNA(MATCH(L237,'11-تشرين الثاني'!$L$2:$L$501,0))),"محذوف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IF(L238="","",IF($AO$1=1,IFERROR(MATCH(L238,'09-أيلول'!$L$2:$L$500,0),0),0))</f>
        <v/>
      </c>
      <c r="W238" t="str">
        <f t="shared" si="71"/>
        <v/>
      </c>
      <c r="X238" s="38" t="str">
        <f>IF(L238="","",IF(V238&gt;0,INDEX('09-أيلول'!$P$2:$P$500,V238),IF($AO$1=1,0,"")))</f>
        <v/>
      </c>
      <c r="Y238" s="38" t="str">
        <f t="shared" si="72"/>
        <v/>
      </c>
      <c r="Z238" s="39" t="str">
        <f>IF(L238="","",IF(V238&gt;0,INDEX('09-أيلول'!$Q$2:$Q$500,V238),IF($AO$1=1,0,"")))</f>
        <v/>
      </c>
      <c r="AA238" s="39" t="str">
        <f t="shared" si="73"/>
        <v/>
      </c>
      <c r="AB238" s="40" t="str">
        <f>IF(OR(L238="",V238=0),"",IF(AND(N(I238)&gt;0,N(INDEX('09-أيلول'!$I$2:$I$500,V238))&gt;0,INDEX('09-أيلول'!$F$2:$F$500,V238)=F238),N(I238)/N(INDEX('09-أيلول'!$I$2:$I$500,V238))-1,""))</f>
        <v/>
      </c>
      <c r="AC238" t="str">
        <f>IF(L238="","",IF(AND($AO$2=1,ISNA(MATCH(L238,'11-تشرين الثاني'!$L$2:$L$501,0))),"محذوف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IF(L239="","",IF($AO$1=1,IFERROR(MATCH(L239,'09-أيلول'!$L$2:$L$500,0),0),0))</f>
        <v/>
      </c>
      <c r="W239" t="str">
        <f t="shared" si="71"/>
        <v/>
      </c>
      <c r="X239" s="38" t="str">
        <f>IF(L239="","",IF(V239&gt;0,INDEX('09-أيلول'!$P$2:$P$500,V239),IF($AO$1=1,0,"")))</f>
        <v/>
      </c>
      <c r="Y239" s="38" t="str">
        <f t="shared" si="72"/>
        <v/>
      </c>
      <c r="Z239" s="39" t="str">
        <f>IF(L239="","",IF(V239&gt;0,INDEX('09-أيلول'!$Q$2:$Q$500,V239),IF($AO$1=1,0,"")))</f>
        <v/>
      </c>
      <c r="AA239" s="39" t="str">
        <f t="shared" si="73"/>
        <v/>
      </c>
      <c r="AB239" s="40" t="str">
        <f>IF(OR(L239="",V239=0),"",IF(AND(N(I239)&gt;0,N(INDEX('09-أيلول'!$I$2:$I$500,V239))&gt;0,INDEX('09-أيلول'!$F$2:$F$500,V239)=F239),N(I239)/N(INDEX('09-أيلول'!$I$2:$I$500,V239))-1,""))</f>
        <v/>
      </c>
      <c r="AC239" t="str">
        <f>IF(L239="","",IF(AND($AO$2=1,ISNA(MATCH(L239,'11-تشرين الثاني'!$L$2:$L$501,0))),"محذوف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IF(L240="","",IF($AO$1=1,IFERROR(MATCH(L240,'09-أيلول'!$L$2:$L$500,0),0),0))</f>
        <v/>
      </c>
      <c r="W240" t="str">
        <f t="shared" si="71"/>
        <v/>
      </c>
      <c r="X240" s="38" t="str">
        <f>IF(L240="","",IF(V240&gt;0,INDEX('09-أيلول'!$P$2:$P$500,V240),IF($AO$1=1,0,"")))</f>
        <v/>
      </c>
      <c r="Y240" s="38" t="str">
        <f t="shared" si="72"/>
        <v/>
      </c>
      <c r="Z240" s="39" t="str">
        <f>IF(L240="","",IF(V240&gt;0,INDEX('09-أيلول'!$Q$2:$Q$500,V240),IF($AO$1=1,0,"")))</f>
        <v/>
      </c>
      <c r="AA240" s="39" t="str">
        <f t="shared" si="73"/>
        <v/>
      </c>
      <c r="AB240" s="40" t="str">
        <f>IF(OR(L240="",V240=0),"",IF(AND(N(I240)&gt;0,N(INDEX('09-أيلول'!$I$2:$I$500,V240))&gt;0,INDEX('09-أيلول'!$F$2:$F$500,V240)=F240),N(I240)/N(INDEX('09-أيلول'!$I$2:$I$500,V240))-1,""))</f>
        <v/>
      </c>
      <c r="AC240" t="str">
        <f>IF(L240="","",IF(AND($AO$2=1,ISNA(MATCH(L240,'11-تشرين الثاني'!$L$2:$L$501,0))),"محذوف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IF(L241="","",IF($AO$1=1,IFERROR(MATCH(L241,'09-أيلول'!$L$2:$L$500,0),0),0))</f>
        <v/>
      </c>
      <c r="W241" t="str">
        <f t="shared" si="71"/>
        <v/>
      </c>
      <c r="X241" s="38" t="str">
        <f>IF(L241="","",IF(V241&gt;0,INDEX('09-أيلول'!$P$2:$P$500,V241),IF($AO$1=1,0,"")))</f>
        <v/>
      </c>
      <c r="Y241" s="38" t="str">
        <f t="shared" si="72"/>
        <v/>
      </c>
      <c r="Z241" s="39" t="str">
        <f>IF(L241="","",IF(V241&gt;0,INDEX('09-أيلول'!$Q$2:$Q$500,V241),IF($AO$1=1,0,"")))</f>
        <v/>
      </c>
      <c r="AA241" s="39" t="str">
        <f t="shared" si="73"/>
        <v/>
      </c>
      <c r="AB241" s="40" t="str">
        <f>IF(OR(L241="",V241=0),"",IF(AND(N(I241)&gt;0,N(INDEX('09-أيلول'!$I$2:$I$500,V241))&gt;0,INDEX('09-أيلول'!$F$2:$F$500,V241)=F241),N(I241)/N(INDEX('09-أيلول'!$I$2:$I$500,V241))-1,""))</f>
        <v/>
      </c>
      <c r="AC241" t="str">
        <f>IF(L241="","",IF(AND($AO$2=1,ISNA(MATCH(L241,'11-تشرين الثاني'!$L$2:$L$501,0))),"محذوف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IF(L242="","",IF($AO$1=1,IFERROR(MATCH(L242,'09-أيلول'!$L$2:$L$500,0),0),0))</f>
        <v/>
      </c>
      <c r="W242" t="str">
        <f t="shared" si="71"/>
        <v/>
      </c>
      <c r="X242" s="38" t="str">
        <f>IF(L242="","",IF(V242&gt;0,INDEX('09-أيلول'!$P$2:$P$500,V242),IF($AO$1=1,0,"")))</f>
        <v/>
      </c>
      <c r="Y242" s="38" t="str">
        <f t="shared" si="72"/>
        <v/>
      </c>
      <c r="Z242" s="39" t="str">
        <f>IF(L242="","",IF(V242&gt;0,INDEX('09-أيلول'!$Q$2:$Q$500,V242),IF($AO$1=1,0,"")))</f>
        <v/>
      </c>
      <c r="AA242" s="39" t="str">
        <f t="shared" si="73"/>
        <v/>
      </c>
      <c r="AB242" s="40" t="str">
        <f>IF(OR(L242="",V242=0),"",IF(AND(N(I242)&gt;0,N(INDEX('09-أيلول'!$I$2:$I$500,V242))&gt;0,INDEX('09-أيلول'!$F$2:$F$500,V242)=F242),N(I242)/N(INDEX('09-أيلول'!$I$2:$I$500,V242))-1,""))</f>
        <v/>
      </c>
      <c r="AC242" t="str">
        <f>IF(L242="","",IF(AND($AO$2=1,ISNA(MATCH(L242,'11-تشرين الثاني'!$L$2:$L$501,0))),"محذوف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IF(L243="","",IF($AO$1=1,IFERROR(MATCH(L243,'09-أيلول'!$L$2:$L$500,0),0),0))</f>
        <v/>
      </c>
      <c r="W243" t="str">
        <f t="shared" si="71"/>
        <v/>
      </c>
      <c r="X243" s="38" t="str">
        <f>IF(L243="","",IF(V243&gt;0,INDEX('09-أيلول'!$P$2:$P$500,V243),IF($AO$1=1,0,"")))</f>
        <v/>
      </c>
      <c r="Y243" s="38" t="str">
        <f t="shared" si="72"/>
        <v/>
      </c>
      <c r="Z243" s="39" t="str">
        <f>IF(L243="","",IF(V243&gt;0,INDEX('09-أيلول'!$Q$2:$Q$500,V243),IF($AO$1=1,0,"")))</f>
        <v/>
      </c>
      <c r="AA243" s="39" t="str">
        <f t="shared" si="73"/>
        <v/>
      </c>
      <c r="AB243" s="40" t="str">
        <f>IF(OR(L243="",V243=0),"",IF(AND(N(I243)&gt;0,N(INDEX('09-أيلول'!$I$2:$I$500,V243))&gt;0,INDEX('09-أيلول'!$F$2:$F$500,V243)=F243),N(I243)/N(INDEX('09-أيلول'!$I$2:$I$500,V243))-1,""))</f>
        <v/>
      </c>
      <c r="AC243" t="str">
        <f>IF(L243="","",IF(AND($AO$2=1,ISNA(MATCH(L243,'11-تشرين الثاني'!$L$2:$L$501,0))),"محذوف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IF(L244="","",IF($AO$1=1,IFERROR(MATCH(L244,'09-أيلول'!$L$2:$L$500,0),0),0))</f>
        <v/>
      </c>
      <c r="W244" t="str">
        <f t="shared" si="71"/>
        <v/>
      </c>
      <c r="X244" s="38" t="str">
        <f>IF(L244="","",IF(V244&gt;0,INDEX('09-أيلول'!$P$2:$P$500,V244),IF($AO$1=1,0,"")))</f>
        <v/>
      </c>
      <c r="Y244" s="38" t="str">
        <f t="shared" si="72"/>
        <v/>
      </c>
      <c r="Z244" s="39" t="str">
        <f>IF(L244="","",IF(V244&gt;0,INDEX('09-أيلول'!$Q$2:$Q$500,V244),IF($AO$1=1,0,"")))</f>
        <v/>
      </c>
      <c r="AA244" s="39" t="str">
        <f t="shared" si="73"/>
        <v/>
      </c>
      <c r="AB244" s="40" t="str">
        <f>IF(OR(L244="",V244=0),"",IF(AND(N(I244)&gt;0,N(INDEX('09-أيلول'!$I$2:$I$500,V244))&gt;0,INDEX('09-أيلول'!$F$2:$F$500,V244)=F244),N(I244)/N(INDEX('09-أيلول'!$I$2:$I$500,V244))-1,""))</f>
        <v/>
      </c>
      <c r="AC244" t="str">
        <f>IF(L244="","",IF(AND($AO$2=1,ISNA(MATCH(L244,'11-تشرين الثاني'!$L$2:$L$501,0))),"محذوف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IF(L245="","",IF($AO$1=1,IFERROR(MATCH(L245,'09-أيلول'!$L$2:$L$500,0),0),0))</f>
        <v/>
      </c>
      <c r="W245" t="str">
        <f t="shared" si="71"/>
        <v/>
      </c>
      <c r="X245" s="38" t="str">
        <f>IF(L245="","",IF(V245&gt;0,INDEX('09-أيلول'!$P$2:$P$500,V245),IF($AO$1=1,0,"")))</f>
        <v/>
      </c>
      <c r="Y245" s="38" t="str">
        <f t="shared" si="72"/>
        <v/>
      </c>
      <c r="Z245" s="39" t="str">
        <f>IF(L245="","",IF(V245&gt;0,INDEX('09-أيلول'!$Q$2:$Q$500,V245),IF($AO$1=1,0,"")))</f>
        <v/>
      </c>
      <c r="AA245" s="39" t="str">
        <f t="shared" si="73"/>
        <v/>
      </c>
      <c r="AB245" s="40" t="str">
        <f>IF(OR(L245="",V245=0),"",IF(AND(N(I245)&gt;0,N(INDEX('09-أيلول'!$I$2:$I$500,V245))&gt;0,INDEX('09-أيلول'!$F$2:$F$500,V245)=F245),N(I245)/N(INDEX('09-أيلول'!$I$2:$I$500,V245))-1,""))</f>
        <v/>
      </c>
      <c r="AC245" t="str">
        <f>IF(L245="","",IF(AND($AO$2=1,ISNA(MATCH(L245,'11-تشرين الثاني'!$L$2:$L$501,0))),"محذوف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IF(L246="","",IF($AO$1=1,IFERROR(MATCH(L246,'09-أيلول'!$L$2:$L$500,0),0),0))</f>
        <v/>
      </c>
      <c r="W246" t="str">
        <f t="shared" si="71"/>
        <v/>
      </c>
      <c r="X246" s="38" t="str">
        <f>IF(L246="","",IF(V246&gt;0,INDEX('09-أيلول'!$P$2:$P$500,V246),IF($AO$1=1,0,"")))</f>
        <v/>
      </c>
      <c r="Y246" s="38" t="str">
        <f t="shared" si="72"/>
        <v/>
      </c>
      <c r="Z246" s="39" t="str">
        <f>IF(L246="","",IF(V246&gt;0,INDEX('09-أيلول'!$Q$2:$Q$500,V246),IF($AO$1=1,0,"")))</f>
        <v/>
      </c>
      <c r="AA246" s="39" t="str">
        <f t="shared" si="73"/>
        <v/>
      </c>
      <c r="AB246" s="40" t="str">
        <f>IF(OR(L246="",V246=0),"",IF(AND(N(I246)&gt;0,N(INDEX('09-أيلول'!$I$2:$I$500,V246))&gt;0,INDEX('09-أيلول'!$F$2:$F$500,V246)=F246),N(I246)/N(INDEX('09-أيلول'!$I$2:$I$500,V246))-1,""))</f>
        <v/>
      </c>
      <c r="AC246" t="str">
        <f>IF(L246="","",IF(AND($AO$2=1,ISNA(MATCH(L246,'11-تشرين الثاني'!$L$2:$L$501,0))),"محذوف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IF(L247="","",IF($AO$1=1,IFERROR(MATCH(L247,'09-أيلول'!$L$2:$L$500,0),0),0))</f>
        <v/>
      </c>
      <c r="W247" t="str">
        <f t="shared" si="71"/>
        <v/>
      </c>
      <c r="X247" s="38" t="str">
        <f>IF(L247="","",IF(V247&gt;0,INDEX('09-أيلول'!$P$2:$P$500,V247),IF($AO$1=1,0,"")))</f>
        <v/>
      </c>
      <c r="Y247" s="38" t="str">
        <f t="shared" si="72"/>
        <v/>
      </c>
      <c r="Z247" s="39" t="str">
        <f>IF(L247="","",IF(V247&gt;0,INDEX('09-أيلول'!$Q$2:$Q$500,V247),IF($AO$1=1,0,"")))</f>
        <v/>
      </c>
      <c r="AA247" s="39" t="str">
        <f t="shared" si="73"/>
        <v/>
      </c>
      <c r="AB247" s="40" t="str">
        <f>IF(OR(L247="",V247=0),"",IF(AND(N(I247)&gt;0,N(INDEX('09-أيلول'!$I$2:$I$500,V247))&gt;0,INDEX('09-أيلول'!$F$2:$F$500,V247)=F247),N(I247)/N(INDEX('09-أيلول'!$I$2:$I$500,V247))-1,""))</f>
        <v/>
      </c>
      <c r="AC247" t="str">
        <f>IF(L247="","",IF(AND($AO$2=1,ISNA(MATCH(L247,'11-تشرين الثاني'!$L$2:$L$501,0))),"محذوف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IF(L248="","",IF($AO$1=1,IFERROR(MATCH(L248,'09-أيلول'!$L$2:$L$500,0),0),0))</f>
        <v/>
      </c>
      <c r="W248" t="str">
        <f t="shared" si="71"/>
        <v/>
      </c>
      <c r="X248" s="38" t="str">
        <f>IF(L248="","",IF(V248&gt;0,INDEX('09-أيلول'!$P$2:$P$500,V248),IF($AO$1=1,0,"")))</f>
        <v/>
      </c>
      <c r="Y248" s="38" t="str">
        <f t="shared" si="72"/>
        <v/>
      </c>
      <c r="Z248" s="39" t="str">
        <f>IF(L248="","",IF(V248&gt;0,INDEX('09-أيلول'!$Q$2:$Q$500,V248),IF($AO$1=1,0,"")))</f>
        <v/>
      </c>
      <c r="AA248" s="39" t="str">
        <f t="shared" si="73"/>
        <v/>
      </c>
      <c r="AB248" s="40" t="str">
        <f>IF(OR(L248="",V248=0),"",IF(AND(N(I248)&gt;0,N(INDEX('09-أيلول'!$I$2:$I$500,V248))&gt;0,INDEX('09-أيلول'!$F$2:$F$500,V248)=F248),N(I248)/N(INDEX('09-أيلول'!$I$2:$I$500,V248))-1,""))</f>
        <v/>
      </c>
      <c r="AC248" t="str">
        <f>IF(L248="","",IF(AND($AO$2=1,ISNA(MATCH(L248,'11-تشرين الثاني'!$L$2:$L$501,0))),"محذوف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IF(L249="","",IF($AO$1=1,IFERROR(MATCH(L249,'09-أيلول'!$L$2:$L$500,0),0),0))</f>
        <v/>
      </c>
      <c r="W249" t="str">
        <f t="shared" si="71"/>
        <v/>
      </c>
      <c r="X249" s="38" t="str">
        <f>IF(L249="","",IF(V249&gt;0,INDEX('09-أيلول'!$P$2:$P$500,V249),IF($AO$1=1,0,"")))</f>
        <v/>
      </c>
      <c r="Y249" s="38" t="str">
        <f t="shared" si="72"/>
        <v/>
      </c>
      <c r="Z249" s="39" t="str">
        <f>IF(L249="","",IF(V249&gt;0,INDEX('09-أيلول'!$Q$2:$Q$500,V249),IF($AO$1=1,0,"")))</f>
        <v/>
      </c>
      <c r="AA249" s="39" t="str">
        <f t="shared" si="73"/>
        <v/>
      </c>
      <c r="AB249" s="40" t="str">
        <f>IF(OR(L249="",V249=0),"",IF(AND(N(I249)&gt;0,N(INDEX('09-أيلول'!$I$2:$I$500,V249))&gt;0,INDEX('09-أيلول'!$F$2:$F$500,V249)=F249),N(I249)/N(INDEX('09-أيلول'!$I$2:$I$500,V249))-1,""))</f>
        <v/>
      </c>
      <c r="AC249" t="str">
        <f>IF(L249="","",IF(AND($AO$2=1,ISNA(MATCH(L249,'11-تشرين الثاني'!$L$2:$L$501,0))),"محذوف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IF(L250="","",IF($AO$1=1,IFERROR(MATCH(L250,'09-أيلول'!$L$2:$L$500,0),0),0))</f>
        <v/>
      </c>
      <c r="W250" t="str">
        <f t="shared" si="71"/>
        <v/>
      </c>
      <c r="X250" s="38" t="str">
        <f>IF(L250="","",IF(V250&gt;0,INDEX('09-أيلول'!$P$2:$P$500,V250),IF($AO$1=1,0,"")))</f>
        <v/>
      </c>
      <c r="Y250" s="38" t="str">
        <f t="shared" si="72"/>
        <v/>
      </c>
      <c r="Z250" s="39" t="str">
        <f>IF(L250="","",IF(V250&gt;0,INDEX('09-أيلول'!$Q$2:$Q$500,V250),IF($AO$1=1,0,"")))</f>
        <v/>
      </c>
      <c r="AA250" s="39" t="str">
        <f t="shared" si="73"/>
        <v/>
      </c>
      <c r="AB250" s="40" t="str">
        <f>IF(OR(L250="",V250=0),"",IF(AND(N(I250)&gt;0,N(INDEX('09-أيلول'!$I$2:$I$500,V250))&gt;0,INDEX('09-أيلول'!$F$2:$F$500,V250)=F250),N(I250)/N(INDEX('09-أيلول'!$I$2:$I$500,V250))-1,""))</f>
        <v/>
      </c>
      <c r="AC250" t="str">
        <f>IF(L250="","",IF(AND($AO$2=1,ISNA(MATCH(L250,'11-تشرين الثاني'!$L$2:$L$501,0))),"محذوف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IF(L251="","",IF($AO$1=1,IFERROR(MATCH(L251,'09-أيلول'!$L$2:$L$500,0),0),0))</f>
        <v/>
      </c>
      <c r="W251" t="str">
        <f t="shared" si="71"/>
        <v/>
      </c>
      <c r="X251" s="38" t="str">
        <f>IF(L251="","",IF(V251&gt;0,INDEX('09-أيلول'!$P$2:$P$500,V251),IF($AO$1=1,0,"")))</f>
        <v/>
      </c>
      <c r="Y251" s="38" t="str">
        <f t="shared" si="72"/>
        <v/>
      </c>
      <c r="Z251" s="39" t="str">
        <f>IF(L251="","",IF(V251&gt;0,INDEX('09-أيلول'!$Q$2:$Q$500,V251),IF($AO$1=1,0,"")))</f>
        <v/>
      </c>
      <c r="AA251" s="39" t="str">
        <f t="shared" si="73"/>
        <v/>
      </c>
      <c r="AB251" s="40" t="str">
        <f>IF(OR(L251="",V251=0),"",IF(AND(N(I251)&gt;0,N(INDEX('09-أيلول'!$I$2:$I$500,V251))&gt;0,INDEX('09-أيلول'!$F$2:$F$500,V251)=F251),N(I251)/N(INDEX('09-أيلول'!$I$2:$I$500,V251))-1,""))</f>
        <v/>
      </c>
      <c r="AC251" t="str">
        <f>IF(L251="","",IF(AND($AO$2=1,ISNA(MATCH(L251,'11-تشرين الثاني'!$L$2:$L$501,0))),"محذوف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IF(L252="","",IF($AO$1=1,IFERROR(MATCH(L252,'09-أيلول'!$L$2:$L$500,0),0),0))</f>
        <v/>
      </c>
      <c r="W252" t="str">
        <f t="shared" si="71"/>
        <v/>
      </c>
      <c r="X252" s="38" t="str">
        <f>IF(L252="","",IF(V252&gt;0,INDEX('09-أيلول'!$P$2:$P$500,V252),IF($AO$1=1,0,"")))</f>
        <v/>
      </c>
      <c r="Y252" s="38" t="str">
        <f t="shared" si="72"/>
        <v/>
      </c>
      <c r="Z252" s="39" t="str">
        <f>IF(L252="","",IF(V252&gt;0,INDEX('09-أيلول'!$Q$2:$Q$500,V252),IF($AO$1=1,0,"")))</f>
        <v/>
      </c>
      <c r="AA252" s="39" t="str">
        <f t="shared" si="73"/>
        <v/>
      </c>
      <c r="AB252" s="40" t="str">
        <f>IF(OR(L252="",V252=0),"",IF(AND(N(I252)&gt;0,N(INDEX('09-أيلول'!$I$2:$I$500,V252))&gt;0,INDEX('09-أيلول'!$F$2:$F$500,V252)=F252),N(I252)/N(INDEX('09-أيلول'!$I$2:$I$500,V252))-1,""))</f>
        <v/>
      </c>
      <c r="AC252" t="str">
        <f>IF(L252="","",IF(AND($AO$2=1,ISNA(MATCH(L252,'11-تشرين الثاني'!$L$2:$L$501,0))),"محذوف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IF(L253="","",IF($AO$1=1,IFERROR(MATCH(L253,'09-أيلول'!$L$2:$L$500,0),0),0))</f>
        <v/>
      </c>
      <c r="W253" t="str">
        <f t="shared" si="71"/>
        <v/>
      </c>
      <c r="X253" s="38" t="str">
        <f>IF(L253="","",IF(V253&gt;0,INDEX('09-أيلول'!$P$2:$P$500,V253),IF($AO$1=1,0,"")))</f>
        <v/>
      </c>
      <c r="Y253" s="38" t="str">
        <f t="shared" si="72"/>
        <v/>
      </c>
      <c r="Z253" s="39" t="str">
        <f>IF(L253="","",IF(V253&gt;0,INDEX('09-أيلول'!$Q$2:$Q$500,V253),IF($AO$1=1,0,"")))</f>
        <v/>
      </c>
      <c r="AA253" s="39" t="str">
        <f t="shared" si="73"/>
        <v/>
      </c>
      <c r="AB253" s="40" t="str">
        <f>IF(OR(L253="",V253=0),"",IF(AND(N(I253)&gt;0,N(INDEX('09-أيلول'!$I$2:$I$500,V253))&gt;0,INDEX('09-أيلول'!$F$2:$F$500,V253)=F253),N(I253)/N(INDEX('09-أيلول'!$I$2:$I$500,V253))-1,""))</f>
        <v/>
      </c>
      <c r="AC253" t="str">
        <f>IF(L253="","",IF(AND($AO$2=1,ISNA(MATCH(L253,'11-تشرين الثاني'!$L$2:$L$501,0))),"محذوف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IF(L254="","",IF($AO$1=1,IFERROR(MATCH(L254,'09-أيلول'!$L$2:$L$500,0),0),0))</f>
        <v/>
      </c>
      <c r="W254" t="str">
        <f t="shared" si="71"/>
        <v/>
      </c>
      <c r="X254" s="38" t="str">
        <f>IF(L254="","",IF(V254&gt;0,INDEX('09-أيلول'!$P$2:$P$500,V254),IF($AO$1=1,0,"")))</f>
        <v/>
      </c>
      <c r="Y254" s="38" t="str">
        <f t="shared" si="72"/>
        <v/>
      </c>
      <c r="Z254" s="39" t="str">
        <f>IF(L254="","",IF(V254&gt;0,INDEX('09-أيلول'!$Q$2:$Q$500,V254),IF($AO$1=1,0,"")))</f>
        <v/>
      </c>
      <c r="AA254" s="39" t="str">
        <f t="shared" si="73"/>
        <v/>
      </c>
      <c r="AB254" s="40" t="str">
        <f>IF(OR(L254="",V254=0),"",IF(AND(N(I254)&gt;0,N(INDEX('09-أيلول'!$I$2:$I$500,V254))&gt;0,INDEX('09-أيلول'!$F$2:$F$500,V254)=F254),N(I254)/N(INDEX('09-أيلول'!$I$2:$I$500,V254))-1,""))</f>
        <v/>
      </c>
      <c r="AC254" t="str">
        <f>IF(L254="","",IF(AND($AO$2=1,ISNA(MATCH(L254,'11-تشرين الثاني'!$L$2:$L$501,0))),"محذوف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IF(L255="","",IF($AO$1=1,IFERROR(MATCH(L255,'09-أيلول'!$L$2:$L$500,0),0),0))</f>
        <v/>
      </c>
      <c r="W255" t="str">
        <f t="shared" si="71"/>
        <v/>
      </c>
      <c r="X255" s="38" t="str">
        <f>IF(L255="","",IF(V255&gt;0,INDEX('09-أيلول'!$P$2:$P$500,V255),IF($AO$1=1,0,"")))</f>
        <v/>
      </c>
      <c r="Y255" s="38" t="str">
        <f t="shared" si="72"/>
        <v/>
      </c>
      <c r="Z255" s="39" t="str">
        <f>IF(L255="","",IF(V255&gt;0,INDEX('09-أيلول'!$Q$2:$Q$500,V255),IF($AO$1=1,0,"")))</f>
        <v/>
      </c>
      <c r="AA255" s="39" t="str">
        <f t="shared" si="73"/>
        <v/>
      </c>
      <c r="AB255" s="40" t="str">
        <f>IF(OR(L255="",V255=0),"",IF(AND(N(I255)&gt;0,N(INDEX('09-أيلول'!$I$2:$I$500,V255))&gt;0,INDEX('09-أيلول'!$F$2:$F$500,V255)=F255),N(I255)/N(INDEX('09-أيلول'!$I$2:$I$500,V255))-1,""))</f>
        <v/>
      </c>
      <c r="AC255" t="str">
        <f>IF(L255="","",IF(AND($AO$2=1,ISNA(MATCH(L255,'11-تشرين الثاني'!$L$2:$L$501,0))),"محذوف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IF(L256="","",IF($AO$1=1,IFERROR(MATCH(L256,'09-أيلول'!$L$2:$L$500,0),0),0))</f>
        <v/>
      </c>
      <c r="W256" t="str">
        <f t="shared" si="71"/>
        <v/>
      </c>
      <c r="X256" s="38" t="str">
        <f>IF(L256="","",IF(V256&gt;0,INDEX('09-أيلول'!$P$2:$P$500,V256),IF($AO$1=1,0,"")))</f>
        <v/>
      </c>
      <c r="Y256" s="38" t="str">
        <f t="shared" si="72"/>
        <v/>
      </c>
      <c r="Z256" s="39" t="str">
        <f>IF(L256="","",IF(V256&gt;0,INDEX('09-أيلول'!$Q$2:$Q$500,V256),IF($AO$1=1,0,"")))</f>
        <v/>
      </c>
      <c r="AA256" s="39" t="str">
        <f t="shared" si="73"/>
        <v/>
      </c>
      <c r="AB256" s="40" t="str">
        <f>IF(OR(L256="",V256=0),"",IF(AND(N(I256)&gt;0,N(INDEX('09-أيلول'!$I$2:$I$500,V256))&gt;0,INDEX('09-أيلول'!$F$2:$F$500,V256)=F256),N(I256)/N(INDEX('09-أيلول'!$I$2:$I$500,V256))-1,""))</f>
        <v/>
      </c>
      <c r="AC256" t="str">
        <f>IF(L256="","",IF(AND($AO$2=1,ISNA(MATCH(L256,'11-تشرين الثاني'!$L$2:$L$501,0))),"محذوف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IF(L257="","",IF($AO$1=1,IFERROR(MATCH(L257,'09-أيلول'!$L$2:$L$500,0),0),0))</f>
        <v/>
      </c>
      <c r="W257" t="str">
        <f t="shared" si="71"/>
        <v/>
      </c>
      <c r="X257" s="38" t="str">
        <f>IF(L257="","",IF(V257&gt;0,INDEX('09-أيلول'!$P$2:$P$500,V257),IF($AO$1=1,0,"")))</f>
        <v/>
      </c>
      <c r="Y257" s="38" t="str">
        <f t="shared" si="72"/>
        <v/>
      </c>
      <c r="Z257" s="39" t="str">
        <f>IF(L257="","",IF(V257&gt;0,INDEX('09-أيلول'!$Q$2:$Q$500,V257),IF($AO$1=1,0,"")))</f>
        <v/>
      </c>
      <c r="AA257" s="39" t="str">
        <f t="shared" si="73"/>
        <v/>
      </c>
      <c r="AB257" s="40" t="str">
        <f>IF(OR(L257="",V257=0),"",IF(AND(N(I257)&gt;0,N(INDEX('09-أيلول'!$I$2:$I$500,V257))&gt;0,INDEX('09-أيلول'!$F$2:$F$500,V257)=F257),N(I257)/N(INDEX('09-أيلول'!$I$2:$I$500,V257))-1,""))</f>
        <v/>
      </c>
      <c r="AC257" t="str">
        <f>IF(L257="","",IF(AND($AO$2=1,ISNA(MATCH(L257,'11-تشرين الثاني'!$L$2:$L$501,0))),"محذوف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IF(L258="","",IF($AO$1=1,IFERROR(MATCH(L258,'09-أيلول'!$L$2:$L$500,0),0),0))</f>
        <v/>
      </c>
      <c r="W258" t="str">
        <f t="shared" ref="W258:W321" si="91">IF(L258="","",IF(AND($AO$1=1,V258=0),"جديد",""))</f>
        <v/>
      </c>
      <c r="X258" s="38" t="str">
        <f>IF(L258="","",IF(V258&gt;0,INDEX('09-أيلول'!$P$2:$P$500,V258),IF($AO$1=1,0,"")))</f>
        <v/>
      </c>
      <c r="Y258" s="38" t="str">
        <f t="shared" ref="Y258:Y321" si="92">IF(OR(L258="",X258=""),"",P258-X258)</f>
        <v/>
      </c>
      <c r="Z258" s="39" t="str">
        <f>IF(L258="","",IF(V258&gt;0,INDEX('09-أيلول'!$Q$2:$Q$500,V258),IF($AO$1=1,0,"")))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IF(OR(L258="",V258=0),"",IF(AND(N(I258)&gt;0,N(INDEX('09-أيلول'!$I$2:$I$500,V258))&gt;0,INDEX('09-أيلول'!$F$2:$F$500,V258)=F258),N(I258)/N(INDEX('09-أيلول'!$I$2:$I$500,V258))-1,""))</f>
        <v/>
      </c>
      <c r="AC258" t="str">
        <f>IF(L258="","",IF(AND($AO$2=1,ISNA(MATCH(L258,'11-تشرين الثاني'!$L$2:$L$501,0))),"محذوف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IF(L259="","",IF($AO$1=1,IFERROR(MATCH(L259,'09-أيلول'!$L$2:$L$500,0),0),0))</f>
        <v/>
      </c>
      <c r="W259" t="str">
        <f t="shared" si="91"/>
        <v/>
      </c>
      <c r="X259" s="38" t="str">
        <f>IF(L259="","",IF(V259&gt;0,INDEX('09-أيلول'!$P$2:$P$500,V259),IF($AO$1=1,0,"")))</f>
        <v/>
      </c>
      <c r="Y259" s="38" t="str">
        <f t="shared" si="92"/>
        <v/>
      </c>
      <c r="Z259" s="39" t="str">
        <f>IF(L259="","",IF(V259&gt;0,INDEX('09-أيلول'!$Q$2:$Q$500,V259),IF($AO$1=1,0,"")))</f>
        <v/>
      </c>
      <c r="AA259" s="39" t="str">
        <f t="shared" si="93"/>
        <v/>
      </c>
      <c r="AB259" s="40" t="str">
        <f>IF(OR(L259="",V259=0),"",IF(AND(N(I259)&gt;0,N(INDEX('09-أيلول'!$I$2:$I$500,V259))&gt;0,INDEX('09-أيلول'!$F$2:$F$500,V259)=F259),N(I259)/N(INDEX('09-أيلول'!$I$2:$I$500,V259))-1,""))</f>
        <v/>
      </c>
      <c r="AC259" t="str">
        <f>IF(L259="","",IF(AND($AO$2=1,ISNA(MATCH(L259,'11-تشرين الثاني'!$L$2:$L$501,0))),"محذوف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IF(L260="","",IF($AO$1=1,IFERROR(MATCH(L260,'09-أيلول'!$L$2:$L$500,0),0),0))</f>
        <v/>
      </c>
      <c r="W260" t="str">
        <f t="shared" si="91"/>
        <v/>
      </c>
      <c r="X260" s="38" t="str">
        <f>IF(L260="","",IF(V260&gt;0,INDEX('09-أيلول'!$P$2:$P$500,V260),IF($AO$1=1,0,"")))</f>
        <v/>
      </c>
      <c r="Y260" s="38" t="str">
        <f t="shared" si="92"/>
        <v/>
      </c>
      <c r="Z260" s="39" t="str">
        <f>IF(L260="","",IF(V260&gt;0,INDEX('09-أيلول'!$Q$2:$Q$500,V260),IF($AO$1=1,0,"")))</f>
        <v/>
      </c>
      <c r="AA260" s="39" t="str">
        <f t="shared" si="93"/>
        <v/>
      </c>
      <c r="AB260" s="40" t="str">
        <f>IF(OR(L260="",V260=0),"",IF(AND(N(I260)&gt;0,N(INDEX('09-أيلول'!$I$2:$I$500,V260))&gt;0,INDEX('09-أيلول'!$F$2:$F$500,V260)=F260),N(I260)/N(INDEX('09-أيلول'!$I$2:$I$500,V260))-1,""))</f>
        <v/>
      </c>
      <c r="AC260" t="str">
        <f>IF(L260="","",IF(AND($AO$2=1,ISNA(MATCH(L260,'11-تشرين الثاني'!$L$2:$L$501,0))),"محذوف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IF(L261="","",IF($AO$1=1,IFERROR(MATCH(L261,'09-أيلول'!$L$2:$L$500,0),0),0))</f>
        <v/>
      </c>
      <c r="W261" t="str">
        <f t="shared" si="91"/>
        <v/>
      </c>
      <c r="X261" s="38" t="str">
        <f>IF(L261="","",IF(V261&gt;0,INDEX('09-أيلول'!$P$2:$P$500,V261),IF($AO$1=1,0,"")))</f>
        <v/>
      </c>
      <c r="Y261" s="38" t="str">
        <f t="shared" si="92"/>
        <v/>
      </c>
      <c r="Z261" s="39" t="str">
        <f>IF(L261="","",IF(V261&gt;0,INDEX('09-أيلول'!$Q$2:$Q$500,V261),IF($AO$1=1,0,"")))</f>
        <v/>
      </c>
      <c r="AA261" s="39" t="str">
        <f t="shared" si="93"/>
        <v/>
      </c>
      <c r="AB261" s="40" t="str">
        <f>IF(OR(L261="",V261=0),"",IF(AND(N(I261)&gt;0,N(INDEX('09-أيلول'!$I$2:$I$500,V261))&gt;0,INDEX('09-أيلول'!$F$2:$F$500,V261)=F261),N(I261)/N(INDEX('09-أيلول'!$I$2:$I$500,V261))-1,""))</f>
        <v/>
      </c>
      <c r="AC261" t="str">
        <f>IF(L261="","",IF(AND($AO$2=1,ISNA(MATCH(L261,'11-تشرين الثاني'!$L$2:$L$501,0))),"محذوف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IF(L262="","",IF($AO$1=1,IFERROR(MATCH(L262,'09-أيلول'!$L$2:$L$500,0),0),0))</f>
        <v/>
      </c>
      <c r="W262" t="str">
        <f t="shared" si="91"/>
        <v/>
      </c>
      <c r="X262" s="38" t="str">
        <f>IF(L262="","",IF(V262&gt;0,INDEX('09-أيلول'!$P$2:$P$500,V262),IF($AO$1=1,0,"")))</f>
        <v/>
      </c>
      <c r="Y262" s="38" t="str">
        <f t="shared" si="92"/>
        <v/>
      </c>
      <c r="Z262" s="39" t="str">
        <f>IF(L262="","",IF(V262&gt;0,INDEX('09-أيلول'!$Q$2:$Q$500,V262),IF($AO$1=1,0,"")))</f>
        <v/>
      </c>
      <c r="AA262" s="39" t="str">
        <f t="shared" si="93"/>
        <v/>
      </c>
      <c r="AB262" s="40" t="str">
        <f>IF(OR(L262="",V262=0),"",IF(AND(N(I262)&gt;0,N(INDEX('09-أيلول'!$I$2:$I$500,V262))&gt;0,INDEX('09-أيلول'!$F$2:$F$500,V262)=F262),N(I262)/N(INDEX('09-أيلول'!$I$2:$I$500,V262))-1,""))</f>
        <v/>
      </c>
      <c r="AC262" t="str">
        <f>IF(L262="","",IF(AND($AO$2=1,ISNA(MATCH(L262,'11-تشرين الثاني'!$L$2:$L$501,0))),"محذوف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IF(L263="","",IF($AO$1=1,IFERROR(MATCH(L263,'09-أيلول'!$L$2:$L$500,0),0),0))</f>
        <v/>
      </c>
      <c r="W263" t="str">
        <f t="shared" si="91"/>
        <v/>
      </c>
      <c r="X263" s="38" t="str">
        <f>IF(L263="","",IF(V263&gt;0,INDEX('09-أيلول'!$P$2:$P$500,V263),IF($AO$1=1,0,"")))</f>
        <v/>
      </c>
      <c r="Y263" s="38" t="str">
        <f t="shared" si="92"/>
        <v/>
      </c>
      <c r="Z263" s="39" t="str">
        <f>IF(L263="","",IF(V263&gt;0,INDEX('09-أيلول'!$Q$2:$Q$500,V263),IF($AO$1=1,0,"")))</f>
        <v/>
      </c>
      <c r="AA263" s="39" t="str">
        <f t="shared" si="93"/>
        <v/>
      </c>
      <c r="AB263" s="40" t="str">
        <f>IF(OR(L263="",V263=0),"",IF(AND(N(I263)&gt;0,N(INDEX('09-أيلول'!$I$2:$I$500,V263))&gt;0,INDEX('09-أيلول'!$F$2:$F$500,V263)=F263),N(I263)/N(INDEX('09-أيلول'!$I$2:$I$500,V263))-1,""))</f>
        <v/>
      </c>
      <c r="AC263" t="str">
        <f>IF(L263="","",IF(AND($AO$2=1,ISNA(MATCH(L263,'11-تشرين الثاني'!$L$2:$L$501,0))),"محذوف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IF(L264="","",IF($AO$1=1,IFERROR(MATCH(L264,'09-أيلول'!$L$2:$L$500,0),0),0))</f>
        <v/>
      </c>
      <c r="W264" t="str">
        <f t="shared" si="91"/>
        <v/>
      </c>
      <c r="X264" s="38" t="str">
        <f>IF(L264="","",IF(V264&gt;0,INDEX('09-أيلول'!$P$2:$P$500,V264),IF($AO$1=1,0,"")))</f>
        <v/>
      </c>
      <c r="Y264" s="38" t="str">
        <f t="shared" si="92"/>
        <v/>
      </c>
      <c r="Z264" s="39" t="str">
        <f>IF(L264="","",IF(V264&gt;0,INDEX('09-أيلول'!$Q$2:$Q$500,V264),IF($AO$1=1,0,"")))</f>
        <v/>
      </c>
      <c r="AA264" s="39" t="str">
        <f t="shared" si="93"/>
        <v/>
      </c>
      <c r="AB264" s="40" t="str">
        <f>IF(OR(L264="",V264=0),"",IF(AND(N(I264)&gt;0,N(INDEX('09-أيلول'!$I$2:$I$500,V264))&gt;0,INDEX('09-أيلول'!$F$2:$F$500,V264)=F264),N(I264)/N(INDEX('09-أيلول'!$I$2:$I$500,V264))-1,""))</f>
        <v/>
      </c>
      <c r="AC264" t="str">
        <f>IF(L264="","",IF(AND($AO$2=1,ISNA(MATCH(L264,'11-تشرين الثاني'!$L$2:$L$501,0))),"محذوف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IF(L265="","",IF($AO$1=1,IFERROR(MATCH(L265,'09-أيلول'!$L$2:$L$500,0),0),0))</f>
        <v/>
      </c>
      <c r="W265" t="str">
        <f t="shared" si="91"/>
        <v/>
      </c>
      <c r="X265" s="38" t="str">
        <f>IF(L265="","",IF(V265&gt;0,INDEX('09-أيلول'!$P$2:$P$500,V265),IF($AO$1=1,0,"")))</f>
        <v/>
      </c>
      <c r="Y265" s="38" t="str">
        <f t="shared" si="92"/>
        <v/>
      </c>
      <c r="Z265" s="39" t="str">
        <f>IF(L265="","",IF(V265&gt;0,INDEX('09-أيلول'!$Q$2:$Q$500,V265),IF($AO$1=1,0,"")))</f>
        <v/>
      </c>
      <c r="AA265" s="39" t="str">
        <f t="shared" si="93"/>
        <v/>
      </c>
      <c r="AB265" s="40" t="str">
        <f>IF(OR(L265="",V265=0),"",IF(AND(N(I265)&gt;0,N(INDEX('09-أيلول'!$I$2:$I$500,V265))&gt;0,INDEX('09-أيلول'!$F$2:$F$500,V265)=F265),N(I265)/N(INDEX('09-أيلول'!$I$2:$I$500,V265))-1,""))</f>
        <v/>
      </c>
      <c r="AC265" t="str">
        <f>IF(L265="","",IF(AND($AO$2=1,ISNA(MATCH(L265,'11-تشرين الثاني'!$L$2:$L$501,0))),"محذوف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IF(L266="","",IF($AO$1=1,IFERROR(MATCH(L266,'09-أيلول'!$L$2:$L$500,0),0),0))</f>
        <v/>
      </c>
      <c r="W266" t="str">
        <f t="shared" si="91"/>
        <v/>
      </c>
      <c r="X266" s="38" t="str">
        <f>IF(L266="","",IF(V266&gt;0,INDEX('09-أيلول'!$P$2:$P$500,V266),IF($AO$1=1,0,"")))</f>
        <v/>
      </c>
      <c r="Y266" s="38" t="str">
        <f t="shared" si="92"/>
        <v/>
      </c>
      <c r="Z266" s="39" t="str">
        <f>IF(L266="","",IF(V266&gt;0,INDEX('09-أيلول'!$Q$2:$Q$500,V266),IF($AO$1=1,0,"")))</f>
        <v/>
      </c>
      <c r="AA266" s="39" t="str">
        <f t="shared" si="93"/>
        <v/>
      </c>
      <c r="AB266" s="40" t="str">
        <f>IF(OR(L266="",V266=0),"",IF(AND(N(I266)&gt;0,N(INDEX('09-أيلول'!$I$2:$I$500,V266))&gt;0,INDEX('09-أيلول'!$F$2:$F$500,V266)=F266),N(I266)/N(INDEX('09-أيلول'!$I$2:$I$500,V266))-1,""))</f>
        <v/>
      </c>
      <c r="AC266" t="str">
        <f>IF(L266="","",IF(AND($AO$2=1,ISNA(MATCH(L266,'11-تشرين الثاني'!$L$2:$L$501,0))),"محذوف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IF(L267="","",IF($AO$1=1,IFERROR(MATCH(L267,'09-أيلول'!$L$2:$L$500,0),0),0))</f>
        <v/>
      </c>
      <c r="W267" t="str">
        <f t="shared" si="91"/>
        <v/>
      </c>
      <c r="X267" s="38" t="str">
        <f>IF(L267="","",IF(V267&gt;0,INDEX('09-أيلول'!$P$2:$P$500,V267),IF($AO$1=1,0,"")))</f>
        <v/>
      </c>
      <c r="Y267" s="38" t="str">
        <f t="shared" si="92"/>
        <v/>
      </c>
      <c r="Z267" s="39" t="str">
        <f>IF(L267="","",IF(V267&gt;0,INDEX('09-أيلول'!$Q$2:$Q$500,V267),IF($AO$1=1,0,"")))</f>
        <v/>
      </c>
      <c r="AA267" s="39" t="str">
        <f t="shared" si="93"/>
        <v/>
      </c>
      <c r="AB267" s="40" t="str">
        <f>IF(OR(L267="",V267=0),"",IF(AND(N(I267)&gt;0,N(INDEX('09-أيلول'!$I$2:$I$500,V267))&gt;0,INDEX('09-أيلول'!$F$2:$F$500,V267)=F267),N(I267)/N(INDEX('09-أيلول'!$I$2:$I$500,V267))-1,""))</f>
        <v/>
      </c>
      <c r="AC267" t="str">
        <f>IF(L267="","",IF(AND($AO$2=1,ISNA(MATCH(L267,'11-تشرين الثاني'!$L$2:$L$501,0))),"محذوف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IF(L268="","",IF($AO$1=1,IFERROR(MATCH(L268,'09-أيلول'!$L$2:$L$500,0),0),0))</f>
        <v/>
      </c>
      <c r="W268" t="str">
        <f t="shared" si="91"/>
        <v/>
      </c>
      <c r="X268" s="38" t="str">
        <f>IF(L268="","",IF(V268&gt;0,INDEX('09-أيلول'!$P$2:$P$500,V268),IF($AO$1=1,0,"")))</f>
        <v/>
      </c>
      <c r="Y268" s="38" t="str">
        <f t="shared" si="92"/>
        <v/>
      </c>
      <c r="Z268" s="39" t="str">
        <f>IF(L268="","",IF(V268&gt;0,INDEX('09-أيلول'!$Q$2:$Q$500,V268),IF($AO$1=1,0,"")))</f>
        <v/>
      </c>
      <c r="AA268" s="39" t="str">
        <f t="shared" si="93"/>
        <v/>
      </c>
      <c r="AB268" s="40" t="str">
        <f>IF(OR(L268="",V268=0),"",IF(AND(N(I268)&gt;0,N(INDEX('09-أيلول'!$I$2:$I$500,V268))&gt;0,INDEX('09-أيلول'!$F$2:$F$500,V268)=F268),N(I268)/N(INDEX('09-أيلول'!$I$2:$I$500,V268))-1,""))</f>
        <v/>
      </c>
      <c r="AC268" t="str">
        <f>IF(L268="","",IF(AND($AO$2=1,ISNA(MATCH(L268,'11-تشرين الثاني'!$L$2:$L$501,0))),"محذوف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IF(L269="","",IF($AO$1=1,IFERROR(MATCH(L269,'09-أيلول'!$L$2:$L$500,0),0),0))</f>
        <v/>
      </c>
      <c r="W269" t="str">
        <f t="shared" si="91"/>
        <v/>
      </c>
      <c r="X269" s="38" t="str">
        <f>IF(L269="","",IF(V269&gt;0,INDEX('09-أيلول'!$P$2:$P$500,V269),IF($AO$1=1,0,"")))</f>
        <v/>
      </c>
      <c r="Y269" s="38" t="str">
        <f t="shared" si="92"/>
        <v/>
      </c>
      <c r="Z269" s="39" t="str">
        <f>IF(L269="","",IF(V269&gt;0,INDEX('09-أيلول'!$Q$2:$Q$500,V269),IF($AO$1=1,0,"")))</f>
        <v/>
      </c>
      <c r="AA269" s="39" t="str">
        <f t="shared" si="93"/>
        <v/>
      </c>
      <c r="AB269" s="40" t="str">
        <f>IF(OR(L269="",V269=0),"",IF(AND(N(I269)&gt;0,N(INDEX('09-أيلول'!$I$2:$I$500,V269))&gt;0,INDEX('09-أيلول'!$F$2:$F$500,V269)=F269),N(I269)/N(INDEX('09-أيلول'!$I$2:$I$500,V269))-1,""))</f>
        <v/>
      </c>
      <c r="AC269" t="str">
        <f>IF(L269="","",IF(AND($AO$2=1,ISNA(MATCH(L269,'11-تشرين الثاني'!$L$2:$L$501,0))),"محذوف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IF(L270="","",IF($AO$1=1,IFERROR(MATCH(L270,'09-أيلول'!$L$2:$L$500,0),0),0))</f>
        <v/>
      </c>
      <c r="W270" t="str">
        <f t="shared" si="91"/>
        <v/>
      </c>
      <c r="X270" s="38" t="str">
        <f>IF(L270="","",IF(V270&gt;0,INDEX('09-أيلول'!$P$2:$P$500,V270),IF($AO$1=1,0,"")))</f>
        <v/>
      </c>
      <c r="Y270" s="38" t="str">
        <f t="shared" si="92"/>
        <v/>
      </c>
      <c r="Z270" s="39" t="str">
        <f>IF(L270="","",IF(V270&gt;0,INDEX('09-أيلول'!$Q$2:$Q$500,V270),IF($AO$1=1,0,"")))</f>
        <v/>
      </c>
      <c r="AA270" s="39" t="str">
        <f t="shared" si="93"/>
        <v/>
      </c>
      <c r="AB270" s="40" t="str">
        <f>IF(OR(L270="",V270=0),"",IF(AND(N(I270)&gt;0,N(INDEX('09-أيلول'!$I$2:$I$500,V270))&gt;0,INDEX('09-أيلول'!$F$2:$F$500,V270)=F270),N(I270)/N(INDEX('09-أيلول'!$I$2:$I$500,V270))-1,""))</f>
        <v/>
      </c>
      <c r="AC270" t="str">
        <f>IF(L270="","",IF(AND($AO$2=1,ISNA(MATCH(L270,'11-تشرين الثاني'!$L$2:$L$501,0))),"محذوف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IF(L271="","",IF($AO$1=1,IFERROR(MATCH(L271,'09-أيلول'!$L$2:$L$500,0),0),0))</f>
        <v/>
      </c>
      <c r="W271" t="str">
        <f t="shared" si="91"/>
        <v/>
      </c>
      <c r="X271" s="38" t="str">
        <f>IF(L271="","",IF(V271&gt;0,INDEX('09-أيلول'!$P$2:$P$500,V271),IF($AO$1=1,0,"")))</f>
        <v/>
      </c>
      <c r="Y271" s="38" t="str">
        <f t="shared" si="92"/>
        <v/>
      </c>
      <c r="Z271" s="39" t="str">
        <f>IF(L271="","",IF(V271&gt;0,INDEX('09-أيلول'!$Q$2:$Q$500,V271),IF($AO$1=1,0,"")))</f>
        <v/>
      </c>
      <c r="AA271" s="39" t="str">
        <f t="shared" si="93"/>
        <v/>
      </c>
      <c r="AB271" s="40" t="str">
        <f>IF(OR(L271="",V271=0),"",IF(AND(N(I271)&gt;0,N(INDEX('09-أيلول'!$I$2:$I$500,V271))&gt;0,INDEX('09-أيلول'!$F$2:$F$500,V271)=F271),N(I271)/N(INDEX('09-أيلول'!$I$2:$I$500,V271))-1,""))</f>
        <v/>
      </c>
      <c r="AC271" t="str">
        <f>IF(L271="","",IF(AND($AO$2=1,ISNA(MATCH(L271,'11-تشرين الثاني'!$L$2:$L$501,0))),"محذوف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IF(L272="","",IF($AO$1=1,IFERROR(MATCH(L272,'09-أيلول'!$L$2:$L$500,0),0),0))</f>
        <v/>
      </c>
      <c r="W272" t="str">
        <f t="shared" si="91"/>
        <v/>
      </c>
      <c r="X272" s="38" t="str">
        <f>IF(L272="","",IF(V272&gt;0,INDEX('09-أيلول'!$P$2:$P$500,V272),IF($AO$1=1,0,"")))</f>
        <v/>
      </c>
      <c r="Y272" s="38" t="str">
        <f t="shared" si="92"/>
        <v/>
      </c>
      <c r="Z272" s="39" t="str">
        <f>IF(L272="","",IF(V272&gt;0,INDEX('09-أيلول'!$Q$2:$Q$500,V272),IF($AO$1=1,0,"")))</f>
        <v/>
      </c>
      <c r="AA272" s="39" t="str">
        <f t="shared" si="93"/>
        <v/>
      </c>
      <c r="AB272" s="40" t="str">
        <f>IF(OR(L272="",V272=0),"",IF(AND(N(I272)&gt;0,N(INDEX('09-أيلول'!$I$2:$I$500,V272))&gt;0,INDEX('09-أيلول'!$F$2:$F$500,V272)=F272),N(I272)/N(INDEX('09-أيلول'!$I$2:$I$500,V272))-1,""))</f>
        <v/>
      </c>
      <c r="AC272" t="str">
        <f>IF(L272="","",IF(AND($AO$2=1,ISNA(MATCH(L272,'11-تشرين الثاني'!$L$2:$L$501,0))),"محذوف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IF(L273="","",IF($AO$1=1,IFERROR(MATCH(L273,'09-أيلول'!$L$2:$L$500,0),0),0))</f>
        <v/>
      </c>
      <c r="W273" t="str">
        <f t="shared" si="91"/>
        <v/>
      </c>
      <c r="X273" s="38" t="str">
        <f>IF(L273="","",IF(V273&gt;0,INDEX('09-أيلول'!$P$2:$P$500,V273),IF($AO$1=1,0,"")))</f>
        <v/>
      </c>
      <c r="Y273" s="38" t="str">
        <f t="shared" si="92"/>
        <v/>
      </c>
      <c r="Z273" s="39" t="str">
        <f>IF(L273="","",IF(V273&gt;0,INDEX('09-أيلول'!$Q$2:$Q$500,V273),IF($AO$1=1,0,"")))</f>
        <v/>
      </c>
      <c r="AA273" s="39" t="str">
        <f t="shared" si="93"/>
        <v/>
      </c>
      <c r="AB273" s="40" t="str">
        <f>IF(OR(L273="",V273=0),"",IF(AND(N(I273)&gt;0,N(INDEX('09-أيلول'!$I$2:$I$500,V273))&gt;0,INDEX('09-أيلول'!$F$2:$F$500,V273)=F273),N(I273)/N(INDEX('09-أيلول'!$I$2:$I$500,V273))-1,""))</f>
        <v/>
      </c>
      <c r="AC273" t="str">
        <f>IF(L273="","",IF(AND($AO$2=1,ISNA(MATCH(L273,'11-تشرين الثاني'!$L$2:$L$501,0))),"محذوف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IF(L274="","",IF($AO$1=1,IFERROR(MATCH(L274,'09-أيلول'!$L$2:$L$500,0),0),0))</f>
        <v/>
      </c>
      <c r="W274" t="str">
        <f t="shared" si="91"/>
        <v/>
      </c>
      <c r="X274" s="38" t="str">
        <f>IF(L274="","",IF(V274&gt;0,INDEX('09-أيلول'!$P$2:$P$500,V274),IF($AO$1=1,0,"")))</f>
        <v/>
      </c>
      <c r="Y274" s="38" t="str">
        <f t="shared" si="92"/>
        <v/>
      </c>
      <c r="Z274" s="39" t="str">
        <f>IF(L274="","",IF(V274&gt;0,INDEX('09-أيلول'!$Q$2:$Q$500,V274),IF($AO$1=1,0,"")))</f>
        <v/>
      </c>
      <c r="AA274" s="39" t="str">
        <f t="shared" si="93"/>
        <v/>
      </c>
      <c r="AB274" s="40" t="str">
        <f>IF(OR(L274="",V274=0),"",IF(AND(N(I274)&gt;0,N(INDEX('09-أيلول'!$I$2:$I$500,V274))&gt;0,INDEX('09-أيلول'!$F$2:$F$500,V274)=F274),N(I274)/N(INDEX('09-أيلول'!$I$2:$I$500,V274))-1,""))</f>
        <v/>
      </c>
      <c r="AC274" t="str">
        <f>IF(L274="","",IF(AND($AO$2=1,ISNA(MATCH(L274,'11-تشرين الثاني'!$L$2:$L$501,0))),"محذوف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IF(L275="","",IF($AO$1=1,IFERROR(MATCH(L275,'09-أيلول'!$L$2:$L$500,0),0),0))</f>
        <v/>
      </c>
      <c r="W275" t="str">
        <f t="shared" si="91"/>
        <v/>
      </c>
      <c r="X275" s="38" t="str">
        <f>IF(L275="","",IF(V275&gt;0,INDEX('09-أيلول'!$P$2:$P$500,V275),IF($AO$1=1,0,"")))</f>
        <v/>
      </c>
      <c r="Y275" s="38" t="str">
        <f t="shared" si="92"/>
        <v/>
      </c>
      <c r="Z275" s="39" t="str">
        <f>IF(L275="","",IF(V275&gt;0,INDEX('09-أيلول'!$Q$2:$Q$500,V275),IF($AO$1=1,0,"")))</f>
        <v/>
      </c>
      <c r="AA275" s="39" t="str">
        <f t="shared" si="93"/>
        <v/>
      </c>
      <c r="AB275" s="40" t="str">
        <f>IF(OR(L275="",V275=0),"",IF(AND(N(I275)&gt;0,N(INDEX('09-أيلول'!$I$2:$I$500,V275))&gt;0,INDEX('09-أيلول'!$F$2:$F$500,V275)=F275),N(I275)/N(INDEX('09-أيلول'!$I$2:$I$500,V275))-1,""))</f>
        <v/>
      </c>
      <c r="AC275" t="str">
        <f>IF(L275="","",IF(AND($AO$2=1,ISNA(MATCH(L275,'11-تشرين الثاني'!$L$2:$L$501,0))),"محذوف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IF(L276="","",IF($AO$1=1,IFERROR(MATCH(L276,'09-أيلول'!$L$2:$L$500,0),0),0))</f>
        <v/>
      </c>
      <c r="W276" t="str">
        <f t="shared" si="91"/>
        <v/>
      </c>
      <c r="X276" s="38" t="str">
        <f>IF(L276="","",IF(V276&gt;0,INDEX('09-أيلول'!$P$2:$P$500,V276),IF($AO$1=1,0,"")))</f>
        <v/>
      </c>
      <c r="Y276" s="38" t="str">
        <f t="shared" si="92"/>
        <v/>
      </c>
      <c r="Z276" s="39" t="str">
        <f>IF(L276="","",IF(V276&gt;0,INDEX('09-أيلول'!$Q$2:$Q$500,V276),IF($AO$1=1,0,"")))</f>
        <v/>
      </c>
      <c r="AA276" s="39" t="str">
        <f t="shared" si="93"/>
        <v/>
      </c>
      <c r="AB276" s="40" t="str">
        <f>IF(OR(L276="",V276=0),"",IF(AND(N(I276)&gt;0,N(INDEX('09-أيلول'!$I$2:$I$500,V276))&gt;0,INDEX('09-أيلول'!$F$2:$F$500,V276)=F276),N(I276)/N(INDEX('09-أيلول'!$I$2:$I$500,V276))-1,""))</f>
        <v/>
      </c>
      <c r="AC276" t="str">
        <f>IF(L276="","",IF(AND($AO$2=1,ISNA(MATCH(L276,'11-تشرين الثاني'!$L$2:$L$501,0))),"محذوف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IF(L277="","",IF($AO$1=1,IFERROR(MATCH(L277,'09-أيلول'!$L$2:$L$500,0),0),0))</f>
        <v/>
      </c>
      <c r="W277" t="str">
        <f t="shared" si="91"/>
        <v/>
      </c>
      <c r="X277" s="38" t="str">
        <f>IF(L277="","",IF(V277&gt;0,INDEX('09-أيلول'!$P$2:$P$500,V277),IF($AO$1=1,0,"")))</f>
        <v/>
      </c>
      <c r="Y277" s="38" t="str">
        <f t="shared" si="92"/>
        <v/>
      </c>
      <c r="Z277" s="39" t="str">
        <f>IF(L277="","",IF(V277&gt;0,INDEX('09-أيلول'!$Q$2:$Q$500,V277),IF($AO$1=1,0,"")))</f>
        <v/>
      </c>
      <c r="AA277" s="39" t="str">
        <f t="shared" si="93"/>
        <v/>
      </c>
      <c r="AB277" s="40" t="str">
        <f>IF(OR(L277="",V277=0),"",IF(AND(N(I277)&gt;0,N(INDEX('09-أيلول'!$I$2:$I$500,V277))&gt;0,INDEX('09-أيلول'!$F$2:$F$500,V277)=F277),N(I277)/N(INDEX('09-أيلول'!$I$2:$I$500,V277))-1,""))</f>
        <v/>
      </c>
      <c r="AC277" t="str">
        <f>IF(L277="","",IF(AND($AO$2=1,ISNA(MATCH(L277,'11-تشرين الثاني'!$L$2:$L$501,0))),"محذوف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IF(L278="","",IF($AO$1=1,IFERROR(MATCH(L278,'09-أيلول'!$L$2:$L$500,0),0),0))</f>
        <v/>
      </c>
      <c r="W278" t="str">
        <f t="shared" si="91"/>
        <v/>
      </c>
      <c r="X278" s="38" t="str">
        <f>IF(L278="","",IF(V278&gt;0,INDEX('09-أيلول'!$P$2:$P$500,V278),IF($AO$1=1,0,"")))</f>
        <v/>
      </c>
      <c r="Y278" s="38" t="str">
        <f t="shared" si="92"/>
        <v/>
      </c>
      <c r="Z278" s="39" t="str">
        <f>IF(L278="","",IF(V278&gt;0,INDEX('09-أيلول'!$Q$2:$Q$500,V278),IF($AO$1=1,0,"")))</f>
        <v/>
      </c>
      <c r="AA278" s="39" t="str">
        <f t="shared" si="93"/>
        <v/>
      </c>
      <c r="AB278" s="40" t="str">
        <f>IF(OR(L278="",V278=0),"",IF(AND(N(I278)&gt;0,N(INDEX('09-أيلول'!$I$2:$I$500,V278))&gt;0,INDEX('09-أيلول'!$F$2:$F$500,V278)=F278),N(I278)/N(INDEX('09-أيلول'!$I$2:$I$500,V278))-1,""))</f>
        <v/>
      </c>
      <c r="AC278" t="str">
        <f>IF(L278="","",IF(AND($AO$2=1,ISNA(MATCH(L278,'11-تشرين الثاني'!$L$2:$L$501,0))),"محذوف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IF(L279="","",IF($AO$1=1,IFERROR(MATCH(L279,'09-أيلول'!$L$2:$L$500,0),0),0))</f>
        <v/>
      </c>
      <c r="W279" t="str">
        <f t="shared" si="91"/>
        <v/>
      </c>
      <c r="X279" s="38" t="str">
        <f>IF(L279="","",IF(V279&gt;0,INDEX('09-أيلول'!$P$2:$P$500,V279),IF($AO$1=1,0,"")))</f>
        <v/>
      </c>
      <c r="Y279" s="38" t="str">
        <f t="shared" si="92"/>
        <v/>
      </c>
      <c r="Z279" s="39" t="str">
        <f>IF(L279="","",IF(V279&gt;0,INDEX('09-أيلول'!$Q$2:$Q$500,V279),IF($AO$1=1,0,"")))</f>
        <v/>
      </c>
      <c r="AA279" s="39" t="str">
        <f t="shared" si="93"/>
        <v/>
      </c>
      <c r="AB279" s="40" t="str">
        <f>IF(OR(L279="",V279=0),"",IF(AND(N(I279)&gt;0,N(INDEX('09-أيلول'!$I$2:$I$500,V279))&gt;0,INDEX('09-أيلول'!$F$2:$F$500,V279)=F279),N(I279)/N(INDEX('09-أيلول'!$I$2:$I$500,V279))-1,""))</f>
        <v/>
      </c>
      <c r="AC279" t="str">
        <f>IF(L279="","",IF(AND($AO$2=1,ISNA(MATCH(L279,'11-تشرين الثاني'!$L$2:$L$501,0))),"محذوف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IF(L280="","",IF($AO$1=1,IFERROR(MATCH(L280,'09-أيلول'!$L$2:$L$500,0),0),0))</f>
        <v/>
      </c>
      <c r="W280" t="str">
        <f t="shared" si="91"/>
        <v/>
      </c>
      <c r="X280" s="38" t="str">
        <f>IF(L280="","",IF(V280&gt;0,INDEX('09-أيلول'!$P$2:$P$500,V280),IF($AO$1=1,0,"")))</f>
        <v/>
      </c>
      <c r="Y280" s="38" t="str">
        <f t="shared" si="92"/>
        <v/>
      </c>
      <c r="Z280" s="39" t="str">
        <f>IF(L280="","",IF(V280&gt;0,INDEX('09-أيلول'!$Q$2:$Q$500,V280),IF($AO$1=1,0,"")))</f>
        <v/>
      </c>
      <c r="AA280" s="39" t="str">
        <f t="shared" si="93"/>
        <v/>
      </c>
      <c r="AB280" s="40" t="str">
        <f>IF(OR(L280="",V280=0),"",IF(AND(N(I280)&gt;0,N(INDEX('09-أيلول'!$I$2:$I$500,V280))&gt;0,INDEX('09-أيلول'!$F$2:$F$500,V280)=F280),N(I280)/N(INDEX('09-أيلول'!$I$2:$I$500,V280))-1,""))</f>
        <v/>
      </c>
      <c r="AC280" t="str">
        <f>IF(L280="","",IF(AND($AO$2=1,ISNA(MATCH(L280,'11-تشرين الثاني'!$L$2:$L$501,0))),"محذوف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IF(L281="","",IF($AO$1=1,IFERROR(MATCH(L281,'09-أيلول'!$L$2:$L$500,0),0),0))</f>
        <v/>
      </c>
      <c r="W281" t="str">
        <f t="shared" si="91"/>
        <v/>
      </c>
      <c r="X281" s="38" t="str">
        <f>IF(L281="","",IF(V281&gt;0,INDEX('09-أيلول'!$P$2:$P$500,V281),IF($AO$1=1,0,"")))</f>
        <v/>
      </c>
      <c r="Y281" s="38" t="str">
        <f t="shared" si="92"/>
        <v/>
      </c>
      <c r="Z281" s="39" t="str">
        <f>IF(L281="","",IF(V281&gt;0,INDEX('09-أيلول'!$Q$2:$Q$500,V281),IF($AO$1=1,0,"")))</f>
        <v/>
      </c>
      <c r="AA281" s="39" t="str">
        <f t="shared" si="93"/>
        <v/>
      </c>
      <c r="AB281" s="40" t="str">
        <f>IF(OR(L281="",V281=0),"",IF(AND(N(I281)&gt;0,N(INDEX('09-أيلول'!$I$2:$I$500,V281))&gt;0,INDEX('09-أيلول'!$F$2:$F$500,V281)=F281),N(I281)/N(INDEX('09-أيلول'!$I$2:$I$500,V281))-1,""))</f>
        <v/>
      </c>
      <c r="AC281" t="str">
        <f>IF(L281="","",IF(AND($AO$2=1,ISNA(MATCH(L281,'11-تشرين الثاني'!$L$2:$L$501,0))),"محذوف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IF(L282="","",IF($AO$1=1,IFERROR(MATCH(L282,'09-أيلول'!$L$2:$L$500,0),0),0))</f>
        <v/>
      </c>
      <c r="W282" t="str">
        <f t="shared" si="91"/>
        <v/>
      </c>
      <c r="X282" s="38" t="str">
        <f>IF(L282="","",IF(V282&gt;0,INDEX('09-أيلول'!$P$2:$P$500,V282),IF($AO$1=1,0,"")))</f>
        <v/>
      </c>
      <c r="Y282" s="38" t="str">
        <f t="shared" si="92"/>
        <v/>
      </c>
      <c r="Z282" s="39" t="str">
        <f>IF(L282="","",IF(V282&gt;0,INDEX('09-أيلول'!$Q$2:$Q$500,V282),IF($AO$1=1,0,"")))</f>
        <v/>
      </c>
      <c r="AA282" s="39" t="str">
        <f t="shared" si="93"/>
        <v/>
      </c>
      <c r="AB282" s="40" t="str">
        <f>IF(OR(L282="",V282=0),"",IF(AND(N(I282)&gt;0,N(INDEX('09-أيلول'!$I$2:$I$500,V282))&gt;0,INDEX('09-أيلول'!$F$2:$F$500,V282)=F282),N(I282)/N(INDEX('09-أيلول'!$I$2:$I$500,V282))-1,""))</f>
        <v/>
      </c>
      <c r="AC282" t="str">
        <f>IF(L282="","",IF(AND($AO$2=1,ISNA(MATCH(L282,'11-تشرين الثاني'!$L$2:$L$501,0))),"محذوف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IF(L283="","",IF($AO$1=1,IFERROR(MATCH(L283,'09-أيلول'!$L$2:$L$500,0),0),0))</f>
        <v/>
      </c>
      <c r="W283" t="str">
        <f t="shared" si="91"/>
        <v/>
      </c>
      <c r="X283" s="38" t="str">
        <f>IF(L283="","",IF(V283&gt;0,INDEX('09-أيلول'!$P$2:$P$500,V283),IF($AO$1=1,0,"")))</f>
        <v/>
      </c>
      <c r="Y283" s="38" t="str">
        <f t="shared" si="92"/>
        <v/>
      </c>
      <c r="Z283" s="39" t="str">
        <f>IF(L283="","",IF(V283&gt;0,INDEX('09-أيلول'!$Q$2:$Q$500,V283),IF($AO$1=1,0,"")))</f>
        <v/>
      </c>
      <c r="AA283" s="39" t="str">
        <f t="shared" si="93"/>
        <v/>
      </c>
      <c r="AB283" s="40" t="str">
        <f>IF(OR(L283="",V283=0),"",IF(AND(N(I283)&gt;0,N(INDEX('09-أيلول'!$I$2:$I$500,V283))&gt;0,INDEX('09-أيلول'!$F$2:$F$500,V283)=F283),N(I283)/N(INDEX('09-أيلول'!$I$2:$I$500,V283))-1,""))</f>
        <v/>
      </c>
      <c r="AC283" t="str">
        <f>IF(L283="","",IF(AND($AO$2=1,ISNA(MATCH(L283,'11-تشرين الثاني'!$L$2:$L$501,0))),"محذوف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IF(L284="","",IF($AO$1=1,IFERROR(MATCH(L284,'09-أيلول'!$L$2:$L$500,0),0),0))</f>
        <v/>
      </c>
      <c r="W284" t="str">
        <f t="shared" si="91"/>
        <v/>
      </c>
      <c r="X284" s="38" t="str">
        <f>IF(L284="","",IF(V284&gt;0,INDEX('09-أيلول'!$P$2:$P$500,V284),IF($AO$1=1,0,"")))</f>
        <v/>
      </c>
      <c r="Y284" s="38" t="str">
        <f t="shared" si="92"/>
        <v/>
      </c>
      <c r="Z284" s="39" t="str">
        <f>IF(L284="","",IF(V284&gt;0,INDEX('09-أيلول'!$Q$2:$Q$500,V284),IF($AO$1=1,0,"")))</f>
        <v/>
      </c>
      <c r="AA284" s="39" t="str">
        <f t="shared" si="93"/>
        <v/>
      </c>
      <c r="AB284" s="40" t="str">
        <f>IF(OR(L284="",V284=0),"",IF(AND(N(I284)&gt;0,N(INDEX('09-أيلول'!$I$2:$I$500,V284))&gt;0,INDEX('09-أيلول'!$F$2:$F$500,V284)=F284),N(I284)/N(INDEX('09-أيلول'!$I$2:$I$500,V284))-1,""))</f>
        <v/>
      </c>
      <c r="AC284" t="str">
        <f>IF(L284="","",IF(AND($AO$2=1,ISNA(MATCH(L284,'11-تشرين الثاني'!$L$2:$L$501,0))),"محذوف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IF(L285="","",IF($AO$1=1,IFERROR(MATCH(L285,'09-أيلول'!$L$2:$L$500,0),0),0))</f>
        <v/>
      </c>
      <c r="W285" t="str">
        <f t="shared" si="91"/>
        <v/>
      </c>
      <c r="X285" s="38" t="str">
        <f>IF(L285="","",IF(V285&gt;0,INDEX('09-أيلول'!$P$2:$P$500,V285),IF($AO$1=1,0,"")))</f>
        <v/>
      </c>
      <c r="Y285" s="38" t="str">
        <f t="shared" si="92"/>
        <v/>
      </c>
      <c r="Z285" s="39" t="str">
        <f>IF(L285="","",IF(V285&gt;0,INDEX('09-أيلول'!$Q$2:$Q$500,V285),IF($AO$1=1,0,"")))</f>
        <v/>
      </c>
      <c r="AA285" s="39" t="str">
        <f t="shared" si="93"/>
        <v/>
      </c>
      <c r="AB285" s="40" t="str">
        <f>IF(OR(L285="",V285=0),"",IF(AND(N(I285)&gt;0,N(INDEX('09-أيلول'!$I$2:$I$500,V285))&gt;0,INDEX('09-أيلول'!$F$2:$F$500,V285)=F285),N(I285)/N(INDEX('09-أيلول'!$I$2:$I$500,V285))-1,""))</f>
        <v/>
      </c>
      <c r="AC285" t="str">
        <f>IF(L285="","",IF(AND($AO$2=1,ISNA(MATCH(L285,'11-تشرين الثاني'!$L$2:$L$501,0))),"محذوف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IF(L286="","",IF($AO$1=1,IFERROR(MATCH(L286,'09-أيلول'!$L$2:$L$500,0),0),0))</f>
        <v/>
      </c>
      <c r="W286" t="str">
        <f t="shared" si="91"/>
        <v/>
      </c>
      <c r="X286" s="38" t="str">
        <f>IF(L286="","",IF(V286&gt;0,INDEX('09-أيلول'!$P$2:$P$500,V286),IF($AO$1=1,0,"")))</f>
        <v/>
      </c>
      <c r="Y286" s="38" t="str">
        <f t="shared" si="92"/>
        <v/>
      </c>
      <c r="Z286" s="39" t="str">
        <f>IF(L286="","",IF(V286&gt;0,INDEX('09-أيلول'!$Q$2:$Q$500,V286),IF($AO$1=1,0,"")))</f>
        <v/>
      </c>
      <c r="AA286" s="39" t="str">
        <f t="shared" si="93"/>
        <v/>
      </c>
      <c r="AB286" s="40" t="str">
        <f>IF(OR(L286="",V286=0),"",IF(AND(N(I286)&gt;0,N(INDEX('09-أيلول'!$I$2:$I$500,V286))&gt;0,INDEX('09-أيلول'!$F$2:$F$500,V286)=F286),N(I286)/N(INDEX('09-أيلول'!$I$2:$I$500,V286))-1,""))</f>
        <v/>
      </c>
      <c r="AC286" t="str">
        <f>IF(L286="","",IF(AND($AO$2=1,ISNA(MATCH(L286,'11-تشرين الثاني'!$L$2:$L$501,0))),"محذوف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IF(L287="","",IF($AO$1=1,IFERROR(MATCH(L287,'09-أيلول'!$L$2:$L$500,0),0),0))</f>
        <v/>
      </c>
      <c r="W287" t="str">
        <f t="shared" si="91"/>
        <v/>
      </c>
      <c r="X287" s="38" t="str">
        <f>IF(L287="","",IF(V287&gt;0,INDEX('09-أيلول'!$P$2:$P$500,V287),IF($AO$1=1,0,"")))</f>
        <v/>
      </c>
      <c r="Y287" s="38" t="str">
        <f t="shared" si="92"/>
        <v/>
      </c>
      <c r="Z287" s="39" t="str">
        <f>IF(L287="","",IF(V287&gt;0,INDEX('09-أيلول'!$Q$2:$Q$500,V287),IF($AO$1=1,0,"")))</f>
        <v/>
      </c>
      <c r="AA287" s="39" t="str">
        <f t="shared" si="93"/>
        <v/>
      </c>
      <c r="AB287" s="40" t="str">
        <f>IF(OR(L287="",V287=0),"",IF(AND(N(I287)&gt;0,N(INDEX('09-أيلول'!$I$2:$I$500,V287))&gt;0,INDEX('09-أيلول'!$F$2:$F$500,V287)=F287),N(I287)/N(INDEX('09-أيلول'!$I$2:$I$500,V287))-1,""))</f>
        <v/>
      </c>
      <c r="AC287" t="str">
        <f>IF(L287="","",IF(AND($AO$2=1,ISNA(MATCH(L287,'11-تشرين الثاني'!$L$2:$L$501,0))),"محذوف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IF(L288="","",IF($AO$1=1,IFERROR(MATCH(L288,'09-أيلول'!$L$2:$L$500,0),0),0))</f>
        <v/>
      </c>
      <c r="W288" t="str">
        <f t="shared" si="91"/>
        <v/>
      </c>
      <c r="X288" s="38" t="str">
        <f>IF(L288="","",IF(V288&gt;0,INDEX('09-أيلول'!$P$2:$P$500,V288),IF($AO$1=1,0,"")))</f>
        <v/>
      </c>
      <c r="Y288" s="38" t="str">
        <f t="shared" si="92"/>
        <v/>
      </c>
      <c r="Z288" s="39" t="str">
        <f>IF(L288="","",IF(V288&gt;0,INDEX('09-أيلول'!$Q$2:$Q$500,V288),IF($AO$1=1,0,"")))</f>
        <v/>
      </c>
      <c r="AA288" s="39" t="str">
        <f t="shared" si="93"/>
        <v/>
      </c>
      <c r="AB288" s="40" t="str">
        <f>IF(OR(L288="",V288=0),"",IF(AND(N(I288)&gt;0,N(INDEX('09-أيلول'!$I$2:$I$500,V288))&gt;0,INDEX('09-أيلول'!$F$2:$F$500,V288)=F288),N(I288)/N(INDEX('09-أيلول'!$I$2:$I$500,V288))-1,""))</f>
        <v/>
      </c>
      <c r="AC288" t="str">
        <f>IF(L288="","",IF(AND($AO$2=1,ISNA(MATCH(L288,'11-تشرين الثاني'!$L$2:$L$501,0))),"محذوف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IF(L289="","",IF($AO$1=1,IFERROR(MATCH(L289,'09-أيلول'!$L$2:$L$500,0),0),0))</f>
        <v/>
      </c>
      <c r="W289" t="str">
        <f t="shared" si="91"/>
        <v/>
      </c>
      <c r="X289" s="38" t="str">
        <f>IF(L289="","",IF(V289&gt;0,INDEX('09-أيلول'!$P$2:$P$500,V289),IF($AO$1=1,0,"")))</f>
        <v/>
      </c>
      <c r="Y289" s="38" t="str">
        <f t="shared" si="92"/>
        <v/>
      </c>
      <c r="Z289" s="39" t="str">
        <f>IF(L289="","",IF(V289&gt;0,INDEX('09-أيلول'!$Q$2:$Q$500,V289),IF($AO$1=1,0,"")))</f>
        <v/>
      </c>
      <c r="AA289" s="39" t="str">
        <f t="shared" si="93"/>
        <v/>
      </c>
      <c r="AB289" s="40" t="str">
        <f>IF(OR(L289="",V289=0),"",IF(AND(N(I289)&gt;0,N(INDEX('09-أيلول'!$I$2:$I$500,V289))&gt;0,INDEX('09-أيلول'!$F$2:$F$500,V289)=F289),N(I289)/N(INDEX('09-أيلول'!$I$2:$I$500,V289))-1,""))</f>
        <v/>
      </c>
      <c r="AC289" t="str">
        <f>IF(L289="","",IF(AND($AO$2=1,ISNA(MATCH(L289,'11-تشرين الثاني'!$L$2:$L$501,0))),"محذوف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IF(L290="","",IF($AO$1=1,IFERROR(MATCH(L290,'09-أيلول'!$L$2:$L$500,0),0),0))</f>
        <v/>
      </c>
      <c r="W290" t="str">
        <f t="shared" si="91"/>
        <v/>
      </c>
      <c r="X290" s="38" t="str">
        <f>IF(L290="","",IF(V290&gt;0,INDEX('09-أيلول'!$P$2:$P$500,V290),IF($AO$1=1,0,"")))</f>
        <v/>
      </c>
      <c r="Y290" s="38" t="str">
        <f t="shared" si="92"/>
        <v/>
      </c>
      <c r="Z290" s="39" t="str">
        <f>IF(L290="","",IF(V290&gt;0,INDEX('09-أيلول'!$Q$2:$Q$500,V290),IF($AO$1=1,0,"")))</f>
        <v/>
      </c>
      <c r="AA290" s="39" t="str">
        <f t="shared" si="93"/>
        <v/>
      </c>
      <c r="AB290" s="40" t="str">
        <f>IF(OR(L290="",V290=0),"",IF(AND(N(I290)&gt;0,N(INDEX('09-أيلول'!$I$2:$I$500,V290))&gt;0,INDEX('09-أيلول'!$F$2:$F$500,V290)=F290),N(I290)/N(INDEX('09-أيلول'!$I$2:$I$500,V290))-1,""))</f>
        <v/>
      </c>
      <c r="AC290" t="str">
        <f>IF(L290="","",IF(AND($AO$2=1,ISNA(MATCH(L290,'11-تشرين الثاني'!$L$2:$L$501,0))),"محذوف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IF(L291="","",IF($AO$1=1,IFERROR(MATCH(L291,'09-أيلول'!$L$2:$L$500,0),0),0))</f>
        <v/>
      </c>
      <c r="W291" t="str">
        <f t="shared" si="91"/>
        <v/>
      </c>
      <c r="X291" s="38" t="str">
        <f>IF(L291="","",IF(V291&gt;0,INDEX('09-أيلول'!$P$2:$P$500,V291),IF($AO$1=1,0,"")))</f>
        <v/>
      </c>
      <c r="Y291" s="38" t="str">
        <f t="shared" si="92"/>
        <v/>
      </c>
      <c r="Z291" s="39" t="str">
        <f>IF(L291="","",IF(V291&gt;0,INDEX('09-أيلول'!$Q$2:$Q$500,V291),IF($AO$1=1,0,"")))</f>
        <v/>
      </c>
      <c r="AA291" s="39" t="str">
        <f t="shared" si="93"/>
        <v/>
      </c>
      <c r="AB291" s="40" t="str">
        <f>IF(OR(L291="",V291=0),"",IF(AND(N(I291)&gt;0,N(INDEX('09-أيلول'!$I$2:$I$500,V291))&gt;0,INDEX('09-أيلول'!$F$2:$F$500,V291)=F291),N(I291)/N(INDEX('09-أيلول'!$I$2:$I$500,V291))-1,""))</f>
        <v/>
      </c>
      <c r="AC291" t="str">
        <f>IF(L291="","",IF(AND($AO$2=1,ISNA(MATCH(L291,'11-تشرين الثاني'!$L$2:$L$501,0))),"محذوف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IF(L292="","",IF($AO$1=1,IFERROR(MATCH(L292,'09-أيلول'!$L$2:$L$500,0),0),0))</f>
        <v/>
      </c>
      <c r="W292" t="str">
        <f t="shared" si="91"/>
        <v/>
      </c>
      <c r="X292" s="38" t="str">
        <f>IF(L292="","",IF(V292&gt;0,INDEX('09-أيلول'!$P$2:$P$500,V292),IF($AO$1=1,0,"")))</f>
        <v/>
      </c>
      <c r="Y292" s="38" t="str">
        <f t="shared" si="92"/>
        <v/>
      </c>
      <c r="Z292" s="39" t="str">
        <f>IF(L292="","",IF(V292&gt;0,INDEX('09-أيلول'!$Q$2:$Q$500,V292),IF($AO$1=1,0,"")))</f>
        <v/>
      </c>
      <c r="AA292" s="39" t="str">
        <f t="shared" si="93"/>
        <v/>
      </c>
      <c r="AB292" s="40" t="str">
        <f>IF(OR(L292="",V292=0),"",IF(AND(N(I292)&gt;0,N(INDEX('09-أيلول'!$I$2:$I$500,V292))&gt;0,INDEX('09-أيلول'!$F$2:$F$500,V292)=F292),N(I292)/N(INDEX('09-أيلول'!$I$2:$I$500,V292))-1,""))</f>
        <v/>
      </c>
      <c r="AC292" t="str">
        <f>IF(L292="","",IF(AND($AO$2=1,ISNA(MATCH(L292,'11-تشرين الثاني'!$L$2:$L$501,0))),"محذوف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IF(L293="","",IF($AO$1=1,IFERROR(MATCH(L293,'09-أيلول'!$L$2:$L$500,0),0),0))</f>
        <v/>
      </c>
      <c r="W293" t="str">
        <f t="shared" si="91"/>
        <v/>
      </c>
      <c r="X293" s="38" t="str">
        <f>IF(L293="","",IF(V293&gt;0,INDEX('09-أيلول'!$P$2:$P$500,V293),IF($AO$1=1,0,"")))</f>
        <v/>
      </c>
      <c r="Y293" s="38" t="str">
        <f t="shared" si="92"/>
        <v/>
      </c>
      <c r="Z293" s="39" t="str">
        <f>IF(L293="","",IF(V293&gt;0,INDEX('09-أيلول'!$Q$2:$Q$500,V293),IF($AO$1=1,0,"")))</f>
        <v/>
      </c>
      <c r="AA293" s="39" t="str">
        <f t="shared" si="93"/>
        <v/>
      </c>
      <c r="AB293" s="40" t="str">
        <f>IF(OR(L293="",V293=0),"",IF(AND(N(I293)&gt;0,N(INDEX('09-أيلول'!$I$2:$I$500,V293))&gt;0,INDEX('09-أيلول'!$F$2:$F$500,V293)=F293),N(I293)/N(INDEX('09-أيلول'!$I$2:$I$500,V293))-1,""))</f>
        <v/>
      </c>
      <c r="AC293" t="str">
        <f>IF(L293="","",IF(AND($AO$2=1,ISNA(MATCH(L293,'11-تشرين الثاني'!$L$2:$L$501,0))),"محذوف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IF(L294="","",IF($AO$1=1,IFERROR(MATCH(L294,'09-أيلول'!$L$2:$L$500,0),0),0))</f>
        <v/>
      </c>
      <c r="W294" t="str">
        <f t="shared" si="91"/>
        <v/>
      </c>
      <c r="X294" s="38" t="str">
        <f>IF(L294="","",IF(V294&gt;0,INDEX('09-أيلول'!$P$2:$P$500,V294),IF($AO$1=1,0,"")))</f>
        <v/>
      </c>
      <c r="Y294" s="38" t="str">
        <f t="shared" si="92"/>
        <v/>
      </c>
      <c r="Z294" s="39" t="str">
        <f>IF(L294="","",IF(V294&gt;0,INDEX('09-أيلول'!$Q$2:$Q$500,V294),IF($AO$1=1,0,"")))</f>
        <v/>
      </c>
      <c r="AA294" s="39" t="str">
        <f t="shared" si="93"/>
        <v/>
      </c>
      <c r="AB294" s="40" t="str">
        <f>IF(OR(L294="",V294=0),"",IF(AND(N(I294)&gt;0,N(INDEX('09-أيلول'!$I$2:$I$500,V294))&gt;0,INDEX('09-أيلول'!$F$2:$F$500,V294)=F294),N(I294)/N(INDEX('09-أيلول'!$I$2:$I$500,V294))-1,""))</f>
        <v/>
      </c>
      <c r="AC294" t="str">
        <f>IF(L294="","",IF(AND($AO$2=1,ISNA(MATCH(L294,'11-تشرين الثاني'!$L$2:$L$501,0))),"محذوف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IF(L295="","",IF($AO$1=1,IFERROR(MATCH(L295,'09-أيلول'!$L$2:$L$500,0),0),0))</f>
        <v/>
      </c>
      <c r="W295" t="str">
        <f t="shared" si="91"/>
        <v/>
      </c>
      <c r="X295" s="38" t="str">
        <f>IF(L295="","",IF(V295&gt;0,INDEX('09-أيلول'!$P$2:$P$500,V295),IF($AO$1=1,0,"")))</f>
        <v/>
      </c>
      <c r="Y295" s="38" t="str">
        <f t="shared" si="92"/>
        <v/>
      </c>
      <c r="Z295" s="39" t="str">
        <f>IF(L295="","",IF(V295&gt;0,INDEX('09-أيلول'!$Q$2:$Q$500,V295),IF($AO$1=1,0,"")))</f>
        <v/>
      </c>
      <c r="AA295" s="39" t="str">
        <f t="shared" si="93"/>
        <v/>
      </c>
      <c r="AB295" s="40" t="str">
        <f>IF(OR(L295="",V295=0),"",IF(AND(N(I295)&gt;0,N(INDEX('09-أيلول'!$I$2:$I$500,V295))&gt;0,INDEX('09-أيلول'!$F$2:$F$500,V295)=F295),N(I295)/N(INDEX('09-أيلول'!$I$2:$I$500,V295))-1,""))</f>
        <v/>
      </c>
      <c r="AC295" t="str">
        <f>IF(L295="","",IF(AND($AO$2=1,ISNA(MATCH(L295,'11-تشرين الثاني'!$L$2:$L$501,0))),"محذوف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IF(L296="","",IF($AO$1=1,IFERROR(MATCH(L296,'09-أيلول'!$L$2:$L$500,0),0),0))</f>
        <v/>
      </c>
      <c r="W296" t="str">
        <f t="shared" si="91"/>
        <v/>
      </c>
      <c r="X296" s="38" t="str">
        <f>IF(L296="","",IF(V296&gt;0,INDEX('09-أيلول'!$P$2:$P$500,V296),IF($AO$1=1,0,"")))</f>
        <v/>
      </c>
      <c r="Y296" s="38" t="str">
        <f t="shared" si="92"/>
        <v/>
      </c>
      <c r="Z296" s="39" t="str">
        <f>IF(L296="","",IF(V296&gt;0,INDEX('09-أيلول'!$Q$2:$Q$500,V296),IF($AO$1=1,0,"")))</f>
        <v/>
      </c>
      <c r="AA296" s="39" t="str">
        <f t="shared" si="93"/>
        <v/>
      </c>
      <c r="AB296" s="40" t="str">
        <f>IF(OR(L296="",V296=0),"",IF(AND(N(I296)&gt;0,N(INDEX('09-أيلول'!$I$2:$I$500,V296))&gt;0,INDEX('09-أيلول'!$F$2:$F$500,V296)=F296),N(I296)/N(INDEX('09-أيلول'!$I$2:$I$500,V296))-1,""))</f>
        <v/>
      </c>
      <c r="AC296" t="str">
        <f>IF(L296="","",IF(AND($AO$2=1,ISNA(MATCH(L296,'11-تشرين الثاني'!$L$2:$L$501,0))),"محذوف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IF(L297="","",IF($AO$1=1,IFERROR(MATCH(L297,'09-أيلول'!$L$2:$L$500,0),0),0))</f>
        <v/>
      </c>
      <c r="W297" t="str">
        <f t="shared" si="91"/>
        <v/>
      </c>
      <c r="X297" s="38" t="str">
        <f>IF(L297="","",IF(V297&gt;0,INDEX('09-أيلول'!$P$2:$P$500,V297),IF($AO$1=1,0,"")))</f>
        <v/>
      </c>
      <c r="Y297" s="38" t="str">
        <f t="shared" si="92"/>
        <v/>
      </c>
      <c r="Z297" s="39" t="str">
        <f>IF(L297="","",IF(V297&gt;0,INDEX('09-أيلول'!$Q$2:$Q$500,V297),IF($AO$1=1,0,"")))</f>
        <v/>
      </c>
      <c r="AA297" s="39" t="str">
        <f t="shared" si="93"/>
        <v/>
      </c>
      <c r="AB297" s="40" t="str">
        <f>IF(OR(L297="",V297=0),"",IF(AND(N(I297)&gt;0,N(INDEX('09-أيلول'!$I$2:$I$500,V297))&gt;0,INDEX('09-أيلول'!$F$2:$F$500,V297)=F297),N(I297)/N(INDEX('09-أيلول'!$I$2:$I$500,V297))-1,""))</f>
        <v/>
      </c>
      <c r="AC297" t="str">
        <f>IF(L297="","",IF(AND($AO$2=1,ISNA(MATCH(L297,'11-تشرين الثاني'!$L$2:$L$501,0))),"محذوف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IF(L298="","",IF($AO$1=1,IFERROR(MATCH(L298,'09-أيلول'!$L$2:$L$500,0),0),0))</f>
        <v/>
      </c>
      <c r="W298" t="str">
        <f t="shared" si="91"/>
        <v/>
      </c>
      <c r="X298" s="38" t="str">
        <f>IF(L298="","",IF(V298&gt;0,INDEX('09-أيلول'!$P$2:$P$500,V298),IF($AO$1=1,0,"")))</f>
        <v/>
      </c>
      <c r="Y298" s="38" t="str">
        <f t="shared" si="92"/>
        <v/>
      </c>
      <c r="Z298" s="39" t="str">
        <f>IF(L298="","",IF(V298&gt;0,INDEX('09-أيلول'!$Q$2:$Q$500,V298),IF($AO$1=1,0,"")))</f>
        <v/>
      </c>
      <c r="AA298" s="39" t="str">
        <f t="shared" si="93"/>
        <v/>
      </c>
      <c r="AB298" s="40" t="str">
        <f>IF(OR(L298="",V298=0),"",IF(AND(N(I298)&gt;0,N(INDEX('09-أيلول'!$I$2:$I$500,V298))&gt;0,INDEX('09-أيلول'!$F$2:$F$500,V298)=F298),N(I298)/N(INDEX('09-أيلول'!$I$2:$I$500,V298))-1,""))</f>
        <v/>
      </c>
      <c r="AC298" t="str">
        <f>IF(L298="","",IF(AND($AO$2=1,ISNA(MATCH(L298,'11-تشرين الثاني'!$L$2:$L$501,0))),"محذوف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IF(L299="","",IF($AO$1=1,IFERROR(MATCH(L299,'09-أيلول'!$L$2:$L$500,0),0),0))</f>
        <v/>
      </c>
      <c r="W299" t="str">
        <f t="shared" si="91"/>
        <v/>
      </c>
      <c r="X299" s="38" t="str">
        <f>IF(L299="","",IF(V299&gt;0,INDEX('09-أيلول'!$P$2:$P$500,V299),IF($AO$1=1,0,"")))</f>
        <v/>
      </c>
      <c r="Y299" s="38" t="str">
        <f t="shared" si="92"/>
        <v/>
      </c>
      <c r="Z299" s="39" t="str">
        <f>IF(L299="","",IF(V299&gt;0,INDEX('09-أيلول'!$Q$2:$Q$500,V299),IF($AO$1=1,0,"")))</f>
        <v/>
      </c>
      <c r="AA299" s="39" t="str">
        <f t="shared" si="93"/>
        <v/>
      </c>
      <c r="AB299" s="40" t="str">
        <f>IF(OR(L299="",V299=0),"",IF(AND(N(I299)&gt;0,N(INDEX('09-أيلول'!$I$2:$I$500,V299))&gt;0,INDEX('09-أيلول'!$F$2:$F$500,V299)=F299),N(I299)/N(INDEX('09-أيلول'!$I$2:$I$500,V299))-1,""))</f>
        <v/>
      </c>
      <c r="AC299" t="str">
        <f>IF(L299="","",IF(AND($AO$2=1,ISNA(MATCH(L299,'11-تشرين الثاني'!$L$2:$L$501,0))),"محذوف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IF(L300="","",IF($AO$1=1,IFERROR(MATCH(L300,'09-أيلول'!$L$2:$L$500,0),0),0))</f>
        <v/>
      </c>
      <c r="W300" t="str">
        <f t="shared" si="91"/>
        <v/>
      </c>
      <c r="X300" s="38" t="str">
        <f>IF(L300="","",IF(V300&gt;0,INDEX('09-أيلول'!$P$2:$P$500,V300),IF($AO$1=1,0,"")))</f>
        <v/>
      </c>
      <c r="Y300" s="38" t="str">
        <f t="shared" si="92"/>
        <v/>
      </c>
      <c r="Z300" s="39" t="str">
        <f>IF(L300="","",IF(V300&gt;0,INDEX('09-أيلول'!$Q$2:$Q$500,V300),IF($AO$1=1,0,"")))</f>
        <v/>
      </c>
      <c r="AA300" s="39" t="str">
        <f t="shared" si="93"/>
        <v/>
      </c>
      <c r="AB300" s="40" t="str">
        <f>IF(OR(L300="",V300=0),"",IF(AND(N(I300)&gt;0,N(INDEX('09-أيلول'!$I$2:$I$500,V300))&gt;0,INDEX('09-أيلول'!$F$2:$F$500,V300)=F300),N(I300)/N(INDEX('09-أيلول'!$I$2:$I$500,V300))-1,""))</f>
        <v/>
      </c>
      <c r="AC300" t="str">
        <f>IF(L300="","",IF(AND($AO$2=1,ISNA(MATCH(L300,'11-تشرين الثاني'!$L$2:$L$501,0))),"محذوف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IF(L301="","",IF($AO$1=1,IFERROR(MATCH(L301,'09-أيلول'!$L$2:$L$500,0),0),0))</f>
        <v/>
      </c>
      <c r="W301" t="str">
        <f t="shared" si="91"/>
        <v/>
      </c>
      <c r="X301" s="38" t="str">
        <f>IF(L301="","",IF(V301&gt;0,INDEX('09-أيلول'!$P$2:$P$500,V301),IF($AO$1=1,0,"")))</f>
        <v/>
      </c>
      <c r="Y301" s="38" t="str">
        <f t="shared" si="92"/>
        <v/>
      </c>
      <c r="Z301" s="39" t="str">
        <f>IF(L301="","",IF(V301&gt;0,INDEX('09-أيلول'!$Q$2:$Q$500,V301),IF($AO$1=1,0,"")))</f>
        <v/>
      </c>
      <c r="AA301" s="39" t="str">
        <f t="shared" si="93"/>
        <v/>
      </c>
      <c r="AB301" s="40" t="str">
        <f>IF(OR(L301="",V301=0),"",IF(AND(N(I301)&gt;0,N(INDEX('09-أيلول'!$I$2:$I$500,V301))&gt;0,INDEX('09-أيلول'!$F$2:$F$500,V301)=F301),N(I301)/N(INDEX('09-أيلول'!$I$2:$I$500,V301))-1,""))</f>
        <v/>
      </c>
      <c r="AC301" t="str">
        <f>IF(L301="","",IF(AND($AO$2=1,ISNA(MATCH(L301,'11-تشرين الثاني'!$L$2:$L$501,0))),"محذوف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IF(L302="","",IF($AO$1=1,IFERROR(MATCH(L302,'09-أيلول'!$L$2:$L$500,0),0),0))</f>
        <v/>
      </c>
      <c r="W302" t="str">
        <f t="shared" si="91"/>
        <v/>
      </c>
      <c r="X302" s="38" t="str">
        <f>IF(L302="","",IF(V302&gt;0,INDEX('09-أيلول'!$P$2:$P$500,V302),IF($AO$1=1,0,"")))</f>
        <v/>
      </c>
      <c r="Y302" s="38" t="str">
        <f t="shared" si="92"/>
        <v/>
      </c>
      <c r="Z302" s="39" t="str">
        <f>IF(L302="","",IF(V302&gt;0,INDEX('09-أيلول'!$Q$2:$Q$500,V302),IF($AO$1=1,0,"")))</f>
        <v/>
      </c>
      <c r="AA302" s="39" t="str">
        <f t="shared" si="93"/>
        <v/>
      </c>
      <c r="AB302" s="40" t="str">
        <f>IF(OR(L302="",V302=0),"",IF(AND(N(I302)&gt;0,N(INDEX('09-أيلول'!$I$2:$I$500,V302))&gt;0,INDEX('09-أيلول'!$F$2:$F$500,V302)=F302),N(I302)/N(INDEX('09-أيلول'!$I$2:$I$500,V302))-1,""))</f>
        <v/>
      </c>
      <c r="AC302" t="str">
        <f>IF(L302="","",IF(AND($AO$2=1,ISNA(MATCH(L302,'11-تشرين الثاني'!$L$2:$L$501,0))),"محذوف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IF(L303="","",IF($AO$1=1,IFERROR(MATCH(L303,'09-أيلول'!$L$2:$L$500,0),0),0))</f>
        <v/>
      </c>
      <c r="W303" t="str">
        <f t="shared" si="91"/>
        <v/>
      </c>
      <c r="X303" s="38" t="str">
        <f>IF(L303="","",IF(V303&gt;0,INDEX('09-أيلول'!$P$2:$P$500,V303),IF($AO$1=1,0,"")))</f>
        <v/>
      </c>
      <c r="Y303" s="38" t="str">
        <f t="shared" si="92"/>
        <v/>
      </c>
      <c r="Z303" s="39" t="str">
        <f>IF(L303="","",IF(V303&gt;0,INDEX('09-أيلول'!$Q$2:$Q$500,V303),IF($AO$1=1,0,"")))</f>
        <v/>
      </c>
      <c r="AA303" s="39" t="str">
        <f t="shared" si="93"/>
        <v/>
      </c>
      <c r="AB303" s="40" t="str">
        <f>IF(OR(L303="",V303=0),"",IF(AND(N(I303)&gt;0,N(INDEX('09-أيلول'!$I$2:$I$500,V303))&gt;0,INDEX('09-أيلول'!$F$2:$F$500,V303)=F303),N(I303)/N(INDEX('09-أيلول'!$I$2:$I$500,V303))-1,""))</f>
        <v/>
      </c>
      <c r="AC303" t="str">
        <f>IF(L303="","",IF(AND($AO$2=1,ISNA(MATCH(L303,'11-تشرين الثاني'!$L$2:$L$501,0))),"محذوف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IF(L304="","",IF($AO$1=1,IFERROR(MATCH(L304,'09-أيلول'!$L$2:$L$500,0),0),0))</f>
        <v/>
      </c>
      <c r="W304" t="str">
        <f t="shared" si="91"/>
        <v/>
      </c>
      <c r="X304" s="38" t="str">
        <f>IF(L304="","",IF(V304&gt;0,INDEX('09-أيلول'!$P$2:$P$500,V304),IF($AO$1=1,0,"")))</f>
        <v/>
      </c>
      <c r="Y304" s="38" t="str">
        <f t="shared" si="92"/>
        <v/>
      </c>
      <c r="Z304" s="39" t="str">
        <f>IF(L304="","",IF(V304&gt;0,INDEX('09-أيلول'!$Q$2:$Q$500,V304),IF($AO$1=1,0,"")))</f>
        <v/>
      </c>
      <c r="AA304" s="39" t="str">
        <f t="shared" si="93"/>
        <v/>
      </c>
      <c r="AB304" s="40" t="str">
        <f>IF(OR(L304="",V304=0),"",IF(AND(N(I304)&gt;0,N(INDEX('09-أيلول'!$I$2:$I$500,V304))&gt;0,INDEX('09-أيلول'!$F$2:$F$500,V304)=F304),N(I304)/N(INDEX('09-أيلول'!$I$2:$I$500,V304))-1,""))</f>
        <v/>
      </c>
      <c r="AC304" t="str">
        <f>IF(L304="","",IF(AND($AO$2=1,ISNA(MATCH(L304,'11-تشرين الثاني'!$L$2:$L$501,0))),"محذوف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IF(L305="","",IF($AO$1=1,IFERROR(MATCH(L305,'09-أيلول'!$L$2:$L$500,0),0),0))</f>
        <v/>
      </c>
      <c r="W305" t="str">
        <f t="shared" si="91"/>
        <v/>
      </c>
      <c r="X305" s="38" t="str">
        <f>IF(L305="","",IF(V305&gt;0,INDEX('09-أيلول'!$P$2:$P$500,V305),IF($AO$1=1,0,"")))</f>
        <v/>
      </c>
      <c r="Y305" s="38" t="str">
        <f t="shared" si="92"/>
        <v/>
      </c>
      <c r="Z305" s="39" t="str">
        <f>IF(L305="","",IF(V305&gt;0,INDEX('09-أيلول'!$Q$2:$Q$500,V305),IF($AO$1=1,0,"")))</f>
        <v/>
      </c>
      <c r="AA305" s="39" t="str">
        <f t="shared" si="93"/>
        <v/>
      </c>
      <c r="AB305" s="40" t="str">
        <f>IF(OR(L305="",V305=0),"",IF(AND(N(I305)&gt;0,N(INDEX('09-أيلول'!$I$2:$I$500,V305))&gt;0,INDEX('09-أيلول'!$F$2:$F$500,V305)=F305),N(I305)/N(INDEX('09-أيلول'!$I$2:$I$500,V305))-1,""))</f>
        <v/>
      </c>
      <c r="AC305" t="str">
        <f>IF(L305="","",IF(AND($AO$2=1,ISNA(MATCH(L305,'11-تشرين الثاني'!$L$2:$L$501,0))),"محذوف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IF(L306="","",IF($AO$1=1,IFERROR(MATCH(L306,'09-أيلول'!$L$2:$L$500,0),0),0))</f>
        <v/>
      </c>
      <c r="W306" t="str">
        <f t="shared" si="91"/>
        <v/>
      </c>
      <c r="X306" s="38" t="str">
        <f>IF(L306="","",IF(V306&gt;0,INDEX('09-أيلول'!$P$2:$P$500,V306),IF($AO$1=1,0,"")))</f>
        <v/>
      </c>
      <c r="Y306" s="38" t="str">
        <f t="shared" si="92"/>
        <v/>
      </c>
      <c r="Z306" s="39" t="str">
        <f>IF(L306="","",IF(V306&gt;0,INDEX('09-أيلول'!$Q$2:$Q$500,V306),IF($AO$1=1,0,"")))</f>
        <v/>
      </c>
      <c r="AA306" s="39" t="str">
        <f t="shared" si="93"/>
        <v/>
      </c>
      <c r="AB306" s="40" t="str">
        <f>IF(OR(L306="",V306=0),"",IF(AND(N(I306)&gt;0,N(INDEX('09-أيلول'!$I$2:$I$500,V306))&gt;0,INDEX('09-أيلول'!$F$2:$F$500,V306)=F306),N(I306)/N(INDEX('09-أيلول'!$I$2:$I$500,V306))-1,""))</f>
        <v/>
      </c>
      <c r="AC306" t="str">
        <f>IF(L306="","",IF(AND($AO$2=1,ISNA(MATCH(L306,'11-تشرين الثاني'!$L$2:$L$501,0))),"محذوف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IF(L307="","",IF($AO$1=1,IFERROR(MATCH(L307,'09-أيلول'!$L$2:$L$500,0),0),0))</f>
        <v/>
      </c>
      <c r="W307" t="str">
        <f t="shared" si="91"/>
        <v/>
      </c>
      <c r="X307" s="38" t="str">
        <f>IF(L307="","",IF(V307&gt;0,INDEX('09-أيلول'!$P$2:$P$500,V307),IF($AO$1=1,0,"")))</f>
        <v/>
      </c>
      <c r="Y307" s="38" t="str">
        <f t="shared" si="92"/>
        <v/>
      </c>
      <c r="Z307" s="39" t="str">
        <f>IF(L307="","",IF(V307&gt;0,INDEX('09-أيلول'!$Q$2:$Q$500,V307),IF($AO$1=1,0,"")))</f>
        <v/>
      </c>
      <c r="AA307" s="39" t="str">
        <f t="shared" si="93"/>
        <v/>
      </c>
      <c r="AB307" s="40" t="str">
        <f>IF(OR(L307="",V307=0),"",IF(AND(N(I307)&gt;0,N(INDEX('09-أيلول'!$I$2:$I$500,V307))&gt;0,INDEX('09-أيلول'!$F$2:$F$500,V307)=F307),N(I307)/N(INDEX('09-أيلول'!$I$2:$I$500,V307))-1,""))</f>
        <v/>
      </c>
      <c r="AC307" t="str">
        <f>IF(L307="","",IF(AND($AO$2=1,ISNA(MATCH(L307,'11-تشرين الثاني'!$L$2:$L$501,0))),"محذوف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IF(L308="","",IF($AO$1=1,IFERROR(MATCH(L308,'09-أيلول'!$L$2:$L$500,0),0),0))</f>
        <v/>
      </c>
      <c r="W308" t="str">
        <f t="shared" si="91"/>
        <v/>
      </c>
      <c r="X308" s="38" t="str">
        <f>IF(L308="","",IF(V308&gt;0,INDEX('09-أيلول'!$P$2:$P$500,V308),IF($AO$1=1,0,"")))</f>
        <v/>
      </c>
      <c r="Y308" s="38" t="str">
        <f t="shared" si="92"/>
        <v/>
      </c>
      <c r="Z308" s="39" t="str">
        <f>IF(L308="","",IF(V308&gt;0,INDEX('09-أيلول'!$Q$2:$Q$500,V308),IF($AO$1=1,0,"")))</f>
        <v/>
      </c>
      <c r="AA308" s="39" t="str">
        <f t="shared" si="93"/>
        <v/>
      </c>
      <c r="AB308" s="40" t="str">
        <f>IF(OR(L308="",V308=0),"",IF(AND(N(I308)&gt;0,N(INDEX('09-أيلول'!$I$2:$I$500,V308))&gt;0,INDEX('09-أيلول'!$F$2:$F$500,V308)=F308),N(I308)/N(INDEX('09-أيلول'!$I$2:$I$500,V308))-1,""))</f>
        <v/>
      </c>
      <c r="AC308" t="str">
        <f>IF(L308="","",IF(AND($AO$2=1,ISNA(MATCH(L308,'11-تشرين الثاني'!$L$2:$L$501,0))),"محذوف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IF(L309="","",IF($AO$1=1,IFERROR(MATCH(L309,'09-أيلول'!$L$2:$L$500,0),0),0))</f>
        <v/>
      </c>
      <c r="W309" t="str">
        <f t="shared" si="91"/>
        <v/>
      </c>
      <c r="X309" s="38" t="str">
        <f>IF(L309="","",IF(V309&gt;0,INDEX('09-أيلول'!$P$2:$P$500,V309),IF($AO$1=1,0,"")))</f>
        <v/>
      </c>
      <c r="Y309" s="38" t="str">
        <f t="shared" si="92"/>
        <v/>
      </c>
      <c r="Z309" s="39" t="str">
        <f>IF(L309="","",IF(V309&gt;0,INDEX('09-أيلول'!$Q$2:$Q$500,V309),IF($AO$1=1,0,"")))</f>
        <v/>
      </c>
      <c r="AA309" s="39" t="str">
        <f t="shared" si="93"/>
        <v/>
      </c>
      <c r="AB309" s="40" t="str">
        <f>IF(OR(L309="",V309=0),"",IF(AND(N(I309)&gt;0,N(INDEX('09-أيلول'!$I$2:$I$500,V309))&gt;0,INDEX('09-أيلول'!$F$2:$F$500,V309)=F309),N(I309)/N(INDEX('09-أيلول'!$I$2:$I$500,V309))-1,""))</f>
        <v/>
      </c>
      <c r="AC309" t="str">
        <f>IF(L309="","",IF(AND($AO$2=1,ISNA(MATCH(L309,'11-تشرين الثاني'!$L$2:$L$501,0))),"محذوف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IF(L310="","",IF($AO$1=1,IFERROR(MATCH(L310,'09-أيلول'!$L$2:$L$500,0),0),0))</f>
        <v/>
      </c>
      <c r="W310" t="str">
        <f t="shared" si="91"/>
        <v/>
      </c>
      <c r="X310" s="38" t="str">
        <f>IF(L310="","",IF(V310&gt;0,INDEX('09-أيلول'!$P$2:$P$500,V310),IF($AO$1=1,0,"")))</f>
        <v/>
      </c>
      <c r="Y310" s="38" t="str">
        <f t="shared" si="92"/>
        <v/>
      </c>
      <c r="Z310" s="39" t="str">
        <f>IF(L310="","",IF(V310&gt;0,INDEX('09-أيلول'!$Q$2:$Q$500,V310),IF($AO$1=1,0,"")))</f>
        <v/>
      </c>
      <c r="AA310" s="39" t="str">
        <f t="shared" si="93"/>
        <v/>
      </c>
      <c r="AB310" s="40" t="str">
        <f>IF(OR(L310="",V310=0),"",IF(AND(N(I310)&gt;0,N(INDEX('09-أيلول'!$I$2:$I$500,V310))&gt;0,INDEX('09-أيلول'!$F$2:$F$500,V310)=F310),N(I310)/N(INDEX('09-أيلول'!$I$2:$I$500,V310))-1,""))</f>
        <v/>
      </c>
      <c r="AC310" t="str">
        <f>IF(L310="","",IF(AND($AO$2=1,ISNA(MATCH(L310,'11-تشرين الثاني'!$L$2:$L$501,0))),"محذوف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IF(L311="","",IF($AO$1=1,IFERROR(MATCH(L311,'09-أيلول'!$L$2:$L$500,0),0),0))</f>
        <v/>
      </c>
      <c r="W311" t="str">
        <f t="shared" si="91"/>
        <v/>
      </c>
      <c r="X311" s="38" t="str">
        <f>IF(L311="","",IF(V311&gt;0,INDEX('09-أيلول'!$P$2:$P$500,V311),IF($AO$1=1,0,"")))</f>
        <v/>
      </c>
      <c r="Y311" s="38" t="str">
        <f t="shared" si="92"/>
        <v/>
      </c>
      <c r="Z311" s="39" t="str">
        <f>IF(L311="","",IF(V311&gt;0,INDEX('09-أيلول'!$Q$2:$Q$500,V311),IF($AO$1=1,0,"")))</f>
        <v/>
      </c>
      <c r="AA311" s="39" t="str">
        <f t="shared" si="93"/>
        <v/>
      </c>
      <c r="AB311" s="40" t="str">
        <f>IF(OR(L311="",V311=0),"",IF(AND(N(I311)&gt;0,N(INDEX('09-أيلول'!$I$2:$I$500,V311))&gt;0,INDEX('09-أيلول'!$F$2:$F$500,V311)=F311),N(I311)/N(INDEX('09-أيلول'!$I$2:$I$500,V311))-1,""))</f>
        <v/>
      </c>
      <c r="AC311" t="str">
        <f>IF(L311="","",IF(AND($AO$2=1,ISNA(MATCH(L311,'11-تشرين الثاني'!$L$2:$L$501,0))),"محذوف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IF(L312="","",IF($AO$1=1,IFERROR(MATCH(L312,'09-أيلول'!$L$2:$L$500,0),0),0))</f>
        <v/>
      </c>
      <c r="W312" t="str">
        <f t="shared" si="91"/>
        <v/>
      </c>
      <c r="X312" s="38" t="str">
        <f>IF(L312="","",IF(V312&gt;0,INDEX('09-أيلول'!$P$2:$P$500,V312),IF($AO$1=1,0,"")))</f>
        <v/>
      </c>
      <c r="Y312" s="38" t="str">
        <f t="shared" si="92"/>
        <v/>
      </c>
      <c r="Z312" s="39" t="str">
        <f>IF(L312="","",IF(V312&gt;0,INDEX('09-أيلول'!$Q$2:$Q$500,V312),IF($AO$1=1,0,"")))</f>
        <v/>
      </c>
      <c r="AA312" s="39" t="str">
        <f t="shared" si="93"/>
        <v/>
      </c>
      <c r="AB312" s="40" t="str">
        <f>IF(OR(L312="",V312=0),"",IF(AND(N(I312)&gt;0,N(INDEX('09-أيلول'!$I$2:$I$500,V312))&gt;0,INDEX('09-أيلول'!$F$2:$F$500,V312)=F312),N(I312)/N(INDEX('09-أيلول'!$I$2:$I$500,V312))-1,""))</f>
        <v/>
      </c>
      <c r="AC312" t="str">
        <f>IF(L312="","",IF(AND($AO$2=1,ISNA(MATCH(L312,'11-تشرين الثاني'!$L$2:$L$501,0))),"محذوف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IF(L313="","",IF($AO$1=1,IFERROR(MATCH(L313,'09-أيلول'!$L$2:$L$500,0),0),0))</f>
        <v/>
      </c>
      <c r="W313" t="str">
        <f t="shared" si="91"/>
        <v/>
      </c>
      <c r="X313" s="38" t="str">
        <f>IF(L313="","",IF(V313&gt;0,INDEX('09-أيلول'!$P$2:$P$500,V313),IF($AO$1=1,0,"")))</f>
        <v/>
      </c>
      <c r="Y313" s="38" t="str">
        <f t="shared" si="92"/>
        <v/>
      </c>
      <c r="Z313" s="39" t="str">
        <f>IF(L313="","",IF(V313&gt;0,INDEX('09-أيلول'!$Q$2:$Q$500,V313),IF($AO$1=1,0,"")))</f>
        <v/>
      </c>
      <c r="AA313" s="39" t="str">
        <f t="shared" si="93"/>
        <v/>
      </c>
      <c r="AB313" s="40" t="str">
        <f>IF(OR(L313="",V313=0),"",IF(AND(N(I313)&gt;0,N(INDEX('09-أيلول'!$I$2:$I$500,V313))&gt;0,INDEX('09-أيلول'!$F$2:$F$500,V313)=F313),N(I313)/N(INDEX('09-أيلول'!$I$2:$I$500,V313))-1,""))</f>
        <v/>
      </c>
      <c r="AC313" t="str">
        <f>IF(L313="","",IF(AND($AO$2=1,ISNA(MATCH(L313,'11-تشرين الثاني'!$L$2:$L$501,0))),"محذوف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IF(L314="","",IF($AO$1=1,IFERROR(MATCH(L314,'09-أيلول'!$L$2:$L$500,0),0),0))</f>
        <v/>
      </c>
      <c r="W314" t="str">
        <f t="shared" si="91"/>
        <v/>
      </c>
      <c r="X314" s="38" t="str">
        <f>IF(L314="","",IF(V314&gt;0,INDEX('09-أيلول'!$P$2:$P$500,V314),IF($AO$1=1,0,"")))</f>
        <v/>
      </c>
      <c r="Y314" s="38" t="str">
        <f t="shared" si="92"/>
        <v/>
      </c>
      <c r="Z314" s="39" t="str">
        <f>IF(L314="","",IF(V314&gt;0,INDEX('09-أيلول'!$Q$2:$Q$500,V314),IF($AO$1=1,0,"")))</f>
        <v/>
      </c>
      <c r="AA314" s="39" t="str">
        <f t="shared" si="93"/>
        <v/>
      </c>
      <c r="AB314" s="40" t="str">
        <f>IF(OR(L314="",V314=0),"",IF(AND(N(I314)&gt;0,N(INDEX('09-أيلول'!$I$2:$I$500,V314))&gt;0,INDEX('09-أيلول'!$F$2:$F$500,V314)=F314),N(I314)/N(INDEX('09-أيلول'!$I$2:$I$500,V314))-1,""))</f>
        <v/>
      </c>
      <c r="AC314" t="str">
        <f>IF(L314="","",IF(AND($AO$2=1,ISNA(MATCH(L314,'11-تشرين الثاني'!$L$2:$L$501,0))),"محذوف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IF(L315="","",IF($AO$1=1,IFERROR(MATCH(L315,'09-أيلول'!$L$2:$L$500,0),0),0))</f>
        <v/>
      </c>
      <c r="W315" t="str">
        <f t="shared" si="91"/>
        <v/>
      </c>
      <c r="X315" s="38" t="str">
        <f>IF(L315="","",IF(V315&gt;0,INDEX('09-أيلول'!$P$2:$P$500,V315),IF($AO$1=1,0,"")))</f>
        <v/>
      </c>
      <c r="Y315" s="38" t="str">
        <f t="shared" si="92"/>
        <v/>
      </c>
      <c r="Z315" s="39" t="str">
        <f>IF(L315="","",IF(V315&gt;0,INDEX('09-أيلول'!$Q$2:$Q$500,V315),IF($AO$1=1,0,"")))</f>
        <v/>
      </c>
      <c r="AA315" s="39" t="str">
        <f t="shared" si="93"/>
        <v/>
      </c>
      <c r="AB315" s="40" t="str">
        <f>IF(OR(L315="",V315=0),"",IF(AND(N(I315)&gt;0,N(INDEX('09-أيلول'!$I$2:$I$500,V315))&gt;0,INDEX('09-أيلول'!$F$2:$F$500,V315)=F315),N(I315)/N(INDEX('09-أيلول'!$I$2:$I$500,V315))-1,""))</f>
        <v/>
      </c>
      <c r="AC315" t="str">
        <f>IF(L315="","",IF(AND($AO$2=1,ISNA(MATCH(L315,'11-تشرين الثاني'!$L$2:$L$501,0))),"محذوف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IF(L316="","",IF($AO$1=1,IFERROR(MATCH(L316,'09-أيلول'!$L$2:$L$500,0),0),0))</f>
        <v/>
      </c>
      <c r="W316" t="str">
        <f t="shared" si="91"/>
        <v/>
      </c>
      <c r="X316" s="38" t="str">
        <f>IF(L316="","",IF(V316&gt;0,INDEX('09-أيلول'!$P$2:$P$500,V316),IF($AO$1=1,0,"")))</f>
        <v/>
      </c>
      <c r="Y316" s="38" t="str">
        <f t="shared" si="92"/>
        <v/>
      </c>
      <c r="Z316" s="39" t="str">
        <f>IF(L316="","",IF(V316&gt;0,INDEX('09-أيلول'!$Q$2:$Q$500,V316),IF($AO$1=1,0,"")))</f>
        <v/>
      </c>
      <c r="AA316" s="39" t="str">
        <f t="shared" si="93"/>
        <v/>
      </c>
      <c r="AB316" s="40" t="str">
        <f>IF(OR(L316="",V316=0),"",IF(AND(N(I316)&gt;0,N(INDEX('09-أيلول'!$I$2:$I$500,V316))&gt;0,INDEX('09-أيلول'!$F$2:$F$500,V316)=F316),N(I316)/N(INDEX('09-أيلول'!$I$2:$I$500,V316))-1,""))</f>
        <v/>
      </c>
      <c r="AC316" t="str">
        <f>IF(L316="","",IF(AND($AO$2=1,ISNA(MATCH(L316,'11-تشرين الثاني'!$L$2:$L$501,0))),"محذوف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IF(L317="","",IF($AO$1=1,IFERROR(MATCH(L317,'09-أيلول'!$L$2:$L$500,0),0),0))</f>
        <v/>
      </c>
      <c r="W317" t="str">
        <f t="shared" si="91"/>
        <v/>
      </c>
      <c r="X317" s="38" t="str">
        <f>IF(L317="","",IF(V317&gt;0,INDEX('09-أيلول'!$P$2:$P$500,V317),IF($AO$1=1,0,"")))</f>
        <v/>
      </c>
      <c r="Y317" s="38" t="str">
        <f t="shared" si="92"/>
        <v/>
      </c>
      <c r="Z317" s="39" t="str">
        <f>IF(L317="","",IF(V317&gt;0,INDEX('09-أيلول'!$Q$2:$Q$500,V317),IF($AO$1=1,0,"")))</f>
        <v/>
      </c>
      <c r="AA317" s="39" t="str">
        <f t="shared" si="93"/>
        <v/>
      </c>
      <c r="AB317" s="40" t="str">
        <f>IF(OR(L317="",V317=0),"",IF(AND(N(I317)&gt;0,N(INDEX('09-أيلول'!$I$2:$I$500,V317))&gt;0,INDEX('09-أيلول'!$F$2:$F$500,V317)=F317),N(I317)/N(INDEX('09-أيلول'!$I$2:$I$500,V317))-1,""))</f>
        <v/>
      </c>
      <c r="AC317" t="str">
        <f>IF(L317="","",IF(AND($AO$2=1,ISNA(MATCH(L317,'11-تشرين الثاني'!$L$2:$L$501,0))),"محذوف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IF(L318="","",IF($AO$1=1,IFERROR(MATCH(L318,'09-أيلول'!$L$2:$L$500,0),0),0))</f>
        <v/>
      </c>
      <c r="W318" t="str">
        <f t="shared" si="91"/>
        <v/>
      </c>
      <c r="X318" s="38" t="str">
        <f>IF(L318="","",IF(V318&gt;0,INDEX('09-أيلول'!$P$2:$P$500,V318),IF($AO$1=1,0,"")))</f>
        <v/>
      </c>
      <c r="Y318" s="38" t="str">
        <f t="shared" si="92"/>
        <v/>
      </c>
      <c r="Z318" s="39" t="str">
        <f>IF(L318="","",IF(V318&gt;0,INDEX('09-أيلول'!$Q$2:$Q$500,V318),IF($AO$1=1,0,"")))</f>
        <v/>
      </c>
      <c r="AA318" s="39" t="str">
        <f t="shared" si="93"/>
        <v/>
      </c>
      <c r="AB318" s="40" t="str">
        <f>IF(OR(L318="",V318=0),"",IF(AND(N(I318)&gt;0,N(INDEX('09-أيلول'!$I$2:$I$500,V318))&gt;0,INDEX('09-أيلول'!$F$2:$F$500,V318)=F318),N(I318)/N(INDEX('09-أيلول'!$I$2:$I$500,V318))-1,""))</f>
        <v/>
      </c>
      <c r="AC318" t="str">
        <f>IF(L318="","",IF(AND($AO$2=1,ISNA(MATCH(L318,'11-تشرين الثاني'!$L$2:$L$501,0))),"محذوف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IF(L319="","",IF($AO$1=1,IFERROR(MATCH(L319,'09-أيلول'!$L$2:$L$500,0),0),0))</f>
        <v/>
      </c>
      <c r="W319" t="str">
        <f t="shared" si="91"/>
        <v/>
      </c>
      <c r="X319" s="38" t="str">
        <f>IF(L319="","",IF(V319&gt;0,INDEX('09-أيلول'!$P$2:$P$500,V319),IF($AO$1=1,0,"")))</f>
        <v/>
      </c>
      <c r="Y319" s="38" t="str">
        <f t="shared" si="92"/>
        <v/>
      </c>
      <c r="Z319" s="39" t="str">
        <f>IF(L319="","",IF(V319&gt;0,INDEX('09-أيلول'!$Q$2:$Q$500,V319),IF($AO$1=1,0,"")))</f>
        <v/>
      </c>
      <c r="AA319" s="39" t="str">
        <f t="shared" si="93"/>
        <v/>
      </c>
      <c r="AB319" s="40" t="str">
        <f>IF(OR(L319="",V319=0),"",IF(AND(N(I319)&gt;0,N(INDEX('09-أيلول'!$I$2:$I$500,V319))&gt;0,INDEX('09-أيلول'!$F$2:$F$500,V319)=F319),N(I319)/N(INDEX('09-أيلول'!$I$2:$I$500,V319))-1,""))</f>
        <v/>
      </c>
      <c r="AC319" t="str">
        <f>IF(L319="","",IF(AND($AO$2=1,ISNA(MATCH(L319,'11-تشرين الثاني'!$L$2:$L$501,0))),"محذوف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IF(L320="","",IF($AO$1=1,IFERROR(MATCH(L320,'09-أيلول'!$L$2:$L$500,0),0),0))</f>
        <v/>
      </c>
      <c r="W320" t="str">
        <f t="shared" si="91"/>
        <v/>
      </c>
      <c r="X320" s="38" t="str">
        <f>IF(L320="","",IF(V320&gt;0,INDEX('09-أيلول'!$P$2:$P$500,V320),IF($AO$1=1,0,"")))</f>
        <v/>
      </c>
      <c r="Y320" s="38" t="str">
        <f t="shared" si="92"/>
        <v/>
      </c>
      <c r="Z320" s="39" t="str">
        <f>IF(L320="","",IF(V320&gt;0,INDEX('09-أيلول'!$Q$2:$Q$500,V320),IF($AO$1=1,0,"")))</f>
        <v/>
      </c>
      <c r="AA320" s="39" t="str">
        <f t="shared" si="93"/>
        <v/>
      </c>
      <c r="AB320" s="40" t="str">
        <f>IF(OR(L320="",V320=0),"",IF(AND(N(I320)&gt;0,N(INDEX('09-أيلول'!$I$2:$I$500,V320))&gt;0,INDEX('09-أيلول'!$F$2:$F$500,V320)=F320),N(I320)/N(INDEX('09-أيلول'!$I$2:$I$500,V320))-1,""))</f>
        <v/>
      </c>
      <c r="AC320" t="str">
        <f>IF(L320="","",IF(AND($AO$2=1,ISNA(MATCH(L320,'11-تشرين الثاني'!$L$2:$L$501,0))),"محذوف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IF(L321="","",IF($AO$1=1,IFERROR(MATCH(L321,'09-أيلول'!$L$2:$L$500,0),0),0))</f>
        <v/>
      </c>
      <c r="W321" t="str">
        <f t="shared" si="91"/>
        <v/>
      </c>
      <c r="X321" s="38" t="str">
        <f>IF(L321="","",IF(V321&gt;0,INDEX('09-أيلول'!$P$2:$P$500,V321),IF($AO$1=1,0,"")))</f>
        <v/>
      </c>
      <c r="Y321" s="38" t="str">
        <f t="shared" si="92"/>
        <v/>
      </c>
      <c r="Z321" s="39" t="str">
        <f>IF(L321="","",IF(V321&gt;0,INDEX('09-أيلول'!$Q$2:$Q$500,V321),IF($AO$1=1,0,"")))</f>
        <v/>
      </c>
      <c r="AA321" s="39" t="str">
        <f t="shared" si="93"/>
        <v/>
      </c>
      <c r="AB321" s="40" t="str">
        <f>IF(OR(L321="",V321=0),"",IF(AND(N(I321)&gt;0,N(INDEX('09-أيلول'!$I$2:$I$500,V321))&gt;0,INDEX('09-أيلول'!$F$2:$F$500,V321)=F321),N(I321)/N(INDEX('09-أيلول'!$I$2:$I$500,V321))-1,""))</f>
        <v/>
      </c>
      <c r="AC321" t="str">
        <f>IF(L321="","",IF(AND($AO$2=1,ISNA(MATCH(L321,'11-تشرين الثاني'!$L$2:$L$501,0))),"محذوف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IF(L322="","",IF($AO$1=1,IFERROR(MATCH(L322,'09-أيلول'!$L$2:$L$500,0),0),0))</f>
        <v/>
      </c>
      <c r="W322" t="str">
        <f t="shared" ref="W322:W385" si="111">IF(L322="","",IF(AND($AO$1=1,V322=0),"جديد",""))</f>
        <v/>
      </c>
      <c r="X322" s="38" t="str">
        <f>IF(L322="","",IF(V322&gt;0,INDEX('09-أيلول'!$P$2:$P$500,V322),IF($AO$1=1,0,"")))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IF(L322="","",IF(V322&gt;0,INDEX('09-أيلول'!$Q$2:$Q$500,V322),IF($AO$1=1,0,"")))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IF(OR(L322="",V322=0),"",IF(AND(N(I322)&gt;0,N(INDEX('09-أيلول'!$I$2:$I$500,V322))&gt;0,INDEX('09-أيلول'!$F$2:$F$500,V322)=F322),N(I322)/N(INDEX('09-أيلول'!$I$2:$I$500,V322))-1,""))</f>
        <v/>
      </c>
      <c r="AC322" t="str">
        <f>IF(L322="","",IF(AND($AO$2=1,ISNA(MATCH(L322,'11-تشرين الثاني'!$L$2:$L$501,0))),"محذوف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IF(L323="","",IF($AO$1=1,IFERROR(MATCH(L323,'09-أيلول'!$L$2:$L$500,0),0),0))</f>
        <v/>
      </c>
      <c r="W323" t="str">
        <f t="shared" si="111"/>
        <v/>
      </c>
      <c r="X323" s="38" t="str">
        <f>IF(L323="","",IF(V323&gt;0,INDEX('09-أيلول'!$P$2:$P$500,V323),IF($AO$1=1,0,"")))</f>
        <v/>
      </c>
      <c r="Y323" s="38" t="str">
        <f t="shared" si="112"/>
        <v/>
      </c>
      <c r="Z323" s="39" t="str">
        <f>IF(L323="","",IF(V323&gt;0,INDEX('09-أيلول'!$Q$2:$Q$500,V323),IF($AO$1=1,0,"")))</f>
        <v/>
      </c>
      <c r="AA323" s="39" t="str">
        <f t="shared" si="113"/>
        <v/>
      </c>
      <c r="AB323" s="40" t="str">
        <f>IF(OR(L323="",V323=0),"",IF(AND(N(I323)&gt;0,N(INDEX('09-أيلول'!$I$2:$I$500,V323))&gt;0,INDEX('09-أيلول'!$F$2:$F$500,V323)=F323),N(I323)/N(INDEX('09-أيلول'!$I$2:$I$500,V323))-1,""))</f>
        <v/>
      </c>
      <c r="AC323" t="str">
        <f>IF(L323="","",IF(AND($AO$2=1,ISNA(MATCH(L323,'11-تشرين الثاني'!$L$2:$L$501,0))),"محذوف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IF(L324="","",IF($AO$1=1,IFERROR(MATCH(L324,'09-أيلول'!$L$2:$L$500,0),0),0))</f>
        <v/>
      </c>
      <c r="W324" t="str">
        <f t="shared" si="111"/>
        <v/>
      </c>
      <c r="X324" s="38" t="str">
        <f>IF(L324="","",IF(V324&gt;0,INDEX('09-أيلول'!$P$2:$P$500,V324),IF($AO$1=1,0,"")))</f>
        <v/>
      </c>
      <c r="Y324" s="38" t="str">
        <f t="shared" si="112"/>
        <v/>
      </c>
      <c r="Z324" s="39" t="str">
        <f>IF(L324="","",IF(V324&gt;0,INDEX('09-أيلول'!$Q$2:$Q$500,V324),IF($AO$1=1,0,"")))</f>
        <v/>
      </c>
      <c r="AA324" s="39" t="str">
        <f t="shared" si="113"/>
        <v/>
      </c>
      <c r="AB324" s="40" t="str">
        <f>IF(OR(L324="",V324=0),"",IF(AND(N(I324)&gt;0,N(INDEX('09-أيلول'!$I$2:$I$500,V324))&gt;0,INDEX('09-أيلول'!$F$2:$F$500,V324)=F324),N(I324)/N(INDEX('09-أيلول'!$I$2:$I$500,V324))-1,""))</f>
        <v/>
      </c>
      <c r="AC324" t="str">
        <f>IF(L324="","",IF(AND($AO$2=1,ISNA(MATCH(L324,'11-تشرين الثاني'!$L$2:$L$501,0))),"محذوف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IF(L325="","",IF($AO$1=1,IFERROR(MATCH(L325,'09-أيلول'!$L$2:$L$500,0),0),0))</f>
        <v/>
      </c>
      <c r="W325" t="str">
        <f t="shared" si="111"/>
        <v/>
      </c>
      <c r="X325" s="38" t="str">
        <f>IF(L325="","",IF(V325&gt;0,INDEX('09-أيلول'!$P$2:$P$500,V325),IF($AO$1=1,0,"")))</f>
        <v/>
      </c>
      <c r="Y325" s="38" t="str">
        <f t="shared" si="112"/>
        <v/>
      </c>
      <c r="Z325" s="39" t="str">
        <f>IF(L325="","",IF(V325&gt;0,INDEX('09-أيلول'!$Q$2:$Q$500,V325),IF($AO$1=1,0,"")))</f>
        <v/>
      </c>
      <c r="AA325" s="39" t="str">
        <f t="shared" si="113"/>
        <v/>
      </c>
      <c r="AB325" s="40" t="str">
        <f>IF(OR(L325="",V325=0),"",IF(AND(N(I325)&gt;0,N(INDEX('09-أيلول'!$I$2:$I$500,V325))&gt;0,INDEX('09-أيلول'!$F$2:$F$500,V325)=F325),N(I325)/N(INDEX('09-أيلول'!$I$2:$I$500,V325))-1,""))</f>
        <v/>
      </c>
      <c r="AC325" t="str">
        <f>IF(L325="","",IF(AND($AO$2=1,ISNA(MATCH(L325,'11-تشرين الثاني'!$L$2:$L$501,0))),"محذوف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IF(L326="","",IF($AO$1=1,IFERROR(MATCH(L326,'09-أيلول'!$L$2:$L$500,0),0),0))</f>
        <v/>
      </c>
      <c r="W326" t="str">
        <f t="shared" si="111"/>
        <v/>
      </c>
      <c r="X326" s="38" t="str">
        <f>IF(L326="","",IF(V326&gt;0,INDEX('09-أيلول'!$P$2:$P$500,V326),IF($AO$1=1,0,"")))</f>
        <v/>
      </c>
      <c r="Y326" s="38" t="str">
        <f t="shared" si="112"/>
        <v/>
      </c>
      <c r="Z326" s="39" t="str">
        <f>IF(L326="","",IF(V326&gt;0,INDEX('09-أيلول'!$Q$2:$Q$500,V326),IF($AO$1=1,0,"")))</f>
        <v/>
      </c>
      <c r="AA326" s="39" t="str">
        <f t="shared" si="113"/>
        <v/>
      </c>
      <c r="AB326" s="40" t="str">
        <f>IF(OR(L326="",V326=0),"",IF(AND(N(I326)&gt;0,N(INDEX('09-أيلول'!$I$2:$I$500,V326))&gt;0,INDEX('09-أيلول'!$F$2:$F$500,V326)=F326),N(I326)/N(INDEX('09-أيلول'!$I$2:$I$500,V326))-1,""))</f>
        <v/>
      </c>
      <c r="AC326" t="str">
        <f>IF(L326="","",IF(AND($AO$2=1,ISNA(MATCH(L326,'11-تشرين الثاني'!$L$2:$L$501,0))),"محذوف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IF(L327="","",IF($AO$1=1,IFERROR(MATCH(L327,'09-أيلول'!$L$2:$L$500,0),0),0))</f>
        <v/>
      </c>
      <c r="W327" t="str">
        <f t="shared" si="111"/>
        <v/>
      </c>
      <c r="X327" s="38" t="str">
        <f>IF(L327="","",IF(V327&gt;0,INDEX('09-أيلول'!$P$2:$P$500,V327),IF($AO$1=1,0,"")))</f>
        <v/>
      </c>
      <c r="Y327" s="38" t="str">
        <f t="shared" si="112"/>
        <v/>
      </c>
      <c r="Z327" s="39" t="str">
        <f>IF(L327="","",IF(V327&gt;0,INDEX('09-أيلول'!$Q$2:$Q$500,V327),IF($AO$1=1,0,"")))</f>
        <v/>
      </c>
      <c r="AA327" s="39" t="str">
        <f t="shared" si="113"/>
        <v/>
      </c>
      <c r="AB327" s="40" t="str">
        <f>IF(OR(L327="",V327=0),"",IF(AND(N(I327)&gt;0,N(INDEX('09-أيلول'!$I$2:$I$500,V327))&gt;0,INDEX('09-أيلول'!$F$2:$F$500,V327)=F327),N(I327)/N(INDEX('09-أيلول'!$I$2:$I$500,V327))-1,""))</f>
        <v/>
      </c>
      <c r="AC327" t="str">
        <f>IF(L327="","",IF(AND($AO$2=1,ISNA(MATCH(L327,'11-تشرين الثاني'!$L$2:$L$501,0))),"محذوف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IF(L328="","",IF($AO$1=1,IFERROR(MATCH(L328,'09-أيلول'!$L$2:$L$500,0),0),0))</f>
        <v/>
      </c>
      <c r="W328" t="str">
        <f t="shared" si="111"/>
        <v/>
      </c>
      <c r="X328" s="38" t="str">
        <f>IF(L328="","",IF(V328&gt;0,INDEX('09-أيلول'!$P$2:$P$500,V328),IF($AO$1=1,0,"")))</f>
        <v/>
      </c>
      <c r="Y328" s="38" t="str">
        <f t="shared" si="112"/>
        <v/>
      </c>
      <c r="Z328" s="39" t="str">
        <f>IF(L328="","",IF(V328&gt;0,INDEX('09-أيلول'!$Q$2:$Q$500,V328),IF($AO$1=1,0,"")))</f>
        <v/>
      </c>
      <c r="AA328" s="39" t="str">
        <f t="shared" si="113"/>
        <v/>
      </c>
      <c r="AB328" s="40" t="str">
        <f>IF(OR(L328="",V328=0),"",IF(AND(N(I328)&gt;0,N(INDEX('09-أيلول'!$I$2:$I$500,V328))&gt;0,INDEX('09-أيلول'!$F$2:$F$500,V328)=F328),N(I328)/N(INDEX('09-أيلول'!$I$2:$I$500,V328))-1,""))</f>
        <v/>
      </c>
      <c r="AC328" t="str">
        <f>IF(L328="","",IF(AND($AO$2=1,ISNA(MATCH(L328,'11-تشرين الثاني'!$L$2:$L$501,0))),"محذوف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IF(L329="","",IF($AO$1=1,IFERROR(MATCH(L329,'09-أيلول'!$L$2:$L$500,0),0),0))</f>
        <v/>
      </c>
      <c r="W329" t="str">
        <f t="shared" si="111"/>
        <v/>
      </c>
      <c r="X329" s="38" t="str">
        <f>IF(L329="","",IF(V329&gt;0,INDEX('09-أيلول'!$P$2:$P$500,V329),IF($AO$1=1,0,"")))</f>
        <v/>
      </c>
      <c r="Y329" s="38" t="str">
        <f t="shared" si="112"/>
        <v/>
      </c>
      <c r="Z329" s="39" t="str">
        <f>IF(L329="","",IF(V329&gt;0,INDEX('09-أيلول'!$Q$2:$Q$500,V329),IF($AO$1=1,0,"")))</f>
        <v/>
      </c>
      <c r="AA329" s="39" t="str">
        <f t="shared" si="113"/>
        <v/>
      </c>
      <c r="AB329" s="40" t="str">
        <f>IF(OR(L329="",V329=0),"",IF(AND(N(I329)&gt;0,N(INDEX('09-أيلول'!$I$2:$I$500,V329))&gt;0,INDEX('09-أيلول'!$F$2:$F$500,V329)=F329),N(I329)/N(INDEX('09-أيلول'!$I$2:$I$500,V329))-1,""))</f>
        <v/>
      </c>
      <c r="AC329" t="str">
        <f>IF(L329="","",IF(AND($AO$2=1,ISNA(MATCH(L329,'11-تشرين الثاني'!$L$2:$L$501,0))),"محذوف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IF(L330="","",IF($AO$1=1,IFERROR(MATCH(L330,'09-أيلول'!$L$2:$L$500,0),0),0))</f>
        <v/>
      </c>
      <c r="W330" t="str">
        <f t="shared" si="111"/>
        <v/>
      </c>
      <c r="X330" s="38" t="str">
        <f>IF(L330="","",IF(V330&gt;0,INDEX('09-أيلول'!$P$2:$P$500,V330),IF($AO$1=1,0,"")))</f>
        <v/>
      </c>
      <c r="Y330" s="38" t="str">
        <f t="shared" si="112"/>
        <v/>
      </c>
      <c r="Z330" s="39" t="str">
        <f>IF(L330="","",IF(V330&gt;0,INDEX('09-أيلول'!$Q$2:$Q$500,V330),IF($AO$1=1,0,"")))</f>
        <v/>
      </c>
      <c r="AA330" s="39" t="str">
        <f t="shared" si="113"/>
        <v/>
      </c>
      <c r="AB330" s="40" t="str">
        <f>IF(OR(L330="",V330=0),"",IF(AND(N(I330)&gt;0,N(INDEX('09-أيلول'!$I$2:$I$500,V330))&gt;0,INDEX('09-أيلول'!$F$2:$F$500,V330)=F330),N(I330)/N(INDEX('09-أيلول'!$I$2:$I$500,V330))-1,""))</f>
        <v/>
      </c>
      <c r="AC330" t="str">
        <f>IF(L330="","",IF(AND($AO$2=1,ISNA(MATCH(L330,'11-تشرين الثاني'!$L$2:$L$501,0))),"محذوف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IF(L331="","",IF($AO$1=1,IFERROR(MATCH(L331,'09-أيلول'!$L$2:$L$500,0),0),0))</f>
        <v/>
      </c>
      <c r="W331" t="str">
        <f t="shared" si="111"/>
        <v/>
      </c>
      <c r="X331" s="38" t="str">
        <f>IF(L331="","",IF(V331&gt;0,INDEX('09-أيلول'!$P$2:$P$500,V331),IF($AO$1=1,0,"")))</f>
        <v/>
      </c>
      <c r="Y331" s="38" t="str">
        <f t="shared" si="112"/>
        <v/>
      </c>
      <c r="Z331" s="39" t="str">
        <f>IF(L331="","",IF(V331&gt;0,INDEX('09-أيلول'!$Q$2:$Q$500,V331),IF($AO$1=1,0,"")))</f>
        <v/>
      </c>
      <c r="AA331" s="39" t="str">
        <f t="shared" si="113"/>
        <v/>
      </c>
      <c r="AB331" s="40" t="str">
        <f>IF(OR(L331="",V331=0),"",IF(AND(N(I331)&gt;0,N(INDEX('09-أيلول'!$I$2:$I$500,V331))&gt;0,INDEX('09-أيلول'!$F$2:$F$500,V331)=F331),N(I331)/N(INDEX('09-أيلول'!$I$2:$I$500,V331))-1,""))</f>
        <v/>
      </c>
      <c r="AC331" t="str">
        <f>IF(L331="","",IF(AND($AO$2=1,ISNA(MATCH(L331,'11-تشرين الثاني'!$L$2:$L$501,0))),"محذوف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IF(L332="","",IF($AO$1=1,IFERROR(MATCH(L332,'09-أيلول'!$L$2:$L$500,0),0),0))</f>
        <v/>
      </c>
      <c r="W332" t="str">
        <f t="shared" si="111"/>
        <v/>
      </c>
      <c r="X332" s="38" t="str">
        <f>IF(L332="","",IF(V332&gt;0,INDEX('09-أيلول'!$P$2:$P$500,V332),IF($AO$1=1,0,"")))</f>
        <v/>
      </c>
      <c r="Y332" s="38" t="str">
        <f t="shared" si="112"/>
        <v/>
      </c>
      <c r="Z332" s="39" t="str">
        <f>IF(L332="","",IF(V332&gt;0,INDEX('09-أيلول'!$Q$2:$Q$500,V332),IF($AO$1=1,0,"")))</f>
        <v/>
      </c>
      <c r="AA332" s="39" t="str">
        <f t="shared" si="113"/>
        <v/>
      </c>
      <c r="AB332" s="40" t="str">
        <f>IF(OR(L332="",V332=0),"",IF(AND(N(I332)&gt;0,N(INDEX('09-أيلول'!$I$2:$I$500,V332))&gt;0,INDEX('09-أيلول'!$F$2:$F$500,V332)=F332),N(I332)/N(INDEX('09-أيلول'!$I$2:$I$500,V332))-1,""))</f>
        <v/>
      </c>
      <c r="AC332" t="str">
        <f>IF(L332="","",IF(AND($AO$2=1,ISNA(MATCH(L332,'11-تشرين الثاني'!$L$2:$L$501,0))),"محذوف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IF(L333="","",IF($AO$1=1,IFERROR(MATCH(L333,'09-أيلول'!$L$2:$L$500,0),0),0))</f>
        <v/>
      </c>
      <c r="W333" t="str">
        <f t="shared" si="111"/>
        <v/>
      </c>
      <c r="X333" s="38" t="str">
        <f>IF(L333="","",IF(V333&gt;0,INDEX('09-أيلول'!$P$2:$P$500,V333),IF($AO$1=1,0,"")))</f>
        <v/>
      </c>
      <c r="Y333" s="38" t="str">
        <f t="shared" si="112"/>
        <v/>
      </c>
      <c r="Z333" s="39" t="str">
        <f>IF(L333="","",IF(V333&gt;0,INDEX('09-أيلول'!$Q$2:$Q$500,V333),IF($AO$1=1,0,"")))</f>
        <v/>
      </c>
      <c r="AA333" s="39" t="str">
        <f t="shared" si="113"/>
        <v/>
      </c>
      <c r="AB333" s="40" t="str">
        <f>IF(OR(L333="",V333=0),"",IF(AND(N(I333)&gt;0,N(INDEX('09-أيلول'!$I$2:$I$500,V333))&gt;0,INDEX('09-أيلول'!$F$2:$F$500,V333)=F333),N(I333)/N(INDEX('09-أيلول'!$I$2:$I$500,V333))-1,""))</f>
        <v/>
      </c>
      <c r="AC333" t="str">
        <f>IF(L333="","",IF(AND($AO$2=1,ISNA(MATCH(L333,'11-تشرين الثاني'!$L$2:$L$501,0))),"محذوف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IF(L334="","",IF($AO$1=1,IFERROR(MATCH(L334,'09-أيلول'!$L$2:$L$500,0),0),0))</f>
        <v/>
      </c>
      <c r="W334" t="str">
        <f t="shared" si="111"/>
        <v/>
      </c>
      <c r="X334" s="38" t="str">
        <f>IF(L334="","",IF(V334&gt;0,INDEX('09-أيلول'!$P$2:$P$500,V334),IF($AO$1=1,0,"")))</f>
        <v/>
      </c>
      <c r="Y334" s="38" t="str">
        <f t="shared" si="112"/>
        <v/>
      </c>
      <c r="Z334" s="39" t="str">
        <f>IF(L334="","",IF(V334&gt;0,INDEX('09-أيلول'!$Q$2:$Q$500,V334),IF($AO$1=1,0,"")))</f>
        <v/>
      </c>
      <c r="AA334" s="39" t="str">
        <f t="shared" si="113"/>
        <v/>
      </c>
      <c r="AB334" s="40" t="str">
        <f>IF(OR(L334="",V334=0),"",IF(AND(N(I334)&gt;0,N(INDEX('09-أيلول'!$I$2:$I$500,V334))&gt;0,INDEX('09-أيلول'!$F$2:$F$500,V334)=F334),N(I334)/N(INDEX('09-أيلول'!$I$2:$I$500,V334))-1,""))</f>
        <v/>
      </c>
      <c r="AC334" t="str">
        <f>IF(L334="","",IF(AND($AO$2=1,ISNA(MATCH(L334,'11-تشرين الثاني'!$L$2:$L$501,0))),"محذوف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IF(L335="","",IF($AO$1=1,IFERROR(MATCH(L335,'09-أيلول'!$L$2:$L$500,0),0),0))</f>
        <v/>
      </c>
      <c r="W335" t="str">
        <f t="shared" si="111"/>
        <v/>
      </c>
      <c r="X335" s="38" t="str">
        <f>IF(L335="","",IF(V335&gt;0,INDEX('09-أيلول'!$P$2:$P$500,V335),IF($AO$1=1,0,"")))</f>
        <v/>
      </c>
      <c r="Y335" s="38" t="str">
        <f t="shared" si="112"/>
        <v/>
      </c>
      <c r="Z335" s="39" t="str">
        <f>IF(L335="","",IF(V335&gt;0,INDEX('09-أيلول'!$Q$2:$Q$500,V335),IF($AO$1=1,0,"")))</f>
        <v/>
      </c>
      <c r="AA335" s="39" t="str">
        <f t="shared" si="113"/>
        <v/>
      </c>
      <c r="AB335" s="40" t="str">
        <f>IF(OR(L335="",V335=0),"",IF(AND(N(I335)&gt;0,N(INDEX('09-أيلول'!$I$2:$I$500,V335))&gt;0,INDEX('09-أيلول'!$F$2:$F$500,V335)=F335),N(I335)/N(INDEX('09-أيلول'!$I$2:$I$500,V335))-1,""))</f>
        <v/>
      </c>
      <c r="AC335" t="str">
        <f>IF(L335="","",IF(AND($AO$2=1,ISNA(MATCH(L335,'11-تشرين الثاني'!$L$2:$L$501,0))),"محذوف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IF(L336="","",IF($AO$1=1,IFERROR(MATCH(L336,'09-أيلول'!$L$2:$L$500,0),0),0))</f>
        <v/>
      </c>
      <c r="W336" t="str">
        <f t="shared" si="111"/>
        <v/>
      </c>
      <c r="X336" s="38" t="str">
        <f>IF(L336="","",IF(V336&gt;0,INDEX('09-أيلول'!$P$2:$P$500,V336),IF($AO$1=1,0,"")))</f>
        <v/>
      </c>
      <c r="Y336" s="38" t="str">
        <f t="shared" si="112"/>
        <v/>
      </c>
      <c r="Z336" s="39" t="str">
        <f>IF(L336="","",IF(V336&gt;0,INDEX('09-أيلول'!$Q$2:$Q$500,V336),IF($AO$1=1,0,"")))</f>
        <v/>
      </c>
      <c r="AA336" s="39" t="str">
        <f t="shared" si="113"/>
        <v/>
      </c>
      <c r="AB336" s="40" t="str">
        <f>IF(OR(L336="",V336=0),"",IF(AND(N(I336)&gt;0,N(INDEX('09-أيلول'!$I$2:$I$500,V336))&gt;0,INDEX('09-أيلول'!$F$2:$F$500,V336)=F336),N(I336)/N(INDEX('09-أيلول'!$I$2:$I$500,V336))-1,""))</f>
        <v/>
      </c>
      <c r="AC336" t="str">
        <f>IF(L336="","",IF(AND($AO$2=1,ISNA(MATCH(L336,'11-تشرين الثاني'!$L$2:$L$501,0))),"محذوف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IF(L337="","",IF($AO$1=1,IFERROR(MATCH(L337,'09-أيلول'!$L$2:$L$500,0),0),0))</f>
        <v/>
      </c>
      <c r="W337" t="str">
        <f t="shared" si="111"/>
        <v/>
      </c>
      <c r="X337" s="38" t="str">
        <f>IF(L337="","",IF(V337&gt;0,INDEX('09-أيلول'!$P$2:$P$500,V337),IF($AO$1=1,0,"")))</f>
        <v/>
      </c>
      <c r="Y337" s="38" t="str">
        <f t="shared" si="112"/>
        <v/>
      </c>
      <c r="Z337" s="39" t="str">
        <f>IF(L337="","",IF(V337&gt;0,INDEX('09-أيلول'!$Q$2:$Q$500,V337),IF($AO$1=1,0,"")))</f>
        <v/>
      </c>
      <c r="AA337" s="39" t="str">
        <f t="shared" si="113"/>
        <v/>
      </c>
      <c r="AB337" s="40" t="str">
        <f>IF(OR(L337="",V337=0),"",IF(AND(N(I337)&gt;0,N(INDEX('09-أيلول'!$I$2:$I$500,V337))&gt;0,INDEX('09-أيلول'!$F$2:$F$500,V337)=F337),N(I337)/N(INDEX('09-أيلول'!$I$2:$I$500,V337))-1,""))</f>
        <v/>
      </c>
      <c r="AC337" t="str">
        <f>IF(L337="","",IF(AND($AO$2=1,ISNA(MATCH(L337,'11-تشرين الثاني'!$L$2:$L$501,0))),"محذوف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IF(L338="","",IF($AO$1=1,IFERROR(MATCH(L338,'09-أيلول'!$L$2:$L$500,0),0),0))</f>
        <v/>
      </c>
      <c r="W338" t="str">
        <f t="shared" si="111"/>
        <v/>
      </c>
      <c r="X338" s="38" t="str">
        <f>IF(L338="","",IF(V338&gt;0,INDEX('09-أيلول'!$P$2:$P$500,V338),IF($AO$1=1,0,"")))</f>
        <v/>
      </c>
      <c r="Y338" s="38" t="str">
        <f t="shared" si="112"/>
        <v/>
      </c>
      <c r="Z338" s="39" t="str">
        <f>IF(L338="","",IF(V338&gt;0,INDEX('09-أيلول'!$Q$2:$Q$500,V338),IF($AO$1=1,0,"")))</f>
        <v/>
      </c>
      <c r="AA338" s="39" t="str">
        <f t="shared" si="113"/>
        <v/>
      </c>
      <c r="AB338" s="40" t="str">
        <f>IF(OR(L338="",V338=0),"",IF(AND(N(I338)&gt;0,N(INDEX('09-أيلول'!$I$2:$I$500,V338))&gt;0,INDEX('09-أيلول'!$F$2:$F$500,V338)=F338),N(I338)/N(INDEX('09-أيلول'!$I$2:$I$500,V338))-1,""))</f>
        <v/>
      </c>
      <c r="AC338" t="str">
        <f>IF(L338="","",IF(AND($AO$2=1,ISNA(MATCH(L338,'11-تشرين الثاني'!$L$2:$L$501,0))),"محذوف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IF(L339="","",IF($AO$1=1,IFERROR(MATCH(L339,'09-أيلول'!$L$2:$L$500,0),0),0))</f>
        <v/>
      </c>
      <c r="W339" t="str">
        <f t="shared" si="111"/>
        <v/>
      </c>
      <c r="X339" s="38" t="str">
        <f>IF(L339="","",IF(V339&gt;0,INDEX('09-أيلول'!$P$2:$P$500,V339),IF($AO$1=1,0,"")))</f>
        <v/>
      </c>
      <c r="Y339" s="38" t="str">
        <f t="shared" si="112"/>
        <v/>
      </c>
      <c r="Z339" s="39" t="str">
        <f>IF(L339="","",IF(V339&gt;0,INDEX('09-أيلول'!$Q$2:$Q$500,V339),IF($AO$1=1,0,"")))</f>
        <v/>
      </c>
      <c r="AA339" s="39" t="str">
        <f t="shared" si="113"/>
        <v/>
      </c>
      <c r="AB339" s="40" t="str">
        <f>IF(OR(L339="",V339=0),"",IF(AND(N(I339)&gt;0,N(INDEX('09-أيلول'!$I$2:$I$500,V339))&gt;0,INDEX('09-أيلول'!$F$2:$F$500,V339)=F339),N(I339)/N(INDEX('09-أيلول'!$I$2:$I$500,V339))-1,""))</f>
        <v/>
      </c>
      <c r="AC339" t="str">
        <f>IF(L339="","",IF(AND($AO$2=1,ISNA(MATCH(L339,'11-تشرين الثاني'!$L$2:$L$501,0))),"محذوف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IF(L340="","",IF($AO$1=1,IFERROR(MATCH(L340,'09-أيلول'!$L$2:$L$500,0),0),0))</f>
        <v/>
      </c>
      <c r="W340" t="str">
        <f t="shared" si="111"/>
        <v/>
      </c>
      <c r="X340" s="38" t="str">
        <f>IF(L340="","",IF(V340&gt;0,INDEX('09-أيلول'!$P$2:$P$500,V340),IF($AO$1=1,0,"")))</f>
        <v/>
      </c>
      <c r="Y340" s="38" t="str">
        <f t="shared" si="112"/>
        <v/>
      </c>
      <c r="Z340" s="39" t="str">
        <f>IF(L340="","",IF(V340&gt;0,INDEX('09-أيلول'!$Q$2:$Q$500,V340),IF($AO$1=1,0,"")))</f>
        <v/>
      </c>
      <c r="AA340" s="39" t="str">
        <f t="shared" si="113"/>
        <v/>
      </c>
      <c r="AB340" s="40" t="str">
        <f>IF(OR(L340="",V340=0),"",IF(AND(N(I340)&gt;0,N(INDEX('09-أيلول'!$I$2:$I$500,V340))&gt;0,INDEX('09-أيلول'!$F$2:$F$500,V340)=F340),N(I340)/N(INDEX('09-أيلول'!$I$2:$I$500,V340))-1,""))</f>
        <v/>
      </c>
      <c r="AC340" t="str">
        <f>IF(L340="","",IF(AND($AO$2=1,ISNA(MATCH(L340,'11-تشرين الثاني'!$L$2:$L$501,0))),"محذوف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IF(L341="","",IF($AO$1=1,IFERROR(MATCH(L341,'09-أيلول'!$L$2:$L$500,0),0),0))</f>
        <v/>
      </c>
      <c r="W341" t="str">
        <f t="shared" si="111"/>
        <v/>
      </c>
      <c r="X341" s="38" t="str">
        <f>IF(L341="","",IF(V341&gt;0,INDEX('09-أيلول'!$P$2:$P$500,V341),IF($AO$1=1,0,"")))</f>
        <v/>
      </c>
      <c r="Y341" s="38" t="str">
        <f t="shared" si="112"/>
        <v/>
      </c>
      <c r="Z341" s="39" t="str">
        <f>IF(L341="","",IF(V341&gt;0,INDEX('09-أيلول'!$Q$2:$Q$500,V341),IF($AO$1=1,0,"")))</f>
        <v/>
      </c>
      <c r="AA341" s="39" t="str">
        <f t="shared" si="113"/>
        <v/>
      </c>
      <c r="AB341" s="40" t="str">
        <f>IF(OR(L341="",V341=0),"",IF(AND(N(I341)&gt;0,N(INDEX('09-أيلول'!$I$2:$I$500,V341))&gt;0,INDEX('09-أيلول'!$F$2:$F$500,V341)=F341),N(I341)/N(INDEX('09-أيلول'!$I$2:$I$500,V341))-1,""))</f>
        <v/>
      </c>
      <c r="AC341" t="str">
        <f>IF(L341="","",IF(AND($AO$2=1,ISNA(MATCH(L341,'11-تشرين الثاني'!$L$2:$L$501,0))),"محذوف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IF(L342="","",IF($AO$1=1,IFERROR(MATCH(L342,'09-أيلول'!$L$2:$L$500,0),0),0))</f>
        <v/>
      </c>
      <c r="W342" t="str">
        <f t="shared" si="111"/>
        <v/>
      </c>
      <c r="X342" s="38" t="str">
        <f>IF(L342="","",IF(V342&gt;0,INDEX('09-أيلول'!$P$2:$P$500,V342),IF($AO$1=1,0,"")))</f>
        <v/>
      </c>
      <c r="Y342" s="38" t="str">
        <f t="shared" si="112"/>
        <v/>
      </c>
      <c r="Z342" s="39" t="str">
        <f>IF(L342="","",IF(V342&gt;0,INDEX('09-أيلول'!$Q$2:$Q$500,V342),IF($AO$1=1,0,"")))</f>
        <v/>
      </c>
      <c r="AA342" s="39" t="str">
        <f t="shared" si="113"/>
        <v/>
      </c>
      <c r="AB342" s="40" t="str">
        <f>IF(OR(L342="",V342=0),"",IF(AND(N(I342)&gt;0,N(INDEX('09-أيلول'!$I$2:$I$500,V342))&gt;0,INDEX('09-أيلول'!$F$2:$F$500,V342)=F342),N(I342)/N(INDEX('09-أيلول'!$I$2:$I$500,V342))-1,""))</f>
        <v/>
      </c>
      <c r="AC342" t="str">
        <f>IF(L342="","",IF(AND($AO$2=1,ISNA(MATCH(L342,'11-تشرين الثاني'!$L$2:$L$501,0))),"محذوف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IF(L343="","",IF($AO$1=1,IFERROR(MATCH(L343,'09-أيلول'!$L$2:$L$500,0),0),0))</f>
        <v/>
      </c>
      <c r="W343" t="str">
        <f t="shared" si="111"/>
        <v/>
      </c>
      <c r="X343" s="38" t="str">
        <f>IF(L343="","",IF(V343&gt;0,INDEX('09-أيلول'!$P$2:$P$500,V343),IF($AO$1=1,0,"")))</f>
        <v/>
      </c>
      <c r="Y343" s="38" t="str">
        <f t="shared" si="112"/>
        <v/>
      </c>
      <c r="Z343" s="39" t="str">
        <f>IF(L343="","",IF(V343&gt;0,INDEX('09-أيلول'!$Q$2:$Q$500,V343),IF($AO$1=1,0,"")))</f>
        <v/>
      </c>
      <c r="AA343" s="39" t="str">
        <f t="shared" si="113"/>
        <v/>
      </c>
      <c r="AB343" s="40" t="str">
        <f>IF(OR(L343="",V343=0),"",IF(AND(N(I343)&gt;0,N(INDEX('09-أيلول'!$I$2:$I$500,V343))&gt;0,INDEX('09-أيلول'!$F$2:$F$500,V343)=F343),N(I343)/N(INDEX('09-أيلول'!$I$2:$I$500,V343))-1,""))</f>
        <v/>
      </c>
      <c r="AC343" t="str">
        <f>IF(L343="","",IF(AND($AO$2=1,ISNA(MATCH(L343,'11-تشرين الثاني'!$L$2:$L$501,0))),"محذوف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IF(L344="","",IF($AO$1=1,IFERROR(MATCH(L344,'09-أيلول'!$L$2:$L$500,0),0),0))</f>
        <v/>
      </c>
      <c r="W344" t="str">
        <f t="shared" si="111"/>
        <v/>
      </c>
      <c r="X344" s="38" t="str">
        <f>IF(L344="","",IF(V344&gt;0,INDEX('09-أيلول'!$P$2:$P$500,V344),IF($AO$1=1,0,"")))</f>
        <v/>
      </c>
      <c r="Y344" s="38" t="str">
        <f t="shared" si="112"/>
        <v/>
      </c>
      <c r="Z344" s="39" t="str">
        <f>IF(L344="","",IF(V344&gt;0,INDEX('09-أيلول'!$Q$2:$Q$500,V344),IF($AO$1=1,0,"")))</f>
        <v/>
      </c>
      <c r="AA344" s="39" t="str">
        <f t="shared" si="113"/>
        <v/>
      </c>
      <c r="AB344" s="40" t="str">
        <f>IF(OR(L344="",V344=0),"",IF(AND(N(I344)&gt;0,N(INDEX('09-أيلول'!$I$2:$I$500,V344))&gt;0,INDEX('09-أيلول'!$F$2:$F$500,V344)=F344),N(I344)/N(INDEX('09-أيلول'!$I$2:$I$500,V344))-1,""))</f>
        <v/>
      </c>
      <c r="AC344" t="str">
        <f>IF(L344="","",IF(AND($AO$2=1,ISNA(MATCH(L344,'11-تشرين الثاني'!$L$2:$L$501,0))),"محذوف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IF(L345="","",IF($AO$1=1,IFERROR(MATCH(L345,'09-أيلول'!$L$2:$L$500,0),0),0))</f>
        <v/>
      </c>
      <c r="W345" t="str">
        <f t="shared" si="111"/>
        <v/>
      </c>
      <c r="X345" s="38" t="str">
        <f>IF(L345="","",IF(V345&gt;0,INDEX('09-أيلول'!$P$2:$P$500,V345),IF($AO$1=1,0,"")))</f>
        <v/>
      </c>
      <c r="Y345" s="38" t="str">
        <f t="shared" si="112"/>
        <v/>
      </c>
      <c r="Z345" s="39" t="str">
        <f>IF(L345="","",IF(V345&gt;0,INDEX('09-أيلول'!$Q$2:$Q$500,V345),IF($AO$1=1,0,"")))</f>
        <v/>
      </c>
      <c r="AA345" s="39" t="str">
        <f t="shared" si="113"/>
        <v/>
      </c>
      <c r="AB345" s="40" t="str">
        <f>IF(OR(L345="",V345=0),"",IF(AND(N(I345)&gt;0,N(INDEX('09-أيلول'!$I$2:$I$500,V345))&gt;0,INDEX('09-أيلول'!$F$2:$F$500,V345)=F345),N(I345)/N(INDEX('09-أيلول'!$I$2:$I$500,V345))-1,""))</f>
        <v/>
      </c>
      <c r="AC345" t="str">
        <f>IF(L345="","",IF(AND($AO$2=1,ISNA(MATCH(L345,'11-تشرين الثاني'!$L$2:$L$501,0))),"محذوف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IF(L346="","",IF($AO$1=1,IFERROR(MATCH(L346,'09-أيلول'!$L$2:$L$500,0),0),0))</f>
        <v/>
      </c>
      <c r="W346" t="str">
        <f t="shared" si="111"/>
        <v/>
      </c>
      <c r="X346" s="38" t="str">
        <f>IF(L346="","",IF(V346&gt;0,INDEX('09-أيلول'!$P$2:$P$500,V346),IF($AO$1=1,0,"")))</f>
        <v/>
      </c>
      <c r="Y346" s="38" t="str">
        <f t="shared" si="112"/>
        <v/>
      </c>
      <c r="Z346" s="39" t="str">
        <f>IF(L346="","",IF(V346&gt;0,INDEX('09-أيلول'!$Q$2:$Q$500,V346),IF($AO$1=1,0,"")))</f>
        <v/>
      </c>
      <c r="AA346" s="39" t="str">
        <f t="shared" si="113"/>
        <v/>
      </c>
      <c r="AB346" s="40" t="str">
        <f>IF(OR(L346="",V346=0),"",IF(AND(N(I346)&gt;0,N(INDEX('09-أيلول'!$I$2:$I$500,V346))&gt;0,INDEX('09-أيلول'!$F$2:$F$500,V346)=F346),N(I346)/N(INDEX('09-أيلول'!$I$2:$I$500,V346))-1,""))</f>
        <v/>
      </c>
      <c r="AC346" t="str">
        <f>IF(L346="","",IF(AND($AO$2=1,ISNA(MATCH(L346,'11-تشرين الثاني'!$L$2:$L$501,0))),"محذوف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IF(L347="","",IF($AO$1=1,IFERROR(MATCH(L347,'09-أيلول'!$L$2:$L$500,0),0),0))</f>
        <v/>
      </c>
      <c r="W347" t="str">
        <f t="shared" si="111"/>
        <v/>
      </c>
      <c r="X347" s="38" t="str">
        <f>IF(L347="","",IF(V347&gt;0,INDEX('09-أيلول'!$P$2:$P$500,V347),IF($AO$1=1,0,"")))</f>
        <v/>
      </c>
      <c r="Y347" s="38" t="str">
        <f t="shared" si="112"/>
        <v/>
      </c>
      <c r="Z347" s="39" t="str">
        <f>IF(L347="","",IF(V347&gt;0,INDEX('09-أيلول'!$Q$2:$Q$500,V347),IF($AO$1=1,0,"")))</f>
        <v/>
      </c>
      <c r="AA347" s="39" t="str">
        <f t="shared" si="113"/>
        <v/>
      </c>
      <c r="AB347" s="40" t="str">
        <f>IF(OR(L347="",V347=0),"",IF(AND(N(I347)&gt;0,N(INDEX('09-أيلول'!$I$2:$I$500,V347))&gt;0,INDEX('09-أيلول'!$F$2:$F$500,V347)=F347),N(I347)/N(INDEX('09-أيلول'!$I$2:$I$500,V347))-1,""))</f>
        <v/>
      </c>
      <c r="AC347" t="str">
        <f>IF(L347="","",IF(AND($AO$2=1,ISNA(MATCH(L347,'11-تشرين الثاني'!$L$2:$L$501,0))),"محذوف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IF(L348="","",IF($AO$1=1,IFERROR(MATCH(L348,'09-أيلول'!$L$2:$L$500,0),0),0))</f>
        <v/>
      </c>
      <c r="W348" t="str">
        <f t="shared" si="111"/>
        <v/>
      </c>
      <c r="X348" s="38" t="str">
        <f>IF(L348="","",IF(V348&gt;0,INDEX('09-أيلول'!$P$2:$P$500,V348),IF($AO$1=1,0,"")))</f>
        <v/>
      </c>
      <c r="Y348" s="38" t="str">
        <f t="shared" si="112"/>
        <v/>
      </c>
      <c r="Z348" s="39" t="str">
        <f>IF(L348="","",IF(V348&gt;0,INDEX('09-أيلول'!$Q$2:$Q$500,V348),IF($AO$1=1,0,"")))</f>
        <v/>
      </c>
      <c r="AA348" s="39" t="str">
        <f t="shared" si="113"/>
        <v/>
      </c>
      <c r="AB348" s="40" t="str">
        <f>IF(OR(L348="",V348=0),"",IF(AND(N(I348)&gt;0,N(INDEX('09-أيلول'!$I$2:$I$500,V348))&gt;0,INDEX('09-أيلول'!$F$2:$F$500,V348)=F348),N(I348)/N(INDEX('09-أيلول'!$I$2:$I$500,V348))-1,""))</f>
        <v/>
      </c>
      <c r="AC348" t="str">
        <f>IF(L348="","",IF(AND($AO$2=1,ISNA(MATCH(L348,'11-تشرين الثاني'!$L$2:$L$501,0))),"محذوف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IF(L349="","",IF($AO$1=1,IFERROR(MATCH(L349,'09-أيلول'!$L$2:$L$500,0),0),0))</f>
        <v/>
      </c>
      <c r="W349" t="str">
        <f t="shared" si="111"/>
        <v/>
      </c>
      <c r="X349" s="38" t="str">
        <f>IF(L349="","",IF(V349&gt;0,INDEX('09-أيلول'!$P$2:$P$500,V349),IF($AO$1=1,0,"")))</f>
        <v/>
      </c>
      <c r="Y349" s="38" t="str">
        <f t="shared" si="112"/>
        <v/>
      </c>
      <c r="Z349" s="39" t="str">
        <f>IF(L349="","",IF(V349&gt;0,INDEX('09-أيلول'!$Q$2:$Q$500,V349),IF($AO$1=1,0,"")))</f>
        <v/>
      </c>
      <c r="AA349" s="39" t="str">
        <f t="shared" si="113"/>
        <v/>
      </c>
      <c r="AB349" s="40" t="str">
        <f>IF(OR(L349="",V349=0),"",IF(AND(N(I349)&gt;0,N(INDEX('09-أيلول'!$I$2:$I$500,V349))&gt;0,INDEX('09-أيلول'!$F$2:$F$500,V349)=F349),N(I349)/N(INDEX('09-أيلول'!$I$2:$I$500,V349))-1,""))</f>
        <v/>
      </c>
      <c r="AC349" t="str">
        <f>IF(L349="","",IF(AND($AO$2=1,ISNA(MATCH(L349,'11-تشرين الثاني'!$L$2:$L$501,0))),"محذوف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IF(L350="","",IF($AO$1=1,IFERROR(MATCH(L350,'09-أيلول'!$L$2:$L$500,0),0),0))</f>
        <v/>
      </c>
      <c r="W350" t="str">
        <f t="shared" si="111"/>
        <v/>
      </c>
      <c r="X350" s="38" t="str">
        <f>IF(L350="","",IF(V350&gt;0,INDEX('09-أيلول'!$P$2:$P$500,V350),IF($AO$1=1,0,"")))</f>
        <v/>
      </c>
      <c r="Y350" s="38" t="str">
        <f t="shared" si="112"/>
        <v/>
      </c>
      <c r="Z350" s="39" t="str">
        <f>IF(L350="","",IF(V350&gt;0,INDEX('09-أيلول'!$Q$2:$Q$500,V350),IF($AO$1=1,0,"")))</f>
        <v/>
      </c>
      <c r="AA350" s="39" t="str">
        <f t="shared" si="113"/>
        <v/>
      </c>
      <c r="AB350" s="40" t="str">
        <f>IF(OR(L350="",V350=0),"",IF(AND(N(I350)&gt;0,N(INDEX('09-أيلول'!$I$2:$I$500,V350))&gt;0,INDEX('09-أيلول'!$F$2:$F$500,V350)=F350),N(I350)/N(INDEX('09-أيلول'!$I$2:$I$500,V350))-1,""))</f>
        <v/>
      </c>
      <c r="AC350" t="str">
        <f>IF(L350="","",IF(AND($AO$2=1,ISNA(MATCH(L350,'11-تشرين الثاني'!$L$2:$L$501,0))),"محذوف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IF(L351="","",IF($AO$1=1,IFERROR(MATCH(L351,'09-أيلول'!$L$2:$L$500,0),0),0))</f>
        <v/>
      </c>
      <c r="W351" t="str">
        <f t="shared" si="111"/>
        <v/>
      </c>
      <c r="X351" s="38" t="str">
        <f>IF(L351="","",IF(V351&gt;0,INDEX('09-أيلول'!$P$2:$P$500,V351),IF($AO$1=1,0,"")))</f>
        <v/>
      </c>
      <c r="Y351" s="38" t="str">
        <f t="shared" si="112"/>
        <v/>
      </c>
      <c r="Z351" s="39" t="str">
        <f>IF(L351="","",IF(V351&gt;0,INDEX('09-أيلول'!$Q$2:$Q$500,V351),IF($AO$1=1,0,"")))</f>
        <v/>
      </c>
      <c r="AA351" s="39" t="str">
        <f t="shared" si="113"/>
        <v/>
      </c>
      <c r="AB351" s="40" t="str">
        <f>IF(OR(L351="",V351=0),"",IF(AND(N(I351)&gt;0,N(INDEX('09-أيلول'!$I$2:$I$500,V351))&gt;0,INDEX('09-أيلول'!$F$2:$F$500,V351)=F351),N(I351)/N(INDEX('09-أيلول'!$I$2:$I$500,V351))-1,""))</f>
        <v/>
      </c>
      <c r="AC351" t="str">
        <f>IF(L351="","",IF(AND($AO$2=1,ISNA(MATCH(L351,'11-تشرين الثاني'!$L$2:$L$501,0))),"محذوف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IF(L352="","",IF($AO$1=1,IFERROR(MATCH(L352,'09-أيلول'!$L$2:$L$500,0),0),0))</f>
        <v/>
      </c>
      <c r="W352" t="str">
        <f t="shared" si="111"/>
        <v/>
      </c>
      <c r="X352" s="38" t="str">
        <f>IF(L352="","",IF(V352&gt;0,INDEX('09-أيلول'!$P$2:$P$500,V352),IF($AO$1=1,0,"")))</f>
        <v/>
      </c>
      <c r="Y352" s="38" t="str">
        <f t="shared" si="112"/>
        <v/>
      </c>
      <c r="Z352" s="39" t="str">
        <f>IF(L352="","",IF(V352&gt;0,INDEX('09-أيلول'!$Q$2:$Q$500,V352),IF($AO$1=1,0,"")))</f>
        <v/>
      </c>
      <c r="AA352" s="39" t="str">
        <f t="shared" si="113"/>
        <v/>
      </c>
      <c r="AB352" s="40" t="str">
        <f>IF(OR(L352="",V352=0),"",IF(AND(N(I352)&gt;0,N(INDEX('09-أيلول'!$I$2:$I$500,V352))&gt;0,INDEX('09-أيلول'!$F$2:$F$500,V352)=F352),N(I352)/N(INDEX('09-أيلول'!$I$2:$I$500,V352))-1,""))</f>
        <v/>
      </c>
      <c r="AC352" t="str">
        <f>IF(L352="","",IF(AND($AO$2=1,ISNA(MATCH(L352,'11-تشرين الثاني'!$L$2:$L$501,0))),"محذوف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IF(L353="","",IF($AO$1=1,IFERROR(MATCH(L353,'09-أيلول'!$L$2:$L$500,0),0),0))</f>
        <v/>
      </c>
      <c r="W353" t="str">
        <f t="shared" si="111"/>
        <v/>
      </c>
      <c r="X353" s="38" t="str">
        <f>IF(L353="","",IF(V353&gt;0,INDEX('09-أيلول'!$P$2:$P$500,V353),IF($AO$1=1,0,"")))</f>
        <v/>
      </c>
      <c r="Y353" s="38" t="str">
        <f t="shared" si="112"/>
        <v/>
      </c>
      <c r="Z353" s="39" t="str">
        <f>IF(L353="","",IF(V353&gt;0,INDEX('09-أيلول'!$Q$2:$Q$500,V353),IF($AO$1=1,0,"")))</f>
        <v/>
      </c>
      <c r="AA353" s="39" t="str">
        <f t="shared" si="113"/>
        <v/>
      </c>
      <c r="AB353" s="40" t="str">
        <f>IF(OR(L353="",V353=0),"",IF(AND(N(I353)&gt;0,N(INDEX('09-أيلول'!$I$2:$I$500,V353))&gt;0,INDEX('09-أيلول'!$F$2:$F$500,V353)=F353),N(I353)/N(INDEX('09-أيلول'!$I$2:$I$500,V353))-1,""))</f>
        <v/>
      </c>
      <c r="AC353" t="str">
        <f>IF(L353="","",IF(AND($AO$2=1,ISNA(MATCH(L353,'11-تشرين الثاني'!$L$2:$L$501,0))),"محذوف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IF(L354="","",IF($AO$1=1,IFERROR(MATCH(L354,'09-أيلول'!$L$2:$L$500,0),0),0))</f>
        <v/>
      </c>
      <c r="W354" t="str">
        <f t="shared" si="111"/>
        <v/>
      </c>
      <c r="X354" s="38" t="str">
        <f>IF(L354="","",IF(V354&gt;0,INDEX('09-أيلول'!$P$2:$P$500,V354),IF($AO$1=1,0,"")))</f>
        <v/>
      </c>
      <c r="Y354" s="38" t="str">
        <f t="shared" si="112"/>
        <v/>
      </c>
      <c r="Z354" s="39" t="str">
        <f>IF(L354="","",IF(V354&gt;0,INDEX('09-أيلول'!$Q$2:$Q$500,V354),IF($AO$1=1,0,"")))</f>
        <v/>
      </c>
      <c r="AA354" s="39" t="str">
        <f t="shared" si="113"/>
        <v/>
      </c>
      <c r="AB354" s="40" t="str">
        <f>IF(OR(L354="",V354=0),"",IF(AND(N(I354)&gt;0,N(INDEX('09-أيلول'!$I$2:$I$500,V354))&gt;0,INDEX('09-أيلول'!$F$2:$F$500,V354)=F354),N(I354)/N(INDEX('09-أيلول'!$I$2:$I$500,V354))-1,""))</f>
        <v/>
      </c>
      <c r="AC354" t="str">
        <f>IF(L354="","",IF(AND($AO$2=1,ISNA(MATCH(L354,'11-تشرين الثاني'!$L$2:$L$501,0))),"محذوف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IF(L355="","",IF($AO$1=1,IFERROR(MATCH(L355,'09-أيلول'!$L$2:$L$500,0),0),0))</f>
        <v/>
      </c>
      <c r="W355" t="str">
        <f t="shared" si="111"/>
        <v/>
      </c>
      <c r="X355" s="38" t="str">
        <f>IF(L355="","",IF(V355&gt;0,INDEX('09-أيلول'!$P$2:$P$500,V355),IF($AO$1=1,0,"")))</f>
        <v/>
      </c>
      <c r="Y355" s="38" t="str">
        <f t="shared" si="112"/>
        <v/>
      </c>
      <c r="Z355" s="39" t="str">
        <f>IF(L355="","",IF(V355&gt;0,INDEX('09-أيلول'!$Q$2:$Q$500,V355),IF($AO$1=1,0,"")))</f>
        <v/>
      </c>
      <c r="AA355" s="39" t="str">
        <f t="shared" si="113"/>
        <v/>
      </c>
      <c r="AB355" s="40" t="str">
        <f>IF(OR(L355="",V355=0),"",IF(AND(N(I355)&gt;0,N(INDEX('09-أيلول'!$I$2:$I$500,V355))&gt;0,INDEX('09-أيلول'!$F$2:$F$500,V355)=F355),N(I355)/N(INDEX('09-أيلول'!$I$2:$I$500,V355))-1,""))</f>
        <v/>
      </c>
      <c r="AC355" t="str">
        <f>IF(L355="","",IF(AND($AO$2=1,ISNA(MATCH(L355,'11-تشرين الثاني'!$L$2:$L$501,0))),"محذوف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IF(L356="","",IF($AO$1=1,IFERROR(MATCH(L356,'09-أيلول'!$L$2:$L$500,0),0),0))</f>
        <v/>
      </c>
      <c r="W356" t="str">
        <f t="shared" si="111"/>
        <v/>
      </c>
      <c r="X356" s="38" t="str">
        <f>IF(L356="","",IF(V356&gt;0,INDEX('09-أيلول'!$P$2:$P$500,V356),IF($AO$1=1,0,"")))</f>
        <v/>
      </c>
      <c r="Y356" s="38" t="str">
        <f t="shared" si="112"/>
        <v/>
      </c>
      <c r="Z356" s="39" t="str">
        <f>IF(L356="","",IF(V356&gt;0,INDEX('09-أيلول'!$Q$2:$Q$500,V356),IF($AO$1=1,0,"")))</f>
        <v/>
      </c>
      <c r="AA356" s="39" t="str">
        <f t="shared" si="113"/>
        <v/>
      </c>
      <c r="AB356" s="40" t="str">
        <f>IF(OR(L356="",V356=0),"",IF(AND(N(I356)&gt;0,N(INDEX('09-أيلول'!$I$2:$I$500,V356))&gt;0,INDEX('09-أيلول'!$F$2:$F$500,V356)=F356),N(I356)/N(INDEX('09-أيلول'!$I$2:$I$500,V356))-1,""))</f>
        <v/>
      </c>
      <c r="AC356" t="str">
        <f>IF(L356="","",IF(AND($AO$2=1,ISNA(MATCH(L356,'11-تشرين الثاني'!$L$2:$L$501,0))),"محذوف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IF(L357="","",IF($AO$1=1,IFERROR(MATCH(L357,'09-أيلول'!$L$2:$L$500,0),0),0))</f>
        <v/>
      </c>
      <c r="W357" t="str">
        <f t="shared" si="111"/>
        <v/>
      </c>
      <c r="X357" s="38" t="str">
        <f>IF(L357="","",IF(V357&gt;0,INDEX('09-أيلول'!$P$2:$P$500,V357),IF($AO$1=1,0,"")))</f>
        <v/>
      </c>
      <c r="Y357" s="38" t="str">
        <f t="shared" si="112"/>
        <v/>
      </c>
      <c r="Z357" s="39" t="str">
        <f>IF(L357="","",IF(V357&gt;0,INDEX('09-أيلول'!$Q$2:$Q$500,V357),IF($AO$1=1,0,"")))</f>
        <v/>
      </c>
      <c r="AA357" s="39" t="str">
        <f t="shared" si="113"/>
        <v/>
      </c>
      <c r="AB357" s="40" t="str">
        <f>IF(OR(L357="",V357=0),"",IF(AND(N(I357)&gt;0,N(INDEX('09-أيلول'!$I$2:$I$500,V357))&gt;0,INDEX('09-أيلول'!$F$2:$F$500,V357)=F357),N(I357)/N(INDEX('09-أيلول'!$I$2:$I$500,V357))-1,""))</f>
        <v/>
      </c>
      <c r="AC357" t="str">
        <f>IF(L357="","",IF(AND($AO$2=1,ISNA(MATCH(L357,'11-تشرين الثاني'!$L$2:$L$501,0))),"محذوف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IF(L358="","",IF($AO$1=1,IFERROR(MATCH(L358,'09-أيلول'!$L$2:$L$500,0),0),0))</f>
        <v/>
      </c>
      <c r="W358" t="str">
        <f t="shared" si="111"/>
        <v/>
      </c>
      <c r="X358" s="38" t="str">
        <f>IF(L358="","",IF(V358&gt;0,INDEX('09-أيلول'!$P$2:$P$500,V358),IF($AO$1=1,0,"")))</f>
        <v/>
      </c>
      <c r="Y358" s="38" t="str">
        <f t="shared" si="112"/>
        <v/>
      </c>
      <c r="Z358" s="39" t="str">
        <f>IF(L358="","",IF(V358&gt;0,INDEX('09-أيلول'!$Q$2:$Q$500,V358),IF($AO$1=1,0,"")))</f>
        <v/>
      </c>
      <c r="AA358" s="39" t="str">
        <f t="shared" si="113"/>
        <v/>
      </c>
      <c r="AB358" s="40" t="str">
        <f>IF(OR(L358="",V358=0),"",IF(AND(N(I358)&gt;0,N(INDEX('09-أيلول'!$I$2:$I$500,V358))&gt;0,INDEX('09-أيلول'!$F$2:$F$500,V358)=F358),N(I358)/N(INDEX('09-أيلول'!$I$2:$I$500,V358))-1,""))</f>
        <v/>
      </c>
      <c r="AC358" t="str">
        <f>IF(L358="","",IF(AND($AO$2=1,ISNA(MATCH(L358,'11-تشرين الثاني'!$L$2:$L$501,0))),"محذوف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IF(L359="","",IF($AO$1=1,IFERROR(MATCH(L359,'09-أيلول'!$L$2:$L$500,0),0),0))</f>
        <v/>
      </c>
      <c r="W359" t="str">
        <f t="shared" si="111"/>
        <v/>
      </c>
      <c r="X359" s="38" t="str">
        <f>IF(L359="","",IF(V359&gt;0,INDEX('09-أيلول'!$P$2:$P$500,V359),IF($AO$1=1,0,"")))</f>
        <v/>
      </c>
      <c r="Y359" s="38" t="str">
        <f t="shared" si="112"/>
        <v/>
      </c>
      <c r="Z359" s="39" t="str">
        <f>IF(L359="","",IF(V359&gt;0,INDEX('09-أيلول'!$Q$2:$Q$500,V359),IF($AO$1=1,0,"")))</f>
        <v/>
      </c>
      <c r="AA359" s="39" t="str">
        <f t="shared" si="113"/>
        <v/>
      </c>
      <c r="AB359" s="40" t="str">
        <f>IF(OR(L359="",V359=0),"",IF(AND(N(I359)&gt;0,N(INDEX('09-أيلول'!$I$2:$I$500,V359))&gt;0,INDEX('09-أيلول'!$F$2:$F$500,V359)=F359),N(I359)/N(INDEX('09-أيلول'!$I$2:$I$500,V359))-1,""))</f>
        <v/>
      </c>
      <c r="AC359" t="str">
        <f>IF(L359="","",IF(AND($AO$2=1,ISNA(MATCH(L359,'11-تشرين الثاني'!$L$2:$L$501,0))),"محذوف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IF(L360="","",IF($AO$1=1,IFERROR(MATCH(L360,'09-أيلول'!$L$2:$L$500,0),0),0))</f>
        <v/>
      </c>
      <c r="W360" t="str">
        <f t="shared" si="111"/>
        <v/>
      </c>
      <c r="X360" s="38" t="str">
        <f>IF(L360="","",IF(V360&gt;0,INDEX('09-أيلول'!$P$2:$P$500,V360),IF($AO$1=1,0,"")))</f>
        <v/>
      </c>
      <c r="Y360" s="38" t="str">
        <f t="shared" si="112"/>
        <v/>
      </c>
      <c r="Z360" s="39" t="str">
        <f>IF(L360="","",IF(V360&gt;0,INDEX('09-أيلول'!$Q$2:$Q$500,V360),IF($AO$1=1,0,"")))</f>
        <v/>
      </c>
      <c r="AA360" s="39" t="str">
        <f t="shared" si="113"/>
        <v/>
      </c>
      <c r="AB360" s="40" t="str">
        <f>IF(OR(L360="",V360=0),"",IF(AND(N(I360)&gt;0,N(INDEX('09-أيلول'!$I$2:$I$500,V360))&gt;0,INDEX('09-أيلول'!$F$2:$F$500,V360)=F360),N(I360)/N(INDEX('09-أيلول'!$I$2:$I$500,V360))-1,""))</f>
        <v/>
      </c>
      <c r="AC360" t="str">
        <f>IF(L360="","",IF(AND($AO$2=1,ISNA(MATCH(L360,'11-تشرين الثاني'!$L$2:$L$501,0))),"محذوف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IF(L361="","",IF($AO$1=1,IFERROR(MATCH(L361,'09-أيلول'!$L$2:$L$500,0),0),0))</f>
        <v/>
      </c>
      <c r="W361" t="str">
        <f t="shared" si="111"/>
        <v/>
      </c>
      <c r="X361" s="38" t="str">
        <f>IF(L361="","",IF(V361&gt;0,INDEX('09-أيلول'!$P$2:$P$500,V361),IF($AO$1=1,0,"")))</f>
        <v/>
      </c>
      <c r="Y361" s="38" t="str">
        <f t="shared" si="112"/>
        <v/>
      </c>
      <c r="Z361" s="39" t="str">
        <f>IF(L361="","",IF(V361&gt;0,INDEX('09-أيلول'!$Q$2:$Q$500,V361),IF($AO$1=1,0,"")))</f>
        <v/>
      </c>
      <c r="AA361" s="39" t="str">
        <f t="shared" si="113"/>
        <v/>
      </c>
      <c r="AB361" s="40" t="str">
        <f>IF(OR(L361="",V361=0),"",IF(AND(N(I361)&gt;0,N(INDEX('09-أيلول'!$I$2:$I$500,V361))&gt;0,INDEX('09-أيلول'!$F$2:$F$500,V361)=F361),N(I361)/N(INDEX('09-أيلول'!$I$2:$I$500,V361))-1,""))</f>
        <v/>
      </c>
      <c r="AC361" t="str">
        <f>IF(L361="","",IF(AND($AO$2=1,ISNA(MATCH(L361,'11-تشرين الثاني'!$L$2:$L$501,0))),"محذوف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IF(L362="","",IF($AO$1=1,IFERROR(MATCH(L362,'09-أيلول'!$L$2:$L$500,0),0),0))</f>
        <v/>
      </c>
      <c r="W362" t="str">
        <f t="shared" si="111"/>
        <v/>
      </c>
      <c r="X362" s="38" t="str">
        <f>IF(L362="","",IF(V362&gt;0,INDEX('09-أيلول'!$P$2:$P$500,V362),IF($AO$1=1,0,"")))</f>
        <v/>
      </c>
      <c r="Y362" s="38" t="str">
        <f t="shared" si="112"/>
        <v/>
      </c>
      <c r="Z362" s="39" t="str">
        <f>IF(L362="","",IF(V362&gt;0,INDEX('09-أيلول'!$Q$2:$Q$500,V362),IF($AO$1=1,0,"")))</f>
        <v/>
      </c>
      <c r="AA362" s="39" t="str">
        <f t="shared" si="113"/>
        <v/>
      </c>
      <c r="AB362" s="40" t="str">
        <f>IF(OR(L362="",V362=0),"",IF(AND(N(I362)&gt;0,N(INDEX('09-أيلول'!$I$2:$I$500,V362))&gt;0,INDEX('09-أيلول'!$F$2:$F$500,V362)=F362),N(I362)/N(INDEX('09-أيلول'!$I$2:$I$500,V362))-1,""))</f>
        <v/>
      </c>
      <c r="AC362" t="str">
        <f>IF(L362="","",IF(AND($AO$2=1,ISNA(MATCH(L362,'11-تشرين الثاني'!$L$2:$L$501,0))),"محذوف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IF(L363="","",IF($AO$1=1,IFERROR(MATCH(L363,'09-أيلول'!$L$2:$L$500,0),0),0))</f>
        <v/>
      </c>
      <c r="W363" t="str">
        <f t="shared" si="111"/>
        <v/>
      </c>
      <c r="X363" s="38" t="str">
        <f>IF(L363="","",IF(V363&gt;0,INDEX('09-أيلول'!$P$2:$P$500,V363),IF($AO$1=1,0,"")))</f>
        <v/>
      </c>
      <c r="Y363" s="38" t="str">
        <f t="shared" si="112"/>
        <v/>
      </c>
      <c r="Z363" s="39" t="str">
        <f>IF(L363="","",IF(V363&gt;0,INDEX('09-أيلول'!$Q$2:$Q$500,V363),IF($AO$1=1,0,"")))</f>
        <v/>
      </c>
      <c r="AA363" s="39" t="str">
        <f t="shared" si="113"/>
        <v/>
      </c>
      <c r="AB363" s="40" t="str">
        <f>IF(OR(L363="",V363=0),"",IF(AND(N(I363)&gt;0,N(INDEX('09-أيلول'!$I$2:$I$500,V363))&gt;0,INDEX('09-أيلول'!$F$2:$F$500,V363)=F363),N(I363)/N(INDEX('09-أيلول'!$I$2:$I$500,V363))-1,""))</f>
        <v/>
      </c>
      <c r="AC363" t="str">
        <f>IF(L363="","",IF(AND($AO$2=1,ISNA(MATCH(L363,'11-تشرين الثاني'!$L$2:$L$501,0))),"محذوف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IF(L364="","",IF($AO$1=1,IFERROR(MATCH(L364,'09-أيلول'!$L$2:$L$500,0),0),0))</f>
        <v/>
      </c>
      <c r="W364" t="str">
        <f t="shared" si="111"/>
        <v/>
      </c>
      <c r="X364" s="38" t="str">
        <f>IF(L364="","",IF(V364&gt;0,INDEX('09-أيلول'!$P$2:$P$500,V364),IF($AO$1=1,0,"")))</f>
        <v/>
      </c>
      <c r="Y364" s="38" t="str">
        <f t="shared" si="112"/>
        <v/>
      </c>
      <c r="Z364" s="39" t="str">
        <f>IF(L364="","",IF(V364&gt;0,INDEX('09-أيلول'!$Q$2:$Q$500,V364),IF($AO$1=1,0,"")))</f>
        <v/>
      </c>
      <c r="AA364" s="39" t="str">
        <f t="shared" si="113"/>
        <v/>
      </c>
      <c r="AB364" s="40" t="str">
        <f>IF(OR(L364="",V364=0),"",IF(AND(N(I364)&gt;0,N(INDEX('09-أيلول'!$I$2:$I$500,V364))&gt;0,INDEX('09-أيلول'!$F$2:$F$500,V364)=F364),N(I364)/N(INDEX('09-أيلول'!$I$2:$I$500,V364))-1,""))</f>
        <v/>
      </c>
      <c r="AC364" t="str">
        <f>IF(L364="","",IF(AND($AO$2=1,ISNA(MATCH(L364,'11-تشرين الثاني'!$L$2:$L$501,0))),"محذوف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IF(L365="","",IF($AO$1=1,IFERROR(MATCH(L365,'09-أيلول'!$L$2:$L$500,0),0),0))</f>
        <v/>
      </c>
      <c r="W365" t="str">
        <f t="shared" si="111"/>
        <v/>
      </c>
      <c r="X365" s="38" t="str">
        <f>IF(L365="","",IF(V365&gt;0,INDEX('09-أيلول'!$P$2:$P$500,V365),IF($AO$1=1,0,"")))</f>
        <v/>
      </c>
      <c r="Y365" s="38" t="str">
        <f t="shared" si="112"/>
        <v/>
      </c>
      <c r="Z365" s="39" t="str">
        <f>IF(L365="","",IF(V365&gt;0,INDEX('09-أيلول'!$Q$2:$Q$500,V365),IF($AO$1=1,0,"")))</f>
        <v/>
      </c>
      <c r="AA365" s="39" t="str">
        <f t="shared" si="113"/>
        <v/>
      </c>
      <c r="AB365" s="40" t="str">
        <f>IF(OR(L365="",V365=0),"",IF(AND(N(I365)&gt;0,N(INDEX('09-أيلول'!$I$2:$I$500,V365))&gt;0,INDEX('09-أيلول'!$F$2:$F$500,V365)=F365),N(I365)/N(INDEX('09-أيلول'!$I$2:$I$500,V365))-1,""))</f>
        <v/>
      </c>
      <c r="AC365" t="str">
        <f>IF(L365="","",IF(AND($AO$2=1,ISNA(MATCH(L365,'11-تشرين الثاني'!$L$2:$L$501,0))),"محذوف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IF(L366="","",IF($AO$1=1,IFERROR(MATCH(L366,'09-أيلول'!$L$2:$L$500,0),0),0))</f>
        <v/>
      </c>
      <c r="W366" t="str">
        <f t="shared" si="111"/>
        <v/>
      </c>
      <c r="X366" s="38" t="str">
        <f>IF(L366="","",IF(V366&gt;0,INDEX('09-أيلول'!$P$2:$P$500,V366),IF($AO$1=1,0,"")))</f>
        <v/>
      </c>
      <c r="Y366" s="38" t="str">
        <f t="shared" si="112"/>
        <v/>
      </c>
      <c r="Z366" s="39" t="str">
        <f>IF(L366="","",IF(V366&gt;0,INDEX('09-أيلول'!$Q$2:$Q$500,V366),IF($AO$1=1,0,"")))</f>
        <v/>
      </c>
      <c r="AA366" s="39" t="str">
        <f t="shared" si="113"/>
        <v/>
      </c>
      <c r="AB366" s="40" t="str">
        <f>IF(OR(L366="",V366=0),"",IF(AND(N(I366)&gt;0,N(INDEX('09-أيلول'!$I$2:$I$500,V366))&gt;0,INDEX('09-أيلول'!$F$2:$F$500,V366)=F366),N(I366)/N(INDEX('09-أيلول'!$I$2:$I$500,V366))-1,""))</f>
        <v/>
      </c>
      <c r="AC366" t="str">
        <f>IF(L366="","",IF(AND($AO$2=1,ISNA(MATCH(L366,'11-تشرين الثاني'!$L$2:$L$501,0))),"محذوف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IF(L367="","",IF($AO$1=1,IFERROR(MATCH(L367,'09-أيلول'!$L$2:$L$500,0),0),0))</f>
        <v/>
      </c>
      <c r="W367" t="str">
        <f t="shared" si="111"/>
        <v/>
      </c>
      <c r="X367" s="38" t="str">
        <f>IF(L367="","",IF(V367&gt;0,INDEX('09-أيلول'!$P$2:$P$500,V367),IF($AO$1=1,0,"")))</f>
        <v/>
      </c>
      <c r="Y367" s="38" t="str">
        <f t="shared" si="112"/>
        <v/>
      </c>
      <c r="Z367" s="39" t="str">
        <f>IF(L367="","",IF(V367&gt;0,INDEX('09-أيلول'!$Q$2:$Q$500,V367),IF($AO$1=1,0,"")))</f>
        <v/>
      </c>
      <c r="AA367" s="39" t="str">
        <f t="shared" si="113"/>
        <v/>
      </c>
      <c r="AB367" s="40" t="str">
        <f>IF(OR(L367="",V367=0),"",IF(AND(N(I367)&gt;0,N(INDEX('09-أيلول'!$I$2:$I$500,V367))&gt;0,INDEX('09-أيلول'!$F$2:$F$500,V367)=F367),N(I367)/N(INDEX('09-أيلول'!$I$2:$I$500,V367))-1,""))</f>
        <v/>
      </c>
      <c r="AC367" t="str">
        <f>IF(L367="","",IF(AND($AO$2=1,ISNA(MATCH(L367,'11-تشرين الثاني'!$L$2:$L$501,0))),"محذوف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IF(L368="","",IF($AO$1=1,IFERROR(MATCH(L368,'09-أيلول'!$L$2:$L$500,0),0),0))</f>
        <v/>
      </c>
      <c r="W368" t="str">
        <f t="shared" si="111"/>
        <v/>
      </c>
      <c r="X368" s="38" t="str">
        <f>IF(L368="","",IF(V368&gt;0,INDEX('09-أيلول'!$P$2:$P$500,V368),IF($AO$1=1,0,"")))</f>
        <v/>
      </c>
      <c r="Y368" s="38" t="str">
        <f t="shared" si="112"/>
        <v/>
      </c>
      <c r="Z368" s="39" t="str">
        <f>IF(L368="","",IF(V368&gt;0,INDEX('09-أيلول'!$Q$2:$Q$500,V368),IF($AO$1=1,0,"")))</f>
        <v/>
      </c>
      <c r="AA368" s="39" t="str">
        <f t="shared" si="113"/>
        <v/>
      </c>
      <c r="AB368" s="40" t="str">
        <f>IF(OR(L368="",V368=0),"",IF(AND(N(I368)&gt;0,N(INDEX('09-أيلول'!$I$2:$I$500,V368))&gt;0,INDEX('09-أيلول'!$F$2:$F$500,V368)=F368),N(I368)/N(INDEX('09-أيلول'!$I$2:$I$500,V368))-1,""))</f>
        <v/>
      </c>
      <c r="AC368" t="str">
        <f>IF(L368="","",IF(AND($AO$2=1,ISNA(MATCH(L368,'11-تشرين الثاني'!$L$2:$L$501,0))),"محذوف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IF(L369="","",IF($AO$1=1,IFERROR(MATCH(L369,'09-أيلول'!$L$2:$L$500,0),0),0))</f>
        <v/>
      </c>
      <c r="W369" t="str">
        <f t="shared" si="111"/>
        <v/>
      </c>
      <c r="X369" s="38" t="str">
        <f>IF(L369="","",IF(V369&gt;0,INDEX('09-أيلول'!$P$2:$P$500,V369),IF($AO$1=1,0,"")))</f>
        <v/>
      </c>
      <c r="Y369" s="38" t="str">
        <f t="shared" si="112"/>
        <v/>
      </c>
      <c r="Z369" s="39" t="str">
        <f>IF(L369="","",IF(V369&gt;0,INDEX('09-أيلول'!$Q$2:$Q$500,V369),IF($AO$1=1,0,"")))</f>
        <v/>
      </c>
      <c r="AA369" s="39" t="str">
        <f t="shared" si="113"/>
        <v/>
      </c>
      <c r="AB369" s="40" t="str">
        <f>IF(OR(L369="",V369=0),"",IF(AND(N(I369)&gt;0,N(INDEX('09-أيلول'!$I$2:$I$500,V369))&gt;0,INDEX('09-أيلول'!$F$2:$F$500,V369)=F369),N(I369)/N(INDEX('09-أيلول'!$I$2:$I$500,V369))-1,""))</f>
        <v/>
      </c>
      <c r="AC369" t="str">
        <f>IF(L369="","",IF(AND($AO$2=1,ISNA(MATCH(L369,'11-تشرين الثاني'!$L$2:$L$501,0))),"محذوف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IF(L370="","",IF($AO$1=1,IFERROR(MATCH(L370,'09-أيلول'!$L$2:$L$500,0),0),0))</f>
        <v/>
      </c>
      <c r="W370" t="str">
        <f t="shared" si="111"/>
        <v/>
      </c>
      <c r="X370" s="38" t="str">
        <f>IF(L370="","",IF(V370&gt;0,INDEX('09-أيلول'!$P$2:$P$500,V370),IF($AO$1=1,0,"")))</f>
        <v/>
      </c>
      <c r="Y370" s="38" t="str">
        <f t="shared" si="112"/>
        <v/>
      </c>
      <c r="Z370" s="39" t="str">
        <f>IF(L370="","",IF(V370&gt;0,INDEX('09-أيلول'!$Q$2:$Q$500,V370),IF($AO$1=1,0,"")))</f>
        <v/>
      </c>
      <c r="AA370" s="39" t="str">
        <f t="shared" si="113"/>
        <v/>
      </c>
      <c r="AB370" s="40" t="str">
        <f>IF(OR(L370="",V370=0),"",IF(AND(N(I370)&gt;0,N(INDEX('09-أيلول'!$I$2:$I$500,V370))&gt;0,INDEX('09-أيلول'!$F$2:$F$500,V370)=F370),N(I370)/N(INDEX('09-أيلول'!$I$2:$I$500,V370))-1,""))</f>
        <v/>
      </c>
      <c r="AC370" t="str">
        <f>IF(L370="","",IF(AND($AO$2=1,ISNA(MATCH(L370,'11-تشرين الثاني'!$L$2:$L$501,0))),"محذوف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IF(L371="","",IF($AO$1=1,IFERROR(MATCH(L371,'09-أيلول'!$L$2:$L$500,0),0),0))</f>
        <v/>
      </c>
      <c r="W371" t="str">
        <f t="shared" si="111"/>
        <v/>
      </c>
      <c r="X371" s="38" t="str">
        <f>IF(L371="","",IF(V371&gt;0,INDEX('09-أيلول'!$P$2:$P$500,V371),IF($AO$1=1,0,"")))</f>
        <v/>
      </c>
      <c r="Y371" s="38" t="str">
        <f t="shared" si="112"/>
        <v/>
      </c>
      <c r="Z371" s="39" t="str">
        <f>IF(L371="","",IF(V371&gt;0,INDEX('09-أيلول'!$Q$2:$Q$500,V371),IF($AO$1=1,0,"")))</f>
        <v/>
      </c>
      <c r="AA371" s="39" t="str">
        <f t="shared" si="113"/>
        <v/>
      </c>
      <c r="AB371" s="40" t="str">
        <f>IF(OR(L371="",V371=0),"",IF(AND(N(I371)&gt;0,N(INDEX('09-أيلول'!$I$2:$I$500,V371))&gt;0,INDEX('09-أيلول'!$F$2:$F$500,V371)=F371),N(I371)/N(INDEX('09-أيلول'!$I$2:$I$500,V371))-1,""))</f>
        <v/>
      </c>
      <c r="AC371" t="str">
        <f>IF(L371="","",IF(AND($AO$2=1,ISNA(MATCH(L371,'11-تشرين الثاني'!$L$2:$L$501,0))),"محذوف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IF(L372="","",IF($AO$1=1,IFERROR(MATCH(L372,'09-أيلول'!$L$2:$L$500,0),0),0))</f>
        <v/>
      </c>
      <c r="W372" t="str">
        <f t="shared" si="111"/>
        <v/>
      </c>
      <c r="X372" s="38" t="str">
        <f>IF(L372="","",IF(V372&gt;0,INDEX('09-أيلول'!$P$2:$P$500,V372),IF($AO$1=1,0,"")))</f>
        <v/>
      </c>
      <c r="Y372" s="38" t="str">
        <f t="shared" si="112"/>
        <v/>
      </c>
      <c r="Z372" s="39" t="str">
        <f>IF(L372="","",IF(V372&gt;0,INDEX('09-أيلول'!$Q$2:$Q$500,V372),IF($AO$1=1,0,"")))</f>
        <v/>
      </c>
      <c r="AA372" s="39" t="str">
        <f t="shared" si="113"/>
        <v/>
      </c>
      <c r="AB372" s="40" t="str">
        <f>IF(OR(L372="",V372=0),"",IF(AND(N(I372)&gt;0,N(INDEX('09-أيلول'!$I$2:$I$500,V372))&gt;0,INDEX('09-أيلول'!$F$2:$F$500,V372)=F372),N(I372)/N(INDEX('09-أيلول'!$I$2:$I$500,V372))-1,""))</f>
        <v/>
      </c>
      <c r="AC372" t="str">
        <f>IF(L372="","",IF(AND($AO$2=1,ISNA(MATCH(L372,'11-تشرين الثاني'!$L$2:$L$501,0))),"محذوف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IF(L373="","",IF($AO$1=1,IFERROR(MATCH(L373,'09-أيلول'!$L$2:$L$500,0),0),0))</f>
        <v/>
      </c>
      <c r="W373" t="str">
        <f t="shared" si="111"/>
        <v/>
      </c>
      <c r="X373" s="38" t="str">
        <f>IF(L373="","",IF(V373&gt;0,INDEX('09-أيلول'!$P$2:$P$500,V373),IF($AO$1=1,0,"")))</f>
        <v/>
      </c>
      <c r="Y373" s="38" t="str">
        <f t="shared" si="112"/>
        <v/>
      </c>
      <c r="Z373" s="39" t="str">
        <f>IF(L373="","",IF(V373&gt;0,INDEX('09-أيلول'!$Q$2:$Q$500,V373),IF($AO$1=1,0,"")))</f>
        <v/>
      </c>
      <c r="AA373" s="39" t="str">
        <f t="shared" si="113"/>
        <v/>
      </c>
      <c r="AB373" s="40" t="str">
        <f>IF(OR(L373="",V373=0),"",IF(AND(N(I373)&gt;0,N(INDEX('09-أيلول'!$I$2:$I$500,V373))&gt;0,INDEX('09-أيلول'!$F$2:$F$500,V373)=F373),N(I373)/N(INDEX('09-أيلول'!$I$2:$I$500,V373))-1,""))</f>
        <v/>
      </c>
      <c r="AC373" t="str">
        <f>IF(L373="","",IF(AND($AO$2=1,ISNA(MATCH(L373,'11-تشرين الثاني'!$L$2:$L$501,0))),"محذوف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IF(L374="","",IF($AO$1=1,IFERROR(MATCH(L374,'09-أيلول'!$L$2:$L$500,0),0),0))</f>
        <v/>
      </c>
      <c r="W374" t="str">
        <f t="shared" si="111"/>
        <v/>
      </c>
      <c r="X374" s="38" t="str">
        <f>IF(L374="","",IF(V374&gt;0,INDEX('09-أيلول'!$P$2:$P$500,V374),IF($AO$1=1,0,"")))</f>
        <v/>
      </c>
      <c r="Y374" s="38" t="str">
        <f t="shared" si="112"/>
        <v/>
      </c>
      <c r="Z374" s="39" t="str">
        <f>IF(L374="","",IF(V374&gt;0,INDEX('09-أيلول'!$Q$2:$Q$500,V374),IF($AO$1=1,0,"")))</f>
        <v/>
      </c>
      <c r="AA374" s="39" t="str">
        <f t="shared" si="113"/>
        <v/>
      </c>
      <c r="AB374" s="40" t="str">
        <f>IF(OR(L374="",V374=0),"",IF(AND(N(I374)&gt;0,N(INDEX('09-أيلول'!$I$2:$I$500,V374))&gt;0,INDEX('09-أيلول'!$F$2:$F$500,V374)=F374),N(I374)/N(INDEX('09-أيلول'!$I$2:$I$500,V374))-1,""))</f>
        <v/>
      </c>
      <c r="AC374" t="str">
        <f>IF(L374="","",IF(AND($AO$2=1,ISNA(MATCH(L374,'11-تشرين الثاني'!$L$2:$L$501,0))),"محذوف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IF(L375="","",IF($AO$1=1,IFERROR(MATCH(L375,'09-أيلول'!$L$2:$L$500,0),0),0))</f>
        <v/>
      </c>
      <c r="W375" t="str">
        <f t="shared" si="111"/>
        <v/>
      </c>
      <c r="X375" s="38" t="str">
        <f>IF(L375="","",IF(V375&gt;0,INDEX('09-أيلول'!$P$2:$P$500,V375),IF($AO$1=1,0,"")))</f>
        <v/>
      </c>
      <c r="Y375" s="38" t="str">
        <f t="shared" si="112"/>
        <v/>
      </c>
      <c r="Z375" s="39" t="str">
        <f>IF(L375="","",IF(V375&gt;0,INDEX('09-أيلول'!$Q$2:$Q$500,V375),IF($AO$1=1,0,"")))</f>
        <v/>
      </c>
      <c r="AA375" s="39" t="str">
        <f t="shared" si="113"/>
        <v/>
      </c>
      <c r="AB375" s="40" t="str">
        <f>IF(OR(L375="",V375=0),"",IF(AND(N(I375)&gt;0,N(INDEX('09-أيلول'!$I$2:$I$500,V375))&gt;0,INDEX('09-أيلول'!$F$2:$F$500,V375)=F375),N(I375)/N(INDEX('09-أيلول'!$I$2:$I$500,V375))-1,""))</f>
        <v/>
      </c>
      <c r="AC375" t="str">
        <f>IF(L375="","",IF(AND($AO$2=1,ISNA(MATCH(L375,'11-تشرين الثاني'!$L$2:$L$501,0))),"محذوف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IF(L376="","",IF($AO$1=1,IFERROR(MATCH(L376,'09-أيلول'!$L$2:$L$500,0),0),0))</f>
        <v/>
      </c>
      <c r="W376" t="str">
        <f t="shared" si="111"/>
        <v/>
      </c>
      <c r="X376" s="38" t="str">
        <f>IF(L376="","",IF(V376&gt;0,INDEX('09-أيلول'!$P$2:$P$500,V376),IF($AO$1=1,0,"")))</f>
        <v/>
      </c>
      <c r="Y376" s="38" t="str">
        <f t="shared" si="112"/>
        <v/>
      </c>
      <c r="Z376" s="39" t="str">
        <f>IF(L376="","",IF(V376&gt;0,INDEX('09-أيلول'!$Q$2:$Q$500,V376),IF($AO$1=1,0,"")))</f>
        <v/>
      </c>
      <c r="AA376" s="39" t="str">
        <f t="shared" si="113"/>
        <v/>
      </c>
      <c r="AB376" s="40" t="str">
        <f>IF(OR(L376="",V376=0),"",IF(AND(N(I376)&gt;0,N(INDEX('09-أيلول'!$I$2:$I$500,V376))&gt;0,INDEX('09-أيلول'!$F$2:$F$500,V376)=F376),N(I376)/N(INDEX('09-أيلول'!$I$2:$I$500,V376))-1,""))</f>
        <v/>
      </c>
      <c r="AC376" t="str">
        <f>IF(L376="","",IF(AND($AO$2=1,ISNA(MATCH(L376,'11-تشرين الثاني'!$L$2:$L$501,0))),"محذوف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IF(L377="","",IF($AO$1=1,IFERROR(MATCH(L377,'09-أيلول'!$L$2:$L$500,0),0),0))</f>
        <v/>
      </c>
      <c r="W377" t="str">
        <f t="shared" si="111"/>
        <v/>
      </c>
      <c r="X377" s="38" t="str">
        <f>IF(L377="","",IF(V377&gt;0,INDEX('09-أيلول'!$P$2:$P$500,V377),IF($AO$1=1,0,"")))</f>
        <v/>
      </c>
      <c r="Y377" s="38" t="str">
        <f t="shared" si="112"/>
        <v/>
      </c>
      <c r="Z377" s="39" t="str">
        <f>IF(L377="","",IF(V377&gt;0,INDEX('09-أيلول'!$Q$2:$Q$500,V377),IF($AO$1=1,0,"")))</f>
        <v/>
      </c>
      <c r="AA377" s="39" t="str">
        <f t="shared" si="113"/>
        <v/>
      </c>
      <c r="AB377" s="40" t="str">
        <f>IF(OR(L377="",V377=0),"",IF(AND(N(I377)&gt;0,N(INDEX('09-أيلول'!$I$2:$I$500,V377))&gt;0,INDEX('09-أيلول'!$F$2:$F$500,V377)=F377),N(I377)/N(INDEX('09-أيلول'!$I$2:$I$500,V377))-1,""))</f>
        <v/>
      </c>
      <c r="AC377" t="str">
        <f>IF(L377="","",IF(AND($AO$2=1,ISNA(MATCH(L377,'11-تشرين الثاني'!$L$2:$L$501,0))),"محذوف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IF(L378="","",IF($AO$1=1,IFERROR(MATCH(L378,'09-أيلول'!$L$2:$L$500,0),0),0))</f>
        <v/>
      </c>
      <c r="W378" t="str">
        <f t="shared" si="111"/>
        <v/>
      </c>
      <c r="X378" s="38" t="str">
        <f>IF(L378="","",IF(V378&gt;0,INDEX('09-أيلول'!$P$2:$P$500,V378),IF($AO$1=1,0,"")))</f>
        <v/>
      </c>
      <c r="Y378" s="38" t="str">
        <f t="shared" si="112"/>
        <v/>
      </c>
      <c r="Z378" s="39" t="str">
        <f>IF(L378="","",IF(V378&gt;0,INDEX('09-أيلول'!$Q$2:$Q$500,V378),IF($AO$1=1,0,"")))</f>
        <v/>
      </c>
      <c r="AA378" s="39" t="str">
        <f t="shared" si="113"/>
        <v/>
      </c>
      <c r="AB378" s="40" t="str">
        <f>IF(OR(L378="",V378=0),"",IF(AND(N(I378)&gt;0,N(INDEX('09-أيلول'!$I$2:$I$500,V378))&gt;0,INDEX('09-أيلول'!$F$2:$F$500,V378)=F378),N(I378)/N(INDEX('09-أيلول'!$I$2:$I$500,V378))-1,""))</f>
        <v/>
      </c>
      <c r="AC378" t="str">
        <f>IF(L378="","",IF(AND($AO$2=1,ISNA(MATCH(L378,'11-تشرين الثاني'!$L$2:$L$501,0))),"محذوف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IF(L379="","",IF($AO$1=1,IFERROR(MATCH(L379,'09-أيلول'!$L$2:$L$500,0),0),0))</f>
        <v/>
      </c>
      <c r="W379" t="str">
        <f t="shared" si="111"/>
        <v/>
      </c>
      <c r="X379" s="38" t="str">
        <f>IF(L379="","",IF(V379&gt;0,INDEX('09-أيلول'!$P$2:$P$500,V379),IF($AO$1=1,0,"")))</f>
        <v/>
      </c>
      <c r="Y379" s="38" t="str">
        <f t="shared" si="112"/>
        <v/>
      </c>
      <c r="Z379" s="39" t="str">
        <f>IF(L379="","",IF(V379&gt;0,INDEX('09-أيلول'!$Q$2:$Q$500,V379),IF($AO$1=1,0,"")))</f>
        <v/>
      </c>
      <c r="AA379" s="39" t="str">
        <f t="shared" si="113"/>
        <v/>
      </c>
      <c r="AB379" s="40" t="str">
        <f>IF(OR(L379="",V379=0),"",IF(AND(N(I379)&gt;0,N(INDEX('09-أيلول'!$I$2:$I$500,V379))&gt;0,INDEX('09-أيلول'!$F$2:$F$500,V379)=F379),N(I379)/N(INDEX('09-أيلول'!$I$2:$I$500,V379))-1,""))</f>
        <v/>
      </c>
      <c r="AC379" t="str">
        <f>IF(L379="","",IF(AND($AO$2=1,ISNA(MATCH(L379,'11-تشرين الثاني'!$L$2:$L$501,0))),"محذوف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IF(L380="","",IF($AO$1=1,IFERROR(MATCH(L380,'09-أيلول'!$L$2:$L$500,0),0),0))</f>
        <v/>
      </c>
      <c r="W380" t="str">
        <f t="shared" si="111"/>
        <v/>
      </c>
      <c r="X380" s="38" t="str">
        <f>IF(L380="","",IF(V380&gt;0,INDEX('09-أيلول'!$P$2:$P$500,V380),IF($AO$1=1,0,"")))</f>
        <v/>
      </c>
      <c r="Y380" s="38" t="str">
        <f t="shared" si="112"/>
        <v/>
      </c>
      <c r="Z380" s="39" t="str">
        <f>IF(L380="","",IF(V380&gt;0,INDEX('09-أيلول'!$Q$2:$Q$500,V380),IF($AO$1=1,0,"")))</f>
        <v/>
      </c>
      <c r="AA380" s="39" t="str">
        <f t="shared" si="113"/>
        <v/>
      </c>
      <c r="AB380" s="40" t="str">
        <f>IF(OR(L380="",V380=0),"",IF(AND(N(I380)&gt;0,N(INDEX('09-أيلول'!$I$2:$I$500,V380))&gt;0,INDEX('09-أيلول'!$F$2:$F$500,V380)=F380),N(I380)/N(INDEX('09-أيلول'!$I$2:$I$500,V380))-1,""))</f>
        <v/>
      </c>
      <c r="AC380" t="str">
        <f>IF(L380="","",IF(AND($AO$2=1,ISNA(MATCH(L380,'11-تشرين الثاني'!$L$2:$L$501,0))),"محذوف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IF(L381="","",IF($AO$1=1,IFERROR(MATCH(L381,'09-أيلول'!$L$2:$L$500,0),0),0))</f>
        <v/>
      </c>
      <c r="W381" t="str">
        <f t="shared" si="111"/>
        <v/>
      </c>
      <c r="X381" s="38" t="str">
        <f>IF(L381="","",IF(V381&gt;0,INDEX('09-أيلول'!$P$2:$P$500,V381),IF($AO$1=1,0,"")))</f>
        <v/>
      </c>
      <c r="Y381" s="38" t="str">
        <f t="shared" si="112"/>
        <v/>
      </c>
      <c r="Z381" s="39" t="str">
        <f>IF(L381="","",IF(V381&gt;0,INDEX('09-أيلول'!$Q$2:$Q$500,V381),IF($AO$1=1,0,"")))</f>
        <v/>
      </c>
      <c r="AA381" s="39" t="str">
        <f t="shared" si="113"/>
        <v/>
      </c>
      <c r="AB381" s="40" t="str">
        <f>IF(OR(L381="",V381=0),"",IF(AND(N(I381)&gt;0,N(INDEX('09-أيلول'!$I$2:$I$500,V381))&gt;0,INDEX('09-أيلول'!$F$2:$F$500,V381)=F381),N(I381)/N(INDEX('09-أيلول'!$I$2:$I$500,V381))-1,""))</f>
        <v/>
      </c>
      <c r="AC381" t="str">
        <f>IF(L381="","",IF(AND($AO$2=1,ISNA(MATCH(L381,'11-تشرين الثاني'!$L$2:$L$501,0))),"محذوف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IF(L382="","",IF($AO$1=1,IFERROR(MATCH(L382,'09-أيلول'!$L$2:$L$500,0),0),0))</f>
        <v/>
      </c>
      <c r="W382" t="str">
        <f t="shared" si="111"/>
        <v/>
      </c>
      <c r="X382" s="38" t="str">
        <f>IF(L382="","",IF(V382&gt;0,INDEX('09-أيلول'!$P$2:$P$500,V382),IF($AO$1=1,0,"")))</f>
        <v/>
      </c>
      <c r="Y382" s="38" t="str">
        <f t="shared" si="112"/>
        <v/>
      </c>
      <c r="Z382" s="39" t="str">
        <f>IF(L382="","",IF(V382&gt;0,INDEX('09-أيلول'!$Q$2:$Q$500,V382),IF($AO$1=1,0,"")))</f>
        <v/>
      </c>
      <c r="AA382" s="39" t="str">
        <f t="shared" si="113"/>
        <v/>
      </c>
      <c r="AB382" s="40" t="str">
        <f>IF(OR(L382="",V382=0),"",IF(AND(N(I382)&gt;0,N(INDEX('09-أيلول'!$I$2:$I$500,V382))&gt;0,INDEX('09-أيلول'!$F$2:$F$500,V382)=F382),N(I382)/N(INDEX('09-أيلول'!$I$2:$I$500,V382))-1,""))</f>
        <v/>
      </c>
      <c r="AC382" t="str">
        <f>IF(L382="","",IF(AND($AO$2=1,ISNA(MATCH(L382,'11-تشرين الثاني'!$L$2:$L$501,0))),"محذوف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IF(L383="","",IF($AO$1=1,IFERROR(MATCH(L383,'09-أيلول'!$L$2:$L$500,0),0),0))</f>
        <v/>
      </c>
      <c r="W383" t="str">
        <f t="shared" si="111"/>
        <v/>
      </c>
      <c r="X383" s="38" t="str">
        <f>IF(L383="","",IF(V383&gt;0,INDEX('09-أيلول'!$P$2:$P$500,V383),IF($AO$1=1,0,"")))</f>
        <v/>
      </c>
      <c r="Y383" s="38" t="str">
        <f t="shared" si="112"/>
        <v/>
      </c>
      <c r="Z383" s="39" t="str">
        <f>IF(L383="","",IF(V383&gt;0,INDEX('09-أيلول'!$Q$2:$Q$500,V383),IF($AO$1=1,0,"")))</f>
        <v/>
      </c>
      <c r="AA383" s="39" t="str">
        <f t="shared" si="113"/>
        <v/>
      </c>
      <c r="AB383" s="40" t="str">
        <f>IF(OR(L383="",V383=0),"",IF(AND(N(I383)&gt;0,N(INDEX('09-أيلول'!$I$2:$I$500,V383))&gt;0,INDEX('09-أيلول'!$F$2:$F$500,V383)=F383),N(I383)/N(INDEX('09-أيلول'!$I$2:$I$500,V383))-1,""))</f>
        <v/>
      </c>
      <c r="AC383" t="str">
        <f>IF(L383="","",IF(AND($AO$2=1,ISNA(MATCH(L383,'11-تشرين الثاني'!$L$2:$L$501,0))),"محذوف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IF(L384="","",IF($AO$1=1,IFERROR(MATCH(L384,'09-أيلول'!$L$2:$L$500,0),0),0))</f>
        <v/>
      </c>
      <c r="W384" t="str">
        <f t="shared" si="111"/>
        <v/>
      </c>
      <c r="X384" s="38" t="str">
        <f>IF(L384="","",IF(V384&gt;0,INDEX('09-أيلول'!$P$2:$P$500,V384),IF($AO$1=1,0,"")))</f>
        <v/>
      </c>
      <c r="Y384" s="38" t="str">
        <f t="shared" si="112"/>
        <v/>
      </c>
      <c r="Z384" s="39" t="str">
        <f>IF(L384="","",IF(V384&gt;0,INDEX('09-أيلول'!$Q$2:$Q$500,V384),IF($AO$1=1,0,"")))</f>
        <v/>
      </c>
      <c r="AA384" s="39" t="str">
        <f t="shared" si="113"/>
        <v/>
      </c>
      <c r="AB384" s="40" t="str">
        <f>IF(OR(L384="",V384=0),"",IF(AND(N(I384)&gt;0,N(INDEX('09-أيلول'!$I$2:$I$500,V384))&gt;0,INDEX('09-أيلول'!$F$2:$F$500,V384)=F384),N(I384)/N(INDEX('09-أيلول'!$I$2:$I$500,V384))-1,""))</f>
        <v/>
      </c>
      <c r="AC384" t="str">
        <f>IF(L384="","",IF(AND($AO$2=1,ISNA(MATCH(L384,'11-تشرين الثاني'!$L$2:$L$501,0))),"محذوف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IF(L385="","",IF($AO$1=1,IFERROR(MATCH(L385,'09-أيلول'!$L$2:$L$500,0),0),0))</f>
        <v/>
      </c>
      <c r="W385" t="str">
        <f t="shared" si="111"/>
        <v/>
      </c>
      <c r="X385" s="38" t="str">
        <f>IF(L385="","",IF(V385&gt;0,INDEX('09-أيلول'!$P$2:$P$500,V385),IF($AO$1=1,0,"")))</f>
        <v/>
      </c>
      <c r="Y385" s="38" t="str">
        <f t="shared" si="112"/>
        <v/>
      </c>
      <c r="Z385" s="39" t="str">
        <f>IF(L385="","",IF(V385&gt;0,INDEX('09-أيلول'!$Q$2:$Q$500,V385),IF($AO$1=1,0,"")))</f>
        <v/>
      </c>
      <c r="AA385" s="39" t="str">
        <f t="shared" si="113"/>
        <v/>
      </c>
      <c r="AB385" s="40" t="str">
        <f>IF(OR(L385="",V385=0),"",IF(AND(N(I385)&gt;0,N(INDEX('09-أيلول'!$I$2:$I$500,V385))&gt;0,INDEX('09-أيلول'!$F$2:$F$500,V385)=F385),N(I385)/N(INDEX('09-أيلول'!$I$2:$I$500,V385))-1,""))</f>
        <v/>
      </c>
      <c r="AC385" t="str">
        <f>IF(L385="","",IF(AND($AO$2=1,ISNA(MATCH(L385,'11-تشرين الثاني'!$L$2:$L$501,0))),"محذوف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IF(L386="","",IF($AO$1=1,IFERROR(MATCH(L386,'09-أيلول'!$L$2:$L$500,0),0),0))</f>
        <v/>
      </c>
      <c r="W386" t="str">
        <f t="shared" ref="W386:W449" si="131">IF(L386="","",IF(AND($AO$1=1,V386=0),"جديد",""))</f>
        <v/>
      </c>
      <c r="X386" s="38" t="str">
        <f>IF(L386="","",IF(V386&gt;0,INDEX('09-أيلول'!$P$2:$P$500,V386),IF($AO$1=1,0,"")))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IF(L386="","",IF(V386&gt;0,INDEX('09-أيلول'!$Q$2:$Q$500,V386),IF($AO$1=1,0,"")))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IF(OR(L386="",V386=0),"",IF(AND(N(I386)&gt;0,N(INDEX('09-أيلول'!$I$2:$I$500,V386))&gt;0,INDEX('09-أيلول'!$F$2:$F$500,V386)=F386),N(I386)/N(INDEX('09-أيلول'!$I$2:$I$500,V386))-1,""))</f>
        <v/>
      </c>
      <c r="AC386" t="str">
        <f>IF(L386="","",IF(AND($AO$2=1,ISNA(MATCH(L386,'11-تشرين الثاني'!$L$2:$L$501,0))),"محذوف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IF(L387="","",IF($AO$1=1,IFERROR(MATCH(L387,'09-أيلول'!$L$2:$L$500,0),0),0))</f>
        <v/>
      </c>
      <c r="W387" t="str">
        <f t="shared" si="131"/>
        <v/>
      </c>
      <c r="X387" s="38" t="str">
        <f>IF(L387="","",IF(V387&gt;0,INDEX('09-أيلول'!$P$2:$P$500,V387),IF($AO$1=1,0,"")))</f>
        <v/>
      </c>
      <c r="Y387" s="38" t="str">
        <f t="shared" si="132"/>
        <v/>
      </c>
      <c r="Z387" s="39" t="str">
        <f>IF(L387="","",IF(V387&gt;0,INDEX('09-أيلول'!$Q$2:$Q$500,V387),IF($AO$1=1,0,"")))</f>
        <v/>
      </c>
      <c r="AA387" s="39" t="str">
        <f t="shared" si="133"/>
        <v/>
      </c>
      <c r="AB387" s="40" t="str">
        <f>IF(OR(L387="",V387=0),"",IF(AND(N(I387)&gt;0,N(INDEX('09-أيلول'!$I$2:$I$500,V387))&gt;0,INDEX('09-أيلول'!$F$2:$F$500,V387)=F387),N(I387)/N(INDEX('09-أيلول'!$I$2:$I$500,V387))-1,""))</f>
        <v/>
      </c>
      <c r="AC387" t="str">
        <f>IF(L387="","",IF(AND($AO$2=1,ISNA(MATCH(L387,'11-تشرين الثاني'!$L$2:$L$501,0))),"محذوف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IF(L388="","",IF($AO$1=1,IFERROR(MATCH(L388,'09-أيلول'!$L$2:$L$500,0),0),0))</f>
        <v/>
      </c>
      <c r="W388" t="str">
        <f t="shared" si="131"/>
        <v/>
      </c>
      <c r="X388" s="38" t="str">
        <f>IF(L388="","",IF(V388&gt;0,INDEX('09-أيلول'!$P$2:$P$500,V388),IF($AO$1=1,0,"")))</f>
        <v/>
      </c>
      <c r="Y388" s="38" t="str">
        <f t="shared" si="132"/>
        <v/>
      </c>
      <c r="Z388" s="39" t="str">
        <f>IF(L388="","",IF(V388&gt;0,INDEX('09-أيلول'!$Q$2:$Q$500,V388),IF($AO$1=1,0,"")))</f>
        <v/>
      </c>
      <c r="AA388" s="39" t="str">
        <f t="shared" si="133"/>
        <v/>
      </c>
      <c r="AB388" s="40" t="str">
        <f>IF(OR(L388="",V388=0),"",IF(AND(N(I388)&gt;0,N(INDEX('09-أيلول'!$I$2:$I$500,V388))&gt;0,INDEX('09-أيلول'!$F$2:$F$500,V388)=F388),N(I388)/N(INDEX('09-أيلول'!$I$2:$I$500,V388))-1,""))</f>
        <v/>
      </c>
      <c r="AC388" t="str">
        <f>IF(L388="","",IF(AND($AO$2=1,ISNA(MATCH(L388,'11-تشرين الثاني'!$L$2:$L$501,0))),"محذوف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IF(L389="","",IF($AO$1=1,IFERROR(MATCH(L389,'09-أيلول'!$L$2:$L$500,0),0),0))</f>
        <v/>
      </c>
      <c r="W389" t="str">
        <f t="shared" si="131"/>
        <v/>
      </c>
      <c r="X389" s="38" t="str">
        <f>IF(L389="","",IF(V389&gt;0,INDEX('09-أيلول'!$P$2:$P$500,V389),IF($AO$1=1,0,"")))</f>
        <v/>
      </c>
      <c r="Y389" s="38" t="str">
        <f t="shared" si="132"/>
        <v/>
      </c>
      <c r="Z389" s="39" t="str">
        <f>IF(L389="","",IF(V389&gt;0,INDEX('09-أيلول'!$Q$2:$Q$500,V389),IF($AO$1=1,0,"")))</f>
        <v/>
      </c>
      <c r="AA389" s="39" t="str">
        <f t="shared" si="133"/>
        <v/>
      </c>
      <c r="AB389" s="40" t="str">
        <f>IF(OR(L389="",V389=0),"",IF(AND(N(I389)&gt;0,N(INDEX('09-أيلول'!$I$2:$I$500,V389))&gt;0,INDEX('09-أيلول'!$F$2:$F$500,V389)=F389),N(I389)/N(INDEX('09-أيلول'!$I$2:$I$500,V389))-1,""))</f>
        <v/>
      </c>
      <c r="AC389" t="str">
        <f>IF(L389="","",IF(AND($AO$2=1,ISNA(MATCH(L389,'11-تشرين الثاني'!$L$2:$L$501,0))),"محذوف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IF(L390="","",IF($AO$1=1,IFERROR(MATCH(L390,'09-أيلول'!$L$2:$L$500,0),0),0))</f>
        <v/>
      </c>
      <c r="W390" t="str">
        <f t="shared" si="131"/>
        <v/>
      </c>
      <c r="X390" s="38" t="str">
        <f>IF(L390="","",IF(V390&gt;0,INDEX('09-أيلول'!$P$2:$P$500,V390),IF($AO$1=1,0,"")))</f>
        <v/>
      </c>
      <c r="Y390" s="38" t="str">
        <f t="shared" si="132"/>
        <v/>
      </c>
      <c r="Z390" s="39" t="str">
        <f>IF(L390="","",IF(V390&gt;0,INDEX('09-أيلول'!$Q$2:$Q$500,V390),IF($AO$1=1,0,"")))</f>
        <v/>
      </c>
      <c r="AA390" s="39" t="str">
        <f t="shared" si="133"/>
        <v/>
      </c>
      <c r="AB390" s="40" t="str">
        <f>IF(OR(L390="",V390=0),"",IF(AND(N(I390)&gt;0,N(INDEX('09-أيلول'!$I$2:$I$500,V390))&gt;0,INDEX('09-أيلول'!$F$2:$F$500,V390)=F390),N(I390)/N(INDEX('09-أيلول'!$I$2:$I$500,V390))-1,""))</f>
        <v/>
      </c>
      <c r="AC390" t="str">
        <f>IF(L390="","",IF(AND($AO$2=1,ISNA(MATCH(L390,'11-تشرين الثاني'!$L$2:$L$501,0))),"محذوف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IF(L391="","",IF($AO$1=1,IFERROR(MATCH(L391,'09-أيلول'!$L$2:$L$500,0),0),0))</f>
        <v/>
      </c>
      <c r="W391" t="str">
        <f t="shared" si="131"/>
        <v/>
      </c>
      <c r="X391" s="38" t="str">
        <f>IF(L391="","",IF(V391&gt;0,INDEX('09-أيلول'!$P$2:$P$500,V391),IF($AO$1=1,0,"")))</f>
        <v/>
      </c>
      <c r="Y391" s="38" t="str">
        <f t="shared" si="132"/>
        <v/>
      </c>
      <c r="Z391" s="39" t="str">
        <f>IF(L391="","",IF(V391&gt;0,INDEX('09-أيلول'!$Q$2:$Q$500,V391),IF($AO$1=1,0,"")))</f>
        <v/>
      </c>
      <c r="AA391" s="39" t="str">
        <f t="shared" si="133"/>
        <v/>
      </c>
      <c r="AB391" s="40" t="str">
        <f>IF(OR(L391="",V391=0),"",IF(AND(N(I391)&gt;0,N(INDEX('09-أيلول'!$I$2:$I$500,V391))&gt;0,INDEX('09-أيلول'!$F$2:$F$500,V391)=F391),N(I391)/N(INDEX('09-أيلول'!$I$2:$I$500,V391))-1,""))</f>
        <v/>
      </c>
      <c r="AC391" t="str">
        <f>IF(L391="","",IF(AND($AO$2=1,ISNA(MATCH(L391,'11-تشرين الثاني'!$L$2:$L$501,0))),"محذوف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IF(L392="","",IF($AO$1=1,IFERROR(MATCH(L392,'09-أيلول'!$L$2:$L$500,0),0),0))</f>
        <v/>
      </c>
      <c r="W392" t="str">
        <f t="shared" si="131"/>
        <v/>
      </c>
      <c r="X392" s="38" t="str">
        <f>IF(L392="","",IF(V392&gt;0,INDEX('09-أيلول'!$P$2:$P$500,V392),IF($AO$1=1,0,"")))</f>
        <v/>
      </c>
      <c r="Y392" s="38" t="str">
        <f t="shared" si="132"/>
        <v/>
      </c>
      <c r="Z392" s="39" t="str">
        <f>IF(L392="","",IF(V392&gt;0,INDEX('09-أيلول'!$Q$2:$Q$500,V392),IF($AO$1=1,0,"")))</f>
        <v/>
      </c>
      <c r="AA392" s="39" t="str">
        <f t="shared" si="133"/>
        <v/>
      </c>
      <c r="AB392" s="40" t="str">
        <f>IF(OR(L392="",V392=0),"",IF(AND(N(I392)&gt;0,N(INDEX('09-أيلول'!$I$2:$I$500,V392))&gt;0,INDEX('09-أيلول'!$F$2:$F$500,V392)=F392),N(I392)/N(INDEX('09-أيلول'!$I$2:$I$500,V392))-1,""))</f>
        <v/>
      </c>
      <c r="AC392" t="str">
        <f>IF(L392="","",IF(AND($AO$2=1,ISNA(MATCH(L392,'11-تشرين الثاني'!$L$2:$L$501,0))),"محذوف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IF(L393="","",IF($AO$1=1,IFERROR(MATCH(L393,'09-أيلول'!$L$2:$L$500,0),0),0))</f>
        <v/>
      </c>
      <c r="W393" t="str">
        <f t="shared" si="131"/>
        <v/>
      </c>
      <c r="X393" s="38" t="str">
        <f>IF(L393="","",IF(V393&gt;0,INDEX('09-أيلول'!$P$2:$P$500,V393),IF($AO$1=1,0,"")))</f>
        <v/>
      </c>
      <c r="Y393" s="38" t="str">
        <f t="shared" si="132"/>
        <v/>
      </c>
      <c r="Z393" s="39" t="str">
        <f>IF(L393="","",IF(V393&gt;0,INDEX('09-أيلول'!$Q$2:$Q$500,V393),IF($AO$1=1,0,"")))</f>
        <v/>
      </c>
      <c r="AA393" s="39" t="str">
        <f t="shared" si="133"/>
        <v/>
      </c>
      <c r="AB393" s="40" t="str">
        <f>IF(OR(L393="",V393=0),"",IF(AND(N(I393)&gt;0,N(INDEX('09-أيلول'!$I$2:$I$500,V393))&gt;0,INDEX('09-أيلول'!$F$2:$F$500,V393)=F393),N(I393)/N(INDEX('09-أيلول'!$I$2:$I$500,V393))-1,""))</f>
        <v/>
      </c>
      <c r="AC393" t="str">
        <f>IF(L393="","",IF(AND($AO$2=1,ISNA(MATCH(L393,'11-تشرين الثاني'!$L$2:$L$501,0))),"محذوف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IF(L394="","",IF($AO$1=1,IFERROR(MATCH(L394,'09-أيلول'!$L$2:$L$500,0),0),0))</f>
        <v/>
      </c>
      <c r="W394" t="str">
        <f t="shared" si="131"/>
        <v/>
      </c>
      <c r="X394" s="38" t="str">
        <f>IF(L394="","",IF(V394&gt;0,INDEX('09-أيلول'!$P$2:$P$500,V394),IF($AO$1=1,0,"")))</f>
        <v/>
      </c>
      <c r="Y394" s="38" t="str">
        <f t="shared" si="132"/>
        <v/>
      </c>
      <c r="Z394" s="39" t="str">
        <f>IF(L394="","",IF(V394&gt;0,INDEX('09-أيلول'!$Q$2:$Q$500,V394),IF($AO$1=1,0,"")))</f>
        <v/>
      </c>
      <c r="AA394" s="39" t="str">
        <f t="shared" si="133"/>
        <v/>
      </c>
      <c r="AB394" s="40" t="str">
        <f>IF(OR(L394="",V394=0),"",IF(AND(N(I394)&gt;0,N(INDEX('09-أيلول'!$I$2:$I$500,V394))&gt;0,INDEX('09-أيلول'!$F$2:$F$500,V394)=F394),N(I394)/N(INDEX('09-أيلول'!$I$2:$I$500,V394))-1,""))</f>
        <v/>
      </c>
      <c r="AC394" t="str">
        <f>IF(L394="","",IF(AND($AO$2=1,ISNA(MATCH(L394,'11-تشرين الثاني'!$L$2:$L$501,0))),"محذوف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IF(L395="","",IF($AO$1=1,IFERROR(MATCH(L395,'09-أيلول'!$L$2:$L$500,0),0),0))</f>
        <v/>
      </c>
      <c r="W395" t="str">
        <f t="shared" si="131"/>
        <v/>
      </c>
      <c r="X395" s="38" t="str">
        <f>IF(L395="","",IF(V395&gt;0,INDEX('09-أيلول'!$P$2:$P$500,V395),IF($AO$1=1,0,"")))</f>
        <v/>
      </c>
      <c r="Y395" s="38" t="str">
        <f t="shared" si="132"/>
        <v/>
      </c>
      <c r="Z395" s="39" t="str">
        <f>IF(L395="","",IF(V395&gt;0,INDEX('09-أيلول'!$Q$2:$Q$500,V395),IF($AO$1=1,0,"")))</f>
        <v/>
      </c>
      <c r="AA395" s="39" t="str">
        <f t="shared" si="133"/>
        <v/>
      </c>
      <c r="AB395" s="40" t="str">
        <f>IF(OR(L395="",V395=0),"",IF(AND(N(I395)&gt;0,N(INDEX('09-أيلول'!$I$2:$I$500,V395))&gt;0,INDEX('09-أيلول'!$F$2:$F$500,V395)=F395),N(I395)/N(INDEX('09-أيلول'!$I$2:$I$500,V395))-1,""))</f>
        <v/>
      </c>
      <c r="AC395" t="str">
        <f>IF(L395="","",IF(AND($AO$2=1,ISNA(MATCH(L395,'11-تشرين الثاني'!$L$2:$L$501,0))),"محذوف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IF(L396="","",IF($AO$1=1,IFERROR(MATCH(L396,'09-أيلول'!$L$2:$L$500,0),0),0))</f>
        <v/>
      </c>
      <c r="W396" t="str">
        <f t="shared" si="131"/>
        <v/>
      </c>
      <c r="X396" s="38" t="str">
        <f>IF(L396="","",IF(V396&gt;0,INDEX('09-أيلول'!$P$2:$P$500,V396),IF($AO$1=1,0,"")))</f>
        <v/>
      </c>
      <c r="Y396" s="38" t="str">
        <f t="shared" si="132"/>
        <v/>
      </c>
      <c r="Z396" s="39" t="str">
        <f>IF(L396="","",IF(V396&gt;0,INDEX('09-أيلول'!$Q$2:$Q$500,V396),IF($AO$1=1,0,"")))</f>
        <v/>
      </c>
      <c r="AA396" s="39" t="str">
        <f t="shared" si="133"/>
        <v/>
      </c>
      <c r="AB396" s="40" t="str">
        <f>IF(OR(L396="",V396=0),"",IF(AND(N(I396)&gt;0,N(INDEX('09-أيلول'!$I$2:$I$500,V396))&gt;0,INDEX('09-أيلول'!$F$2:$F$500,V396)=F396),N(I396)/N(INDEX('09-أيلول'!$I$2:$I$500,V396))-1,""))</f>
        <v/>
      </c>
      <c r="AC396" t="str">
        <f>IF(L396="","",IF(AND($AO$2=1,ISNA(MATCH(L396,'11-تشرين الثاني'!$L$2:$L$501,0))),"محذوف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IF(L397="","",IF($AO$1=1,IFERROR(MATCH(L397,'09-أيلول'!$L$2:$L$500,0),0),0))</f>
        <v/>
      </c>
      <c r="W397" t="str">
        <f t="shared" si="131"/>
        <v/>
      </c>
      <c r="X397" s="38" t="str">
        <f>IF(L397="","",IF(V397&gt;0,INDEX('09-أيلول'!$P$2:$P$500,V397),IF($AO$1=1,0,"")))</f>
        <v/>
      </c>
      <c r="Y397" s="38" t="str">
        <f t="shared" si="132"/>
        <v/>
      </c>
      <c r="Z397" s="39" t="str">
        <f>IF(L397="","",IF(V397&gt;0,INDEX('09-أيلول'!$Q$2:$Q$500,V397),IF($AO$1=1,0,"")))</f>
        <v/>
      </c>
      <c r="AA397" s="39" t="str">
        <f t="shared" si="133"/>
        <v/>
      </c>
      <c r="AB397" s="40" t="str">
        <f>IF(OR(L397="",V397=0),"",IF(AND(N(I397)&gt;0,N(INDEX('09-أيلول'!$I$2:$I$500,V397))&gt;0,INDEX('09-أيلول'!$F$2:$F$500,V397)=F397),N(I397)/N(INDEX('09-أيلول'!$I$2:$I$500,V397))-1,""))</f>
        <v/>
      </c>
      <c r="AC397" t="str">
        <f>IF(L397="","",IF(AND($AO$2=1,ISNA(MATCH(L397,'11-تشرين الثاني'!$L$2:$L$501,0))),"محذوف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IF(L398="","",IF($AO$1=1,IFERROR(MATCH(L398,'09-أيلول'!$L$2:$L$500,0),0),0))</f>
        <v/>
      </c>
      <c r="W398" t="str">
        <f t="shared" si="131"/>
        <v/>
      </c>
      <c r="X398" s="38" t="str">
        <f>IF(L398="","",IF(V398&gt;0,INDEX('09-أيلول'!$P$2:$P$500,V398),IF($AO$1=1,0,"")))</f>
        <v/>
      </c>
      <c r="Y398" s="38" t="str">
        <f t="shared" si="132"/>
        <v/>
      </c>
      <c r="Z398" s="39" t="str">
        <f>IF(L398="","",IF(V398&gt;0,INDEX('09-أيلول'!$Q$2:$Q$500,V398),IF($AO$1=1,0,"")))</f>
        <v/>
      </c>
      <c r="AA398" s="39" t="str">
        <f t="shared" si="133"/>
        <v/>
      </c>
      <c r="AB398" s="40" t="str">
        <f>IF(OR(L398="",V398=0),"",IF(AND(N(I398)&gt;0,N(INDEX('09-أيلول'!$I$2:$I$500,V398))&gt;0,INDEX('09-أيلول'!$F$2:$F$500,V398)=F398),N(I398)/N(INDEX('09-أيلول'!$I$2:$I$500,V398))-1,""))</f>
        <v/>
      </c>
      <c r="AC398" t="str">
        <f>IF(L398="","",IF(AND($AO$2=1,ISNA(MATCH(L398,'11-تشرين الثاني'!$L$2:$L$501,0))),"محذوف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IF(L399="","",IF($AO$1=1,IFERROR(MATCH(L399,'09-أيلول'!$L$2:$L$500,0),0),0))</f>
        <v/>
      </c>
      <c r="W399" t="str">
        <f t="shared" si="131"/>
        <v/>
      </c>
      <c r="X399" s="38" t="str">
        <f>IF(L399="","",IF(V399&gt;0,INDEX('09-أيلول'!$P$2:$P$500,V399),IF($AO$1=1,0,"")))</f>
        <v/>
      </c>
      <c r="Y399" s="38" t="str">
        <f t="shared" si="132"/>
        <v/>
      </c>
      <c r="Z399" s="39" t="str">
        <f>IF(L399="","",IF(V399&gt;0,INDEX('09-أيلول'!$Q$2:$Q$500,V399),IF($AO$1=1,0,"")))</f>
        <v/>
      </c>
      <c r="AA399" s="39" t="str">
        <f t="shared" si="133"/>
        <v/>
      </c>
      <c r="AB399" s="40" t="str">
        <f>IF(OR(L399="",V399=0),"",IF(AND(N(I399)&gt;0,N(INDEX('09-أيلول'!$I$2:$I$500,V399))&gt;0,INDEX('09-أيلول'!$F$2:$F$500,V399)=F399),N(I399)/N(INDEX('09-أيلول'!$I$2:$I$500,V399))-1,""))</f>
        <v/>
      </c>
      <c r="AC399" t="str">
        <f>IF(L399="","",IF(AND($AO$2=1,ISNA(MATCH(L399,'11-تشرين الثاني'!$L$2:$L$501,0))),"محذوف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IF(L400="","",IF($AO$1=1,IFERROR(MATCH(L400,'09-أيلول'!$L$2:$L$500,0),0),0))</f>
        <v/>
      </c>
      <c r="W400" t="str">
        <f t="shared" si="131"/>
        <v/>
      </c>
      <c r="X400" s="38" t="str">
        <f>IF(L400="","",IF(V400&gt;0,INDEX('09-أيلول'!$P$2:$P$500,V400),IF($AO$1=1,0,"")))</f>
        <v/>
      </c>
      <c r="Y400" s="38" t="str">
        <f t="shared" si="132"/>
        <v/>
      </c>
      <c r="Z400" s="39" t="str">
        <f>IF(L400="","",IF(V400&gt;0,INDEX('09-أيلول'!$Q$2:$Q$500,V400),IF($AO$1=1,0,"")))</f>
        <v/>
      </c>
      <c r="AA400" s="39" t="str">
        <f t="shared" si="133"/>
        <v/>
      </c>
      <c r="AB400" s="40" t="str">
        <f>IF(OR(L400="",V400=0),"",IF(AND(N(I400)&gt;0,N(INDEX('09-أيلول'!$I$2:$I$500,V400))&gt;0,INDEX('09-أيلول'!$F$2:$F$500,V400)=F400),N(I400)/N(INDEX('09-أيلول'!$I$2:$I$500,V400))-1,""))</f>
        <v/>
      </c>
      <c r="AC400" t="str">
        <f>IF(L400="","",IF(AND($AO$2=1,ISNA(MATCH(L400,'11-تشرين الثاني'!$L$2:$L$501,0))),"محذوف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IF(L401="","",IF($AO$1=1,IFERROR(MATCH(L401,'09-أيلول'!$L$2:$L$500,0),0),0))</f>
        <v/>
      </c>
      <c r="W401" t="str">
        <f t="shared" si="131"/>
        <v/>
      </c>
      <c r="X401" s="38" t="str">
        <f>IF(L401="","",IF(V401&gt;0,INDEX('09-أيلول'!$P$2:$P$500,V401),IF($AO$1=1,0,"")))</f>
        <v/>
      </c>
      <c r="Y401" s="38" t="str">
        <f t="shared" si="132"/>
        <v/>
      </c>
      <c r="Z401" s="39" t="str">
        <f>IF(L401="","",IF(V401&gt;0,INDEX('09-أيلول'!$Q$2:$Q$500,V401),IF($AO$1=1,0,"")))</f>
        <v/>
      </c>
      <c r="AA401" s="39" t="str">
        <f t="shared" si="133"/>
        <v/>
      </c>
      <c r="AB401" s="40" t="str">
        <f>IF(OR(L401="",V401=0),"",IF(AND(N(I401)&gt;0,N(INDEX('09-أيلول'!$I$2:$I$500,V401))&gt;0,INDEX('09-أيلول'!$F$2:$F$500,V401)=F401),N(I401)/N(INDEX('09-أيلول'!$I$2:$I$500,V401))-1,""))</f>
        <v/>
      </c>
      <c r="AC401" t="str">
        <f>IF(L401="","",IF(AND($AO$2=1,ISNA(MATCH(L401,'11-تشرين الثاني'!$L$2:$L$501,0))),"محذوف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IF(L402="","",IF($AO$1=1,IFERROR(MATCH(L402,'09-أيلول'!$L$2:$L$500,0),0),0))</f>
        <v/>
      </c>
      <c r="W402" t="str">
        <f t="shared" si="131"/>
        <v/>
      </c>
      <c r="X402" s="38" t="str">
        <f>IF(L402="","",IF(V402&gt;0,INDEX('09-أيلول'!$P$2:$P$500,V402),IF($AO$1=1,0,"")))</f>
        <v/>
      </c>
      <c r="Y402" s="38" t="str">
        <f t="shared" si="132"/>
        <v/>
      </c>
      <c r="Z402" s="39" t="str">
        <f>IF(L402="","",IF(V402&gt;0,INDEX('09-أيلول'!$Q$2:$Q$500,V402),IF($AO$1=1,0,"")))</f>
        <v/>
      </c>
      <c r="AA402" s="39" t="str">
        <f t="shared" si="133"/>
        <v/>
      </c>
      <c r="AB402" s="40" t="str">
        <f>IF(OR(L402="",V402=0),"",IF(AND(N(I402)&gt;0,N(INDEX('09-أيلول'!$I$2:$I$500,V402))&gt;0,INDEX('09-أيلول'!$F$2:$F$500,V402)=F402),N(I402)/N(INDEX('09-أيلول'!$I$2:$I$500,V402))-1,""))</f>
        <v/>
      </c>
      <c r="AC402" t="str">
        <f>IF(L402="","",IF(AND($AO$2=1,ISNA(MATCH(L402,'11-تشرين الثاني'!$L$2:$L$501,0))),"محذوف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IF(L403="","",IF($AO$1=1,IFERROR(MATCH(L403,'09-أيلول'!$L$2:$L$500,0),0),0))</f>
        <v/>
      </c>
      <c r="W403" t="str">
        <f t="shared" si="131"/>
        <v/>
      </c>
      <c r="X403" s="38" t="str">
        <f>IF(L403="","",IF(V403&gt;0,INDEX('09-أيلول'!$P$2:$P$500,V403),IF($AO$1=1,0,"")))</f>
        <v/>
      </c>
      <c r="Y403" s="38" t="str">
        <f t="shared" si="132"/>
        <v/>
      </c>
      <c r="Z403" s="39" t="str">
        <f>IF(L403="","",IF(V403&gt;0,INDEX('09-أيلول'!$Q$2:$Q$500,V403),IF($AO$1=1,0,"")))</f>
        <v/>
      </c>
      <c r="AA403" s="39" t="str">
        <f t="shared" si="133"/>
        <v/>
      </c>
      <c r="AB403" s="40" t="str">
        <f>IF(OR(L403="",V403=0),"",IF(AND(N(I403)&gt;0,N(INDEX('09-أيلول'!$I$2:$I$500,V403))&gt;0,INDEX('09-أيلول'!$F$2:$F$500,V403)=F403),N(I403)/N(INDEX('09-أيلول'!$I$2:$I$500,V403))-1,""))</f>
        <v/>
      </c>
      <c r="AC403" t="str">
        <f>IF(L403="","",IF(AND($AO$2=1,ISNA(MATCH(L403,'11-تشرين الثاني'!$L$2:$L$501,0))),"محذوف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IF(L404="","",IF($AO$1=1,IFERROR(MATCH(L404,'09-أيلول'!$L$2:$L$500,0),0),0))</f>
        <v/>
      </c>
      <c r="W404" t="str">
        <f t="shared" si="131"/>
        <v/>
      </c>
      <c r="X404" s="38" t="str">
        <f>IF(L404="","",IF(V404&gt;0,INDEX('09-أيلول'!$P$2:$P$500,V404),IF($AO$1=1,0,"")))</f>
        <v/>
      </c>
      <c r="Y404" s="38" t="str">
        <f t="shared" si="132"/>
        <v/>
      </c>
      <c r="Z404" s="39" t="str">
        <f>IF(L404="","",IF(V404&gt;0,INDEX('09-أيلول'!$Q$2:$Q$500,V404),IF($AO$1=1,0,"")))</f>
        <v/>
      </c>
      <c r="AA404" s="39" t="str">
        <f t="shared" si="133"/>
        <v/>
      </c>
      <c r="AB404" s="40" t="str">
        <f>IF(OR(L404="",V404=0),"",IF(AND(N(I404)&gt;0,N(INDEX('09-أيلول'!$I$2:$I$500,V404))&gt;0,INDEX('09-أيلول'!$F$2:$F$500,V404)=F404),N(I404)/N(INDEX('09-أيلول'!$I$2:$I$500,V404))-1,""))</f>
        <v/>
      </c>
      <c r="AC404" t="str">
        <f>IF(L404="","",IF(AND($AO$2=1,ISNA(MATCH(L404,'11-تشرين الثاني'!$L$2:$L$501,0))),"محذوف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IF(L405="","",IF($AO$1=1,IFERROR(MATCH(L405,'09-أيلول'!$L$2:$L$500,0),0),0))</f>
        <v/>
      </c>
      <c r="W405" t="str">
        <f t="shared" si="131"/>
        <v/>
      </c>
      <c r="X405" s="38" t="str">
        <f>IF(L405="","",IF(V405&gt;0,INDEX('09-أيلول'!$P$2:$P$500,V405),IF($AO$1=1,0,"")))</f>
        <v/>
      </c>
      <c r="Y405" s="38" t="str">
        <f t="shared" si="132"/>
        <v/>
      </c>
      <c r="Z405" s="39" t="str">
        <f>IF(L405="","",IF(V405&gt;0,INDEX('09-أيلول'!$Q$2:$Q$500,V405),IF($AO$1=1,0,"")))</f>
        <v/>
      </c>
      <c r="AA405" s="39" t="str">
        <f t="shared" si="133"/>
        <v/>
      </c>
      <c r="AB405" s="40" t="str">
        <f>IF(OR(L405="",V405=0),"",IF(AND(N(I405)&gt;0,N(INDEX('09-أيلول'!$I$2:$I$500,V405))&gt;0,INDEX('09-أيلول'!$F$2:$F$500,V405)=F405),N(I405)/N(INDEX('09-أيلول'!$I$2:$I$500,V405))-1,""))</f>
        <v/>
      </c>
      <c r="AC405" t="str">
        <f>IF(L405="","",IF(AND($AO$2=1,ISNA(MATCH(L405,'11-تشرين الثاني'!$L$2:$L$501,0))),"محذوف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IF(L406="","",IF($AO$1=1,IFERROR(MATCH(L406,'09-أيلول'!$L$2:$L$500,0),0),0))</f>
        <v/>
      </c>
      <c r="W406" t="str">
        <f t="shared" si="131"/>
        <v/>
      </c>
      <c r="X406" s="38" t="str">
        <f>IF(L406="","",IF(V406&gt;0,INDEX('09-أيلول'!$P$2:$P$500,V406),IF($AO$1=1,0,"")))</f>
        <v/>
      </c>
      <c r="Y406" s="38" t="str">
        <f t="shared" si="132"/>
        <v/>
      </c>
      <c r="Z406" s="39" t="str">
        <f>IF(L406="","",IF(V406&gt;0,INDEX('09-أيلول'!$Q$2:$Q$500,V406),IF($AO$1=1,0,"")))</f>
        <v/>
      </c>
      <c r="AA406" s="39" t="str">
        <f t="shared" si="133"/>
        <v/>
      </c>
      <c r="AB406" s="40" t="str">
        <f>IF(OR(L406="",V406=0),"",IF(AND(N(I406)&gt;0,N(INDEX('09-أيلول'!$I$2:$I$500,V406))&gt;0,INDEX('09-أيلول'!$F$2:$F$500,V406)=F406),N(I406)/N(INDEX('09-أيلول'!$I$2:$I$500,V406))-1,""))</f>
        <v/>
      </c>
      <c r="AC406" t="str">
        <f>IF(L406="","",IF(AND($AO$2=1,ISNA(MATCH(L406,'11-تشرين الثاني'!$L$2:$L$501,0))),"محذوف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IF(L407="","",IF($AO$1=1,IFERROR(MATCH(L407,'09-أيلول'!$L$2:$L$500,0),0),0))</f>
        <v/>
      </c>
      <c r="W407" t="str">
        <f t="shared" si="131"/>
        <v/>
      </c>
      <c r="X407" s="38" t="str">
        <f>IF(L407="","",IF(V407&gt;0,INDEX('09-أيلول'!$P$2:$P$500,V407),IF($AO$1=1,0,"")))</f>
        <v/>
      </c>
      <c r="Y407" s="38" t="str">
        <f t="shared" si="132"/>
        <v/>
      </c>
      <c r="Z407" s="39" t="str">
        <f>IF(L407="","",IF(V407&gt;0,INDEX('09-أيلول'!$Q$2:$Q$500,V407),IF($AO$1=1,0,"")))</f>
        <v/>
      </c>
      <c r="AA407" s="39" t="str">
        <f t="shared" si="133"/>
        <v/>
      </c>
      <c r="AB407" s="40" t="str">
        <f>IF(OR(L407="",V407=0),"",IF(AND(N(I407)&gt;0,N(INDEX('09-أيلول'!$I$2:$I$500,V407))&gt;0,INDEX('09-أيلول'!$F$2:$F$500,V407)=F407),N(I407)/N(INDEX('09-أيلول'!$I$2:$I$500,V407))-1,""))</f>
        <v/>
      </c>
      <c r="AC407" t="str">
        <f>IF(L407="","",IF(AND($AO$2=1,ISNA(MATCH(L407,'11-تشرين الثاني'!$L$2:$L$501,0))),"محذوف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IF(L408="","",IF($AO$1=1,IFERROR(MATCH(L408,'09-أيلول'!$L$2:$L$500,0),0),0))</f>
        <v/>
      </c>
      <c r="W408" t="str">
        <f t="shared" si="131"/>
        <v/>
      </c>
      <c r="X408" s="38" t="str">
        <f>IF(L408="","",IF(V408&gt;0,INDEX('09-أيلول'!$P$2:$P$500,V408),IF($AO$1=1,0,"")))</f>
        <v/>
      </c>
      <c r="Y408" s="38" t="str">
        <f t="shared" si="132"/>
        <v/>
      </c>
      <c r="Z408" s="39" t="str">
        <f>IF(L408="","",IF(V408&gt;0,INDEX('09-أيلول'!$Q$2:$Q$500,V408),IF($AO$1=1,0,"")))</f>
        <v/>
      </c>
      <c r="AA408" s="39" t="str">
        <f t="shared" si="133"/>
        <v/>
      </c>
      <c r="AB408" s="40" t="str">
        <f>IF(OR(L408="",V408=0),"",IF(AND(N(I408)&gt;0,N(INDEX('09-أيلول'!$I$2:$I$500,V408))&gt;0,INDEX('09-أيلول'!$F$2:$F$500,V408)=F408),N(I408)/N(INDEX('09-أيلول'!$I$2:$I$500,V408))-1,""))</f>
        <v/>
      </c>
      <c r="AC408" t="str">
        <f>IF(L408="","",IF(AND($AO$2=1,ISNA(MATCH(L408,'11-تشرين الثاني'!$L$2:$L$501,0))),"محذوف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IF(L409="","",IF($AO$1=1,IFERROR(MATCH(L409,'09-أيلول'!$L$2:$L$500,0),0),0))</f>
        <v/>
      </c>
      <c r="W409" t="str">
        <f t="shared" si="131"/>
        <v/>
      </c>
      <c r="X409" s="38" t="str">
        <f>IF(L409="","",IF(V409&gt;0,INDEX('09-أيلول'!$P$2:$P$500,V409),IF($AO$1=1,0,"")))</f>
        <v/>
      </c>
      <c r="Y409" s="38" t="str">
        <f t="shared" si="132"/>
        <v/>
      </c>
      <c r="Z409" s="39" t="str">
        <f>IF(L409="","",IF(V409&gt;0,INDEX('09-أيلول'!$Q$2:$Q$500,V409),IF($AO$1=1,0,"")))</f>
        <v/>
      </c>
      <c r="AA409" s="39" t="str">
        <f t="shared" si="133"/>
        <v/>
      </c>
      <c r="AB409" s="40" t="str">
        <f>IF(OR(L409="",V409=0),"",IF(AND(N(I409)&gt;0,N(INDEX('09-أيلول'!$I$2:$I$500,V409))&gt;0,INDEX('09-أيلول'!$F$2:$F$500,V409)=F409),N(I409)/N(INDEX('09-أيلول'!$I$2:$I$500,V409))-1,""))</f>
        <v/>
      </c>
      <c r="AC409" t="str">
        <f>IF(L409="","",IF(AND($AO$2=1,ISNA(MATCH(L409,'11-تشرين الثاني'!$L$2:$L$501,0))),"محذوف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IF(L410="","",IF($AO$1=1,IFERROR(MATCH(L410,'09-أيلول'!$L$2:$L$500,0),0),0))</f>
        <v/>
      </c>
      <c r="W410" t="str">
        <f t="shared" si="131"/>
        <v/>
      </c>
      <c r="X410" s="38" t="str">
        <f>IF(L410="","",IF(V410&gt;0,INDEX('09-أيلول'!$P$2:$P$500,V410),IF($AO$1=1,0,"")))</f>
        <v/>
      </c>
      <c r="Y410" s="38" t="str">
        <f t="shared" si="132"/>
        <v/>
      </c>
      <c r="Z410" s="39" t="str">
        <f>IF(L410="","",IF(V410&gt;0,INDEX('09-أيلول'!$Q$2:$Q$500,V410),IF($AO$1=1,0,"")))</f>
        <v/>
      </c>
      <c r="AA410" s="39" t="str">
        <f t="shared" si="133"/>
        <v/>
      </c>
      <c r="AB410" s="40" t="str">
        <f>IF(OR(L410="",V410=0),"",IF(AND(N(I410)&gt;0,N(INDEX('09-أيلول'!$I$2:$I$500,V410))&gt;0,INDEX('09-أيلول'!$F$2:$F$500,V410)=F410),N(I410)/N(INDEX('09-أيلول'!$I$2:$I$500,V410))-1,""))</f>
        <v/>
      </c>
      <c r="AC410" t="str">
        <f>IF(L410="","",IF(AND($AO$2=1,ISNA(MATCH(L410,'11-تشرين الثاني'!$L$2:$L$501,0))),"محذوف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IF(L411="","",IF($AO$1=1,IFERROR(MATCH(L411,'09-أيلول'!$L$2:$L$500,0),0),0))</f>
        <v/>
      </c>
      <c r="W411" t="str">
        <f t="shared" si="131"/>
        <v/>
      </c>
      <c r="X411" s="38" t="str">
        <f>IF(L411="","",IF(V411&gt;0,INDEX('09-أيلول'!$P$2:$P$500,V411),IF($AO$1=1,0,"")))</f>
        <v/>
      </c>
      <c r="Y411" s="38" t="str">
        <f t="shared" si="132"/>
        <v/>
      </c>
      <c r="Z411" s="39" t="str">
        <f>IF(L411="","",IF(V411&gt;0,INDEX('09-أيلول'!$Q$2:$Q$500,V411),IF($AO$1=1,0,"")))</f>
        <v/>
      </c>
      <c r="AA411" s="39" t="str">
        <f t="shared" si="133"/>
        <v/>
      </c>
      <c r="AB411" s="40" t="str">
        <f>IF(OR(L411="",V411=0),"",IF(AND(N(I411)&gt;0,N(INDEX('09-أيلول'!$I$2:$I$500,V411))&gt;0,INDEX('09-أيلول'!$F$2:$F$500,V411)=F411),N(I411)/N(INDEX('09-أيلول'!$I$2:$I$500,V411))-1,""))</f>
        <v/>
      </c>
      <c r="AC411" t="str">
        <f>IF(L411="","",IF(AND($AO$2=1,ISNA(MATCH(L411,'11-تشرين الثاني'!$L$2:$L$501,0))),"محذوف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IF(L412="","",IF($AO$1=1,IFERROR(MATCH(L412,'09-أيلول'!$L$2:$L$500,0),0),0))</f>
        <v/>
      </c>
      <c r="W412" t="str">
        <f t="shared" si="131"/>
        <v/>
      </c>
      <c r="X412" s="38" t="str">
        <f>IF(L412="","",IF(V412&gt;0,INDEX('09-أيلول'!$P$2:$P$500,V412),IF($AO$1=1,0,"")))</f>
        <v/>
      </c>
      <c r="Y412" s="38" t="str">
        <f t="shared" si="132"/>
        <v/>
      </c>
      <c r="Z412" s="39" t="str">
        <f>IF(L412="","",IF(V412&gt;0,INDEX('09-أيلول'!$Q$2:$Q$500,V412),IF($AO$1=1,0,"")))</f>
        <v/>
      </c>
      <c r="AA412" s="39" t="str">
        <f t="shared" si="133"/>
        <v/>
      </c>
      <c r="AB412" s="40" t="str">
        <f>IF(OR(L412="",V412=0),"",IF(AND(N(I412)&gt;0,N(INDEX('09-أيلول'!$I$2:$I$500,V412))&gt;0,INDEX('09-أيلول'!$F$2:$F$500,V412)=F412),N(I412)/N(INDEX('09-أيلول'!$I$2:$I$500,V412))-1,""))</f>
        <v/>
      </c>
      <c r="AC412" t="str">
        <f>IF(L412="","",IF(AND($AO$2=1,ISNA(MATCH(L412,'11-تشرين الثاني'!$L$2:$L$501,0))),"محذوف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IF(L413="","",IF($AO$1=1,IFERROR(MATCH(L413,'09-أيلول'!$L$2:$L$500,0),0),0))</f>
        <v/>
      </c>
      <c r="W413" t="str">
        <f t="shared" si="131"/>
        <v/>
      </c>
      <c r="X413" s="38" t="str">
        <f>IF(L413="","",IF(V413&gt;0,INDEX('09-أيلول'!$P$2:$P$500,V413),IF($AO$1=1,0,"")))</f>
        <v/>
      </c>
      <c r="Y413" s="38" t="str">
        <f t="shared" si="132"/>
        <v/>
      </c>
      <c r="Z413" s="39" t="str">
        <f>IF(L413="","",IF(V413&gt;0,INDEX('09-أيلول'!$Q$2:$Q$500,V413),IF($AO$1=1,0,"")))</f>
        <v/>
      </c>
      <c r="AA413" s="39" t="str">
        <f t="shared" si="133"/>
        <v/>
      </c>
      <c r="AB413" s="40" t="str">
        <f>IF(OR(L413="",V413=0),"",IF(AND(N(I413)&gt;0,N(INDEX('09-أيلول'!$I$2:$I$500,V413))&gt;0,INDEX('09-أيلول'!$F$2:$F$500,V413)=F413),N(I413)/N(INDEX('09-أيلول'!$I$2:$I$500,V413))-1,""))</f>
        <v/>
      </c>
      <c r="AC413" t="str">
        <f>IF(L413="","",IF(AND($AO$2=1,ISNA(MATCH(L413,'11-تشرين الثاني'!$L$2:$L$501,0))),"محذوف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IF(L414="","",IF($AO$1=1,IFERROR(MATCH(L414,'09-أيلول'!$L$2:$L$500,0),0),0))</f>
        <v/>
      </c>
      <c r="W414" t="str">
        <f t="shared" si="131"/>
        <v/>
      </c>
      <c r="X414" s="38" t="str">
        <f>IF(L414="","",IF(V414&gt;0,INDEX('09-أيلول'!$P$2:$P$500,V414),IF($AO$1=1,0,"")))</f>
        <v/>
      </c>
      <c r="Y414" s="38" t="str">
        <f t="shared" si="132"/>
        <v/>
      </c>
      <c r="Z414" s="39" t="str">
        <f>IF(L414="","",IF(V414&gt;0,INDEX('09-أيلول'!$Q$2:$Q$500,V414),IF($AO$1=1,0,"")))</f>
        <v/>
      </c>
      <c r="AA414" s="39" t="str">
        <f t="shared" si="133"/>
        <v/>
      </c>
      <c r="AB414" s="40" t="str">
        <f>IF(OR(L414="",V414=0),"",IF(AND(N(I414)&gt;0,N(INDEX('09-أيلول'!$I$2:$I$500,V414))&gt;0,INDEX('09-أيلول'!$F$2:$F$500,V414)=F414),N(I414)/N(INDEX('09-أيلول'!$I$2:$I$500,V414))-1,""))</f>
        <v/>
      </c>
      <c r="AC414" t="str">
        <f>IF(L414="","",IF(AND($AO$2=1,ISNA(MATCH(L414,'11-تشرين الثاني'!$L$2:$L$501,0))),"محذوف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IF(L415="","",IF($AO$1=1,IFERROR(MATCH(L415,'09-أيلول'!$L$2:$L$500,0),0),0))</f>
        <v/>
      </c>
      <c r="W415" t="str">
        <f t="shared" si="131"/>
        <v/>
      </c>
      <c r="X415" s="38" t="str">
        <f>IF(L415="","",IF(V415&gt;0,INDEX('09-أيلول'!$P$2:$P$500,V415),IF($AO$1=1,0,"")))</f>
        <v/>
      </c>
      <c r="Y415" s="38" t="str">
        <f t="shared" si="132"/>
        <v/>
      </c>
      <c r="Z415" s="39" t="str">
        <f>IF(L415="","",IF(V415&gt;0,INDEX('09-أيلول'!$Q$2:$Q$500,V415),IF($AO$1=1,0,"")))</f>
        <v/>
      </c>
      <c r="AA415" s="39" t="str">
        <f t="shared" si="133"/>
        <v/>
      </c>
      <c r="AB415" s="40" t="str">
        <f>IF(OR(L415="",V415=0),"",IF(AND(N(I415)&gt;0,N(INDEX('09-أيلول'!$I$2:$I$500,V415))&gt;0,INDEX('09-أيلول'!$F$2:$F$500,V415)=F415),N(I415)/N(INDEX('09-أيلول'!$I$2:$I$500,V415))-1,""))</f>
        <v/>
      </c>
      <c r="AC415" t="str">
        <f>IF(L415="","",IF(AND($AO$2=1,ISNA(MATCH(L415,'11-تشرين الثاني'!$L$2:$L$501,0))),"محذوف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IF(L416="","",IF($AO$1=1,IFERROR(MATCH(L416,'09-أيلول'!$L$2:$L$500,0),0),0))</f>
        <v/>
      </c>
      <c r="W416" t="str">
        <f t="shared" si="131"/>
        <v/>
      </c>
      <c r="X416" s="38" t="str">
        <f>IF(L416="","",IF(V416&gt;0,INDEX('09-أيلول'!$P$2:$P$500,V416),IF($AO$1=1,0,"")))</f>
        <v/>
      </c>
      <c r="Y416" s="38" t="str">
        <f t="shared" si="132"/>
        <v/>
      </c>
      <c r="Z416" s="39" t="str">
        <f>IF(L416="","",IF(V416&gt;0,INDEX('09-أيلول'!$Q$2:$Q$500,V416),IF($AO$1=1,0,"")))</f>
        <v/>
      </c>
      <c r="AA416" s="39" t="str">
        <f t="shared" si="133"/>
        <v/>
      </c>
      <c r="AB416" s="40" t="str">
        <f>IF(OR(L416="",V416=0),"",IF(AND(N(I416)&gt;0,N(INDEX('09-أيلول'!$I$2:$I$500,V416))&gt;0,INDEX('09-أيلول'!$F$2:$F$500,V416)=F416),N(I416)/N(INDEX('09-أيلول'!$I$2:$I$500,V416))-1,""))</f>
        <v/>
      </c>
      <c r="AC416" t="str">
        <f>IF(L416="","",IF(AND($AO$2=1,ISNA(MATCH(L416,'11-تشرين الثاني'!$L$2:$L$501,0))),"محذوف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IF(L417="","",IF($AO$1=1,IFERROR(MATCH(L417,'09-أيلول'!$L$2:$L$500,0),0),0))</f>
        <v/>
      </c>
      <c r="W417" t="str">
        <f t="shared" si="131"/>
        <v/>
      </c>
      <c r="X417" s="38" t="str">
        <f>IF(L417="","",IF(V417&gt;0,INDEX('09-أيلول'!$P$2:$P$500,V417),IF($AO$1=1,0,"")))</f>
        <v/>
      </c>
      <c r="Y417" s="38" t="str">
        <f t="shared" si="132"/>
        <v/>
      </c>
      <c r="Z417" s="39" t="str">
        <f>IF(L417="","",IF(V417&gt;0,INDEX('09-أيلول'!$Q$2:$Q$500,V417),IF($AO$1=1,0,"")))</f>
        <v/>
      </c>
      <c r="AA417" s="39" t="str">
        <f t="shared" si="133"/>
        <v/>
      </c>
      <c r="AB417" s="40" t="str">
        <f>IF(OR(L417="",V417=0),"",IF(AND(N(I417)&gt;0,N(INDEX('09-أيلول'!$I$2:$I$500,V417))&gt;0,INDEX('09-أيلول'!$F$2:$F$500,V417)=F417),N(I417)/N(INDEX('09-أيلول'!$I$2:$I$500,V417))-1,""))</f>
        <v/>
      </c>
      <c r="AC417" t="str">
        <f>IF(L417="","",IF(AND($AO$2=1,ISNA(MATCH(L417,'11-تشرين الثاني'!$L$2:$L$501,0))),"محذوف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IF(L418="","",IF($AO$1=1,IFERROR(MATCH(L418,'09-أيلول'!$L$2:$L$500,0),0),0))</f>
        <v/>
      </c>
      <c r="W418" t="str">
        <f t="shared" si="131"/>
        <v/>
      </c>
      <c r="X418" s="38" t="str">
        <f>IF(L418="","",IF(V418&gt;0,INDEX('09-أيلول'!$P$2:$P$500,V418),IF($AO$1=1,0,"")))</f>
        <v/>
      </c>
      <c r="Y418" s="38" t="str">
        <f t="shared" si="132"/>
        <v/>
      </c>
      <c r="Z418" s="39" t="str">
        <f>IF(L418="","",IF(V418&gt;0,INDEX('09-أيلول'!$Q$2:$Q$500,V418),IF($AO$1=1,0,"")))</f>
        <v/>
      </c>
      <c r="AA418" s="39" t="str">
        <f t="shared" si="133"/>
        <v/>
      </c>
      <c r="AB418" s="40" t="str">
        <f>IF(OR(L418="",V418=0),"",IF(AND(N(I418)&gt;0,N(INDEX('09-أيلول'!$I$2:$I$500,V418))&gt;0,INDEX('09-أيلول'!$F$2:$F$500,V418)=F418),N(I418)/N(INDEX('09-أيلول'!$I$2:$I$500,V418))-1,""))</f>
        <v/>
      </c>
      <c r="AC418" t="str">
        <f>IF(L418="","",IF(AND($AO$2=1,ISNA(MATCH(L418,'11-تشرين الثاني'!$L$2:$L$501,0))),"محذوف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IF(L419="","",IF($AO$1=1,IFERROR(MATCH(L419,'09-أيلول'!$L$2:$L$500,0),0),0))</f>
        <v/>
      </c>
      <c r="W419" t="str">
        <f t="shared" si="131"/>
        <v/>
      </c>
      <c r="X419" s="38" t="str">
        <f>IF(L419="","",IF(V419&gt;0,INDEX('09-أيلول'!$P$2:$P$500,V419),IF($AO$1=1,0,"")))</f>
        <v/>
      </c>
      <c r="Y419" s="38" t="str">
        <f t="shared" si="132"/>
        <v/>
      </c>
      <c r="Z419" s="39" t="str">
        <f>IF(L419="","",IF(V419&gt;0,INDEX('09-أيلول'!$Q$2:$Q$500,V419),IF($AO$1=1,0,"")))</f>
        <v/>
      </c>
      <c r="AA419" s="39" t="str">
        <f t="shared" si="133"/>
        <v/>
      </c>
      <c r="AB419" s="40" t="str">
        <f>IF(OR(L419="",V419=0),"",IF(AND(N(I419)&gt;0,N(INDEX('09-أيلول'!$I$2:$I$500,V419))&gt;0,INDEX('09-أيلول'!$F$2:$F$500,V419)=F419),N(I419)/N(INDEX('09-أيلول'!$I$2:$I$500,V419))-1,""))</f>
        <v/>
      </c>
      <c r="AC419" t="str">
        <f>IF(L419="","",IF(AND($AO$2=1,ISNA(MATCH(L419,'11-تشرين الثاني'!$L$2:$L$501,0))),"محذوف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IF(L420="","",IF($AO$1=1,IFERROR(MATCH(L420,'09-أيلول'!$L$2:$L$500,0),0),0))</f>
        <v/>
      </c>
      <c r="W420" t="str">
        <f t="shared" si="131"/>
        <v/>
      </c>
      <c r="X420" s="38" t="str">
        <f>IF(L420="","",IF(V420&gt;0,INDEX('09-أيلول'!$P$2:$P$500,V420),IF($AO$1=1,0,"")))</f>
        <v/>
      </c>
      <c r="Y420" s="38" t="str">
        <f t="shared" si="132"/>
        <v/>
      </c>
      <c r="Z420" s="39" t="str">
        <f>IF(L420="","",IF(V420&gt;0,INDEX('09-أيلول'!$Q$2:$Q$500,V420),IF($AO$1=1,0,"")))</f>
        <v/>
      </c>
      <c r="AA420" s="39" t="str">
        <f t="shared" si="133"/>
        <v/>
      </c>
      <c r="AB420" s="40" t="str">
        <f>IF(OR(L420="",V420=0),"",IF(AND(N(I420)&gt;0,N(INDEX('09-أيلول'!$I$2:$I$500,V420))&gt;0,INDEX('09-أيلول'!$F$2:$F$500,V420)=F420),N(I420)/N(INDEX('09-أيلول'!$I$2:$I$500,V420))-1,""))</f>
        <v/>
      </c>
      <c r="AC420" t="str">
        <f>IF(L420="","",IF(AND($AO$2=1,ISNA(MATCH(L420,'11-تشرين الثاني'!$L$2:$L$501,0))),"محذوف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IF(L421="","",IF($AO$1=1,IFERROR(MATCH(L421,'09-أيلول'!$L$2:$L$500,0),0),0))</f>
        <v/>
      </c>
      <c r="W421" t="str">
        <f t="shared" si="131"/>
        <v/>
      </c>
      <c r="X421" s="38" t="str">
        <f>IF(L421="","",IF(V421&gt;0,INDEX('09-أيلول'!$P$2:$P$500,V421),IF($AO$1=1,0,"")))</f>
        <v/>
      </c>
      <c r="Y421" s="38" t="str">
        <f t="shared" si="132"/>
        <v/>
      </c>
      <c r="Z421" s="39" t="str">
        <f>IF(L421="","",IF(V421&gt;0,INDEX('09-أيلول'!$Q$2:$Q$500,V421),IF($AO$1=1,0,"")))</f>
        <v/>
      </c>
      <c r="AA421" s="39" t="str">
        <f t="shared" si="133"/>
        <v/>
      </c>
      <c r="AB421" s="40" t="str">
        <f>IF(OR(L421="",V421=0),"",IF(AND(N(I421)&gt;0,N(INDEX('09-أيلول'!$I$2:$I$500,V421))&gt;0,INDEX('09-أيلول'!$F$2:$F$500,V421)=F421),N(I421)/N(INDEX('09-أيلول'!$I$2:$I$500,V421))-1,""))</f>
        <v/>
      </c>
      <c r="AC421" t="str">
        <f>IF(L421="","",IF(AND($AO$2=1,ISNA(MATCH(L421,'11-تشرين الثاني'!$L$2:$L$501,0))),"محذوف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IF(L422="","",IF($AO$1=1,IFERROR(MATCH(L422,'09-أيلول'!$L$2:$L$500,0),0),0))</f>
        <v/>
      </c>
      <c r="W422" t="str">
        <f t="shared" si="131"/>
        <v/>
      </c>
      <c r="X422" s="38" t="str">
        <f>IF(L422="","",IF(V422&gt;0,INDEX('09-أيلول'!$P$2:$P$500,V422),IF($AO$1=1,0,"")))</f>
        <v/>
      </c>
      <c r="Y422" s="38" t="str">
        <f t="shared" si="132"/>
        <v/>
      </c>
      <c r="Z422" s="39" t="str">
        <f>IF(L422="","",IF(V422&gt;0,INDEX('09-أيلول'!$Q$2:$Q$500,V422),IF($AO$1=1,0,"")))</f>
        <v/>
      </c>
      <c r="AA422" s="39" t="str">
        <f t="shared" si="133"/>
        <v/>
      </c>
      <c r="AB422" s="40" t="str">
        <f>IF(OR(L422="",V422=0),"",IF(AND(N(I422)&gt;0,N(INDEX('09-أيلول'!$I$2:$I$500,V422))&gt;0,INDEX('09-أيلول'!$F$2:$F$500,V422)=F422),N(I422)/N(INDEX('09-أيلول'!$I$2:$I$500,V422))-1,""))</f>
        <v/>
      </c>
      <c r="AC422" t="str">
        <f>IF(L422="","",IF(AND($AO$2=1,ISNA(MATCH(L422,'11-تشرين الثاني'!$L$2:$L$501,0))),"محذوف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IF(L423="","",IF($AO$1=1,IFERROR(MATCH(L423,'09-أيلول'!$L$2:$L$500,0),0),0))</f>
        <v/>
      </c>
      <c r="W423" t="str">
        <f t="shared" si="131"/>
        <v/>
      </c>
      <c r="X423" s="38" t="str">
        <f>IF(L423="","",IF(V423&gt;0,INDEX('09-أيلول'!$P$2:$P$500,V423),IF($AO$1=1,0,"")))</f>
        <v/>
      </c>
      <c r="Y423" s="38" t="str">
        <f t="shared" si="132"/>
        <v/>
      </c>
      <c r="Z423" s="39" t="str">
        <f>IF(L423="","",IF(V423&gt;0,INDEX('09-أيلول'!$Q$2:$Q$500,V423),IF($AO$1=1,0,"")))</f>
        <v/>
      </c>
      <c r="AA423" s="39" t="str">
        <f t="shared" si="133"/>
        <v/>
      </c>
      <c r="AB423" s="40" t="str">
        <f>IF(OR(L423="",V423=0),"",IF(AND(N(I423)&gt;0,N(INDEX('09-أيلول'!$I$2:$I$500,V423))&gt;0,INDEX('09-أيلول'!$F$2:$F$500,V423)=F423),N(I423)/N(INDEX('09-أيلول'!$I$2:$I$500,V423))-1,""))</f>
        <v/>
      </c>
      <c r="AC423" t="str">
        <f>IF(L423="","",IF(AND($AO$2=1,ISNA(MATCH(L423,'11-تشرين الثاني'!$L$2:$L$501,0))),"محذوف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IF(L424="","",IF($AO$1=1,IFERROR(MATCH(L424,'09-أيلول'!$L$2:$L$500,0),0),0))</f>
        <v/>
      </c>
      <c r="W424" t="str">
        <f t="shared" si="131"/>
        <v/>
      </c>
      <c r="X424" s="38" t="str">
        <f>IF(L424="","",IF(V424&gt;0,INDEX('09-أيلول'!$P$2:$P$500,V424),IF($AO$1=1,0,"")))</f>
        <v/>
      </c>
      <c r="Y424" s="38" t="str">
        <f t="shared" si="132"/>
        <v/>
      </c>
      <c r="Z424" s="39" t="str">
        <f>IF(L424="","",IF(V424&gt;0,INDEX('09-أيلول'!$Q$2:$Q$500,V424),IF($AO$1=1,0,"")))</f>
        <v/>
      </c>
      <c r="AA424" s="39" t="str">
        <f t="shared" si="133"/>
        <v/>
      </c>
      <c r="AB424" s="40" t="str">
        <f>IF(OR(L424="",V424=0),"",IF(AND(N(I424)&gt;0,N(INDEX('09-أيلول'!$I$2:$I$500,V424))&gt;0,INDEX('09-أيلول'!$F$2:$F$500,V424)=F424),N(I424)/N(INDEX('09-أيلول'!$I$2:$I$500,V424))-1,""))</f>
        <v/>
      </c>
      <c r="AC424" t="str">
        <f>IF(L424="","",IF(AND($AO$2=1,ISNA(MATCH(L424,'11-تشرين الثاني'!$L$2:$L$501,0))),"محذوف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IF(L425="","",IF($AO$1=1,IFERROR(MATCH(L425,'09-أيلول'!$L$2:$L$500,0),0),0))</f>
        <v/>
      </c>
      <c r="W425" t="str">
        <f t="shared" si="131"/>
        <v/>
      </c>
      <c r="X425" s="38" t="str">
        <f>IF(L425="","",IF(V425&gt;0,INDEX('09-أيلول'!$P$2:$P$500,V425),IF($AO$1=1,0,"")))</f>
        <v/>
      </c>
      <c r="Y425" s="38" t="str">
        <f t="shared" si="132"/>
        <v/>
      </c>
      <c r="Z425" s="39" t="str">
        <f>IF(L425="","",IF(V425&gt;0,INDEX('09-أيلول'!$Q$2:$Q$500,V425),IF($AO$1=1,0,"")))</f>
        <v/>
      </c>
      <c r="AA425" s="39" t="str">
        <f t="shared" si="133"/>
        <v/>
      </c>
      <c r="AB425" s="40" t="str">
        <f>IF(OR(L425="",V425=0),"",IF(AND(N(I425)&gt;0,N(INDEX('09-أيلول'!$I$2:$I$500,V425))&gt;0,INDEX('09-أيلول'!$F$2:$F$500,V425)=F425),N(I425)/N(INDEX('09-أيلول'!$I$2:$I$500,V425))-1,""))</f>
        <v/>
      </c>
      <c r="AC425" t="str">
        <f>IF(L425="","",IF(AND($AO$2=1,ISNA(MATCH(L425,'11-تشرين الثاني'!$L$2:$L$501,0))),"محذوف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IF(L426="","",IF($AO$1=1,IFERROR(MATCH(L426,'09-أيلول'!$L$2:$L$500,0),0),0))</f>
        <v/>
      </c>
      <c r="W426" t="str">
        <f t="shared" si="131"/>
        <v/>
      </c>
      <c r="X426" s="38" t="str">
        <f>IF(L426="","",IF(V426&gt;0,INDEX('09-أيلول'!$P$2:$P$500,V426),IF($AO$1=1,0,"")))</f>
        <v/>
      </c>
      <c r="Y426" s="38" t="str">
        <f t="shared" si="132"/>
        <v/>
      </c>
      <c r="Z426" s="39" t="str">
        <f>IF(L426="","",IF(V426&gt;0,INDEX('09-أيلول'!$Q$2:$Q$500,V426),IF($AO$1=1,0,"")))</f>
        <v/>
      </c>
      <c r="AA426" s="39" t="str">
        <f t="shared" si="133"/>
        <v/>
      </c>
      <c r="AB426" s="40" t="str">
        <f>IF(OR(L426="",V426=0),"",IF(AND(N(I426)&gt;0,N(INDEX('09-أيلول'!$I$2:$I$500,V426))&gt;0,INDEX('09-أيلول'!$F$2:$F$500,V426)=F426),N(I426)/N(INDEX('09-أيلول'!$I$2:$I$500,V426))-1,""))</f>
        <v/>
      </c>
      <c r="AC426" t="str">
        <f>IF(L426="","",IF(AND($AO$2=1,ISNA(MATCH(L426,'11-تشرين الثاني'!$L$2:$L$501,0))),"محذوف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IF(L427="","",IF($AO$1=1,IFERROR(MATCH(L427,'09-أيلول'!$L$2:$L$500,0),0),0))</f>
        <v/>
      </c>
      <c r="W427" t="str">
        <f t="shared" si="131"/>
        <v/>
      </c>
      <c r="X427" s="38" t="str">
        <f>IF(L427="","",IF(V427&gt;0,INDEX('09-أيلول'!$P$2:$P$500,V427),IF($AO$1=1,0,"")))</f>
        <v/>
      </c>
      <c r="Y427" s="38" t="str">
        <f t="shared" si="132"/>
        <v/>
      </c>
      <c r="Z427" s="39" t="str">
        <f>IF(L427="","",IF(V427&gt;0,INDEX('09-أيلول'!$Q$2:$Q$500,V427),IF($AO$1=1,0,"")))</f>
        <v/>
      </c>
      <c r="AA427" s="39" t="str">
        <f t="shared" si="133"/>
        <v/>
      </c>
      <c r="AB427" s="40" t="str">
        <f>IF(OR(L427="",V427=0),"",IF(AND(N(I427)&gt;0,N(INDEX('09-أيلول'!$I$2:$I$500,V427))&gt;0,INDEX('09-أيلول'!$F$2:$F$500,V427)=F427),N(I427)/N(INDEX('09-أيلول'!$I$2:$I$500,V427))-1,""))</f>
        <v/>
      </c>
      <c r="AC427" t="str">
        <f>IF(L427="","",IF(AND($AO$2=1,ISNA(MATCH(L427,'11-تشرين الثاني'!$L$2:$L$501,0))),"محذوف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IF(L428="","",IF($AO$1=1,IFERROR(MATCH(L428,'09-أيلول'!$L$2:$L$500,0),0),0))</f>
        <v/>
      </c>
      <c r="W428" t="str">
        <f t="shared" si="131"/>
        <v/>
      </c>
      <c r="X428" s="38" t="str">
        <f>IF(L428="","",IF(V428&gt;0,INDEX('09-أيلول'!$P$2:$P$500,V428),IF($AO$1=1,0,"")))</f>
        <v/>
      </c>
      <c r="Y428" s="38" t="str">
        <f t="shared" si="132"/>
        <v/>
      </c>
      <c r="Z428" s="39" t="str">
        <f>IF(L428="","",IF(V428&gt;0,INDEX('09-أيلول'!$Q$2:$Q$500,V428),IF($AO$1=1,0,"")))</f>
        <v/>
      </c>
      <c r="AA428" s="39" t="str">
        <f t="shared" si="133"/>
        <v/>
      </c>
      <c r="AB428" s="40" t="str">
        <f>IF(OR(L428="",V428=0),"",IF(AND(N(I428)&gt;0,N(INDEX('09-أيلول'!$I$2:$I$500,V428))&gt;0,INDEX('09-أيلول'!$F$2:$F$500,V428)=F428),N(I428)/N(INDEX('09-أيلول'!$I$2:$I$500,V428))-1,""))</f>
        <v/>
      </c>
      <c r="AC428" t="str">
        <f>IF(L428="","",IF(AND($AO$2=1,ISNA(MATCH(L428,'11-تشرين الثاني'!$L$2:$L$501,0))),"محذوف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IF(L429="","",IF($AO$1=1,IFERROR(MATCH(L429,'09-أيلول'!$L$2:$L$500,0),0),0))</f>
        <v/>
      </c>
      <c r="W429" t="str">
        <f t="shared" si="131"/>
        <v/>
      </c>
      <c r="X429" s="38" t="str">
        <f>IF(L429="","",IF(V429&gt;0,INDEX('09-أيلول'!$P$2:$P$500,V429),IF($AO$1=1,0,"")))</f>
        <v/>
      </c>
      <c r="Y429" s="38" t="str">
        <f t="shared" si="132"/>
        <v/>
      </c>
      <c r="Z429" s="39" t="str">
        <f>IF(L429="","",IF(V429&gt;0,INDEX('09-أيلول'!$Q$2:$Q$500,V429),IF($AO$1=1,0,"")))</f>
        <v/>
      </c>
      <c r="AA429" s="39" t="str">
        <f t="shared" si="133"/>
        <v/>
      </c>
      <c r="AB429" s="40" t="str">
        <f>IF(OR(L429="",V429=0),"",IF(AND(N(I429)&gt;0,N(INDEX('09-أيلول'!$I$2:$I$500,V429))&gt;0,INDEX('09-أيلول'!$F$2:$F$500,V429)=F429),N(I429)/N(INDEX('09-أيلول'!$I$2:$I$500,V429))-1,""))</f>
        <v/>
      </c>
      <c r="AC429" t="str">
        <f>IF(L429="","",IF(AND($AO$2=1,ISNA(MATCH(L429,'11-تشرين الثاني'!$L$2:$L$501,0))),"محذوف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IF(L430="","",IF($AO$1=1,IFERROR(MATCH(L430,'09-أيلول'!$L$2:$L$500,0),0),0))</f>
        <v/>
      </c>
      <c r="W430" t="str">
        <f t="shared" si="131"/>
        <v/>
      </c>
      <c r="X430" s="38" t="str">
        <f>IF(L430="","",IF(V430&gt;0,INDEX('09-أيلول'!$P$2:$P$500,V430),IF($AO$1=1,0,"")))</f>
        <v/>
      </c>
      <c r="Y430" s="38" t="str">
        <f t="shared" si="132"/>
        <v/>
      </c>
      <c r="Z430" s="39" t="str">
        <f>IF(L430="","",IF(V430&gt;0,INDEX('09-أيلول'!$Q$2:$Q$500,V430),IF($AO$1=1,0,"")))</f>
        <v/>
      </c>
      <c r="AA430" s="39" t="str">
        <f t="shared" si="133"/>
        <v/>
      </c>
      <c r="AB430" s="40" t="str">
        <f>IF(OR(L430="",V430=0),"",IF(AND(N(I430)&gt;0,N(INDEX('09-أيلول'!$I$2:$I$500,V430))&gt;0,INDEX('09-أيلول'!$F$2:$F$500,V430)=F430),N(I430)/N(INDEX('09-أيلول'!$I$2:$I$500,V430))-1,""))</f>
        <v/>
      </c>
      <c r="AC430" t="str">
        <f>IF(L430="","",IF(AND($AO$2=1,ISNA(MATCH(L430,'11-تشرين الثاني'!$L$2:$L$501,0))),"محذوف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IF(L431="","",IF($AO$1=1,IFERROR(MATCH(L431,'09-أيلول'!$L$2:$L$500,0),0),0))</f>
        <v/>
      </c>
      <c r="W431" t="str">
        <f t="shared" si="131"/>
        <v/>
      </c>
      <c r="X431" s="38" t="str">
        <f>IF(L431="","",IF(V431&gt;0,INDEX('09-أيلول'!$P$2:$P$500,V431),IF($AO$1=1,0,"")))</f>
        <v/>
      </c>
      <c r="Y431" s="38" t="str">
        <f t="shared" si="132"/>
        <v/>
      </c>
      <c r="Z431" s="39" t="str">
        <f>IF(L431="","",IF(V431&gt;0,INDEX('09-أيلول'!$Q$2:$Q$500,V431),IF($AO$1=1,0,"")))</f>
        <v/>
      </c>
      <c r="AA431" s="39" t="str">
        <f t="shared" si="133"/>
        <v/>
      </c>
      <c r="AB431" s="40" t="str">
        <f>IF(OR(L431="",V431=0),"",IF(AND(N(I431)&gt;0,N(INDEX('09-أيلول'!$I$2:$I$500,V431))&gt;0,INDEX('09-أيلول'!$F$2:$F$500,V431)=F431),N(I431)/N(INDEX('09-أيلول'!$I$2:$I$500,V431))-1,""))</f>
        <v/>
      </c>
      <c r="AC431" t="str">
        <f>IF(L431="","",IF(AND($AO$2=1,ISNA(MATCH(L431,'11-تشرين الثاني'!$L$2:$L$501,0))),"محذوف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IF(L432="","",IF($AO$1=1,IFERROR(MATCH(L432,'09-أيلول'!$L$2:$L$500,0),0),0))</f>
        <v/>
      </c>
      <c r="W432" t="str">
        <f t="shared" si="131"/>
        <v/>
      </c>
      <c r="X432" s="38" t="str">
        <f>IF(L432="","",IF(V432&gt;0,INDEX('09-أيلول'!$P$2:$P$500,V432),IF($AO$1=1,0,"")))</f>
        <v/>
      </c>
      <c r="Y432" s="38" t="str">
        <f t="shared" si="132"/>
        <v/>
      </c>
      <c r="Z432" s="39" t="str">
        <f>IF(L432="","",IF(V432&gt;0,INDEX('09-أيلول'!$Q$2:$Q$500,V432),IF($AO$1=1,0,"")))</f>
        <v/>
      </c>
      <c r="AA432" s="39" t="str">
        <f t="shared" si="133"/>
        <v/>
      </c>
      <c r="AB432" s="40" t="str">
        <f>IF(OR(L432="",V432=0),"",IF(AND(N(I432)&gt;0,N(INDEX('09-أيلول'!$I$2:$I$500,V432))&gt;0,INDEX('09-أيلول'!$F$2:$F$500,V432)=F432),N(I432)/N(INDEX('09-أيلول'!$I$2:$I$500,V432))-1,""))</f>
        <v/>
      </c>
      <c r="AC432" t="str">
        <f>IF(L432="","",IF(AND($AO$2=1,ISNA(MATCH(L432,'11-تشرين الثاني'!$L$2:$L$501,0))),"محذوف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IF(L433="","",IF($AO$1=1,IFERROR(MATCH(L433,'09-أيلول'!$L$2:$L$500,0),0),0))</f>
        <v/>
      </c>
      <c r="W433" t="str">
        <f t="shared" si="131"/>
        <v/>
      </c>
      <c r="X433" s="38" t="str">
        <f>IF(L433="","",IF(V433&gt;0,INDEX('09-أيلول'!$P$2:$P$500,V433),IF($AO$1=1,0,"")))</f>
        <v/>
      </c>
      <c r="Y433" s="38" t="str">
        <f t="shared" si="132"/>
        <v/>
      </c>
      <c r="Z433" s="39" t="str">
        <f>IF(L433="","",IF(V433&gt;0,INDEX('09-أيلول'!$Q$2:$Q$500,V433),IF($AO$1=1,0,"")))</f>
        <v/>
      </c>
      <c r="AA433" s="39" t="str">
        <f t="shared" si="133"/>
        <v/>
      </c>
      <c r="AB433" s="40" t="str">
        <f>IF(OR(L433="",V433=0),"",IF(AND(N(I433)&gt;0,N(INDEX('09-أيلول'!$I$2:$I$500,V433))&gt;0,INDEX('09-أيلول'!$F$2:$F$500,V433)=F433),N(I433)/N(INDEX('09-أيلول'!$I$2:$I$500,V433))-1,""))</f>
        <v/>
      </c>
      <c r="AC433" t="str">
        <f>IF(L433="","",IF(AND($AO$2=1,ISNA(MATCH(L433,'11-تشرين الثاني'!$L$2:$L$501,0))),"محذوف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IF(L434="","",IF($AO$1=1,IFERROR(MATCH(L434,'09-أيلول'!$L$2:$L$500,0),0),0))</f>
        <v/>
      </c>
      <c r="W434" t="str">
        <f t="shared" si="131"/>
        <v/>
      </c>
      <c r="X434" s="38" t="str">
        <f>IF(L434="","",IF(V434&gt;0,INDEX('09-أيلول'!$P$2:$P$500,V434),IF($AO$1=1,0,"")))</f>
        <v/>
      </c>
      <c r="Y434" s="38" t="str">
        <f t="shared" si="132"/>
        <v/>
      </c>
      <c r="Z434" s="39" t="str">
        <f>IF(L434="","",IF(V434&gt;0,INDEX('09-أيلول'!$Q$2:$Q$500,V434),IF($AO$1=1,0,"")))</f>
        <v/>
      </c>
      <c r="AA434" s="39" t="str">
        <f t="shared" si="133"/>
        <v/>
      </c>
      <c r="AB434" s="40" t="str">
        <f>IF(OR(L434="",V434=0),"",IF(AND(N(I434)&gt;0,N(INDEX('09-أيلول'!$I$2:$I$500,V434))&gt;0,INDEX('09-أيلول'!$F$2:$F$500,V434)=F434),N(I434)/N(INDEX('09-أيلول'!$I$2:$I$500,V434))-1,""))</f>
        <v/>
      </c>
      <c r="AC434" t="str">
        <f>IF(L434="","",IF(AND($AO$2=1,ISNA(MATCH(L434,'11-تشرين الثاني'!$L$2:$L$501,0))),"محذوف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IF(L435="","",IF($AO$1=1,IFERROR(MATCH(L435,'09-أيلول'!$L$2:$L$500,0),0),0))</f>
        <v/>
      </c>
      <c r="W435" t="str">
        <f t="shared" si="131"/>
        <v/>
      </c>
      <c r="X435" s="38" t="str">
        <f>IF(L435="","",IF(V435&gt;0,INDEX('09-أيلول'!$P$2:$P$500,V435),IF($AO$1=1,0,"")))</f>
        <v/>
      </c>
      <c r="Y435" s="38" t="str">
        <f t="shared" si="132"/>
        <v/>
      </c>
      <c r="Z435" s="39" t="str">
        <f>IF(L435="","",IF(V435&gt;0,INDEX('09-أيلول'!$Q$2:$Q$500,V435),IF($AO$1=1,0,"")))</f>
        <v/>
      </c>
      <c r="AA435" s="39" t="str">
        <f t="shared" si="133"/>
        <v/>
      </c>
      <c r="AB435" s="40" t="str">
        <f>IF(OR(L435="",V435=0),"",IF(AND(N(I435)&gt;0,N(INDEX('09-أيلول'!$I$2:$I$500,V435))&gt;0,INDEX('09-أيلول'!$F$2:$F$500,V435)=F435),N(I435)/N(INDEX('09-أيلول'!$I$2:$I$500,V435))-1,""))</f>
        <v/>
      </c>
      <c r="AC435" t="str">
        <f>IF(L435="","",IF(AND($AO$2=1,ISNA(MATCH(L435,'11-تشرين الثاني'!$L$2:$L$501,0))),"محذوف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IF(L436="","",IF($AO$1=1,IFERROR(MATCH(L436,'09-أيلول'!$L$2:$L$500,0),0),0))</f>
        <v/>
      </c>
      <c r="W436" t="str">
        <f t="shared" si="131"/>
        <v/>
      </c>
      <c r="X436" s="38" t="str">
        <f>IF(L436="","",IF(V436&gt;0,INDEX('09-أيلول'!$P$2:$P$500,V436),IF($AO$1=1,0,"")))</f>
        <v/>
      </c>
      <c r="Y436" s="38" t="str">
        <f t="shared" si="132"/>
        <v/>
      </c>
      <c r="Z436" s="39" t="str">
        <f>IF(L436="","",IF(V436&gt;0,INDEX('09-أيلول'!$Q$2:$Q$500,V436),IF($AO$1=1,0,"")))</f>
        <v/>
      </c>
      <c r="AA436" s="39" t="str">
        <f t="shared" si="133"/>
        <v/>
      </c>
      <c r="AB436" s="40" t="str">
        <f>IF(OR(L436="",V436=0),"",IF(AND(N(I436)&gt;0,N(INDEX('09-أيلول'!$I$2:$I$500,V436))&gt;0,INDEX('09-أيلول'!$F$2:$F$500,V436)=F436),N(I436)/N(INDEX('09-أيلول'!$I$2:$I$500,V436))-1,""))</f>
        <v/>
      </c>
      <c r="AC436" t="str">
        <f>IF(L436="","",IF(AND($AO$2=1,ISNA(MATCH(L436,'11-تشرين الثاني'!$L$2:$L$501,0))),"محذوف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IF(L437="","",IF($AO$1=1,IFERROR(MATCH(L437,'09-أيلول'!$L$2:$L$500,0),0),0))</f>
        <v/>
      </c>
      <c r="W437" t="str">
        <f t="shared" si="131"/>
        <v/>
      </c>
      <c r="X437" s="38" t="str">
        <f>IF(L437="","",IF(V437&gt;0,INDEX('09-أيلول'!$P$2:$P$500,V437),IF($AO$1=1,0,"")))</f>
        <v/>
      </c>
      <c r="Y437" s="38" t="str">
        <f t="shared" si="132"/>
        <v/>
      </c>
      <c r="Z437" s="39" t="str">
        <f>IF(L437="","",IF(V437&gt;0,INDEX('09-أيلول'!$Q$2:$Q$500,V437),IF($AO$1=1,0,"")))</f>
        <v/>
      </c>
      <c r="AA437" s="39" t="str">
        <f t="shared" si="133"/>
        <v/>
      </c>
      <c r="AB437" s="40" t="str">
        <f>IF(OR(L437="",V437=0),"",IF(AND(N(I437)&gt;0,N(INDEX('09-أيلول'!$I$2:$I$500,V437))&gt;0,INDEX('09-أيلول'!$F$2:$F$500,V437)=F437),N(I437)/N(INDEX('09-أيلول'!$I$2:$I$500,V437))-1,""))</f>
        <v/>
      </c>
      <c r="AC437" t="str">
        <f>IF(L437="","",IF(AND($AO$2=1,ISNA(MATCH(L437,'11-تشرين الثاني'!$L$2:$L$501,0))),"محذوف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IF(L438="","",IF($AO$1=1,IFERROR(MATCH(L438,'09-أيلول'!$L$2:$L$500,0),0),0))</f>
        <v/>
      </c>
      <c r="W438" t="str">
        <f t="shared" si="131"/>
        <v/>
      </c>
      <c r="X438" s="38" t="str">
        <f>IF(L438="","",IF(V438&gt;0,INDEX('09-أيلول'!$P$2:$P$500,V438),IF($AO$1=1,0,"")))</f>
        <v/>
      </c>
      <c r="Y438" s="38" t="str">
        <f t="shared" si="132"/>
        <v/>
      </c>
      <c r="Z438" s="39" t="str">
        <f>IF(L438="","",IF(V438&gt;0,INDEX('09-أيلول'!$Q$2:$Q$500,V438),IF($AO$1=1,0,"")))</f>
        <v/>
      </c>
      <c r="AA438" s="39" t="str">
        <f t="shared" si="133"/>
        <v/>
      </c>
      <c r="AB438" s="40" t="str">
        <f>IF(OR(L438="",V438=0),"",IF(AND(N(I438)&gt;0,N(INDEX('09-أيلول'!$I$2:$I$500,V438))&gt;0,INDEX('09-أيلول'!$F$2:$F$500,V438)=F438),N(I438)/N(INDEX('09-أيلول'!$I$2:$I$500,V438))-1,""))</f>
        <v/>
      </c>
      <c r="AC438" t="str">
        <f>IF(L438="","",IF(AND($AO$2=1,ISNA(MATCH(L438,'11-تشرين الثاني'!$L$2:$L$501,0))),"محذوف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IF(L439="","",IF($AO$1=1,IFERROR(MATCH(L439,'09-أيلول'!$L$2:$L$500,0),0),0))</f>
        <v/>
      </c>
      <c r="W439" t="str">
        <f t="shared" si="131"/>
        <v/>
      </c>
      <c r="X439" s="38" t="str">
        <f>IF(L439="","",IF(V439&gt;0,INDEX('09-أيلول'!$P$2:$P$500,V439),IF($AO$1=1,0,"")))</f>
        <v/>
      </c>
      <c r="Y439" s="38" t="str">
        <f t="shared" si="132"/>
        <v/>
      </c>
      <c r="Z439" s="39" t="str">
        <f>IF(L439="","",IF(V439&gt;0,INDEX('09-أيلول'!$Q$2:$Q$500,V439),IF($AO$1=1,0,"")))</f>
        <v/>
      </c>
      <c r="AA439" s="39" t="str">
        <f t="shared" si="133"/>
        <v/>
      </c>
      <c r="AB439" s="40" t="str">
        <f>IF(OR(L439="",V439=0),"",IF(AND(N(I439)&gt;0,N(INDEX('09-أيلول'!$I$2:$I$500,V439))&gt;0,INDEX('09-أيلول'!$F$2:$F$500,V439)=F439),N(I439)/N(INDEX('09-أيلول'!$I$2:$I$500,V439))-1,""))</f>
        <v/>
      </c>
      <c r="AC439" t="str">
        <f>IF(L439="","",IF(AND($AO$2=1,ISNA(MATCH(L439,'11-تشرين الثاني'!$L$2:$L$501,0))),"محذوف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IF(L440="","",IF($AO$1=1,IFERROR(MATCH(L440,'09-أيلول'!$L$2:$L$500,0),0),0))</f>
        <v/>
      </c>
      <c r="W440" t="str">
        <f t="shared" si="131"/>
        <v/>
      </c>
      <c r="X440" s="38" t="str">
        <f>IF(L440="","",IF(V440&gt;0,INDEX('09-أيلول'!$P$2:$P$500,V440),IF($AO$1=1,0,"")))</f>
        <v/>
      </c>
      <c r="Y440" s="38" t="str">
        <f t="shared" si="132"/>
        <v/>
      </c>
      <c r="Z440" s="39" t="str">
        <f>IF(L440="","",IF(V440&gt;0,INDEX('09-أيلول'!$Q$2:$Q$500,V440),IF($AO$1=1,0,"")))</f>
        <v/>
      </c>
      <c r="AA440" s="39" t="str">
        <f t="shared" si="133"/>
        <v/>
      </c>
      <c r="AB440" s="40" t="str">
        <f>IF(OR(L440="",V440=0),"",IF(AND(N(I440)&gt;0,N(INDEX('09-أيلول'!$I$2:$I$500,V440))&gt;0,INDEX('09-أيلول'!$F$2:$F$500,V440)=F440),N(I440)/N(INDEX('09-أيلول'!$I$2:$I$500,V440))-1,""))</f>
        <v/>
      </c>
      <c r="AC440" t="str">
        <f>IF(L440="","",IF(AND($AO$2=1,ISNA(MATCH(L440,'11-تشرين الثاني'!$L$2:$L$501,0))),"محذوف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IF(L441="","",IF($AO$1=1,IFERROR(MATCH(L441,'09-أيلول'!$L$2:$L$500,0),0),0))</f>
        <v/>
      </c>
      <c r="W441" t="str">
        <f t="shared" si="131"/>
        <v/>
      </c>
      <c r="X441" s="38" t="str">
        <f>IF(L441="","",IF(V441&gt;0,INDEX('09-أيلول'!$P$2:$P$500,V441),IF($AO$1=1,0,"")))</f>
        <v/>
      </c>
      <c r="Y441" s="38" t="str">
        <f t="shared" si="132"/>
        <v/>
      </c>
      <c r="Z441" s="39" t="str">
        <f>IF(L441="","",IF(V441&gt;0,INDEX('09-أيلول'!$Q$2:$Q$500,V441),IF($AO$1=1,0,"")))</f>
        <v/>
      </c>
      <c r="AA441" s="39" t="str">
        <f t="shared" si="133"/>
        <v/>
      </c>
      <c r="AB441" s="40" t="str">
        <f>IF(OR(L441="",V441=0),"",IF(AND(N(I441)&gt;0,N(INDEX('09-أيلول'!$I$2:$I$500,V441))&gt;0,INDEX('09-أيلول'!$F$2:$F$500,V441)=F441),N(I441)/N(INDEX('09-أيلول'!$I$2:$I$500,V441))-1,""))</f>
        <v/>
      </c>
      <c r="AC441" t="str">
        <f>IF(L441="","",IF(AND($AO$2=1,ISNA(MATCH(L441,'11-تشرين الثاني'!$L$2:$L$501,0))),"محذوف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IF(L442="","",IF($AO$1=1,IFERROR(MATCH(L442,'09-أيلول'!$L$2:$L$500,0),0),0))</f>
        <v/>
      </c>
      <c r="W442" t="str">
        <f t="shared" si="131"/>
        <v/>
      </c>
      <c r="X442" s="38" t="str">
        <f>IF(L442="","",IF(V442&gt;0,INDEX('09-أيلول'!$P$2:$P$500,V442),IF($AO$1=1,0,"")))</f>
        <v/>
      </c>
      <c r="Y442" s="38" t="str">
        <f t="shared" si="132"/>
        <v/>
      </c>
      <c r="Z442" s="39" t="str">
        <f>IF(L442="","",IF(V442&gt;0,INDEX('09-أيلول'!$Q$2:$Q$500,V442),IF($AO$1=1,0,"")))</f>
        <v/>
      </c>
      <c r="AA442" s="39" t="str">
        <f t="shared" si="133"/>
        <v/>
      </c>
      <c r="AB442" s="40" t="str">
        <f>IF(OR(L442="",V442=0),"",IF(AND(N(I442)&gt;0,N(INDEX('09-أيلول'!$I$2:$I$500,V442))&gt;0,INDEX('09-أيلول'!$F$2:$F$500,V442)=F442),N(I442)/N(INDEX('09-أيلول'!$I$2:$I$500,V442))-1,""))</f>
        <v/>
      </c>
      <c r="AC442" t="str">
        <f>IF(L442="","",IF(AND($AO$2=1,ISNA(MATCH(L442,'11-تشرين الثاني'!$L$2:$L$501,0))),"محذوف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IF(L443="","",IF($AO$1=1,IFERROR(MATCH(L443,'09-أيلول'!$L$2:$L$500,0),0),0))</f>
        <v/>
      </c>
      <c r="W443" t="str">
        <f t="shared" si="131"/>
        <v/>
      </c>
      <c r="X443" s="38" t="str">
        <f>IF(L443="","",IF(V443&gt;0,INDEX('09-أيلول'!$P$2:$P$500,V443),IF($AO$1=1,0,"")))</f>
        <v/>
      </c>
      <c r="Y443" s="38" t="str">
        <f t="shared" si="132"/>
        <v/>
      </c>
      <c r="Z443" s="39" t="str">
        <f>IF(L443="","",IF(V443&gt;0,INDEX('09-أيلول'!$Q$2:$Q$500,V443),IF($AO$1=1,0,"")))</f>
        <v/>
      </c>
      <c r="AA443" s="39" t="str">
        <f t="shared" si="133"/>
        <v/>
      </c>
      <c r="AB443" s="40" t="str">
        <f>IF(OR(L443="",V443=0),"",IF(AND(N(I443)&gt;0,N(INDEX('09-أيلول'!$I$2:$I$500,V443))&gt;0,INDEX('09-أيلول'!$F$2:$F$500,V443)=F443),N(I443)/N(INDEX('09-أيلول'!$I$2:$I$500,V443))-1,""))</f>
        <v/>
      </c>
      <c r="AC443" t="str">
        <f>IF(L443="","",IF(AND($AO$2=1,ISNA(MATCH(L443,'11-تشرين الثاني'!$L$2:$L$501,0))),"محذوف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IF(L444="","",IF($AO$1=1,IFERROR(MATCH(L444,'09-أيلول'!$L$2:$L$500,0),0),0))</f>
        <v/>
      </c>
      <c r="W444" t="str">
        <f t="shared" si="131"/>
        <v/>
      </c>
      <c r="X444" s="38" t="str">
        <f>IF(L444="","",IF(V444&gt;0,INDEX('09-أيلول'!$P$2:$P$500,V444),IF($AO$1=1,0,"")))</f>
        <v/>
      </c>
      <c r="Y444" s="38" t="str">
        <f t="shared" si="132"/>
        <v/>
      </c>
      <c r="Z444" s="39" t="str">
        <f>IF(L444="","",IF(V444&gt;0,INDEX('09-أيلول'!$Q$2:$Q$500,V444),IF($AO$1=1,0,"")))</f>
        <v/>
      </c>
      <c r="AA444" s="39" t="str">
        <f t="shared" si="133"/>
        <v/>
      </c>
      <c r="AB444" s="40" t="str">
        <f>IF(OR(L444="",V444=0),"",IF(AND(N(I444)&gt;0,N(INDEX('09-أيلول'!$I$2:$I$500,V444))&gt;0,INDEX('09-أيلول'!$F$2:$F$500,V444)=F444),N(I444)/N(INDEX('09-أيلول'!$I$2:$I$500,V444))-1,""))</f>
        <v/>
      </c>
      <c r="AC444" t="str">
        <f>IF(L444="","",IF(AND($AO$2=1,ISNA(MATCH(L444,'11-تشرين الثاني'!$L$2:$L$501,0))),"محذوف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IF(L445="","",IF($AO$1=1,IFERROR(MATCH(L445,'09-أيلول'!$L$2:$L$500,0),0),0))</f>
        <v/>
      </c>
      <c r="W445" t="str">
        <f t="shared" si="131"/>
        <v/>
      </c>
      <c r="X445" s="38" t="str">
        <f>IF(L445="","",IF(V445&gt;0,INDEX('09-أيلول'!$P$2:$P$500,V445),IF($AO$1=1,0,"")))</f>
        <v/>
      </c>
      <c r="Y445" s="38" t="str">
        <f t="shared" si="132"/>
        <v/>
      </c>
      <c r="Z445" s="39" t="str">
        <f>IF(L445="","",IF(V445&gt;0,INDEX('09-أيلول'!$Q$2:$Q$500,V445),IF($AO$1=1,0,"")))</f>
        <v/>
      </c>
      <c r="AA445" s="39" t="str">
        <f t="shared" si="133"/>
        <v/>
      </c>
      <c r="AB445" s="40" t="str">
        <f>IF(OR(L445="",V445=0),"",IF(AND(N(I445)&gt;0,N(INDEX('09-أيلول'!$I$2:$I$500,V445))&gt;0,INDEX('09-أيلول'!$F$2:$F$500,V445)=F445),N(I445)/N(INDEX('09-أيلول'!$I$2:$I$500,V445))-1,""))</f>
        <v/>
      </c>
      <c r="AC445" t="str">
        <f>IF(L445="","",IF(AND($AO$2=1,ISNA(MATCH(L445,'11-تشرين الثاني'!$L$2:$L$501,0))),"محذوف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IF(L446="","",IF($AO$1=1,IFERROR(MATCH(L446,'09-أيلول'!$L$2:$L$500,0),0),0))</f>
        <v/>
      </c>
      <c r="W446" t="str">
        <f t="shared" si="131"/>
        <v/>
      </c>
      <c r="X446" s="38" t="str">
        <f>IF(L446="","",IF(V446&gt;0,INDEX('09-أيلول'!$P$2:$P$500,V446),IF($AO$1=1,0,"")))</f>
        <v/>
      </c>
      <c r="Y446" s="38" t="str">
        <f t="shared" si="132"/>
        <v/>
      </c>
      <c r="Z446" s="39" t="str">
        <f>IF(L446="","",IF(V446&gt;0,INDEX('09-أيلول'!$Q$2:$Q$500,V446),IF($AO$1=1,0,"")))</f>
        <v/>
      </c>
      <c r="AA446" s="39" t="str">
        <f t="shared" si="133"/>
        <v/>
      </c>
      <c r="AB446" s="40" t="str">
        <f>IF(OR(L446="",V446=0),"",IF(AND(N(I446)&gt;0,N(INDEX('09-أيلول'!$I$2:$I$500,V446))&gt;0,INDEX('09-أيلول'!$F$2:$F$500,V446)=F446),N(I446)/N(INDEX('09-أيلول'!$I$2:$I$500,V446))-1,""))</f>
        <v/>
      </c>
      <c r="AC446" t="str">
        <f>IF(L446="","",IF(AND($AO$2=1,ISNA(MATCH(L446,'11-تشرين الثاني'!$L$2:$L$501,0))),"محذوف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IF(L447="","",IF($AO$1=1,IFERROR(MATCH(L447,'09-أيلول'!$L$2:$L$500,0),0),0))</f>
        <v/>
      </c>
      <c r="W447" t="str">
        <f t="shared" si="131"/>
        <v/>
      </c>
      <c r="X447" s="38" t="str">
        <f>IF(L447="","",IF(V447&gt;0,INDEX('09-أيلول'!$P$2:$P$500,V447),IF($AO$1=1,0,"")))</f>
        <v/>
      </c>
      <c r="Y447" s="38" t="str">
        <f t="shared" si="132"/>
        <v/>
      </c>
      <c r="Z447" s="39" t="str">
        <f>IF(L447="","",IF(V447&gt;0,INDEX('09-أيلول'!$Q$2:$Q$500,V447),IF($AO$1=1,0,"")))</f>
        <v/>
      </c>
      <c r="AA447" s="39" t="str">
        <f t="shared" si="133"/>
        <v/>
      </c>
      <c r="AB447" s="40" t="str">
        <f>IF(OR(L447="",V447=0),"",IF(AND(N(I447)&gt;0,N(INDEX('09-أيلول'!$I$2:$I$500,V447))&gt;0,INDEX('09-أيلول'!$F$2:$F$500,V447)=F447),N(I447)/N(INDEX('09-أيلول'!$I$2:$I$500,V447))-1,""))</f>
        <v/>
      </c>
      <c r="AC447" t="str">
        <f>IF(L447="","",IF(AND($AO$2=1,ISNA(MATCH(L447,'11-تشرين الثاني'!$L$2:$L$501,0))),"محذوف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IF(L448="","",IF($AO$1=1,IFERROR(MATCH(L448,'09-أيلول'!$L$2:$L$500,0),0),0))</f>
        <v/>
      </c>
      <c r="W448" t="str">
        <f t="shared" si="131"/>
        <v/>
      </c>
      <c r="X448" s="38" t="str">
        <f>IF(L448="","",IF(V448&gt;0,INDEX('09-أيلول'!$P$2:$P$500,V448),IF($AO$1=1,0,"")))</f>
        <v/>
      </c>
      <c r="Y448" s="38" t="str">
        <f t="shared" si="132"/>
        <v/>
      </c>
      <c r="Z448" s="39" t="str">
        <f>IF(L448="","",IF(V448&gt;0,INDEX('09-أيلول'!$Q$2:$Q$500,V448),IF($AO$1=1,0,"")))</f>
        <v/>
      </c>
      <c r="AA448" s="39" t="str">
        <f t="shared" si="133"/>
        <v/>
      </c>
      <c r="AB448" s="40" t="str">
        <f>IF(OR(L448="",V448=0),"",IF(AND(N(I448)&gt;0,N(INDEX('09-أيلول'!$I$2:$I$500,V448))&gt;0,INDEX('09-أيلول'!$F$2:$F$500,V448)=F448),N(I448)/N(INDEX('09-أيلول'!$I$2:$I$500,V448))-1,""))</f>
        <v/>
      </c>
      <c r="AC448" t="str">
        <f>IF(L448="","",IF(AND($AO$2=1,ISNA(MATCH(L448,'11-تشرين الثاني'!$L$2:$L$501,0))),"محذوف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IF(L449="","",IF($AO$1=1,IFERROR(MATCH(L449,'09-أيلول'!$L$2:$L$500,0),0),0))</f>
        <v/>
      </c>
      <c r="W449" t="str">
        <f t="shared" si="131"/>
        <v/>
      </c>
      <c r="X449" s="38" t="str">
        <f>IF(L449="","",IF(V449&gt;0,INDEX('09-أيلول'!$P$2:$P$500,V449),IF($AO$1=1,0,"")))</f>
        <v/>
      </c>
      <c r="Y449" s="38" t="str">
        <f t="shared" si="132"/>
        <v/>
      </c>
      <c r="Z449" s="39" t="str">
        <f>IF(L449="","",IF(V449&gt;0,INDEX('09-أيلول'!$Q$2:$Q$500,V449),IF($AO$1=1,0,"")))</f>
        <v/>
      </c>
      <c r="AA449" s="39" t="str">
        <f t="shared" si="133"/>
        <v/>
      </c>
      <c r="AB449" s="40" t="str">
        <f>IF(OR(L449="",V449=0),"",IF(AND(N(I449)&gt;0,N(INDEX('09-أيلول'!$I$2:$I$500,V449))&gt;0,INDEX('09-أيلول'!$F$2:$F$500,V449)=F449),N(I449)/N(INDEX('09-أيلول'!$I$2:$I$500,V449))-1,""))</f>
        <v/>
      </c>
      <c r="AC449" t="str">
        <f>IF(L449="","",IF(AND($AO$2=1,ISNA(MATCH(L449,'11-تشرين الثاني'!$L$2:$L$501,0))),"محذوف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IF(L450="","",IF($AO$1=1,IFERROR(MATCH(L450,'09-أيلول'!$L$2:$L$500,0),0),0))</f>
        <v/>
      </c>
      <c r="W450" t="str">
        <f t="shared" ref="W450:W501" si="151">IF(L450="","",IF(AND($AO$1=1,V450=0),"جديد",""))</f>
        <v/>
      </c>
      <c r="X450" s="38" t="str">
        <f>IF(L450="","",IF(V450&gt;0,INDEX('09-أيلول'!$P$2:$P$500,V450),IF($AO$1=1,0,"")))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IF(L450="","",IF(V450&gt;0,INDEX('09-أيلول'!$Q$2:$Q$500,V450),IF($AO$1=1,0,"")))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IF(OR(L450="",V450=0),"",IF(AND(N(I450)&gt;0,N(INDEX('09-أيلول'!$I$2:$I$500,V450))&gt;0,INDEX('09-أيلول'!$F$2:$F$500,V450)=F450),N(I450)/N(INDEX('09-أيلول'!$I$2:$I$500,V450))-1,""))</f>
        <v/>
      </c>
      <c r="AC450" t="str">
        <f>IF(L450="","",IF(AND($AO$2=1,ISNA(MATCH(L450,'11-تشرين الثاني'!$L$2:$L$501,0))),"محذوف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IF(L451="","",IF($AO$1=1,IFERROR(MATCH(L451,'09-أيلول'!$L$2:$L$500,0),0),0))</f>
        <v/>
      </c>
      <c r="W451" t="str">
        <f t="shared" si="151"/>
        <v/>
      </c>
      <c r="X451" s="38" t="str">
        <f>IF(L451="","",IF(V451&gt;0,INDEX('09-أيلول'!$P$2:$P$500,V451),IF($AO$1=1,0,"")))</f>
        <v/>
      </c>
      <c r="Y451" s="38" t="str">
        <f t="shared" si="152"/>
        <v/>
      </c>
      <c r="Z451" s="39" t="str">
        <f>IF(L451="","",IF(V451&gt;0,INDEX('09-أيلول'!$Q$2:$Q$500,V451),IF($AO$1=1,0,"")))</f>
        <v/>
      </c>
      <c r="AA451" s="39" t="str">
        <f t="shared" si="153"/>
        <v/>
      </c>
      <c r="AB451" s="40" t="str">
        <f>IF(OR(L451="",V451=0),"",IF(AND(N(I451)&gt;0,N(INDEX('09-أيلول'!$I$2:$I$500,V451))&gt;0,INDEX('09-أيلول'!$F$2:$F$500,V451)=F451),N(I451)/N(INDEX('09-أيلول'!$I$2:$I$500,V451))-1,""))</f>
        <v/>
      </c>
      <c r="AC451" t="str">
        <f>IF(L451="","",IF(AND($AO$2=1,ISNA(MATCH(L451,'11-تشرين الثاني'!$L$2:$L$501,0))),"محذوف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IF(L452="","",IF($AO$1=1,IFERROR(MATCH(L452,'09-أيلول'!$L$2:$L$500,0),0),0))</f>
        <v/>
      </c>
      <c r="W452" t="str">
        <f t="shared" si="151"/>
        <v/>
      </c>
      <c r="X452" s="38" t="str">
        <f>IF(L452="","",IF(V452&gt;0,INDEX('09-أيلول'!$P$2:$P$500,V452),IF($AO$1=1,0,"")))</f>
        <v/>
      </c>
      <c r="Y452" s="38" t="str">
        <f t="shared" si="152"/>
        <v/>
      </c>
      <c r="Z452" s="39" t="str">
        <f>IF(L452="","",IF(V452&gt;0,INDEX('09-أيلول'!$Q$2:$Q$500,V452),IF($AO$1=1,0,"")))</f>
        <v/>
      </c>
      <c r="AA452" s="39" t="str">
        <f t="shared" si="153"/>
        <v/>
      </c>
      <c r="AB452" s="40" t="str">
        <f>IF(OR(L452="",V452=0),"",IF(AND(N(I452)&gt;0,N(INDEX('09-أيلول'!$I$2:$I$500,V452))&gt;0,INDEX('09-أيلول'!$F$2:$F$500,V452)=F452),N(I452)/N(INDEX('09-أيلول'!$I$2:$I$500,V452))-1,""))</f>
        <v/>
      </c>
      <c r="AC452" t="str">
        <f>IF(L452="","",IF(AND($AO$2=1,ISNA(MATCH(L452,'11-تشرين الثاني'!$L$2:$L$501,0))),"محذوف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IF(L453="","",IF($AO$1=1,IFERROR(MATCH(L453,'09-أيلول'!$L$2:$L$500,0),0),0))</f>
        <v/>
      </c>
      <c r="W453" t="str">
        <f t="shared" si="151"/>
        <v/>
      </c>
      <c r="X453" s="38" t="str">
        <f>IF(L453="","",IF(V453&gt;0,INDEX('09-أيلول'!$P$2:$P$500,V453),IF($AO$1=1,0,"")))</f>
        <v/>
      </c>
      <c r="Y453" s="38" t="str">
        <f t="shared" si="152"/>
        <v/>
      </c>
      <c r="Z453" s="39" t="str">
        <f>IF(L453="","",IF(V453&gt;0,INDEX('09-أيلول'!$Q$2:$Q$500,V453),IF($AO$1=1,0,"")))</f>
        <v/>
      </c>
      <c r="AA453" s="39" t="str">
        <f t="shared" si="153"/>
        <v/>
      </c>
      <c r="AB453" s="40" t="str">
        <f>IF(OR(L453="",V453=0),"",IF(AND(N(I453)&gt;0,N(INDEX('09-أيلول'!$I$2:$I$500,V453))&gt;0,INDEX('09-أيلول'!$F$2:$F$500,V453)=F453),N(I453)/N(INDEX('09-أيلول'!$I$2:$I$500,V453))-1,""))</f>
        <v/>
      </c>
      <c r="AC453" t="str">
        <f>IF(L453="","",IF(AND($AO$2=1,ISNA(MATCH(L453,'11-تشرين الثاني'!$L$2:$L$501,0))),"محذوف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IF(L454="","",IF($AO$1=1,IFERROR(MATCH(L454,'09-أيلول'!$L$2:$L$500,0),0),0))</f>
        <v/>
      </c>
      <c r="W454" t="str">
        <f t="shared" si="151"/>
        <v/>
      </c>
      <c r="X454" s="38" t="str">
        <f>IF(L454="","",IF(V454&gt;0,INDEX('09-أيلول'!$P$2:$P$500,V454),IF($AO$1=1,0,"")))</f>
        <v/>
      </c>
      <c r="Y454" s="38" t="str">
        <f t="shared" si="152"/>
        <v/>
      </c>
      <c r="Z454" s="39" t="str">
        <f>IF(L454="","",IF(V454&gt;0,INDEX('09-أيلول'!$Q$2:$Q$500,V454),IF($AO$1=1,0,"")))</f>
        <v/>
      </c>
      <c r="AA454" s="39" t="str">
        <f t="shared" si="153"/>
        <v/>
      </c>
      <c r="AB454" s="40" t="str">
        <f>IF(OR(L454="",V454=0),"",IF(AND(N(I454)&gt;0,N(INDEX('09-أيلول'!$I$2:$I$500,V454))&gt;0,INDEX('09-أيلول'!$F$2:$F$500,V454)=F454),N(I454)/N(INDEX('09-أيلول'!$I$2:$I$500,V454))-1,""))</f>
        <v/>
      </c>
      <c r="AC454" t="str">
        <f>IF(L454="","",IF(AND($AO$2=1,ISNA(MATCH(L454,'11-تشرين الثاني'!$L$2:$L$501,0))),"محذوف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IF(L455="","",IF($AO$1=1,IFERROR(MATCH(L455,'09-أيلول'!$L$2:$L$500,0),0),0))</f>
        <v/>
      </c>
      <c r="W455" t="str">
        <f t="shared" si="151"/>
        <v/>
      </c>
      <c r="X455" s="38" t="str">
        <f>IF(L455="","",IF(V455&gt;0,INDEX('09-أيلول'!$P$2:$P$500,V455),IF($AO$1=1,0,"")))</f>
        <v/>
      </c>
      <c r="Y455" s="38" t="str">
        <f t="shared" si="152"/>
        <v/>
      </c>
      <c r="Z455" s="39" t="str">
        <f>IF(L455="","",IF(V455&gt;0,INDEX('09-أيلول'!$Q$2:$Q$500,V455),IF($AO$1=1,0,"")))</f>
        <v/>
      </c>
      <c r="AA455" s="39" t="str">
        <f t="shared" si="153"/>
        <v/>
      </c>
      <c r="AB455" s="40" t="str">
        <f>IF(OR(L455="",V455=0),"",IF(AND(N(I455)&gt;0,N(INDEX('09-أيلول'!$I$2:$I$500,V455))&gt;0,INDEX('09-أيلول'!$F$2:$F$500,V455)=F455),N(I455)/N(INDEX('09-أيلول'!$I$2:$I$500,V455))-1,""))</f>
        <v/>
      </c>
      <c r="AC455" t="str">
        <f>IF(L455="","",IF(AND($AO$2=1,ISNA(MATCH(L455,'11-تشرين الثاني'!$L$2:$L$501,0))),"محذوف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IF(L456="","",IF($AO$1=1,IFERROR(MATCH(L456,'09-أيلول'!$L$2:$L$500,0),0),0))</f>
        <v/>
      </c>
      <c r="W456" t="str">
        <f t="shared" si="151"/>
        <v/>
      </c>
      <c r="X456" s="38" t="str">
        <f>IF(L456="","",IF(V456&gt;0,INDEX('09-أيلول'!$P$2:$P$500,V456),IF($AO$1=1,0,"")))</f>
        <v/>
      </c>
      <c r="Y456" s="38" t="str">
        <f t="shared" si="152"/>
        <v/>
      </c>
      <c r="Z456" s="39" t="str">
        <f>IF(L456="","",IF(V456&gt;0,INDEX('09-أيلول'!$Q$2:$Q$500,V456),IF($AO$1=1,0,"")))</f>
        <v/>
      </c>
      <c r="AA456" s="39" t="str">
        <f t="shared" si="153"/>
        <v/>
      </c>
      <c r="AB456" s="40" t="str">
        <f>IF(OR(L456="",V456=0),"",IF(AND(N(I456)&gt;0,N(INDEX('09-أيلول'!$I$2:$I$500,V456))&gt;0,INDEX('09-أيلول'!$F$2:$F$500,V456)=F456),N(I456)/N(INDEX('09-أيلول'!$I$2:$I$500,V456))-1,""))</f>
        <v/>
      </c>
      <c r="AC456" t="str">
        <f>IF(L456="","",IF(AND($AO$2=1,ISNA(MATCH(L456,'11-تشرين الثاني'!$L$2:$L$501,0))),"محذوف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IF(L457="","",IF($AO$1=1,IFERROR(MATCH(L457,'09-أيلول'!$L$2:$L$500,0),0),0))</f>
        <v/>
      </c>
      <c r="W457" t="str">
        <f t="shared" si="151"/>
        <v/>
      </c>
      <c r="X457" s="38" t="str">
        <f>IF(L457="","",IF(V457&gt;0,INDEX('09-أيلول'!$P$2:$P$500,V457),IF($AO$1=1,0,"")))</f>
        <v/>
      </c>
      <c r="Y457" s="38" t="str">
        <f t="shared" si="152"/>
        <v/>
      </c>
      <c r="Z457" s="39" t="str">
        <f>IF(L457="","",IF(V457&gt;0,INDEX('09-أيلول'!$Q$2:$Q$500,V457),IF($AO$1=1,0,"")))</f>
        <v/>
      </c>
      <c r="AA457" s="39" t="str">
        <f t="shared" si="153"/>
        <v/>
      </c>
      <c r="AB457" s="40" t="str">
        <f>IF(OR(L457="",V457=0),"",IF(AND(N(I457)&gt;0,N(INDEX('09-أيلول'!$I$2:$I$500,V457))&gt;0,INDEX('09-أيلول'!$F$2:$F$500,V457)=F457),N(I457)/N(INDEX('09-أيلول'!$I$2:$I$500,V457))-1,""))</f>
        <v/>
      </c>
      <c r="AC457" t="str">
        <f>IF(L457="","",IF(AND($AO$2=1,ISNA(MATCH(L457,'11-تشرين الثاني'!$L$2:$L$501,0))),"محذوف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IF(L458="","",IF($AO$1=1,IFERROR(MATCH(L458,'09-أيلول'!$L$2:$L$500,0),0),0))</f>
        <v/>
      </c>
      <c r="W458" t="str">
        <f t="shared" si="151"/>
        <v/>
      </c>
      <c r="X458" s="38" t="str">
        <f>IF(L458="","",IF(V458&gt;0,INDEX('09-أيلول'!$P$2:$P$500,V458),IF($AO$1=1,0,"")))</f>
        <v/>
      </c>
      <c r="Y458" s="38" t="str">
        <f t="shared" si="152"/>
        <v/>
      </c>
      <c r="Z458" s="39" t="str">
        <f>IF(L458="","",IF(V458&gt;0,INDEX('09-أيلول'!$Q$2:$Q$500,V458),IF($AO$1=1,0,"")))</f>
        <v/>
      </c>
      <c r="AA458" s="39" t="str">
        <f t="shared" si="153"/>
        <v/>
      </c>
      <c r="AB458" s="40" t="str">
        <f>IF(OR(L458="",V458=0),"",IF(AND(N(I458)&gt;0,N(INDEX('09-أيلول'!$I$2:$I$500,V458))&gt;0,INDEX('09-أيلول'!$F$2:$F$500,V458)=F458),N(I458)/N(INDEX('09-أيلول'!$I$2:$I$500,V458))-1,""))</f>
        <v/>
      </c>
      <c r="AC458" t="str">
        <f>IF(L458="","",IF(AND($AO$2=1,ISNA(MATCH(L458,'11-تشرين الثاني'!$L$2:$L$501,0))),"محذوف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IF(L459="","",IF($AO$1=1,IFERROR(MATCH(L459,'09-أيلول'!$L$2:$L$500,0),0),0))</f>
        <v/>
      </c>
      <c r="W459" t="str">
        <f t="shared" si="151"/>
        <v/>
      </c>
      <c r="X459" s="38" t="str">
        <f>IF(L459="","",IF(V459&gt;0,INDEX('09-أيلول'!$P$2:$P$500,V459),IF($AO$1=1,0,"")))</f>
        <v/>
      </c>
      <c r="Y459" s="38" t="str">
        <f t="shared" si="152"/>
        <v/>
      </c>
      <c r="Z459" s="39" t="str">
        <f>IF(L459="","",IF(V459&gt;0,INDEX('09-أيلول'!$Q$2:$Q$500,V459),IF($AO$1=1,0,"")))</f>
        <v/>
      </c>
      <c r="AA459" s="39" t="str">
        <f t="shared" si="153"/>
        <v/>
      </c>
      <c r="AB459" s="40" t="str">
        <f>IF(OR(L459="",V459=0),"",IF(AND(N(I459)&gt;0,N(INDEX('09-أيلول'!$I$2:$I$500,V459))&gt;0,INDEX('09-أيلول'!$F$2:$F$500,V459)=F459),N(I459)/N(INDEX('09-أيلول'!$I$2:$I$500,V459))-1,""))</f>
        <v/>
      </c>
      <c r="AC459" t="str">
        <f>IF(L459="","",IF(AND($AO$2=1,ISNA(MATCH(L459,'11-تشرين الثاني'!$L$2:$L$501,0))),"محذوف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IF(L460="","",IF($AO$1=1,IFERROR(MATCH(L460,'09-أيلول'!$L$2:$L$500,0),0),0))</f>
        <v/>
      </c>
      <c r="W460" t="str">
        <f t="shared" si="151"/>
        <v/>
      </c>
      <c r="X460" s="38" t="str">
        <f>IF(L460="","",IF(V460&gt;0,INDEX('09-أيلول'!$P$2:$P$500,V460),IF($AO$1=1,0,"")))</f>
        <v/>
      </c>
      <c r="Y460" s="38" t="str">
        <f t="shared" si="152"/>
        <v/>
      </c>
      <c r="Z460" s="39" t="str">
        <f>IF(L460="","",IF(V460&gt;0,INDEX('09-أيلول'!$Q$2:$Q$500,V460),IF($AO$1=1,0,"")))</f>
        <v/>
      </c>
      <c r="AA460" s="39" t="str">
        <f t="shared" si="153"/>
        <v/>
      </c>
      <c r="AB460" s="40" t="str">
        <f>IF(OR(L460="",V460=0),"",IF(AND(N(I460)&gt;0,N(INDEX('09-أيلول'!$I$2:$I$500,V460))&gt;0,INDEX('09-أيلول'!$F$2:$F$500,V460)=F460),N(I460)/N(INDEX('09-أيلول'!$I$2:$I$500,V460))-1,""))</f>
        <v/>
      </c>
      <c r="AC460" t="str">
        <f>IF(L460="","",IF(AND($AO$2=1,ISNA(MATCH(L460,'11-تشرين الثاني'!$L$2:$L$501,0))),"محذوف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IF(L461="","",IF($AO$1=1,IFERROR(MATCH(L461,'09-أيلول'!$L$2:$L$500,0),0),0))</f>
        <v/>
      </c>
      <c r="W461" t="str">
        <f t="shared" si="151"/>
        <v/>
      </c>
      <c r="X461" s="38" t="str">
        <f>IF(L461="","",IF(V461&gt;0,INDEX('09-أيلول'!$P$2:$P$500,V461),IF($AO$1=1,0,"")))</f>
        <v/>
      </c>
      <c r="Y461" s="38" t="str">
        <f t="shared" si="152"/>
        <v/>
      </c>
      <c r="Z461" s="39" t="str">
        <f>IF(L461="","",IF(V461&gt;0,INDEX('09-أيلول'!$Q$2:$Q$500,V461),IF($AO$1=1,0,"")))</f>
        <v/>
      </c>
      <c r="AA461" s="39" t="str">
        <f t="shared" si="153"/>
        <v/>
      </c>
      <c r="AB461" s="40" t="str">
        <f>IF(OR(L461="",V461=0),"",IF(AND(N(I461)&gt;0,N(INDEX('09-أيلول'!$I$2:$I$500,V461))&gt;0,INDEX('09-أيلول'!$F$2:$F$500,V461)=F461),N(I461)/N(INDEX('09-أيلول'!$I$2:$I$500,V461))-1,""))</f>
        <v/>
      </c>
      <c r="AC461" t="str">
        <f>IF(L461="","",IF(AND($AO$2=1,ISNA(MATCH(L461,'11-تشرين الثاني'!$L$2:$L$501,0))),"محذوف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IF(L462="","",IF($AO$1=1,IFERROR(MATCH(L462,'09-أيلول'!$L$2:$L$500,0),0),0))</f>
        <v/>
      </c>
      <c r="W462" t="str">
        <f t="shared" si="151"/>
        <v/>
      </c>
      <c r="X462" s="38" t="str">
        <f>IF(L462="","",IF(V462&gt;0,INDEX('09-أيلول'!$P$2:$P$500,V462),IF($AO$1=1,0,"")))</f>
        <v/>
      </c>
      <c r="Y462" s="38" t="str">
        <f t="shared" si="152"/>
        <v/>
      </c>
      <c r="Z462" s="39" t="str">
        <f>IF(L462="","",IF(V462&gt;0,INDEX('09-أيلول'!$Q$2:$Q$500,V462),IF($AO$1=1,0,"")))</f>
        <v/>
      </c>
      <c r="AA462" s="39" t="str">
        <f t="shared" si="153"/>
        <v/>
      </c>
      <c r="AB462" s="40" t="str">
        <f>IF(OR(L462="",V462=0),"",IF(AND(N(I462)&gt;0,N(INDEX('09-أيلول'!$I$2:$I$500,V462))&gt;0,INDEX('09-أيلول'!$F$2:$F$500,V462)=F462),N(I462)/N(INDEX('09-أيلول'!$I$2:$I$500,V462))-1,""))</f>
        <v/>
      </c>
      <c r="AC462" t="str">
        <f>IF(L462="","",IF(AND($AO$2=1,ISNA(MATCH(L462,'11-تشرين الثاني'!$L$2:$L$501,0))),"محذوف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IF(L463="","",IF($AO$1=1,IFERROR(MATCH(L463,'09-أيلول'!$L$2:$L$500,0),0),0))</f>
        <v/>
      </c>
      <c r="W463" t="str">
        <f t="shared" si="151"/>
        <v/>
      </c>
      <c r="X463" s="38" t="str">
        <f>IF(L463="","",IF(V463&gt;0,INDEX('09-أيلول'!$P$2:$P$500,V463),IF($AO$1=1,0,"")))</f>
        <v/>
      </c>
      <c r="Y463" s="38" t="str">
        <f t="shared" si="152"/>
        <v/>
      </c>
      <c r="Z463" s="39" t="str">
        <f>IF(L463="","",IF(V463&gt;0,INDEX('09-أيلول'!$Q$2:$Q$500,V463),IF($AO$1=1,0,"")))</f>
        <v/>
      </c>
      <c r="AA463" s="39" t="str">
        <f t="shared" si="153"/>
        <v/>
      </c>
      <c r="AB463" s="40" t="str">
        <f>IF(OR(L463="",V463=0),"",IF(AND(N(I463)&gt;0,N(INDEX('09-أيلول'!$I$2:$I$500,V463))&gt;0,INDEX('09-أيلول'!$F$2:$F$500,V463)=F463),N(I463)/N(INDEX('09-أيلول'!$I$2:$I$500,V463))-1,""))</f>
        <v/>
      </c>
      <c r="AC463" t="str">
        <f>IF(L463="","",IF(AND($AO$2=1,ISNA(MATCH(L463,'11-تشرين الثاني'!$L$2:$L$501,0))),"محذوف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IF(L464="","",IF($AO$1=1,IFERROR(MATCH(L464,'09-أيلول'!$L$2:$L$500,0),0),0))</f>
        <v/>
      </c>
      <c r="W464" t="str">
        <f t="shared" si="151"/>
        <v/>
      </c>
      <c r="X464" s="38" t="str">
        <f>IF(L464="","",IF(V464&gt;0,INDEX('09-أيلول'!$P$2:$P$500,V464),IF($AO$1=1,0,"")))</f>
        <v/>
      </c>
      <c r="Y464" s="38" t="str">
        <f t="shared" si="152"/>
        <v/>
      </c>
      <c r="Z464" s="39" t="str">
        <f>IF(L464="","",IF(V464&gt;0,INDEX('09-أيلول'!$Q$2:$Q$500,V464),IF($AO$1=1,0,"")))</f>
        <v/>
      </c>
      <c r="AA464" s="39" t="str">
        <f t="shared" si="153"/>
        <v/>
      </c>
      <c r="AB464" s="40" t="str">
        <f>IF(OR(L464="",V464=0),"",IF(AND(N(I464)&gt;0,N(INDEX('09-أيلول'!$I$2:$I$500,V464))&gt;0,INDEX('09-أيلول'!$F$2:$F$500,V464)=F464),N(I464)/N(INDEX('09-أيلول'!$I$2:$I$500,V464))-1,""))</f>
        <v/>
      </c>
      <c r="AC464" t="str">
        <f>IF(L464="","",IF(AND($AO$2=1,ISNA(MATCH(L464,'11-تشرين الثاني'!$L$2:$L$501,0))),"محذوف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IF(L465="","",IF($AO$1=1,IFERROR(MATCH(L465,'09-أيلول'!$L$2:$L$500,0),0),0))</f>
        <v/>
      </c>
      <c r="W465" t="str">
        <f t="shared" si="151"/>
        <v/>
      </c>
      <c r="X465" s="38" t="str">
        <f>IF(L465="","",IF(V465&gt;0,INDEX('09-أيلول'!$P$2:$P$500,V465),IF($AO$1=1,0,"")))</f>
        <v/>
      </c>
      <c r="Y465" s="38" t="str">
        <f t="shared" si="152"/>
        <v/>
      </c>
      <c r="Z465" s="39" t="str">
        <f>IF(L465="","",IF(V465&gt;0,INDEX('09-أيلول'!$Q$2:$Q$500,V465),IF($AO$1=1,0,"")))</f>
        <v/>
      </c>
      <c r="AA465" s="39" t="str">
        <f t="shared" si="153"/>
        <v/>
      </c>
      <c r="AB465" s="40" t="str">
        <f>IF(OR(L465="",V465=0),"",IF(AND(N(I465)&gt;0,N(INDEX('09-أيلول'!$I$2:$I$500,V465))&gt;0,INDEX('09-أيلول'!$F$2:$F$500,V465)=F465),N(I465)/N(INDEX('09-أيلول'!$I$2:$I$500,V465))-1,""))</f>
        <v/>
      </c>
      <c r="AC465" t="str">
        <f>IF(L465="","",IF(AND($AO$2=1,ISNA(MATCH(L465,'11-تشرين الثاني'!$L$2:$L$501,0))),"محذوف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IF(L466="","",IF($AO$1=1,IFERROR(MATCH(L466,'09-أيلول'!$L$2:$L$500,0),0),0))</f>
        <v/>
      </c>
      <c r="W466" t="str">
        <f t="shared" si="151"/>
        <v/>
      </c>
      <c r="X466" s="38" t="str">
        <f>IF(L466="","",IF(V466&gt;0,INDEX('09-أيلول'!$P$2:$P$500,V466),IF($AO$1=1,0,"")))</f>
        <v/>
      </c>
      <c r="Y466" s="38" t="str">
        <f t="shared" si="152"/>
        <v/>
      </c>
      <c r="Z466" s="39" t="str">
        <f>IF(L466="","",IF(V466&gt;0,INDEX('09-أيلول'!$Q$2:$Q$500,V466),IF($AO$1=1,0,"")))</f>
        <v/>
      </c>
      <c r="AA466" s="39" t="str">
        <f t="shared" si="153"/>
        <v/>
      </c>
      <c r="AB466" s="40" t="str">
        <f>IF(OR(L466="",V466=0),"",IF(AND(N(I466)&gt;0,N(INDEX('09-أيلول'!$I$2:$I$500,V466))&gt;0,INDEX('09-أيلول'!$F$2:$F$500,V466)=F466),N(I466)/N(INDEX('09-أيلول'!$I$2:$I$500,V466))-1,""))</f>
        <v/>
      </c>
      <c r="AC466" t="str">
        <f>IF(L466="","",IF(AND($AO$2=1,ISNA(MATCH(L466,'11-تشرين الثاني'!$L$2:$L$501,0))),"محذوف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IF(L467="","",IF($AO$1=1,IFERROR(MATCH(L467,'09-أيلول'!$L$2:$L$500,0),0),0))</f>
        <v/>
      </c>
      <c r="W467" t="str">
        <f t="shared" si="151"/>
        <v/>
      </c>
      <c r="X467" s="38" t="str">
        <f>IF(L467="","",IF(V467&gt;0,INDEX('09-أيلول'!$P$2:$P$500,V467),IF($AO$1=1,0,"")))</f>
        <v/>
      </c>
      <c r="Y467" s="38" t="str">
        <f t="shared" si="152"/>
        <v/>
      </c>
      <c r="Z467" s="39" t="str">
        <f>IF(L467="","",IF(V467&gt;0,INDEX('09-أيلول'!$Q$2:$Q$500,V467),IF($AO$1=1,0,"")))</f>
        <v/>
      </c>
      <c r="AA467" s="39" t="str">
        <f t="shared" si="153"/>
        <v/>
      </c>
      <c r="AB467" s="40" t="str">
        <f>IF(OR(L467="",V467=0),"",IF(AND(N(I467)&gt;0,N(INDEX('09-أيلول'!$I$2:$I$500,V467))&gt;0,INDEX('09-أيلول'!$F$2:$F$500,V467)=F467),N(I467)/N(INDEX('09-أيلول'!$I$2:$I$500,V467))-1,""))</f>
        <v/>
      </c>
      <c r="AC467" t="str">
        <f>IF(L467="","",IF(AND($AO$2=1,ISNA(MATCH(L467,'11-تشرين الثاني'!$L$2:$L$501,0))),"محذوف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IF(L468="","",IF($AO$1=1,IFERROR(MATCH(L468,'09-أيلول'!$L$2:$L$500,0),0),0))</f>
        <v/>
      </c>
      <c r="W468" t="str">
        <f t="shared" si="151"/>
        <v/>
      </c>
      <c r="X468" s="38" t="str">
        <f>IF(L468="","",IF(V468&gt;0,INDEX('09-أيلول'!$P$2:$P$500,V468),IF($AO$1=1,0,"")))</f>
        <v/>
      </c>
      <c r="Y468" s="38" t="str">
        <f t="shared" si="152"/>
        <v/>
      </c>
      <c r="Z468" s="39" t="str">
        <f>IF(L468="","",IF(V468&gt;0,INDEX('09-أيلول'!$Q$2:$Q$500,V468),IF($AO$1=1,0,"")))</f>
        <v/>
      </c>
      <c r="AA468" s="39" t="str">
        <f t="shared" si="153"/>
        <v/>
      </c>
      <c r="AB468" s="40" t="str">
        <f>IF(OR(L468="",V468=0),"",IF(AND(N(I468)&gt;0,N(INDEX('09-أيلول'!$I$2:$I$500,V468))&gt;0,INDEX('09-أيلول'!$F$2:$F$500,V468)=F468),N(I468)/N(INDEX('09-أيلول'!$I$2:$I$500,V468))-1,""))</f>
        <v/>
      </c>
      <c r="AC468" t="str">
        <f>IF(L468="","",IF(AND($AO$2=1,ISNA(MATCH(L468,'11-تشرين الثاني'!$L$2:$L$501,0))),"محذوف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IF(L469="","",IF($AO$1=1,IFERROR(MATCH(L469,'09-أيلول'!$L$2:$L$500,0),0),0))</f>
        <v/>
      </c>
      <c r="W469" t="str">
        <f t="shared" si="151"/>
        <v/>
      </c>
      <c r="X469" s="38" t="str">
        <f>IF(L469="","",IF(V469&gt;0,INDEX('09-أيلول'!$P$2:$P$500,V469),IF($AO$1=1,0,"")))</f>
        <v/>
      </c>
      <c r="Y469" s="38" t="str">
        <f t="shared" si="152"/>
        <v/>
      </c>
      <c r="Z469" s="39" t="str">
        <f>IF(L469="","",IF(V469&gt;0,INDEX('09-أيلول'!$Q$2:$Q$500,V469),IF($AO$1=1,0,"")))</f>
        <v/>
      </c>
      <c r="AA469" s="39" t="str">
        <f t="shared" si="153"/>
        <v/>
      </c>
      <c r="AB469" s="40" t="str">
        <f>IF(OR(L469="",V469=0),"",IF(AND(N(I469)&gt;0,N(INDEX('09-أيلول'!$I$2:$I$500,V469))&gt;0,INDEX('09-أيلول'!$F$2:$F$500,V469)=F469),N(I469)/N(INDEX('09-أيلول'!$I$2:$I$500,V469))-1,""))</f>
        <v/>
      </c>
      <c r="AC469" t="str">
        <f>IF(L469="","",IF(AND($AO$2=1,ISNA(MATCH(L469,'11-تشرين الثاني'!$L$2:$L$501,0))),"محذوف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IF(L470="","",IF($AO$1=1,IFERROR(MATCH(L470,'09-أيلول'!$L$2:$L$500,0),0),0))</f>
        <v/>
      </c>
      <c r="W470" t="str">
        <f t="shared" si="151"/>
        <v/>
      </c>
      <c r="X470" s="38" t="str">
        <f>IF(L470="","",IF(V470&gt;0,INDEX('09-أيلول'!$P$2:$P$500,V470),IF($AO$1=1,0,"")))</f>
        <v/>
      </c>
      <c r="Y470" s="38" t="str">
        <f t="shared" si="152"/>
        <v/>
      </c>
      <c r="Z470" s="39" t="str">
        <f>IF(L470="","",IF(V470&gt;0,INDEX('09-أيلول'!$Q$2:$Q$500,V470),IF($AO$1=1,0,"")))</f>
        <v/>
      </c>
      <c r="AA470" s="39" t="str">
        <f t="shared" si="153"/>
        <v/>
      </c>
      <c r="AB470" s="40" t="str">
        <f>IF(OR(L470="",V470=0),"",IF(AND(N(I470)&gt;0,N(INDEX('09-أيلول'!$I$2:$I$500,V470))&gt;0,INDEX('09-أيلول'!$F$2:$F$500,V470)=F470),N(I470)/N(INDEX('09-أيلول'!$I$2:$I$500,V470))-1,""))</f>
        <v/>
      </c>
      <c r="AC470" t="str">
        <f>IF(L470="","",IF(AND($AO$2=1,ISNA(MATCH(L470,'11-تشرين الثاني'!$L$2:$L$501,0))),"محذوف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IF(L471="","",IF($AO$1=1,IFERROR(MATCH(L471,'09-أيلول'!$L$2:$L$500,0),0),0))</f>
        <v/>
      </c>
      <c r="W471" t="str">
        <f t="shared" si="151"/>
        <v/>
      </c>
      <c r="X471" s="38" t="str">
        <f>IF(L471="","",IF(V471&gt;0,INDEX('09-أيلول'!$P$2:$P$500,V471),IF($AO$1=1,0,"")))</f>
        <v/>
      </c>
      <c r="Y471" s="38" t="str">
        <f t="shared" si="152"/>
        <v/>
      </c>
      <c r="Z471" s="39" t="str">
        <f>IF(L471="","",IF(V471&gt;0,INDEX('09-أيلول'!$Q$2:$Q$500,V471),IF($AO$1=1,0,"")))</f>
        <v/>
      </c>
      <c r="AA471" s="39" t="str">
        <f t="shared" si="153"/>
        <v/>
      </c>
      <c r="AB471" s="40" t="str">
        <f>IF(OR(L471="",V471=0),"",IF(AND(N(I471)&gt;0,N(INDEX('09-أيلول'!$I$2:$I$500,V471))&gt;0,INDEX('09-أيلول'!$F$2:$F$500,V471)=F471),N(I471)/N(INDEX('09-أيلول'!$I$2:$I$500,V471))-1,""))</f>
        <v/>
      </c>
      <c r="AC471" t="str">
        <f>IF(L471="","",IF(AND($AO$2=1,ISNA(MATCH(L471,'11-تشرين الثاني'!$L$2:$L$501,0))),"محذوف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IF(L472="","",IF($AO$1=1,IFERROR(MATCH(L472,'09-أيلول'!$L$2:$L$500,0),0),0))</f>
        <v/>
      </c>
      <c r="W472" t="str">
        <f t="shared" si="151"/>
        <v/>
      </c>
      <c r="X472" s="38" t="str">
        <f>IF(L472="","",IF(V472&gt;0,INDEX('09-أيلول'!$P$2:$P$500,V472),IF($AO$1=1,0,"")))</f>
        <v/>
      </c>
      <c r="Y472" s="38" t="str">
        <f t="shared" si="152"/>
        <v/>
      </c>
      <c r="Z472" s="39" t="str">
        <f>IF(L472="","",IF(V472&gt;0,INDEX('09-أيلول'!$Q$2:$Q$500,V472),IF($AO$1=1,0,"")))</f>
        <v/>
      </c>
      <c r="AA472" s="39" t="str">
        <f t="shared" si="153"/>
        <v/>
      </c>
      <c r="AB472" s="40" t="str">
        <f>IF(OR(L472="",V472=0),"",IF(AND(N(I472)&gt;0,N(INDEX('09-أيلول'!$I$2:$I$500,V472))&gt;0,INDEX('09-أيلول'!$F$2:$F$500,V472)=F472),N(I472)/N(INDEX('09-أيلول'!$I$2:$I$500,V472))-1,""))</f>
        <v/>
      </c>
      <c r="AC472" t="str">
        <f>IF(L472="","",IF(AND($AO$2=1,ISNA(MATCH(L472,'11-تشرين الثاني'!$L$2:$L$501,0))),"محذوف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IF(L473="","",IF($AO$1=1,IFERROR(MATCH(L473,'09-أيلول'!$L$2:$L$500,0),0),0))</f>
        <v/>
      </c>
      <c r="W473" t="str">
        <f t="shared" si="151"/>
        <v/>
      </c>
      <c r="X473" s="38" t="str">
        <f>IF(L473="","",IF(V473&gt;0,INDEX('09-أيلول'!$P$2:$P$500,V473),IF($AO$1=1,0,"")))</f>
        <v/>
      </c>
      <c r="Y473" s="38" t="str">
        <f t="shared" si="152"/>
        <v/>
      </c>
      <c r="Z473" s="39" t="str">
        <f>IF(L473="","",IF(V473&gt;0,INDEX('09-أيلول'!$Q$2:$Q$500,V473),IF($AO$1=1,0,"")))</f>
        <v/>
      </c>
      <c r="AA473" s="39" t="str">
        <f t="shared" si="153"/>
        <v/>
      </c>
      <c r="AB473" s="40" t="str">
        <f>IF(OR(L473="",V473=0),"",IF(AND(N(I473)&gt;0,N(INDEX('09-أيلول'!$I$2:$I$500,V473))&gt;0,INDEX('09-أيلول'!$F$2:$F$500,V473)=F473),N(I473)/N(INDEX('09-أيلول'!$I$2:$I$500,V473))-1,""))</f>
        <v/>
      </c>
      <c r="AC473" t="str">
        <f>IF(L473="","",IF(AND($AO$2=1,ISNA(MATCH(L473,'11-تشرين الثاني'!$L$2:$L$501,0))),"محذوف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IF(L474="","",IF($AO$1=1,IFERROR(MATCH(L474,'09-أيلول'!$L$2:$L$500,0),0),0))</f>
        <v/>
      </c>
      <c r="W474" t="str">
        <f t="shared" si="151"/>
        <v/>
      </c>
      <c r="X474" s="38" t="str">
        <f>IF(L474="","",IF(V474&gt;0,INDEX('09-أيلول'!$P$2:$P$500,V474),IF($AO$1=1,0,"")))</f>
        <v/>
      </c>
      <c r="Y474" s="38" t="str">
        <f t="shared" si="152"/>
        <v/>
      </c>
      <c r="Z474" s="39" t="str">
        <f>IF(L474="","",IF(V474&gt;0,INDEX('09-أيلول'!$Q$2:$Q$500,V474),IF($AO$1=1,0,"")))</f>
        <v/>
      </c>
      <c r="AA474" s="39" t="str">
        <f t="shared" si="153"/>
        <v/>
      </c>
      <c r="AB474" s="40" t="str">
        <f>IF(OR(L474="",V474=0),"",IF(AND(N(I474)&gt;0,N(INDEX('09-أيلول'!$I$2:$I$500,V474))&gt;0,INDEX('09-أيلول'!$F$2:$F$500,V474)=F474),N(I474)/N(INDEX('09-أيلول'!$I$2:$I$500,V474))-1,""))</f>
        <v/>
      </c>
      <c r="AC474" t="str">
        <f>IF(L474="","",IF(AND($AO$2=1,ISNA(MATCH(L474,'11-تشرين الثاني'!$L$2:$L$501,0))),"محذوف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IF(L475="","",IF($AO$1=1,IFERROR(MATCH(L475,'09-أيلول'!$L$2:$L$500,0),0),0))</f>
        <v/>
      </c>
      <c r="W475" t="str">
        <f t="shared" si="151"/>
        <v/>
      </c>
      <c r="X475" s="38" t="str">
        <f>IF(L475="","",IF(V475&gt;0,INDEX('09-أيلول'!$P$2:$P$500,V475),IF($AO$1=1,0,"")))</f>
        <v/>
      </c>
      <c r="Y475" s="38" t="str">
        <f t="shared" si="152"/>
        <v/>
      </c>
      <c r="Z475" s="39" t="str">
        <f>IF(L475="","",IF(V475&gt;0,INDEX('09-أيلول'!$Q$2:$Q$500,V475),IF($AO$1=1,0,"")))</f>
        <v/>
      </c>
      <c r="AA475" s="39" t="str">
        <f t="shared" si="153"/>
        <v/>
      </c>
      <c r="AB475" s="40" t="str">
        <f>IF(OR(L475="",V475=0),"",IF(AND(N(I475)&gt;0,N(INDEX('09-أيلول'!$I$2:$I$500,V475))&gt;0,INDEX('09-أيلول'!$F$2:$F$500,V475)=F475),N(I475)/N(INDEX('09-أيلول'!$I$2:$I$500,V475))-1,""))</f>
        <v/>
      </c>
      <c r="AC475" t="str">
        <f>IF(L475="","",IF(AND($AO$2=1,ISNA(MATCH(L475,'11-تشرين الثاني'!$L$2:$L$501,0))),"محذوف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IF(L476="","",IF($AO$1=1,IFERROR(MATCH(L476,'09-أيلول'!$L$2:$L$500,0),0),0))</f>
        <v/>
      </c>
      <c r="W476" t="str">
        <f t="shared" si="151"/>
        <v/>
      </c>
      <c r="X476" s="38" t="str">
        <f>IF(L476="","",IF(V476&gt;0,INDEX('09-أيلول'!$P$2:$P$500,V476),IF($AO$1=1,0,"")))</f>
        <v/>
      </c>
      <c r="Y476" s="38" t="str">
        <f t="shared" si="152"/>
        <v/>
      </c>
      <c r="Z476" s="39" t="str">
        <f>IF(L476="","",IF(V476&gt;0,INDEX('09-أيلول'!$Q$2:$Q$500,V476),IF($AO$1=1,0,"")))</f>
        <v/>
      </c>
      <c r="AA476" s="39" t="str">
        <f t="shared" si="153"/>
        <v/>
      </c>
      <c r="AB476" s="40" t="str">
        <f>IF(OR(L476="",V476=0),"",IF(AND(N(I476)&gt;0,N(INDEX('09-أيلول'!$I$2:$I$500,V476))&gt;0,INDEX('09-أيلول'!$F$2:$F$500,V476)=F476),N(I476)/N(INDEX('09-أيلول'!$I$2:$I$500,V476))-1,""))</f>
        <v/>
      </c>
      <c r="AC476" t="str">
        <f>IF(L476="","",IF(AND($AO$2=1,ISNA(MATCH(L476,'11-تشرين الثاني'!$L$2:$L$501,0))),"محذوف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IF(L477="","",IF($AO$1=1,IFERROR(MATCH(L477,'09-أيلول'!$L$2:$L$500,0),0),0))</f>
        <v/>
      </c>
      <c r="W477" t="str">
        <f t="shared" si="151"/>
        <v/>
      </c>
      <c r="X477" s="38" t="str">
        <f>IF(L477="","",IF(V477&gt;0,INDEX('09-أيلول'!$P$2:$P$500,V477),IF($AO$1=1,0,"")))</f>
        <v/>
      </c>
      <c r="Y477" s="38" t="str">
        <f t="shared" si="152"/>
        <v/>
      </c>
      <c r="Z477" s="39" t="str">
        <f>IF(L477="","",IF(V477&gt;0,INDEX('09-أيلول'!$Q$2:$Q$500,V477),IF($AO$1=1,0,"")))</f>
        <v/>
      </c>
      <c r="AA477" s="39" t="str">
        <f t="shared" si="153"/>
        <v/>
      </c>
      <c r="AB477" s="40" t="str">
        <f>IF(OR(L477="",V477=0),"",IF(AND(N(I477)&gt;0,N(INDEX('09-أيلول'!$I$2:$I$500,V477))&gt;0,INDEX('09-أيلول'!$F$2:$F$500,V477)=F477),N(I477)/N(INDEX('09-أيلول'!$I$2:$I$500,V477))-1,""))</f>
        <v/>
      </c>
      <c r="AC477" t="str">
        <f>IF(L477="","",IF(AND($AO$2=1,ISNA(MATCH(L477,'11-تشرين الثاني'!$L$2:$L$501,0))),"محذوف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IF(L478="","",IF($AO$1=1,IFERROR(MATCH(L478,'09-أيلول'!$L$2:$L$500,0),0),0))</f>
        <v/>
      </c>
      <c r="W478" t="str">
        <f t="shared" si="151"/>
        <v/>
      </c>
      <c r="X478" s="38" t="str">
        <f>IF(L478="","",IF(V478&gt;0,INDEX('09-أيلول'!$P$2:$P$500,V478),IF($AO$1=1,0,"")))</f>
        <v/>
      </c>
      <c r="Y478" s="38" t="str">
        <f t="shared" si="152"/>
        <v/>
      </c>
      <c r="Z478" s="39" t="str">
        <f>IF(L478="","",IF(V478&gt;0,INDEX('09-أيلول'!$Q$2:$Q$500,V478),IF($AO$1=1,0,"")))</f>
        <v/>
      </c>
      <c r="AA478" s="39" t="str">
        <f t="shared" si="153"/>
        <v/>
      </c>
      <c r="AB478" s="40" t="str">
        <f>IF(OR(L478="",V478=0),"",IF(AND(N(I478)&gt;0,N(INDEX('09-أيلول'!$I$2:$I$500,V478))&gt;0,INDEX('09-أيلول'!$F$2:$F$500,V478)=F478),N(I478)/N(INDEX('09-أيلول'!$I$2:$I$500,V478))-1,""))</f>
        <v/>
      </c>
      <c r="AC478" t="str">
        <f>IF(L478="","",IF(AND($AO$2=1,ISNA(MATCH(L478,'11-تشرين الثاني'!$L$2:$L$501,0))),"محذوف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IF(L479="","",IF($AO$1=1,IFERROR(MATCH(L479,'09-أيلول'!$L$2:$L$500,0),0),0))</f>
        <v/>
      </c>
      <c r="W479" t="str">
        <f t="shared" si="151"/>
        <v/>
      </c>
      <c r="X479" s="38" t="str">
        <f>IF(L479="","",IF(V479&gt;0,INDEX('09-أيلول'!$P$2:$P$500,V479),IF($AO$1=1,0,"")))</f>
        <v/>
      </c>
      <c r="Y479" s="38" t="str">
        <f t="shared" si="152"/>
        <v/>
      </c>
      <c r="Z479" s="39" t="str">
        <f>IF(L479="","",IF(V479&gt;0,INDEX('09-أيلول'!$Q$2:$Q$500,V479),IF($AO$1=1,0,"")))</f>
        <v/>
      </c>
      <c r="AA479" s="39" t="str">
        <f t="shared" si="153"/>
        <v/>
      </c>
      <c r="AB479" s="40" t="str">
        <f>IF(OR(L479="",V479=0),"",IF(AND(N(I479)&gt;0,N(INDEX('09-أيلول'!$I$2:$I$500,V479))&gt;0,INDEX('09-أيلول'!$F$2:$F$500,V479)=F479),N(I479)/N(INDEX('09-أيلول'!$I$2:$I$500,V479))-1,""))</f>
        <v/>
      </c>
      <c r="AC479" t="str">
        <f>IF(L479="","",IF(AND($AO$2=1,ISNA(MATCH(L479,'11-تشرين الثاني'!$L$2:$L$501,0))),"محذوف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IF(L480="","",IF($AO$1=1,IFERROR(MATCH(L480,'09-أيلول'!$L$2:$L$500,0),0),0))</f>
        <v/>
      </c>
      <c r="W480" t="str">
        <f t="shared" si="151"/>
        <v/>
      </c>
      <c r="X480" s="38" t="str">
        <f>IF(L480="","",IF(V480&gt;0,INDEX('09-أيلول'!$P$2:$P$500,V480),IF($AO$1=1,0,"")))</f>
        <v/>
      </c>
      <c r="Y480" s="38" t="str">
        <f t="shared" si="152"/>
        <v/>
      </c>
      <c r="Z480" s="39" t="str">
        <f>IF(L480="","",IF(V480&gt;0,INDEX('09-أيلول'!$Q$2:$Q$500,V480),IF($AO$1=1,0,"")))</f>
        <v/>
      </c>
      <c r="AA480" s="39" t="str">
        <f t="shared" si="153"/>
        <v/>
      </c>
      <c r="AB480" s="40" t="str">
        <f>IF(OR(L480="",V480=0),"",IF(AND(N(I480)&gt;0,N(INDEX('09-أيلول'!$I$2:$I$500,V480))&gt;0,INDEX('09-أيلول'!$F$2:$F$500,V480)=F480),N(I480)/N(INDEX('09-أيلول'!$I$2:$I$500,V480))-1,""))</f>
        <v/>
      </c>
      <c r="AC480" t="str">
        <f>IF(L480="","",IF(AND($AO$2=1,ISNA(MATCH(L480,'11-تشرين الثاني'!$L$2:$L$501,0))),"محذوف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IF(L481="","",IF($AO$1=1,IFERROR(MATCH(L481,'09-أيلول'!$L$2:$L$500,0),0),0))</f>
        <v/>
      </c>
      <c r="W481" t="str">
        <f t="shared" si="151"/>
        <v/>
      </c>
      <c r="X481" s="38" t="str">
        <f>IF(L481="","",IF(V481&gt;0,INDEX('09-أيلول'!$P$2:$P$500,V481),IF($AO$1=1,0,"")))</f>
        <v/>
      </c>
      <c r="Y481" s="38" t="str">
        <f t="shared" si="152"/>
        <v/>
      </c>
      <c r="Z481" s="39" t="str">
        <f>IF(L481="","",IF(V481&gt;0,INDEX('09-أيلول'!$Q$2:$Q$500,V481),IF($AO$1=1,0,"")))</f>
        <v/>
      </c>
      <c r="AA481" s="39" t="str">
        <f t="shared" si="153"/>
        <v/>
      </c>
      <c r="AB481" s="40" t="str">
        <f>IF(OR(L481="",V481=0),"",IF(AND(N(I481)&gt;0,N(INDEX('09-أيلول'!$I$2:$I$500,V481))&gt;0,INDEX('09-أيلول'!$F$2:$F$500,V481)=F481),N(I481)/N(INDEX('09-أيلول'!$I$2:$I$500,V481))-1,""))</f>
        <v/>
      </c>
      <c r="AC481" t="str">
        <f>IF(L481="","",IF(AND($AO$2=1,ISNA(MATCH(L481,'11-تشرين الثاني'!$L$2:$L$501,0))),"محذوف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IF(L482="","",IF($AO$1=1,IFERROR(MATCH(L482,'09-أيلول'!$L$2:$L$500,0),0),0))</f>
        <v/>
      </c>
      <c r="W482" t="str">
        <f t="shared" si="151"/>
        <v/>
      </c>
      <c r="X482" s="38" t="str">
        <f>IF(L482="","",IF(V482&gt;0,INDEX('09-أيلول'!$P$2:$P$500,V482),IF($AO$1=1,0,"")))</f>
        <v/>
      </c>
      <c r="Y482" s="38" t="str">
        <f t="shared" si="152"/>
        <v/>
      </c>
      <c r="Z482" s="39" t="str">
        <f>IF(L482="","",IF(V482&gt;0,INDEX('09-أيلول'!$Q$2:$Q$500,V482),IF($AO$1=1,0,"")))</f>
        <v/>
      </c>
      <c r="AA482" s="39" t="str">
        <f t="shared" si="153"/>
        <v/>
      </c>
      <c r="AB482" s="40" t="str">
        <f>IF(OR(L482="",V482=0),"",IF(AND(N(I482)&gt;0,N(INDEX('09-أيلول'!$I$2:$I$500,V482))&gt;0,INDEX('09-أيلول'!$F$2:$F$500,V482)=F482),N(I482)/N(INDEX('09-أيلول'!$I$2:$I$500,V482))-1,""))</f>
        <v/>
      </c>
      <c r="AC482" t="str">
        <f>IF(L482="","",IF(AND($AO$2=1,ISNA(MATCH(L482,'11-تشرين الثاني'!$L$2:$L$501,0))),"محذوف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IF(L483="","",IF($AO$1=1,IFERROR(MATCH(L483,'09-أيلول'!$L$2:$L$500,0),0),0))</f>
        <v/>
      </c>
      <c r="W483" t="str">
        <f t="shared" si="151"/>
        <v/>
      </c>
      <c r="X483" s="38" t="str">
        <f>IF(L483="","",IF(V483&gt;0,INDEX('09-أيلول'!$P$2:$P$500,V483),IF($AO$1=1,0,"")))</f>
        <v/>
      </c>
      <c r="Y483" s="38" t="str">
        <f t="shared" si="152"/>
        <v/>
      </c>
      <c r="Z483" s="39" t="str">
        <f>IF(L483="","",IF(V483&gt;0,INDEX('09-أيلول'!$Q$2:$Q$500,V483),IF($AO$1=1,0,"")))</f>
        <v/>
      </c>
      <c r="AA483" s="39" t="str">
        <f t="shared" si="153"/>
        <v/>
      </c>
      <c r="AB483" s="40" t="str">
        <f>IF(OR(L483="",V483=0),"",IF(AND(N(I483)&gt;0,N(INDEX('09-أيلول'!$I$2:$I$500,V483))&gt;0,INDEX('09-أيلول'!$F$2:$F$500,V483)=F483),N(I483)/N(INDEX('09-أيلول'!$I$2:$I$500,V483))-1,""))</f>
        <v/>
      </c>
      <c r="AC483" t="str">
        <f>IF(L483="","",IF(AND($AO$2=1,ISNA(MATCH(L483,'11-تشرين الثاني'!$L$2:$L$501,0))),"محذوف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IF(L484="","",IF($AO$1=1,IFERROR(MATCH(L484,'09-أيلول'!$L$2:$L$500,0),0),0))</f>
        <v/>
      </c>
      <c r="W484" t="str">
        <f t="shared" si="151"/>
        <v/>
      </c>
      <c r="X484" s="38" t="str">
        <f>IF(L484="","",IF(V484&gt;0,INDEX('09-أيلول'!$P$2:$P$500,V484),IF($AO$1=1,0,"")))</f>
        <v/>
      </c>
      <c r="Y484" s="38" t="str">
        <f t="shared" si="152"/>
        <v/>
      </c>
      <c r="Z484" s="39" t="str">
        <f>IF(L484="","",IF(V484&gt;0,INDEX('09-أيلول'!$Q$2:$Q$500,V484),IF($AO$1=1,0,"")))</f>
        <v/>
      </c>
      <c r="AA484" s="39" t="str">
        <f t="shared" si="153"/>
        <v/>
      </c>
      <c r="AB484" s="40" t="str">
        <f>IF(OR(L484="",V484=0),"",IF(AND(N(I484)&gt;0,N(INDEX('09-أيلول'!$I$2:$I$500,V484))&gt;0,INDEX('09-أيلول'!$F$2:$F$500,V484)=F484),N(I484)/N(INDEX('09-أيلول'!$I$2:$I$500,V484))-1,""))</f>
        <v/>
      </c>
      <c r="AC484" t="str">
        <f>IF(L484="","",IF(AND($AO$2=1,ISNA(MATCH(L484,'11-تشرين الثاني'!$L$2:$L$501,0))),"محذوف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IF(L485="","",IF($AO$1=1,IFERROR(MATCH(L485,'09-أيلول'!$L$2:$L$500,0),0),0))</f>
        <v/>
      </c>
      <c r="W485" t="str">
        <f t="shared" si="151"/>
        <v/>
      </c>
      <c r="X485" s="38" t="str">
        <f>IF(L485="","",IF(V485&gt;0,INDEX('09-أيلول'!$P$2:$P$500,V485),IF($AO$1=1,0,"")))</f>
        <v/>
      </c>
      <c r="Y485" s="38" t="str">
        <f t="shared" si="152"/>
        <v/>
      </c>
      <c r="Z485" s="39" t="str">
        <f>IF(L485="","",IF(V485&gt;0,INDEX('09-أيلول'!$Q$2:$Q$500,V485),IF($AO$1=1,0,"")))</f>
        <v/>
      </c>
      <c r="AA485" s="39" t="str">
        <f t="shared" si="153"/>
        <v/>
      </c>
      <c r="AB485" s="40" t="str">
        <f>IF(OR(L485="",V485=0),"",IF(AND(N(I485)&gt;0,N(INDEX('09-أيلول'!$I$2:$I$500,V485))&gt;0,INDEX('09-أيلول'!$F$2:$F$500,V485)=F485),N(I485)/N(INDEX('09-أيلول'!$I$2:$I$500,V485))-1,""))</f>
        <v/>
      </c>
      <c r="AC485" t="str">
        <f>IF(L485="","",IF(AND($AO$2=1,ISNA(MATCH(L485,'11-تشرين الثاني'!$L$2:$L$501,0))),"محذوف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IF(L486="","",IF($AO$1=1,IFERROR(MATCH(L486,'09-أيلول'!$L$2:$L$500,0),0),0))</f>
        <v/>
      </c>
      <c r="W486" t="str">
        <f t="shared" si="151"/>
        <v/>
      </c>
      <c r="X486" s="38" t="str">
        <f>IF(L486="","",IF(V486&gt;0,INDEX('09-أيلول'!$P$2:$P$500,V486),IF($AO$1=1,0,"")))</f>
        <v/>
      </c>
      <c r="Y486" s="38" t="str">
        <f t="shared" si="152"/>
        <v/>
      </c>
      <c r="Z486" s="39" t="str">
        <f>IF(L486="","",IF(V486&gt;0,INDEX('09-أيلول'!$Q$2:$Q$500,V486),IF($AO$1=1,0,"")))</f>
        <v/>
      </c>
      <c r="AA486" s="39" t="str">
        <f t="shared" si="153"/>
        <v/>
      </c>
      <c r="AB486" s="40" t="str">
        <f>IF(OR(L486="",V486=0),"",IF(AND(N(I486)&gt;0,N(INDEX('09-أيلول'!$I$2:$I$500,V486))&gt;0,INDEX('09-أيلول'!$F$2:$F$500,V486)=F486),N(I486)/N(INDEX('09-أيلول'!$I$2:$I$500,V486))-1,""))</f>
        <v/>
      </c>
      <c r="AC486" t="str">
        <f>IF(L486="","",IF(AND($AO$2=1,ISNA(MATCH(L486,'11-تشرين الثاني'!$L$2:$L$501,0))),"محذوف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IF(L487="","",IF($AO$1=1,IFERROR(MATCH(L487,'09-أيلول'!$L$2:$L$500,0),0),0))</f>
        <v/>
      </c>
      <c r="W487" t="str">
        <f t="shared" si="151"/>
        <v/>
      </c>
      <c r="X487" s="38" t="str">
        <f>IF(L487="","",IF(V487&gt;0,INDEX('09-أيلول'!$P$2:$P$500,V487),IF($AO$1=1,0,"")))</f>
        <v/>
      </c>
      <c r="Y487" s="38" t="str">
        <f t="shared" si="152"/>
        <v/>
      </c>
      <c r="Z487" s="39" t="str">
        <f>IF(L487="","",IF(V487&gt;0,INDEX('09-أيلول'!$Q$2:$Q$500,V487),IF($AO$1=1,0,"")))</f>
        <v/>
      </c>
      <c r="AA487" s="39" t="str">
        <f t="shared" si="153"/>
        <v/>
      </c>
      <c r="AB487" s="40" t="str">
        <f>IF(OR(L487="",V487=0),"",IF(AND(N(I487)&gt;0,N(INDEX('09-أيلول'!$I$2:$I$500,V487))&gt;0,INDEX('09-أيلول'!$F$2:$F$500,V487)=F487),N(I487)/N(INDEX('09-أيلول'!$I$2:$I$500,V487))-1,""))</f>
        <v/>
      </c>
      <c r="AC487" t="str">
        <f>IF(L487="","",IF(AND($AO$2=1,ISNA(MATCH(L487,'11-تشرين الثاني'!$L$2:$L$501,0))),"محذوف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IF(L488="","",IF($AO$1=1,IFERROR(MATCH(L488,'09-أيلول'!$L$2:$L$500,0),0),0))</f>
        <v/>
      </c>
      <c r="W488" t="str">
        <f t="shared" si="151"/>
        <v/>
      </c>
      <c r="X488" s="38" t="str">
        <f>IF(L488="","",IF(V488&gt;0,INDEX('09-أيلول'!$P$2:$P$500,V488),IF($AO$1=1,0,"")))</f>
        <v/>
      </c>
      <c r="Y488" s="38" t="str">
        <f t="shared" si="152"/>
        <v/>
      </c>
      <c r="Z488" s="39" t="str">
        <f>IF(L488="","",IF(V488&gt;0,INDEX('09-أيلول'!$Q$2:$Q$500,V488),IF($AO$1=1,0,"")))</f>
        <v/>
      </c>
      <c r="AA488" s="39" t="str">
        <f t="shared" si="153"/>
        <v/>
      </c>
      <c r="AB488" s="40" t="str">
        <f>IF(OR(L488="",V488=0),"",IF(AND(N(I488)&gt;0,N(INDEX('09-أيلول'!$I$2:$I$500,V488))&gt;0,INDEX('09-أيلول'!$F$2:$F$500,V488)=F488),N(I488)/N(INDEX('09-أيلول'!$I$2:$I$500,V488))-1,""))</f>
        <v/>
      </c>
      <c r="AC488" t="str">
        <f>IF(L488="","",IF(AND($AO$2=1,ISNA(MATCH(L488,'11-تشرين الثاني'!$L$2:$L$501,0))),"محذوف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IF(L489="","",IF($AO$1=1,IFERROR(MATCH(L489,'09-أيلول'!$L$2:$L$500,0),0),0))</f>
        <v/>
      </c>
      <c r="W489" t="str">
        <f t="shared" si="151"/>
        <v/>
      </c>
      <c r="X489" s="38" t="str">
        <f>IF(L489="","",IF(V489&gt;0,INDEX('09-أيلول'!$P$2:$P$500,V489),IF($AO$1=1,0,"")))</f>
        <v/>
      </c>
      <c r="Y489" s="38" t="str">
        <f t="shared" si="152"/>
        <v/>
      </c>
      <c r="Z489" s="39" t="str">
        <f>IF(L489="","",IF(V489&gt;0,INDEX('09-أيلول'!$Q$2:$Q$500,V489),IF($AO$1=1,0,"")))</f>
        <v/>
      </c>
      <c r="AA489" s="39" t="str">
        <f t="shared" si="153"/>
        <v/>
      </c>
      <c r="AB489" s="40" t="str">
        <f>IF(OR(L489="",V489=0),"",IF(AND(N(I489)&gt;0,N(INDEX('09-أيلول'!$I$2:$I$500,V489))&gt;0,INDEX('09-أيلول'!$F$2:$F$500,V489)=F489),N(I489)/N(INDEX('09-أيلول'!$I$2:$I$500,V489))-1,""))</f>
        <v/>
      </c>
      <c r="AC489" t="str">
        <f>IF(L489="","",IF(AND($AO$2=1,ISNA(MATCH(L489,'11-تشرين الثاني'!$L$2:$L$501,0))),"محذوف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IF(L490="","",IF($AO$1=1,IFERROR(MATCH(L490,'09-أيلول'!$L$2:$L$500,0),0),0))</f>
        <v/>
      </c>
      <c r="W490" t="str">
        <f t="shared" si="151"/>
        <v/>
      </c>
      <c r="X490" s="38" t="str">
        <f>IF(L490="","",IF(V490&gt;0,INDEX('09-أيلول'!$P$2:$P$500,V490),IF($AO$1=1,0,"")))</f>
        <v/>
      </c>
      <c r="Y490" s="38" t="str">
        <f t="shared" si="152"/>
        <v/>
      </c>
      <c r="Z490" s="39" t="str">
        <f>IF(L490="","",IF(V490&gt;0,INDEX('09-أيلول'!$Q$2:$Q$500,V490),IF($AO$1=1,0,"")))</f>
        <v/>
      </c>
      <c r="AA490" s="39" t="str">
        <f t="shared" si="153"/>
        <v/>
      </c>
      <c r="AB490" s="40" t="str">
        <f>IF(OR(L490="",V490=0),"",IF(AND(N(I490)&gt;0,N(INDEX('09-أيلول'!$I$2:$I$500,V490))&gt;0,INDEX('09-أيلول'!$F$2:$F$500,V490)=F490),N(I490)/N(INDEX('09-أيلول'!$I$2:$I$500,V490))-1,""))</f>
        <v/>
      </c>
      <c r="AC490" t="str">
        <f>IF(L490="","",IF(AND($AO$2=1,ISNA(MATCH(L490,'11-تشرين الثاني'!$L$2:$L$501,0))),"محذوف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IF(L491="","",IF($AO$1=1,IFERROR(MATCH(L491,'09-أيلول'!$L$2:$L$500,0),0),0))</f>
        <v/>
      </c>
      <c r="W491" t="str">
        <f t="shared" si="151"/>
        <v/>
      </c>
      <c r="X491" s="38" t="str">
        <f>IF(L491="","",IF(V491&gt;0,INDEX('09-أيلول'!$P$2:$P$500,V491),IF($AO$1=1,0,"")))</f>
        <v/>
      </c>
      <c r="Y491" s="38" t="str">
        <f t="shared" si="152"/>
        <v/>
      </c>
      <c r="Z491" s="39" t="str">
        <f>IF(L491="","",IF(V491&gt;0,INDEX('09-أيلول'!$Q$2:$Q$500,V491),IF($AO$1=1,0,"")))</f>
        <v/>
      </c>
      <c r="AA491" s="39" t="str">
        <f t="shared" si="153"/>
        <v/>
      </c>
      <c r="AB491" s="40" t="str">
        <f>IF(OR(L491="",V491=0),"",IF(AND(N(I491)&gt;0,N(INDEX('09-أيلول'!$I$2:$I$500,V491))&gt;0,INDEX('09-أيلول'!$F$2:$F$500,V491)=F491),N(I491)/N(INDEX('09-أيلول'!$I$2:$I$500,V491))-1,""))</f>
        <v/>
      </c>
      <c r="AC491" t="str">
        <f>IF(L491="","",IF(AND($AO$2=1,ISNA(MATCH(L491,'11-تشرين الثاني'!$L$2:$L$501,0))),"محذوف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IF(L492="","",IF($AO$1=1,IFERROR(MATCH(L492,'09-أيلول'!$L$2:$L$500,0),0),0))</f>
        <v/>
      </c>
      <c r="W492" t="str">
        <f t="shared" si="151"/>
        <v/>
      </c>
      <c r="X492" s="38" t="str">
        <f>IF(L492="","",IF(V492&gt;0,INDEX('09-أيلول'!$P$2:$P$500,V492),IF($AO$1=1,0,"")))</f>
        <v/>
      </c>
      <c r="Y492" s="38" t="str">
        <f t="shared" si="152"/>
        <v/>
      </c>
      <c r="Z492" s="39" t="str">
        <f>IF(L492="","",IF(V492&gt;0,INDEX('09-أيلول'!$Q$2:$Q$500,V492),IF($AO$1=1,0,"")))</f>
        <v/>
      </c>
      <c r="AA492" s="39" t="str">
        <f t="shared" si="153"/>
        <v/>
      </c>
      <c r="AB492" s="40" t="str">
        <f>IF(OR(L492="",V492=0),"",IF(AND(N(I492)&gt;0,N(INDEX('09-أيلول'!$I$2:$I$500,V492))&gt;0,INDEX('09-أيلول'!$F$2:$F$500,V492)=F492),N(I492)/N(INDEX('09-أيلول'!$I$2:$I$500,V492))-1,""))</f>
        <v/>
      </c>
      <c r="AC492" t="str">
        <f>IF(L492="","",IF(AND($AO$2=1,ISNA(MATCH(L492,'11-تشرين الثاني'!$L$2:$L$501,0))),"محذوف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IF(L493="","",IF($AO$1=1,IFERROR(MATCH(L493,'09-أيلول'!$L$2:$L$500,0),0),0))</f>
        <v/>
      </c>
      <c r="W493" t="str">
        <f t="shared" si="151"/>
        <v/>
      </c>
      <c r="X493" s="38" t="str">
        <f>IF(L493="","",IF(V493&gt;0,INDEX('09-أيلول'!$P$2:$P$500,V493),IF($AO$1=1,0,"")))</f>
        <v/>
      </c>
      <c r="Y493" s="38" t="str">
        <f t="shared" si="152"/>
        <v/>
      </c>
      <c r="Z493" s="39" t="str">
        <f>IF(L493="","",IF(V493&gt;0,INDEX('09-أيلول'!$Q$2:$Q$500,V493),IF($AO$1=1,0,"")))</f>
        <v/>
      </c>
      <c r="AA493" s="39" t="str">
        <f t="shared" si="153"/>
        <v/>
      </c>
      <c r="AB493" s="40" t="str">
        <f>IF(OR(L493="",V493=0),"",IF(AND(N(I493)&gt;0,N(INDEX('09-أيلول'!$I$2:$I$500,V493))&gt;0,INDEX('09-أيلول'!$F$2:$F$500,V493)=F493),N(I493)/N(INDEX('09-أيلول'!$I$2:$I$500,V493))-1,""))</f>
        <v/>
      </c>
      <c r="AC493" t="str">
        <f>IF(L493="","",IF(AND($AO$2=1,ISNA(MATCH(L493,'11-تشرين الثاني'!$L$2:$L$501,0))),"محذوف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IF(L494="","",IF($AO$1=1,IFERROR(MATCH(L494,'09-أيلول'!$L$2:$L$500,0),0),0))</f>
        <v/>
      </c>
      <c r="W494" t="str">
        <f t="shared" si="151"/>
        <v/>
      </c>
      <c r="X494" s="38" t="str">
        <f>IF(L494="","",IF(V494&gt;0,INDEX('09-أيلول'!$P$2:$P$500,V494),IF($AO$1=1,0,"")))</f>
        <v/>
      </c>
      <c r="Y494" s="38" t="str">
        <f t="shared" si="152"/>
        <v/>
      </c>
      <c r="Z494" s="39" t="str">
        <f>IF(L494="","",IF(V494&gt;0,INDEX('09-أيلول'!$Q$2:$Q$500,V494),IF($AO$1=1,0,"")))</f>
        <v/>
      </c>
      <c r="AA494" s="39" t="str">
        <f t="shared" si="153"/>
        <v/>
      </c>
      <c r="AB494" s="40" t="str">
        <f>IF(OR(L494="",V494=0),"",IF(AND(N(I494)&gt;0,N(INDEX('09-أيلول'!$I$2:$I$500,V494))&gt;0,INDEX('09-أيلول'!$F$2:$F$500,V494)=F494),N(I494)/N(INDEX('09-أيلول'!$I$2:$I$500,V494))-1,""))</f>
        <v/>
      </c>
      <c r="AC494" t="str">
        <f>IF(L494="","",IF(AND($AO$2=1,ISNA(MATCH(L494,'11-تشرين الثاني'!$L$2:$L$501,0))),"محذوف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IF(L495="","",IF($AO$1=1,IFERROR(MATCH(L495,'09-أيلول'!$L$2:$L$500,0),0),0))</f>
        <v/>
      </c>
      <c r="W495" t="str">
        <f t="shared" si="151"/>
        <v/>
      </c>
      <c r="X495" s="38" t="str">
        <f>IF(L495="","",IF(V495&gt;0,INDEX('09-أيلول'!$P$2:$P$500,V495),IF($AO$1=1,0,"")))</f>
        <v/>
      </c>
      <c r="Y495" s="38" t="str">
        <f t="shared" si="152"/>
        <v/>
      </c>
      <c r="Z495" s="39" t="str">
        <f>IF(L495="","",IF(V495&gt;0,INDEX('09-أيلول'!$Q$2:$Q$500,V495),IF($AO$1=1,0,"")))</f>
        <v/>
      </c>
      <c r="AA495" s="39" t="str">
        <f t="shared" si="153"/>
        <v/>
      </c>
      <c r="AB495" s="40" t="str">
        <f>IF(OR(L495="",V495=0),"",IF(AND(N(I495)&gt;0,N(INDEX('09-أيلول'!$I$2:$I$500,V495))&gt;0,INDEX('09-أيلول'!$F$2:$F$500,V495)=F495),N(I495)/N(INDEX('09-أيلول'!$I$2:$I$500,V495))-1,""))</f>
        <v/>
      </c>
      <c r="AC495" t="str">
        <f>IF(L495="","",IF(AND($AO$2=1,ISNA(MATCH(L495,'11-تشرين الثاني'!$L$2:$L$501,0))),"محذوف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IF(L496="","",IF($AO$1=1,IFERROR(MATCH(L496,'09-أيلول'!$L$2:$L$500,0),0),0))</f>
        <v/>
      </c>
      <c r="W496" t="str">
        <f t="shared" si="151"/>
        <v/>
      </c>
      <c r="X496" s="38" t="str">
        <f>IF(L496="","",IF(V496&gt;0,INDEX('09-أيلول'!$P$2:$P$500,V496),IF($AO$1=1,0,"")))</f>
        <v/>
      </c>
      <c r="Y496" s="38" t="str">
        <f t="shared" si="152"/>
        <v/>
      </c>
      <c r="Z496" s="39" t="str">
        <f>IF(L496="","",IF(V496&gt;0,INDEX('09-أيلول'!$Q$2:$Q$500,V496),IF($AO$1=1,0,"")))</f>
        <v/>
      </c>
      <c r="AA496" s="39" t="str">
        <f t="shared" si="153"/>
        <v/>
      </c>
      <c r="AB496" s="40" t="str">
        <f>IF(OR(L496="",V496=0),"",IF(AND(N(I496)&gt;0,N(INDEX('09-أيلول'!$I$2:$I$500,V496))&gt;0,INDEX('09-أيلول'!$F$2:$F$500,V496)=F496),N(I496)/N(INDEX('09-أيلول'!$I$2:$I$500,V496))-1,""))</f>
        <v/>
      </c>
      <c r="AC496" t="str">
        <f>IF(L496="","",IF(AND($AO$2=1,ISNA(MATCH(L496,'11-تشرين الثاني'!$L$2:$L$501,0))),"محذوف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IF(L497="","",IF($AO$1=1,IFERROR(MATCH(L497,'09-أيلول'!$L$2:$L$500,0),0),0))</f>
        <v/>
      </c>
      <c r="W497" t="str">
        <f t="shared" si="151"/>
        <v/>
      </c>
      <c r="X497" s="38" t="str">
        <f>IF(L497="","",IF(V497&gt;0,INDEX('09-أيلول'!$P$2:$P$500,V497),IF($AO$1=1,0,"")))</f>
        <v/>
      </c>
      <c r="Y497" s="38" t="str">
        <f t="shared" si="152"/>
        <v/>
      </c>
      <c r="Z497" s="39" t="str">
        <f>IF(L497="","",IF(V497&gt;0,INDEX('09-أيلول'!$Q$2:$Q$500,V497),IF($AO$1=1,0,"")))</f>
        <v/>
      </c>
      <c r="AA497" s="39" t="str">
        <f t="shared" si="153"/>
        <v/>
      </c>
      <c r="AB497" s="40" t="str">
        <f>IF(OR(L497="",V497=0),"",IF(AND(N(I497)&gt;0,N(INDEX('09-أيلول'!$I$2:$I$500,V497))&gt;0,INDEX('09-أيلول'!$F$2:$F$500,V497)=F497),N(I497)/N(INDEX('09-أيلول'!$I$2:$I$500,V497))-1,""))</f>
        <v/>
      </c>
      <c r="AC497" t="str">
        <f>IF(L497="","",IF(AND($AO$2=1,ISNA(MATCH(L497,'11-تشرين الثاني'!$L$2:$L$501,0))),"محذوف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IF(L498="","",IF($AO$1=1,IFERROR(MATCH(L498,'09-أيلول'!$L$2:$L$500,0),0),0))</f>
        <v/>
      </c>
      <c r="W498" t="str">
        <f t="shared" si="151"/>
        <v/>
      </c>
      <c r="X498" s="38" t="str">
        <f>IF(L498="","",IF(V498&gt;0,INDEX('09-أيلول'!$P$2:$P$500,V498),IF($AO$1=1,0,"")))</f>
        <v/>
      </c>
      <c r="Y498" s="38" t="str">
        <f t="shared" si="152"/>
        <v/>
      </c>
      <c r="Z498" s="39" t="str">
        <f>IF(L498="","",IF(V498&gt;0,INDEX('09-أيلول'!$Q$2:$Q$500,V498),IF($AO$1=1,0,"")))</f>
        <v/>
      </c>
      <c r="AA498" s="39" t="str">
        <f t="shared" si="153"/>
        <v/>
      </c>
      <c r="AB498" s="40" t="str">
        <f>IF(OR(L498="",V498=0),"",IF(AND(N(I498)&gt;0,N(INDEX('09-أيلول'!$I$2:$I$500,V498))&gt;0,INDEX('09-أيلول'!$F$2:$F$500,V498)=F498),N(I498)/N(INDEX('09-أيلول'!$I$2:$I$500,V498))-1,""))</f>
        <v/>
      </c>
      <c r="AC498" t="str">
        <f>IF(L498="","",IF(AND($AO$2=1,ISNA(MATCH(L498,'11-تشرين الثاني'!$L$2:$L$501,0))),"محذوف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IF(L499="","",IF($AO$1=1,IFERROR(MATCH(L499,'09-أيلول'!$L$2:$L$500,0),0),0))</f>
        <v/>
      </c>
      <c r="W499" t="str">
        <f t="shared" si="151"/>
        <v/>
      </c>
      <c r="X499" s="38" t="str">
        <f>IF(L499="","",IF(V499&gt;0,INDEX('09-أيلول'!$P$2:$P$500,V499),IF($AO$1=1,0,"")))</f>
        <v/>
      </c>
      <c r="Y499" s="38" t="str">
        <f t="shared" si="152"/>
        <v/>
      </c>
      <c r="Z499" s="39" t="str">
        <f>IF(L499="","",IF(V499&gt;0,INDEX('09-أيلول'!$Q$2:$Q$500,V499),IF($AO$1=1,0,"")))</f>
        <v/>
      </c>
      <c r="AA499" s="39" t="str">
        <f t="shared" si="153"/>
        <v/>
      </c>
      <c r="AB499" s="40" t="str">
        <f>IF(OR(L499="",V499=0),"",IF(AND(N(I499)&gt;0,N(INDEX('09-أيلول'!$I$2:$I$500,V499))&gt;0,INDEX('09-أيلول'!$F$2:$F$500,V499)=F499),N(I499)/N(INDEX('09-أيلول'!$I$2:$I$500,V499))-1,""))</f>
        <v/>
      </c>
      <c r="AC499" t="str">
        <f>IF(L499="","",IF(AND($AO$2=1,ISNA(MATCH(L499,'11-تشرين الثاني'!$L$2:$L$501,0))),"محذوف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IF(L500="","",IF($AO$1=1,IFERROR(MATCH(L500,'09-أيلول'!$L$2:$L$500,0),0),0))</f>
        <v/>
      </c>
      <c r="W500" t="str">
        <f t="shared" si="151"/>
        <v/>
      </c>
      <c r="X500" s="38" t="str">
        <f>IF(L500="","",IF(V500&gt;0,INDEX('09-أيلول'!$P$2:$P$500,V500),IF($AO$1=1,0,"")))</f>
        <v/>
      </c>
      <c r="Y500" s="38" t="str">
        <f t="shared" si="152"/>
        <v/>
      </c>
      <c r="Z500" s="39" t="str">
        <f>IF(L500="","",IF(V500&gt;0,INDEX('09-أيلول'!$Q$2:$Q$500,V500),IF($AO$1=1,0,"")))</f>
        <v/>
      </c>
      <c r="AA500" s="39" t="str">
        <f t="shared" si="153"/>
        <v/>
      </c>
      <c r="AB500" s="40" t="str">
        <f>IF(OR(L500="",V500=0),"",IF(AND(N(I500)&gt;0,N(INDEX('09-أيلول'!$I$2:$I$500,V500))&gt;0,INDEX('09-أيلول'!$F$2:$F$500,V500)=F500),N(I500)/N(INDEX('09-أيلول'!$I$2:$I$500,V500))-1,""))</f>
        <v/>
      </c>
      <c r="AC500" t="str">
        <f>IF(L500="","",IF(AND($AO$2=1,ISNA(MATCH(L500,'11-تشرين الثاني'!$L$2:$L$501,0))),"محذوف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IF(L501="","",IF($AO$1=1,IFERROR(MATCH(L501,'09-أيلول'!$L$2:$L$500,0),0),0))</f>
        <v/>
      </c>
      <c r="W501" t="str">
        <f t="shared" si="151"/>
        <v/>
      </c>
      <c r="X501" s="38" t="str">
        <f>IF(L501="","",IF(V501&gt;0,INDEX('09-أيلول'!$P$2:$P$500,V501),IF($AO$1=1,0,"")))</f>
        <v/>
      </c>
      <c r="Y501" s="38" t="str">
        <f t="shared" si="152"/>
        <v/>
      </c>
      <c r="Z501" s="39" t="str">
        <f>IF(L501="","",IF(V501&gt;0,INDEX('09-أيلول'!$Q$2:$Q$500,V501),IF($AO$1=1,0,"")))</f>
        <v/>
      </c>
      <c r="AA501" s="39" t="str">
        <f t="shared" si="153"/>
        <v/>
      </c>
      <c r="AB501" s="40" t="str">
        <f>IF(OR(L501="",V501=0),"",IF(AND(N(I501)&gt;0,N(INDEX('09-أيلول'!$I$2:$I$500,V501))&gt;0,INDEX('09-أيلول'!$F$2:$F$500,V501)=F501),N(I501)/N(INDEX('09-أيلول'!$I$2:$I$500,V501))-1,""))</f>
        <v/>
      </c>
      <c r="AC501" t="str">
        <f>IF(L501="","",IF(AND($AO$2=1,ISNA(MATCH(L501,'11-تشرين الثاني'!$L$2:$L$501,0))),"محذوف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F000000}"/>
  <conditionalFormatting sqref="K1">
    <cfRule type="expression" dxfId="14" priority="2">
      <formula>LEFT(K1,1)="⚠"</formula>
    </cfRule>
    <cfRule type="expression" dxfId="13" priority="3">
      <formula>LEFT(K1,1)="✓"</formula>
    </cfRule>
  </conditionalFormatting>
  <conditionalFormatting sqref="K2:U501">
    <cfRule type="expression" dxfId="12" priority="4">
      <formula>$U2&lt;&gt;""</formula>
    </cfRule>
  </conditionalFormatting>
  <conditionalFormatting sqref="W2:W501">
    <cfRule type="expression" dxfId="11" priority="5">
      <formula>$W2="جديد"</formula>
    </cfRule>
  </conditionalFormatting>
  <conditionalFormatting sqref="AC2:AC501">
    <cfRule type="expression" dxfId="1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IF(COUNTA('10-تشرين الأول'!$A$2:$A$501)&gt;0,1,0)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IF(L2="","",IF($AO$1=1,IFERROR(MATCH(L2,'10-تشرين الأول'!$L$2:$L$501,0),0),0))</f>
        <v/>
      </c>
      <c r="W2" t="str">
        <f t="shared" ref="W2:W65" si="11">IF(L2="","",IF(AND($AO$1=1,V2=0),"جديد",""))</f>
        <v/>
      </c>
      <c r="X2" s="38" t="str">
        <f>IF(L2="","",IF(V2&gt;0,INDEX('10-تشرين الأول'!$P$2:$P$501,V2),IF($AO$1=1,0,"")))</f>
        <v/>
      </c>
      <c r="Y2" s="38" t="str">
        <f t="shared" ref="Y2:Y65" si="12">IF(OR(L2="",X2=""),"",P2-X2)</f>
        <v/>
      </c>
      <c r="Z2" s="39" t="str">
        <f>IF(L2="","",IF(V2&gt;0,INDEX('10-تشرين الأول'!$Q$2:$Q$501,V2),IF($AO$1=1,0,"")))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IF(OR(L2="",V2=0),"",IF(AND(N(I2)&gt;0,N(INDEX('10-تشرين الأول'!$I$2:$I$501,V2))&gt;0,INDEX('10-تشرين الأول'!$F$2:$F$501,V2)=F2),N(I2)/N(INDEX('10-تشرين الأول'!$I$2:$I$501,V2))-1,""))</f>
        <v/>
      </c>
      <c r="AC2" t="str">
        <f>IF(L2="","",IF(AND($AO$2=1,ISNA(MATCH(L2,'12-كانون الأول'!$L$2:$L$501,0))),"محذوف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IF(COUNTA('12-كانون الأول'!$A$2:$A$501)&gt;0,1,0)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IF(L3="","",IF($AO$1=1,IFERROR(MATCH(L3,'10-تشرين الأول'!$L$2:$L$501,0),0),0))</f>
        <v/>
      </c>
      <c r="W3" t="str">
        <f t="shared" si="11"/>
        <v/>
      </c>
      <c r="X3" s="38" t="str">
        <f>IF(L3="","",IF(V3&gt;0,INDEX('10-تشرين الأول'!$P$2:$P$501,V3),IF($AO$1=1,0,"")))</f>
        <v/>
      </c>
      <c r="Y3" s="38" t="str">
        <f t="shared" si="12"/>
        <v/>
      </c>
      <c r="Z3" s="39" t="str">
        <f>IF(L3="","",IF(V3&gt;0,INDEX('10-تشرين الأول'!$Q$2:$Q$501,V3),IF($AO$1=1,0,"")))</f>
        <v/>
      </c>
      <c r="AA3" s="39" t="str">
        <f t="shared" si="13"/>
        <v/>
      </c>
      <c r="AB3" s="40" t="str">
        <f>IF(OR(L3="",V3=0),"",IF(AND(N(I3)&gt;0,N(INDEX('10-تشرين الأول'!$I$2:$I$501,V3))&gt;0,INDEX('10-تشرين الأول'!$F$2:$F$501,V3)=F3),N(I3)/N(INDEX('10-تشرين الأول'!$I$2:$I$501,V3))-1,""))</f>
        <v/>
      </c>
      <c r="AC3" t="str">
        <f>IF(L3="","",IF(AND($AO$2=1,ISNA(MATCH(L3,'12-كانون الأول'!$L$2:$L$501,0))),"محذوف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التحكم'!$C$26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IF(L4="","",IF($AO$1=1,IFERROR(MATCH(L4,'10-تشرين الأول'!$L$2:$L$501,0),0),0))</f>
        <v/>
      </c>
      <c r="W4" t="str">
        <f t="shared" si="11"/>
        <v/>
      </c>
      <c r="X4" s="38" t="str">
        <f>IF(L4="","",IF(V4&gt;0,INDEX('10-تشرين الأول'!$P$2:$P$501,V4),IF($AO$1=1,0,"")))</f>
        <v/>
      </c>
      <c r="Y4" s="38" t="str">
        <f t="shared" si="12"/>
        <v/>
      </c>
      <c r="Z4" s="39" t="str">
        <f>IF(L4="","",IF(V4&gt;0,INDEX('10-تشرين الأول'!$Q$2:$Q$501,V4),IF($AO$1=1,0,"")))</f>
        <v/>
      </c>
      <c r="AA4" s="39" t="str">
        <f t="shared" si="13"/>
        <v/>
      </c>
      <c r="AB4" s="40" t="str">
        <f>IF(OR(L4="",V4=0),"",IF(AND(N(I4)&gt;0,N(INDEX('10-تشرين الأول'!$I$2:$I$501,V4))&gt;0,INDEX('10-تشرين الأول'!$F$2:$F$501,V4)=F4),N(I4)/N(INDEX('10-تشرين الأول'!$I$2:$I$501,V4))-1,""))</f>
        <v/>
      </c>
      <c r="AC4" t="str">
        <f>IF(L4="","",IF(AND($AO$2=1,ISNA(MATCH(L4,'12-كانون الأول'!$L$2:$L$501,0))),"محذوف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IF(L5="","",IF($AO$1=1,IFERROR(MATCH(L5,'10-تشرين الأول'!$L$2:$L$501,0),0),0))</f>
        <v/>
      </c>
      <c r="W5" t="str">
        <f t="shared" si="11"/>
        <v/>
      </c>
      <c r="X5" s="38" t="str">
        <f>IF(L5="","",IF(V5&gt;0,INDEX('10-تشرين الأول'!$P$2:$P$501,V5),IF($AO$1=1,0,"")))</f>
        <v/>
      </c>
      <c r="Y5" s="38" t="str">
        <f t="shared" si="12"/>
        <v/>
      </c>
      <c r="Z5" s="39" t="str">
        <f>IF(L5="","",IF(V5&gt;0,INDEX('10-تشرين الأول'!$Q$2:$Q$501,V5),IF($AO$1=1,0,"")))</f>
        <v/>
      </c>
      <c r="AA5" s="39" t="str">
        <f t="shared" si="13"/>
        <v/>
      </c>
      <c r="AB5" s="40" t="str">
        <f>IF(OR(L5="",V5=0),"",IF(AND(N(I5)&gt;0,N(INDEX('10-تشرين الأول'!$I$2:$I$501,V5))&gt;0,INDEX('10-تشرين الأول'!$F$2:$F$501,V5)=F5),N(I5)/N(INDEX('10-تشرين الأول'!$I$2:$I$501,V5))-1,""))</f>
        <v/>
      </c>
      <c r="AC5" t="str">
        <f>IF(L5="","",IF(AND($AO$2=1,ISNA(MATCH(L5,'12-كانون الأول'!$L$2:$L$501,0))),"محذوف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IF(L6="","",IF($AO$1=1,IFERROR(MATCH(L6,'10-تشرين الأول'!$L$2:$L$501,0),0),0))</f>
        <v/>
      </c>
      <c r="W6" t="str">
        <f t="shared" si="11"/>
        <v/>
      </c>
      <c r="X6" s="38" t="str">
        <f>IF(L6="","",IF(V6&gt;0,INDEX('10-تشرين الأول'!$P$2:$P$501,V6),IF($AO$1=1,0,"")))</f>
        <v/>
      </c>
      <c r="Y6" s="38" t="str">
        <f t="shared" si="12"/>
        <v/>
      </c>
      <c r="Z6" s="39" t="str">
        <f>IF(L6="","",IF(V6&gt;0,INDEX('10-تشرين الأول'!$Q$2:$Q$501,V6),IF($AO$1=1,0,"")))</f>
        <v/>
      </c>
      <c r="AA6" s="39" t="str">
        <f t="shared" si="13"/>
        <v/>
      </c>
      <c r="AB6" s="40" t="str">
        <f>IF(OR(L6="",V6=0),"",IF(AND(N(I6)&gt;0,N(INDEX('10-تشرين الأول'!$I$2:$I$501,V6))&gt;0,INDEX('10-تشرين الأول'!$F$2:$F$501,V6)=F6),N(I6)/N(INDEX('10-تشرين الأول'!$I$2:$I$501,V6))-1,""))</f>
        <v/>
      </c>
      <c r="AC6" t="str">
        <f>IF(L6="","",IF(AND($AO$2=1,ISNA(MATCH(L6,'12-كانون الأول'!$L$2:$L$501,0))),"محذوف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IF(L7="","",IF($AO$1=1,IFERROR(MATCH(L7,'10-تشرين الأول'!$L$2:$L$501,0),0),0))</f>
        <v/>
      </c>
      <c r="W7" t="str">
        <f t="shared" si="11"/>
        <v/>
      </c>
      <c r="X7" s="38" t="str">
        <f>IF(L7="","",IF(V7&gt;0,INDEX('10-تشرين الأول'!$P$2:$P$501,V7),IF($AO$1=1,0,"")))</f>
        <v/>
      </c>
      <c r="Y7" s="38" t="str">
        <f t="shared" si="12"/>
        <v/>
      </c>
      <c r="Z7" s="39" t="str">
        <f>IF(L7="","",IF(V7&gt;0,INDEX('10-تشرين الأول'!$Q$2:$Q$501,V7),IF($AO$1=1,0,"")))</f>
        <v/>
      </c>
      <c r="AA7" s="39" t="str">
        <f t="shared" si="13"/>
        <v/>
      </c>
      <c r="AB7" s="40" t="str">
        <f>IF(OR(L7="",V7=0),"",IF(AND(N(I7)&gt;0,N(INDEX('10-تشرين الأول'!$I$2:$I$501,V7))&gt;0,INDEX('10-تشرين الأول'!$F$2:$F$501,V7)=F7),N(I7)/N(INDEX('10-تشرين الأول'!$I$2:$I$501,V7))-1,""))</f>
        <v/>
      </c>
      <c r="AC7" t="str">
        <f>IF(L7="","",IF(AND($AO$2=1,ISNA(MATCH(L7,'12-كانون الأول'!$L$2:$L$501,0))),"محذوف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IF(L8="","",IF($AO$1=1,IFERROR(MATCH(L8,'10-تشرين الأول'!$L$2:$L$501,0),0),0))</f>
        <v/>
      </c>
      <c r="W8" t="str">
        <f t="shared" si="11"/>
        <v/>
      </c>
      <c r="X8" s="38" t="str">
        <f>IF(L8="","",IF(V8&gt;0,INDEX('10-تشرين الأول'!$P$2:$P$501,V8),IF($AO$1=1,0,"")))</f>
        <v/>
      </c>
      <c r="Y8" s="38" t="str">
        <f t="shared" si="12"/>
        <v/>
      </c>
      <c r="Z8" s="39" t="str">
        <f>IF(L8="","",IF(V8&gt;0,INDEX('10-تشرين الأول'!$Q$2:$Q$501,V8),IF($AO$1=1,0,"")))</f>
        <v/>
      </c>
      <c r="AA8" s="39" t="str">
        <f t="shared" si="13"/>
        <v/>
      </c>
      <c r="AB8" s="40" t="str">
        <f>IF(OR(L8="",V8=0),"",IF(AND(N(I8)&gt;0,N(INDEX('10-تشرين الأول'!$I$2:$I$501,V8))&gt;0,INDEX('10-تشرين الأول'!$F$2:$F$501,V8)=F8),N(I8)/N(INDEX('10-تشرين الأول'!$I$2:$I$501,V8))-1,""))</f>
        <v/>
      </c>
      <c r="AC8" t="str">
        <f>IF(L8="","",IF(AND($AO$2=1,ISNA(MATCH(L8,'12-كانون الأول'!$L$2:$L$501,0))),"محذوف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IF(L9="","",IF($AO$1=1,IFERROR(MATCH(L9,'10-تشرين الأول'!$L$2:$L$501,0),0),0))</f>
        <v/>
      </c>
      <c r="W9" t="str">
        <f t="shared" si="11"/>
        <v/>
      </c>
      <c r="X9" s="38" t="str">
        <f>IF(L9="","",IF(V9&gt;0,INDEX('10-تشرين الأول'!$P$2:$P$501,V9),IF($AO$1=1,0,"")))</f>
        <v/>
      </c>
      <c r="Y9" s="38" t="str">
        <f t="shared" si="12"/>
        <v/>
      </c>
      <c r="Z9" s="39" t="str">
        <f>IF(L9="","",IF(V9&gt;0,INDEX('10-تشرين الأول'!$Q$2:$Q$501,V9),IF($AO$1=1,0,"")))</f>
        <v/>
      </c>
      <c r="AA9" s="39" t="str">
        <f t="shared" si="13"/>
        <v/>
      </c>
      <c r="AB9" s="40" t="str">
        <f>IF(OR(L9="",V9=0),"",IF(AND(N(I9)&gt;0,N(INDEX('10-تشرين الأول'!$I$2:$I$501,V9))&gt;0,INDEX('10-تشرين الأول'!$F$2:$F$501,V9)=F9),N(I9)/N(INDEX('10-تشرين الأول'!$I$2:$I$501,V9))-1,""))</f>
        <v/>
      </c>
      <c r="AC9" t="str">
        <f>IF(L9="","",IF(AND($AO$2=1,ISNA(MATCH(L9,'12-كانون الأول'!$L$2:$L$501,0))),"محذوف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IF(L10="","",IF($AO$1=1,IFERROR(MATCH(L10,'10-تشرين الأول'!$L$2:$L$501,0),0),0))</f>
        <v/>
      </c>
      <c r="W10" t="str">
        <f t="shared" si="11"/>
        <v/>
      </c>
      <c r="X10" s="38" t="str">
        <f>IF(L10="","",IF(V10&gt;0,INDEX('10-تشرين الأول'!$P$2:$P$501,V10),IF($AO$1=1,0,"")))</f>
        <v/>
      </c>
      <c r="Y10" s="38" t="str">
        <f t="shared" si="12"/>
        <v/>
      </c>
      <c r="Z10" s="39" t="str">
        <f>IF(L10="","",IF(V10&gt;0,INDEX('10-تشرين الأول'!$Q$2:$Q$501,V10),IF($AO$1=1,0,"")))</f>
        <v/>
      </c>
      <c r="AA10" s="39" t="str">
        <f t="shared" si="13"/>
        <v/>
      </c>
      <c r="AB10" s="40" t="str">
        <f>IF(OR(L10="",V10=0),"",IF(AND(N(I10)&gt;0,N(INDEX('10-تشرين الأول'!$I$2:$I$501,V10))&gt;0,INDEX('10-تشرين الأول'!$F$2:$F$501,V10)=F10),N(I10)/N(INDEX('10-تشرين الأول'!$I$2:$I$501,V10))-1,""))</f>
        <v/>
      </c>
      <c r="AC10" t="str">
        <f>IF(L10="","",IF(AND($AO$2=1,ISNA(MATCH(L10,'12-كانون الأول'!$L$2:$L$501,0))),"محذوف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IF(L11="","",IF($AO$1=1,IFERROR(MATCH(L11,'10-تشرين الأول'!$L$2:$L$501,0),0),0))</f>
        <v/>
      </c>
      <c r="W11" t="str">
        <f t="shared" si="11"/>
        <v/>
      </c>
      <c r="X11" s="38" t="str">
        <f>IF(L11="","",IF(V11&gt;0,INDEX('10-تشرين الأول'!$P$2:$P$501,V11),IF($AO$1=1,0,"")))</f>
        <v/>
      </c>
      <c r="Y11" s="38" t="str">
        <f t="shared" si="12"/>
        <v/>
      </c>
      <c r="Z11" s="39" t="str">
        <f>IF(L11="","",IF(V11&gt;0,INDEX('10-تشرين الأول'!$Q$2:$Q$501,V11),IF($AO$1=1,0,"")))</f>
        <v/>
      </c>
      <c r="AA11" s="39" t="str">
        <f t="shared" si="13"/>
        <v/>
      </c>
      <c r="AB11" s="40" t="str">
        <f>IF(OR(L11="",V11=0),"",IF(AND(N(I11)&gt;0,N(INDEX('10-تشرين الأول'!$I$2:$I$501,V11))&gt;0,INDEX('10-تشرين الأول'!$F$2:$F$501,V11)=F11),N(I11)/N(INDEX('10-تشرين الأول'!$I$2:$I$501,V11))-1,""))</f>
        <v/>
      </c>
      <c r="AC11" t="str">
        <f>IF(L11="","",IF(AND($AO$2=1,ISNA(MATCH(L11,'12-كانون الأول'!$L$2:$L$501,0))),"محذوف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IF(L12="","",IF($AO$1=1,IFERROR(MATCH(L12,'10-تشرين الأول'!$L$2:$L$501,0),0),0))</f>
        <v/>
      </c>
      <c r="W12" t="str">
        <f t="shared" si="11"/>
        <v/>
      </c>
      <c r="X12" s="38" t="str">
        <f>IF(L12="","",IF(V12&gt;0,INDEX('10-تشرين الأول'!$P$2:$P$501,V12),IF($AO$1=1,0,"")))</f>
        <v/>
      </c>
      <c r="Y12" s="38" t="str">
        <f t="shared" si="12"/>
        <v/>
      </c>
      <c r="Z12" s="39" t="str">
        <f>IF(L12="","",IF(V12&gt;0,INDEX('10-تشرين الأول'!$Q$2:$Q$501,V12),IF($AO$1=1,0,"")))</f>
        <v/>
      </c>
      <c r="AA12" s="39" t="str">
        <f t="shared" si="13"/>
        <v/>
      </c>
      <c r="AB12" s="40" t="str">
        <f>IF(OR(L12="",V12=0),"",IF(AND(N(I12)&gt;0,N(INDEX('10-تشرين الأول'!$I$2:$I$501,V12))&gt;0,INDEX('10-تشرين الأول'!$F$2:$F$501,V12)=F12),N(I12)/N(INDEX('10-تشرين الأول'!$I$2:$I$501,V12))-1,""))</f>
        <v/>
      </c>
      <c r="AC12" t="str">
        <f>IF(L12="","",IF(AND($AO$2=1,ISNA(MATCH(L12,'12-كانون الأول'!$L$2:$L$501,0))),"محذوف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IF(L13="","",IF($AO$1=1,IFERROR(MATCH(L13,'10-تشرين الأول'!$L$2:$L$501,0),0),0))</f>
        <v/>
      </c>
      <c r="W13" t="str">
        <f t="shared" si="11"/>
        <v/>
      </c>
      <c r="X13" s="38" t="str">
        <f>IF(L13="","",IF(V13&gt;0,INDEX('10-تشرين الأول'!$P$2:$P$501,V13),IF($AO$1=1,0,"")))</f>
        <v/>
      </c>
      <c r="Y13" s="38" t="str">
        <f t="shared" si="12"/>
        <v/>
      </c>
      <c r="Z13" s="39" t="str">
        <f>IF(L13="","",IF(V13&gt;0,INDEX('10-تشرين الأول'!$Q$2:$Q$501,V13),IF($AO$1=1,0,"")))</f>
        <v/>
      </c>
      <c r="AA13" s="39" t="str">
        <f t="shared" si="13"/>
        <v/>
      </c>
      <c r="AB13" s="40" t="str">
        <f>IF(OR(L13="",V13=0),"",IF(AND(N(I13)&gt;0,N(INDEX('10-تشرين الأول'!$I$2:$I$501,V13))&gt;0,INDEX('10-تشرين الأول'!$F$2:$F$501,V13)=F13),N(I13)/N(INDEX('10-تشرين الأول'!$I$2:$I$501,V13))-1,""))</f>
        <v/>
      </c>
      <c r="AC13" t="str">
        <f>IF(L13="","",IF(AND($AO$2=1,ISNA(MATCH(L13,'12-كانون الأول'!$L$2:$L$501,0))),"محذوف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IF(L14="","",IF($AO$1=1,IFERROR(MATCH(L14,'10-تشرين الأول'!$L$2:$L$501,0),0),0))</f>
        <v/>
      </c>
      <c r="W14" t="str">
        <f t="shared" si="11"/>
        <v/>
      </c>
      <c r="X14" s="38" t="str">
        <f>IF(L14="","",IF(V14&gt;0,INDEX('10-تشرين الأول'!$P$2:$P$501,V14),IF($AO$1=1,0,"")))</f>
        <v/>
      </c>
      <c r="Y14" s="38" t="str">
        <f t="shared" si="12"/>
        <v/>
      </c>
      <c r="Z14" s="39" t="str">
        <f>IF(L14="","",IF(V14&gt;0,INDEX('10-تشرين الأول'!$Q$2:$Q$501,V14),IF($AO$1=1,0,"")))</f>
        <v/>
      </c>
      <c r="AA14" s="39" t="str">
        <f t="shared" si="13"/>
        <v/>
      </c>
      <c r="AB14" s="40" t="str">
        <f>IF(OR(L14="",V14=0),"",IF(AND(N(I14)&gt;0,N(INDEX('10-تشرين الأول'!$I$2:$I$501,V14))&gt;0,INDEX('10-تشرين الأول'!$F$2:$F$501,V14)=F14),N(I14)/N(INDEX('10-تشرين الأول'!$I$2:$I$501,V14))-1,""))</f>
        <v/>
      </c>
      <c r="AC14" t="str">
        <f>IF(L14="","",IF(AND($AO$2=1,ISNA(MATCH(L14,'12-كانون الأول'!$L$2:$L$501,0))),"محذوف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IF(L15="","",IF($AO$1=1,IFERROR(MATCH(L15,'10-تشرين الأول'!$L$2:$L$501,0),0),0))</f>
        <v/>
      </c>
      <c r="W15" t="str">
        <f t="shared" si="11"/>
        <v/>
      </c>
      <c r="X15" s="38" t="str">
        <f>IF(L15="","",IF(V15&gt;0,INDEX('10-تشرين الأول'!$P$2:$P$501,V15),IF($AO$1=1,0,"")))</f>
        <v/>
      </c>
      <c r="Y15" s="38" t="str">
        <f t="shared" si="12"/>
        <v/>
      </c>
      <c r="Z15" s="39" t="str">
        <f>IF(L15="","",IF(V15&gt;0,INDEX('10-تشرين الأول'!$Q$2:$Q$501,V15),IF($AO$1=1,0,"")))</f>
        <v/>
      </c>
      <c r="AA15" s="39" t="str">
        <f t="shared" si="13"/>
        <v/>
      </c>
      <c r="AB15" s="40" t="str">
        <f>IF(OR(L15="",V15=0),"",IF(AND(N(I15)&gt;0,N(INDEX('10-تشرين الأول'!$I$2:$I$501,V15))&gt;0,INDEX('10-تشرين الأول'!$F$2:$F$501,V15)=F15),N(I15)/N(INDEX('10-تشرين الأول'!$I$2:$I$501,V15))-1,""))</f>
        <v/>
      </c>
      <c r="AC15" t="str">
        <f>IF(L15="","",IF(AND($AO$2=1,ISNA(MATCH(L15,'12-كانون الأول'!$L$2:$L$501,0))),"محذوف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IF(L16="","",IF($AO$1=1,IFERROR(MATCH(L16,'10-تشرين الأول'!$L$2:$L$501,0),0),0))</f>
        <v/>
      </c>
      <c r="W16" t="str">
        <f t="shared" si="11"/>
        <v/>
      </c>
      <c r="X16" s="38" t="str">
        <f>IF(L16="","",IF(V16&gt;0,INDEX('10-تشرين الأول'!$P$2:$P$501,V16),IF($AO$1=1,0,"")))</f>
        <v/>
      </c>
      <c r="Y16" s="38" t="str">
        <f t="shared" si="12"/>
        <v/>
      </c>
      <c r="Z16" s="39" t="str">
        <f>IF(L16="","",IF(V16&gt;0,INDEX('10-تشرين الأول'!$Q$2:$Q$501,V16),IF($AO$1=1,0,"")))</f>
        <v/>
      </c>
      <c r="AA16" s="39" t="str">
        <f t="shared" si="13"/>
        <v/>
      </c>
      <c r="AB16" s="40" t="str">
        <f>IF(OR(L16="",V16=0),"",IF(AND(N(I16)&gt;0,N(INDEX('10-تشرين الأول'!$I$2:$I$501,V16))&gt;0,INDEX('10-تشرين الأول'!$F$2:$F$501,V16)=F16),N(I16)/N(INDEX('10-تشرين الأول'!$I$2:$I$501,V16))-1,""))</f>
        <v/>
      </c>
      <c r="AC16" t="str">
        <f>IF(L16="","",IF(AND($AO$2=1,ISNA(MATCH(L16,'12-كانون الأول'!$L$2:$L$501,0))),"محذوف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IF(L17="","",IF($AO$1=1,IFERROR(MATCH(L17,'10-تشرين الأول'!$L$2:$L$501,0),0),0))</f>
        <v/>
      </c>
      <c r="W17" t="str">
        <f t="shared" si="11"/>
        <v/>
      </c>
      <c r="X17" s="38" t="str">
        <f>IF(L17="","",IF(V17&gt;0,INDEX('10-تشرين الأول'!$P$2:$P$501,V17),IF($AO$1=1,0,"")))</f>
        <v/>
      </c>
      <c r="Y17" s="38" t="str">
        <f t="shared" si="12"/>
        <v/>
      </c>
      <c r="Z17" s="39" t="str">
        <f>IF(L17="","",IF(V17&gt;0,INDEX('10-تشرين الأول'!$Q$2:$Q$501,V17),IF($AO$1=1,0,"")))</f>
        <v/>
      </c>
      <c r="AA17" s="39" t="str">
        <f t="shared" si="13"/>
        <v/>
      </c>
      <c r="AB17" s="40" t="str">
        <f>IF(OR(L17="",V17=0),"",IF(AND(N(I17)&gt;0,N(INDEX('10-تشرين الأول'!$I$2:$I$501,V17))&gt;0,INDEX('10-تشرين الأول'!$F$2:$F$501,V17)=F17),N(I17)/N(INDEX('10-تشرين الأول'!$I$2:$I$501,V17))-1,""))</f>
        <v/>
      </c>
      <c r="AC17" t="str">
        <f>IF(L17="","",IF(AND($AO$2=1,ISNA(MATCH(L17,'12-كانون الأول'!$L$2:$L$501,0))),"محذوف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IF(L18="","",IF($AO$1=1,IFERROR(MATCH(L18,'10-تشرين الأول'!$L$2:$L$501,0),0),0))</f>
        <v/>
      </c>
      <c r="W18" t="str">
        <f t="shared" si="11"/>
        <v/>
      </c>
      <c r="X18" s="38" t="str">
        <f>IF(L18="","",IF(V18&gt;0,INDEX('10-تشرين الأول'!$P$2:$P$501,V18),IF($AO$1=1,0,"")))</f>
        <v/>
      </c>
      <c r="Y18" s="38" t="str">
        <f t="shared" si="12"/>
        <v/>
      </c>
      <c r="Z18" s="39" t="str">
        <f>IF(L18="","",IF(V18&gt;0,INDEX('10-تشرين الأول'!$Q$2:$Q$501,V18),IF($AO$1=1,0,"")))</f>
        <v/>
      </c>
      <c r="AA18" s="39" t="str">
        <f t="shared" si="13"/>
        <v/>
      </c>
      <c r="AB18" s="40" t="str">
        <f>IF(OR(L18="",V18=0),"",IF(AND(N(I18)&gt;0,N(INDEX('10-تشرين الأول'!$I$2:$I$501,V18))&gt;0,INDEX('10-تشرين الأول'!$F$2:$F$501,V18)=F18),N(I18)/N(INDEX('10-تشرين الأول'!$I$2:$I$501,V18))-1,""))</f>
        <v/>
      </c>
      <c r="AC18" t="str">
        <f>IF(L18="","",IF(AND($AO$2=1,ISNA(MATCH(L18,'12-كانون الأول'!$L$2:$L$501,0))),"محذوف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IF(L19="","",IF($AO$1=1,IFERROR(MATCH(L19,'10-تشرين الأول'!$L$2:$L$501,0),0),0))</f>
        <v/>
      </c>
      <c r="W19" t="str">
        <f t="shared" si="11"/>
        <v/>
      </c>
      <c r="X19" s="38" t="str">
        <f>IF(L19="","",IF(V19&gt;0,INDEX('10-تشرين الأول'!$P$2:$P$501,V19),IF($AO$1=1,0,"")))</f>
        <v/>
      </c>
      <c r="Y19" s="38" t="str">
        <f t="shared" si="12"/>
        <v/>
      </c>
      <c r="Z19" s="39" t="str">
        <f>IF(L19="","",IF(V19&gt;0,INDEX('10-تشرين الأول'!$Q$2:$Q$501,V19),IF($AO$1=1,0,"")))</f>
        <v/>
      </c>
      <c r="AA19" s="39" t="str">
        <f t="shared" si="13"/>
        <v/>
      </c>
      <c r="AB19" s="40" t="str">
        <f>IF(OR(L19="",V19=0),"",IF(AND(N(I19)&gt;0,N(INDEX('10-تشرين الأول'!$I$2:$I$501,V19))&gt;0,INDEX('10-تشرين الأول'!$F$2:$F$501,V19)=F19),N(I19)/N(INDEX('10-تشرين الأول'!$I$2:$I$501,V19))-1,""))</f>
        <v/>
      </c>
      <c r="AC19" t="str">
        <f>IF(L19="","",IF(AND($AO$2=1,ISNA(MATCH(L19,'12-كانون الأول'!$L$2:$L$501,0))),"محذوف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IF(L20="","",IF($AO$1=1,IFERROR(MATCH(L20,'10-تشرين الأول'!$L$2:$L$501,0),0),0))</f>
        <v/>
      </c>
      <c r="W20" t="str">
        <f t="shared" si="11"/>
        <v/>
      </c>
      <c r="X20" s="38" t="str">
        <f>IF(L20="","",IF(V20&gt;0,INDEX('10-تشرين الأول'!$P$2:$P$501,V20),IF($AO$1=1,0,"")))</f>
        <v/>
      </c>
      <c r="Y20" s="38" t="str">
        <f t="shared" si="12"/>
        <v/>
      </c>
      <c r="Z20" s="39" t="str">
        <f>IF(L20="","",IF(V20&gt;0,INDEX('10-تشرين الأول'!$Q$2:$Q$501,V20),IF($AO$1=1,0,"")))</f>
        <v/>
      </c>
      <c r="AA20" s="39" t="str">
        <f t="shared" si="13"/>
        <v/>
      </c>
      <c r="AB20" s="40" t="str">
        <f>IF(OR(L20="",V20=0),"",IF(AND(N(I20)&gt;0,N(INDEX('10-تشرين الأول'!$I$2:$I$501,V20))&gt;0,INDEX('10-تشرين الأول'!$F$2:$F$501,V20)=F20),N(I20)/N(INDEX('10-تشرين الأول'!$I$2:$I$501,V20))-1,""))</f>
        <v/>
      </c>
      <c r="AC20" t="str">
        <f>IF(L20="","",IF(AND($AO$2=1,ISNA(MATCH(L20,'12-كانون الأول'!$L$2:$L$501,0))),"محذوف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IF(L21="","",IF($AO$1=1,IFERROR(MATCH(L21,'10-تشرين الأول'!$L$2:$L$501,0),0),0))</f>
        <v/>
      </c>
      <c r="W21" t="str">
        <f t="shared" si="11"/>
        <v/>
      </c>
      <c r="X21" s="38" t="str">
        <f>IF(L21="","",IF(V21&gt;0,INDEX('10-تشرين الأول'!$P$2:$P$501,V21),IF($AO$1=1,0,"")))</f>
        <v/>
      </c>
      <c r="Y21" s="38" t="str">
        <f t="shared" si="12"/>
        <v/>
      </c>
      <c r="Z21" s="39" t="str">
        <f>IF(L21="","",IF(V21&gt;0,INDEX('10-تشرين الأول'!$Q$2:$Q$501,V21),IF($AO$1=1,0,"")))</f>
        <v/>
      </c>
      <c r="AA21" s="39" t="str">
        <f t="shared" si="13"/>
        <v/>
      </c>
      <c r="AB21" s="40" t="str">
        <f>IF(OR(L21="",V21=0),"",IF(AND(N(I21)&gt;0,N(INDEX('10-تشرين الأول'!$I$2:$I$501,V21))&gt;0,INDEX('10-تشرين الأول'!$F$2:$F$501,V21)=F21),N(I21)/N(INDEX('10-تشرين الأول'!$I$2:$I$501,V21))-1,""))</f>
        <v/>
      </c>
      <c r="AC21" t="str">
        <f>IF(L21="","",IF(AND($AO$2=1,ISNA(MATCH(L21,'12-كانون الأول'!$L$2:$L$501,0))),"محذوف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IF(L22="","",IF($AO$1=1,IFERROR(MATCH(L22,'10-تشرين الأول'!$L$2:$L$501,0),0),0))</f>
        <v/>
      </c>
      <c r="W22" t="str">
        <f t="shared" si="11"/>
        <v/>
      </c>
      <c r="X22" s="38" t="str">
        <f>IF(L22="","",IF(V22&gt;0,INDEX('10-تشرين الأول'!$P$2:$P$501,V22),IF($AO$1=1,0,"")))</f>
        <v/>
      </c>
      <c r="Y22" s="38" t="str">
        <f t="shared" si="12"/>
        <v/>
      </c>
      <c r="Z22" s="39" t="str">
        <f>IF(L22="","",IF(V22&gt;0,INDEX('10-تشرين الأول'!$Q$2:$Q$501,V22),IF($AO$1=1,0,"")))</f>
        <v/>
      </c>
      <c r="AA22" s="39" t="str">
        <f t="shared" si="13"/>
        <v/>
      </c>
      <c r="AB22" s="40" t="str">
        <f>IF(OR(L22="",V22=0),"",IF(AND(N(I22)&gt;0,N(INDEX('10-تشرين الأول'!$I$2:$I$501,V22))&gt;0,INDEX('10-تشرين الأول'!$F$2:$F$501,V22)=F22),N(I22)/N(INDEX('10-تشرين الأول'!$I$2:$I$501,V22))-1,""))</f>
        <v/>
      </c>
      <c r="AC22" t="str">
        <f>IF(L22="","",IF(AND($AO$2=1,ISNA(MATCH(L22,'12-كانون الأول'!$L$2:$L$501,0))),"محذوف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IF(L23="","",IF($AO$1=1,IFERROR(MATCH(L23,'10-تشرين الأول'!$L$2:$L$501,0),0),0))</f>
        <v/>
      </c>
      <c r="W23" t="str">
        <f t="shared" si="11"/>
        <v/>
      </c>
      <c r="X23" s="38" t="str">
        <f>IF(L23="","",IF(V23&gt;0,INDEX('10-تشرين الأول'!$P$2:$P$501,V23),IF($AO$1=1,0,"")))</f>
        <v/>
      </c>
      <c r="Y23" s="38" t="str">
        <f t="shared" si="12"/>
        <v/>
      </c>
      <c r="Z23" s="39" t="str">
        <f>IF(L23="","",IF(V23&gt;0,INDEX('10-تشرين الأول'!$Q$2:$Q$501,V23),IF($AO$1=1,0,"")))</f>
        <v/>
      </c>
      <c r="AA23" s="39" t="str">
        <f t="shared" si="13"/>
        <v/>
      </c>
      <c r="AB23" s="40" t="str">
        <f>IF(OR(L23="",V23=0),"",IF(AND(N(I23)&gt;0,N(INDEX('10-تشرين الأول'!$I$2:$I$501,V23))&gt;0,INDEX('10-تشرين الأول'!$F$2:$F$501,V23)=F23),N(I23)/N(INDEX('10-تشرين الأول'!$I$2:$I$501,V23))-1,""))</f>
        <v/>
      </c>
      <c r="AC23" t="str">
        <f>IF(L23="","",IF(AND($AO$2=1,ISNA(MATCH(L23,'12-كانون الأول'!$L$2:$L$501,0))),"محذوف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IF(L24="","",IF($AO$1=1,IFERROR(MATCH(L24,'10-تشرين الأول'!$L$2:$L$501,0),0),0))</f>
        <v/>
      </c>
      <c r="W24" t="str">
        <f t="shared" si="11"/>
        <v/>
      </c>
      <c r="X24" s="38" t="str">
        <f>IF(L24="","",IF(V24&gt;0,INDEX('10-تشرين الأول'!$P$2:$P$501,V24),IF($AO$1=1,0,"")))</f>
        <v/>
      </c>
      <c r="Y24" s="38" t="str">
        <f t="shared" si="12"/>
        <v/>
      </c>
      <c r="Z24" s="39" t="str">
        <f>IF(L24="","",IF(V24&gt;0,INDEX('10-تشرين الأول'!$Q$2:$Q$501,V24),IF($AO$1=1,0,"")))</f>
        <v/>
      </c>
      <c r="AA24" s="39" t="str">
        <f t="shared" si="13"/>
        <v/>
      </c>
      <c r="AB24" s="40" t="str">
        <f>IF(OR(L24="",V24=0),"",IF(AND(N(I24)&gt;0,N(INDEX('10-تشرين الأول'!$I$2:$I$501,V24))&gt;0,INDEX('10-تشرين الأول'!$F$2:$F$501,V24)=F24),N(I24)/N(INDEX('10-تشرين الأول'!$I$2:$I$501,V24))-1,""))</f>
        <v/>
      </c>
      <c r="AC24" t="str">
        <f>IF(L24="","",IF(AND($AO$2=1,ISNA(MATCH(L24,'12-كانون الأول'!$L$2:$L$501,0))),"محذوف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IF(L25="","",IF($AO$1=1,IFERROR(MATCH(L25,'10-تشرين الأول'!$L$2:$L$501,0),0),0))</f>
        <v/>
      </c>
      <c r="W25" t="str">
        <f t="shared" si="11"/>
        <v/>
      </c>
      <c r="X25" s="38" t="str">
        <f>IF(L25="","",IF(V25&gt;0,INDEX('10-تشرين الأول'!$P$2:$P$501,V25),IF($AO$1=1,0,"")))</f>
        <v/>
      </c>
      <c r="Y25" s="38" t="str">
        <f t="shared" si="12"/>
        <v/>
      </c>
      <c r="Z25" s="39" t="str">
        <f>IF(L25="","",IF(V25&gt;0,INDEX('10-تشرين الأول'!$Q$2:$Q$501,V25),IF($AO$1=1,0,"")))</f>
        <v/>
      </c>
      <c r="AA25" s="39" t="str">
        <f t="shared" si="13"/>
        <v/>
      </c>
      <c r="AB25" s="40" t="str">
        <f>IF(OR(L25="",V25=0),"",IF(AND(N(I25)&gt;0,N(INDEX('10-تشرين الأول'!$I$2:$I$501,V25))&gt;0,INDEX('10-تشرين الأول'!$F$2:$F$501,V25)=F25),N(I25)/N(INDEX('10-تشرين الأول'!$I$2:$I$501,V25))-1,""))</f>
        <v/>
      </c>
      <c r="AC25" t="str">
        <f>IF(L25="","",IF(AND($AO$2=1,ISNA(MATCH(L25,'12-كانون الأول'!$L$2:$L$501,0))),"محذوف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IF(L26="","",IF($AO$1=1,IFERROR(MATCH(L26,'10-تشرين الأول'!$L$2:$L$501,0),0),0))</f>
        <v/>
      </c>
      <c r="W26" t="str">
        <f t="shared" si="11"/>
        <v/>
      </c>
      <c r="X26" s="38" t="str">
        <f>IF(L26="","",IF(V26&gt;0,INDEX('10-تشرين الأول'!$P$2:$P$501,V26),IF($AO$1=1,0,"")))</f>
        <v/>
      </c>
      <c r="Y26" s="38" t="str">
        <f t="shared" si="12"/>
        <v/>
      </c>
      <c r="Z26" s="39" t="str">
        <f>IF(L26="","",IF(V26&gt;0,INDEX('10-تشرين الأول'!$Q$2:$Q$501,V26),IF($AO$1=1,0,"")))</f>
        <v/>
      </c>
      <c r="AA26" s="39" t="str">
        <f t="shared" si="13"/>
        <v/>
      </c>
      <c r="AB26" s="40" t="str">
        <f>IF(OR(L26="",V26=0),"",IF(AND(N(I26)&gt;0,N(INDEX('10-تشرين الأول'!$I$2:$I$501,V26))&gt;0,INDEX('10-تشرين الأول'!$F$2:$F$501,V26)=F26),N(I26)/N(INDEX('10-تشرين الأول'!$I$2:$I$501,V26))-1,""))</f>
        <v/>
      </c>
      <c r="AC26" t="str">
        <f>IF(L26="","",IF(AND($AO$2=1,ISNA(MATCH(L26,'12-كانون الأول'!$L$2:$L$501,0))),"محذوف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IF(L27="","",IF($AO$1=1,IFERROR(MATCH(L27,'10-تشرين الأول'!$L$2:$L$501,0),0),0))</f>
        <v/>
      </c>
      <c r="W27" t="str">
        <f t="shared" si="11"/>
        <v/>
      </c>
      <c r="X27" s="38" t="str">
        <f>IF(L27="","",IF(V27&gt;0,INDEX('10-تشرين الأول'!$P$2:$P$501,V27),IF($AO$1=1,0,"")))</f>
        <v/>
      </c>
      <c r="Y27" s="38" t="str">
        <f t="shared" si="12"/>
        <v/>
      </c>
      <c r="Z27" s="39" t="str">
        <f>IF(L27="","",IF(V27&gt;0,INDEX('10-تشرين الأول'!$Q$2:$Q$501,V27),IF($AO$1=1,0,"")))</f>
        <v/>
      </c>
      <c r="AA27" s="39" t="str">
        <f t="shared" si="13"/>
        <v/>
      </c>
      <c r="AB27" s="40" t="str">
        <f>IF(OR(L27="",V27=0),"",IF(AND(N(I27)&gt;0,N(INDEX('10-تشرين الأول'!$I$2:$I$501,V27))&gt;0,INDEX('10-تشرين الأول'!$F$2:$F$501,V27)=F27),N(I27)/N(INDEX('10-تشرين الأول'!$I$2:$I$501,V27))-1,""))</f>
        <v/>
      </c>
      <c r="AC27" t="str">
        <f>IF(L27="","",IF(AND($AO$2=1,ISNA(MATCH(L27,'12-كانون الأول'!$L$2:$L$501,0))),"محذوف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IF(L28="","",IF($AO$1=1,IFERROR(MATCH(L28,'10-تشرين الأول'!$L$2:$L$501,0),0),0))</f>
        <v/>
      </c>
      <c r="W28" t="str">
        <f t="shared" si="11"/>
        <v/>
      </c>
      <c r="X28" s="38" t="str">
        <f>IF(L28="","",IF(V28&gt;0,INDEX('10-تشرين الأول'!$P$2:$P$501,V28),IF($AO$1=1,0,"")))</f>
        <v/>
      </c>
      <c r="Y28" s="38" t="str">
        <f t="shared" si="12"/>
        <v/>
      </c>
      <c r="Z28" s="39" t="str">
        <f>IF(L28="","",IF(V28&gt;0,INDEX('10-تشرين الأول'!$Q$2:$Q$501,V28),IF($AO$1=1,0,"")))</f>
        <v/>
      </c>
      <c r="AA28" s="39" t="str">
        <f t="shared" si="13"/>
        <v/>
      </c>
      <c r="AB28" s="40" t="str">
        <f>IF(OR(L28="",V28=0),"",IF(AND(N(I28)&gt;0,N(INDEX('10-تشرين الأول'!$I$2:$I$501,V28))&gt;0,INDEX('10-تشرين الأول'!$F$2:$F$501,V28)=F28),N(I28)/N(INDEX('10-تشرين الأول'!$I$2:$I$501,V28))-1,""))</f>
        <v/>
      </c>
      <c r="AC28" t="str">
        <f>IF(L28="","",IF(AND($AO$2=1,ISNA(MATCH(L28,'12-كانون الأول'!$L$2:$L$501,0))),"محذوف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IF(L29="","",IF($AO$1=1,IFERROR(MATCH(L29,'10-تشرين الأول'!$L$2:$L$501,0),0),0))</f>
        <v/>
      </c>
      <c r="W29" t="str">
        <f t="shared" si="11"/>
        <v/>
      </c>
      <c r="X29" s="38" t="str">
        <f>IF(L29="","",IF(V29&gt;0,INDEX('10-تشرين الأول'!$P$2:$P$501,V29),IF($AO$1=1,0,"")))</f>
        <v/>
      </c>
      <c r="Y29" s="38" t="str">
        <f t="shared" si="12"/>
        <v/>
      </c>
      <c r="Z29" s="39" t="str">
        <f>IF(L29="","",IF(V29&gt;0,INDEX('10-تشرين الأول'!$Q$2:$Q$501,V29),IF($AO$1=1,0,"")))</f>
        <v/>
      </c>
      <c r="AA29" s="39" t="str">
        <f t="shared" si="13"/>
        <v/>
      </c>
      <c r="AB29" s="40" t="str">
        <f>IF(OR(L29="",V29=0),"",IF(AND(N(I29)&gt;0,N(INDEX('10-تشرين الأول'!$I$2:$I$501,V29))&gt;0,INDEX('10-تشرين الأول'!$F$2:$F$501,V29)=F29),N(I29)/N(INDEX('10-تشرين الأول'!$I$2:$I$501,V29))-1,""))</f>
        <v/>
      </c>
      <c r="AC29" t="str">
        <f>IF(L29="","",IF(AND($AO$2=1,ISNA(MATCH(L29,'12-كانون الأول'!$L$2:$L$501,0))),"محذوف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IF(L30="","",IF($AO$1=1,IFERROR(MATCH(L30,'10-تشرين الأول'!$L$2:$L$501,0),0),0))</f>
        <v/>
      </c>
      <c r="W30" t="str">
        <f t="shared" si="11"/>
        <v/>
      </c>
      <c r="X30" s="38" t="str">
        <f>IF(L30="","",IF(V30&gt;0,INDEX('10-تشرين الأول'!$P$2:$P$501,V30),IF($AO$1=1,0,"")))</f>
        <v/>
      </c>
      <c r="Y30" s="38" t="str">
        <f t="shared" si="12"/>
        <v/>
      </c>
      <c r="Z30" s="39" t="str">
        <f>IF(L30="","",IF(V30&gt;0,INDEX('10-تشرين الأول'!$Q$2:$Q$501,V30),IF($AO$1=1,0,"")))</f>
        <v/>
      </c>
      <c r="AA30" s="39" t="str">
        <f t="shared" si="13"/>
        <v/>
      </c>
      <c r="AB30" s="40" t="str">
        <f>IF(OR(L30="",V30=0),"",IF(AND(N(I30)&gt;0,N(INDEX('10-تشرين الأول'!$I$2:$I$501,V30))&gt;0,INDEX('10-تشرين الأول'!$F$2:$F$501,V30)=F30),N(I30)/N(INDEX('10-تشرين الأول'!$I$2:$I$501,V30))-1,""))</f>
        <v/>
      </c>
      <c r="AC30" t="str">
        <f>IF(L30="","",IF(AND($AO$2=1,ISNA(MATCH(L30,'12-كانون الأول'!$L$2:$L$501,0))),"محذوف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IF(L31="","",IF($AO$1=1,IFERROR(MATCH(L31,'10-تشرين الأول'!$L$2:$L$501,0),0),0))</f>
        <v/>
      </c>
      <c r="W31" t="str">
        <f t="shared" si="11"/>
        <v/>
      </c>
      <c r="X31" s="38" t="str">
        <f>IF(L31="","",IF(V31&gt;0,INDEX('10-تشرين الأول'!$P$2:$P$501,V31),IF($AO$1=1,0,"")))</f>
        <v/>
      </c>
      <c r="Y31" s="38" t="str">
        <f t="shared" si="12"/>
        <v/>
      </c>
      <c r="Z31" s="39" t="str">
        <f>IF(L31="","",IF(V31&gt;0,INDEX('10-تشرين الأول'!$Q$2:$Q$501,V31),IF($AO$1=1,0,"")))</f>
        <v/>
      </c>
      <c r="AA31" s="39" t="str">
        <f t="shared" si="13"/>
        <v/>
      </c>
      <c r="AB31" s="40" t="str">
        <f>IF(OR(L31="",V31=0),"",IF(AND(N(I31)&gt;0,N(INDEX('10-تشرين الأول'!$I$2:$I$501,V31))&gt;0,INDEX('10-تشرين الأول'!$F$2:$F$501,V31)=F31),N(I31)/N(INDEX('10-تشرين الأول'!$I$2:$I$501,V31))-1,""))</f>
        <v/>
      </c>
      <c r="AC31" t="str">
        <f>IF(L31="","",IF(AND($AO$2=1,ISNA(MATCH(L31,'12-كانون الأول'!$L$2:$L$501,0))),"محذوف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IF(L32="","",IF($AO$1=1,IFERROR(MATCH(L32,'10-تشرين الأول'!$L$2:$L$501,0),0),0))</f>
        <v/>
      </c>
      <c r="W32" t="str">
        <f t="shared" si="11"/>
        <v/>
      </c>
      <c r="X32" s="38" t="str">
        <f>IF(L32="","",IF(V32&gt;0,INDEX('10-تشرين الأول'!$P$2:$P$501,V32),IF($AO$1=1,0,"")))</f>
        <v/>
      </c>
      <c r="Y32" s="38" t="str">
        <f t="shared" si="12"/>
        <v/>
      </c>
      <c r="Z32" s="39" t="str">
        <f>IF(L32="","",IF(V32&gt;0,INDEX('10-تشرين الأول'!$Q$2:$Q$501,V32),IF($AO$1=1,0,"")))</f>
        <v/>
      </c>
      <c r="AA32" s="39" t="str">
        <f t="shared" si="13"/>
        <v/>
      </c>
      <c r="AB32" s="40" t="str">
        <f>IF(OR(L32="",V32=0),"",IF(AND(N(I32)&gt;0,N(INDEX('10-تشرين الأول'!$I$2:$I$501,V32))&gt;0,INDEX('10-تشرين الأول'!$F$2:$F$501,V32)=F32),N(I32)/N(INDEX('10-تشرين الأول'!$I$2:$I$501,V32))-1,""))</f>
        <v/>
      </c>
      <c r="AC32" t="str">
        <f>IF(L32="","",IF(AND($AO$2=1,ISNA(MATCH(L32,'12-كانون الأول'!$L$2:$L$501,0))),"محذوف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IF(L33="","",IF($AO$1=1,IFERROR(MATCH(L33,'10-تشرين الأول'!$L$2:$L$501,0),0),0))</f>
        <v/>
      </c>
      <c r="W33" t="str">
        <f t="shared" si="11"/>
        <v/>
      </c>
      <c r="X33" s="38" t="str">
        <f>IF(L33="","",IF(V33&gt;0,INDEX('10-تشرين الأول'!$P$2:$P$501,V33),IF($AO$1=1,0,"")))</f>
        <v/>
      </c>
      <c r="Y33" s="38" t="str">
        <f t="shared" si="12"/>
        <v/>
      </c>
      <c r="Z33" s="39" t="str">
        <f>IF(L33="","",IF(V33&gt;0,INDEX('10-تشرين الأول'!$Q$2:$Q$501,V33),IF($AO$1=1,0,"")))</f>
        <v/>
      </c>
      <c r="AA33" s="39" t="str">
        <f t="shared" si="13"/>
        <v/>
      </c>
      <c r="AB33" s="40" t="str">
        <f>IF(OR(L33="",V33=0),"",IF(AND(N(I33)&gt;0,N(INDEX('10-تشرين الأول'!$I$2:$I$501,V33))&gt;0,INDEX('10-تشرين الأول'!$F$2:$F$501,V33)=F33),N(I33)/N(INDEX('10-تشرين الأول'!$I$2:$I$501,V33))-1,""))</f>
        <v/>
      </c>
      <c r="AC33" t="str">
        <f>IF(L33="","",IF(AND($AO$2=1,ISNA(MATCH(L33,'12-كانون الأول'!$L$2:$L$501,0))),"محذوف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IF(L34="","",IF($AO$1=1,IFERROR(MATCH(L34,'10-تشرين الأول'!$L$2:$L$501,0),0),0))</f>
        <v/>
      </c>
      <c r="W34" t="str">
        <f t="shared" si="11"/>
        <v/>
      </c>
      <c r="X34" s="38" t="str">
        <f>IF(L34="","",IF(V34&gt;0,INDEX('10-تشرين الأول'!$P$2:$P$501,V34),IF($AO$1=1,0,"")))</f>
        <v/>
      </c>
      <c r="Y34" s="38" t="str">
        <f t="shared" si="12"/>
        <v/>
      </c>
      <c r="Z34" s="39" t="str">
        <f>IF(L34="","",IF(V34&gt;0,INDEX('10-تشرين الأول'!$Q$2:$Q$501,V34),IF($AO$1=1,0,"")))</f>
        <v/>
      </c>
      <c r="AA34" s="39" t="str">
        <f t="shared" si="13"/>
        <v/>
      </c>
      <c r="AB34" s="40" t="str">
        <f>IF(OR(L34="",V34=0),"",IF(AND(N(I34)&gt;0,N(INDEX('10-تشرين الأول'!$I$2:$I$501,V34))&gt;0,INDEX('10-تشرين الأول'!$F$2:$F$501,V34)=F34),N(I34)/N(INDEX('10-تشرين الأول'!$I$2:$I$501,V34))-1,""))</f>
        <v/>
      </c>
      <c r="AC34" t="str">
        <f>IF(L34="","",IF(AND($AO$2=1,ISNA(MATCH(L34,'12-كانون الأول'!$L$2:$L$501,0))),"محذوف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IF(L35="","",IF($AO$1=1,IFERROR(MATCH(L35,'10-تشرين الأول'!$L$2:$L$501,0),0),0))</f>
        <v/>
      </c>
      <c r="W35" t="str">
        <f t="shared" si="11"/>
        <v/>
      </c>
      <c r="X35" s="38" t="str">
        <f>IF(L35="","",IF(V35&gt;0,INDEX('10-تشرين الأول'!$P$2:$P$501,V35),IF($AO$1=1,0,"")))</f>
        <v/>
      </c>
      <c r="Y35" s="38" t="str">
        <f t="shared" si="12"/>
        <v/>
      </c>
      <c r="Z35" s="39" t="str">
        <f>IF(L35="","",IF(V35&gt;0,INDEX('10-تشرين الأول'!$Q$2:$Q$501,V35),IF($AO$1=1,0,"")))</f>
        <v/>
      </c>
      <c r="AA35" s="39" t="str">
        <f t="shared" si="13"/>
        <v/>
      </c>
      <c r="AB35" s="40" t="str">
        <f>IF(OR(L35="",V35=0),"",IF(AND(N(I35)&gt;0,N(INDEX('10-تشرين الأول'!$I$2:$I$501,V35))&gt;0,INDEX('10-تشرين الأول'!$F$2:$F$501,V35)=F35),N(I35)/N(INDEX('10-تشرين الأول'!$I$2:$I$501,V35))-1,""))</f>
        <v/>
      </c>
      <c r="AC35" t="str">
        <f>IF(L35="","",IF(AND($AO$2=1,ISNA(MATCH(L35,'12-كانون الأول'!$L$2:$L$501,0))),"محذوف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IF(L36="","",IF($AO$1=1,IFERROR(MATCH(L36,'10-تشرين الأول'!$L$2:$L$501,0),0),0))</f>
        <v/>
      </c>
      <c r="W36" t="str">
        <f t="shared" si="11"/>
        <v/>
      </c>
      <c r="X36" s="38" t="str">
        <f>IF(L36="","",IF(V36&gt;0,INDEX('10-تشرين الأول'!$P$2:$P$501,V36),IF($AO$1=1,0,"")))</f>
        <v/>
      </c>
      <c r="Y36" s="38" t="str">
        <f t="shared" si="12"/>
        <v/>
      </c>
      <c r="Z36" s="39" t="str">
        <f>IF(L36="","",IF(V36&gt;0,INDEX('10-تشرين الأول'!$Q$2:$Q$501,V36),IF($AO$1=1,0,"")))</f>
        <v/>
      </c>
      <c r="AA36" s="39" t="str">
        <f t="shared" si="13"/>
        <v/>
      </c>
      <c r="AB36" s="40" t="str">
        <f>IF(OR(L36="",V36=0),"",IF(AND(N(I36)&gt;0,N(INDEX('10-تشرين الأول'!$I$2:$I$501,V36))&gt;0,INDEX('10-تشرين الأول'!$F$2:$F$501,V36)=F36),N(I36)/N(INDEX('10-تشرين الأول'!$I$2:$I$501,V36))-1,""))</f>
        <v/>
      </c>
      <c r="AC36" t="str">
        <f>IF(L36="","",IF(AND($AO$2=1,ISNA(MATCH(L36,'12-كانون الأول'!$L$2:$L$501,0))),"محذوف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IF(L37="","",IF($AO$1=1,IFERROR(MATCH(L37,'10-تشرين الأول'!$L$2:$L$501,0),0),0))</f>
        <v/>
      </c>
      <c r="W37" t="str">
        <f t="shared" si="11"/>
        <v/>
      </c>
      <c r="X37" s="38" t="str">
        <f>IF(L37="","",IF(V37&gt;0,INDEX('10-تشرين الأول'!$P$2:$P$501,V37),IF($AO$1=1,0,"")))</f>
        <v/>
      </c>
      <c r="Y37" s="38" t="str">
        <f t="shared" si="12"/>
        <v/>
      </c>
      <c r="Z37" s="39" t="str">
        <f>IF(L37="","",IF(V37&gt;0,INDEX('10-تشرين الأول'!$Q$2:$Q$501,V37),IF($AO$1=1,0,"")))</f>
        <v/>
      </c>
      <c r="AA37" s="39" t="str">
        <f t="shared" si="13"/>
        <v/>
      </c>
      <c r="AB37" s="40" t="str">
        <f>IF(OR(L37="",V37=0),"",IF(AND(N(I37)&gt;0,N(INDEX('10-تشرين الأول'!$I$2:$I$501,V37))&gt;0,INDEX('10-تشرين الأول'!$F$2:$F$501,V37)=F37),N(I37)/N(INDEX('10-تشرين الأول'!$I$2:$I$501,V37))-1,""))</f>
        <v/>
      </c>
      <c r="AC37" t="str">
        <f>IF(L37="","",IF(AND($AO$2=1,ISNA(MATCH(L37,'12-كانون الأول'!$L$2:$L$501,0))),"محذوف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IF(L38="","",IF($AO$1=1,IFERROR(MATCH(L38,'10-تشرين الأول'!$L$2:$L$501,0),0),0))</f>
        <v/>
      </c>
      <c r="W38" t="str">
        <f t="shared" si="11"/>
        <v/>
      </c>
      <c r="X38" s="38" t="str">
        <f>IF(L38="","",IF(V38&gt;0,INDEX('10-تشرين الأول'!$P$2:$P$501,V38),IF($AO$1=1,0,"")))</f>
        <v/>
      </c>
      <c r="Y38" s="38" t="str">
        <f t="shared" si="12"/>
        <v/>
      </c>
      <c r="Z38" s="39" t="str">
        <f>IF(L38="","",IF(V38&gt;0,INDEX('10-تشرين الأول'!$Q$2:$Q$501,V38),IF($AO$1=1,0,"")))</f>
        <v/>
      </c>
      <c r="AA38" s="39" t="str">
        <f t="shared" si="13"/>
        <v/>
      </c>
      <c r="AB38" s="40" t="str">
        <f>IF(OR(L38="",V38=0),"",IF(AND(N(I38)&gt;0,N(INDEX('10-تشرين الأول'!$I$2:$I$501,V38))&gt;0,INDEX('10-تشرين الأول'!$F$2:$F$501,V38)=F38),N(I38)/N(INDEX('10-تشرين الأول'!$I$2:$I$501,V38))-1,""))</f>
        <v/>
      </c>
      <c r="AC38" t="str">
        <f>IF(L38="","",IF(AND($AO$2=1,ISNA(MATCH(L38,'12-كانون الأول'!$L$2:$L$501,0))),"محذوف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IF(L39="","",IF($AO$1=1,IFERROR(MATCH(L39,'10-تشرين الأول'!$L$2:$L$501,0),0),0))</f>
        <v/>
      </c>
      <c r="W39" t="str">
        <f t="shared" si="11"/>
        <v/>
      </c>
      <c r="X39" s="38" t="str">
        <f>IF(L39="","",IF(V39&gt;0,INDEX('10-تشرين الأول'!$P$2:$P$501,V39),IF($AO$1=1,0,"")))</f>
        <v/>
      </c>
      <c r="Y39" s="38" t="str">
        <f t="shared" si="12"/>
        <v/>
      </c>
      <c r="Z39" s="39" t="str">
        <f>IF(L39="","",IF(V39&gt;0,INDEX('10-تشرين الأول'!$Q$2:$Q$501,V39),IF($AO$1=1,0,"")))</f>
        <v/>
      </c>
      <c r="AA39" s="39" t="str">
        <f t="shared" si="13"/>
        <v/>
      </c>
      <c r="AB39" s="40" t="str">
        <f>IF(OR(L39="",V39=0),"",IF(AND(N(I39)&gt;0,N(INDEX('10-تشرين الأول'!$I$2:$I$501,V39))&gt;0,INDEX('10-تشرين الأول'!$F$2:$F$501,V39)=F39),N(I39)/N(INDEX('10-تشرين الأول'!$I$2:$I$501,V39))-1,""))</f>
        <v/>
      </c>
      <c r="AC39" t="str">
        <f>IF(L39="","",IF(AND($AO$2=1,ISNA(MATCH(L39,'12-كانون الأول'!$L$2:$L$501,0))),"محذوف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IF(L40="","",IF($AO$1=1,IFERROR(MATCH(L40,'10-تشرين الأول'!$L$2:$L$501,0),0),0))</f>
        <v/>
      </c>
      <c r="W40" t="str">
        <f t="shared" si="11"/>
        <v/>
      </c>
      <c r="X40" s="38" t="str">
        <f>IF(L40="","",IF(V40&gt;0,INDEX('10-تشرين الأول'!$P$2:$P$501,V40),IF($AO$1=1,0,"")))</f>
        <v/>
      </c>
      <c r="Y40" s="38" t="str">
        <f t="shared" si="12"/>
        <v/>
      </c>
      <c r="Z40" s="39" t="str">
        <f>IF(L40="","",IF(V40&gt;0,INDEX('10-تشرين الأول'!$Q$2:$Q$501,V40),IF($AO$1=1,0,"")))</f>
        <v/>
      </c>
      <c r="AA40" s="39" t="str">
        <f t="shared" si="13"/>
        <v/>
      </c>
      <c r="AB40" s="40" t="str">
        <f>IF(OR(L40="",V40=0),"",IF(AND(N(I40)&gt;0,N(INDEX('10-تشرين الأول'!$I$2:$I$501,V40))&gt;0,INDEX('10-تشرين الأول'!$F$2:$F$501,V40)=F40),N(I40)/N(INDEX('10-تشرين الأول'!$I$2:$I$501,V40))-1,""))</f>
        <v/>
      </c>
      <c r="AC40" t="str">
        <f>IF(L40="","",IF(AND($AO$2=1,ISNA(MATCH(L40,'12-كانون الأول'!$L$2:$L$501,0))),"محذوف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IF(L41="","",IF($AO$1=1,IFERROR(MATCH(L41,'10-تشرين الأول'!$L$2:$L$501,0),0),0))</f>
        <v/>
      </c>
      <c r="W41" t="str">
        <f t="shared" si="11"/>
        <v/>
      </c>
      <c r="X41" s="38" t="str">
        <f>IF(L41="","",IF(V41&gt;0,INDEX('10-تشرين الأول'!$P$2:$P$501,V41),IF($AO$1=1,0,"")))</f>
        <v/>
      </c>
      <c r="Y41" s="38" t="str">
        <f t="shared" si="12"/>
        <v/>
      </c>
      <c r="Z41" s="39" t="str">
        <f>IF(L41="","",IF(V41&gt;0,INDEX('10-تشرين الأول'!$Q$2:$Q$501,V41),IF($AO$1=1,0,"")))</f>
        <v/>
      </c>
      <c r="AA41" s="39" t="str">
        <f t="shared" si="13"/>
        <v/>
      </c>
      <c r="AB41" s="40" t="str">
        <f>IF(OR(L41="",V41=0),"",IF(AND(N(I41)&gt;0,N(INDEX('10-تشرين الأول'!$I$2:$I$501,V41))&gt;0,INDEX('10-تشرين الأول'!$F$2:$F$501,V41)=F41),N(I41)/N(INDEX('10-تشرين الأول'!$I$2:$I$501,V41))-1,""))</f>
        <v/>
      </c>
      <c r="AC41" t="str">
        <f>IF(L41="","",IF(AND($AO$2=1,ISNA(MATCH(L41,'12-كانون الأول'!$L$2:$L$501,0))),"محذوف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IF(L42="","",IF($AO$1=1,IFERROR(MATCH(L42,'10-تشرين الأول'!$L$2:$L$501,0),0),0))</f>
        <v/>
      </c>
      <c r="W42" t="str">
        <f t="shared" si="11"/>
        <v/>
      </c>
      <c r="X42" s="38" t="str">
        <f>IF(L42="","",IF(V42&gt;0,INDEX('10-تشرين الأول'!$P$2:$P$501,V42),IF($AO$1=1,0,"")))</f>
        <v/>
      </c>
      <c r="Y42" s="38" t="str">
        <f t="shared" si="12"/>
        <v/>
      </c>
      <c r="Z42" s="39" t="str">
        <f>IF(L42="","",IF(V42&gt;0,INDEX('10-تشرين الأول'!$Q$2:$Q$501,V42),IF($AO$1=1,0,"")))</f>
        <v/>
      </c>
      <c r="AA42" s="39" t="str">
        <f t="shared" si="13"/>
        <v/>
      </c>
      <c r="AB42" s="40" t="str">
        <f>IF(OR(L42="",V42=0),"",IF(AND(N(I42)&gt;0,N(INDEX('10-تشرين الأول'!$I$2:$I$501,V42))&gt;0,INDEX('10-تشرين الأول'!$F$2:$F$501,V42)=F42),N(I42)/N(INDEX('10-تشرين الأول'!$I$2:$I$501,V42))-1,""))</f>
        <v/>
      </c>
      <c r="AC42" t="str">
        <f>IF(L42="","",IF(AND($AO$2=1,ISNA(MATCH(L42,'12-كانون الأول'!$L$2:$L$501,0))),"محذوف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IF(L43="","",IF($AO$1=1,IFERROR(MATCH(L43,'10-تشرين الأول'!$L$2:$L$501,0),0),0))</f>
        <v/>
      </c>
      <c r="W43" t="str">
        <f t="shared" si="11"/>
        <v/>
      </c>
      <c r="X43" s="38" t="str">
        <f>IF(L43="","",IF(V43&gt;0,INDEX('10-تشرين الأول'!$P$2:$P$501,V43),IF($AO$1=1,0,"")))</f>
        <v/>
      </c>
      <c r="Y43" s="38" t="str">
        <f t="shared" si="12"/>
        <v/>
      </c>
      <c r="Z43" s="39" t="str">
        <f>IF(L43="","",IF(V43&gt;0,INDEX('10-تشرين الأول'!$Q$2:$Q$501,V43),IF($AO$1=1,0,"")))</f>
        <v/>
      </c>
      <c r="AA43" s="39" t="str">
        <f t="shared" si="13"/>
        <v/>
      </c>
      <c r="AB43" s="40" t="str">
        <f>IF(OR(L43="",V43=0),"",IF(AND(N(I43)&gt;0,N(INDEX('10-تشرين الأول'!$I$2:$I$501,V43))&gt;0,INDEX('10-تشرين الأول'!$F$2:$F$501,V43)=F43),N(I43)/N(INDEX('10-تشرين الأول'!$I$2:$I$501,V43))-1,""))</f>
        <v/>
      </c>
      <c r="AC43" t="str">
        <f>IF(L43="","",IF(AND($AO$2=1,ISNA(MATCH(L43,'12-كانون الأول'!$L$2:$L$501,0))),"محذوف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IF(L44="","",IF($AO$1=1,IFERROR(MATCH(L44,'10-تشرين الأول'!$L$2:$L$501,0),0),0))</f>
        <v/>
      </c>
      <c r="W44" t="str">
        <f t="shared" si="11"/>
        <v/>
      </c>
      <c r="X44" s="38" t="str">
        <f>IF(L44="","",IF(V44&gt;0,INDEX('10-تشرين الأول'!$P$2:$P$501,V44),IF($AO$1=1,0,"")))</f>
        <v/>
      </c>
      <c r="Y44" s="38" t="str">
        <f t="shared" si="12"/>
        <v/>
      </c>
      <c r="Z44" s="39" t="str">
        <f>IF(L44="","",IF(V44&gt;0,INDEX('10-تشرين الأول'!$Q$2:$Q$501,V44),IF($AO$1=1,0,"")))</f>
        <v/>
      </c>
      <c r="AA44" s="39" t="str">
        <f t="shared" si="13"/>
        <v/>
      </c>
      <c r="AB44" s="40" t="str">
        <f>IF(OR(L44="",V44=0),"",IF(AND(N(I44)&gt;0,N(INDEX('10-تشرين الأول'!$I$2:$I$501,V44))&gt;0,INDEX('10-تشرين الأول'!$F$2:$F$501,V44)=F44),N(I44)/N(INDEX('10-تشرين الأول'!$I$2:$I$501,V44))-1,""))</f>
        <v/>
      </c>
      <c r="AC44" t="str">
        <f>IF(L44="","",IF(AND($AO$2=1,ISNA(MATCH(L44,'12-كانون الأول'!$L$2:$L$501,0))),"محذوف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IF(L45="","",IF($AO$1=1,IFERROR(MATCH(L45,'10-تشرين الأول'!$L$2:$L$501,0),0),0))</f>
        <v/>
      </c>
      <c r="W45" t="str">
        <f t="shared" si="11"/>
        <v/>
      </c>
      <c r="X45" s="38" t="str">
        <f>IF(L45="","",IF(V45&gt;0,INDEX('10-تشرين الأول'!$P$2:$P$501,V45),IF($AO$1=1,0,"")))</f>
        <v/>
      </c>
      <c r="Y45" s="38" t="str">
        <f t="shared" si="12"/>
        <v/>
      </c>
      <c r="Z45" s="39" t="str">
        <f>IF(L45="","",IF(V45&gt;0,INDEX('10-تشرين الأول'!$Q$2:$Q$501,V45),IF($AO$1=1,0,"")))</f>
        <v/>
      </c>
      <c r="AA45" s="39" t="str">
        <f t="shared" si="13"/>
        <v/>
      </c>
      <c r="AB45" s="40" t="str">
        <f>IF(OR(L45="",V45=0),"",IF(AND(N(I45)&gt;0,N(INDEX('10-تشرين الأول'!$I$2:$I$501,V45))&gt;0,INDEX('10-تشرين الأول'!$F$2:$F$501,V45)=F45),N(I45)/N(INDEX('10-تشرين الأول'!$I$2:$I$501,V45))-1,""))</f>
        <v/>
      </c>
      <c r="AC45" t="str">
        <f>IF(L45="","",IF(AND($AO$2=1,ISNA(MATCH(L45,'12-كانون الأول'!$L$2:$L$501,0))),"محذوف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IF(L46="","",IF($AO$1=1,IFERROR(MATCH(L46,'10-تشرين الأول'!$L$2:$L$501,0),0),0))</f>
        <v/>
      </c>
      <c r="W46" t="str">
        <f t="shared" si="11"/>
        <v/>
      </c>
      <c r="X46" s="38" t="str">
        <f>IF(L46="","",IF(V46&gt;0,INDEX('10-تشرين الأول'!$P$2:$P$501,V46),IF($AO$1=1,0,"")))</f>
        <v/>
      </c>
      <c r="Y46" s="38" t="str">
        <f t="shared" si="12"/>
        <v/>
      </c>
      <c r="Z46" s="39" t="str">
        <f>IF(L46="","",IF(V46&gt;0,INDEX('10-تشرين الأول'!$Q$2:$Q$501,V46),IF($AO$1=1,0,"")))</f>
        <v/>
      </c>
      <c r="AA46" s="39" t="str">
        <f t="shared" si="13"/>
        <v/>
      </c>
      <c r="AB46" s="40" t="str">
        <f>IF(OR(L46="",V46=0),"",IF(AND(N(I46)&gt;0,N(INDEX('10-تشرين الأول'!$I$2:$I$501,V46))&gt;0,INDEX('10-تشرين الأول'!$F$2:$F$501,V46)=F46),N(I46)/N(INDEX('10-تشرين الأول'!$I$2:$I$501,V46))-1,""))</f>
        <v/>
      </c>
      <c r="AC46" t="str">
        <f>IF(L46="","",IF(AND($AO$2=1,ISNA(MATCH(L46,'12-كانون الأول'!$L$2:$L$501,0))),"محذوف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IF(L47="","",IF($AO$1=1,IFERROR(MATCH(L47,'10-تشرين الأول'!$L$2:$L$501,0),0),0))</f>
        <v/>
      </c>
      <c r="W47" t="str">
        <f t="shared" si="11"/>
        <v/>
      </c>
      <c r="X47" s="38" t="str">
        <f>IF(L47="","",IF(V47&gt;0,INDEX('10-تشرين الأول'!$P$2:$P$501,V47),IF($AO$1=1,0,"")))</f>
        <v/>
      </c>
      <c r="Y47" s="38" t="str">
        <f t="shared" si="12"/>
        <v/>
      </c>
      <c r="Z47" s="39" t="str">
        <f>IF(L47="","",IF(V47&gt;0,INDEX('10-تشرين الأول'!$Q$2:$Q$501,V47),IF($AO$1=1,0,"")))</f>
        <v/>
      </c>
      <c r="AA47" s="39" t="str">
        <f t="shared" si="13"/>
        <v/>
      </c>
      <c r="AB47" s="40" t="str">
        <f>IF(OR(L47="",V47=0),"",IF(AND(N(I47)&gt;0,N(INDEX('10-تشرين الأول'!$I$2:$I$501,V47))&gt;0,INDEX('10-تشرين الأول'!$F$2:$F$501,V47)=F47),N(I47)/N(INDEX('10-تشرين الأول'!$I$2:$I$501,V47))-1,""))</f>
        <v/>
      </c>
      <c r="AC47" t="str">
        <f>IF(L47="","",IF(AND($AO$2=1,ISNA(MATCH(L47,'12-كانون الأول'!$L$2:$L$501,0))),"محذوف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IF(L48="","",IF($AO$1=1,IFERROR(MATCH(L48,'10-تشرين الأول'!$L$2:$L$501,0),0),0))</f>
        <v/>
      </c>
      <c r="W48" t="str">
        <f t="shared" si="11"/>
        <v/>
      </c>
      <c r="X48" s="38" t="str">
        <f>IF(L48="","",IF(V48&gt;0,INDEX('10-تشرين الأول'!$P$2:$P$501,V48),IF($AO$1=1,0,"")))</f>
        <v/>
      </c>
      <c r="Y48" s="38" t="str">
        <f t="shared" si="12"/>
        <v/>
      </c>
      <c r="Z48" s="39" t="str">
        <f>IF(L48="","",IF(V48&gt;0,INDEX('10-تشرين الأول'!$Q$2:$Q$501,V48),IF($AO$1=1,0,"")))</f>
        <v/>
      </c>
      <c r="AA48" s="39" t="str">
        <f t="shared" si="13"/>
        <v/>
      </c>
      <c r="AB48" s="40" t="str">
        <f>IF(OR(L48="",V48=0),"",IF(AND(N(I48)&gt;0,N(INDEX('10-تشرين الأول'!$I$2:$I$501,V48))&gt;0,INDEX('10-تشرين الأول'!$F$2:$F$501,V48)=F48),N(I48)/N(INDEX('10-تشرين الأول'!$I$2:$I$501,V48))-1,""))</f>
        <v/>
      </c>
      <c r="AC48" t="str">
        <f>IF(L48="","",IF(AND($AO$2=1,ISNA(MATCH(L48,'12-كانون الأول'!$L$2:$L$501,0))),"محذوف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IF(L49="","",IF($AO$1=1,IFERROR(MATCH(L49,'10-تشرين الأول'!$L$2:$L$501,0),0),0))</f>
        <v/>
      </c>
      <c r="W49" t="str">
        <f t="shared" si="11"/>
        <v/>
      </c>
      <c r="X49" s="38" t="str">
        <f>IF(L49="","",IF(V49&gt;0,INDEX('10-تشرين الأول'!$P$2:$P$501,V49),IF($AO$1=1,0,"")))</f>
        <v/>
      </c>
      <c r="Y49" s="38" t="str">
        <f t="shared" si="12"/>
        <v/>
      </c>
      <c r="Z49" s="39" t="str">
        <f>IF(L49="","",IF(V49&gt;0,INDEX('10-تشرين الأول'!$Q$2:$Q$501,V49),IF($AO$1=1,0,"")))</f>
        <v/>
      </c>
      <c r="AA49" s="39" t="str">
        <f t="shared" si="13"/>
        <v/>
      </c>
      <c r="AB49" s="40" t="str">
        <f>IF(OR(L49="",V49=0),"",IF(AND(N(I49)&gt;0,N(INDEX('10-تشرين الأول'!$I$2:$I$501,V49))&gt;0,INDEX('10-تشرين الأول'!$F$2:$F$501,V49)=F49),N(I49)/N(INDEX('10-تشرين الأول'!$I$2:$I$501,V49))-1,""))</f>
        <v/>
      </c>
      <c r="AC49" t="str">
        <f>IF(L49="","",IF(AND($AO$2=1,ISNA(MATCH(L49,'12-كانون الأول'!$L$2:$L$501,0))),"محذوف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IF(L50="","",IF($AO$1=1,IFERROR(MATCH(L50,'10-تشرين الأول'!$L$2:$L$501,0),0),0))</f>
        <v/>
      </c>
      <c r="W50" t="str">
        <f t="shared" si="11"/>
        <v/>
      </c>
      <c r="X50" s="38" t="str">
        <f>IF(L50="","",IF(V50&gt;0,INDEX('10-تشرين الأول'!$P$2:$P$501,V50),IF($AO$1=1,0,"")))</f>
        <v/>
      </c>
      <c r="Y50" s="38" t="str">
        <f t="shared" si="12"/>
        <v/>
      </c>
      <c r="Z50" s="39" t="str">
        <f>IF(L50="","",IF(V50&gt;0,INDEX('10-تشرين الأول'!$Q$2:$Q$501,V50),IF($AO$1=1,0,"")))</f>
        <v/>
      </c>
      <c r="AA50" s="39" t="str">
        <f t="shared" si="13"/>
        <v/>
      </c>
      <c r="AB50" s="40" t="str">
        <f>IF(OR(L50="",V50=0),"",IF(AND(N(I50)&gt;0,N(INDEX('10-تشرين الأول'!$I$2:$I$501,V50))&gt;0,INDEX('10-تشرين الأول'!$F$2:$F$501,V50)=F50),N(I50)/N(INDEX('10-تشرين الأول'!$I$2:$I$501,V50))-1,""))</f>
        <v/>
      </c>
      <c r="AC50" t="str">
        <f>IF(L50="","",IF(AND($AO$2=1,ISNA(MATCH(L50,'12-كانون الأول'!$L$2:$L$501,0))),"محذوف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IF(L51="","",IF($AO$1=1,IFERROR(MATCH(L51,'10-تشرين الأول'!$L$2:$L$501,0),0),0))</f>
        <v/>
      </c>
      <c r="W51" t="str">
        <f t="shared" si="11"/>
        <v/>
      </c>
      <c r="X51" s="38" t="str">
        <f>IF(L51="","",IF(V51&gt;0,INDEX('10-تشرين الأول'!$P$2:$P$501,V51),IF($AO$1=1,0,"")))</f>
        <v/>
      </c>
      <c r="Y51" s="38" t="str">
        <f t="shared" si="12"/>
        <v/>
      </c>
      <c r="Z51" s="39" t="str">
        <f>IF(L51="","",IF(V51&gt;0,INDEX('10-تشرين الأول'!$Q$2:$Q$501,V51),IF($AO$1=1,0,"")))</f>
        <v/>
      </c>
      <c r="AA51" s="39" t="str">
        <f t="shared" si="13"/>
        <v/>
      </c>
      <c r="AB51" s="40" t="str">
        <f>IF(OR(L51="",V51=0),"",IF(AND(N(I51)&gt;0,N(INDEX('10-تشرين الأول'!$I$2:$I$501,V51))&gt;0,INDEX('10-تشرين الأول'!$F$2:$F$501,V51)=F51),N(I51)/N(INDEX('10-تشرين الأول'!$I$2:$I$501,V51))-1,""))</f>
        <v/>
      </c>
      <c r="AC51" t="str">
        <f>IF(L51="","",IF(AND($AO$2=1,ISNA(MATCH(L51,'12-كانون الأول'!$L$2:$L$501,0))),"محذوف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IF(L52="","",IF($AO$1=1,IFERROR(MATCH(L52,'10-تشرين الأول'!$L$2:$L$501,0),0),0))</f>
        <v/>
      </c>
      <c r="W52" t="str">
        <f t="shared" si="11"/>
        <v/>
      </c>
      <c r="X52" s="38" t="str">
        <f>IF(L52="","",IF(V52&gt;0,INDEX('10-تشرين الأول'!$P$2:$P$501,V52),IF($AO$1=1,0,"")))</f>
        <v/>
      </c>
      <c r="Y52" s="38" t="str">
        <f t="shared" si="12"/>
        <v/>
      </c>
      <c r="Z52" s="39" t="str">
        <f>IF(L52="","",IF(V52&gt;0,INDEX('10-تشرين الأول'!$Q$2:$Q$501,V52),IF($AO$1=1,0,"")))</f>
        <v/>
      </c>
      <c r="AA52" s="39" t="str">
        <f t="shared" si="13"/>
        <v/>
      </c>
      <c r="AB52" s="40" t="str">
        <f>IF(OR(L52="",V52=0),"",IF(AND(N(I52)&gt;0,N(INDEX('10-تشرين الأول'!$I$2:$I$501,V52))&gt;0,INDEX('10-تشرين الأول'!$F$2:$F$501,V52)=F52),N(I52)/N(INDEX('10-تشرين الأول'!$I$2:$I$501,V52))-1,""))</f>
        <v/>
      </c>
      <c r="AC52" t="str">
        <f>IF(L52="","",IF(AND($AO$2=1,ISNA(MATCH(L52,'12-كانون الأول'!$L$2:$L$501,0))),"محذوف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IF(L53="","",IF($AO$1=1,IFERROR(MATCH(L53,'10-تشرين الأول'!$L$2:$L$501,0),0),0))</f>
        <v/>
      </c>
      <c r="W53" t="str">
        <f t="shared" si="11"/>
        <v/>
      </c>
      <c r="X53" s="38" t="str">
        <f>IF(L53="","",IF(V53&gt;0,INDEX('10-تشرين الأول'!$P$2:$P$501,V53),IF($AO$1=1,0,"")))</f>
        <v/>
      </c>
      <c r="Y53" s="38" t="str">
        <f t="shared" si="12"/>
        <v/>
      </c>
      <c r="Z53" s="39" t="str">
        <f>IF(L53="","",IF(V53&gt;0,INDEX('10-تشرين الأول'!$Q$2:$Q$501,V53),IF($AO$1=1,0,"")))</f>
        <v/>
      </c>
      <c r="AA53" s="39" t="str">
        <f t="shared" si="13"/>
        <v/>
      </c>
      <c r="AB53" s="40" t="str">
        <f>IF(OR(L53="",V53=0),"",IF(AND(N(I53)&gt;0,N(INDEX('10-تشرين الأول'!$I$2:$I$501,V53))&gt;0,INDEX('10-تشرين الأول'!$F$2:$F$501,V53)=F53),N(I53)/N(INDEX('10-تشرين الأول'!$I$2:$I$501,V53))-1,""))</f>
        <v/>
      </c>
      <c r="AC53" t="str">
        <f>IF(L53="","",IF(AND($AO$2=1,ISNA(MATCH(L53,'12-كانون الأول'!$L$2:$L$501,0))),"محذوف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IF(L54="","",IF($AO$1=1,IFERROR(MATCH(L54,'10-تشرين الأول'!$L$2:$L$501,0),0),0))</f>
        <v/>
      </c>
      <c r="W54" t="str">
        <f t="shared" si="11"/>
        <v/>
      </c>
      <c r="X54" s="38" t="str">
        <f>IF(L54="","",IF(V54&gt;0,INDEX('10-تشرين الأول'!$P$2:$P$501,V54),IF($AO$1=1,0,"")))</f>
        <v/>
      </c>
      <c r="Y54" s="38" t="str">
        <f t="shared" si="12"/>
        <v/>
      </c>
      <c r="Z54" s="39" t="str">
        <f>IF(L54="","",IF(V54&gt;0,INDEX('10-تشرين الأول'!$Q$2:$Q$501,V54),IF($AO$1=1,0,"")))</f>
        <v/>
      </c>
      <c r="AA54" s="39" t="str">
        <f t="shared" si="13"/>
        <v/>
      </c>
      <c r="AB54" s="40" t="str">
        <f>IF(OR(L54="",V54=0),"",IF(AND(N(I54)&gt;0,N(INDEX('10-تشرين الأول'!$I$2:$I$501,V54))&gt;0,INDEX('10-تشرين الأول'!$F$2:$F$501,V54)=F54),N(I54)/N(INDEX('10-تشرين الأول'!$I$2:$I$501,V54))-1,""))</f>
        <v/>
      </c>
      <c r="AC54" t="str">
        <f>IF(L54="","",IF(AND($AO$2=1,ISNA(MATCH(L54,'12-كانون الأول'!$L$2:$L$501,0))),"محذوف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IF(L55="","",IF($AO$1=1,IFERROR(MATCH(L55,'10-تشرين الأول'!$L$2:$L$501,0),0),0))</f>
        <v/>
      </c>
      <c r="W55" t="str">
        <f t="shared" si="11"/>
        <v/>
      </c>
      <c r="X55" s="38" t="str">
        <f>IF(L55="","",IF(V55&gt;0,INDEX('10-تشرين الأول'!$P$2:$P$501,V55),IF($AO$1=1,0,"")))</f>
        <v/>
      </c>
      <c r="Y55" s="38" t="str">
        <f t="shared" si="12"/>
        <v/>
      </c>
      <c r="Z55" s="39" t="str">
        <f>IF(L55="","",IF(V55&gt;0,INDEX('10-تشرين الأول'!$Q$2:$Q$501,V55),IF($AO$1=1,0,"")))</f>
        <v/>
      </c>
      <c r="AA55" s="39" t="str">
        <f t="shared" si="13"/>
        <v/>
      </c>
      <c r="AB55" s="40" t="str">
        <f>IF(OR(L55="",V55=0),"",IF(AND(N(I55)&gt;0,N(INDEX('10-تشرين الأول'!$I$2:$I$501,V55))&gt;0,INDEX('10-تشرين الأول'!$F$2:$F$501,V55)=F55),N(I55)/N(INDEX('10-تشرين الأول'!$I$2:$I$501,V55))-1,""))</f>
        <v/>
      </c>
      <c r="AC55" t="str">
        <f>IF(L55="","",IF(AND($AO$2=1,ISNA(MATCH(L55,'12-كانون الأول'!$L$2:$L$501,0))),"محذوف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IF(L56="","",IF($AO$1=1,IFERROR(MATCH(L56,'10-تشرين الأول'!$L$2:$L$501,0),0),0))</f>
        <v/>
      </c>
      <c r="W56" t="str">
        <f t="shared" si="11"/>
        <v/>
      </c>
      <c r="X56" s="38" t="str">
        <f>IF(L56="","",IF(V56&gt;0,INDEX('10-تشرين الأول'!$P$2:$P$501,V56),IF($AO$1=1,0,"")))</f>
        <v/>
      </c>
      <c r="Y56" s="38" t="str">
        <f t="shared" si="12"/>
        <v/>
      </c>
      <c r="Z56" s="39" t="str">
        <f>IF(L56="","",IF(V56&gt;0,INDEX('10-تشرين الأول'!$Q$2:$Q$501,V56),IF($AO$1=1,0,"")))</f>
        <v/>
      </c>
      <c r="AA56" s="39" t="str">
        <f t="shared" si="13"/>
        <v/>
      </c>
      <c r="AB56" s="40" t="str">
        <f>IF(OR(L56="",V56=0),"",IF(AND(N(I56)&gt;0,N(INDEX('10-تشرين الأول'!$I$2:$I$501,V56))&gt;0,INDEX('10-تشرين الأول'!$F$2:$F$501,V56)=F56),N(I56)/N(INDEX('10-تشرين الأول'!$I$2:$I$501,V56))-1,""))</f>
        <v/>
      </c>
      <c r="AC56" t="str">
        <f>IF(L56="","",IF(AND($AO$2=1,ISNA(MATCH(L56,'12-كانون الأول'!$L$2:$L$501,0))),"محذوف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IF(L57="","",IF($AO$1=1,IFERROR(MATCH(L57,'10-تشرين الأول'!$L$2:$L$501,0),0),0))</f>
        <v/>
      </c>
      <c r="W57" t="str">
        <f t="shared" si="11"/>
        <v/>
      </c>
      <c r="X57" s="38" t="str">
        <f>IF(L57="","",IF(V57&gt;0,INDEX('10-تشرين الأول'!$P$2:$P$501,V57),IF($AO$1=1,0,"")))</f>
        <v/>
      </c>
      <c r="Y57" s="38" t="str">
        <f t="shared" si="12"/>
        <v/>
      </c>
      <c r="Z57" s="39" t="str">
        <f>IF(L57="","",IF(V57&gt;0,INDEX('10-تشرين الأول'!$Q$2:$Q$501,V57),IF($AO$1=1,0,"")))</f>
        <v/>
      </c>
      <c r="AA57" s="39" t="str">
        <f t="shared" si="13"/>
        <v/>
      </c>
      <c r="AB57" s="40" t="str">
        <f>IF(OR(L57="",V57=0),"",IF(AND(N(I57)&gt;0,N(INDEX('10-تشرين الأول'!$I$2:$I$501,V57))&gt;0,INDEX('10-تشرين الأول'!$F$2:$F$501,V57)=F57),N(I57)/N(INDEX('10-تشرين الأول'!$I$2:$I$501,V57))-1,""))</f>
        <v/>
      </c>
      <c r="AC57" t="str">
        <f>IF(L57="","",IF(AND($AO$2=1,ISNA(MATCH(L57,'12-كانون الأول'!$L$2:$L$501,0))),"محذوف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IF(L58="","",IF($AO$1=1,IFERROR(MATCH(L58,'10-تشرين الأول'!$L$2:$L$501,0),0),0))</f>
        <v/>
      </c>
      <c r="W58" t="str">
        <f t="shared" si="11"/>
        <v/>
      </c>
      <c r="X58" s="38" t="str">
        <f>IF(L58="","",IF(V58&gt;0,INDEX('10-تشرين الأول'!$P$2:$P$501,V58),IF($AO$1=1,0,"")))</f>
        <v/>
      </c>
      <c r="Y58" s="38" t="str">
        <f t="shared" si="12"/>
        <v/>
      </c>
      <c r="Z58" s="39" t="str">
        <f>IF(L58="","",IF(V58&gt;0,INDEX('10-تشرين الأول'!$Q$2:$Q$501,V58),IF($AO$1=1,0,"")))</f>
        <v/>
      </c>
      <c r="AA58" s="39" t="str">
        <f t="shared" si="13"/>
        <v/>
      </c>
      <c r="AB58" s="40" t="str">
        <f>IF(OR(L58="",V58=0),"",IF(AND(N(I58)&gt;0,N(INDEX('10-تشرين الأول'!$I$2:$I$501,V58))&gt;0,INDEX('10-تشرين الأول'!$F$2:$F$501,V58)=F58),N(I58)/N(INDEX('10-تشرين الأول'!$I$2:$I$501,V58))-1,""))</f>
        <v/>
      </c>
      <c r="AC58" t="str">
        <f>IF(L58="","",IF(AND($AO$2=1,ISNA(MATCH(L58,'12-كانون الأول'!$L$2:$L$501,0))),"محذوف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IF(L59="","",IF($AO$1=1,IFERROR(MATCH(L59,'10-تشرين الأول'!$L$2:$L$501,0),0),0))</f>
        <v/>
      </c>
      <c r="W59" t="str">
        <f t="shared" si="11"/>
        <v/>
      </c>
      <c r="X59" s="38" t="str">
        <f>IF(L59="","",IF(V59&gt;0,INDEX('10-تشرين الأول'!$P$2:$P$501,V59),IF($AO$1=1,0,"")))</f>
        <v/>
      </c>
      <c r="Y59" s="38" t="str">
        <f t="shared" si="12"/>
        <v/>
      </c>
      <c r="Z59" s="39" t="str">
        <f>IF(L59="","",IF(V59&gt;0,INDEX('10-تشرين الأول'!$Q$2:$Q$501,V59),IF($AO$1=1,0,"")))</f>
        <v/>
      </c>
      <c r="AA59" s="39" t="str">
        <f t="shared" si="13"/>
        <v/>
      </c>
      <c r="AB59" s="40" t="str">
        <f>IF(OR(L59="",V59=0),"",IF(AND(N(I59)&gt;0,N(INDEX('10-تشرين الأول'!$I$2:$I$501,V59))&gt;0,INDEX('10-تشرين الأول'!$F$2:$F$501,V59)=F59),N(I59)/N(INDEX('10-تشرين الأول'!$I$2:$I$501,V59))-1,""))</f>
        <v/>
      </c>
      <c r="AC59" t="str">
        <f>IF(L59="","",IF(AND($AO$2=1,ISNA(MATCH(L59,'12-كانون الأول'!$L$2:$L$501,0))),"محذوف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IF(L60="","",IF($AO$1=1,IFERROR(MATCH(L60,'10-تشرين الأول'!$L$2:$L$501,0),0),0))</f>
        <v/>
      </c>
      <c r="W60" t="str">
        <f t="shared" si="11"/>
        <v/>
      </c>
      <c r="X60" s="38" t="str">
        <f>IF(L60="","",IF(V60&gt;0,INDEX('10-تشرين الأول'!$P$2:$P$501,V60),IF($AO$1=1,0,"")))</f>
        <v/>
      </c>
      <c r="Y60" s="38" t="str">
        <f t="shared" si="12"/>
        <v/>
      </c>
      <c r="Z60" s="39" t="str">
        <f>IF(L60="","",IF(V60&gt;0,INDEX('10-تشرين الأول'!$Q$2:$Q$501,V60),IF($AO$1=1,0,"")))</f>
        <v/>
      </c>
      <c r="AA60" s="39" t="str">
        <f t="shared" si="13"/>
        <v/>
      </c>
      <c r="AB60" s="40" t="str">
        <f>IF(OR(L60="",V60=0),"",IF(AND(N(I60)&gt;0,N(INDEX('10-تشرين الأول'!$I$2:$I$501,V60))&gt;0,INDEX('10-تشرين الأول'!$F$2:$F$501,V60)=F60),N(I60)/N(INDEX('10-تشرين الأول'!$I$2:$I$501,V60))-1,""))</f>
        <v/>
      </c>
      <c r="AC60" t="str">
        <f>IF(L60="","",IF(AND($AO$2=1,ISNA(MATCH(L60,'12-كانون الأول'!$L$2:$L$501,0))),"محذوف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IF(L61="","",IF($AO$1=1,IFERROR(MATCH(L61,'10-تشرين الأول'!$L$2:$L$501,0),0),0))</f>
        <v/>
      </c>
      <c r="W61" t="str">
        <f t="shared" si="11"/>
        <v/>
      </c>
      <c r="X61" s="38" t="str">
        <f>IF(L61="","",IF(V61&gt;0,INDEX('10-تشرين الأول'!$P$2:$P$501,V61),IF($AO$1=1,0,"")))</f>
        <v/>
      </c>
      <c r="Y61" s="38" t="str">
        <f t="shared" si="12"/>
        <v/>
      </c>
      <c r="Z61" s="39" t="str">
        <f>IF(L61="","",IF(V61&gt;0,INDEX('10-تشرين الأول'!$Q$2:$Q$501,V61),IF($AO$1=1,0,"")))</f>
        <v/>
      </c>
      <c r="AA61" s="39" t="str">
        <f t="shared" si="13"/>
        <v/>
      </c>
      <c r="AB61" s="40" t="str">
        <f>IF(OR(L61="",V61=0),"",IF(AND(N(I61)&gt;0,N(INDEX('10-تشرين الأول'!$I$2:$I$501,V61))&gt;0,INDEX('10-تشرين الأول'!$F$2:$F$501,V61)=F61),N(I61)/N(INDEX('10-تشرين الأول'!$I$2:$I$501,V61))-1,""))</f>
        <v/>
      </c>
      <c r="AC61" t="str">
        <f>IF(L61="","",IF(AND($AO$2=1,ISNA(MATCH(L61,'12-كانون الأول'!$L$2:$L$501,0))),"محذوف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IF(L62="","",IF($AO$1=1,IFERROR(MATCH(L62,'10-تشرين الأول'!$L$2:$L$501,0),0),0))</f>
        <v/>
      </c>
      <c r="W62" t="str">
        <f t="shared" si="11"/>
        <v/>
      </c>
      <c r="X62" s="38" t="str">
        <f>IF(L62="","",IF(V62&gt;0,INDEX('10-تشرين الأول'!$P$2:$P$501,V62),IF($AO$1=1,0,"")))</f>
        <v/>
      </c>
      <c r="Y62" s="38" t="str">
        <f t="shared" si="12"/>
        <v/>
      </c>
      <c r="Z62" s="39" t="str">
        <f>IF(L62="","",IF(V62&gt;0,INDEX('10-تشرين الأول'!$Q$2:$Q$501,V62),IF($AO$1=1,0,"")))</f>
        <v/>
      </c>
      <c r="AA62" s="39" t="str">
        <f t="shared" si="13"/>
        <v/>
      </c>
      <c r="AB62" s="40" t="str">
        <f>IF(OR(L62="",V62=0),"",IF(AND(N(I62)&gt;0,N(INDEX('10-تشرين الأول'!$I$2:$I$501,V62))&gt;0,INDEX('10-تشرين الأول'!$F$2:$F$501,V62)=F62),N(I62)/N(INDEX('10-تشرين الأول'!$I$2:$I$501,V62))-1,""))</f>
        <v/>
      </c>
      <c r="AC62" t="str">
        <f>IF(L62="","",IF(AND($AO$2=1,ISNA(MATCH(L62,'12-كانون الأول'!$L$2:$L$501,0))),"محذوف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IF(L63="","",IF($AO$1=1,IFERROR(MATCH(L63,'10-تشرين الأول'!$L$2:$L$501,0),0),0))</f>
        <v/>
      </c>
      <c r="W63" t="str">
        <f t="shared" si="11"/>
        <v/>
      </c>
      <c r="X63" s="38" t="str">
        <f>IF(L63="","",IF(V63&gt;0,INDEX('10-تشرين الأول'!$P$2:$P$501,V63),IF($AO$1=1,0,"")))</f>
        <v/>
      </c>
      <c r="Y63" s="38" t="str">
        <f t="shared" si="12"/>
        <v/>
      </c>
      <c r="Z63" s="39" t="str">
        <f>IF(L63="","",IF(V63&gt;0,INDEX('10-تشرين الأول'!$Q$2:$Q$501,V63),IF($AO$1=1,0,"")))</f>
        <v/>
      </c>
      <c r="AA63" s="39" t="str">
        <f t="shared" si="13"/>
        <v/>
      </c>
      <c r="AB63" s="40" t="str">
        <f>IF(OR(L63="",V63=0),"",IF(AND(N(I63)&gt;0,N(INDEX('10-تشرين الأول'!$I$2:$I$501,V63))&gt;0,INDEX('10-تشرين الأول'!$F$2:$F$501,V63)=F63),N(I63)/N(INDEX('10-تشرين الأول'!$I$2:$I$501,V63))-1,""))</f>
        <v/>
      </c>
      <c r="AC63" t="str">
        <f>IF(L63="","",IF(AND($AO$2=1,ISNA(MATCH(L63,'12-كانون الأول'!$L$2:$L$501,0))),"محذوف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IF(L64="","",IF($AO$1=1,IFERROR(MATCH(L64,'10-تشرين الأول'!$L$2:$L$501,0),0),0))</f>
        <v/>
      </c>
      <c r="W64" t="str">
        <f t="shared" si="11"/>
        <v/>
      </c>
      <c r="X64" s="38" t="str">
        <f>IF(L64="","",IF(V64&gt;0,INDEX('10-تشرين الأول'!$P$2:$P$501,V64),IF($AO$1=1,0,"")))</f>
        <v/>
      </c>
      <c r="Y64" s="38" t="str">
        <f t="shared" si="12"/>
        <v/>
      </c>
      <c r="Z64" s="39" t="str">
        <f>IF(L64="","",IF(V64&gt;0,INDEX('10-تشرين الأول'!$Q$2:$Q$501,V64),IF($AO$1=1,0,"")))</f>
        <v/>
      </c>
      <c r="AA64" s="39" t="str">
        <f t="shared" si="13"/>
        <v/>
      </c>
      <c r="AB64" s="40" t="str">
        <f>IF(OR(L64="",V64=0),"",IF(AND(N(I64)&gt;0,N(INDEX('10-تشرين الأول'!$I$2:$I$501,V64))&gt;0,INDEX('10-تشرين الأول'!$F$2:$F$501,V64)=F64),N(I64)/N(INDEX('10-تشرين الأول'!$I$2:$I$501,V64))-1,""))</f>
        <v/>
      </c>
      <c r="AC64" t="str">
        <f>IF(L64="","",IF(AND($AO$2=1,ISNA(MATCH(L64,'12-كانون الأول'!$L$2:$L$501,0))),"محذوف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IF(L65="","",IF($AO$1=1,IFERROR(MATCH(L65,'10-تشرين الأول'!$L$2:$L$501,0),0),0))</f>
        <v/>
      </c>
      <c r="W65" t="str">
        <f t="shared" si="11"/>
        <v/>
      </c>
      <c r="X65" s="38" t="str">
        <f>IF(L65="","",IF(V65&gt;0,INDEX('10-تشرين الأول'!$P$2:$P$501,V65),IF($AO$1=1,0,"")))</f>
        <v/>
      </c>
      <c r="Y65" s="38" t="str">
        <f t="shared" si="12"/>
        <v/>
      </c>
      <c r="Z65" s="39" t="str">
        <f>IF(L65="","",IF(V65&gt;0,INDEX('10-تشرين الأول'!$Q$2:$Q$501,V65),IF($AO$1=1,0,"")))</f>
        <v/>
      </c>
      <c r="AA65" s="39" t="str">
        <f t="shared" si="13"/>
        <v/>
      </c>
      <c r="AB65" s="40" t="str">
        <f>IF(OR(L65="",V65=0),"",IF(AND(N(I65)&gt;0,N(INDEX('10-تشرين الأول'!$I$2:$I$501,V65))&gt;0,INDEX('10-تشرين الأول'!$F$2:$F$501,V65)=F65),N(I65)/N(INDEX('10-تشرين الأول'!$I$2:$I$501,V65))-1,""))</f>
        <v/>
      </c>
      <c r="AC65" t="str">
        <f>IF(L65="","",IF(AND($AO$2=1,ISNA(MATCH(L65,'12-كانون الأول'!$L$2:$L$501,0))),"محذوف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IF(L66="","",IF($AO$1=1,IFERROR(MATCH(L66,'10-تشرين الأول'!$L$2:$L$501,0),0),0))</f>
        <v/>
      </c>
      <c r="W66" t="str">
        <f t="shared" ref="W66:W129" si="31">IF(L66="","",IF(AND($AO$1=1,V66=0),"جديد",""))</f>
        <v/>
      </c>
      <c r="X66" s="38" t="str">
        <f>IF(L66="","",IF(V66&gt;0,INDEX('10-تشرين الأول'!$P$2:$P$501,V66),IF($AO$1=1,0,"")))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IF(L66="","",IF(V66&gt;0,INDEX('10-تشرين الأول'!$Q$2:$Q$501,V66),IF($AO$1=1,0,"")))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IF(OR(L66="",V66=0),"",IF(AND(N(I66)&gt;0,N(INDEX('10-تشرين الأول'!$I$2:$I$501,V66))&gt;0,INDEX('10-تشرين الأول'!$F$2:$F$501,V66)=F66),N(I66)/N(INDEX('10-تشرين الأول'!$I$2:$I$501,V66))-1,""))</f>
        <v/>
      </c>
      <c r="AC66" t="str">
        <f>IF(L66="","",IF(AND($AO$2=1,ISNA(MATCH(L66,'12-كانون الأول'!$L$2:$L$501,0))),"محذوف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IF(L67="","",IF($AO$1=1,IFERROR(MATCH(L67,'10-تشرين الأول'!$L$2:$L$501,0),0),0))</f>
        <v/>
      </c>
      <c r="W67" t="str">
        <f t="shared" si="31"/>
        <v/>
      </c>
      <c r="X67" s="38" t="str">
        <f>IF(L67="","",IF(V67&gt;0,INDEX('10-تشرين الأول'!$P$2:$P$501,V67),IF($AO$1=1,0,"")))</f>
        <v/>
      </c>
      <c r="Y67" s="38" t="str">
        <f t="shared" si="32"/>
        <v/>
      </c>
      <c r="Z67" s="39" t="str">
        <f>IF(L67="","",IF(V67&gt;0,INDEX('10-تشرين الأول'!$Q$2:$Q$501,V67),IF($AO$1=1,0,"")))</f>
        <v/>
      </c>
      <c r="AA67" s="39" t="str">
        <f t="shared" si="33"/>
        <v/>
      </c>
      <c r="AB67" s="40" t="str">
        <f>IF(OR(L67="",V67=0),"",IF(AND(N(I67)&gt;0,N(INDEX('10-تشرين الأول'!$I$2:$I$501,V67))&gt;0,INDEX('10-تشرين الأول'!$F$2:$F$501,V67)=F67),N(I67)/N(INDEX('10-تشرين الأول'!$I$2:$I$501,V67))-1,""))</f>
        <v/>
      </c>
      <c r="AC67" t="str">
        <f>IF(L67="","",IF(AND($AO$2=1,ISNA(MATCH(L67,'12-كانون الأول'!$L$2:$L$501,0))),"محذوف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IF(L68="","",IF($AO$1=1,IFERROR(MATCH(L68,'10-تشرين الأول'!$L$2:$L$501,0),0),0))</f>
        <v/>
      </c>
      <c r="W68" t="str">
        <f t="shared" si="31"/>
        <v/>
      </c>
      <c r="X68" s="38" t="str">
        <f>IF(L68="","",IF(V68&gt;0,INDEX('10-تشرين الأول'!$P$2:$P$501,V68),IF($AO$1=1,0,"")))</f>
        <v/>
      </c>
      <c r="Y68" s="38" t="str">
        <f t="shared" si="32"/>
        <v/>
      </c>
      <c r="Z68" s="39" t="str">
        <f>IF(L68="","",IF(V68&gt;0,INDEX('10-تشرين الأول'!$Q$2:$Q$501,V68),IF($AO$1=1,0,"")))</f>
        <v/>
      </c>
      <c r="AA68" s="39" t="str">
        <f t="shared" si="33"/>
        <v/>
      </c>
      <c r="AB68" s="40" t="str">
        <f>IF(OR(L68="",V68=0),"",IF(AND(N(I68)&gt;0,N(INDEX('10-تشرين الأول'!$I$2:$I$501,V68))&gt;0,INDEX('10-تشرين الأول'!$F$2:$F$501,V68)=F68),N(I68)/N(INDEX('10-تشرين الأول'!$I$2:$I$501,V68))-1,""))</f>
        <v/>
      </c>
      <c r="AC68" t="str">
        <f>IF(L68="","",IF(AND($AO$2=1,ISNA(MATCH(L68,'12-كانون الأول'!$L$2:$L$501,0))),"محذوف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IF(L69="","",IF($AO$1=1,IFERROR(MATCH(L69,'10-تشرين الأول'!$L$2:$L$501,0),0),0))</f>
        <v/>
      </c>
      <c r="W69" t="str">
        <f t="shared" si="31"/>
        <v/>
      </c>
      <c r="X69" s="38" t="str">
        <f>IF(L69="","",IF(V69&gt;0,INDEX('10-تشرين الأول'!$P$2:$P$501,V69),IF($AO$1=1,0,"")))</f>
        <v/>
      </c>
      <c r="Y69" s="38" t="str">
        <f t="shared" si="32"/>
        <v/>
      </c>
      <c r="Z69" s="39" t="str">
        <f>IF(L69="","",IF(V69&gt;0,INDEX('10-تشرين الأول'!$Q$2:$Q$501,V69),IF($AO$1=1,0,"")))</f>
        <v/>
      </c>
      <c r="AA69" s="39" t="str">
        <f t="shared" si="33"/>
        <v/>
      </c>
      <c r="AB69" s="40" t="str">
        <f>IF(OR(L69="",V69=0),"",IF(AND(N(I69)&gt;0,N(INDEX('10-تشرين الأول'!$I$2:$I$501,V69))&gt;0,INDEX('10-تشرين الأول'!$F$2:$F$501,V69)=F69),N(I69)/N(INDEX('10-تشرين الأول'!$I$2:$I$501,V69))-1,""))</f>
        <v/>
      </c>
      <c r="AC69" t="str">
        <f>IF(L69="","",IF(AND($AO$2=1,ISNA(MATCH(L69,'12-كانون الأول'!$L$2:$L$501,0))),"محذوف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IF(L70="","",IF($AO$1=1,IFERROR(MATCH(L70,'10-تشرين الأول'!$L$2:$L$501,0),0),0))</f>
        <v/>
      </c>
      <c r="W70" t="str">
        <f t="shared" si="31"/>
        <v/>
      </c>
      <c r="X70" s="38" t="str">
        <f>IF(L70="","",IF(V70&gt;0,INDEX('10-تشرين الأول'!$P$2:$P$501,V70),IF($AO$1=1,0,"")))</f>
        <v/>
      </c>
      <c r="Y70" s="38" t="str">
        <f t="shared" si="32"/>
        <v/>
      </c>
      <c r="Z70" s="39" t="str">
        <f>IF(L70="","",IF(V70&gt;0,INDEX('10-تشرين الأول'!$Q$2:$Q$501,V70),IF($AO$1=1,0,"")))</f>
        <v/>
      </c>
      <c r="AA70" s="39" t="str">
        <f t="shared" si="33"/>
        <v/>
      </c>
      <c r="AB70" s="40" t="str">
        <f>IF(OR(L70="",V70=0),"",IF(AND(N(I70)&gt;0,N(INDEX('10-تشرين الأول'!$I$2:$I$501,V70))&gt;0,INDEX('10-تشرين الأول'!$F$2:$F$501,V70)=F70),N(I70)/N(INDEX('10-تشرين الأول'!$I$2:$I$501,V70))-1,""))</f>
        <v/>
      </c>
      <c r="AC70" t="str">
        <f>IF(L70="","",IF(AND($AO$2=1,ISNA(MATCH(L70,'12-كانون الأول'!$L$2:$L$501,0))),"محذوف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IF(L71="","",IF($AO$1=1,IFERROR(MATCH(L71,'10-تشرين الأول'!$L$2:$L$501,0),0),0))</f>
        <v/>
      </c>
      <c r="W71" t="str">
        <f t="shared" si="31"/>
        <v/>
      </c>
      <c r="X71" s="38" t="str">
        <f>IF(L71="","",IF(V71&gt;0,INDEX('10-تشرين الأول'!$P$2:$P$501,V71),IF($AO$1=1,0,"")))</f>
        <v/>
      </c>
      <c r="Y71" s="38" t="str">
        <f t="shared" si="32"/>
        <v/>
      </c>
      <c r="Z71" s="39" t="str">
        <f>IF(L71="","",IF(V71&gt;0,INDEX('10-تشرين الأول'!$Q$2:$Q$501,V71),IF($AO$1=1,0,"")))</f>
        <v/>
      </c>
      <c r="AA71" s="39" t="str">
        <f t="shared" si="33"/>
        <v/>
      </c>
      <c r="AB71" s="40" t="str">
        <f>IF(OR(L71="",V71=0),"",IF(AND(N(I71)&gt;0,N(INDEX('10-تشرين الأول'!$I$2:$I$501,V71))&gt;0,INDEX('10-تشرين الأول'!$F$2:$F$501,V71)=F71),N(I71)/N(INDEX('10-تشرين الأول'!$I$2:$I$501,V71))-1,""))</f>
        <v/>
      </c>
      <c r="AC71" t="str">
        <f>IF(L71="","",IF(AND($AO$2=1,ISNA(MATCH(L71,'12-كانون الأول'!$L$2:$L$501,0))),"محذوف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IF(L72="","",IF($AO$1=1,IFERROR(MATCH(L72,'10-تشرين الأول'!$L$2:$L$501,0),0),0))</f>
        <v/>
      </c>
      <c r="W72" t="str">
        <f t="shared" si="31"/>
        <v/>
      </c>
      <c r="X72" s="38" t="str">
        <f>IF(L72="","",IF(V72&gt;0,INDEX('10-تشرين الأول'!$P$2:$P$501,V72),IF($AO$1=1,0,"")))</f>
        <v/>
      </c>
      <c r="Y72" s="38" t="str">
        <f t="shared" si="32"/>
        <v/>
      </c>
      <c r="Z72" s="39" t="str">
        <f>IF(L72="","",IF(V72&gt;0,INDEX('10-تشرين الأول'!$Q$2:$Q$501,V72),IF($AO$1=1,0,"")))</f>
        <v/>
      </c>
      <c r="AA72" s="39" t="str">
        <f t="shared" si="33"/>
        <v/>
      </c>
      <c r="AB72" s="40" t="str">
        <f>IF(OR(L72="",V72=0),"",IF(AND(N(I72)&gt;0,N(INDEX('10-تشرين الأول'!$I$2:$I$501,V72))&gt;0,INDEX('10-تشرين الأول'!$F$2:$F$501,V72)=F72),N(I72)/N(INDEX('10-تشرين الأول'!$I$2:$I$501,V72))-1,""))</f>
        <v/>
      </c>
      <c r="AC72" t="str">
        <f>IF(L72="","",IF(AND($AO$2=1,ISNA(MATCH(L72,'12-كانون الأول'!$L$2:$L$501,0))),"محذوف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IF(L73="","",IF($AO$1=1,IFERROR(MATCH(L73,'10-تشرين الأول'!$L$2:$L$501,0),0),0))</f>
        <v/>
      </c>
      <c r="W73" t="str">
        <f t="shared" si="31"/>
        <v/>
      </c>
      <c r="X73" s="38" t="str">
        <f>IF(L73="","",IF(V73&gt;0,INDEX('10-تشرين الأول'!$P$2:$P$501,V73),IF($AO$1=1,0,"")))</f>
        <v/>
      </c>
      <c r="Y73" s="38" t="str">
        <f t="shared" si="32"/>
        <v/>
      </c>
      <c r="Z73" s="39" t="str">
        <f>IF(L73="","",IF(V73&gt;0,INDEX('10-تشرين الأول'!$Q$2:$Q$501,V73),IF($AO$1=1,0,"")))</f>
        <v/>
      </c>
      <c r="AA73" s="39" t="str">
        <f t="shared" si="33"/>
        <v/>
      </c>
      <c r="AB73" s="40" t="str">
        <f>IF(OR(L73="",V73=0),"",IF(AND(N(I73)&gt;0,N(INDEX('10-تشرين الأول'!$I$2:$I$501,V73))&gt;0,INDEX('10-تشرين الأول'!$F$2:$F$501,V73)=F73),N(I73)/N(INDEX('10-تشرين الأول'!$I$2:$I$501,V73))-1,""))</f>
        <v/>
      </c>
      <c r="AC73" t="str">
        <f>IF(L73="","",IF(AND($AO$2=1,ISNA(MATCH(L73,'12-كانون الأول'!$L$2:$L$501,0))),"محذوف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IF(L74="","",IF($AO$1=1,IFERROR(MATCH(L74,'10-تشرين الأول'!$L$2:$L$501,0),0),0))</f>
        <v/>
      </c>
      <c r="W74" t="str">
        <f t="shared" si="31"/>
        <v/>
      </c>
      <c r="X74" s="38" t="str">
        <f>IF(L74="","",IF(V74&gt;0,INDEX('10-تشرين الأول'!$P$2:$P$501,V74),IF($AO$1=1,0,"")))</f>
        <v/>
      </c>
      <c r="Y74" s="38" t="str">
        <f t="shared" si="32"/>
        <v/>
      </c>
      <c r="Z74" s="39" t="str">
        <f>IF(L74="","",IF(V74&gt;0,INDEX('10-تشرين الأول'!$Q$2:$Q$501,V74),IF($AO$1=1,0,"")))</f>
        <v/>
      </c>
      <c r="AA74" s="39" t="str">
        <f t="shared" si="33"/>
        <v/>
      </c>
      <c r="AB74" s="40" t="str">
        <f>IF(OR(L74="",V74=0),"",IF(AND(N(I74)&gt;0,N(INDEX('10-تشرين الأول'!$I$2:$I$501,V74))&gt;0,INDEX('10-تشرين الأول'!$F$2:$F$501,V74)=F74),N(I74)/N(INDEX('10-تشرين الأول'!$I$2:$I$501,V74))-1,""))</f>
        <v/>
      </c>
      <c r="AC74" t="str">
        <f>IF(L74="","",IF(AND($AO$2=1,ISNA(MATCH(L74,'12-كانون الأول'!$L$2:$L$501,0))),"محذوف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IF(L75="","",IF($AO$1=1,IFERROR(MATCH(L75,'10-تشرين الأول'!$L$2:$L$501,0),0),0))</f>
        <v/>
      </c>
      <c r="W75" t="str">
        <f t="shared" si="31"/>
        <v/>
      </c>
      <c r="X75" s="38" t="str">
        <f>IF(L75="","",IF(V75&gt;0,INDEX('10-تشرين الأول'!$P$2:$P$501,V75),IF($AO$1=1,0,"")))</f>
        <v/>
      </c>
      <c r="Y75" s="38" t="str">
        <f t="shared" si="32"/>
        <v/>
      </c>
      <c r="Z75" s="39" t="str">
        <f>IF(L75="","",IF(V75&gt;0,INDEX('10-تشرين الأول'!$Q$2:$Q$501,V75),IF($AO$1=1,0,"")))</f>
        <v/>
      </c>
      <c r="AA75" s="39" t="str">
        <f t="shared" si="33"/>
        <v/>
      </c>
      <c r="AB75" s="40" t="str">
        <f>IF(OR(L75="",V75=0),"",IF(AND(N(I75)&gt;0,N(INDEX('10-تشرين الأول'!$I$2:$I$501,V75))&gt;0,INDEX('10-تشرين الأول'!$F$2:$F$501,V75)=F75),N(I75)/N(INDEX('10-تشرين الأول'!$I$2:$I$501,V75))-1,""))</f>
        <v/>
      </c>
      <c r="AC75" t="str">
        <f>IF(L75="","",IF(AND($AO$2=1,ISNA(MATCH(L75,'12-كانون الأول'!$L$2:$L$501,0))),"محذوف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IF(L76="","",IF($AO$1=1,IFERROR(MATCH(L76,'10-تشرين الأول'!$L$2:$L$501,0),0),0))</f>
        <v/>
      </c>
      <c r="W76" t="str">
        <f t="shared" si="31"/>
        <v/>
      </c>
      <c r="X76" s="38" t="str">
        <f>IF(L76="","",IF(V76&gt;0,INDEX('10-تشرين الأول'!$P$2:$P$501,V76),IF($AO$1=1,0,"")))</f>
        <v/>
      </c>
      <c r="Y76" s="38" t="str">
        <f t="shared" si="32"/>
        <v/>
      </c>
      <c r="Z76" s="39" t="str">
        <f>IF(L76="","",IF(V76&gt;0,INDEX('10-تشرين الأول'!$Q$2:$Q$501,V76),IF($AO$1=1,0,"")))</f>
        <v/>
      </c>
      <c r="AA76" s="39" t="str">
        <f t="shared" si="33"/>
        <v/>
      </c>
      <c r="AB76" s="40" t="str">
        <f>IF(OR(L76="",V76=0),"",IF(AND(N(I76)&gt;0,N(INDEX('10-تشرين الأول'!$I$2:$I$501,V76))&gt;0,INDEX('10-تشرين الأول'!$F$2:$F$501,V76)=F76),N(I76)/N(INDEX('10-تشرين الأول'!$I$2:$I$501,V76))-1,""))</f>
        <v/>
      </c>
      <c r="AC76" t="str">
        <f>IF(L76="","",IF(AND($AO$2=1,ISNA(MATCH(L76,'12-كانون الأول'!$L$2:$L$501,0))),"محذوف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IF(L77="","",IF($AO$1=1,IFERROR(MATCH(L77,'10-تشرين الأول'!$L$2:$L$501,0),0),0))</f>
        <v/>
      </c>
      <c r="W77" t="str">
        <f t="shared" si="31"/>
        <v/>
      </c>
      <c r="X77" s="38" t="str">
        <f>IF(L77="","",IF(V77&gt;0,INDEX('10-تشرين الأول'!$P$2:$P$501,V77),IF($AO$1=1,0,"")))</f>
        <v/>
      </c>
      <c r="Y77" s="38" t="str">
        <f t="shared" si="32"/>
        <v/>
      </c>
      <c r="Z77" s="39" t="str">
        <f>IF(L77="","",IF(V77&gt;0,INDEX('10-تشرين الأول'!$Q$2:$Q$501,V77),IF($AO$1=1,0,"")))</f>
        <v/>
      </c>
      <c r="AA77" s="39" t="str">
        <f t="shared" si="33"/>
        <v/>
      </c>
      <c r="AB77" s="40" t="str">
        <f>IF(OR(L77="",V77=0),"",IF(AND(N(I77)&gt;0,N(INDEX('10-تشرين الأول'!$I$2:$I$501,V77))&gt;0,INDEX('10-تشرين الأول'!$F$2:$F$501,V77)=F77),N(I77)/N(INDEX('10-تشرين الأول'!$I$2:$I$501,V77))-1,""))</f>
        <v/>
      </c>
      <c r="AC77" t="str">
        <f>IF(L77="","",IF(AND($AO$2=1,ISNA(MATCH(L77,'12-كانون الأول'!$L$2:$L$501,0))),"محذوف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IF(L78="","",IF($AO$1=1,IFERROR(MATCH(L78,'10-تشرين الأول'!$L$2:$L$501,0),0),0))</f>
        <v/>
      </c>
      <c r="W78" t="str">
        <f t="shared" si="31"/>
        <v/>
      </c>
      <c r="X78" s="38" t="str">
        <f>IF(L78="","",IF(V78&gt;0,INDEX('10-تشرين الأول'!$P$2:$P$501,V78),IF($AO$1=1,0,"")))</f>
        <v/>
      </c>
      <c r="Y78" s="38" t="str">
        <f t="shared" si="32"/>
        <v/>
      </c>
      <c r="Z78" s="39" t="str">
        <f>IF(L78="","",IF(V78&gt;0,INDEX('10-تشرين الأول'!$Q$2:$Q$501,V78),IF($AO$1=1,0,"")))</f>
        <v/>
      </c>
      <c r="AA78" s="39" t="str">
        <f t="shared" si="33"/>
        <v/>
      </c>
      <c r="AB78" s="40" t="str">
        <f>IF(OR(L78="",V78=0),"",IF(AND(N(I78)&gt;0,N(INDEX('10-تشرين الأول'!$I$2:$I$501,V78))&gt;0,INDEX('10-تشرين الأول'!$F$2:$F$501,V78)=F78),N(I78)/N(INDEX('10-تشرين الأول'!$I$2:$I$501,V78))-1,""))</f>
        <v/>
      </c>
      <c r="AC78" t="str">
        <f>IF(L78="","",IF(AND($AO$2=1,ISNA(MATCH(L78,'12-كانون الأول'!$L$2:$L$501,0))),"محذوف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IF(L79="","",IF($AO$1=1,IFERROR(MATCH(L79,'10-تشرين الأول'!$L$2:$L$501,0),0),0))</f>
        <v/>
      </c>
      <c r="W79" t="str">
        <f t="shared" si="31"/>
        <v/>
      </c>
      <c r="X79" s="38" t="str">
        <f>IF(L79="","",IF(V79&gt;0,INDEX('10-تشرين الأول'!$P$2:$P$501,V79),IF($AO$1=1,0,"")))</f>
        <v/>
      </c>
      <c r="Y79" s="38" t="str">
        <f t="shared" si="32"/>
        <v/>
      </c>
      <c r="Z79" s="39" t="str">
        <f>IF(L79="","",IF(V79&gt;0,INDEX('10-تشرين الأول'!$Q$2:$Q$501,V79),IF($AO$1=1,0,"")))</f>
        <v/>
      </c>
      <c r="AA79" s="39" t="str">
        <f t="shared" si="33"/>
        <v/>
      </c>
      <c r="AB79" s="40" t="str">
        <f>IF(OR(L79="",V79=0),"",IF(AND(N(I79)&gt;0,N(INDEX('10-تشرين الأول'!$I$2:$I$501,V79))&gt;0,INDEX('10-تشرين الأول'!$F$2:$F$501,V79)=F79),N(I79)/N(INDEX('10-تشرين الأول'!$I$2:$I$501,V79))-1,""))</f>
        <v/>
      </c>
      <c r="AC79" t="str">
        <f>IF(L79="","",IF(AND($AO$2=1,ISNA(MATCH(L79,'12-كانون الأول'!$L$2:$L$501,0))),"محذوف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IF(L80="","",IF($AO$1=1,IFERROR(MATCH(L80,'10-تشرين الأول'!$L$2:$L$501,0),0),0))</f>
        <v/>
      </c>
      <c r="W80" t="str">
        <f t="shared" si="31"/>
        <v/>
      </c>
      <c r="X80" s="38" t="str">
        <f>IF(L80="","",IF(V80&gt;0,INDEX('10-تشرين الأول'!$P$2:$P$501,V80),IF($AO$1=1,0,"")))</f>
        <v/>
      </c>
      <c r="Y80" s="38" t="str">
        <f t="shared" si="32"/>
        <v/>
      </c>
      <c r="Z80" s="39" t="str">
        <f>IF(L80="","",IF(V80&gt;0,INDEX('10-تشرين الأول'!$Q$2:$Q$501,V80),IF($AO$1=1,0,"")))</f>
        <v/>
      </c>
      <c r="AA80" s="39" t="str">
        <f t="shared" si="33"/>
        <v/>
      </c>
      <c r="AB80" s="40" t="str">
        <f>IF(OR(L80="",V80=0),"",IF(AND(N(I80)&gt;0,N(INDEX('10-تشرين الأول'!$I$2:$I$501,V80))&gt;0,INDEX('10-تشرين الأول'!$F$2:$F$501,V80)=F80),N(I80)/N(INDEX('10-تشرين الأول'!$I$2:$I$501,V80))-1,""))</f>
        <v/>
      </c>
      <c r="AC80" t="str">
        <f>IF(L80="","",IF(AND($AO$2=1,ISNA(MATCH(L80,'12-كانون الأول'!$L$2:$L$501,0))),"محذوف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IF(L81="","",IF($AO$1=1,IFERROR(MATCH(L81,'10-تشرين الأول'!$L$2:$L$501,0),0),0))</f>
        <v/>
      </c>
      <c r="W81" t="str">
        <f t="shared" si="31"/>
        <v/>
      </c>
      <c r="X81" s="38" t="str">
        <f>IF(L81="","",IF(V81&gt;0,INDEX('10-تشرين الأول'!$P$2:$P$501,V81),IF($AO$1=1,0,"")))</f>
        <v/>
      </c>
      <c r="Y81" s="38" t="str">
        <f t="shared" si="32"/>
        <v/>
      </c>
      <c r="Z81" s="39" t="str">
        <f>IF(L81="","",IF(V81&gt;0,INDEX('10-تشرين الأول'!$Q$2:$Q$501,V81),IF($AO$1=1,0,"")))</f>
        <v/>
      </c>
      <c r="AA81" s="39" t="str">
        <f t="shared" si="33"/>
        <v/>
      </c>
      <c r="AB81" s="40" t="str">
        <f>IF(OR(L81="",V81=0),"",IF(AND(N(I81)&gt;0,N(INDEX('10-تشرين الأول'!$I$2:$I$501,V81))&gt;0,INDEX('10-تشرين الأول'!$F$2:$F$501,V81)=F81),N(I81)/N(INDEX('10-تشرين الأول'!$I$2:$I$501,V81))-1,""))</f>
        <v/>
      </c>
      <c r="AC81" t="str">
        <f>IF(L81="","",IF(AND($AO$2=1,ISNA(MATCH(L81,'12-كانون الأول'!$L$2:$L$501,0))),"محذوف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IF(L82="","",IF($AO$1=1,IFERROR(MATCH(L82,'10-تشرين الأول'!$L$2:$L$501,0),0),0))</f>
        <v/>
      </c>
      <c r="W82" t="str">
        <f t="shared" si="31"/>
        <v/>
      </c>
      <c r="X82" s="38" t="str">
        <f>IF(L82="","",IF(V82&gt;0,INDEX('10-تشرين الأول'!$P$2:$P$501,V82),IF($AO$1=1,0,"")))</f>
        <v/>
      </c>
      <c r="Y82" s="38" t="str">
        <f t="shared" si="32"/>
        <v/>
      </c>
      <c r="Z82" s="39" t="str">
        <f>IF(L82="","",IF(V82&gt;0,INDEX('10-تشرين الأول'!$Q$2:$Q$501,V82),IF($AO$1=1,0,"")))</f>
        <v/>
      </c>
      <c r="AA82" s="39" t="str">
        <f t="shared" si="33"/>
        <v/>
      </c>
      <c r="AB82" s="40" t="str">
        <f>IF(OR(L82="",V82=0),"",IF(AND(N(I82)&gt;0,N(INDEX('10-تشرين الأول'!$I$2:$I$501,V82))&gt;0,INDEX('10-تشرين الأول'!$F$2:$F$501,V82)=F82),N(I82)/N(INDEX('10-تشرين الأول'!$I$2:$I$501,V82))-1,""))</f>
        <v/>
      </c>
      <c r="AC82" t="str">
        <f>IF(L82="","",IF(AND($AO$2=1,ISNA(MATCH(L82,'12-كانون الأول'!$L$2:$L$501,0))),"محذوف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IF(L83="","",IF($AO$1=1,IFERROR(MATCH(L83,'10-تشرين الأول'!$L$2:$L$501,0),0),0))</f>
        <v/>
      </c>
      <c r="W83" t="str">
        <f t="shared" si="31"/>
        <v/>
      </c>
      <c r="X83" s="38" t="str">
        <f>IF(L83="","",IF(V83&gt;0,INDEX('10-تشرين الأول'!$P$2:$P$501,V83),IF($AO$1=1,0,"")))</f>
        <v/>
      </c>
      <c r="Y83" s="38" t="str">
        <f t="shared" si="32"/>
        <v/>
      </c>
      <c r="Z83" s="39" t="str">
        <f>IF(L83="","",IF(V83&gt;0,INDEX('10-تشرين الأول'!$Q$2:$Q$501,V83),IF($AO$1=1,0,"")))</f>
        <v/>
      </c>
      <c r="AA83" s="39" t="str">
        <f t="shared" si="33"/>
        <v/>
      </c>
      <c r="AB83" s="40" t="str">
        <f>IF(OR(L83="",V83=0),"",IF(AND(N(I83)&gt;0,N(INDEX('10-تشرين الأول'!$I$2:$I$501,V83))&gt;0,INDEX('10-تشرين الأول'!$F$2:$F$501,V83)=F83),N(I83)/N(INDEX('10-تشرين الأول'!$I$2:$I$501,V83))-1,""))</f>
        <v/>
      </c>
      <c r="AC83" t="str">
        <f>IF(L83="","",IF(AND($AO$2=1,ISNA(MATCH(L83,'12-كانون الأول'!$L$2:$L$501,0))),"محذوف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IF(L84="","",IF($AO$1=1,IFERROR(MATCH(L84,'10-تشرين الأول'!$L$2:$L$501,0),0),0))</f>
        <v/>
      </c>
      <c r="W84" t="str">
        <f t="shared" si="31"/>
        <v/>
      </c>
      <c r="X84" s="38" t="str">
        <f>IF(L84="","",IF(V84&gt;0,INDEX('10-تشرين الأول'!$P$2:$P$501,V84),IF($AO$1=1,0,"")))</f>
        <v/>
      </c>
      <c r="Y84" s="38" t="str">
        <f t="shared" si="32"/>
        <v/>
      </c>
      <c r="Z84" s="39" t="str">
        <f>IF(L84="","",IF(V84&gt;0,INDEX('10-تشرين الأول'!$Q$2:$Q$501,V84),IF($AO$1=1,0,"")))</f>
        <v/>
      </c>
      <c r="AA84" s="39" t="str">
        <f t="shared" si="33"/>
        <v/>
      </c>
      <c r="AB84" s="40" t="str">
        <f>IF(OR(L84="",V84=0),"",IF(AND(N(I84)&gt;0,N(INDEX('10-تشرين الأول'!$I$2:$I$501,V84))&gt;0,INDEX('10-تشرين الأول'!$F$2:$F$501,V84)=F84),N(I84)/N(INDEX('10-تشرين الأول'!$I$2:$I$501,V84))-1,""))</f>
        <v/>
      </c>
      <c r="AC84" t="str">
        <f>IF(L84="","",IF(AND($AO$2=1,ISNA(MATCH(L84,'12-كانون الأول'!$L$2:$L$501,0))),"محذوف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IF(L85="","",IF($AO$1=1,IFERROR(MATCH(L85,'10-تشرين الأول'!$L$2:$L$501,0),0),0))</f>
        <v/>
      </c>
      <c r="W85" t="str">
        <f t="shared" si="31"/>
        <v/>
      </c>
      <c r="X85" s="38" t="str">
        <f>IF(L85="","",IF(V85&gt;0,INDEX('10-تشرين الأول'!$P$2:$P$501,V85),IF($AO$1=1,0,"")))</f>
        <v/>
      </c>
      <c r="Y85" s="38" t="str">
        <f t="shared" si="32"/>
        <v/>
      </c>
      <c r="Z85" s="39" t="str">
        <f>IF(L85="","",IF(V85&gt;0,INDEX('10-تشرين الأول'!$Q$2:$Q$501,V85),IF($AO$1=1,0,"")))</f>
        <v/>
      </c>
      <c r="AA85" s="39" t="str">
        <f t="shared" si="33"/>
        <v/>
      </c>
      <c r="AB85" s="40" t="str">
        <f>IF(OR(L85="",V85=0),"",IF(AND(N(I85)&gt;0,N(INDEX('10-تشرين الأول'!$I$2:$I$501,V85))&gt;0,INDEX('10-تشرين الأول'!$F$2:$F$501,V85)=F85),N(I85)/N(INDEX('10-تشرين الأول'!$I$2:$I$501,V85))-1,""))</f>
        <v/>
      </c>
      <c r="AC85" t="str">
        <f>IF(L85="","",IF(AND($AO$2=1,ISNA(MATCH(L85,'12-كانون الأول'!$L$2:$L$501,0))),"محذوف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IF(L86="","",IF($AO$1=1,IFERROR(MATCH(L86,'10-تشرين الأول'!$L$2:$L$501,0),0),0))</f>
        <v/>
      </c>
      <c r="W86" t="str">
        <f t="shared" si="31"/>
        <v/>
      </c>
      <c r="X86" s="38" t="str">
        <f>IF(L86="","",IF(V86&gt;0,INDEX('10-تشرين الأول'!$P$2:$P$501,V86),IF($AO$1=1,0,"")))</f>
        <v/>
      </c>
      <c r="Y86" s="38" t="str">
        <f t="shared" si="32"/>
        <v/>
      </c>
      <c r="Z86" s="39" t="str">
        <f>IF(L86="","",IF(V86&gt;0,INDEX('10-تشرين الأول'!$Q$2:$Q$501,V86),IF($AO$1=1,0,"")))</f>
        <v/>
      </c>
      <c r="AA86" s="39" t="str">
        <f t="shared" si="33"/>
        <v/>
      </c>
      <c r="AB86" s="40" t="str">
        <f>IF(OR(L86="",V86=0),"",IF(AND(N(I86)&gt;0,N(INDEX('10-تشرين الأول'!$I$2:$I$501,V86))&gt;0,INDEX('10-تشرين الأول'!$F$2:$F$501,V86)=F86),N(I86)/N(INDEX('10-تشرين الأول'!$I$2:$I$501,V86))-1,""))</f>
        <v/>
      </c>
      <c r="AC86" t="str">
        <f>IF(L86="","",IF(AND($AO$2=1,ISNA(MATCH(L86,'12-كانون الأول'!$L$2:$L$501,0))),"محذوف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IF(L87="","",IF($AO$1=1,IFERROR(MATCH(L87,'10-تشرين الأول'!$L$2:$L$501,0),0),0))</f>
        <v/>
      </c>
      <c r="W87" t="str">
        <f t="shared" si="31"/>
        <v/>
      </c>
      <c r="X87" s="38" t="str">
        <f>IF(L87="","",IF(V87&gt;0,INDEX('10-تشرين الأول'!$P$2:$P$501,V87),IF($AO$1=1,0,"")))</f>
        <v/>
      </c>
      <c r="Y87" s="38" t="str">
        <f t="shared" si="32"/>
        <v/>
      </c>
      <c r="Z87" s="39" t="str">
        <f>IF(L87="","",IF(V87&gt;0,INDEX('10-تشرين الأول'!$Q$2:$Q$501,V87),IF($AO$1=1,0,"")))</f>
        <v/>
      </c>
      <c r="AA87" s="39" t="str">
        <f t="shared" si="33"/>
        <v/>
      </c>
      <c r="AB87" s="40" t="str">
        <f>IF(OR(L87="",V87=0),"",IF(AND(N(I87)&gt;0,N(INDEX('10-تشرين الأول'!$I$2:$I$501,V87))&gt;0,INDEX('10-تشرين الأول'!$F$2:$F$501,V87)=F87),N(I87)/N(INDEX('10-تشرين الأول'!$I$2:$I$501,V87))-1,""))</f>
        <v/>
      </c>
      <c r="AC87" t="str">
        <f>IF(L87="","",IF(AND($AO$2=1,ISNA(MATCH(L87,'12-كانون الأول'!$L$2:$L$501,0))),"محذوف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IF(L88="","",IF($AO$1=1,IFERROR(MATCH(L88,'10-تشرين الأول'!$L$2:$L$501,0),0),0))</f>
        <v/>
      </c>
      <c r="W88" t="str">
        <f t="shared" si="31"/>
        <v/>
      </c>
      <c r="X88" s="38" t="str">
        <f>IF(L88="","",IF(V88&gt;0,INDEX('10-تشرين الأول'!$P$2:$P$501,V88),IF($AO$1=1,0,"")))</f>
        <v/>
      </c>
      <c r="Y88" s="38" t="str">
        <f t="shared" si="32"/>
        <v/>
      </c>
      <c r="Z88" s="39" t="str">
        <f>IF(L88="","",IF(V88&gt;0,INDEX('10-تشرين الأول'!$Q$2:$Q$501,V88),IF($AO$1=1,0,"")))</f>
        <v/>
      </c>
      <c r="AA88" s="39" t="str">
        <f t="shared" si="33"/>
        <v/>
      </c>
      <c r="AB88" s="40" t="str">
        <f>IF(OR(L88="",V88=0),"",IF(AND(N(I88)&gt;0,N(INDEX('10-تشرين الأول'!$I$2:$I$501,V88))&gt;0,INDEX('10-تشرين الأول'!$F$2:$F$501,V88)=F88),N(I88)/N(INDEX('10-تشرين الأول'!$I$2:$I$501,V88))-1,""))</f>
        <v/>
      </c>
      <c r="AC88" t="str">
        <f>IF(L88="","",IF(AND($AO$2=1,ISNA(MATCH(L88,'12-كانون الأول'!$L$2:$L$501,0))),"محذوف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IF(L89="","",IF($AO$1=1,IFERROR(MATCH(L89,'10-تشرين الأول'!$L$2:$L$501,0),0),0))</f>
        <v/>
      </c>
      <c r="W89" t="str">
        <f t="shared" si="31"/>
        <v/>
      </c>
      <c r="X89" s="38" t="str">
        <f>IF(L89="","",IF(V89&gt;0,INDEX('10-تشرين الأول'!$P$2:$P$501,V89),IF($AO$1=1,0,"")))</f>
        <v/>
      </c>
      <c r="Y89" s="38" t="str">
        <f t="shared" si="32"/>
        <v/>
      </c>
      <c r="Z89" s="39" t="str">
        <f>IF(L89="","",IF(V89&gt;0,INDEX('10-تشرين الأول'!$Q$2:$Q$501,V89),IF($AO$1=1,0,"")))</f>
        <v/>
      </c>
      <c r="AA89" s="39" t="str">
        <f t="shared" si="33"/>
        <v/>
      </c>
      <c r="AB89" s="40" t="str">
        <f>IF(OR(L89="",V89=0),"",IF(AND(N(I89)&gt;0,N(INDEX('10-تشرين الأول'!$I$2:$I$501,V89))&gt;0,INDEX('10-تشرين الأول'!$F$2:$F$501,V89)=F89),N(I89)/N(INDEX('10-تشرين الأول'!$I$2:$I$501,V89))-1,""))</f>
        <v/>
      </c>
      <c r="AC89" t="str">
        <f>IF(L89="","",IF(AND($AO$2=1,ISNA(MATCH(L89,'12-كانون الأول'!$L$2:$L$501,0))),"محذوف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IF(L90="","",IF($AO$1=1,IFERROR(MATCH(L90,'10-تشرين الأول'!$L$2:$L$501,0),0),0))</f>
        <v/>
      </c>
      <c r="W90" t="str">
        <f t="shared" si="31"/>
        <v/>
      </c>
      <c r="X90" s="38" t="str">
        <f>IF(L90="","",IF(V90&gt;0,INDEX('10-تشرين الأول'!$P$2:$P$501,V90),IF($AO$1=1,0,"")))</f>
        <v/>
      </c>
      <c r="Y90" s="38" t="str">
        <f t="shared" si="32"/>
        <v/>
      </c>
      <c r="Z90" s="39" t="str">
        <f>IF(L90="","",IF(V90&gt;0,INDEX('10-تشرين الأول'!$Q$2:$Q$501,V90),IF($AO$1=1,0,"")))</f>
        <v/>
      </c>
      <c r="AA90" s="39" t="str">
        <f t="shared" si="33"/>
        <v/>
      </c>
      <c r="AB90" s="40" t="str">
        <f>IF(OR(L90="",V90=0),"",IF(AND(N(I90)&gt;0,N(INDEX('10-تشرين الأول'!$I$2:$I$501,V90))&gt;0,INDEX('10-تشرين الأول'!$F$2:$F$501,V90)=F90),N(I90)/N(INDEX('10-تشرين الأول'!$I$2:$I$501,V90))-1,""))</f>
        <v/>
      </c>
      <c r="AC90" t="str">
        <f>IF(L90="","",IF(AND($AO$2=1,ISNA(MATCH(L90,'12-كانون الأول'!$L$2:$L$501,0))),"محذوف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IF(L91="","",IF($AO$1=1,IFERROR(MATCH(L91,'10-تشرين الأول'!$L$2:$L$501,0),0),0))</f>
        <v/>
      </c>
      <c r="W91" t="str">
        <f t="shared" si="31"/>
        <v/>
      </c>
      <c r="X91" s="38" t="str">
        <f>IF(L91="","",IF(V91&gt;0,INDEX('10-تشرين الأول'!$P$2:$P$501,V91),IF($AO$1=1,0,"")))</f>
        <v/>
      </c>
      <c r="Y91" s="38" t="str">
        <f t="shared" si="32"/>
        <v/>
      </c>
      <c r="Z91" s="39" t="str">
        <f>IF(L91="","",IF(V91&gt;0,INDEX('10-تشرين الأول'!$Q$2:$Q$501,V91),IF($AO$1=1,0,"")))</f>
        <v/>
      </c>
      <c r="AA91" s="39" t="str">
        <f t="shared" si="33"/>
        <v/>
      </c>
      <c r="AB91" s="40" t="str">
        <f>IF(OR(L91="",V91=0),"",IF(AND(N(I91)&gt;0,N(INDEX('10-تشرين الأول'!$I$2:$I$501,V91))&gt;0,INDEX('10-تشرين الأول'!$F$2:$F$501,V91)=F91),N(I91)/N(INDEX('10-تشرين الأول'!$I$2:$I$501,V91))-1,""))</f>
        <v/>
      </c>
      <c r="AC91" t="str">
        <f>IF(L91="","",IF(AND($AO$2=1,ISNA(MATCH(L91,'12-كانون الأول'!$L$2:$L$501,0))),"محذوف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IF(L92="","",IF($AO$1=1,IFERROR(MATCH(L92,'10-تشرين الأول'!$L$2:$L$501,0),0),0))</f>
        <v/>
      </c>
      <c r="W92" t="str">
        <f t="shared" si="31"/>
        <v/>
      </c>
      <c r="X92" s="38" t="str">
        <f>IF(L92="","",IF(V92&gt;0,INDEX('10-تشرين الأول'!$P$2:$P$501,V92),IF($AO$1=1,0,"")))</f>
        <v/>
      </c>
      <c r="Y92" s="38" t="str">
        <f t="shared" si="32"/>
        <v/>
      </c>
      <c r="Z92" s="39" t="str">
        <f>IF(L92="","",IF(V92&gt;0,INDEX('10-تشرين الأول'!$Q$2:$Q$501,V92),IF($AO$1=1,0,"")))</f>
        <v/>
      </c>
      <c r="AA92" s="39" t="str">
        <f t="shared" si="33"/>
        <v/>
      </c>
      <c r="AB92" s="40" t="str">
        <f>IF(OR(L92="",V92=0),"",IF(AND(N(I92)&gt;0,N(INDEX('10-تشرين الأول'!$I$2:$I$501,V92))&gt;0,INDEX('10-تشرين الأول'!$F$2:$F$501,V92)=F92),N(I92)/N(INDEX('10-تشرين الأول'!$I$2:$I$501,V92))-1,""))</f>
        <v/>
      </c>
      <c r="AC92" t="str">
        <f>IF(L92="","",IF(AND($AO$2=1,ISNA(MATCH(L92,'12-كانون الأول'!$L$2:$L$501,0))),"محذوف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IF(L93="","",IF($AO$1=1,IFERROR(MATCH(L93,'10-تشرين الأول'!$L$2:$L$501,0),0),0))</f>
        <v/>
      </c>
      <c r="W93" t="str">
        <f t="shared" si="31"/>
        <v/>
      </c>
      <c r="X93" s="38" t="str">
        <f>IF(L93="","",IF(V93&gt;0,INDEX('10-تشرين الأول'!$P$2:$P$501,V93),IF($AO$1=1,0,"")))</f>
        <v/>
      </c>
      <c r="Y93" s="38" t="str">
        <f t="shared" si="32"/>
        <v/>
      </c>
      <c r="Z93" s="39" t="str">
        <f>IF(L93="","",IF(V93&gt;0,INDEX('10-تشرين الأول'!$Q$2:$Q$501,V93),IF($AO$1=1,0,"")))</f>
        <v/>
      </c>
      <c r="AA93" s="39" t="str">
        <f t="shared" si="33"/>
        <v/>
      </c>
      <c r="AB93" s="40" t="str">
        <f>IF(OR(L93="",V93=0),"",IF(AND(N(I93)&gt;0,N(INDEX('10-تشرين الأول'!$I$2:$I$501,V93))&gt;0,INDEX('10-تشرين الأول'!$F$2:$F$501,V93)=F93),N(I93)/N(INDEX('10-تشرين الأول'!$I$2:$I$501,V93))-1,""))</f>
        <v/>
      </c>
      <c r="AC93" t="str">
        <f>IF(L93="","",IF(AND($AO$2=1,ISNA(MATCH(L93,'12-كانون الأول'!$L$2:$L$501,0))),"محذوف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IF(L94="","",IF($AO$1=1,IFERROR(MATCH(L94,'10-تشرين الأول'!$L$2:$L$501,0),0),0))</f>
        <v/>
      </c>
      <c r="W94" t="str">
        <f t="shared" si="31"/>
        <v/>
      </c>
      <c r="X94" s="38" t="str">
        <f>IF(L94="","",IF(V94&gt;0,INDEX('10-تشرين الأول'!$P$2:$P$501,V94),IF($AO$1=1,0,"")))</f>
        <v/>
      </c>
      <c r="Y94" s="38" t="str">
        <f t="shared" si="32"/>
        <v/>
      </c>
      <c r="Z94" s="39" t="str">
        <f>IF(L94="","",IF(V94&gt;0,INDEX('10-تشرين الأول'!$Q$2:$Q$501,V94),IF($AO$1=1,0,"")))</f>
        <v/>
      </c>
      <c r="AA94" s="39" t="str">
        <f t="shared" si="33"/>
        <v/>
      </c>
      <c r="AB94" s="40" t="str">
        <f>IF(OR(L94="",V94=0),"",IF(AND(N(I94)&gt;0,N(INDEX('10-تشرين الأول'!$I$2:$I$501,V94))&gt;0,INDEX('10-تشرين الأول'!$F$2:$F$501,V94)=F94),N(I94)/N(INDEX('10-تشرين الأول'!$I$2:$I$501,V94))-1,""))</f>
        <v/>
      </c>
      <c r="AC94" t="str">
        <f>IF(L94="","",IF(AND($AO$2=1,ISNA(MATCH(L94,'12-كانون الأول'!$L$2:$L$501,0))),"محذوف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IF(L95="","",IF($AO$1=1,IFERROR(MATCH(L95,'10-تشرين الأول'!$L$2:$L$501,0),0),0))</f>
        <v/>
      </c>
      <c r="W95" t="str">
        <f t="shared" si="31"/>
        <v/>
      </c>
      <c r="X95" s="38" t="str">
        <f>IF(L95="","",IF(V95&gt;0,INDEX('10-تشرين الأول'!$P$2:$P$501,V95),IF($AO$1=1,0,"")))</f>
        <v/>
      </c>
      <c r="Y95" s="38" t="str">
        <f t="shared" si="32"/>
        <v/>
      </c>
      <c r="Z95" s="39" t="str">
        <f>IF(L95="","",IF(V95&gt;0,INDEX('10-تشرين الأول'!$Q$2:$Q$501,V95),IF($AO$1=1,0,"")))</f>
        <v/>
      </c>
      <c r="AA95" s="39" t="str">
        <f t="shared" si="33"/>
        <v/>
      </c>
      <c r="AB95" s="40" t="str">
        <f>IF(OR(L95="",V95=0),"",IF(AND(N(I95)&gt;0,N(INDEX('10-تشرين الأول'!$I$2:$I$501,V95))&gt;0,INDEX('10-تشرين الأول'!$F$2:$F$501,V95)=F95),N(I95)/N(INDEX('10-تشرين الأول'!$I$2:$I$501,V95))-1,""))</f>
        <v/>
      </c>
      <c r="AC95" t="str">
        <f>IF(L95="","",IF(AND($AO$2=1,ISNA(MATCH(L95,'12-كانون الأول'!$L$2:$L$501,0))),"محذوف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IF(L96="","",IF($AO$1=1,IFERROR(MATCH(L96,'10-تشرين الأول'!$L$2:$L$501,0),0),0))</f>
        <v/>
      </c>
      <c r="W96" t="str">
        <f t="shared" si="31"/>
        <v/>
      </c>
      <c r="X96" s="38" t="str">
        <f>IF(L96="","",IF(V96&gt;0,INDEX('10-تشرين الأول'!$P$2:$P$501,V96),IF($AO$1=1,0,"")))</f>
        <v/>
      </c>
      <c r="Y96" s="38" t="str">
        <f t="shared" si="32"/>
        <v/>
      </c>
      <c r="Z96" s="39" t="str">
        <f>IF(L96="","",IF(V96&gt;0,INDEX('10-تشرين الأول'!$Q$2:$Q$501,V96),IF($AO$1=1,0,"")))</f>
        <v/>
      </c>
      <c r="AA96" s="39" t="str">
        <f t="shared" si="33"/>
        <v/>
      </c>
      <c r="AB96" s="40" t="str">
        <f>IF(OR(L96="",V96=0),"",IF(AND(N(I96)&gt;0,N(INDEX('10-تشرين الأول'!$I$2:$I$501,V96))&gt;0,INDEX('10-تشرين الأول'!$F$2:$F$501,V96)=F96),N(I96)/N(INDEX('10-تشرين الأول'!$I$2:$I$501,V96))-1,""))</f>
        <v/>
      </c>
      <c r="AC96" t="str">
        <f>IF(L96="","",IF(AND($AO$2=1,ISNA(MATCH(L96,'12-كانون الأول'!$L$2:$L$501,0))),"محذوف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IF(L97="","",IF($AO$1=1,IFERROR(MATCH(L97,'10-تشرين الأول'!$L$2:$L$501,0),0),0))</f>
        <v/>
      </c>
      <c r="W97" t="str">
        <f t="shared" si="31"/>
        <v/>
      </c>
      <c r="X97" s="38" t="str">
        <f>IF(L97="","",IF(V97&gt;0,INDEX('10-تشرين الأول'!$P$2:$P$501,V97),IF($AO$1=1,0,"")))</f>
        <v/>
      </c>
      <c r="Y97" s="38" t="str">
        <f t="shared" si="32"/>
        <v/>
      </c>
      <c r="Z97" s="39" t="str">
        <f>IF(L97="","",IF(V97&gt;0,INDEX('10-تشرين الأول'!$Q$2:$Q$501,V97),IF($AO$1=1,0,"")))</f>
        <v/>
      </c>
      <c r="AA97" s="39" t="str">
        <f t="shared" si="33"/>
        <v/>
      </c>
      <c r="AB97" s="40" t="str">
        <f>IF(OR(L97="",V97=0),"",IF(AND(N(I97)&gt;0,N(INDEX('10-تشرين الأول'!$I$2:$I$501,V97))&gt;0,INDEX('10-تشرين الأول'!$F$2:$F$501,V97)=F97),N(I97)/N(INDEX('10-تشرين الأول'!$I$2:$I$501,V97))-1,""))</f>
        <v/>
      </c>
      <c r="AC97" t="str">
        <f>IF(L97="","",IF(AND($AO$2=1,ISNA(MATCH(L97,'12-كانون الأول'!$L$2:$L$501,0))),"محذوف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IF(L98="","",IF($AO$1=1,IFERROR(MATCH(L98,'10-تشرين الأول'!$L$2:$L$501,0),0),0))</f>
        <v/>
      </c>
      <c r="W98" t="str">
        <f t="shared" si="31"/>
        <v/>
      </c>
      <c r="X98" s="38" t="str">
        <f>IF(L98="","",IF(V98&gt;0,INDEX('10-تشرين الأول'!$P$2:$P$501,V98),IF($AO$1=1,0,"")))</f>
        <v/>
      </c>
      <c r="Y98" s="38" t="str">
        <f t="shared" si="32"/>
        <v/>
      </c>
      <c r="Z98" s="39" t="str">
        <f>IF(L98="","",IF(V98&gt;0,INDEX('10-تشرين الأول'!$Q$2:$Q$501,V98),IF($AO$1=1,0,"")))</f>
        <v/>
      </c>
      <c r="AA98" s="39" t="str">
        <f t="shared" si="33"/>
        <v/>
      </c>
      <c r="AB98" s="40" t="str">
        <f>IF(OR(L98="",V98=0),"",IF(AND(N(I98)&gt;0,N(INDEX('10-تشرين الأول'!$I$2:$I$501,V98))&gt;0,INDEX('10-تشرين الأول'!$F$2:$F$501,V98)=F98),N(I98)/N(INDEX('10-تشرين الأول'!$I$2:$I$501,V98))-1,""))</f>
        <v/>
      </c>
      <c r="AC98" t="str">
        <f>IF(L98="","",IF(AND($AO$2=1,ISNA(MATCH(L98,'12-كانون الأول'!$L$2:$L$501,0))),"محذوف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IF(L99="","",IF($AO$1=1,IFERROR(MATCH(L99,'10-تشرين الأول'!$L$2:$L$501,0),0),0))</f>
        <v/>
      </c>
      <c r="W99" t="str">
        <f t="shared" si="31"/>
        <v/>
      </c>
      <c r="X99" s="38" t="str">
        <f>IF(L99="","",IF(V99&gt;0,INDEX('10-تشرين الأول'!$P$2:$P$501,V99),IF($AO$1=1,0,"")))</f>
        <v/>
      </c>
      <c r="Y99" s="38" t="str">
        <f t="shared" si="32"/>
        <v/>
      </c>
      <c r="Z99" s="39" t="str">
        <f>IF(L99="","",IF(V99&gt;0,INDEX('10-تشرين الأول'!$Q$2:$Q$501,V99),IF($AO$1=1,0,"")))</f>
        <v/>
      </c>
      <c r="AA99" s="39" t="str">
        <f t="shared" si="33"/>
        <v/>
      </c>
      <c r="AB99" s="40" t="str">
        <f>IF(OR(L99="",V99=0),"",IF(AND(N(I99)&gt;0,N(INDEX('10-تشرين الأول'!$I$2:$I$501,V99))&gt;0,INDEX('10-تشرين الأول'!$F$2:$F$501,V99)=F99),N(I99)/N(INDEX('10-تشرين الأول'!$I$2:$I$501,V99))-1,""))</f>
        <v/>
      </c>
      <c r="AC99" t="str">
        <f>IF(L99="","",IF(AND($AO$2=1,ISNA(MATCH(L99,'12-كانون الأول'!$L$2:$L$501,0))),"محذوف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IF(L100="","",IF($AO$1=1,IFERROR(MATCH(L100,'10-تشرين الأول'!$L$2:$L$501,0),0),0))</f>
        <v/>
      </c>
      <c r="W100" t="str">
        <f t="shared" si="31"/>
        <v/>
      </c>
      <c r="X100" s="38" t="str">
        <f>IF(L100="","",IF(V100&gt;0,INDEX('10-تشرين الأول'!$P$2:$P$501,V100),IF($AO$1=1,0,"")))</f>
        <v/>
      </c>
      <c r="Y100" s="38" t="str">
        <f t="shared" si="32"/>
        <v/>
      </c>
      <c r="Z100" s="39" t="str">
        <f>IF(L100="","",IF(V100&gt;0,INDEX('10-تشرين الأول'!$Q$2:$Q$501,V100),IF($AO$1=1,0,"")))</f>
        <v/>
      </c>
      <c r="AA100" s="39" t="str">
        <f t="shared" si="33"/>
        <v/>
      </c>
      <c r="AB100" s="40" t="str">
        <f>IF(OR(L100="",V100=0),"",IF(AND(N(I100)&gt;0,N(INDEX('10-تشرين الأول'!$I$2:$I$501,V100))&gt;0,INDEX('10-تشرين الأول'!$F$2:$F$501,V100)=F100),N(I100)/N(INDEX('10-تشرين الأول'!$I$2:$I$501,V100))-1,""))</f>
        <v/>
      </c>
      <c r="AC100" t="str">
        <f>IF(L100="","",IF(AND($AO$2=1,ISNA(MATCH(L100,'12-كانون الأول'!$L$2:$L$501,0))),"محذوف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IF(L101="","",IF($AO$1=1,IFERROR(MATCH(L101,'10-تشرين الأول'!$L$2:$L$501,0),0),0))</f>
        <v/>
      </c>
      <c r="W101" t="str">
        <f t="shared" si="31"/>
        <v/>
      </c>
      <c r="X101" s="38" t="str">
        <f>IF(L101="","",IF(V101&gt;0,INDEX('10-تشرين الأول'!$P$2:$P$501,V101),IF($AO$1=1,0,"")))</f>
        <v/>
      </c>
      <c r="Y101" s="38" t="str">
        <f t="shared" si="32"/>
        <v/>
      </c>
      <c r="Z101" s="39" t="str">
        <f>IF(L101="","",IF(V101&gt;0,INDEX('10-تشرين الأول'!$Q$2:$Q$501,V101),IF($AO$1=1,0,"")))</f>
        <v/>
      </c>
      <c r="AA101" s="39" t="str">
        <f t="shared" si="33"/>
        <v/>
      </c>
      <c r="AB101" s="40" t="str">
        <f>IF(OR(L101="",V101=0),"",IF(AND(N(I101)&gt;0,N(INDEX('10-تشرين الأول'!$I$2:$I$501,V101))&gt;0,INDEX('10-تشرين الأول'!$F$2:$F$501,V101)=F101),N(I101)/N(INDEX('10-تشرين الأول'!$I$2:$I$501,V101))-1,""))</f>
        <v/>
      </c>
      <c r="AC101" t="str">
        <f>IF(L101="","",IF(AND($AO$2=1,ISNA(MATCH(L101,'12-كانون الأول'!$L$2:$L$501,0))),"محذوف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IF(L102="","",IF($AO$1=1,IFERROR(MATCH(L102,'10-تشرين الأول'!$L$2:$L$501,0),0),0))</f>
        <v/>
      </c>
      <c r="W102" t="str">
        <f t="shared" si="31"/>
        <v/>
      </c>
      <c r="X102" s="38" t="str">
        <f>IF(L102="","",IF(V102&gt;0,INDEX('10-تشرين الأول'!$P$2:$P$501,V102),IF($AO$1=1,0,"")))</f>
        <v/>
      </c>
      <c r="Y102" s="38" t="str">
        <f t="shared" si="32"/>
        <v/>
      </c>
      <c r="Z102" s="39" t="str">
        <f>IF(L102="","",IF(V102&gt;0,INDEX('10-تشرين الأول'!$Q$2:$Q$501,V102),IF($AO$1=1,0,"")))</f>
        <v/>
      </c>
      <c r="AA102" s="39" t="str">
        <f t="shared" si="33"/>
        <v/>
      </c>
      <c r="AB102" s="40" t="str">
        <f>IF(OR(L102="",V102=0),"",IF(AND(N(I102)&gt;0,N(INDEX('10-تشرين الأول'!$I$2:$I$501,V102))&gt;0,INDEX('10-تشرين الأول'!$F$2:$F$501,V102)=F102),N(I102)/N(INDEX('10-تشرين الأول'!$I$2:$I$501,V102))-1,""))</f>
        <v/>
      </c>
      <c r="AC102" t="str">
        <f>IF(L102="","",IF(AND($AO$2=1,ISNA(MATCH(L102,'12-كانون الأول'!$L$2:$L$501,0))),"محذوف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IF(L103="","",IF($AO$1=1,IFERROR(MATCH(L103,'10-تشرين الأول'!$L$2:$L$501,0),0),0))</f>
        <v/>
      </c>
      <c r="W103" t="str">
        <f t="shared" si="31"/>
        <v/>
      </c>
      <c r="X103" s="38" t="str">
        <f>IF(L103="","",IF(V103&gt;0,INDEX('10-تشرين الأول'!$P$2:$P$501,V103),IF($AO$1=1,0,"")))</f>
        <v/>
      </c>
      <c r="Y103" s="38" t="str">
        <f t="shared" si="32"/>
        <v/>
      </c>
      <c r="Z103" s="39" t="str">
        <f>IF(L103="","",IF(V103&gt;0,INDEX('10-تشرين الأول'!$Q$2:$Q$501,V103),IF($AO$1=1,0,"")))</f>
        <v/>
      </c>
      <c r="AA103" s="39" t="str">
        <f t="shared" si="33"/>
        <v/>
      </c>
      <c r="AB103" s="40" t="str">
        <f>IF(OR(L103="",V103=0),"",IF(AND(N(I103)&gt;0,N(INDEX('10-تشرين الأول'!$I$2:$I$501,V103))&gt;0,INDEX('10-تشرين الأول'!$F$2:$F$501,V103)=F103),N(I103)/N(INDEX('10-تشرين الأول'!$I$2:$I$501,V103))-1,""))</f>
        <v/>
      </c>
      <c r="AC103" t="str">
        <f>IF(L103="","",IF(AND($AO$2=1,ISNA(MATCH(L103,'12-كانون الأول'!$L$2:$L$501,0))),"محذوف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IF(L104="","",IF($AO$1=1,IFERROR(MATCH(L104,'10-تشرين الأول'!$L$2:$L$501,0),0),0))</f>
        <v/>
      </c>
      <c r="W104" t="str">
        <f t="shared" si="31"/>
        <v/>
      </c>
      <c r="X104" s="38" t="str">
        <f>IF(L104="","",IF(V104&gt;0,INDEX('10-تشرين الأول'!$P$2:$P$501,V104),IF($AO$1=1,0,"")))</f>
        <v/>
      </c>
      <c r="Y104" s="38" t="str">
        <f t="shared" si="32"/>
        <v/>
      </c>
      <c r="Z104" s="39" t="str">
        <f>IF(L104="","",IF(V104&gt;0,INDEX('10-تشرين الأول'!$Q$2:$Q$501,V104),IF($AO$1=1,0,"")))</f>
        <v/>
      </c>
      <c r="AA104" s="39" t="str">
        <f t="shared" si="33"/>
        <v/>
      </c>
      <c r="AB104" s="40" t="str">
        <f>IF(OR(L104="",V104=0),"",IF(AND(N(I104)&gt;0,N(INDEX('10-تشرين الأول'!$I$2:$I$501,V104))&gt;0,INDEX('10-تشرين الأول'!$F$2:$F$501,V104)=F104),N(I104)/N(INDEX('10-تشرين الأول'!$I$2:$I$501,V104))-1,""))</f>
        <v/>
      </c>
      <c r="AC104" t="str">
        <f>IF(L104="","",IF(AND($AO$2=1,ISNA(MATCH(L104,'12-كانون الأول'!$L$2:$L$501,0))),"محذوف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IF(L105="","",IF($AO$1=1,IFERROR(MATCH(L105,'10-تشرين الأول'!$L$2:$L$501,0),0),0))</f>
        <v/>
      </c>
      <c r="W105" t="str">
        <f t="shared" si="31"/>
        <v/>
      </c>
      <c r="X105" s="38" t="str">
        <f>IF(L105="","",IF(V105&gt;0,INDEX('10-تشرين الأول'!$P$2:$P$501,V105),IF($AO$1=1,0,"")))</f>
        <v/>
      </c>
      <c r="Y105" s="38" t="str">
        <f t="shared" si="32"/>
        <v/>
      </c>
      <c r="Z105" s="39" t="str">
        <f>IF(L105="","",IF(V105&gt;0,INDEX('10-تشرين الأول'!$Q$2:$Q$501,V105),IF($AO$1=1,0,"")))</f>
        <v/>
      </c>
      <c r="AA105" s="39" t="str">
        <f t="shared" si="33"/>
        <v/>
      </c>
      <c r="AB105" s="40" t="str">
        <f>IF(OR(L105="",V105=0),"",IF(AND(N(I105)&gt;0,N(INDEX('10-تشرين الأول'!$I$2:$I$501,V105))&gt;0,INDEX('10-تشرين الأول'!$F$2:$F$501,V105)=F105),N(I105)/N(INDEX('10-تشرين الأول'!$I$2:$I$501,V105))-1,""))</f>
        <v/>
      </c>
      <c r="AC105" t="str">
        <f>IF(L105="","",IF(AND($AO$2=1,ISNA(MATCH(L105,'12-كانون الأول'!$L$2:$L$501,0))),"محذوف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IF(L106="","",IF($AO$1=1,IFERROR(MATCH(L106,'10-تشرين الأول'!$L$2:$L$501,0),0),0))</f>
        <v/>
      </c>
      <c r="W106" t="str">
        <f t="shared" si="31"/>
        <v/>
      </c>
      <c r="X106" s="38" t="str">
        <f>IF(L106="","",IF(V106&gt;0,INDEX('10-تشرين الأول'!$P$2:$P$501,V106),IF($AO$1=1,0,"")))</f>
        <v/>
      </c>
      <c r="Y106" s="38" t="str">
        <f t="shared" si="32"/>
        <v/>
      </c>
      <c r="Z106" s="39" t="str">
        <f>IF(L106="","",IF(V106&gt;0,INDEX('10-تشرين الأول'!$Q$2:$Q$501,V106),IF($AO$1=1,0,"")))</f>
        <v/>
      </c>
      <c r="AA106" s="39" t="str">
        <f t="shared" si="33"/>
        <v/>
      </c>
      <c r="AB106" s="40" t="str">
        <f>IF(OR(L106="",V106=0),"",IF(AND(N(I106)&gt;0,N(INDEX('10-تشرين الأول'!$I$2:$I$501,V106))&gt;0,INDEX('10-تشرين الأول'!$F$2:$F$501,V106)=F106),N(I106)/N(INDEX('10-تشرين الأول'!$I$2:$I$501,V106))-1,""))</f>
        <v/>
      </c>
      <c r="AC106" t="str">
        <f>IF(L106="","",IF(AND($AO$2=1,ISNA(MATCH(L106,'12-كانون الأول'!$L$2:$L$501,0))),"محذوف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IF(L107="","",IF($AO$1=1,IFERROR(MATCH(L107,'10-تشرين الأول'!$L$2:$L$501,0),0),0))</f>
        <v/>
      </c>
      <c r="W107" t="str">
        <f t="shared" si="31"/>
        <v/>
      </c>
      <c r="X107" s="38" t="str">
        <f>IF(L107="","",IF(V107&gt;0,INDEX('10-تشرين الأول'!$P$2:$P$501,V107),IF($AO$1=1,0,"")))</f>
        <v/>
      </c>
      <c r="Y107" s="38" t="str">
        <f t="shared" si="32"/>
        <v/>
      </c>
      <c r="Z107" s="39" t="str">
        <f>IF(L107="","",IF(V107&gt;0,INDEX('10-تشرين الأول'!$Q$2:$Q$501,V107),IF($AO$1=1,0,"")))</f>
        <v/>
      </c>
      <c r="AA107" s="39" t="str">
        <f t="shared" si="33"/>
        <v/>
      </c>
      <c r="AB107" s="40" t="str">
        <f>IF(OR(L107="",V107=0),"",IF(AND(N(I107)&gt;0,N(INDEX('10-تشرين الأول'!$I$2:$I$501,V107))&gt;0,INDEX('10-تشرين الأول'!$F$2:$F$501,V107)=F107),N(I107)/N(INDEX('10-تشرين الأول'!$I$2:$I$501,V107))-1,""))</f>
        <v/>
      </c>
      <c r="AC107" t="str">
        <f>IF(L107="","",IF(AND($AO$2=1,ISNA(MATCH(L107,'12-كانون الأول'!$L$2:$L$501,0))),"محذوف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IF(L108="","",IF($AO$1=1,IFERROR(MATCH(L108,'10-تشرين الأول'!$L$2:$L$501,0),0),0))</f>
        <v/>
      </c>
      <c r="W108" t="str">
        <f t="shared" si="31"/>
        <v/>
      </c>
      <c r="X108" s="38" t="str">
        <f>IF(L108="","",IF(V108&gt;0,INDEX('10-تشرين الأول'!$P$2:$P$501,V108),IF($AO$1=1,0,"")))</f>
        <v/>
      </c>
      <c r="Y108" s="38" t="str">
        <f t="shared" si="32"/>
        <v/>
      </c>
      <c r="Z108" s="39" t="str">
        <f>IF(L108="","",IF(V108&gt;0,INDEX('10-تشرين الأول'!$Q$2:$Q$501,V108),IF($AO$1=1,0,"")))</f>
        <v/>
      </c>
      <c r="AA108" s="39" t="str">
        <f t="shared" si="33"/>
        <v/>
      </c>
      <c r="AB108" s="40" t="str">
        <f>IF(OR(L108="",V108=0),"",IF(AND(N(I108)&gt;0,N(INDEX('10-تشرين الأول'!$I$2:$I$501,V108))&gt;0,INDEX('10-تشرين الأول'!$F$2:$F$501,V108)=F108),N(I108)/N(INDEX('10-تشرين الأول'!$I$2:$I$501,V108))-1,""))</f>
        <v/>
      </c>
      <c r="AC108" t="str">
        <f>IF(L108="","",IF(AND($AO$2=1,ISNA(MATCH(L108,'12-كانون الأول'!$L$2:$L$501,0))),"محذوف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IF(L109="","",IF($AO$1=1,IFERROR(MATCH(L109,'10-تشرين الأول'!$L$2:$L$501,0),0),0))</f>
        <v/>
      </c>
      <c r="W109" t="str">
        <f t="shared" si="31"/>
        <v/>
      </c>
      <c r="X109" s="38" t="str">
        <f>IF(L109="","",IF(V109&gt;0,INDEX('10-تشرين الأول'!$P$2:$P$501,V109),IF($AO$1=1,0,"")))</f>
        <v/>
      </c>
      <c r="Y109" s="38" t="str">
        <f t="shared" si="32"/>
        <v/>
      </c>
      <c r="Z109" s="39" t="str">
        <f>IF(L109="","",IF(V109&gt;0,INDEX('10-تشرين الأول'!$Q$2:$Q$501,V109),IF($AO$1=1,0,"")))</f>
        <v/>
      </c>
      <c r="AA109" s="39" t="str">
        <f t="shared" si="33"/>
        <v/>
      </c>
      <c r="AB109" s="40" t="str">
        <f>IF(OR(L109="",V109=0),"",IF(AND(N(I109)&gt;0,N(INDEX('10-تشرين الأول'!$I$2:$I$501,V109))&gt;0,INDEX('10-تشرين الأول'!$F$2:$F$501,V109)=F109),N(I109)/N(INDEX('10-تشرين الأول'!$I$2:$I$501,V109))-1,""))</f>
        <v/>
      </c>
      <c r="AC109" t="str">
        <f>IF(L109="","",IF(AND($AO$2=1,ISNA(MATCH(L109,'12-كانون الأول'!$L$2:$L$501,0))),"محذوف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IF(L110="","",IF($AO$1=1,IFERROR(MATCH(L110,'10-تشرين الأول'!$L$2:$L$501,0),0),0))</f>
        <v/>
      </c>
      <c r="W110" t="str">
        <f t="shared" si="31"/>
        <v/>
      </c>
      <c r="X110" s="38" t="str">
        <f>IF(L110="","",IF(V110&gt;0,INDEX('10-تشرين الأول'!$P$2:$P$501,V110),IF($AO$1=1,0,"")))</f>
        <v/>
      </c>
      <c r="Y110" s="38" t="str">
        <f t="shared" si="32"/>
        <v/>
      </c>
      <c r="Z110" s="39" t="str">
        <f>IF(L110="","",IF(V110&gt;0,INDEX('10-تشرين الأول'!$Q$2:$Q$501,V110),IF($AO$1=1,0,"")))</f>
        <v/>
      </c>
      <c r="AA110" s="39" t="str">
        <f t="shared" si="33"/>
        <v/>
      </c>
      <c r="AB110" s="40" t="str">
        <f>IF(OR(L110="",V110=0),"",IF(AND(N(I110)&gt;0,N(INDEX('10-تشرين الأول'!$I$2:$I$501,V110))&gt;0,INDEX('10-تشرين الأول'!$F$2:$F$501,V110)=F110),N(I110)/N(INDEX('10-تشرين الأول'!$I$2:$I$501,V110))-1,""))</f>
        <v/>
      </c>
      <c r="AC110" t="str">
        <f>IF(L110="","",IF(AND($AO$2=1,ISNA(MATCH(L110,'12-كانون الأول'!$L$2:$L$501,0))),"محذوف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IF(L111="","",IF($AO$1=1,IFERROR(MATCH(L111,'10-تشرين الأول'!$L$2:$L$501,0),0),0))</f>
        <v/>
      </c>
      <c r="W111" t="str">
        <f t="shared" si="31"/>
        <v/>
      </c>
      <c r="X111" s="38" t="str">
        <f>IF(L111="","",IF(V111&gt;0,INDEX('10-تشرين الأول'!$P$2:$P$501,V111),IF($AO$1=1,0,"")))</f>
        <v/>
      </c>
      <c r="Y111" s="38" t="str">
        <f t="shared" si="32"/>
        <v/>
      </c>
      <c r="Z111" s="39" t="str">
        <f>IF(L111="","",IF(V111&gt;0,INDEX('10-تشرين الأول'!$Q$2:$Q$501,V111),IF($AO$1=1,0,"")))</f>
        <v/>
      </c>
      <c r="AA111" s="39" t="str">
        <f t="shared" si="33"/>
        <v/>
      </c>
      <c r="AB111" s="40" t="str">
        <f>IF(OR(L111="",V111=0),"",IF(AND(N(I111)&gt;0,N(INDEX('10-تشرين الأول'!$I$2:$I$501,V111))&gt;0,INDEX('10-تشرين الأول'!$F$2:$F$501,V111)=F111),N(I111)/N(INDEX('10-تشرين الأول'!$I$2:$I$501,V111))-1,""))</f>
        <v/>
      </c>
      <c r="AC111" t="str">
        <f>IF(L111="","",IF(AND($AO$2=1,ISNA(MATCH(L111,'12-كانون الأول'!$L$2:$L$501,0))),"محذوف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IF(L112="","",IF($AO$1=1,IFERROR(MATCH(L112,'10-تشرين الأول'!$L$2:$L$501,0),0),0))</f>
        <v/>
      </c>
      <c r="W112" t="str">
        <f t="shared" si="31"/>
        <v/>
      </c>
      <c r="X112" s="38" t="str">
        <f>IF(L112="","",IF(V112&gt;0,INDEX('10-تشرين الأول'!$P$2:$P$501,V112),IF($AO$1=1,0,"")))</f>
        <v/>
      </c>
      <c r="Y112" s="38" t="str">
        <f t="shared" si="32"/>
        <v/>
      </c>
      <c r="Z112" s="39" t="str">
        <f>IF(L112="","",IF(V112&gt;0,INDEX('10-تشرين الأول'!$Q$2:$Q$501,V112),IF($AO$1=1,0,"")))</f>
        <v/>
      </c>
      <c r="AA112" s="39" t="str">
        <f t="shared" si="33"/>
        <v/>
      </c>
      <c r="AB112" s="40" t="str">
        <f>IF(OR(L112="",V112=0),"",IF(AND(N(I112)&gt;0,N(INDEX('10-تشرين الأول'!$I$2:$I$501,V112))&gt;0,INDEX('10-تشرين الأول'!$F$2:$F$501,V112)=F112),N(I112)/N(INDEX('10-تشرين الأول'!$I$2:$I$501,V112))-1,""))</f>
        <v/>
      </c>
      <c r="AC112" t="str">
        <f>IF(L112="","",IF(AND($AO$2=1,ISNA(MATCH(L112,'12-كانون الأول'!$L$2:$L$501,0))),"محذوف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IF(L113="","",IF($AO$1=1,IFERROR(MATCH(L113,'10-تشرين الأول'!$L$2:$L$501,0),0),0))</f>
        <v/>
      </c>
      <c r="W113" t="str">
        <f t="shared" si="31"/>
        <v/>
      </c>
      <c r="X113" s="38" t="str">
        <f>IF(L113="","",IF(V113&gt;0,INDEX('10-تشرين الأول'!$P$2:$P$501,V113),IF($AO$1=1,0,"")))</f>
        <v/>
      </c>
      <c r="Y113" s="38" t="str">
        <f t="shared" si="32"/>
        <v/>
      </c>
      <c r="Z113" s="39" t="str">
        <f>IF(L113="","",IF(V113&gt;0,INDEX('10-تشرين الأول'!$Q$2:$Q$501,V113),IF($AO$1=1,0,"")))</f>
        <v/>
      </c>
      <c r="AA113" s="39" t="str">
        <f t="shared" si="33"/>
        <v/>
      </c>
      <c r="AB113" s="40" t="str">
        <f>IF(OR(L113="",V113=0),"",IF(AND(N(I113)&gt;0,N(INDEX('10-تشرين الأول'!$I$2:$I$501,V113))&gt;0,INDEX('10-تشرين الأول'!$F$2:$F$501,V113)=F113),N(I113)/N(INDEX('10-تشرين الأول'!$I$2:$I$501,V113))-1,""))</f>
        <v/>
      </c>
      <c r="AC113" t="str">
        <f>IF(L113="","",IF(AND($AO$2=1,ISNA(MATCH(L113,'12-كانون الأول'!$L$2:$L$501,0))),"محذوف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IF(L114="","",IF($AO$1=1,IFERROR(MATCH(L114,'10-تشرين الأول'!$L$2:$L$501,0),0),0))</f>
        <v/>
      </c>
      <c r="W114" t="str">
        <f t="shared" si="31"/>
        <v/>
      </c>
      <c r="X114" s="38" t="str">
        <f>IF(L114="","",IF(V114&gt;0,INDEX('10-تشرين الأول'!$P$2:$P$501,V114),IF($AO$1=1,0,"")))</f>
        <v/>
      </c>
      <c r="Y114" s="38" t="str">
        <f t="shared" si="32"/>
        <v/>
      </c>
      <c r="Z114" s="39" t="str">
        <f>IF(L114="","",IF(V114&gt;0,INDEX('10-تشرين الأول'!$Q$2:$Q$501,V114),IF($AO$1=1,0,"")))</f>
        <v/>
      </c>
      <c r="AA114" s="39" t="str">
        <f t="shared" si="33"/>
        <v/>
      </c>
      <c r="AB114" s="40" t="str">
        <f>IF(OR(L114="",V114=0),"",IF(AND(N(I114)&gt;0,N(INDEX('10-تشرين الأول'!$I$2:$I$501,V114))&gt;0,INDEX('10-تشرين الأول'!$F$2:$F$501,V114)=F114),N(I114)/N(INDEX('10-تشرين الأول'!$I$2:$I$501,V114))-1,""))</f>
        <v/>
      </c>
      <c r="AC114" t="str">
        <f>IF(L114="","",IF(AND($AO$2=1,ISNA(MATCH(L114,'12-كانون الأول'!$L$2:$L$501,0))),"محذوف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IF(L115="","",IF($AO$1=1,IFERROR(MATCH(L115,'10-تشرين الأول'!$L$2:$L$501,0),0),0))</f>
        <v/>
      </c>
      <c r="W115" t="str">
        <f t="shared" si="31"/>
        <v/>
      </c>
      <c r="X115" s="38" t="str">
        <f>IF(L115="","",IF(V115&gt;0,INDEX('10-تشرين الأول'!$P$2:$P$501,V115),IF($AO$1=1,0,"")))</f>
        <v/>
      </c>
      <c r="Y115" s="38" t="str">
        <f t="shared" si="32"/>
        <v/>
      </c>
      <c r="Z115" s="39" t="str">
        <f>IF(L115="","",IF(V115&gt;0,INDEX('10-تشرين الأول'!$Q$2:$Q$501,V115),IF($AO$1=1,0,"")))</f>
        <v/>
      </c>
      <c r="AA115" s="39" t="str">
        <f t="shared" si="33"/>
        <v/>
      </c>
      <c r="AB115" s="40" t="str">
        <f>IF(OR(L115="",V115=0),"",IF(AND(N(I115)&gt;0,N(INDEX('10-تشرين الأول'!$I$2:$I$501,V115))&gt;0,INDEX('10-تشرين الأول'!$F$2:$F$501,V115)=F115),N(I115)/N(INDEX('10-تشرين الأول'!$I$2:$I$501,V115))-1,""))</f>
        <v/>
      </c>
      <c r="AC115" t="str">
        <f>IF(L115="","",IF(AND($AO$2=1,ISNA(MATCH(L115,'12-كانون الأول'!$L$2:$L$501,0))),"محذوف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IF(L116="","",IF($AO$1=1,IFERROR(MATCH(L116,'10-تشرين الأول'!$L$2:$L$501,0),0),0))</f>
        <v/>
      </c>
      <c r="W116" t="str">
        <f t="shared" si="31"/>
        <v/>
      </c>
      <c r="X116" s="38" t="str">
        <f>IF(L116="","",IF(V116&gt;0,INDEX('10-تشرين الأول'!$P$2:$P$501,V116),IF($AO$1=1,0,"")))</f>
        <v/>
      </c>
      <c r="Y116" s="38" t="str">
        <f t="shared" si="32"/>
        <v/>
      </c>
      <c r="Z116" s="39" t="str">
        <f>IF(L116="","",IF(V116&gt;0,INDEX('10-تشرين الأول'!$Q$2:$Q$501,V116),IF($AO$1=1,0,"")))</f>
        <v/>
      </c>
      <c r="AA116" s="39" t="str">
        <f t="shared" si="33"/>
        <v/>
      </c>
      <c r="AB116" s="40" t="str">
        <f>IF(OR(L116="",V116=0),"",IF(AND(N(I116)&gt;0,N(INDEX('10-تشرين الأول'!$I$2:$I$501,V116))&gt;0,INDEX('10-تشرين الأول'!$F$2:$F$501,V116)=F116),N(I116)/N(INDEX('10-تشرين الأول'!$I$2:$I$501,V116))-1,""))</f>
        <v/>
      </c>
      <c r="AC116" t="str">
        <f>IF(L116="","",IF(AND($AO$2=1,ISNA(MATCH(L116,'12-كانون الأول'!$L$2:$L$501,0))),"محذوف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IF(L117="","",IF($AO$1=1,IFERROR(MATCH(L117,'10-تشرين الأول'!$L$2:$L$501,0),0),0))</f>
        <v/>
      </c>
      <c r="W117" t="str">
        <f t="shared" si="31"/>
        <v/>
      </c>
      <c r="X117" s="38" t="str">
        <f>IF(L117="","",IF(V117&gt;0,INDEX('10-تشرين الأول'!$P$2:$P$501,V117),IF($AO$1=1,0,"")))</f>
        <v/>
      </c>
      <c r="Y117" s="38" t="str">
        <f t="shared" si="32"/>
        <v/>
      </c>
      <c r="Z117" s="39" t="str">
        <f>IF(L117="","",IF(V117&gt;0,INDEX('10-تشرين الأول'!$Q$2:$Q$501,V117),IF($AO$1=1,0,"")))</f>
        <v/>
      </c>
      <c r="AA117" s="39" t="str">
        <f t="shared" si="33"/>
        <v/>
      </c>
      <c r="AB117" s="40" t="str">
        <f>IF(OR(L117="",V117=0),"",IF(AND(N(I117)&gt;0,N(INDEX('10-تشرين الأول'!$I$2:$I$501,V117))&gt;0,INDEX('10-تشرين الأول'!$F$2:$F$501,V117)=F117),N(I117)/N(INDEX('10-تشرين الأول'!$I$2:$I$501,V117))-1,""))</f>
        <v/>
      </c>
      <c r="AC117" t="str">
        <f>IF(L117="","",IF(AND($AO$2=1,ISNA(MATCH(L117,'12-كانون الأول'!$L$2:$L$501,0))),"محذوف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IF(L118="","",IF($AO$1=1,IFERROR(MATCH(L118,'10-تشرين الأول'!$L$2:$L$501,0),0),0))</f>
        <v/>
      </c>
      <c r="W118" t="str">
        <f t="shared" si="31"/>
        <v/>
      </c>
      <c r="X118" s="38" t="str">
        <f>IF(L118="","",IF(V118&gt;0,INDEX('10-تشرين الأول'!$P$2:$P$501,V118),IF($AO$1=1,0,"")))</f>
        <v/>
      </c>
      <c r="Y118" s="38" t="str">
        <f t="shared" si="32"/>
        <v/>
      </c>
      <c r="Z118" s="39" t="str">
        <f>IF(L118="","",IF(V118&gt;0,INDEX('10-تشرين الأول'!$Q$2:$Q$501,V118),IF($AO$1=1,0,"")))</f>
        <v/>
      </c>
      <c r="AA118" s="39" t="str">
        <f t="shared" si="33"/>
        <v/>
      </c>
      <c r="AB118" s="40" t="str">
        <f>IF(OR(L118="",V118=0),"",IF(AND(N(I118)&gt;0,N(INDEX('10-تشرين الأول'!$I$2:$I$501,V118))&gt;0,INDEX('10-تشرين الأول'!$F$2:$F$501,V118)=F118),N(I118)/N(INDEX('10-تشرين الأول'!$I$2:$I$501,V118))-1,""))</f>
        <v/>
      </c>
      <c r="AC118" t="str">
        <f>IF(L118="","",IF(AND($AO$2=1,ISNA(MATCH(L118,'12-كانون الأول'!$L$2:$L$501,0))),"محذوف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IF(L119="","",IF($AO$1=1,IFERROR(MATCH(L119,'10-تشرين الأول'!$L$2:$L$501,0),0),0))</f>
        <v/>
      </c>
      <c r="W119" t="str">
        <f t="shared" si="31"/>
        <v/>
      </c>
      <c r="X119" s="38" t="str">
        <f>IF(L119="","",IF(V119&gt;0,INDEX('10-تشرين الأول'!$P$2:$P$501,V119),IF($AO$1=1,0,"")))</f>
        <v/>
      </c>
      <c r="Y119" s="38" t="str">
        <f t="shared" si="32"/>
        <v/>
      </c>
      <c r="Z119" s="39" t="str">
        <f>IF(L119="","",IF(V119&gt;0,INDEX('10-تشرين الأول'!$Q$2:$Q$501,V119),IF($AO$1=1,0,"")))</f>
        <v/>
      </c>
      <c r="AA119" s="39" t="str">
        <f t="shared" si="33"/>
        <v/>
      </c>
      <c r="AB119" s="40" t="str">
        <f>IF(OR(L119="",V119=0),"",IF(AND(N(I119)&gt;0,N(INDEX('10-تشرين الأول'!$I$2:$I$501,V119))&gt;0,INDEX('10-تشرين الأول'!$F$2:$F$501,V119)=F119),N(I119)/N(INDEX('10-تشرين الأول'!$I$2:$I$501,V119))-1,""))</f>
        <v/>
      </c>
      <c r="AC119" t="str">
        <f>IF(L119="","",IF(AND($AO$2=1,ISNA(MATCH(L119,'12-كانون الأول'!$L$2:$L$501,0))),"محذوف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IF(L120="","",IF($AO$1=1,IFERROR(MATCH(L120,'10-تشرين الأول'!$L$2:$L$501,0),0),0))</f>
        <v/>
      </c>
      <c r="W120" t="str">
        <f t="shared" si="31"/>
        <v/>
      </c>
      <c r="X120" s="38" t="str">
        <f>IF(L120="","",IF(V120&gt;0,INDEX('10-تشرين الأول'!$P$2:$P$501,V120),IF($AO$1=1,0,"")))</f>
        <v/>
      </c>
      <c r="Y120" s="38" t="str">
        <f t="shared" si="32"/>
        <v/>
      </c>
      <c r="Z120" s="39" t="str">
        <f>IF(L120="","",IF(V120&gt;0,INDEX('10-تشرين الأول'!$Q$2:$Q$501,V120),IF($AO$1=1,0,"")))</f>
        <v/>
      </c>
      <c r="AA120" s="39" t="str">
        <f t="shared" si="33"/>
        <v/>
      </c>
      <c r="AB120" s="40" t="str">
        <f>IF(OR(L120="",V120=0),"",IF(AND(N(I120)&gt;0,N(INDEX('10-تشرين الأول'!$I$2:$I$501,V120))&gt;0,INDEX('10-تشرين الأول'!$F$2:$F$501,V120)=F120),N(I120)/N(INDEX('10-تشرين الأول'!$I$2:$I$501,V120))-1,""))</f>
        <v/>
      </c>
      <c r="AC120" t="str">
        <f>IF(L120="","",IF(AND($AO$2=1,ISNA(MATCH(L120,'12-كانون الأول'!$L$2:$L$501,0))),"محذوف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IF(L121="","",IF($AO$1=1,IFERROR(MATCH(L121,'10-تشرين الأول'!$L$2:$L$501,0),0),0))</f>
        <v/>
      </c>
      <c r="W121" t="str">
        <f t="shared" si="31"/>
        <v/>
      </c>
      <c r="X121" s="38" t="str">
        <f>IF(L121="","",IF(V121&gt;0,INDEX('10-تشرين الأول'!$P$2:$P$501,V121),IF($AO$1=1,0,"")))</f>
        <v/>
      </c>
      <c r="Y121" s="38" t="str">
        <f t="shared" si="32"/>
        <v/>
      </c>
      <c r="Z121" s="39" t="str">
        <f>IF(L121="","",IF(V121&gt;0,INDEX('10-تشرين الأول'!$Q$2:$Q$501,V121),IF($AO$1=1,0,"")))</f>
        <v/>
      </c>
      <c r="AA121" s="39" t="str">
        <f t="shared" si="33"/>
        <v/>
      </c>
      <c r="AB121" s="40" t="str">
        <f>IF(OR(L121="",V121=0),"",IF(AND(N(I121)&gt;0,N(INDEX('10-تشرين الأول'!$I$2:$I$501,V121))&gt;0,INDEX('10-تشرين الأول'!$F$2:$F$501,V121)=F121),N(I121)/N(INDEX('10-تشرين الأول'!$I$2:$I$501,V121))-1,""))</f>
        <v/>
      </c>
      <c r="AC121" t="str">
        <f>IF(L121="","",IF(AND($AO$2=1,ISNA(MATCH(L121,'12-كانون الأول'!$L$2:$L$501,0))),"محذوف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IF(L122="","",IF($AO$1=1,IFERROR(MATCH(L122,'10-تشرين الأول'!$L$2:$L$501,0),0),0))</f>
        <v/>
      </c>
      <c r="W122" t="str">
        <f t="shared" si="31"/>
        <v/>
      </c>
      <c r="X122" s="38" t="str">
        <f>IF(L122="","",IF(V122&gt;0,INDEX('10-تشرين الأول'!$P$2:$P$501,V122),IF($AO$1=1,0,"")))</f>
        <v/>
      </c>
      <c r="Y122" s="38" t="str">
        <f t="shared" si="32"/>
        <v/>
      </c>
      <c r="Z122" s="39" t="str">
        <f>IF(L122="","",IF(V122&gt;0,INDEX('10-تشرين الأول'!$Q$2:$Q$501,V122),IF($AO$1=1,0,"")))</f>
        <v/>
      </c>
      <c r="AA122" s="39" t="str">
        <f t="shared" si="33"/>
        <v/>
      </c>
      <c r="AB122" s="40" t="str">
        <f>IF(OR(L122="",V122=0),"",IF(AND(N(I122)&gt;0,N(INDEX('10-تشرين الأول'!$I$2:$I$501,V122))&gt;0,INDEX('10-تشرين الأول'!$F$2:$F$501,V122)=F122),N(I122)/N(INDEX('10-تشرين الأول'!$I$2:$I$501,V122))-1,""))</f>
        <v/>
      </c>
      <c r="AC122" t="str">
        <f>IF(L122="","",IF(AND($AO$2=1,ISNA(MATCH(L122,'12-كانون الأول'!$L$2:$L$501,0))),"محذوف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IF(L123="","",IF($AO$1=1,IFERROR(MATCH(L123,'10-تشرين الأول'!$L$2:$L$501,0),0),0))</f>
        <v/>
      </c>
      <c r="W123" t="str">
        <f t="shared" si="31"/>
        <v/>
      </c>
      <c r="X123" s="38" t="str">
        <f>IF(L123="","",IF(V123&gt;0,INDEX('10-تشرين الأول'!$P$2:$P$501,V123),IF($AO$1=1,0,"")))</f>
        <v/>
      </c>
      <c r="Y123" s="38" t="str">
        <f t="shared" si="32"/>
        <v/>
      </c>
      <c r="Z123" s="39" t="str">
        <f>IF(L123="","",IF(V123&gt;0,INDEX('10-تشرين الأول'!$Q$2:$Q$501,V123),IF($AO$1=1,0,"")))</f>
        <v/>
      </c>
      <c r="AA123" s="39" t="str">
        <f t="shared" si="33"/>
        <v/>
      </c>
      <c r="AB123" s="40" t="str">
        <f>IF(OR(L123="",V123=0),"",IF(AND(N(I123)&gt;0,N(INDEX('10-تشرين الأول'!$I$2:$I$501,V123))&gt;0,INDEX('10-تشرين الأول'!$F$2:$F$501,V123)=F123),N(I123)/N(INDEX('10-تشرين الأول'!$I$2:$I$501,V123))-1,""))</f>
        <v/>
      </c>
      <c r="AC123" t="str">
        <f>IF(L123="","",IF(AND($AO$2=1,ISNA(MATCH(L123,'12-كانون الأول'!$L$2:$L$501,0))),"محذوف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IF(L124="","",IF($AO$1=1,IFERROR(MATCH(L124,'10-تشرين الأول'!$L$2:$L$501,0),0),0))</f>
        <v/>
      </c>
      <c r="W124" t="str">
        <f t="shared" si="31"/>
        <v/>
      </c>
      <c r="X124" s="38" t="str">
        <f>IF(L124="","",IF(V124&gt;0,INDEX('10-تشرين الأول'!$P$2:$P$501,V124),IF($AO$1=1,0,"")))</f>
        <v/>
      </c>
      <c r="Y124" s="38" t="str">
        <f t="shared" si="32"/>
        <v/>
      </c>
      <c r="Z124" s="39" t="str">
        <f>IF(L124="","",IF(V124&gt;0,INDEX('10-تشرين الأول'!$Q$2:$Q$501,V124),IF($AO$1=1,0,"")))</f>
        <v/>
      </c>
      <c r="AA124" s="39" t="str">
        <f t="shared" si="33"/>
        <v/>
      </c>
      <c r="AB124" s="40" t="str">
        <f>IF(OR(L124="",V124=0),"",IF(AND(N(I124)&gt;0,N(INDEX('10-تشرين الأول'!$I$2:$I$501,V124))&gt;0,INDEX('10-تشرين الأول'!$F$2:$F$501,V124)=F124),N(I124)/N(INDEX('10-تشرين الأول'!$I$2:$I$501,V124))-1,""))</f>
        <v/>
      </c>
      <c r="AC124" t="str">
        <f>IF(L124="","",IF(AND($AO$2=1,ISNA(MATCH(L124,'12-كانون الأول'!$L$2:$L$501,0))),"محذوف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IF(L125="","",IF($AO$1=1,IFERROR(MATCH(L125,'10-تشرين الأول'!$L$2:$L$501,0),0),0))</f>
        <v/>
      </c>
      <c r="W125" t="str">
        <f t="shared" si="31"/>
        <v/>
      </c>
      <c r="X125" s="38" t="str">
        <f>IF(L125="","",IF(V125&gt;0,INDEX('10-تشرين الأول'!$P$2:$P$501,V125),IF($AO$1=1,0,"")))</f>
        <v/>
      </c>
      <c r="Y125" s="38" t="str">
        <f t="shared" si="32"/>
        <v/>
      </c>
      <c r="Z125" s="39" t="str">
        <f>IF(L125="","",IF(V125&gt;0,INDEX('10-تشرين الأول'!$Q$2:$Q$501,V125),IF($AO$1=1,0,"")))</f>
        <v/>
      </c>
      <c r="AA125" s="39" t="str">
        <f t="shared" si="33"/>
        <v/>
      </c>
      <c r="AB125" s="40" t="str">
        <f>IF(OR(L125="",V125=0),"",IF(AND(N(I125)&gt;0,N(INDEX('10-تشرين الأول'!$I$2:$I$501,V125))&gt;0,INDEX('10-تشرين الأول'!$F$2:$F$501,V125)=F125),N(I125)/N(INDEX('10-تشرين الأول'!$I$2:$I$501,V125))-1,""))</f>
        <v/>
      </c>
      <c r="AC125" t="str">
        <f>IF(L125="","",IF(AND($AO$2=1,ISNA(MATCH(L125,'12-كانون الأول'!$L$2:$L$501,0))),"محذوف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IF(L126="","",IF($AO$1=1,IFERROR(MATCH(L126,'10-تشرين الأول'!$L$2:$L$501,0),0),0))</f>
        <v/>
      </c>
      <c r="W126" t="str">
        <f t="shared" si="31"/>
        <v/>
      </c>
      <c r="X126" s="38" t="str">
        <f>IF(L126="","",IF(V126&gt;0,INDEX('10-تشرين الأول'!$P$2:$P$501,V126),IF($AO$1=1,0,"")))</f>
        <v/>
      </c>
      <c r="Y126" s="38" t="str">
        <f t="shared" si="32"/>
        <v/>
      </c>
      <c r="Z126" s="39" t="str">
        <f>IF(L126="","",IF(V126&gt;0,INDEX('10-تشرين الأول'!$Q$2:$Q$501,V126),IF($AO$1=1,0,"")))</f>
        <v/>
      </c>
      <c r="AA126" s="39" t="str">
        <f t="shared" si="33"/>
        <v/>
      </c>
      <c r="AB126" s="40" t="str">
        <f>IF(OR(L126="",V126=0),"",IF(AND(N(I126)&gt;0,N(INDEX('10-تشرين الأول'!$I$2:$I$501,V126))&gt;0,INDEX('10-تشرين الأول'!$F$2:$F$501,V126)=F126),N(I126)/N(INDEX('10-تشرين الأول'!$I$2:$I$501,V126))-1,""))</f>
        <v/>
      </c>
      <c r="AC126" t="str">
        <f>IF(L126="","",IF(AND($AO$2=1,ISNA(MATCH(L126,'12-كانون الأول'!$L$2:$L$501,0))),"محذوف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IF(L127="","",IF($AO$1=1,IFERROR(MATCH(L127,'10-تشرين الأول'!$L$2:$L$501,0),0),0))</f>
        <v/>
      </c>
      <c r="W127" t="str">
        <f t="shared" si="31"/>
        <v/>
      </c>
      <c r="X127" s="38" t="str">
        <f>IF(L127="","",IF(V127&gt;0,INDEX('10-تشرين الأول'!$P$2:$P$501,V127),IF($AO$1=1,0,"")))</f>
        <v/>
      </c>
      <c r="Y127" s="38" t="str">
        <f t="shared" si="32"/>
        <v/>
      </c>
      <c r="Z127" s="39" t="str">
        <f>IF(L127="","",IF(V127&gt;0,INDEX('10-تشرين الأول'!$Q$2:$Q$501,V127),IF($AO$1=1,0,"")))</f>
        <v/>
      </c>
      <c r="AA127" s="39" t="str">
        <f t="shared" si="33"/>
        <v/>
      </c>
      <c r="AB127" s="40" t="str">
        <f>IF(OR(L127="",V127=0),"",IF(AND(N(I127)&gt;0,N(INDEX('10-تشرين الأول'!$I$2:$I$501,V127))&gt;0,INDEX('10-تشرين الأول'!$F$2:$F$501,V127)=F127),N(I127)/N(INDEX('10-تشرين الأول'!$I$2:$I$501,V127))-1,""))</f>
        <v/>
      </c>
      <c r="AC127" t="str">
        <f>IF(L127="","",IF(AND($AO$2=1,ISNA(MATCH(L127,'12-كانون الأول'!$L$2:$L$501,0))),"محذوف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IF(L128="","",IF($AO$1=1,IFERROR(MATCH(L128,'10-تشرين الأول'!$L$2:$L$501,0),0),0))</f>
        <v/>
      </c>
      <c r="W128" t="str">
        <f t="shared" si="31"/>
        <v/>
      </c>
      <c r="X128" s="38" t="str">
        <f>IF(L128="","",IF(V128&gt;0,INDEX('10-تشرين الأول'!$P$2:$P$501,V128),IF($AO$1=1,0,"")))</f>
        <v/>
      </c>
      <c r="Y128" s="38" t="str">
        <f t="shared" si="32"/>
        <v/>
      </c>
      <c r="Z128" s="39" t="str">
        <f>IF(L128="","",IF(V128&gt;0,INDEX('10-تشرين الأول'!$Q$2:$Q$501,V128),IF($AO$1=1,0,"")))</f>
        <v/>
      </c>
      <c r="AA128" s="39" t="str">
        <f t="shared" si="33"/>
        <v/>
      </c>
      <c r="AB128" s="40" t="str">
        <f>IF(OR(L128="",V128=0),"",IF(AND(N(I128)&gt;0,N(INDEX('10-تشرين الأول'!$I$2:$I$501,V128))&gt;0,INDEX('10-تشرين الأول'!$F$2:$F$501,V128)=F128),N(I128)/N(INDEX('10-تشرين الأول'!$I$2:$I$501,V128))-1,""))</f>
        <v/>
      </c>
      <c r="AC128" t="str">
        <f>IF(L128="","",IF(AND($AO$2=1,ISNA(MATCH(L128,'12-كانون الأول'!$L$2:$L$501,0))),"محذوف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IF(L129="","",IF($AO$1=1,IFERROR(MATCH(L129,'10-تشرين الأول'!$L$2:$L$501,0),0),0))</f>
        <v/>
      </c>
      <c r="W129" t="str">
        <f t="shared" si="31"/>
        <v/>
      </c>
      <c r="X129" s="38" t="str">
        <f>IF(L129="","",IF(V129&gt;0,INDEX('10-تشرين الأول'!$P$2:$P$501,V129),IF($AO$1=1,0,"")))</f>
        <v/>
      </c>
      <c r="Y129" s="38" t="str">
        <f t="shared" si="32"/>
        <v/>
      </c>
      <c r="Z129" s="39" t="str">
        <f>IF(L129="","",IF(V129&gt;0,INDEX('10-تشرين الأول'!$Q$2:$Q$501,V129),IF($AO$1=1,0,"")))</f>
        <v/>
      </c>
      <c r="AA129" s="39" t="str">
        <f t="shared" si="33"/>
        <v/>
      </c>
      <c r="AB129" s="40" t="str">
        <f>IF(OR(L129="",V129=0),"",IF(AND(N(I129)&gt;0,N(INDEX('10-تشرين الأول'!$I$2:$I$501,V129))&gt;0,INDEX('10-تشرين الأول'!$F$2:$F$501,V129)=F129),N(I129)/N(INDEX('10-تشرين الأول'!$I$2:$I$501,V129))-1,""))</f>
        <v/>
      </c>
      <c r="AC129" t="str">
        <f>IF(L129="","",IF(AND($AO$2=1,ISNA(MATCH(L129,'12-كانون الأول'!$L$2:$L$501,0))),"محذوف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IF(L130="","",IF($AO$1=1,IFERROR(MATCH(L130,'10-تشرين الأول'!$L$2:$L$501,0),0),0))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IF(L130="","",IF(V130&gt;0,INDEX('10-تشرين الأول'!$P$2:$P$501,V130),IF($AO$1=1,0,"")))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IF(L130="","",IF(V130&gt;0,INDEX('10-تشرين الأول'!$Q$2:$Q$501,V130),IF($AO$1=1,0,"")))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IF(OR(L130="",V130=0),"",IF(AND(N(I130)&gt;0,N(INDEX('10-تشرين الأول'!$I$2:$I$501,V130))&gt;0,INDEX('10-تشرين الأول'!$F$2:$F$501,V130)=F130),N(I130)/N(INDEX('10-تشرين الأول'!$I$2:$I$501,V130))-1,""))</f>
        <v/>
      </c>
      <c r="AC130" t="str">
        <f>IF(L130="","",IF(AND($AO$2=1,ISNA(MATCH(L130,'12-كانون الأول'!$L$2:$L$501,0))),"محذوف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IF(L131="","",IF($AO$1=1,IFERROR(MATCH(L131,'10-تشرين الأول'!$L$2:$L$501,0),0),0))</f>
        <v/>
      </c>
      <c r="W131" t="str">
        <f t="shared" si="51"/>
        <v/>
      </c>
      <c r="X131" s="38" t="str">
        <f>IF(L131="","",IF(V131&gt;0,INDEX('10-تشرين الأول'!$P$2:$P$501,V131),IF($AO$1=1,0,"")))</f>
        <v/>
      </c>
      <c r="Y131" s="38" t="str">
        <f t="shared" si="52"/>
        <v/>
      </c>
      <c r="Z131" s="39" t="str">
        <f>IF(L131="","",IF(V131&gt;0,INDEX('10-تشرين الأول'!$Q$2:$Q$501,V131),IF($AO$1=1,0,"")))</f>
        <v/>
      </c>
      <c r="AA131" s="39" t="str">
        <f t="shared" si="53"/>
        <v/>
      </c>
      <c r="AB131" s="40" t="str">
        <f>IF(OR(L131="",V131=0),"",IF(AND(N(I131)&gt;0,N(INDEX('10-تشرين الأول'!$I$2:$I$501,V131))&gt;0,INDEX('10-تشرين الأول'!$F$2:$F$501,V131)=F131),N(I131)/N(INDEX('10-تشرين الأول'!$I$2:$I$501,V131))-1,""))</f>
        <v/>
      </c>
      <c r="AC131" t="str">
        <f>IF(L131="","",IF(AND($AO$2=1,ISNA(MATCH(L131,'12-كانون الأول'!$L$2:$L$501,0))),"محذوف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IF(L132="","",IF($AO$1=1,IFERROR(MATCH(L132,'10-تشرين الأول'!$L$2:$L$501,0),0),0))</f>
        <v/>
      </c>
      <c r="W132" t="str">
        <f t="shared" si="51"/>
        <v/>
      </c>
      <c r="X132" s="38" t="str">
        <f>IF(L132="","",IF(V132&gt;0,INDEX('10-تشرين الأول'!$P$2:$P$501,V132),IF($AO$1=1,0,"")))</f>
        <v/>
      </c>
      <c r="Y132" s="38" t="str">
        <f t="shared" si="52"/>
        <v/>
      </c>
      <c r="Z132" s="39" t="str">
        <f>IF(L132="","",IF(V132&gt;0,INDEX('10-تشرين الأول'!$Q$2:$Q$501,V132),IF($AO$1=1,0,"")))</f>
        <v/>
      </c>
      <c r="AA132" s="39" t="str">
        <f t="shared" si="53"/>
        <v/>
      </c>
      <c r="AB132" s="40" t="str">
        <f>IF(OR(L132="",V132=0),"",IF(AND(N(I132)&gt;0,N(INDEX('10-تشرين الأول'!$I$2:$I$501,V132))&gt;0,INDEX('10-تشرين الأول'!$F$2:$F$501,V132)=F132),N(I132)/N(INDEX('10-تشرين الأول'!$I$2:$I$501,V132))-1,""))</f>
        <v/>
      </c>
      <c r="AC132" t="str">
        <f>IF(L132="","",IF(AND($AO$2=1,ISNA(MATCH(L132,'12-كانون الأول'!$L$2:$L$501,0))),"محذوف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IF(L133="","",IF($AO$1=1,IFERROR(MATCH(L133,'10-تشرين الأول'!$L$2:$L$501,0),0),0))</f>
        <v/>
      </c>
      <c r="W133" t="str">
        <f t="shared" si="51"/>
        <v/>
      </c>
      <c r="X133" s="38" t="str">
        <f>IF(L133="","",IF(V133&gt;0,INDEX('10-تشرين الأول'!$P$2:$P$501,V133),IF($AO$1=1,0,"")))</f>
        <v/>
      </c>
      <c r="Y133" s="38" t="str">
        <f t="shared" si="52"/>
        <v/>
      </c>
      <c r="Z133" s="39" t="str">
        <f>IF(L133="","",IF(V133&gt;0,INDEX('10-تشرين الأول'!$Q$2:$Q$501,V133),IF($AO$1=1,0,"")))</f>
        <v/>
      </c>
      <c r="AA133" s="39" t="str">
        <f t="shared" si="53"/>
        <v/>
      </c>
      <c r="AB133" s="40" t="str">
        <f>IF(OR(L133="",V133=0),"",IF(AND(N(I133)&gt;0,N(INDEX('10-تشرين الأول'!$I$2:$I$501,V133))&gt;0,INDEX('10-تشرين الأول'!$F$2:$F$501,V133)=F133),N(I133)/N(INDEX('10-تشرين الأول'!$I$2:$I$501,V133))-1,""))</f>
        <v/>
      </c>
      <c r="AC133" t="str">
        <f>IF(L133="","",IF(AND($AO$2=1,ISNA(MATCH(L133,'12-كانون الأول'!$L$2:$L$501,0))),"محذوف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IF(L134="","",IF($AO$1=1,IFERROR(MATCH(L134,'10-تشرين الأول'!$L$2:$L$501,0),0),0))</f>
        <v/>
      </c>
      <c r="W134" t="str">
        <f t="shared" si="51"/>
        <v/>
      </c>
      <c r="X134" s="38" t="str">
        <f>IF(L134="","",IF(V134&gt;0,INDEX('10-تشرين الأول'!$P$2:$P$501,V134),IF($AO$1=1,0,"")))</f>
        <v/>
      </c>
      <c r="Y134" s="38" t="str">
        <f t="shared" si="52"/>
        <v/>
      </c>
      <c r="Z134" s="39" t="str">
        <f>IF(L134="","",IF(V134&gt;0,INDEX('10-تشرين الأول'!$Q$2:$Q$501,V134),IF($AO$1=1,0,"")))</f>
        <v/>
      </c>
      <c r="AA134" s="39" t="str">
        <f t="shared" si="53"/>
        <v/>
      </c>
      <c r="AB134" s="40" t="str">
        <f>IF(OR(L134="",V134=0),"",IF(AND(N(I134)&gt;0,N(INDEX('10-تشرين الأول'!$I$2:$I$501,V134))&gt;0,INDEX('10-تشرين الأول'!$F$2:$F$501,V134)=F134),N(I134)/N(INDEX('10-تشرين الأول'!$I$2:$I$501,V134))-1,""))</f>
        <v/>
      </c>
      <c r="AC134" t="str">
        <f>IF(L134="","",IF(AND($AO$2=1,ISNA(MATCH(L134,'12-كانون الأول'!$L$2:$L$501,0))),"محذوف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IF(L135="","",IF($AO$1=1,IFERROR(MATCH(L135,'10-تشرين الأول'!$L$2:$L$501,0),0),0))</f>
        <v/>
      </c>
      <c r="W135" t="str">
        <f t="shared" si="51"/>
        <v/>
      </c>
      <c r="X135" s="38" t="str">
        <f>IF(L135="","",IF(V135&gt;0,INDEX('10-تشرين الأول'!$P$2:$P$501,V135),IF($AO$1=1,0,"")))</f>
        <v/>
      </c>
      <c r="Y135" s="38" t="str">
        <f t="shared" si="52"/>
        <v/>
      </c>
      <c r="Z135" s="39" t="str">
        <f>IF(L135="","",IF(V135&gt;0,INDEX('10-تشرين الأول'!$Q$2:$Q$501,V135),IF($AO$1=1,0,"")))</f>
        <v/>
      </c>
      <c r="AA135" s="39" t="str">
        <f t="shared" si="53"/>
        <v/>
      </c>
      <c r="AB135" s="40" t="str">
        <f>IF(OR(L135="",V135=0),"",IF(AND(N(I135)&gt;0,N(INDEX('10-تشرين الأول'!$I$2:$I$501,V135))&gt;0,INDEX('10-تشرين الأول'!$F$2:$F$501,V135)=F135),N(I135)/N(INDEX('10-تشرين الأول'!$I$2:$I$501,V135))-1,""))</f>
        <v/>
      </c>
      <c r="AC135" t="str">
        <f>IF(L135="","",IF(AND($AO$2=1,ISNA(MATCH(L135,'12-كانون الأول'!$L$2:$L$501,0))),"محذوف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IF(L136="","",IF($AO$1=1,IFERROR(MATCH(L136,'10-تشرين الأول'!$L$2:$L$501,0),0),0))</f>
        <v/>
      </c>
      <c r="W136" t="str">
        <f t="shared" si="51"/>
        <v/>
      </c>
      <c r="X136" s="38" t="str">
        <f>IF(L136="","",IF(V136&gt;0,INDEX('10-تشرين الأول'!$P$2:$P$501,V136),IF($AO$1=1,0,"")))</f>
        <v/>
      </c>
      <c r="Y136" s="38" t="str">
        <f t="shared" si="52"/>
        <v/>
      </c>
      <c r="Z136" s="39" t="str">
        <f>IF(L136="","",IF(V136&gt;0,INDEX('10-تشرين الأول'!$Q$2:$Q$501,V136),IF($AO$1=1,0,"")))</f>
        <v/>
      </c>
      <c r="AA136" s="39" t="str">
        <f t="shared" si="53"/>
        <v/>
      </c>
      <c r="AB136" s="40" t="str">
        <f>IF(OR(L136="",V136=0),"",IF(AND(N(I136)&gt;0,N(INDEX('10-تشرين الأول'!$I$2:$I$501,V136))&gt;0,INDEX('10-تشرين الأول'!$F$2:$F$501,V136)=F136),N(I136)/N(INDEX('10-تشرين الأول'!$I$2:$I$501,V136))-1,""))</f>
        <v/>
      </c>
      <c r="AC136" t="str">
        <f>IF(L136="","",IF(AND($AO$2=1,ISNA(MATCH(L136,'12-كانون الأول'!$L$2:$L$501,0))),"محذوف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IF(L137="","",IF($AO$1=1,IFERROR(MATCH(L137,'10-تشرين الأول'!$L$2:$L$501,0),0),0))</f>
        <v/>
      </c>
      <c r="W137" t="str">
        <f t="shared" si="51"/>
        <v/>
      </c>
      <c r="X137" s="38" t="str">
        <f>IF(L137="","",IF(V137&gt;0,INDEX('10-تشرين الأول'!$P$2:$P$501,V137),IF($AO$1=1,0,"")))</f>
        <v/>
      </c>
      <c r="Y137" s="38" t="str">
        <f t="shared" si="52"/>
        <v/>
      </c>
      <c r="Z137" s="39" t="str">
        <f>IF(L137="","",IF(V137&gt;0,INDEX('10-تشرين الأول'!$Q$2:$Q$501,V137),IF($AO$1=1,0,"")))</f>
        <v/>
      </c>
      <c r="AA137" s="39" t="str">
        <f t="shared" si="53"/>
        <v/>
      </c>
      <c r="AB137" s="40" t="str">
        <f>IF(OR(L137="",V137=0),"",IF(AND(N(I137)&gt;0,N(INDEX('10-تشرين الأول'!$I$2:$I$501,V137))&gt;0,INDEX('10-تشرين الأول'!$F$2:$F$501,V137)=F137),N(I137)/N(INDEX('10-تشرين الأول'!$I$2:$I$501,V137))-1,""))</f>
        <v/>
      </c>
      <c r="AC137" t="str">
        <f>IF(L137="","",IF(AND($AO$2=1,ISNA(MATCH(L137,'12-كانون الأول'!$L$2:$L$501,0))),"محذوف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IF(L138="","",IF($AO$1=1,IFERROR(MATCH(L138,'10-تشرين الأول'!$L$2:$L$501,0),0),0))</f>
        <v/>
      </c>
      <c r="W138" t="str">
        <f t="shared" si="51"/>
        <v/>
      </c>
      <c r="X138" s="38" t="str">
        <f>IF(L138="","",IF(V138&gt;0,INDEX('10-تشرين الأول'!$P$2:$P$501,V138),IF($AO$1=1,0,"")))</f>
        <v/>
      </c>
      <c r="Y138" s="38" t="str">
        <f t="shared" si="52"/>
        <v/>
      </c>
      <c r="Z138" s="39" t="str">
        <f>IF(L138="","",IF(V138&gt;0,INDEX('10-تشرين الأول'!$Q$2:$Q$501,V138),IF($AO$1=1,0,"")))</f>
        <v/>
      </c>
      <c r="AA138" s="39" t="str">
        <f t="shared" si="53"/>
        <v/>
      </c>
      <c r="AB138" s="40" t="str">
        <f>IF(OR(L138="",V138=0),"",IF(AND(N(I138)&gt;0,N(INDEX('10-تشرين الأول'!$I$2:$I$501,V138))&gt;0,INDEX('10-تشرين الأول'!$F$2:$F$501,V138)=F138),N(I138)/N(INDEX('10-تشرين الأول'!$I$2:$I$501,V138))-1,""))</f>
        <v/>
      </c>
      <c r="AC138" t="str">
        <f>IF(L138="","",IF(AND($AO$2=1,ISNA(MATCH(L138,'12-كانون الأول'!$L$2:$L$501,0))),"محذوف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IF(L139="","",IF($AO$1=1,IFERROR(MATCH(L139,'10-تشرين الأول'!$L$2:$L$501,0),0),0))</f>
        <v/>
      </c>
      <c r="W139" t="str">
        <f t="shared" si="51"/>
        <v/>
      </c>
      <c r="X139" s="38" t="str">
        <f>IF(L139="","",IF(V139&gt;0,INDEX('10-تشرين الأول'!$P$2:$P$501,V139),IF($AO$1=1,0,"")))</f>
        <v/>
      </c>
      <c r="Y139" s="38" t="str">
        <f t="shared" si="52"/>
        <v/>
      </c>
      <c r="Z139" s="39" t="str">
        <f>IF(L139="","",IF(V139&gt;0,INDEX('10-تشرين الأول'!$Q$2:$Q$501,V139),IF($AO$1=1,0,"")))</f>
        <v/>
      </c>
      <c r="AA139" s="39" t="str">
        <f t="shared" si="53"/>
        <v/>
      </c>
      <c r="AB139" s="40" t="str">
        <f>IF(OR(L139="",V139=0),"",IF(AND(N(I139)&gt;0,N(INDEX('10-تشرين الأول'!$I$2:$I$501,V139))&gt;0,INDEX('10-تشرين الأول'!$F$2:$F$501,V139)=F139),N(I139)/N(INDEX('10-تشرين الأول'!$I$2:$I$501,V139))-1,""))</f>
        <v/>
      </c>
      <c r="AC139" t="str">
        <f>IF(L139="","",IF(AND($AO$2=1,ISNA(MATCH(L139,'12-كانون الأول'!$L$2:$L$501,0))),"محذوف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IF(L140="","",IF($AO$1=1,IFERROR(MATCH(L140,'10-تشرين الأول'!$L$2:$L$501,0),0),0))</f>
        <v/>
      </c>
      <c r="W140" t="str">
        <f t="shared" si="51"/>
        <v/>
      </c>
      <c r="X140" s="38" t="str">
        <f>IF(L140="","",IF(V140&gt;0,INDEX('10-تشرين الأول'!$P$2:$P$501,V140),IF($AO$1=1,0,"")))</f>
        <v/>
      </c>
      <c r="Y140" s="38" t="str">
        <f t="shared" si="52"/>
        <v/>
      </c>
      <c r="Z140" s="39" t="str">
        <f>IF(L140="","",IF(V140&gt;0,INDEX('10-تشرين الأول'!$Q$2:$Q$501,V140),IF($AO$1=1,0,"")))</f>
        <v/>
      </c>
      <c r="AA140" s="39" t="str">
        <f t="shared" si="53"/>
        <v/>
      </c>
      <c r="AB140" s="40" t="str">
        <f>IF(OR(L140="",V140=0),"",IF(AND(N(I140)&gt;0,N(INDEX('10-تشرين الأول'!$I$2:$I$501,V140))&gt;0,INDEX('10-تشرين الأول'!$F$2:$F$501,V140)=F140),N(I140)/N(INDEX('10-تشرين الأول'!$I$2:$I$501,V140))-1,""))</f>
        <v/>
      </c>
      <c r="AC140" t="str">
        <f>IF(L140="","",IF(AND($AO$2=1,ISNA(MATCH(L140,'12-كانون الأول'!$L$2:$L$501,0))),"محذوف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IF(L141="","",IF($AO$1=1,IFERROR(MATCH(L141,'10-تشرين الأول'!$L$2:$L$501,0),0),0))</f>
        <v/>
      </c>
      <c r="W141" t="str">
        <f t="shared" si="51"/>
        <v/>
      </c>
      <c r="X141" s="38" t="str">
        <f>IF(L141="","",IF(V141&gt;0,INDEX('10-تشرين الأول'!$P$2:$P$501,V141),IF($AO$1=1,0,"")))</f>
        <v/>
      </c>
      <c r="Y141" s="38" t="str">
        <f t="shared" si="52"/>
        <v/>
      </c>
      <c r="Z141" s="39" t="str">
        <f>IF(L141="","",IF(V141&gt;0,INDEX('10-تشرين الأول'!$Q$2:$Q$501,V141),IF($AO$1=1,0,"")))</f>
        <v/>
      </c>
      <c r="AA141" s="39" t="str">
        <f t="shared" si="53"/>
        <v/>
      </c>
      <c r="AB141" s="40" t="str">
        <f>IF(OR(L141="",V141=0),"",IF(AND(N(I141)&gt;0,N(INDEX('10-تشرين الأول'!$I$2:$I$501,V141))&gt;0,INDEX('10-تشرين الأول'!$F$2:$F$501,V141)=F141),N(I141)/N(INDEX('10-تشرين الأول'!$I$2:$I$501,V141))-1,""))</f>
        <v/>
      </c>
      <c r="AC141" t="str">
        <f>IF(L141="","",IF(AND($AO$2=1,ISNA(MATCH(L141,'12-كانون الأول'!$L$2:$L$501,0))),"محذوف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IF(L142="","",IF($AO$1=1,IFERROR(MATCH(L142,'10-تشرين الأول'!$L$2:$L$501,0),0),0))</f>
        <v/>
      </c>
      <c r="W142" t="str">
        <f t="shared" si="51"/>
        <v/>
      </c>
      <c r="X142" s="38" t="str">
        <f>IF(L142="","",IF(V142&gt;0,INDEX('10-تشرين الأول'!$P$2:$P$501,V142),IF($AO$1=1,0,"")))</f>
        <v/>
      </c>
      <c r="Y142" s="38" t="str">
        <f t="shared" si="52"/>
        <v/>
      </c>
      <c r="Z142" s="39" t="str">
        <f>IF(L142="","",IF(V142&gt;0,INDEX('10-تشرين الأول'!$Q$2:$Q$501,V142),IF($AO$1=1,0,"")))</f>
        <v/>
      </c>
      <c r="AA142" s="39" t="str">
        <f t="shared" si="53"/>
        <v/>
      </c>
      <c r="AB142" s="40" t="str">
        <f>IF(OR(L142="",V142=0),"",IF(AND(N(I142)&gt;0,N(INDEX('10-تشرين الأول'!$I$2:$I$501,V142))&gt;0,INDEX('10-تشرين الأول'!$F$2:$F$501,V142)=F142),N(I142)/N(INDEX('10-تشرين الأول'!$I$2:$I$501,V142))-1,""))</f>
        <v/>
      </c>
      <c r="AC142" t="str">
        <f>IF(L142="","",IF(AND($AO$2=1,ISNA(MATCH(L142,'12-كانون الأول'!$L$2:$L$501,0))),"محذوف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IF(L143="","",IF($AO$1=1,IFERROR(MATCH(L143,'10-تشرين الأول'!$L$2:$L$501,0),0),0))</f>
        <v/>
      </c>
      <c r="W143" t="str">
        <f t="shared" si="51"/>
        <v/>
      </c>
      <c r="X143" s="38" t="str">
        <f>IF(L143="","",IF(V143&gt;0,INDEX('10-تشرين الأول'!$P$2:$P$501,V143),IF($AO$1=1,0,"")))</f>
        <v/>
      </c>
      <c r="Y143" s="38" t="str">
        <f t="shared" si="52"/>
        <v/>
      </c>
      <c r="Z143" s="39" t="str">
        <f>IF(L143="","",IF(V143&gt;0,INDEX('10-تشرين الأول'!$Q$2:$Q$501,V143),IF($AO$1=1,0,"")))</f>
        <v/>
      </c>
      <c r="AA143" s="39" t="str">
        <f t="shared" si="53"/>
        <v/>
      </c>
      <c r="AB143" s="40" t="str">
        <f>IF(OR(L143="",V143=0),"",IF(AND(N(I143)&gt;0,N(INDEX('10-تشرين الأول'!$I$2:$I$501,V143))&gt;0,INDEX('10-تشرين الأول'!$F$2:$F$501,V143)=F143),N(I143)/N(INDEX('10-تشرين الأول'!$I$2:$I$501,V143))-1,""))</f>
        <v/>
      </c>
      <c r="AC143" t="str">
        <f>IF(L143="","",IF(AND($AO$2=1,ISNA(MATCH(L143,'12-كانون الأول'!$L$2:$L$501,0))),"محذوف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IF(L144="","",IF($AO$1=1,IFERROR(MATCH(L144,'10-تشرين الأول'!$L$2:$L$501,0),0),0))</f>
        <v/>
      </c>
      <c r="W144" t="str">
        <f t="shared" si="51"/>
        <v/>
      </c>
      <c r="X144" s="38" t="str">
        <f>IF(L144="","",IF(V144&gt;0,INDEX('10-تشرين الأول'!$P$2:$P$501,V144),IF($AO$1=1,0,"")))</f>
        <v/>
      </c>
      <c r="Y144" s="38" t="str">
        <f t="shared" si="52"/>
        <v/>
      </c>
      <c r="Z144" s="39" t="str">
        <f>IF(L144="","",IF(V144&gt;0,INDEX('10-تشرين الأول'!$Q$2:$Q$501,V144),IF($AO$1=1,0,"")))</f>
        <v/>
      </c>
      <c r="AA144" s="39" t="str">
        <f t="shared" si="53"/>
        <v/>
      </c>
      <c r="AB144" s="40" t="str">
        <f>IF(OR(L144="",V144=0),"",IF(AND(N(I144)&gt;0,N(INDEX('10-تشرين الأول'!$I$2:$I$501,V144))&gt;0,INDEX('10-تشرين الأول'!$F$2:$F$501,V144)=F144),N(I144)/N(INDEX('10-تشرين الأول'!$I$2:$I$501,V144))-1,""))</f>
        <v/>
      </c>
      <c r="AC144" t="str">
        <f>IF(L144="","",IF(AND($AO$2=1,ISNA(MATCH(L144,'12-كانون الأول'!$L$2:$L$501,0))),"محذوف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IF(L145="","",IF($AO$1=1,IFERROR(MATCH(L145,'10-تشرين الأول'!$L$2:$L$501,0),0),0))</f>
        <v/>
      </c>
      <c r="W145" t="str">
        <f t="shared" si="51"/>
        <v/>
      </c>
      <c r="X145" s="38" t="str">
        <f>IF(L145="","",IF(V145&gt;0,INDEX('10-تشرين الأول'!$P$2:$P$501,V145),IF($AO$1=1,0,"")))</f>
        <v/>
      </c>
      <c r="Y145" s="38" t="str">
        <f t="shared" si="52"/>
        <v/>
      </c>
      <c r="Z145" s="39" t="str">
        <f>IF(L145="","",IF(V145&gt;0,INDEX('10-تشرين الأول'!$Q$2:$Q$501,V145),IF($AO$1=1,0,"")))</f>
        <v/>
      </c>
      <c r="AA145" s="39" t="str">
        <f t="shared" si="53"/>
        <v/>
      </c>
      <c r="AB145" s="40" t="str">
        <f>IF(OR(L145="",V145=0),"",IF(AND(N(I145)&gt;0,N(INDEX('10-تشرين الأول'!$I$2:$I$501,V145))&gt;0,INDEX('10-تشرين الأول'!$F$2:$F$501,V145)=F145),N(I145)/N(INDEX('10-تشرين الأول'!$I$2:$I$501,V145))-1,""))</f>
        <v/>
      </c>
      <c r="AC145" t="str">
        <f>IF(L145="","",IF(AND($AO$2=1,ISNA(MATCH(L145,'12-كانون الأول'!$L$2:$L$501,0))),"محذوف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IF(L146="","",IF($AO$1=1,IFERROR(MATCH(L146,'10-تشرين الأول'!$L$2:$L$501,0),0),0))</f>
        <v/>
      </c>
      <c r="W146" t="str">
        <f t="shared" si="51"/>
        <v/>
      </c>
      <c r="X146" s="38" t="str">
        <f>IF(L146="","",IF(V146&gt;0,INDEX('10-تشرين الأول'!$P$2:$P$501,V146),IF($AO$1=1,0,"")))</f>
        <v/>
      </c>
      <c r="Y146" s="38" t="str">
        <f t="shared" si="52"/>
        <v/>
      </c>
      <c r="Z146" s="39" t="str">
        <f>IF(L146="","",IF(V146&gt;0,INDEX('10-تشرين الأول'!$Q$2:$Q$501,V146),IF($AO$1=1,0,"")))</f>
        <v/>
      </c>
      <c r="AA146" s="39" t="str">
        <f t="shared" si="53"/>
        <v/>
      </c>
      <c r="AB146" s="40" t="str">
        <f>IF(OR(L146="",V146=0),"",IF(AND(N(I146)&gt;0,N(INDEX('10-تشرين الأول'!$I$2:$I$501,V146))&gt;0,INDEX('10-تشرين الأول'!$F$2:$F$501,V146)=F146),N(I146)/N(INDEX('10-تشرين الأول'!$I$2:$I$501,V146))-1,""))</f>
        <v/>
      </c>
      <c r="AC146" t="str">
        <f>IF(L146="","",IF(AND($AO$2=1,ISNA(MATCH(L146,'12-كانون الأول'!$L$2:$L$501,0))),"محذوف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IF(L147="","",IF($AO$1=1,IFERROR(MATCH(L147,'10-تشرين الأول'!$L$2:$L$501,0),0),0))</f>
        <v/>
      </c>
      <c r="W147" t="str">
        <f t="shared" si="51"/>
        <v/>
      </c>
      <c r="X147" s="38" t="str">
        <f>IF(L147="","",IF(V147&gt;0,INDEX('10-تشرين الأول'!$P$2:$P$501,V147),IF($AO$1=1,0,"")))</f>
        <v/>
      </c>
      <c r="Y147" s="38" t="str">
        <f t="shared" si="52"/>
        <v/>
      </c>
      <c r="Z147" s="39" t="str">
        <f>IF(L147="","",IF(V147&gt;0,INDEX('10-تشرين الأول'!$Q$2:$Q$501,V147),IF($AO$1=1,0,"")))</f>
        <v/>
      </c>
      <c r="AA147" s="39" t="str">
        <f t="shared" si="53"/>
        <v/>
      </c>
      <c r="AB147" s="40" t="str">
        <f>IF(OR(L147="",V147=0),"",IF(AND(N(I147)&gt;0,N(INDEX('10-تشرين الأول'!$I$2:$I$501,V147))&gt;0,INDEX('10-تشرين الأول'!$F$2:$F$501,V147)=F147),N(I147)/N(INDEX('10-تشرين الأول'!$I$2:$I$501,V147))-1,""))</f>
        <v/>
      </c>
      <c r="AC147" t="str">
        <f>IF(L147="","",IF(AND($AO$2=1,ISNA(MATCH(L147,'12-كانون الأول'!$L$2:$L$501,0))),"محذوف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IF(L148="","",IF($AO$1=1,IFERROR(MATCH(L148,'10-تشرين الأول'!$L$2:$L$501,0),0),0))</f>
        <v/>
      </c>
      <c r="W148" t="str">
        <f t="shared" si="51"/>
        <v/>
      </c>
      <c r="X148" s="38" t="str">
        <f>IF(L148="","",IF(V148&gt;0,INDEX('10-تشرين الأول'!$P$2:$P$501,V148),IF($AO$1=1,0,"")))</f>
        <v/>
      </c>
      <c r="Y148" s="38" t="str">
        <f t="shared" si="52"/>
        <v/>
      </c>
      <c r="Z148" s="39" t="str">
        <f>IF(L148="","",IF(V148&gt;0,INDEX('10-تشرين الأول'!$Q$2:$Q$501,V148),IF($AO$1=1,0,"")))</f>
        <v/>
      </c>
      <c r="AA148" s="39" t="str">
        <f t="shared" si="53"/>
        <v/>
      </c>
      <c r="AB148" s="40" t="str">
        <f>IF(OR(L148="",V148=0),"",IF(AND(N(I148)&gt;0,N(INDEX('10-تشرين الأول'!$I$2:$I$501,V148))&gt;0,INDEX('10-تشرين الأول'!$F$2:$F$501,V148)=F148),N(I148)/N(INDEX('10-تشرين الأول'!$I$2:$I$501,V148))-1,""))</f>
        <v/>
      </c>
      <c r="AC148" t="str">
        <f>IF(L148="","",IF(AND($AO$2=1,ISNA(MATCH(L148,'12-كانون الأول'!$L$2:$L$501,0))),"محذوف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IF(L149="","",IF($AO$1=1,IFERROR(MATCH(L149,'10-تشرين الأول'!$L$2:$L$501,0),0),0))</f>
        <v/>
      </c>
      <c r="W149" t="str">
        <f t="shared" si="51"/>
        <v/>
      </c>
      <c r="X149" s="38" t="str">
        <f>IF(L149="","",IF(V149&gt;0,INDEX('10-تشرين الأول'!$P$2:$P$501,V149),IF($AO$1=1,0,"")))</f>
        <v/>
      </c>
      <c r="Y149" s="38" t="str">
        <f t="shared" si="52"/>
        <v/>
      </c>
      <c r="Z149" s="39" t="str">
        <f>IF(L149="","",IF(V149&gt;0,INDEX('10-تشرين الأول'!$Q$2:$Q$501,V149),IF($AO$1=1,0,"")))</f>
        <v/>
      </c>
      <c r="AA149" s="39" t="str">
        <f t="shared" si="53"/>
        <v/>
      </c>
      <c r="AB149" s="40" t="str">
        <f>IF(OR(L149="",V149=0),"",IF(AND(N(I149)&gt;0,N(INDEX('10-تشرين الأول'!$I$2:$I$501,V149))&gt;0,INDEX('10-تشرين الأول'!$F$2:$F$501,V149)=F149),N(I149)/N(INDEX('10-تشرين الأول'!$I$2:$I$501,V149))-1,""))</f>
        <v/>
      </c>
      <c r="AC149" t="str">
        <f>IF(L149="","",IF(AND($AO$2=1,ISNA(MATCH(L149,'12-كانون الأول'!$L$2:$L$501,0))),"محذوف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IF(L150="","",IF($AO$1=1,IFERROR(MATCH(L150,'10-تشرين الأول'!$L$2:$L$501,0),0),0))</f>
        <v/>
      </c>
      <c r="W150" t="str">
        <f t="shared" si="51"/>
        <v/>
      </c>
      <c r="X150" s="38" t="str">
        <f>IF(L150="","",IF(V150&gt;0,INDEX('10-تشرين الأول'!$P$2:$P$501,V150),IF($AO$1=1,0,"")))</f>
        <v/>
      </c>
      <c r="Y150" s="38" t="str">
        <f t="shared" si="52"/>
        <v/>
      </c>
      <c r="Z150" s="39" t="str">
        <f>IF(L150="","",IF(V150&gt;0,INDEX('10-تشرين الأول'!$Q$2:$Q$501,V150),IF($AO$1=1,0,"")))</f>
        <v/>
      </c>
      <c r="AA150" s="39" t="str">
        <f t="shared" si="53"/>
        <v/>
      </c>
      <c r="AB150" s="40" t="str">
        <f>IF(OR(L150="",V150=0),"",IF(AND(N(I150)&gt;0,N(INDEX('10-تشرين الأول'!$I$2:$I$501,V150))&gt;0,INDEX('10-تشرين الأول'!$F$2:$F$501,V150)=F150),N(I150)/N(INDEX('10-تشرين الأول'!$I$2:$I$501,V150))-1,""))</f>
        <v/>
      </c>
      <c r="AC150" t="str">
        <f>IF(L150="","",IF(AND($AO$2=1,ISNA(MATCH(L150,'12-كانون الأول'!$L$2:$L$501,0))),"محذوف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IF(L151="","",IF($AO$1=1,IFERROR(MATCH(L151,'10-تشرين الأول'!$L$2:$L$501,0),0),0))</f>
        <v/>
      </c>
      <c r="W151" t="str">
        <f t="shared" si="51"/>
        <v/>
      </c>
      <c r="X151" s="38" t="str">
        <f>IF(L151="","",IF(V151&gt;0,INDEX('10-تشرين الأول'!$P$2:$P$501,V151),IF($AO$1=1,0,"")))</f>
        <v/>
      </c>
      <c r="Y151" s="38" t="str">
        <f t="shared" si="52"/>
        <v/>
      </c>
      <c r="Z151" s="39" t="str">
        <f>IF(L151="","",IF(V151&gt;0,INDEX('10-تشرين الأول'!$Q$2:$Q$501,V151),IF($AO$1=1,0,"")))</f>
        <v/>
      </c>
      <c r="AA151" s="39" t="str">
        <f t="shared" si="53"/>
        <v/>
      </c>
      <c r="AB151" s="40" t="str">
        <f>IF(OR(L151="",V151=0),"",IF(AND(N(I151)&gt;0,N(INDEX('10-تشرين الأول'!$I$2:$I$501,V151))&gt;0,INDEX('10-تشرين الأول'!$F$2:$F$501,V151)=F151),N(I151)/N(INDEX('10-تشرين الأول'!$I$2:$I$501,V151))-1,""))</f>
        <v/>
      </c>
      <c r="AC151" t="str">
        <f>IF(L151="","",IF(AND($AO$2=1,ISNA(MATCH(L151,'12-كانون الأول'!$L$2:$L$501,0))),"محذوف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IF(L152="","",IF($AO$1=1,IFERROR(MATCH(L152,'10-تشرين الأول'!$L$2:$L$501,0),0),0))</f>
        <v/>
      </c>
      <c r="W152" t="str">
        <f t="shared" si="51"/>
        <v/>
      </c>
      <c r="X152" s="38" t="str">
        <f>IF(L152="","",IF(V152&gt;0,INDEX('10-تشرين الأول'!$P$2:$P$501,V152),IF($AO$1=1,0,"")))</f>
        <v/>
      </c>
      <c r="Y152" s="38" t="str">
        <f t="shared" si="52"/>
        <v/>
      </c>
      <c r="Z152" s="39" t="str">
        <f>IF(L152="","",IF(V152&gt;0,INDEX('10-تشرين الأول'!$Q$2:$Q$501,V152),IF($AO$1=1,0,"")))</f>
        <v/>
      </c>
      <c r="AA152" s="39" t="str">
        <f t="shared" si="53"/>
        <v/>
      </c>
      <c r="AB152" s="40" t="str">
        <f>IF(OR(L152="",V152=0),"",IF(AND(N(I152)&gt;0,N(INDEX('10-تشرين الأول'!$I$2:$I$501,V152))&gt;0,INDEX('10-تشرين الأول'!$F$2:$F$501,V152)=F152),N(I152)/N(INDEX('10-تشرين الأول'!$I$2:$I$501,V152))-1,""))</f>
        <v/>
      </c>
      <c r="AC152" t="str">
        <f>IF(L152="","",IF(AND($AO$2=1,ISNA(MATCH(L152,'12-كانون الأول'!$L$2:$L$501,0))),"محذوف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IF(L153="","",IF($AO$1=1,IFERROR(MATCH(L153,'10-تشرين الأول'!$L$2:$L$501,0),0),0))</f>
        <v/>
      </c>
      <c r="W153" t="str">
        <f t="shared" si="51"/>
        <v/>
      </c>
      <c r="X153" s="38" t="str">
        <f>IF(L153="","",IF(V153&gt;0,INDEX('10-تشرين الأول'!$P$2:$P$501,V153),IF($AO$1=1,0,"")))</f>
        <v/>
      </c>
      <c r="Y153" s="38" t="str">
        <f t="shared" si="52"/>
        <v/>
      </c>
      <c r="Z153" s="39" t="str">
        <f>IF(L153="","",IF(V153&gt;0,INDEX('10-تشرين الأول'!$Q$2:$Q$501,V153),IF($AO$1=1,0,"")))</f>
        <v/>
      </c>
      <c r="AA153" s="39" t="str">
        <f t="shared" si="53"/>
        <v/>
      </c>
      <c r="AB153" s="40" t="str">
        <f>IF(OR(L153="",V153=0),"",IF(AND(N(I153)&gt;0,N(INDEX('10-تشرين الأول'!$I$2:$I$501,V153))&gt;0,INDEX('10-تشرين الأول'!$F$2:$F$501,V153)=F153),N(I153)/N(INDEX('10-تشرين الأول'!$I$2:$I$501,V153))-1,""))</f>
        <v/>
      </c>
      <c r="AC153" t="str">
        <f>IF(L153="","",IF(AND($AO$2=1,ISNA(MATCH(L153,'12-كانون الأول'!$L$2:$L$501,0))),"محذوف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IF(L154="","",IF($AO$1=1,IFERROR(MATCH(L154,'10-تشرين الأول'!$L$2:$L$501,0),0),0))</f>
        <v/>
      </c>
      <c r="W154" t="str">
        <f t="shared" si="51"/>
        <v/>
      </c>
      <c r="X154" s="38" t="str">
        <f>IF(L154="","",IF(V154&gt;0,INDEX('10-تشرين الأول'!$P$2:$P$501,V154),IF($AO$1=1,0,"")))</f>
        <v/>
      </c>
      <c r="Y154" s="38" t="str">
        <f t="shared" si="52"/>
        <v/>
      </c>
      <c r="Z154" s="39" t="str">
        <f>IF(L154="","",IF(V154&gt;0,INDEX('10-تشرين الأول'!$Q$2:$Q$501,V154),IF($AO$1=1,0,"")))</f>
        <v/>
      </c>
      <c r="AA154" s="39" t="str">
        <f t="shared" si="53"/>
        <v/>
      </c>
      <c r="AB154" s="40" t="str">
        <f>IF(OR(L154="",V154=0),"",IF(AND(N(I154)&gt;0,N(INDEX('10-تشرين الأول'!$I$2:$I$501,V154))&gt;0,INDEX('10-تشرين الأول'!$F$2:$F$501,V154)=F154),N(I154)/N(INDEX('10-تشرين الأول'!$I$2:$I$501,V154))-1,""))</f>
        <v/>
      </c>
      <c r="AC154" t="str">
        <f>IF(L154="","",IF(AND($AO$2=1,ISNA(MATCH(L154,'12-كانون الأول'!$L$2:$L$501,0))),"محذوف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IF(L155="","",IF($AO$1=1,IFERROR(MATCH(L155,'10-تشرين الأول'!$L$2:$L$501,0),0),0))</f>
        <v/>
      </c>
      <c r="W155" t="str">
        <f t="shared" si="51"/>
        <v/>
      </c>
      <c r="X155" s="38" t="str">
        <f>IF(L155="","",IF(V155&gt;0,INDEX('10-تشرين الأول'!$P$2:$P$501,V155),IF($AO$1=1,0,"")))</f>
        <v/>
      </c>
      <c r="Y155" s="38" t="str">
        <f t="shared" si="52"/>
        <v/>
      </c>
      <c r="Z155" s="39" t="str">
        <f>IF(L155="","",IF(V155&gt;0,INDEX('10-تشرين الأول'!$Q$2:$Q$501,V155),IF($AO$1=1,0,"")))</f>
        <v/>
      </c>
      <c r="AA155" s="39" t="str">
        <f t="shared" si="53"/>
        <v/>
      </c>
      <c r="AB155" s="40" t="str">
        <f>IF(OR(L155="",V155=0),"",IF(AND(N(I155)&gt;0,N(INDEX('10-تشرين الأول'!$I$2:$I$501,V155))&gt;0,INDEX('10-تشرين الأول'!$F$2:$F$501,V155)=F155),N(I155)/N(INDEX('10-تشرين الأول'!$I$2:$I$501,V155))-1,""))</f>
        <v/>
      </c>
      <c r="AC155" t="str">
        <f>IF(L155="","",IF(AND($AO$2=1,ISNA(MATCH(L155,'12-كانون الأول'!$L$2:$L$501,0))),"محذوف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IF(L156="","",IF($AO$1=1,IFERROR(MATCH(L156,'10-تشرين الأول'!$L$2:$L$501,0),0),0))</f>
        <v/>
      </c>
      <c r="W156" t="str">
        <f t="shared" si="51"/>
        <v/>
      </c>
      <c r="X156" s="38" t="str">
        <f>IF(L156="","",IF(V156&gt;0,INDEX('10-تشرين الأول'!$P$2:$P$501,V156),IF($AO$1=1,0,"")))</f>
        <v/>
      </c>
      <c r="Y156" s="38" t="str">
        <f t="shared" si="52"/>
        <v/>
      </c>
      <c r="Z156" s="39" t="str">
        <f>IF(L156="","",IF(V156&gt;0,INDEX('10-تشرين الأول'!$Q$2:$Q$501,V156),IF($AO$1=1,0,"")))</f>
        <v/>
      </c>
      <c r="AA156" s="39" t="str">
        <f t="shared" si="53"/>
        <v/>
      </c>
      <c r="AB156" s="40" t="str">
        <f>IF(OR(L156="",V156=0),"",IF(AND(N(I156)&gt;0,N(INDEX('10-تشرين الأول'!$I$2:$I$501,V156))&gt;0,INDEX('10-تشرين الأول'!$F$2:$F$501,V156)=F156),N(I156)/N(INDEX('10-تشرين الأول'!$I$2:$I$501,V156))-1,""))</f>
        <v/>
      </c>
      <c r="AC156" t="str">
        <f>IF(L156="","",IF(AND($AO$2=1,ISNA(MATCH(L156,'12-كانون الأول'!$L$2:$L$501,0))),"محذوف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IF(L157="","",IF($AO$1=1,IFERROR(MATCH(L157,'10-تشرين الأول'!$L$2:$L$501,0),0),0))</f>
        <v/>
      </c>
      <c r="W157" t="str">
        <f t="shared" si="51"/>
        <v/>
      </c>
      <c r="X157" s="38" t="str">
        <f>IF(L157="","",IF(V157&gt;0,INDEX('10-تشرين الأول'!$P$2:$P$501,V157),IF($AO$1=1,0,"")))</f>
        <v/>
      </c>
      <c r="Y157" s="38" t="str">
        <f t="shared" si="52"/>
        <v/>
      </c>
      <c r="Z157" s="39" t="str">
        <f>IF(L157="","",IF(V157&gt;0,INDEX('10-تشرين الأول'!$Q$2:$Q$501,V157),IF($AO$1=1,0,"")))</f>
        <v/>
      </c>
      <c r="AA157" s="39" t="str">
        <f t="shared" si="53"/>
        <v/>
      </c>
      <c r="AB157" s="40" t="str">
        <f>IF(OR(L157="",V157=0),"",IF(AND(N(I157)&gt;0,N(INDEX('10-تشرين الأول'!$I$2:$I$501,V157))&gt;0,INDEX('10-تشرين الأول'!$F$2:$F$501,V157)=F157),N(I157)/N(INDEX('10-تشرين الأول'!$I$2:$I$501,V157))-1,""))</f>
        <v/>
      </c>
      <c r="AC157" t="str">
        <f>IF(L157="","",IF(AND($AO$2=1,ISNA(MATCH(L157,'12-كانون الأول'!$L$2:$L$501,0))),"محذوف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IF(L158="","",IF($AO$1=1,IFERROR(MATCH(L158,'10-تشرين الأول'!$L$2:$L$501,0),0),0))</f>
        <v/>
      </c>
      <c r="W158" t="str">
        <f t="shared" si="51"/>
        <v/>
      </c>
      <c r="X158" s="38" t="str">
        <f>IF(L158="","",IF(V158&gt;0,INDEX('10-تشرين الأول'!$P$2:$P$501,V158),IF($AO$1=1,0,"")))</f>
        <v/>
      </c>
      <c r="Y158" s="38" t="str">
        <f t="shared" si="52"/>
        <v/>
      </c>
      <c r="Z158" s="39" t="str">
        <f>IF(L158="","",IF(V158&gt;0,INDEX('10-تشرين الأول'!$Q$2:$Q$501,V158),IF($AO$1=1,0,"")))</f>
        <v/>
      </c>
      <c r="AA158" s="39" t="str">
        <f t="shared" si="53"/>
        <v/>
      </c>
      <c r="AB158" s="40" t="str">
        <f>IF(OR(L158="",V158=0),"",IF(AND(N(I158)&gt;0,N(INDEX('10-تشرين الأول'!$I$2:$I$501,V158))&gt;0,INDEX('10-تشرين الأول'!$F$2:$F$501,V158)=F158),N(I158)/N(INDEX('10-تشرين الأول'!$I$2:$I$501,V158))-1,""))</f>
        <v/>
      </c>
      <c r="AC158" t="str">
        <f>IF(L158="","",IF(AND($AO$2=1,ISNA(MATCH(L158,'12-كانون الأول'!$L$2:$L$501,0))),"محذوف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IF(L159="","",IF($AO$1=1,IFERROR(MATCH(L159,'10-تشرين الأول'!$L$2:$L$501,0),0),0))</f>
        <v/>
      </c>
      <c r="W159" t="str">
        <f t="shared" si="51"/>
        <v/>
      </c>
      <c r="X159" s="38" t="str">
        <f>IF(L159="","",IF(V159&gt;0,INDEX('10-تشرين الأول'!$P$2:$P$501,V159),IF($AO$1=1,0,"")))</f>
        <v/>
      </c>
      <c r="Y159" s="38" t="str">
        <f t="shared" si="52"/>
        <v/>
      </c>
      <c r="Z159" s="39" t="str">
        <f>IF(L159="","",IF(V159&gt;0,INDEX('10-تشرين الأول'!$Q$2:$Q$501,V159),IF($AO$1=1,0,"")))</f>
        <v/>
      </c>
      <c r="AA159" s="39" t="str">
        <f t="shared" si="53"/>
        <v/>
      </c>
      <c r="AB159" s="40" t="str">
        <f>IF(OR(L159="",V159=0),"",IF(AND(N(I159)&gt;0,N(INDEX('10-تشرين الأول'!$I$2:$I$501,V159))&gt;0,INDEX('10-تشرين الأول'!$F$2:$F$501,V159)=F159),N(I159)/N(INDEX('10-تشرين الأول'!$I$2:$I$501,V159))-1,""))</f>
        <v/>
      </c>
      <c r="AC159" t="str">
        <f>IF(L159="","",IF(AND($AO$2=1,ISNA(MATCH(L159,'12-كانون الأول'!$L$2:$L$501,0))),"محذوف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IF(L160="","",IF($AO$1=1,IFERROR(MATCH(L160,'10-تشرين الأول'!$L$2:$L$501,0),0),0))</f>
        <v/>
      </c>
      <c r="W160" t="str">
        <f t="shared" si="51"/>
        <v/>
      </c>
      <c r="X160" s="38" t="str">
        <f>IF(L160="","",IF(V160&gt;0,INDEX('10-تشرين الأول'!$P$2:$P$501,V160),IF($AO$1=1,0,"")))</f>
        <v/>
      </c>
      <c r="Y160" s="38" t="str">
        <f t="shared" si="52"/>
        <v/>
      </c>
      <c r="Z160" s="39" t="str">
        <f>IF(L160="","",IF(V160&gt;0,INDEX('10-تشرين الأول'!$Q$2:$Q$501,V160),IF($AO$1=1,0,"")))</f>
        <v/>
      </c>
      <c r="AA160" s="39" t="str">
        <f t="shared" si="53"/>
        <v/>
      </c>
      <c r="AB160" s="40" t="str">
        <f>IF(OR(L160="",V160=0),"",IF(AND(N(I160)&gt;0,N(INDEX('10-تشرين الأول'!$I$2:$I$501,V160))&gt;0,INDEX('10-تشرين الأول'!$F$2:$F$501,V160)=F160),N(I160)/N(INDEX('10-تشرين الأول'!$I$2:$I$501,V160))-1,""))</f>
        <v/>
      </c>
      <c r="AC160" t="str">
        <f>IF(L160="","",IF(AND($AO$2=1,ISNA(MATCH(L160,'12-كانون الأول'!$L$2:$L$501,0))),"محذوف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IF(L161="","",IF($AO$1=1,IFERROR(MATCH(L161,'10-تشرين الأول'!$L$2:$L$501,0),0),0))</f>
        <v/>
      </c>
      <c r="W161" t="str">
        <f t="shared" si="51"/>
        <v/>
      </c>
      <c r="X161" s="38" t="str">
        <f>IF(L161="","",IF(V161&gt;0,INDEX('10-تشرين الأول'!$P$2:$P$501,V161),IF($AO$1=1,0,"")))</f>
        <v/>
      </c>
      <c r="Y161" s="38" t="str">
        <f t="shared" si="52"/>
        <v/>
      </c>
      <c r="Z161" s="39" t="str">
        <f>IF(L161="","",IF(V161&gt;0,INDEX('10-تشرين الأول'!$Q$2:$Q$501,V161),IF($AO$1=1,0,"")))</f>
        <v/>
      </c>
      <c r="AA161" s="39" t="str">
        <f t="shared" si="53"/>
        <v/>
      </c>
      <c r="AB161" s="40" t="str">
        <f>IF(OR(L161="",V161=0),"",IF(AND(N(I161)&gt;0,N(INDEX('10-تشرين الأول'!$I$2:$I$501,V161))&gt;0,INDEX('10-تشرين الأول'!$F$2:$F$501,V161)=F161),N(I161)/N(INDEX('10-تشرين الأول'!$I$2:$I$501,V161))-1,""))</f>
        <v/>
      </c>
      <c r="AC161" t="str">
        <f>IF(L161="","",IF(AND($AO$2=1,ISNA(MATCH(L161,'12-كانون الأول'!$L$2:$L$501,0))),"محذوف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IF(L162="","",IF($AO$1=1,IFERROR(MATCH(L162,'10-تشرين الأول'!$L$2:$L$501,0),0),0))</f>
        <v/>
      </c>
      <c r="W162" t="str">
        <f t="shared" si="51"/>
        <v/>
      </c>
      <c r="X162" s="38" t="str">
        <f>IF(L162="","",IF(V162&gt;0,INDEX('10-تشرين الأول'!$P$2:$P$501,V162),IF($AO$1=1,0,"")))</f>
        <v/>
      </c>
      <c r="Y162" s="38" t="str">
        <f t="shared" si="52"/>
        <v/>
      </c>
      <c r="Z162" s="39" t="str">
        <f>IF(L162="","",IF(V162&gt;0,INDEX('10-تشرين الأول'!$Q$2:$Q$501,V162),IF($AO$1=1,0,"")))</f>
        <v/>
      </c>
      <c r="AA162" s="39" t="str">
        <f t="shared" si="53"/>
        <v/>
      </c>
      <c r="AB162" s="40" t="str">
        <f>IF(OR(L162="",V162=0),"",IF(AND(N(I162)&gt;0,N(INDEX('10-تشرين الأول'!$I$2:$I$501,V162))&gt;0,INDEX('10-تشرين الأول'!$F$2:$F$501,V162)=F162),N(I162)/N(INDEX('10-تشرين الأول'!$I$2:$I$501,V162))-1,""))</f>
        <v/>
      </c>
      <c r="AC162" t="str">
        <f>IF(L162="","",IF(AND($AO$2=1,ISNA(MATCH(L162,'12-كانون الأول'!$L$2:$L$501,0))),"محذوف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IF(L163="","",IF($AO$1=1,IFERROR(MATCH(L163,'10-تشرين الأول'!$L$2:$L$501,0),0),0))</f>
        <v/>
      </c>
      <c r="W163" t="str">
        <f t="shared" si="51"/>
        <v/>
      </c>
      <c r="X163" s="38" t="str">
        <f>IF(L163="","",IF(V163&gt;0,INDEX('10-تشرين الأول'!$P$2:$P$501,V163),IF($AO$1=1,0,"")))</f>
        <v/>
      </c>
      <c r="Y163" s="38" t="str">
        <f t="shared" si="52"/>
        <v/>
      </c>
      <c r="Z163" s="39" t="str">
        <f>IF(L163="","",IF(V163&gt;0,INDEX('10-تشرين الأول'!$Q$2:$Q$501,V163),IF($AO$1=1,0,"")))</f>
        <v/>
      </c>
      <c r="AA163" s="39" t="str">
        <f t="shared" si="53"/>
        <v/>
      </c>
      <c r="AB163" s="40" t="str">
        <f>IF(OR(L163="",V163=0),"",IF(AND(N(I163)&gt;0,N(INDEX('10-تشرين الأول'!$I$2:$I$501,V163))&gt;0,INDEX('10-تشرين الأول'!$F$2:$F$501,V163)=F163),N(I163)/N(INDEX('10-تشرين الأول'!$I$2:$I$501,V163))-1,""))</f>
        <v/>
      </c>
      <c r="AC163" t="str">
        <f>IF(L163="","",IF(AND($AO$2=1,ISNA(MATCH(L163,'12-كانون الأول'!$L$2:$L$501,0))),"محذوف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IF(L164="","",IF($AO$1=1,IFERROR(MATCH(L164,'10-تشرين الأول'!$L$2:$L$501,0),0),0))</f>
        <v/>
      </c>
      <c r="W164" t="str">
        <f t="shared" si="51"/>
        <v/>
      </c>
      <c r="X164" s="38" t="str">
        <f>IF(L164="","",IF(V164&gt;0,INDEX('10-تشرين الأول'!$P$2:$P$501,V164),IF($AO$1=1,0,"")))</f>
        <v/>
      </c>
      <c r="Y164" s="38" t="str">
        <f t="shared" si="52"/>
        <v/>
      </c>
      <c r="Z164" s="39" t="str">
        <f>IF(L164="","",IF(V164&gt;0,INDEX('10-تشرين الأول'!$Q$2:$Q$501,V164),IF($AO$1=1,0,"")))</f>
        <v/>
      </c>
      <c r="AA164" s="39" t="str">
        <f t="shared" si="53"/>
        <v/>
      </c>
      <c r="AB164" s="40" t="str">
        <f>IF(OR(L164="",V164=0),"",IF(AND(N(I164)&gt;0,N(INDEX('10-تشرين الأول'!$I$2:$I$501,V164))&gt;0,INDEX('10-تشرين الأول'!$F$2:$F$501,V164)=F164),N(I164)/N(INDEX('10-تشرين الأول'!$I$2:$I$501,V164))-1,""))</f>
        <v/>
      </c>
      <c r="AC164" t="str">
        <f>IF(L164="","",IF(AND($AO$2=1,ISNA(MATCH(L164,'12-كانون الأول'!$L$2:$L$501,0))),"محذوف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IF(L165="","",IF($AO$1=1,IFERROR(MATCH(L165,'10-تشرين الأول'!$L$2:$L$501,0),0),0))</f>
        <v/>
      </c>
      <c r="W165" t="str">
        <f t="shared" si="51"/>
        <v/>
      </c>
      <c r="X165" s="38" t="str">
        <f>IF(L165="","",IF(V165&gt;0,INDEX('10-تشرين الأول'!$P$2:$P$501,V165),IF($AO$1=1,0,"")))</f>
        <v/>
      </c>
      <c r="Y165" s="38" t="str">
        <f t="shared" si="52"/>
        <v/>
      </c>
      <c r="Z165" s="39" t="str">
        <f>IF(L165="","",IF(V165&gt;0,INDEX('10-تشرين الأول'!$Q$2:$Q$501,V165),IF($AO$1=1,0,"")))</f>
        <v/>
      </c>
      <c r="AA165" s="39" t="str">
        <f t="shared" si="53"/>
        <v/>
      </c>
      <c r="AB165" s="40" t="str">
        <f>IF(OR(L165="",V165=0),"",IF(AND(N(I165)&gt;0,N(INDEX('10-تشرين الأول'!$I$2:$I$501,V165))&gt;0,INDEX('10-تشرين الأول'!$F$2:$F$501,V165)=F165),N(I165)/N(INDEX('10-تشرين الأول'!$I$2:$I$501,V165))-1,""))</f>
        <v/>
      </c>
      <c r="AC165" t="str">
        <f>IF(L165="","",IF(AND($AO$2=1,ISNA(MATCH(L165,'12-كانون الأول'!$L$2:$L$501,0))),"محذوف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IF(L166="","",IF($AO$1=1,IFERROR(MATCH(L166,'10-تشرين الأول'!$L$2:$L$501,0),0),0))</f>
        <v/>
      </c>
      <c r="W166" t="str">
        <f t="shared" si="51"/>
        <v/>
      </c>
      <c r="X166" s="38" t="str">
        <f>IF(L166="","",IF(V166&gt;0,INDEX('10-تشرين الأول'!$P$2:$P$501,V166),IF($AO$1=1,0,"")))</f>
        <v/>
      </c>
      <c r="Y166" s="38" t="str">
        <f t="shared" si="52"/>
        <v/>
      </c>
      <c r="Z166" s="39" t="str">
        <f>IF(L166="","",IF(V166&gt;0,INDEX('10-تشرين الأول'!$Q$2:$Q$501,V166),IF($AO$1=1,0,"")))</f>
        <v/>
      </c>
      <c r="AA166" s="39" t="str">
        <f t="shared" si="53"/>
        <v/>
      </c>
      <c r="AB166" s="40" t="str">
        <f>IF(OR(L166="",V166=0),"",IF(AND(N(I166)&gt;0,N(INDEX('10-تشرين الأول'!$I$2:$I$501,V166))&gt;0,INDEX('10-تشرين الأول'!$F$2:$F$501,V166)=F166),N(I166)/N(INDEX('10-تشرين الأول'!$I$2:$I$501,V166))-1,""))</f>
        <v/>
      </c>
      <c r="AC166" t="str">
        <f>IF(L166="","",IF(AND($AO$2=1,ISNA(MATCH(L166,'12-كانون الأول'!$L$2:$L$501,0))),"محذوف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IF(L167="","",IF($AO$1=1,IFERROR(MATCH(L167,'10-تشرين الأول'!$L$2:$L$501,0),0),0))</f>
        <v/>
      </c>
      <c r="W167" t="str">
        <f t="shared" si="51"/>
        <v/>
      </c>
      <c r="X167" s="38" t="str">
        <f>IF(L167="","",IF(V167&gt;0,INDEX('10-تشرين الأول'!$P$2:$P$501,V167),IF($AO$1=1,0,"")))</f>
        <v/>
      </c>
      <c r="Y167" s="38" t="str">
        <f t="shared" si="52"/>
        <v/>
      </c>
      <c r="Z167" s="39" t="str">
        <f>IF(L167="","",IF(V167&gt;0,INDEX('10-تشرين الأول'!$Q$2:$Q$501,V167),IF($AO$1=1,0,"")))</f>
        <v/>
      </c>
      <c r="AA167" s="39" t="str">
        <f t="shared" si="53"/>
        <v/>
      </c>
      <c r="AB167" s="40" t="str">
        <f>IF(OR(L167="",V167=0),"",IF(AND(N(I167)&gt;0,N(INDEX('10-تشرين الأول'!$I$2:$I$501,V167))&gt;0,INDEX('10-تشرين الأول'!$F$2:$F$501,V167)=F167),N(I167)/N(INDEX('10-تشرين الأول'!$I$2:$I$501,V167))-1,""))</f>
        <v/>
      </c>
      <c r="AC167" t="str">
        <f>IF(L167="","",IF(AND($AO$2=1,ISNA(MATCH(L167,'12-كانون الأول'!$L$2:$L$501,0))),"محذوف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IF(L168="","",IF($AO$1=1,IFERROR(MATCH(L168,'10-تشرين الأول'!$L$2:$L$501,0),0),0))</f>
        <v/>
      </c>
      <c r="W168" t="str">
        <f t="shared" si="51"/>
        <v/>
      </c>
      <c r="X168" s="38" t="str">
        <f>IF(L168="","",IF(V168&gt;0,INDEX('10-تشرين الأول'!$P$2:$P$501,V168),IF($AO$1=1,0,"")))</f>
        <v/>
      </c>
      <c r="Y168" s="38" t="str">
        <f t="shared" si="52"/>
        <v/>
      </c>
      <c r="Z168" s="39" t="str">
        <f>IF(L168="","",IF(V168&gt;0,INDEX('10-تشرين الأول'!$Q$2:$Q$501,V168),IF($AO$1=1,0,"")))</f>
        <v/>
      </c>
      <c r="AA168" s="39" t="str">
        <f t="shared" si="53"/>
        <v/>
      </c>
      <c r="AB168" s="40" t="str">
        <f>IF(OR(L168="",V168=0),"",IF(AND(N(I168)&gt;0,N(INDEX('10-تشرين الأول'!$I$2:$I$501,V168))&gt;0,INDEX('10-تشرين الأول'!$F$2:$F$501,V168)=F168),N(I168)/N(INDEX('10-تشرين الأول'!$I$2:$I$501,V168))-1,""))</f>
        <v/>
      </c>
      <c r="AC168" t="str">
        <f>IF(L168="","",IF(AND($AO$2=1,ISNA(MATCH(L168,'12-كانون الأول'!$L$2:$L$501,0))),"محذوف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IF(L169="","",IF($AO$1=1,IFERROR(MATCH(L169,'10-تشرين الأول'!$L$2:$L$501,0),0),0))</f>
        <v/>
      </c>
      <c r="W169" t="str">
        <f t="shared" si="51"/>
        <v/>
      </c>
      <c r="X169" s="38" t="str">
        <f>IF(L169="","",IF(V169&gt;0,INDEX('10-تشرين الأول'!$P$2:$P$501,V169),IF($AO$1=1,0,"")))</f>
        <v/>
      </c>
      <c r="Y169" s="38" t="str">
        <f t="shared" si="52"/>
        <v/>
      </c>
      <c r="Z169" s="39" t="str">
        <f>IF(L169="","",IF(V169&gt;0,INDEX('10-تشرين الأول'!$Q$2:$Q$501,V169),IF($AO$1=1,0,"")))</f>
        <v/>
      </c>
      <c r="AA169" s="39" t="str">
        <f t="shared" si="53"/>
        <v/>
      </c>
      <c r="AB169" s="40" t="str">
        <f>IF(OR(L169="",V169=0),"",IF(AND(N(I169)&gt;0,N(INDEX('10-تشرين الأول'!$I$2:$I$501,V169))&gt;0,INDEX('10-تشرين الأول'!$F$2:$F$501,V169)=F169),N(I169)/N(INDEX('10-تشرين الأول'!$I$2:$I$501,V169))-1,""))</f>
        <v/>
      </c>
      <c r="AC169" t="str">
        <f>IF(L169="","",IF(AND($AO$2=1,ISNA(MATCH(L169,'12-كانون الأول'!$L$2:$L$501,0))),"محذوف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IF(L170="","",IF($AO$1=1,IFERROR(MATCH(L170,'10-تشرين الأول'!$L$2:$L$501,0),0),0))</f>
        <v/>
      </c>
      <c r="W170" t="str">
        <f t="shared" si="51"/>
        <v/>
      </c>
      <c r="X170" s="38" t="str">
        <f>IF(L170="","",IF(V170&gt;0,INDEX('10-تشرين الأول'!$P$2:$P$501,V170),IF($AO$1=1,0,"")))</f>
        <v/>
      </c>
      <c r="Y170" s="38" t="str">
        <f t="shared" si="52"/>
        <v/>
      </c>
      <c r="Z170" s="39" t="str">
        <f>IF(L170="","",IF(V170&gt;0,INDEX('10-تشرين الأول'!$Q$2:$Q$501,V170),IF($AO$1=1,0,"")))</f>
        <v/>
      </c>
      <c r="AA170" s="39" t="str">
        <f t="shared" si="53"/>
        <v/>
      </c>
      <c r="AB170" s="40" t="str">
        <f>IF(OR(L170="",V170=0),"",IF(AND(N(I170)&gt;0,N(INDEX('10-تشرين الأول'!$I$2:$I$501,V170))&gt;0,INDEX('10-تشرين الأول'!$F$2:$F$501,V170)=F170),N(I170)/N(INDEX('10-تشرين الأول'!$I$2:$I$501,V170))-1,""))</f>
        <v/>
      </c>
      <c r="AC170" t="str">
        <f>IF(L170="","",IF(AND($AO$2=1,ISNA(MATCH(L170,'12-كانون الأول'!$L$2:$L$501,0))),"محذوف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IF(L171="","",IF($AO$1=1,IFERROR(MATCH(L171,'10-تشرين الأول'!$L$2:$L$501,0),0),0))</f>
        <v/>
      </c>
      <c r="W171" t="str">
        <f t="shared" si="51"/>
        <v/>
      </c>
      <c r="X171" s="38" t="str">
        <f>IF(L171="","",IF(V171&gt;0,INDEX('10-تشرين الأول'!$P$2:$P$501,V171),IF($AO$1=1,0,"")))</f>
        <v/>
      </c>
      <c r="Y171" s="38" t="str">
        <f t="shared" si="52"/>
        <v/>
      </c>
      <c r="Z171" s="39" t="str">
        <f>IF(L171="","",IF(V171&gt;0,INDEX('10-تشرين الأول'!$Q$2:$Q$501,V171),IF($AO$1=1,0,"")))</f>
        <v/>
      </c>
      <c r="AA171" s="39" t="str">
        <f t="shared" si="53"/>
        <v/>
      </c>
      <c r="AB171" s="40" t="str">
        <f>IF(OR(L171="",V171=0),"",IF(AND(N(I171)&gt;0,N(INDEX('10-تشرين الأول'!$I$2:$I$501,V171))&gt;0,INDEX('10-تشرين الأول'!$F$2:$F$501,V171)=F171),N(I171)/N(INDEX('10-تشرين الأول'!$I$2:$I$501,V171))-1,""))</f>
        <v/>
      </c>
      <c r="AC171" t="str">
        <f>IF(L171="","",IF(AND($AO$2=1,ISNA(MATCH(L171,'12-كانون الأول'!$L$2:$L$501,0))),"محذوف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IF(L172="","",IF($AO$1=1,IFERROR(MATCH(L172,'10-تشرين الأول'!$L$2:$L$501,0),0),0))</f>
        <v/>
      </c>
      <c r="W172" t="str">
        <f t="shared" si="51"/>
        <v/>
      </c>
      <c r="X172" s="38" t="str">
        <f>IF(L172="","",IF(V172&gt;0,INDEX('10-تشرين الأول'!$P$2:$P$501,V172),IF($AO$1=1,0,"")))</f>
        <v/>
      </c>
      <c r="Y172" s="38" t="str">
        <f t="shared" si="52"/>
        <v/>
      </c>
      <c r="Z172" s="39" t="str">
        <f>IF(L172="","",IF(V172&gt;0,INDEX('10-تشرين الأول'!$Q$2:$Q$501,V172),IF($AO$1=1,0,"")))</f>
        <v/>
      </c>
      <c r="AA172" s="39" t="str">
        <f t="shared" si="53"/>
        <v/>
      </c>
      <c r="AB172" s="40" t="str">
        <f>IF(OR(L172="",V172=0),"",IF(AND(N(I172)&gt;0,N(INDEX('10-تشرين الأول'!$I$2:$I$501,V172))&gt;0,INDEX('10-تشرين الأول'!$F$2:$F$501,V172)=F172),N(I172)/N(INDEX('10-تشرين الأول'!$I$2:$I$501,V172))-1,""))</f>
        <v/>
      </c>
      <c r="AC172" t="str">
        <f>IF(L172="","",IF(AND($AO$2=1,ISNA(MATCH(L172,'12-كانون الأول'!$L$2:$L$501,0))),"محذوف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IF(L173="","",IF($AO$1=1,IFERROR(MATCH(L173,'10-تشرين الأول'!$L$2:$L$501,0),0),0))</f>
        <v/>
      </c>
      <c r="W173" t="str">
        <f t="shared" si="51"/>
        <v/>
      </c>
      <c r="X173" s="38" t="str">
        <f>IF(L173="","",IF(V173&gt;0,INDEX('10-تشرين الأول'!$P$2:$P$501,V173),IF($AO$1=1,0,"")))</f>
        <v/>
      </c>
      <c r="Y173" s="38" t="str">
        <f t="shared" si="52"/>
        <v/>
      </c>
      <c r="Z173" s="39" t="str">
        <f>IF(L173="","",IF(V173&gt;0,INDEX('10-تشرين الأول'!$Q$2:$Q$501,V173),IF($AO$1=1,0,"")))</f>
        <v/>
      </c>
      <c r="AA173" s="39" t="str">
        <f t="shared" si="53"/>
        <v/>
      </c>
      <c r="AB173" s="40" t="str">
        <f>IF(OR(L173="",V173=0),"",IF(AND(N(I173)&gt;0,N(INDEX('10-تشرين الأول'!$I$2:$I$501,V173))&gt;0,INDEX('10-تشرين الأول'!$F$2:$F$501,V173)=F173),N(I173)/N(INDEX('10-تشرين الأول'!$I$2:$I$501,V173))-1,""))</f>
        <v/>
      </c>
      <c r="AC173" t="str">
        <f>IF(L173="","",IF(AND($AO$2=1,ISNA(MATCH(L173,'12-كانون الأول'!$L$2:$L$501,0))),"محذوف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IF(L174="","",IF($AO$1=1,IFERROR(MATCH(L174,'10-تشرين الأول'!$L$2:$L$501,0),0),0))</f>
        <v/>
      </c>
      <c r="W174" t="str">
        <f t="shared" si="51"/>
        <v/>
      </c>
      <c r="X174" s="38" t="str">
        <f>IF(L174="","",IF(V174&gt;0,INDEX('10-تشرين الأول'!$P$2:$P$501,V174),IF($AO$1=1,0,"")))</f>
        <v/>
      </c>
      <c r="Y174" s="38" t="str">
        <f t="shared" si="52"/>
        <v/>
      </c>
      <c r="Z174" s="39" t="str">
        <f>IF(L174="","",IF(V174&gt;0,INDEX('10-تشرين الأول'!$Q$2:$Q$501,V174),IF($AO$1=1,0,"")))</f>
        <v/>
      </c>
      <c r="AA174" s="39" t="str">
        <f t="shared" si="53"/>
        <v/>
      </c>
      <c r="AB174" s="40" t="str">
        <f>IF(OR(L174="",V174=0),"",IF(AND(N(I174)&gt;0,N(INDEX('10-تشرين الأول'!$I$2:$I$501,V174))&gt;0,INDEX('10-تشرين الأول'!$F$2:$F$501,V174)=F174),N(I174)/N(INDEX('10-تشرين الأول'!$I$2:$I$501,V174))-1,""))</f>
        <v/>
      </c>
      <c r="AC174" t="str">
        <f>IF(L174="","",IF(AND($AO$2=1,ISNA(MATCH(L174,'12-كانون الأول'!$L$2:$L$501,0))),"محذوف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IF(L175="","",IF($AO$1=1,IFERROR(MATCH(L175,'10-تشرين الأول'!$L$2:$L$501,0),0),0))</f>
        <v/>
      </c>
      <c r="W175" t="str">
        <f t="shared" si="51"/>
        <v/>
      </c>
      <c r="X175" s="38" t="str">
        <f>IF(L175="","",IF(V175&gt;0,INDEX('10-تشرين الأول'!$P$2:$P$501,V175),IF($AO$1=1,0,"")))</f>
        <v/>
      </c>
      <c r="Y175" s="38" t="str">
        <f t="shared" si="52"/>
        <v/>
      </c>
      <c r="Z175" s="39" t="str">
        <f>IF(L175="","",IF(V175&gt;0,INDEX('10-تشرين الأول'!$Q$2:$Q$501,V175),IF($AO$1=1,0,"")))</f>
        <v/>
      </c>
      <c r="AA175" s="39" t="str">
        <f t="shared" si="53"/>
        <v/>
      </c>
      <c r="AB175" s="40" t="str">
        <f>IF(OR(L175="",V175=0),"",IF(AND(N(I175)&gt;0,N(INDEX('10-تشرين الأول'!$I$2:$I$501,V175))&gt;0,INDEX('10-تشرين الأول'!$F$2:$F$501,V175)=F175),N(I175)/N(INDEX('10-تشرين الأول'!$I$2:$I$501,V175))-1,""))</f>
        <v/>
      </c>
      <c r="AC175" t="str">
        <f>IF(L175="","",IF(AND($AO$2=1,ISNA(MATCH(L175,'12-كانون الأول'!$L$2:$L$501,0))),"محذوف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IF(L176="","",IF($AO$1=1,IFERROR(MATCH(L176,'10-تشرين الأول'!$L$2:$L$501,0),0),0))</f>
        <v/>
      </c>
      <c r="W176" t="str">
        <f t="shared" si="51"/>
        <v/>
      </c>
      <c r="X176" s="38" t="str">
        <f>IF(L176="","",IF(V176&gt;0,INDEX('10-تشرين الأول'!$P$2:$P$501,V176),IF($AO$1=1,0,"")))</f>
        <v/>
      </c>
      <c r="Y176" s="38" t="str">
        <f t="shared" si="52"/>
        <v/>
      </c>
      <c r="Z176" s="39" t="str">
        <f>IF(L176="","",IF(V176&gt;0,INDEX('10-تشرين الأول'!$Q$2:$Q$501,V176),IF($AO$1=1,0,"")))</f>
        <v/>
      </c>
      <c r="AA176" s="39" t="str">
        <f t="shared" si="53"/>
        <v/>
      </c>
      <c r="AB176" s="40" t="str">
        <f>IF(OR(L176="",V176=0),"",IF(AND(N(I176)&gt;0,N(INDEX('10-تشرين الأول'!$I$2:$I$501,V176))&gt;0,INDEX('10-تشرين الأول'!$F$2:$F$501,V176)=F176),N(I176)/N(INDEX('10-تشرين الأول'!$I$2:$I$501,V176))-1,""))</f>
        <v/>
      </c>
      <c r="AC176" t="str">
        <f>IF(L176="","",IF(AND($AO$2=1,ISNA(MATCH(L176,'12-كانون الأول'!$L$2:$L$501,0))),"محذوف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IF(L177="","",IF($AO$1=1,IFERROR(MATCH(L177,'10-تشرين الأول'!$L$2:$L$501,0),0),0))</f>
        <v/>
      </c>
      <c r="W177" t="str">
        <f t="shared" si="51"/>
        <v/>
      </c>
      <c r="X177" s="38" t="str">
        <f>IF(L177="","",IF(V177&gt;0,INDEX('10-تشرين الأول'!$P$2:$P$501,V177),IF($AO$1=1,0,"")))</f>
        <v/>
      </c>
      <c r="Y177" s="38" t="str">
        <f t="shared" si="52"/>
        <v/>
      </c>
      <c r="Z177" s="39" t="str">
        <f>IF(L177="","",IF(V177&gt;0,INDEX('10-تشرين الأول'!$Q$2:$Q$501,V177),IF($AO$1=1,0,"")))</f>
        <v/>
      </c>
      <c r="AA177" s="39" t="str">
        <f t="shared" si="53"/>
        <v/>
      </c>
      <c r="AB177" s="40" t="str">
        <f>IF(OR(L177="",V177=0),"",IF(AND(N(I177)&gt;0,N(INDEX('10-تشرين الأول'!$I$2:$I$501,V177))&gt;0,INDEX('10-تشرين الأول'!$F$2:$F$501,V177)=F177),N(I177)/N(INDEX('10-تشرين الأول'!$I$2:$I$501,V177))-1,""))</f>
        <v/>
      </c>
      <c r="AC177" t="str">
        <f>IF(L177="","",IF(AND($AO$2=1,ISNA(MATCH(L177,'12-كانون الأول'!$L$2:$L$501,0))),"محذوف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IF(L178="","",IF($AO$1=1,IFERROR(MATCH(L178,'10-تشرين الأول'!$L$2:$L$501,0),0),0))</f>
        <v/>
      </c>
      <c r="W178" t="str">
        <f t="shared" si="51"/>
        <v/>
      </c>
      <c r="X178" s="38" t="str">
        <f>IF(L178="","",IF(V178&gt;0,INDEX('10-تشرين الأول'!$P$2:$P$501,V178),IF($AO$1=1,0,"")))</f>
        <v/>
      </c>
      <c r="Y178" s="38" t="str">
        <f t="shared" si="52"/>
        <v/>
      </c>
      <c r="Z178" s="39" t="str">
        <f>IF(L178="","",IF(V178&gt;0,INDEX('10-تشرين الأول'!$Q$2:$Q$501,V178),IF($AO$1=1,0,"")))</f>
        <v/>
      </c>
      <c r="AA178" s="39" t="str">
        <f t="shared" si="53"/>
        <v/>
      </c>
      <c r="AB178" s="40" t="str">
        <f>IF(OR(L178="",V178=0),"",IF(AND(N(I178)&gt;0,N(INDEX('10-تشرين الأول'!$I$2:$I$501,V178))&gt;0,INDEX('10-تشرين الأول'!$F$2:$F$501,V178)=F178),N(I178)/N(INDEX('10-تشرين الأول'!$I$2:$I$501,V178))-1,""))</f>
        <v/>
      </c>
      <c r="AC178" t="str">
        <f>IF(L178="","",IF(AND($AO$2=1,ISNA(MATCH(L178,'12-كانون الأول'!$L$2:$L$501,0))),"محذوف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IF(L179="","",IF($AO$1=1,IFERROR(MATCH(L179,'10-تشرين الأول'!$L$2:$L$501,0),0),0))</f>
        <v/>
      </c>
      <c r="W179" t="str">
        <f t="shared" si="51"/>
        <v/>
      </c>
      <c r="X179" s="38" t="str">
        <f>IF(L179="","",IF(V179&gt;0,INDEX('10-تشرين الأول'!$P$2:$P$501,V179),IF($AO$1=1,0,"")))</f>
        <v/>
      </c>
      <c r="Y179" s="38" t="str">
        <f t="shared" si="52"/>
        <v/>
      </c>
      <c r="Z179" s="39" t="str">
        <f>IF(L179="","",IF(V179&gt;0,INDEX('10-تشرين الأول'!$Q$2:$Q$501,V179),IF($AO$1=1,0,"")))</f>
        <v/>
      </c>
      <c r="AA179" s="39" t="str">
        <f t="shared" si="53"/>
        <v/>
      </c>
      <c r="AB179" s="40" t="str">
        <f>IF(OR(L179="",V179=0),"",IF(AND(N(I179)&gt;0,N(INDEX('10-تشرين الأول'!$I$2:$I$501,V179))&gt;0,INDEX('10-تشرين الأول'!$F$2:$F$501,V179)=F179),N(I179)/N(INDEX('10-تشرين الأول'!$I$2:$I$501,V179))-1,""))</f>
        <v/>
      </c>
      <c r="AC179" t="str">
        <f>IF(L179="","",IF(AND($AO$2=1,ISNA(MATCH(L179,'12-كانون الأول'!$L$2:$L$501,0))),"محذوف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IF(L180="","",IF($AO$1=1,IFERROR(MATCH(L180,'10-تشرين الأول'!$L$2:$L$501,0),0),0))</f>
        <v/>
      </c>
      <c r="W180" t="str">
        <f t="shared" si="51"/>
        <v/>
      </c>
      <c r="X180" s="38" t="str">
        <f>IF(L180="","",IF(V180&gt;0,INDEX('10-تشرين الأول'!$P$2:$P$501,V180),IF($AO$1=1,0,"")))</f>
        <v/>
      </c>
      <c r="Y180" s="38" t="str">
        <f t="shared" si="52"/>
        <v/>
      </c>
      <c r="Z180" s="39" t="str">
        <f>IF(L180="","",IF(V180&gt;0,INDEX('10-تشرين الأول'!$Q$2:$Q$501,V180),IF($AO$1=1,0,"")))</f>
        <v/>
      </c>
      <c r="AA180" s="39" t="str">
        <f t="shared" si="53"/>
        <v/>
      </c>
      <c r="AB180" s="40" t="str">
        <f>IF(OR(L180="",V180=0),"",IF(AND(N(I180)&gt;0,N(INDEX('10-تشرين الأول'!$I$2:$I$501,V180))&gt;0,INDEX('10-تشرين الأول'!$F$2:$F$501,V180)=F180),N(I180)/N(INDEX('10-تشرين الأول'!$I$2:$I$501,V180))-1,""))</f>
        <v/>
      </c>
      <c r="AC180" t="str">
        <f>IF(L180="","",IF(AND($AO$2=1,ISNA(MATCH(L180,'12-كانون الأول'!$L$2:$L$501,0))),"محذوف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IF(L181="","",IF($AO$1=1,IFERROR(MATCH(L181,'10-تشرين الأول'!$L$2:$L$501,0),0),0))</f>
        <v/>
      </c>
      <c r="W181" t="str">
        <f t="shared" si="51"/>
        <v/>
      </c>
      <c r="X181" s="38" t="str">
        <f>IF(L181="","",IF(V181&gt;0,INDEX('10-تشرين الأول'!$P$2:$P$501,V181),IF($AO$1=1,0,"")))</f>
        <v/>
      </c>
      <c r="Y181" s="38" t="str">
        <f t="shared" si="52"/>
        <v/>
      </c>
      <c r="Z181" s="39" t="str">
        <f>IF(L181="","",IF(V181&gt;0,INDEX('10-تشرين الأول'!$Q$2:$Q$501,V181),IF($AO$1=1,0,"")))</f>
        <v/>
      </c>
      <c r="AA181" s="39" t="str">
        <f t="shared" si="53"/>
        <v/>
      </c>
      <c r="AB181" s="40" t="str">
        <f>IF(OR(L181="",V181=0),"",IF(AND(N(I181)&gt;0,N(INDEX('10-تشرين الأول'!$I$2:$I$501,V181))&gt;0,INDEX('10-تشرين الأول'!$F$2:$F$501,V181)=F181),N(I181)/N(INDEX('10-تشرين الأول'!$I$2:$I$501,V181))-1,""))</f>
        <v/>
      </c>
      <c r="AC181" t="str">
        <f>IF(L181="","",IF(AND($AO$2=1,ISNA(MATCH(L181,'12-كانون الأول'!$L$2:$L$501,0))),"محذوف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IF(L182="","",IF($AO$1=1,IFERROR(MATCH(L182,'10-تشرين الأول'!$L$2:$L$501,0),0),0))</f>
        <v/>
      </c>
      <c r="W182" t="str">
        <f t="shared" si="51"/>
        <v/>
      </c>
      <c r="X182" s="38" t="str">
        <f>IF(L182="","",IF(V182&gt;0,INDEX('10-تشرين الأول'!$P$2:$P$501,V182),IF($AO$1=1,0,"")))</f>
        <v/>
      </c>
      <c r="Y182" s="38" t="str">
        <f t="shared" si="52"/>
        <v/>
      </c>
      <c r="Z182" s="39" t="str">
        <f>IF(L182="","",IF(V182&gt;0,INDEX('10-تشرين الأول'!$Q$2:$Q$501,V182),IF($AO$1=1,0,"")))</f>
        <v/>
      </c>
      <c r="AA182" s="39" t="str">
        <f t="shared" si="53"/>
        <v/>
      </c>
      <c r="AB182" s="40" t="str">
        <f>IF(OR(L182="",V182=0),"",IF(AND(N(I182)&gt;0,N(INDEX('10-تشرين الأول'!$I$2:$I$501,V182))&gt;0,INDEX('10-تشرين الأول'!$F$2:$F$501,V182)=F182),N(I182)/N(INDEX('10-تشرين الأول'!$I$2:$I$501,V182))-1,""))</f>
        <v/>
      </c>
      <c r="AC182" t="str">
        <f>IF(L182="","",IF(AND($AO$2=1,ISNA(MATCH(L182,'12-كانون الأول'!$L$2:$L$501,0))),"محذوف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IF(L183="","",IF($AO$1=1,IFERROR(MATCH(L183,'10-تشرين الأول'!$L$2:$L$501,0),0),0))</f>
        <v/>
      </c>
      <c r="W183" t="str">
        <f t="shared" si="51"/>
        <v/>
      </c>
      <c r="X183" s="38" t="str">
        <f>IF(L183="","",IF(V183&gt;0,INDEX('10-تشرين الأول'!$P$2:$P$501,V183),IF($AO$1=1,0,"")))</f>
        <v/>
      </c>
      <c r="Y183" s="38" t="str">
        <f t="shared" si="52"/>
        <v/>
      </c>
      <c r="Z183" s="39" t="str">
        <f>IF(L183="","",IF(V183&gt;0,INDEX('10-تشرين الأول'!$Q$2:$Q$501,V183),IF($AO$1=1,0,"")))</f>
        <v/>
      </c>
      <c r="AA183" s="39" t="str">
        <f t="shared" si="53"/>
        <v/>
      </c>
      <c r="AB183" s="40" t="str">
        <f>IF(OR(L183="",V183=0),"",IF(AND(N(I183)&gt;0,N(INDEX('10-تشرين الأول'!$I$2:$I$501,V183))&gt;0,INDEX('10-تشرين الأول'!$F$2:$F$501,V183)=F183),N(I183)/N(INDEX('10-تشرين الأول'!$I$2:$I$501,V183))-1,""))</f>
        <v/>
      </c>
      <c r="AC183" t="str">
        <f>IF(L183="","",IF(AND($AO$2=1,ISNA(MATCH(L183,'12-كانون الأول'!$L$2:$L$501,0))),"محذوف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IF(L184="","",IF($AO$1=1,IFERROR(MATCH(L184,'10-تشرين الأول'!$L$2:$L$501,0),0),0))</f>
        <v/>
      </c>
      <c r="W184" t="str">
        <f t="shared" si="51"/>
        <v/>
      </c>
      <c r="X184" s="38" t="str">
        <f>IF(L184="","",IF(V184&gt;0,INDEX('10-تشرين الأول'!$P$2:$P$501,V184),IF($AO$1=1,0,"")))</f>
        <v/>
      </c>
      <c r="Y184" s="38" t="str">
        <f t="shared" si="52"/>
        <v/>
      </c>
      <c r="Z184" s="39" t="str">
        <f>IF(L184="","",IF(V184&gt;0,INDEX('10-تشرين الأول'!$Q$2:$Q$501,V184),IF($AO$1=1,0,"")))</f>
        <v/>
      </c>
      <c r="AA184" s="39" t="str">
        <f t="shared" si="53"/>
        <v/>
      </c>
      <c r="AB184" s="40" t="str">
        <f>IF(OR(L184="",V184=0),"",IF(AND(N(I184)&gt;0,N(INDEX('10-تشرين الأول'!$I$2:$I$501,V184))&gt;0,INDEX('10-تشرين الأول'!$F$2:$F$501,V184)=F184),N(I184)/N(INDEX('10-تشرين الأول'!$I$2:$I$501,V184))-1,""))</f>
        <v/>
      </c>
      <c r="AC184" t="str">
        <f>IF(L184="","",IF(AND($AO$2=1,ISNA(MATCH(L184,'12-كانون الأول'!$L$2:$L$501,0))),"محذوف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IF(L185="","",IF($AO$1=1,IFERROR(MATCH(L185,'10-تشرين الأول'!$L$2:$L$501,0),0),0))</f>
        <v/>
      </c>
      <c r="W185" t="str">
        <f t="shared" si="51"/>
        <v/>
      </c>
      <c r="X185" s="38" t="str">
        <f>IF(L185="","",IF(V185&gt;0,INDEX('10-تشرين الأول'!$P$2:$P$501,V185),IF($AO$1=1,0,"")))</f>
        <v/>
      </c>
      <c r="Y185" s="38" t="str">
        <f t="shared" si="52"/>
        <v/>
      </c>
      <c r="Z185" s="39" t="str">
        <f>IF(L185="","",IF(V185&gt;0,INDEX('10-تشرين الأول'!$Q$2:$Q$501,V185),IF($AO$1=1,0,"")))</f>
        <v/>
      </c>
      <c r="AA185" s="39" t="str">
        <f t="shared" si="53"/>
        <v/>
      </c>
      <c r="AB185" s="40" t="str">
        <f>IF(OR(L185="",V185=0),"",IF(AND(N(I185)&gt;0,N(INDEX('10-تشرين الأول'!$I$2:$I$501,V185))&gt;0,INDEX('10-تشرين الأول'!$F$2:$F$501,V185)=F185),N(I185)/N(INDEX('10-تشرين الأول'!$I$2:$I$501,V185))-1,""))</f>
        <v/>
      </c>
      <c r="AC185" t="str">
        <f>IF(L185="","",IF(AND($AO$2=1,ISNA(MATCH(L185,'12-كانون الأول'!$L$2:$L$501,0))),"محذوف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IF(L186="","",IF($AO$1=1,IFERROR(MATCH(L186,'10-تشرين الأول'!$L$2:$L$501,0),0),0))</f>
        <v/>
      </c>
      <c r="W186" t="str">
        <f t="shared" si="51"/>
        <v/>
      </c>
      <c r="X186" s="38" t="str">
        <f>IF(L186="","",IF(V186&gt;0,INDEX('10-تشرين الأول'!$P$2:$P$501,V186),IF($AO$1=1,0,"")))</f>
        <v/>
      </c>
      <c r="Y186" s="38" t="str">
        <f t="shared" si="52"/>
        <v/>
      </c>
      <c r="Z186" s="39" t="str">
        <f>IF(L186="","",IF(V186&gt;0,INDEX('10-تشرين الأول'!$Q$2:$Q$501,V186),IF($AO$1=1,0,"")))</f>
        <v/>
      </c>
      <c r="AA186" s="39" t="str">
        <f t="shared" si="53"/>
        <v/>
      </c>
      <c r="AB186" s="40" t="str">
        <f>IF(OR(L186="",V186=0),"",IF(AND(N(I186)&gt;0,N(INDEX('10-تشرين الأول'!$I$2:$I$501,V186))&gt;0,INDEX('10-تشرين الأول'!$F$2:$F$501,V186)=F186),N(I186)/N(INDEX('10-تشرين الأول'!$I$2:$I$501,V186))-1,""))</f>
        <v/>
      </c>
      <c r="AC186" t="str">
        <f>IF(L186="","",IF(AND($AO$2=1,ISNA(MATCH(L186,'12-كانون الأول'!$L$2:$L$501,0))),"محذوف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IF(L187="","",IF($AO$1=1,IFERROR(MATCH(L187,'10-تشرين الأول'!$L$2:$L$501,0),0),0))</f>
        <v/>
      </c>
      <c r="W187" t="str">
        <f t="shared" si="51"/>
        <v/>
      </c>
      <c r="X187" s="38" t="str">
        <f>IF(L187="","",IF(V187&gt;0,INDEX('10-تشرين الأول'!$P$2:$P$501,V187),IF($AO$1=1,0,"")))</f>
        <v/>
      </c>
      <c r="Y187" s="38" t="str">
        <f t="shared" si="52"/>
        <v/>
      </c>
      <c r="Z187" s="39" t="str">
        <f>IF(L187="","",IF(V187&gt;0,INDEX('10-تشرين الأول'!$Q$2:$Q$501,V187),IF($AO$1=1,0,"")))</f>
        <v/>
      </c>
      <c r="AA187" s="39" t="str">
        <f t="shared" si="53"/>
        <v/>
      </c>
      <c r="AB187" s="40" t="str">
        <f>IF(OR(L187="",V187=0),"",IF(AND(N(I187)&gt;0,N(INDEX('10-تشرين الأول'!$I$2:$I$501,V187))&gt;0,INDEX('10-تشرين الأول'!$F$2:$F$501,V187)=F187),N(I187)/N(INDEX('10-تشرين الأول'!$I$2:$I$501,V187))-1,""))</f>
        <v/>
      </c>
      <c r="AC187" t="str">
        <f>IF(L187="","",IF(AND($AO$2=1,ISNA(MATCH(L187,'12-كانون الأول'!$L$2:$L$501,0))),"محذوف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IF(L188="","",IF($AO$1=1,IFERROR(MATCH(L188,'10-تشرين الأول'!$L$2:$L$501,0),0),0))</f>
        <v/>
      </c>
      <c r="W188" t="str">
        <f t="shared" si="51"/>
        <v/>
      </c>
      <c r="X188" s="38" t="str">
        <f>IF(L188="","",IF(V188&gt;0,INDEX('10-تشرين الأول'!$P$2:$P$501,V188),IF($AO$1=1,0,"")))</f>
        <v/>
      </c>
      <c r="Y188" s="38" t="str">
        <f t="shared" si="52"/>
        <v/>
      </c>
      <c r="Z188" s="39" t="str">
        <f>IF(L188="","",IF(V188&gt;0,INDEX('10-تشرين الأول'!$Q$2:$Q$501,V188),IF($AO$1=1,0,"")))</f>
        <v/>
      </c>
      <c r="AA188" s="39" t="str">
        <f t="shared" si="53"/>
        <v/>
      </c>
      <c r="AB188" s="40" t="str">
        <f>IF(OR(L188="",V188=0),"",IF(AND(N(I188)&gt;0,N(INDEX('10-تشرين الأول'!$I$2:$I$501,V188))&gt;0,INDEX('10-تشرين الأول'!$F$2:$F$501,V188)=F188),N(I188)/N(INDEX('10-تشرين الأول'!$I$2:$I$501,V188))-1,""))</f>
        <v/>
      </c>
      <c r="AC188" t="str">
        <f>IF(L188="","",IF(AND($AO$2=1,ISNA(MATCH(L188,'12-كانون الأول'!$L$2:$L$501,0))),"محذوف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IF(L189="","",IF($AO$1=1,IFERROR(MATCH(L189,'10-تشرين الأول'!$L$2:$L$501,0),0),0))</f>
        <v/>
      </c>
      <c r="W189" t="str">
        <f t="shared" si="51"/>
        <v/>
      </c>
      <c r="X189" s="38" t="str">
        <f>IF(L189="","",IF(V189&gt;0,INDEX('10-تشرين الأول'!$P$2:$P$501,V189),IF($AO$1=1,0,"")))</f>
        <v/>
      </c>
      <c r="Y189" s="38" t="str">
        <f t="shared" si="52"/>
        <v/>
      </c>
      <c r="Z189" s="39" t="str">
        <f>IF(L189="","",IF(V189&gt;0,INDEX('10-تشرين الأول'!$Q$2:$Q$501,V189),IF($AO$1=1,0,"")))</f>
        <v/>
      </c>
      <c r="AA189" s="39" t="str">
        <f t="shared" si="53"/>
        <v/>
      </c>
      <c r="AB189" s="40" t="str">
        <f>IF(OR(L189="",V189=0),"",IF(AND(N(I189)&gt;0,N(INDEX('10-تشرين الأول'!$I$2:$I$501,V189))&gt;0,INDEX('10-تشرين الأول'!$F$2:$F$501,V189)=F189),N(I189)/N(INDEX('10-تشرين الأول'!$I$2:$I$501,V189))-1,""))</f>
        <v/>
      </c>
      <c r="AC189" t="str">
        <f>IF(L189="","",IF(AND($AO$2=1,ISNA(MATCH(L189,'12-كانون الأول'!$L$2:$L$501,0))),"محذوف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IF(L190="","",IF($AO$1=1,IFERROR(MATCH(L190,'10-تشرين الأول'!$L$2:$L$501,0),0),0))</f>
        <v/>
      </c>
      <c r="W190" t="str">
        <f t="shared" si="51"/>
        <v/>
      </c>
      <c r="X190" s="38" t="str">
        <f>IF(L190="","",IF(V190&gt;0,INDEX('10-تشرين الأول'!$P$2:$P$501,V190),IF($AO$1=1,0,"")))</f>
        <v/>
      </c>
      <c r="Y190" s="38" t="str">
        <f t="shared" si="52"/>
        <v/>
      </c>
      <c r="Z190" s="39" t="str">
        <f>IF(L190="","",IF(V190&gt;0,INDEX('10-تشرين الأول'!$Q$2:$Q$501,V190),IF($AO$1=1,0,"")))</f>
        <v/>
      </c>
      <c r="AA190" s="39" t="str">
        <f t="shared" si="53"/>
        <v/>
      </c>
      <c r="AB190" s="40" t="str">
        <f>IF(OR(L190="",V190=0),"",IF(AND(N(I190)&gt;0,N(INDEX('10-تشرين الأول'!$I$2:$I$501,V190))&gt;0,INDEX('10-تشرين الأول'!$F$2:$F$501,V190)=F190),N(I190)/N(INDEX('10-تشرين الأول'!$I$2:$I$501,V190))-1,""))</f>
        <v/>
      </c>
      <c r="AC190" t="str">
        <f>IF(L190="","",IF(AND($AO$2=1,ISNA(MATCH(L190,'12-كانون الأول'!$L$2:$L$501,0))),"محذوف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IF(L191="","",IF($AO$1=1,IFERROR(MATCH(L191,'10-تشرين الأول'!$L$2:$L$501,0),0),0))</f>
        <v/>
      </c>
      <c r="W191" t="str">
        <f t="shared" si="51"/>
        <v/>
      </c>
      <c r="X191" s="38" t="str">
        <f>IF(L191="","",IF(V191&gt;0,INDEX('10-تشرين الأول'!$P$2:$P$501,V191),IF($AO$1=1,0,"")))</f>
        <v/>
      </c>
      <c r="Y191" s="38" t="str">
        <f t="shared" si="52"/>
        <v/>
      </c>
      <c r="Z191" s="39" t="str">
        <f>IF(L191="","",IF(V191&gt;0,INDEX('10-تشرين الأول'!$Q$2:$Q$501,V191),IF($AO$1=1,0,"")))</f>
        <v/>
      </c>
      <c r="AA191" s="39" t="str">
        <f t="shared" si="53"/>
        <v/>
      </c>
      <c r="AB191" s="40" t="str">
        <f>IF(OR(L191="",V191=0),"",IF(AND(N(I191)&gt;0,N(INDEX('10-تشرين الأول'!$I$2:$I$501,V191))&gt;0,INDEX('10-تشرين الأول'!$F$2:$F$501,V191)=F191),N(I191)/N(INDEX('10-تشرين الأول'!$I$2:$I$501,V191))-1,""))</f>
        <v/>
      </c>
      <c r="AC191" t="str">
        <f>IF(L191="","",IF(AND($AO$2=1,ISNA(MATCH(L191,'12-كانون الأول'!$L$2:$L$501,0))),"محذوف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IF(L192="","",IF($AO$1=1,IFERROR(MATCH(L192,'10-تشرين الأول'!$L$2:$L$501,0),0),0))</f>
        <v/>
      </c>
      <c r="W192" t="str">
        <f t="shared" si="51"/>
        <v/>
      </c>
      <c r="X192" s="38" t="str">
        <f>IF(L192="","",IF(V192&gt;0,INDEX('10-تشرين الأول'!$P$2:$P$501,V192),IF($AO$1=1,0,"")))</f>
        <v/>
      </c>
      <c r="Y192" s="38" t="str">
        <f t="shared" si="52"/>
        <v/>
      </c>
      <c r="Z192" s="39" t="str">
        <f>IF(L192="","",IF(V192&gt;0,INDEX('10-تشرين الأول'!$Q$2:$Q$501,V192),IF($AO$1=1,0,"")))</f>
        <v/>
      </c>
      <c r="AA192" s="39" t="str">
        <f t="shared" si="53"/>
        <v/>
      </c>
      <c r="AB192" s="40" t="str">
        <f>IF(OR(L192="",V192=0),"",IF(AND(N(I192)&gt;0,N(INDEX('10-تشرين الأول'!$I$2:$I$501,V192))&gt;0,INDEX('10-تشرين الأول'!$F$2:$F$501,V192)=F192),N(I192)/N(INDEX('10-تشرين الأول'!$I$2:$I$501,V192))-1,""))</f>
        <v/>
      </c>
      <c r="AC192" t="str">
        <f>IF(L192="","",IF(AND($AO$2=1,ISNA(MATCH(L192,'12-كانون الأول'!$L$2:$L$501,0))),"محذوف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IF(L193="","",IF($AO$1=1,IFERROR(MATCH(L193,'10-تشرين الأول'!$L$2:$L$501,0),0),0))</f>
        <v/>
      </c>
      <c r="W193" t="str">
        <f t="shared" si="51"/>
        <v/>
      </c>
      <c r="X193" s="38" t="str">
        <f>IF(L193="","",IF(V193&gt;0,INDEX('10-تشرين الأول'!$P$2:$P$501,V193),IF($AO$1=1,0,"")))</f>
        <v/>
      </c>
      <c r="Y193" s="38" t="str">
        <f t="shared" si="52"/>
        <v/>
      </c>
      <c r="Z193" s="39" t="str">
        <f>IF(L193="","",IF(V193&gt;0,INDEX('10-تشرين الأول'!$Q$2:$Q$501,V193),IF($AO$1=1,0,"")))</f>
        <v/>
      </c>
      <c r="AA193" s="39" t="str">
        <f t="shared" si="53"/>
        <v/>
      </c>
      <c r="AB193" s="40" t="str">
        <f>IF(OR(L193="",V193=0),"",IF(AND(N(I193)&gt;0,N(INDEX('10-تشرين الأول'!$I$2:$I$501,V193))&gt;0,INDEX('10-تشرين الأول'!$F$2:$F$501,V193)=F193),N(I193)/N(INDEX('10-تشرين الأول'!$I$2:$I$501,V193))-1,""))</f>
        <v/>
      </c>
      <c r="AC193" t="str">
        <f>IF(L193="","",IF(AND($AO$2=1,ISNA(MATCH(L193,'12-كانون الأول'!$L$2:$L$501,0))),"محذوف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IF(L194="","",IF($AO$1=1,IFERROR(MATCH(L194,'10-تشرين الأول'!$L$2:$L$501,0),0),0))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IF(L194="","",IF(V194&gt;0,INDEX('10-تشرين الأول'!$P$2:$P$501,V194),IF($AO$1=1,0,"")))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IF(L194="","",IF(V194&gt;0,INDEX('10-تشرين الأول'!$Q$2:$Q$501,V194),IF($AO$1=1,0,"")))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IF(OR(L194="",V194=0),"",IF(AND(N(I194)&gt;0,N(INDEX('10-تشرين الأول'!$I$2:$I$501,V194))&gt;0,INDEX('10-تشرين الأول'!$F$2:$F$501,V194)=F194),N(I194)/N(INDEX('10-تشرين الأول'!$I$2:$I$501,V194))-1,""))</f>
        <v/>
      </c>
      <c r="AC194" t="str">
        <f>IF(L194="","",IF(AND($AO$2=1,ISNA(MATCH(L194,'12-كانون الأول'!$L$2:$L$501,0))),"محذوف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IF(L195="","",IF($AO$1=1,IFERROR(MATCH(L195,'10-تشرين الأول'!$L$2:$L$501,0),0),0))</f>
        <v/>
      </c>
      <c r="W195" t="str">
        <f t="shared" si="71"/>
        <v/>
      </c>
      <c r="X195" s="38" t="str">
        <f>IF(L195="","",IF(V195&gt;0,INDEX('10-تشرين الأول'!$P$2:$P$501,V195),IF($AO$1=1,0,"")))</f>
        <v/>
      </c>
      <c r="Y195" s="38" t="str">
        <f t="shared" si="72"/>
        <v/>
      </c>
      <c r="Z195" s="39" t="str">
        <f>IF(L195="","",IF(V195&gt;0,INDEX('10-تشرين الأول'!$Q$2:$Q$501,V195),IF($AO$1=1,0,"")))</f>
        <v/>
      </c>
      <c r="AA195" s="39" t="str">
        <f t="shared" si="73"/>
        <v/>
      </c>
      <c r="AB195" s="40" t="str">
        <f>IF(OR(L195="",V195=0),"",IF(AND(N(I195)&gt;0,N(INDEX('10-تشرين الأول'!$I$2:$I$501,V195))&gt;0,INDEX('10-تشرين الأول'!$F$2:$F$501,V195)=F195),N(I195)/N(INDEX('10-تشرين الأول'!$I$2:$I$501,V195))-1,""))</f>
        <v/>
      </c>
      <c r="AC195" t="str">
        <f>IF(L195="","",IF(AND($AO$2=1,ISNA(MATCH(L195,'12-كانون الأول'!$L$2:$L$501,0))),"محذوف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IF(L196="","",IF($AO$1=1,IFERROR(MATCH(L196,'10-تشرين الأول'!$L$2:$L$501,0),0),0))</f>
        <v/>
      </c>
      <c r="W196" t="str">
        <f t="shared" si="71"/>
        <v/>
      </c>
      <c r="X196" s="38" t="str">
        <f>IF(L196="","",IF(V196&gt;0,INDEX('10-تشرين الأول'!$P$2:$P$501,V196),IF($AO$1=1,0,"")))</f>
        <v/>
      </c>
      <c r="Y196" s="38" t="str">
        <f t="shared" si="72"/>
        <v/>
      </c>
      <c r="Z196" s="39" t="str">
        <f>IF(L196="","",IF(V196&gt;0,INDEX('10-تشرين الأول'!$Q$2:$Q$501,V196),IF($AO$1=1,0,"")))</f>
        <v/>
      </c>
      <c r="AA196" s="39" t="str">
        <f t="shared" si="73"/>
        <v/>
      </c>
      <c r="AB196" s="40" t="str">
        <f>IF(OR(L196="",V196=0),"",IF(AND(N(I196)&gt;0,N(INDEX('10-تشرين الأول'!$I$2:$I$501,V196))&gt;0,INDEX('10-تشرين الأول'!$F$2:$F$501,V196)=F196),N(I196)/N(INDEX('10-تشرين الأول'!$I$2:$I$501,V196))-1,""))</f>
        <v/>
      </c>
      <c r="AC196" t="str">
        <f>IF(L196="","",IF(AND($AO$2=1,ISNA(MATCH(L196,'12-كانون الأول'!$L$2:$L$501,0))),"محذوف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IF(L197="","",IF($AO$1=1,IFERROR(MATCH(L197,'10-تشرين الأول'!$L$2:$L$501,0),0),0))</f>
        <v/>
      </c>
      <c r="W197" t="str">
        <f t="shared" si="71"/>
        <v/>
      </c>
      <c r="X197" s="38" t="str">
        <f>IF(L197="","",IF(V197&gt;0,INDEX('10-تشرين الأول'!$P$2:$P$501,V197),IF($AO$1=1,0,"")))</f>
        <v/>
      </c>
      <c r="Y197" s="38" t="str">
        <f t="shared" si="72"/>
        <v/>
      </c>
      <c r="Z197" s="39" t="str">
        <f>IF(L197="","",IF(V197&gt;0,INDEX('10-تشرين الأول'!$Q$2:$Q$501,V197),IF($AO$1=1,0,"")))</f>
        <v/>
      </c>
      <c r="AA197" s="39" t="str">
        <f t="shared" si="73"/>
        <v/>
      </c>
      <c r="AB197" s="40" t="str">
        <f>IF(OR(L197="",V197=0),"",IF(AND(N(I197)&gt;0,N(INDEX('10-تشرين الأول'!$I$2:$I$501,V197))&gt;0,INDEX('10-تشرين الأول'!$F$2:$F$501,V197)=F197),N(I197)/N(INDEX('10-تشرين الأول'!$I$2:$I$501,V197))-1,""))</f>
        <v/>
      </c>
      <c r="AC197" t="str">
        <f>IF(L197="","",IF(AND($AO$2=1,ISNA(MATCH(L197,'12-كانون الأول'!$L$2:$L$501,0))),"محذوف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IF(L198="","",IF($AO$1=1,IFERROR(MATCH(L198,'10-تشرين الأول'!$L$2:$L$501,0),0),0))</f>
        <v/>
      </c>
      <c r="W198" t="str">
        <f t="shared" si="71"/>
        <v/>
      </c>
      <c r="X198" s="38" t="str">
        <f>IF(L198="","",IF(V198&gt;0,INDEX('10-تشرين الأول'!$P$2:$P$501,V198),IF($AO$1=1,0,"")))</f>
        <v/>
      </c>
      <c r="Y198" s="38" t="str">
        <f t="shared" si="72"/>
        <v/>
      </c>
      <c r="Z198" s="39" t="str">
        <f>IF(L198="","",IF(V198&gt;0,INDEX('10-تشرين الأول'!$Q$2:$Q$501,V198),IF($AO$1=1,0,"")))</f>
        <v/>
      </c>
      <c r="AA198" s="39" t="str">
        <f t="shared" si="73"/>
        <v/>
      </c>
      <c r="AB198" s="40" t="str">
        <f>IF(OR(L198="",V198=0),"",IF(AND(N(I198)&gt;0,N(INDEX('10-تشرين الأول'!$I$2:$I$501,V198))&gt;0,INDEX('10-تشرين الأول'!$F$2:$F$501,V198)=F198),N(I198)/N(INDEX('10-تشرين الأول'!$I$2:$I$501,V198))-1,""))</f>
        <v/>
      </c>
      <c r="AC198" t="str">
        <f>IF(L198="","",IF(AND($AO$2=1,ISNA(MATCH(L198,'12-كانون الأول'!$L$2:$L$501,0))),"محذوف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IF(L199="","",IF($AO$1=1,IFERROR(MATCH(L199,'10-تشرين الأول'!$L$2:$L$501,0),0),0))</f>
        <v/>
      </c>
      <c r="W199" t="str">
        <f t="shared" si="71"/>
        <v/>
      </c>
      <c r="X199" s="38" t="str">
        <f>IF(L199="","",IF(V199&gt;0,INDEX('10-تشرين الأول'!$P$2:$P$501,V199),IF($AO$1=1,0,"")))</f>
        <v/>
      </c>
      <c r="Y199" s="38" t="str">
        <f t="shared" si="72"/>
        <v/>
      </c>
      <c r="Z199" s="39" t="str">
        <f>IF(L199="","",IF(V199&gt;0,INDEX('10-تشرين الأول'!$Q$2:$Q$501,V199),IF($AO$1=1,0,"")))</f>
        <v/>
      </c>
      <c r="AA199" s="39" t="str">
        <f t="shared" si="73"/>
        <v/>
      </c>
      <c r="AB199" s="40" t="str">
        <f>IF(OR(L199="",V199=0),"",IF(AND(N(I199)&gt;0,N(INDEX('10-تشرين الأول'!$I$2:$I$501,V199))&gt;0,INDEX('10-تشرين الأول'!$F$2:$F$501,V199)=F199),N(I199)/N(INDEX('10-تشرين الأول'!$I$2:$I$501,V199))-1,""))</f>
        <v/>
      </c>
      <c r="AC199" t="str">
        <f>IF(L199="","",IF(AND($AO$2=1,ISNA(MATCH(L199,'12-كانون الأول'!$L$2:$L$501,0))),"محذوف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IF(L200="","",IF($AO$1=1,IFERROR(MATCH(L200,'10-تشرين الأول'!$L$2:$L$501,0),0),0))</f>
        <v/>
      </c>
      <c r="W200" t="str">
        <f t="shared" si="71"/>
        <v/>
      </c>
      <c r="X200" s="38" t="str">
        <f>IF(L200="","",IF(V200&gt;0,INDEX('10-تشرين الأول'!$P$2:$P$501,V200),IF($AO$1=1,0,"")))</f>
        <v/>
      </c>
      <c r="Y200" s="38" t="str">
        <f t="shared" si="72"/>
        <v/>
      </c>
      <c r="Z200" s="39" t="str">
        <f>IF(L200="","",IF(V200&gt;0,INDEX('10-تشرين الأول'!$Q$2:$Q$501,V200),IF($AO$1=1,0,"")))</f>
        <v/>
      </c>
      <c r="AA200" s="39" t="str">
        <f t="shared" si="73"/>
        <v/>
      </c>
      <c r="AB200" s="40" t="str">
        <f>IF(OR(L200="",V200=0),"",IF(AND(N(I200)&gt;0,N(INDEX('10-تشرين الأول'!$I$2:$I$501,V200))&gt;0,INDEX('10-تشرين الأول'!$F$2:$F$501,V200)=F200),N(I200)/N(INDEX('10-تشرين الأول'!$I$2:$I$501,V200))-1,""))</f>
        <v/>
      </c>
      <c r="AC200" t="str">
        <f>IF(L200="","",IF(AND($AO$2=1,ISNA(MATCH(L200,'12-كانون الأول'!$L$2:$L$501,0))),"محذوف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IF(L201="","",IF($AO$1=1,IFERROR(MATCH(L201,'10-تشرين الأول'!$L$2:$L$501,0),0),0))</f>
        <v/>
      </c>
      <c r="W201" t="str">
        <f t="shared" si="71"/>
        <v/>
      </c>
      <c r="X201" s="38" t="str">
        <f>IF(L201="","",IF(V201&gt;0,INDEX('10-تشرين الأول'!$P$2:$P$501,V201),IF($AO$1=1,0,"")))</f>
        <v/>
      </c>
      <c r="Y201" s="38" t="str">
        <f t="shared" si="72"/>
        <v/>
      </c>
      <c r="Z201" s="39" t="str">
        <f>IF(L201="","",IF(V201&gt;0,INDEX('10-تشرين الأول'!$Q$2:$Q$501,V201),IF($AO$1=1,0,"")))</f>
        <v/>
      </c>
      <c r="AA201" s="39" t="str">
        <f t="shared" si="73"/>
        <v/>
      </c>
      <c r="AB201" s="40" t="str">
        <f>IF(OR(L201="",V201=0),"",IF(AND(N(I201)&gt;0,N(INDEX('10-تشرين الأول'!$I$2:$I$501,V201))&gt;0,INDEX('10-تشرين الأول'!$F$2:$F$501,V201)=F201),N(I201)/N(INDEX('10-تشرين الأول'!$I$2:$I$501,V201))-1,""))</f>
        <v/>
      </c>
      <c r="AC201" t="str">
        <f>IF(L201="","",IF(AND($AO$2=1,ISNA(MATCH(L201,'12-كانون الأول'!$L$2:$L$501,0))),"محذوف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IF(L202="","",IF($AO$1=1,IFERROR(MATCH(L202,'10-تشرين الأول'!$L$2:$L$501,0),0),0))</f>
        <v/>
      </c>
      <c r="W202" t="str">
        <f t="shared" si="71"/>
        <v/>
      </c>
      <c r="X202" s="38" t="str">
        <f>IF(L202="","",IF(V202&gt;0,INDEX('10-تشرين الأول'!$P$2:$P$501,V202),IF($AO$1=1,0,"")))</f>
        <v/>
      </c>
      <c r="Y202" s="38" t="str">
        <f t="shared" si="72"/>
        <v/>
      </c>
      <c r="Z202" s="39" t="str">
        <f>IF(L202="","",IF(V202&gt;0,INDEX('10-تشرين الأول'!$Q$2:$Q$501,V202),IF($AO$1=1,0,"")))</f>
        <v/>
      </c>
      <c r="AA202" s="39" t="str">
        <f t="shared" si="73"/>
        <v/>
      </c>
      <c r="AB202" s="40" t="str">
        <f>IF(OR(L202="",V202=0),"",IF(AND(N(I202)&gt;0,N(INDEX('10-تشرين الأول'!$I$2:$I$501,V202))&gt;0,INDEX('10-تشرين الأول'!$F$2:$F$501,V202)=F202),N(I202)/N(INDEX('10-تشرين الأول'!$I$2:$I$501,V202))-1,""))</f>
        <v/>
      </c>
      <c r="AC202" t="str">
        <f>IF(L202="","",IF(AND($AO$2=1,ISNA(MATCH(L202,'12-كانون الأول'!$L$2:$L$501,0))),"محذوف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IF(L203="","",IF($AO$1=1,IFERROR(MATCH(L203,'10-تشرين الأول'!$L$2:$L$501,0),0),0))</f>
        <v/>
      </c>
      <c r="W203" t="str">
        <f t="shared" si="71"/>
        <v/>
      </c>
      <c r="X203" s="38" t="str">
        <f>IF(L203="","",IF(V203&gt;0,INDEX('10-تشرين الأول'!$P$2:$P$501,V203),IF($AO$1=1,0,"")))</f>
        <v/>
      </c>
      <c r="Y203" s="38" t="str">
        <f t="shared" si="72"/>
        <v/>
      </c>
      <c r="Z203" s="39" t="str">
        <f>IF(L203="","",IF(V203&gt;0,INDEX('10-تشرين الأول'!$Q$2:$Q$501,V203),IF($AO$1=1,0,"")))</f>
        <v/>
      </c>
      <c r="AA203" s="39" t="str">
        <f t="shared" si="73"/>
        <v/>
      </c>
      <c r="AB203" s="40" t="str">
        <f>IF(OR(L203="",V203=0),"",IF(AND(N(I203)&gt;0,N(INDEX('10-تشرين الأول'!$I$2:$I$501,V203))&gt;0,INDEX('10-تشرين الأول'!$F$2:$F$501,V203)=F203),N(I203)/N(INDEX('10-تشرين الأول'!$I$2:$I$501,V203))-1,""))</f>
        <v/>
      </c>
      <c r="AC203" t="str">
        <f>IF(L203="","",IF(AND($AO$2=1,ISNA(MATCH(L203,'12-كانون الأول'!$L$2:$L$501,0))),"محذوف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IF(L204="","",IF($AO$1=1,IFERROR(MATCH(L204,'10-تشرين الأول'!$L$2:$L$501,0),0),0))</f>
        <v/>
      </c>
      <c r="W204" t="str">
        <f t="shared" si="71"/>
        <v/>
      </c>
      <c r="X204" s="38" t="str">
        <f>IF(L204="","",IF(V204&gt;0,INDEX('10-تشرين الأول'!$P$2:$P$501,V204),IF($AO$1=1,0,"")))</f>
        <v/>
      </c>
      <c r="Y204" s="38" t="str">
        <f t="shared" si="72"/>
        <v/>
      </c>
      <c r="Z204" s="39" t="str">
        <f>IF(L204="","",IF(V204&gt;0,INDEX('10-تشرين الأول'!$Q$2:$Q$501,V204),IF($AO$1=1,0,"")))</f>
        <v/>
      </c>
      <c r="AA204" s="39" t="str">
        <f t="shared" si="73"/>
        <v/>
      </c>
      <c r="AB204" s="40" t="str">
        <f>IF(OR(L204="",V204=0),"",IF(AND(N(I204)&gt;0,N(INDEX('10-تشرين الأول'!$I$2:$I$501,V204))&gt;0,INDEX('10-تشرين الأول'!$F$2:$F$501,V204)=F204),N(I204)/N(INDEX('10-تشرين الأول'!$I$2:$I$501,V204))-1,""))</f>
        <v/>
      </c>
      <c r="AC204" t="str">
        <f>IF(L204="","",IF(AND($AO$2=1,ISNA(MATCH(L204,'12-كانون الأول'!$L$2:$L$501,0))),"محذوف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IF(L205="","",IF($AO$1=1,IFERROR(MATCH(L205,'10-تشرين الأول'!$L$2:$L$501,0),0),0))</f>
        <v/>
      </c>
      <c r="W205" t="str">
        <f t="shared" si="71"/>
        <v/>
      </c>
      <c r="X205" s="38" t="str">
        <f>IF(L205="","",IF(V205&gt;0,INDEX('10-تشرين الأول'!$P$2:$P$501,V205),IF($AO$1=1,0,"")))</f>
        <v/>
      </c>
      <c r="Y205" s="38" t="str">
        <f t="shared" si="72"/>
        <v/>
      </c>
      <c r="Z205" s="39" t="str">
        <f>IF(L205="","",IF(V205&gt;0,INDEX('10-تشرين الأول'!$Q$2:$Q$501,V205),IF($AO$1=1,0,"")))</f>
        <v/>
      </c>
      <c r="AA205" s="39" t="str">
        <f t="shared" si="73"/>
        <v/>
      </c>
      <c r="AB205" s="40" t="str">
        <f>IF(OR(L205="",V205=0),"",IF(AND(N(I205)&gt;0,N(INDEX('10-تشرين الأول'!$I$2:$I$501,V205))&gt;0,INDEX('10-تشرين الأول'!$F$2:$F$501,V205)=F205),N(I205)/N(INDEX('10-تشرين الأول'!$I$2:$I$501,V205))-1,""))</f>
        <v/>
      </c>
      <c r="AC205" t="str">
        <f>IF(L205="","",IF(AND($AO$2=1,ISNA(MATCH(L205,'12-كانون الأول'!$L$2:$L$501,0))),"محذوف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IF(L206="","",IF($AO$1=1,IFERROR(MATCH(L206,'10-تشرين الأول'!$L$2:$L$501,0),0),0))</f>
        <v/>
      </c>
      <c r="W206" t="str">
        <f t="shared" si="71"/>
        <v/>
      </c>
      <c r="X206" s="38" t="str">
        <f>IF(L206="","",IF(V206&gt;0,INDEX('10-تشرين الأول'!$P$2:$P$501,V206),IF($AO$1=1,0,"")))</f>
        <v/>
      </c>
      <c r="Y206" s="38" t="str">
        <f t="shared" si="72"/>
        <v/>
      </c>
      <c r="Z206" s="39" t="str">
        <f>IF(L206="","",IF(V206&gt;0,INDEX('10-تشرين الأول'!$Q$2:$Q$501,V206),IF($AO$1=1,0,"")))</f>
        <v/>
      </c>
      <c r="AA206" s="39" t="str">
        <f t="shared" si="73"/>
        <v/>
      </c>
      <c r="AB206" s="40" t="str">
        <f>IF(OR(L206="",V206=0),"",IF(AND(N(I206)&gt;0,N(INDEX('10-تشرين الأول'!$I$2:$I$501,V206))&gt;0,INDEX('10-تشرين الأول'!$F$2:$F$501,V206)=F206),N(I206)/N(INDEX('10-تشرين الأول'!$I$2:$I$501,V206))-1,""))</f>
        <v/>
      </c>
      <c r="AC206" t="str">
        <f>IF(L206="","",IF(AND($AO$2=1,ISNA(MATCH(L206,'12-كانون الأول'!$L$2:$L$501,0))),"محذوف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IF(L207="","",IF($AO$1=1,IFERROR(MATCH(L207,'10-تشرين الأول'!$L$2:$L$501,0),0),0))</f>
        <v/>
      </c>
      <c r="W207" t="str">
        <f t="shared" si="71"/>
        <v/>
      </c>
      <c r="X207" s="38" t="str">
        <f>IF(L207="","",IF(V207&gt;0,INDEX('10-تشرين الأول'!$P$2:$P$501,V207),IF($AO$1=1,0,"")))</f>
        <v/>
      </c>
      <c r="Y207" s="38" t="str">
        <f t="shared" si="72"/>
        <v/>
      </c>
      <c r="Z207" s="39" t="str">
        <f>IF(L207="","",IF(V207&gt;0,INDEX('10-تشرين الأول'!$Q$2:$Q$501,V207),IF($AO$1=1,0,"")))</f>
        <v/>
      </c>
      <c r="AA207" s="39" t="str">
        <f t="shared" si="73"/>
        <v/>
      </c>
      <c r="AB207" s="40" t="str">
        <f>IF(OR(L207="",V207=0),"",IF(AND(N(I207)&gt;0,N(INDEX('10-تشرين الأول'!$I$2:$I$501,V207))&gt;0,INDEX('10-تشرين الأول'!$F$2:$F$501,V207)=F207),N(I207)/N(INDEX('10-تشرين الأول'!$I$2:$I$501,V207))-1,""))</f>
        <v/>
      </c>
      <c r="AC207" t="str">
        <f>IF(L207="","",IF(AND($AO$2=1,ISNA(MATCH(L207,'12-كانون الأول'!$L$2:$L$501,0))),"محذوف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IF(L208="","",IF($AO$1=1,IFERROR(MATCH(L208,'10-تشرين الأول'!$L$2:$L$501,0),0),0))</f>
        <v/>
      </c>
      <c r="W208" t="str">
        <f t="shared" si="71"/>
        <v/>
      </c>
      <c r="X208" s="38" t="str">
        <f>IF(L208="","",IF(V208&gt;0,INDEX('10-تشرين الأول'!$P$2:$P$501,V208),IF($AO$1=1,0,"")))</f>
        <v/>
      </c>
      <c r="Y208" s="38" t="str">
        <f t="shared" si="72"/>
        <v/>
      </c>
      <c r="Z208" s="39" t="str">
        <f>IF(L208="","",IF(V208&gt;0,INDEX('10-تشرين الأول'!$Q$2:$Q$501,V208),IF($AO$1=1,0,"")))</f>
        <v/>
      </c>
      <c r="AA208" s="39" t="str">
        <f t="shared" si="73"/>
        <v/>
      </c>
      <c r="AB208" s="40" t="str">
        <f>IF(OR(L208="",V208=0),"",IF(AND(N(I208)&gt;0,N(INDEX('10-تشرين الأول'!$I$2:$I$501,V208))&gt;0,INDEX('10-تشرين الأول'!$F$2:$F$501,V208)=F208),N(I208)/N(INDEX('10-تشرين الأول'!$I$2:$I$501,V208))-1,""))</f>
        <v/>
      </c>
      <c r="AC208" t="str">
        <f>IF(L208="","",IF(AND($AO$2=1,ISNA(MATCH(L208,'12-كانون الأول'!$L$2:$L$501,0))),"محذوف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IF(L209="","",IF($AO$1=1,IFERROR(MATCH(L209,'10-تشرين الأول'!$L$2:$L$501,0),0),0))</f>
        <v/>
      </c>
      <c r="W209" t="str">
        <f t="shared" si="71"/>
        <v/>
      </c>
      <c r="X209" s="38" t="str">
        <f>IF(L209="","",IF(V209&gt;0,INDEX('10-تشرين الأول'!$P$2:$P$501,V209),IF($AO$1=1,0,"")))</f>
        <v/>
      </c>
      <c r="Y209" s="38" t="str">
        <f t="shared" si="72"/>
        <v/>
      </c>
      <c r="Z209" s="39" t="str">
        <f>IF(L209="","",IF(V209&gt;0,INDEX('10-تشرين الأول'!$Q$2:$Q$501,V209),IF($AO$1=1,0,"")))</f>
        <v/>
      </c>
      <c r="AA209" s="39" t="str">
        <f t="shared" si="73"/>
        <v/>
      </c>
      <c r="AB209" s="40" t="str">
        <f>IF(OR(L209="",V209=0),"",IF(AND(N(I209)&gt;0,N(INDEX('10-تشرين الأول'!$I$2:$I$501,V209))&gt;0,INDEX('10-تشرين الأول'!$F$2:$F$501,V209)=F209),N(I209)/N(INDEX('10-تشرين الأول'!$I$2:$I$501,V209))-1,""))</f>
        <v/>
      </c>
      <c r="AC209" t="str">
        <f>IF(L209="","",IF(AND($AO$2=1,ISNA(MATCH(L209,'12-كانون الأول'!$L$2:$L$501,0))),"محذوف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IF(L210="","",IF($AO$1=1,IFERROR(MATCH(L210,'10-تشرين الأول'!$L$2:$L$501,0),0),0))</f>
        <v/>
      </c>
      <c r="W210" t="str">
        <f t="shared" si="71"/>
        <v/>
      </c>
      <c r="X210" s="38" t="str">
        <f>IF(L210="","",IF(V210&gt;0,INDEX('10-تشرين الأول'!$P$2:$P$501,V210),IF($AO$1=1,0,"")))</f>
        <v/>
      </c>
      <c r="Y210" s="38" t="str">
        <f t="shared" si="72"/>
        <v/>
      </c>
      <c r="Z210" s="39" t="str">
        <f>IF(L210="","",IF(V210&gt;0,INDEX('10-تشرين الأول'!$Q$2:$Q$501,V210),IF($AO$1=1,0,"")))</f>
        <v/>
      </c>
      <c r="AA210" s="39" t="str">
        <f t="shared" si="73"/>
        <v/>
      </c>
      <c r="AB210" s="40" t="str">
        <f>IF(OR(L210="",V210=0),"",IF(AND(N(I210)&gt;0,N(INDEX('10-تشرين الأول'!$I$2:$I$501,V210))&gt;0,INDEX('10-تشرين الأول'!$F$2:$F$501,V210)=F210),N(I210)/N(INDEX('10-تشرين الأول'!$I$2:$I$501,V210))-1,""))</f>
        <v/>
      </c>
      <c r="AC210" t="str">
        <f>IF(L210="","",IF(AND($AO$2=1,ISNA(MATCH(L210,'12-كانون الأول'!$L$2:$L$501,0))),"محذوف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IF(L211="","",IF($AO$1=1,IFERROR(MATCH(L211,'10-تشرين الأول'!$L$2:$L$501,0),0),0))</f>
        <v/>
      </c>
      <c r="W211" t="str">
        <f t="shared" si="71"/>
        <v/>
      </c>
      <c r="X211" s="38" t="str">
        <f>IF(L211="","",IF(V211&gt;0,INDEX('10-تشرين الأول'!$P$2:$P$501,V211),IF($AO$1=1,0,"")))</f>
        <v/>
      </c>
      <c r="Y211" s="38" t="str">
        <f t="shared" si="72"/>
        <v/>
      </c>
      <c r="Z211" s="39" t="str">
        <f>IF(L211="","",IF(V211&gt;0,INDEX('10-تشرين الأول'!$Q$2:$Q$501,V211),IF($AO$1=1,0,"")))</f>
        <v/>
      </c>
      <c r="AA211" s="39" t="str">
        <f t="shared" si="73"/>
        <v/>
      </c>
      <c r="AB211" s="40" t="str">
        <f>IF(OR(L211="",V211=0),"",IF(AND(N(I211)&gt;0,N(INDEX('10-تشرين الأول'!$I$2:$I$501,V211))&gt;0,INDEX('10-تشرين الأول'!$F$2:$F$501,V211)=F211),N(I211)/N(INDEX('10-تشرين الأول'!$I$2:$I$501,V211))-1,""))</f>
        <v/>
      </c>
      <c r="AC211" t="str">
        <f>IF(L211="","",IF(AND($AO$2=1,ISNA(MATCH(L211,'12-كانون الأول'!$L$2:$L$501,0))),"محذوف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IF(L212="","",IF($AO$1=1,IFERROR(MATCH(L212,'10-تشرين الأول'!$L$2:$L$501,0),0),0))</f>
        <v/>
      </c>
      <c r="W212" t="str">
        <f t="shared" si="71"/>
        <v/>
      </c>
      <c r="X212" s="38" t="str">
        <f>IF(L212="","",IF(V212&gt;0,INDEX('10-تشرين الأول'!$P$2:$P$501,V212),IF($AO$1=1,0,"")))</f>
        <v/>
      </c>
      <c r="Y212" s="38" t="str">
        <f t="shared" si="72"/>
        <v/>
      </c>
      <c r="Z212" s="39" t="str">
        <f>IF(L212="","",IF(V212&gt;0,INDEX('10-تشرين الأول'!$Q$2:$Q$501,V212),IF($AO$1=1,0,"")))</f>
        <v/>
      </c>
      <c r="AA212" s="39" t="str">
        <f t="shared" si="73"/>
        <v/>
      </c>
      <c r="AB212" s="40" t="str">
        <f>IF(OR(L212="",V212=0),"",IF(AND(N(I212)&gt;0,N(INDEX('10-تشرين الأول'!$I$2:$I$501,V212))&gt;0,INDEX('10-تشرين الأول'!$F$2:$F$501,V212)=F212),N(I212)/N(INDEX('10-تشرين الأول'!$I$2:$I$501,V212))-1,""))</f>
        <v/>
      </c>
      <c r="AC212" t="str">
        <f>IF(L212="","",IF(AND($AO$2=1,ISNA(MATCH(L212,'12-كانون الأول'!$L$2:$L$501,0))),"محذوف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IF(L213="","",IF($AO$1=1,IFERROR(MATCH(L213,'10-تشرين الأول'!$L$2:$L$501,0),0),0))</f>
        <v/>
      </c>
      <c r="W213" t="str">
        <f t="shared" si="71"/>
        <v/>
      </c>
      <c r="X213" s="38" t="str">
        <f>IF(L213="","",IF(V213&gt;0,INDEX('10-تشرين الأول'!$P$2:$P$501,V213),IF($AO$1=1,0,"")))</f>
        <v/>
      </c>
      <c r="Y213" s="38" t="str">
        <f t="shared" si="72"/>
        <v/>
      </c>
      <c r="Z213" s="39" t="str">
        <f>IF(L213="","",IF(V213&gt;0,INDEX('10-تشرين الأول'!$Q$2:$Q$501,V213),IF($AO$1=1,0,"")))</f>
        <v/>
      </c>
      <c r="AA213" s="39" t="str">
        <f t="shared" si="73"/>
        <v/>
      </c>
      <c r="AB213" s="40" t="str">
        <f>IF(OR(L213="",V213=0),"",IF(AND(N(I213)&gt;0,N(INDEX('10-تشرين الأول'!$I$2:$I$501,V213))&gt;0,INDEX('10-تشرين الأول'!$F$2:$F$501,V213)=F213),N(I213)/N(INDEX('10-تشرين الأول'!$I$2:$I$501,V213))-1,""))</f>
        <v/>
      </c>
      <c r="AC213" t="str">
        <f>IF(L213="","",IF(AND($AO$2=1,ISNA(MATCH(L213,'12-كانون الأول'!$L$2:$L$501,0))),"محذوف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IF(L214="","",IF($AO$1=1,IFERROR(MATCH(L214,'10-تشرين الأول'!$L$2:$L$501,0),0),0))</f>
        <v/>
      </c>
      <c r="W214" t="str">
        <f t="shared" si="71"/>
        <v/>
      </c>
      <c r="X214" s="38" t="str">
        <f>IF(L214="","",IF(V214&gt;0,INDEX('10-تشرين الأول'!$P$2:$P$501,V214),IF($AO$1=1,0,"")))</f>
        <v/>
      </c>
      <c r="Y214" s="38" t="str">
        <f t="shared" si="72"/>
        <v/>
      </c>
      <c r="Z214" s="39" t="str">
        <f>IF(L214="","",IF(V214&gt;0,INDEX('10-تشرين الأول'!$Q$2:$Q$501,V214),IF($AO$1=1,0,"")))</f>
        <v/>
      </c>
      <c r="AA214" s="39" t="str">
        <f t="shared" si="73"/>
        <v/>
      </c>
      <c r="AB214" s="40" t="str">
        <f>IF(OR(L214="",V214=0),"",IF(AND(N(I214)&gt;0,N(INDEX('10-تشرين الأول'!$I$2:$I$501,V214))&gt;0,INDEX('10-تشرين الأول'!$F$2:$F$501,V214)=F214),N(I214)/N(INDEX('10-تشرين الأول'!$I$2:$I$501,V214))-1,""))</f>
        <v/>
      </c>
      <c r="AC214" t="str">
        <f>IF(L214="","",IF(AND($AO$2=1,ISNA(MATCH(L214,'12-كانون الأول'!$L$2:$L$501,0))),"محذوف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IF(L215="","",IF($AO$1=1,IFERROR(MATCH(L215,'10-تشرين الأول'!$L$2:$L$501,0),0),0))</f>
        <v/>
      </c>
      <c r="W215" t="str">
        <f t="shared" si="71"/>
        <v/>
      </c>
      <c r="X215" s="38" t="str">
        <f>IF(L215="","",IF(V215&gt;0,INDEX('10-تشرين الأول'!$P$2:$P$501,V215),IF($AO$1=1,0,"")))</f>
        <v/>
      </c>
      <c r="Y215" s="38" t="str">
        <f t="shared" si="72"/>
        <v/>
      </c>
      <c r="Z215" s="39" t="str">
        <f>IF(L215="","",IF(V215&gt;0,INDEX('10-تشرين الأول'!$Q$2:$Q$501,V215),IF($AO$1=1,0,"")))</f>
        <v/>
      </c>
      <c r="AA215" s="39" t="str">
        <f t="shared" si="73"/>
        <v/>
      </c>
      <c r="AB215" s="40" t="str">
        <f>IF(OR(L215="",V215=0),"",IF(AND(N(I215)&gt;0,N(INDEX('10-تشرين الأول'!$I$2:$I$501,V215))&gt;0,INDEX('10-تشرين الأول'!$F$2:$F$501,V215)=F215),N(I215)/N(INDEX('10-تشرين الأول'!$I$2:$I$501,V215))-1,""))</f>
        <v/>
      </c>
      <c r="AC215" t="str">
        <f>IF(L215="","",IF(AND($AO$2=1,ISNA(MATCH(L215,'12-كانون الأول'!$L$2:$L$501,0))),"محذوف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IF(L216="","",IF($AO$1=1,IFERROR(MATCH(L216,'10-تشرين الأول'!$L$2:$L$501,0),0),0))</f>
        <v/>
      </c>
      <c r="W216" t="str">
        <f t="shared" si="71"/>
        <v/>
      </c>
      <c r="X216" s="38" t="str">
        <f>IF(L216="","",IF(V216&gt;0,INDEX('10-تشرين الأول'!$P$2:$P$501,V216),IF($AO$1=1,0,"")))</f>
        <v/>
      </c>
      <c r="Y216" s="38" t="str">
        <f t="shared" si="72"/>
        <v/>
      </c>
      <c r="Z216" s="39" t="str">
        <f>IF(L216="","",IF(V216&gt;0,INDEX('10-تشرين الأول'!$Q$2:$Q$501,V216),IF($AO$1=1,0,"")))</f>
        <v/>
      </c>
      <c r="AA216" s="39" t="str">
        <f t="shared" si="73"/>
        <v/>
      </c>
      <c r="AB216" s="40" t="str">
        <f>IF(OR(L216="",V216=0),"",IF(AND(N(I216)&gt;0,N(INDEX('10-تشرين الأول'!$I$2:$I$501,V216))&gt;0,INDEX('10-تشرين الأول'!$F$2:$F$501,V216)=F216),N(I216)/N(INDEX('10-تشرين الأول'!$I$2:$I$501,V216))-1,""))</f>
        <v/>
      </c>
      <c r="AC216" t="str">
        <f>IF(L216="","",IF(AND($AO$2=1,ISNA(MATCH(L216,'12-كانون الأول'!$L$2:$L$501,0))),"محذوف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IF(L217="","",IF($AO$1=1,IFERROR(MATCH(L217,'10-تشرين الأول'!$L$2:$L$501,0),0),0))</f>
        <v/>
      </c>
      <c r="W217" t="str">
        <f t="shared" si="71"/>
        <v/>
      </c>
      <c r="X217" s="38" t="str">
        <f>IF(L217="","",IF(V217&gt;0,INDEX('10-تشرين الأول'!$P$2:$P$501,V217),IF($AO$1=1,0,"")))</f>
        <v/>
      </c>
      <c r="Y217" s="38" t="str">
        <f t="shared" si="72"/>
        <v/>
      </c>
      <c r="Z217" s="39" t="str">
        <f>IF(L217="","",IF(V217&gt;0,INDEX('10-تشرين الأول'!$Q$2:$Q$501,V217),IF($AO$1=1,0,"")))</f>
        <v/>
      </c>
      <c r="AA217" s="39" t="str">
        <f t="shared" si="73"/>
        <v/>
      </c>
      <c r="AB217" s="40" t="str">
        <f>IF(OR(L217="",V217=0),"",IF(AND(N(I217)&gt;0,N(INDEX('10-تشرين الأول'!$I$2:$I$501,V217))&gt;0,INDEX('10-تشرين الأول'!$F$2:$F$501,V217)=F217),N(I217)/N(INDEX('10-تشرين الأول'!$I$2:$I$501,V217))-1,""))</f>
        <v/>
      </c>
      <c r="AC217" t="str">
        <f>IF(L217="","",IF(AND($AO$2=1,ISNA(MATCH(L217,'12-كانون الأول'!$L$2:$L$501,0))),"محذوف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IF(L218="","",IF($AO$1=1,IFERROR(MATCH(L218,'10-تشرين الأول'!$L$2:$L$501,0),0),0))</f>
        <v/>
      </c>
      <c r="W218" t="str">
        <f t="shared" si="71"/>
        <v/>
      </c>
      <c r="X218" s="38" t="str">
        <f>IF(L218="","",IF(V218&gt;0,INDEX('10-تشرين الأول'!$P$2:$P$501,V218),IF($AO$1=1,0,"")))</f>
        <v/>
      </c>
      <c r="Y218" s="38" t="str">
        <f t="shared" si="72"/>
        <v/>
      </c>
      <c r="Z218" s="39" t="str">
        <f>IF(L218="","",IF(V218&gt;0,INDEX('10-تشرين الأول'!$Q$2:$Q$501,V218),IF($AO$1=1,0,"")))</f>
        <v/>
      </c>
      <c r="AA218" s="39" t="str">
        <f t="shared" si="73"/>
        <v/>
      </c>
      <c r="AB218" s="40" t="str">
        <f>IF(OR(L218="",V218=0),"",IF(AND(N(I218)&gt;0,N(INDEX('10-تشرين الأول'!$I$2:$I$501,V218))&gt;0,INDEX('10-تشرين الأول'!$F$2:$F$501,V218)=F218),N(I218)/N(INDEX('10-تشرين الأول'!$I$2:$I$501,V218))-1,""))</f>
        <v/>
      </c>
      <c r="AC218" t="str">
        <f>IF(L218="","",IF(AND($AO$2=1,ISNA(MATCH(L218,'12-كانون الأول'!$L$2:$L$501,0))),"محذوف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IF(L219="","",IF($AO$1=1,IFERROR(MATCH(L219,'10-تشرين الأول'!$L$2:$L$501,0),0),0))</f>
        <v/>
      </c>
      <c r="W219" t="str">
        <f t="shared" si="71"/>
        <v/>
      </c>
      <c r="X219" s="38" t="str">
        <f>IF(L219="","",IF(V219&gt;0,INDEX('10-تشرين الأول'!$P$2:$P$501,V219),IF($AO$1=1,0,"")))</f>
        <v/>
      </c>
      <c r="Y219" s="38" t="str">
        <f t="shared" si="72"/>
        <v/>
      </c>
      <c r="Z219" s="39" t="str">
        <f>IF(L219="","",IF(V219&gt;0,INDEX('10-تشرين الأول'!$Q$2:$Q$501,V219),IF($AO$1=1,0,"")))</f>
        <v/>
      </c>
      <c r="AA219" s="39" t="str">
        <f t="shared" si="73"/>
        <v/>
      </c>
      <c r="AB219" s="40" t="str">
        <f>IF(OR(L219="",V219=0),"",IF(AND(N(I219)&gt;0,N(INDEX('10-تشرين الأول'!$I$2:$I$501,V219))&gt;0,INDEX('10-تشرين الأول'!$F$2:$F$501,V219)=F219),N(I219)/N(INDEX('10-تشرين الأول'!$I$2:$I$501,V219))-1,""))</f>
        <v/>
      </c>
      <c r="AC219" t="str">
        <f>IF(L219="","",IF(AND($AO$2=1,ISNA(MATCH(L219,'12-كانون الأول'!$L$2:$L$501,0))),"محذوف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IF(L220="","",IF($AO$1=1,IFERROR(MATCH(L220,'10-تشرين الأول'!$L$2:$L$501,0),0),0))</f>
        <v/>
      </c>
      <c r="W220" t="str">
        <f t="shared" si="71"/>
        <v/>
      </c>
      <c r="X220" s="38" t="str">
        <f>IF(L220="","",IF(V220&gt;0,INDEX('10-تشرين الأول'!$P$2:$P$501,V220),IF($AO$1=1,0,"")))</f>
        <v/>
      </c>
      <c r="Y220" s="38" t="str">
        <f t="shared" si="72"/>
        <v/>
      </c>
      <c r="Z220" s="39" t="str">
        <f>IF(L220="","",IF(V220&gt;0,INDEX('10-تشرين الأول'!$Q$2:$Q$501,V220),IF($AO$1=1,0,"")))</f>
        <v/>
      </c>
      <c r="AA220" s="39" t="str">
        <f t="shared" si="73"/>
        <v/>
      </c>
      <c r="AB220" s="40" t="str">
        <f>IF(OR(L220="",V220=0),"",IF(AND(N(I220)&gt;0,N(INDEX('10-تشرين الأول'!$I$2:$I$501,V220))&gt;0,INDEX('10-تشرين الأول'!$F$2:$F$501,V220)=F220),N(I220)/N(INDEX('10-تشرين الأول'!$I$2:$I$501,V220))-1,""))</f>
        <v/>
      </c>
      <c r="AC220" t="str">
        <f>IF(L220="","",IF(AND($AO$2=1,ISNA(MATCH(L220,'12-كانون الأول'!$L$2:$L$501,0))),"محذوف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IF(L221="","",IF($AO$1=1,IFERROR(MATCH(L221,'10-تشرين الأول'!$L$2:$L$501,0),0),0))</f>
        <v/>
      </c>
      <c r="W221" t="str">
        <f t="shared" si="71"/>
        <v/>
      </c>
      <c r="X221" s="38" t="str">
        <f>IF(L221="","",IF(V221&gt;0,INDEX('10-تشرين الأول'!$P$2:$P$501,V221),IF($AO$1=1,0,"")))</f>
        <v/>
      </c>
      <c r="Y221" s="38" t="str">
        <f t="shared" si="72"/>
        <v/>
      </c>
      <c r="Z221" s="39" t="str">
        <f>IF(L221="","",IF(V221&gt;0,INDEX('10-تشرين الأول'!$Q$2:$Q$501,V221),IF($AO$1=1,0,"")))</f>
        <v/>
      </c>
      <c r="AA221" s="39" t="str">
        <f t="shared" si="73"/>
        <v/>
      </c>
      <c r="AB221" s="40" t="str">
        <f>IF(OR(L221="",V221=0),"",IF(AND(N(I221)&gt;0,N(INDEX('10-تشرين الأول'!$I$2:$I$501,V221))&gt;0,INDEX('10-تشرين الأول'!$F$2:$F$501,V221)=F221),N(I221)/N(INDEX('10-تشرين الأول'!$I$2:$I$501,V221))-1,""))</f>
        <v/>
      </c>
      <c r="AC221" t="str">
        <f>IF(L221="","",IF(AND($AO$2=1,ISNA(MATCH(L221,'12-كانون الأول'!$L$2:$L$501,0))),"محذوف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IF(L222="","",IF($AO$1=1,IFERROR(MATCH(L222,'10-تشرين الأول'!$L$2:$L$501,0),0),0))</f>
        <v/>
      </c>
      <c r="W222" t="str">
        <f t="shared" si="71"/>
        <v/>
      </c>
      <c r="X222" s="38" t="str">
        <f>IF(L222="","",IF(V222&gt;0,INDEX('10-تشرين الأول'!$P$2:$P$501,V222),IF($AO$1=1,0,"")))</f>
        <v/>
      </c>
      <c r="Y222" s="38" t="str">
        <f t="shared" si="72"/>
        <v/>
      </c>
      <c r="Z222" s="39" t="str">
        <f>IF(L222="","",IF(V222&gt;0,INDEX('10-تشرين الأول'!$Q$2:$Q$501,V222),IF($AO$1=1,0,"")))</f>
        <v/>
      </c>
      <c r="AA222" s="39" t="str">
        <f t="shared" si="73"/>
        <v/>
      </c>
      <c r="AB222" s="40" t="str">
        <f>IF(OR(L222="",V222=0),"",IF(AND(N(I222)&gt;0,N(INDEX('10-تشرين الأول'!$I$2:$I$501,V222))&gt;0,INDEX('10-تشرين الأول'!$F$2:$F$501,V222)=F222),N(I222)/N(INDEX('10-تشرين الأول'!$I$2:$I$501,V222))-1,""))</f>
        <v/>
      </c>
      <c r="AC222" t="str">
        <f>IF(L222="","",IF(AND($AO$2=1,ISNA(MATCH(L222,'12-كانون الأول'!$L$2:$L$501,0))),"محذوف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IF(L223="","",IF($AO$1=1,IFERROR(MATCH(L223,'10-تشرين الأول'!$L$2:$L$501,0),0),0))</f>
        <v/>
      </c>
      <c r="W223" t="str">
        <f t="shared" si="71"/>
        <v/>
      </c>
      <c r="X223" s="38" t="str">
        <f>IF(L223="","",IF(V223&gt;0,INDEX('10-تشرين الأول'!$P$2:$P$501,V223),IF($AO$1=1,0,"")))</f>
        <v/>
      </c>
      <c r="Y223" s="38" t="str">
        <f t="shared" si="72"/>
        <v/>
      </c>
      <c r="Z223" s="39" t="str">
        <f>IF(L223="","",IF(V223&gt;0,INDEX('10-تشرين الأول'!$Q$2:$Q$501,V223),IF($AO$1=1,0,"")))</f>
        <v/>
      </c>
      <c r="AA223" s="39" t="str">
        <f t="shared" si="73"/>
        <v/>
      </c>
      <c r="AB223" s="40" t="str">
        <f>IF(OR(L223="",V223=0),"",IF(AND(N(I223)&gt;0,N(INDEX('10-تشرين الأول'!$I$2:$I$501,V223))&gt;0,INDEX('10-تشرين الأول'!$F$2:$F$501,V223)=F223),N(I223)/N(INDEX('10-تشرين الأول'!$I$2:$I$501,V223))-1,""))</f>
        <v/>
      </c>
      <c r="AC223" t="str">
        <f>IF(L223="","",IF(AND($AO$2=1,ISNA(MATCH(L223,'12-كانون الأول'!$L$2:$L$501,0))),"محذوف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IF(L224="","",IF($AO$1=1,IFERROR(MATCH(L224,'10-تشرين الأول'!$L$2:$L$501,0),0),0))</f>
        <v/>
      </c>
      <c r="W224" t="str">
        <f t="shared" si="71"/>
        <v/>
      </c>
      <c r="X224" s="38" t="str">
        <f>IF(L224="","",IF(V224&gt;0,INDEX('10-تشرين الأول'!$P$2:$P$501,V224),IF($AO$1=1,0,"")))</f>
        <v/>
      </c>
      <c r="Y224" s="38" t="str">
        <f t="shared" si="72"/>
        <v/>
      </c>
      <c r="Z224" s="39" t="str">
        <f>IF(L224="","",IF(V224&gt;0,INDEX('10-تشرين الأول'!$Q$2:$Q$501,V224),IF($AO$1=1,0,"")))</f>
        <v/>
      </c>
      <c r="AA224" s="39" t="str">
        <f t="shared" si="73"/>
        <v/>
      </c>
      <c r="AB224" s="40" t="str">
        <f>IF(OR(L224="",V224=0),"",IF(AND(N(I224)&gt;0,N(INDEX('10-تشرين الأول'!$I$2:$I$501,V224))&gt;0,INDEX('10-تشرين الأول'!$F$2:$F$501,V224)=F224),N(I224)/N(INDEX('10-تشرين الأول'!$I$2:$I$501,V224))-1,""))</f>
        <v/>
      </c>
      <c r="AC224" t="str">
        <f>IF(L224="","",IF(AND($AO$2=1,ISNA(MATCH(L224,'12-كانون الأول'!$L$2:$L$501,0))),"محذوف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IF(L225="","",IF($AO$1=1,IFERROR(MATCH(L225,'10-تشرين الأول'!$L$2:$L$501,0),0),0))</f>
        <v/>
      </c>
      <c r="W225" t="str">
        <f t="shared" si="71"/>
        <v/>
      </c>
      <c r="X225" s="38" t="str">
        <f>IF(L225="","",IF(V225&gt;0,INDEX('10-تشرين الأول'!$P$2:$P$501,V225),IF($AO$1=1,0,"")))</f>
        <v/>
      </c>
      <c r="Y225" s="38" t="str">
        <f t="shared" si="72"/>
        <v/>
      </c>
      <c r="Z225" s="39" t="str">
        <f>IF(L225="","",IF(V225&gt;0,INDEX('10-تشرين الأول'!$Q$2:$Q$501,V225),IF($AO$1=1,0,"")))</f>
        <v/>
      </c>
      <c r="AA225" s="39" t="str">
        <f t="shared" si="73"/>
        <v/>
      </c>
      <c r="AB225" s="40" t="str">
        <f>IF(OR(L225="",V225=0),"",IF(AND(N(I225)&gt;0,N(INDEX('10-تشرين الأول'!$I$2:$I$501,V225))&gt;0,INDEX('10-تشرين الأول'!$F$2:$F$501,V225)=F225),N(I225)/N(INDEX('10-تشرين الأول'!$I$2:$I$501,V225))-1,""))</f>
        <v/>
      </c>
      <c r="AC225" t="str">
        <f>IF(L225="","",IF(AND($AO$2=1,ISNA(MATCH(L225,'12-كانون الأول'!$L$2:$L$501,0))),"محذوف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IF(L226="","",IF($AO$1=1,IFERROR(MATCH(L226,'10-تشرين الأول'!$L$2:$L$501,0),0),0))</f>
        <v/>
      </c>
      <c r="W226" t="str">
        <f t="shared" si="71"/>
        <v/>
      </c>
      <c r="X226" s="38" t="str">
        <f>IF(L226="","",IF(V226&gt;0,INDEX('10-تشرين الأول'!$P$2:$P$501,V226),IF($AO$1=1,0,"")))</f>
        <v/>
      </c>
      <c r="Y226" s="38" t="str">
        <f t="shared" si="72"/>
        <v/>
      </c>
      <c r="Z226" s="39" t="str">
        <f>IF(L226="","",IF(V226&gt;0,INDEX('10-تشرين الأول'!$Q$2:$Q$501,V226),IF($AO$1=1,0,"")))</f>
        <v/>
      </c>
      <c r="AA226" s="39" t="str">
        <f t="shared" si="73"/>
        <v/>
      </c>
      <c r="AB226" s="40" t="str">
        <f>IF(OR(L226="",V226=0),"",IF(AND(N(I226)&gt;0,N(INDEX('10-تشرين الأول'!$I$2:$I$501,V226))&gt;0,INDEX('10-تشرين الأول'!$F$2:$F$501,V226)=F226),N(I226)/N(INDEX('10-تشرين الأول'!$I$2:$I$501,V226))-1,""))</f>
        <v/>
      </c>
      <c r="AC226" t="str">
        <f>IF(L226="","",IF(AND($AO$2=1,ISNA(MATCH(L226,'12-كانون الأول'!$L$2:$L$501,0))),"محذوف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IF(L227="","",IF($AO$1=1,IFERROR(MATCH(L227,'10-تشرين الأول'!$L$2:$L$501,0),0),0))</f>
        <v/>
      </c>
      <c r="W227" t="str">
        <f t="shared" si="71"/>
        <v/>
      </c>
      <c r="X227" s="38" t="str">
        <f>IF(L227="","",IF(V227&gt;0,INDEX('10-تشرين الأول'!$P$2:$P$501,V227),IF($AO$1=1,0,"")))</f>
        <v/>
      </c>
      <c r="Y227" s="38" t="str">
        <f t="shared" si="72"/>
        <v/>
      </c>
      <c r="Z227" s="39" t="str">
        <f>IF(L227="","",IF(V227&gt;0,INDEX('10-تشرين الأول'!$Q$2:$Q$501,V227),IF($AO$1=1,0,"")))</f>
        <v/>
      </c>
      <c r="AA227" s="39" t="str">
        <f t="shared" si="73"/>
        <v/>
      </c>
      <c r="AB227" s="40" t="str">
        <f>IF(OR(L227="",V227=0),"",IF(AND(N(I227)&gt;0,N(INDEX('10-تشرين الأول'!$I$2:$I$501,V227))&gt;0,INDEX('10-تشرين الأول'!$F$2:$F$501,V227)=F227),N(I227)/N(INDEX('10-تشرين الأول'!$I$2:$I$501,V227))-1,""))</f>
        <v/>
      </c>
      <c r="AC227" t="str">
        <f>IF(L227="","",IF(AND($AO$2=1,ISNA(MATCH(L227,'12-كانون الأول'!$L$2:$L$501,0))),"محذوف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IF(L228="","",IF($AO$1=1,IFERROR(MATCH(L228,'10-تشرين الأول'!$L$2:$L$501,0),0),0))</f>
        <v/>
      </c>
      <c r="W228" t="str">
        <f t="shared" si="71"/>
        <v/>
      </c>
      <c r="X228" s="38" t="str">
        <f>IF(L228="","",IF(V228&gt;0,INDEX('10-تشرين الأول'!$P$2:$P$501,V228),IF($AO$1=1,0,"")))</f>
        <v/>
      </c>
      <c r="Y228" s="38" t="str">
        <f t="shared" si="72"/>
        <v/>
      </c>
      <c r="Z228" s="39" t="str">
        <f>IF(L228="","",IF(V228&gt;0,INDEX('10-تشرين الأول'!$Q$2:$Q$501,V228),IF($AO$1=1,0,"")))</f>
        <v/>
      </c>
      <c r="AA228" s="39" t="str">
        <f t="shared" si="73"/>
        <v/>
      </c>
      <c r="AB228" s="40" t="str">
        <f>IF(OR(L228="",V228=0),"",IF(AND(N(I228)&gt;0,N(INDEX('10-تشرين الأول'!$I$2:$I$501,V228))&gt;0,INDEX('10-تشرين الأول'!$F$2:$F$501,V228)=F228),N(I228)/N(INDEX('10-تشرين الأول'!$I$2:$I$501,V228))-1,""))</f>
        <v/>
      </c>
      <c r="AC228" t="str">
        <f>IF(L228="","",IF(AND($AO$2=1,ISNA(MATCH(L228,'12-كانون الأول'!$L$2:$L$501,0))),"محذوف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IF(L229="","",IF($AO$1=1,IFERROR(MATCH(L229,'10-تشرين الأول'!$L$2:$L$501,0),0),0))</f>
        <v/>
      </c>
      <c r="W229" t="str">
        <f t="shared" si="71"/>
        <v/>
      </c>
      <c r="X229" s="38" t="str">
        <f>IF(L229="","",IF(V229&gt;0,INDEX('10-تشرين الأول'!$P$2:$P$501,V229),IF($AO$1=1,0,"")))</f>
        <v/>
      </c>
      <c r="Y229" s="38" t="str">
        <f t="shared" si="72"/>
        <v/>
      </c>
      <c r="Z229" s="39" t="str">
        <f>IF(L229="","",IF(V229&gt;0,INDEX('10-تشرين الأول'!$Q$2:$Q$501,V229),IF($AO$1=1,0,"")))</f>
        <v/>
      </c>
      <c r="AA229" s="39" t="str">
        <f t="shared" si="73"/>
        <v/>
      </c>
      <c r="AB229" s="40" t="str">
        <f>IF(OR(L229="",V229=0),"",IF(AND(N(I229)&gt;0,N(INDEX('10-تشرين الأول'!$I$2:$I$501,V229))&gt;0,INDEX('10-تشرين الأول'!$F$2:$F$501,V229)=F229),N(I229)/N(INDEX('10-تشرين الأول'!$I$2:$I$501,V229))-1,""))</f>
        <v/>
      </c>
      <c r="AC229" t="str">
        <f>IF(L229="","",IF(AND($AO$2=1,ISNA(MATCH(L229,'12-كانون الأول'!$L$2:$L$501,0))),"محذوف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IF(L230="","",IF($AO$1=1,IFERROR(MATCH(L230,'10-تشرين الأول'!$L$2:$L$501,0),0),0))</f>
        <v/>
      </c>
      <c r="W230" t="str">
        <f t="shared" si="71"/>
        <v/>
      </c>
      <c r="X230" s="38" t="str">
        <f>IF(L230="","",IF(V230&gt;0,INDEX('10-تشرين الأول'!$P$2:$P$501,V230),IF($AO$1=1,0,"")))</f>
        <v/>
      </c>
      <c r="Y230" s="38" t="str">
        <f t="shared" si="72"/>
        <v/>
      </c>
      <c r="Z230" s="39" t="str">
        <f>IF(L230="","",IF(V230&gt;0,INDEX('10-تشرين الأول'!$Q$2:$Q$501,V230),IF($AO$1=1,0,"")))</f>
        <v/>
      </c>
      <c r="AA230" s="39" t="str">
        <f t="shared" si="73"/>
        <v/>
      </c>
      <c r="AB230" s="40" t="str">
        <f>IF(OR(L230="",V230=0),"",IF(AND(N(I230)&gt;0,N(INDEX('10-تشرين الأول'!$I$2:$I$501,V230))&gt;0,INDEX('10-تشرين الأول'!$F$2:$F$501,V230)=F230),N(I230)/N(INDEX('10-تشرين الأول'!$I$2:$I$501,V230))-1,""))</f>
        <v/>
      </c>
      <c r="AC230" t="str">
        <f>IF(L230="","",IF(AND($AO$2=1,ISNA(MATCH(L230,'12-كانون الأول'!$L$2:$L$501,0))),"محذوف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IF(L231="","",IF($AO$1=1,IFERROR(MATCH(L231,'10-تشرين الأول'!$L$2:$L$501,0),0),0))</f>
        <v/>
      </c>
      <c r="W231" t="str">
        <f t="shared" si="71"/>
        <v/>
      </c>
      <c r="X231" s="38" t="str">
        <f>IF(L231="","",IF(V231&gt;0,INDEX('10-تشرين الأول'!$P$2:$P$501,V231),IF($AO$1=1,0,"")))</f>
        <v/>
      </c>
      <c r="Y231" s="38" t="str">
        <f t="shared" si="72"/>
        <v/>
      </c>
      <c r="Z231" s="39" t="str">
        <f>IF(L231="","",IF(V231&gt;0,INDEX('10-تشرين الأول'!$Q$2:$Q$501,V231),IF($AO$1=1,0,"")))</f>
        <v/>
      </c>
      <c r="AA231" s="39" t="str">
        <f t="shared" si="73"/>
        <v/>
      </c>
      <c r="AB231" s="40" t="str">
        <f>IF(OR(L231="",V231=0),"",IF(AND(N(I231)&gt;0,N(INDEX('10-تشرين الأول'!$I$2:$I$501,V231))&gt;0,INDEX('10-تشرين الأول'!$F$2:$F$501,V231)=F231),N(I231)/N(INDEX('10-تشرين الأول'!$I$2:$I$501,V231))-1,""))</f>
        <v/>
      </c>
      <c r="AC231" t="str">
        <f>IF(L231="","",IF(AND($AO$2=1,ISNA(MATCH(L231,'12-كانون الأول'!$L$2:$L$501,0))),"محذوف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IF(L232="","",IF($AO$1=1,IFERROR(MATCH(L232,'10-تشرين الأول'!$L$2:$L$501,0),0),0))</f>
        <v/>
      </c>
      <c r="W232" t="str">
        <f t="shared" si="71"/>
        <v/>
      </c>
      <c r="X232" s="38" t="str">
        <f>IF(L232="","",IF(V232&gt;0,INDEX('10-تشرين الأول'!$P$2:$P$501,V232),IF($AO$1=1,0,"")))</f>
        <v/>
      </c>
      <c r="Y232" s="38" t="str">
        <f t="shared" si="72"/>
        <v/>
      </c>
      <c r="Z232" s="39" t="str">
        <f>IF(L232="","",IF(V232&gt;0,INDEX('10-تشرين الأول'!$Q$2:$Q$501,V232),IF($AO$1=1,0,"")))</f>
        <v/>
      </c>
      <c r="AA232" s="39" t="str">
        <f t="shared" si="73"/>
        <v/>
      </c>
      <c r="AB232" s="40" t="str">
        <f>IF(OR(L232="",V232=0),"",IF(AND(N(I232)&gt;0,N(INDEX('10-تشرين الأول'!$I$2:$I$501,V232))&gt;0,INDEX('10-تشرين الأول'!$F$2:$F$501,V232)=F232),N(I232)/N(INDEX('10-تشرين الأول'!$I$2:$I$501,V232))-1,""))</f>
        <v/>
      </c>
      <c r="AC232" t="str">
        <f>IF(L232="","",IF(AND($AO$2=1,ISNA(MATCH(L232,'12-كانون الأول'!$L$2:$L$501,0))),"محذوف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IF(L233="","",IF($AO$1=1,IFERROR(MATCH(L233,'10-تشرين الأول'!$L$2:$L$501,0),0),0))</f>
        <v/>
      </c>
      <c r="W233" t="str">
        <f t="shared" si="71"/>
        <v/>
      </c>
      <c r="X233" s="38" t="str">
        <f>IF(L233="","",IF(V233&gt;0,INDEX('10-تشرين الأول'!$P$2:$P$501,V233),IF($AO$1=1,0,"")))</f>
        <v/>
      </c>
      <c r="Y233" s="38" t="str">
        <f t="shared" si="72"/>
        <v/>
      </c>
      <c r="Z233" s="39" t="str">
        <f>IF(L233="","",IF(V233&gt;0,INDEX('10-تشرين الأول'!$Q$2:$Q$501,V233),IF($AO$1=1,0,"")))</f>
        <v/>
      </c>
      <c r="AA233" s="39" t="str">
        <f t="shared" si="73"/>
        <v/>
      </c>
      <c r="AB233" s="40" t="str">
        <f>IF(OR(L233="",V233=0),"",IF(AND(N(I233)&gt;0,N(INDEX('10-تشرين الأول'!$I$2:$I$501,V233))&gt;0,INDEX('10-تشرين الأول'!$F$2:$F$501,V233)=F233),N(I233)/N(INDEX('10-تشرين الأول'!$I$2:$I$501,V233))-1,""))</f>
        <v/>
      </c>
      <c r="AC233" t="str">
        <f>IF(L233="","",IF(AND($AO$2=1,ISNA(MATCH(L233,'12-كانون الأول'!$L$2:$L$501,0))),"محذوف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IF(L234="","",IF($AO$1=1,IFERROR(MATCH(L234,'10-تشرين الأول'!$L$2:$L$501,0),0),0))</f>
        <v/>
      </c>
      <c r="W234" t="str">
        <f t="shared" si="71"/>
        <v/>
      </c>
      <c r="X234" s="38" t="str">
        <f>IF(L234="","",IF(V234&gt;0,INDEX('10-تشرين الأول'!$P$2:$P$501,V234),IF($AO$1=1,0,"")))</f>
        <v/>
      </c>
      <c r="Y234" s="38" t="str">
        <f t="shared" si="72"/>
        <v/>
      </c>
      <c r="Z234" s="39" t="str">
        <f>IF(L234="","",IF(V234&gt;0,INDEX('10-تشرين الأول'!$Q$2:$Q$501,V234),IF($AO$1=1,0,"")))</f>
        <v/>
      </c>
      <c r="AA234" s="39" t="str">
        <f t="shared" si="73"/>
        <v/>
      </c>
      <c r="AB234" s="40" t="str">
        <f>IF(OR(L234="",V234=0),"",IF(AND(N(I234)&gt;0,N(INDEX('10-تشرين الأول'!$I$2:$I$501,V234))&gt;0,INDEX('10-تشرين الأول'!$F$2:$F$501,V234)=F234),N(I234)/N(INDEX('10-تشرين الأول'!$I$2:$I$501,V234))-1,""))</f>
        <v/>
      </c>
      <c r="AC234" t="str">
        <f>IF(L234="","",IF(AND($AO$2=1,ISNA(MATCH(L234,'12-كانون الأول'!$L$2:$L$501,0))),"محذوف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IF(L235="","",IF($AO$1=1,IFERROR(MATCH(L235,'10-تشرين الأول'!$L$2:$L$501,0),0),0))</f>
        <v/>
      </c>
      <c r="W235" t="str">
        <f t="shared" si="71"/>
        <v/>
      </c>
      <c r="X235" s="38" t="str">
        <f>IF(L235="","",IF(V235&gt;0,INDEX('10-تشرين الأول'!$P$2:$P$501,V235),IF($AO$1=1,0,"")))</f>
        <v/>
      </c>
      <c r="Y235" s="38" t="str">
        <f t="shared" si="72"/>
        <v/>
      </c>
      <c r="Z235" s="39" t="str">
        <f>IF(L235="","",IF(V235&gt;0,INDEX('10-تشرين الأول'!$Q$2:$Q$501,V235),IF($AO$1=1,0,"")))</f>
        <v/>
      </c>
      <c r="AA235" s="39" t="str">
        <f t="shared" si="73"/>
        <v/>
      </c>
      <c r="AB235" s="40" t="str">
        <f>IF(OR(L235="",V235=0),"",IF(AND(N(I235)&gt;0,N(INDEX('10-تشرين الأول'!$I$2:$I$501,V235))&gt;0,INDEX('10-تشرين الأول'!$F$2:$F$501,V235)=F235),N(I235)/N(INDEX('10-تشرين الأول'!$I$2:$I$501,V235))-1,""))</f>
        <v/>
      </c>
      <c r="AC235" t="str">
        <f>IF(L235="","",IF(AND($AO$2=1,ISNA(MATCH(L235,'12-كانون الأول'!$L$2:$L$501,0))),"محذوف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IF(L236="","",IF($AO$1=1,IFERROR(MATCH(L236,'10-تشرين الأول'!$L$2:$L$501,0),0),0))</f>
        <v/>
      </c>
      <c r="W236" t="str">
        <f t="shared" si="71"/>
        <v/>
      </c>
      <c r="X236" s="38" t="str">
        <f>IF(L236="","",IF(V236&gt;0,INDEX('10-تشرين الأول'!$P$2:$P$501,V236),IF($AO$1=1,0,"")))</f>
        <v/>
      </c>
      <c r="Y236" s="38" t="str">
        <f t="shared" si="72"/>
        <v/>
      </c>
      <c r="Z236" s="39" t="str">
        <f>IF(L236="","",IF(V236&gt;0,INDEX('10-تشرين الأول'!$Q$2:$Q$501,V236),IF($AO$1=1,0,"")))</f>
        <v/>
      </c>
      <c r="AA236" s="39" t="str">
        <f t="shared" si="73"/>
        <v/>
      </c>
      <c r="AB236" s="40" t="str">
        <f>IF(OR(L236="",V236=0),"",IF(AND(N(I236)&gt;0,N(INDEX('10-تشرين الأول'!$I$2:$I$501,V236))&gt;0,INDEX('10-تشرين الأول'!$F$2:$F$501,V236)=F236),N(I236)/N(INDEX('10-تشرين الأول'!$I$2:$I$501,V236))-1,""))</f>
        <v/>
      </c>
      <c r="AC236" t="str">
        <f>IF(L236="","",IF(AND($AO$2=1,ISNA(MATCH(L236,'12-كانون الأول'!$L$2:$L$501,0))),"محذوف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IF(L237="","",IF($AO$1=1,IFERROR(MATCH(L237,'10-تشرين الأول'!$L$2:$L$501,0),0),0))</f>
        <v/>
      </c>
      <c r="W237" t="str">
        <f t="shared" si="71"/>
        <v/>
      </c>
      <c r="X237" s="38" t="str">
        <f>IF(L237="","",IF(V237&gt;0,INDEX('10-تشرين الأول'!$P$2:$P$501,V237),IF($AO$1=1,0,"")))</f>
        <v/>
      </c>
      <c r="Y237" s="38" t="str">
        <f t="shared" si="72"/>
        <v/>
      </c>
      <c r="Z237" s="39" t="str">
        <f>IF(L237="","",IF(V237&gt;0,INDEX('10-تشرين الأول'!$Q$2:$Q$501,V237),IF($AO$1=1,0,"")))</f>
        <v/>
      </c>
      <c r="AA237" s="39" t="str">
        <f t="shared" si="73"/>
        <v/>
      </c>
      <c r="AB237" s="40" t="str">
        <f>IF(OR(L237="",V237=0),"",IF(AND(N(I237)&gt;0,N(INDEX('10-تشرين الأول'!$I$2:$I$501,V237))&gt;0,INDEX('10-تشرين الأول'!$F$2:$F$501,V237)=F237),N(I237)/N(INDEX('10-تشرين الأول'!$I$2:$I$501,V237))-1,""))</f>
        <v/>
      </c>
      <c r="AC237" t="str">
        <f>IF(L237="","",IF(AND($AO$2=1,ISNA(MATCH(L237,'12-كانون الأول'!$L$2:$L$501,0))),"محذوف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IF(L238="","",IF($AO$1=1,IFERROR(MATCH(L238,'10-تشرين الأول'!$L$2:$L$501,0),0),0))</f>
        <v/>
      </c>
      <c r="W238" t="str">
        <f t="shared" si="71"/>
        <v/>
      </c>
      <c r="X238" s="38" t="str">
        <f>IF(L238="","",IF(V238&gt;0,INDEX('10-تشرين الأول'!$P$2:$P$501,V238),IF($AO$1=1,0,"")))</f>
        <v/>
      </c>
      <c r="Y238" s="38" t="str">
        <f t="shared" si="72"/>
        <v/>
      </c>
      <c r="Z238" s="39" t="str">
        <f>IF(L238="","",IF(V238&gt;0,INDEX('10-تشرين الأول'!$Q$2:$Q$501,V238),IF($AO$1=1,0,"")))</f>
        <v/>
      </c>
      <c r="AA238" s="39" t="str">
        <f t="shared" si="73"/>
        <v/>
      </c>
      <c r="AB238" s="40" t="str">
        <f>IF(OR(L238="",V238=0),"",IF(AND(N(I238)&gt;0,N(INDEX('10-تشرين الأول'!$I$2:$I$501,V238))&gt;0,INDEX('10-تشرين الأول'!$F$2:$F$501,V238)=F238),N(I238)/N(INDEX('10-تشرين الأول'!$I$2:$I$501,V238))-1,""))</f>
        <v/>
      </c>
      <c r="AC238" t="str">
        <f>IF(L238="","",IF(AND($AO$2=1,ISNA(MATCH(L238,'12-كانون الأول'!$L$2:$L$501,0))),"محذوف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IF(L239="","",IF($AO$1=1,IFERROR(MATCH(L239,'10-تشرين الأول'!$L$2:$L$501,0),0),0))</f>
        <v/>
      </c>
      <c r="W239" t="str">
        <f t="shared" si="71"/>
        <v/>
      </c>
      <c r="X239" s="38" t="str">
        <f>IF(L239="","",IF(V239&gt;0,INDEX('10-تشرين الأول'!$P$2:$P$501,V239),IF($AO$1=1,0,"")))</f>
        <v/>
      </c>
      <c r="Y239" s="38" t="str">
        <f t="shared" si="72"/>
        <v/>
      </c>
      <c r="Z239" s="39" t="str">
        <f>IF(L239="","",IF(V239&gt;0,INDEX('10-تشرين الأول'!$Q$2:$Q$501,V239),IF($AO$1=1,0,"")))</f>
        <v/>
      </c>
      <c r="AA239" s="39" t="str">
        <f t="shared" si="73"/>
        <v/>
      </c>
      <c r="AB239" s="40" t="str">
        <f>IF(OR(L239="",V239=0),"",IF(AND(N(I239)&gt;0,N(INDEX('10-تشرين الأول'!$I$2:$I$501,V239))&gt;0,INDEX('10-تشرين الأول'!$F$2:$F$501,V239)=F239),N(I239)/N(INDEX('10-تشرين الأول'!$I$2:$I$501,V239))-1,""))</f>
        <v/>
      </c>
      <c r="AC239" t="str">
        <f>IF(L239="","",IF(AND($AO$2=1,ISNA(MATCH(L239,'12-كانون الأول'!$L$2:$L$501,0))),"محذوف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IF(L240="","",IF($AO$1=1,IFERROR(MATCH(L240,'10-تشرين الأول'!$L$2:$L$501,0),0),0))</f>
        <v/>
      </c>
      <c r="W240" t="str">
        <f t="shared" si="71"/>
        <v/>
      </c>
      <c r="X240" s="38" t="str">
        <f>IF(L240="","",IF(V240&gt;0,INDEX('10-تشرين الأول'!$P$2:$P$501,V240),IF($AO$1=1,0,"")))</f>
        <v/>
      </c>
      <c r="Y240" s="38" t="str">
        <f t="shared" si="72"/>
        <v/>
      </c>
      <c r="Z240" s="39" t="str">
        <f>IF(L240="","",IF(V240&gt;0,INDEX('10-تشرين الأول'!$Q$2:$Q$501,V240),IF($AO$1=1,0,"")))</f>
        <v/>
      </c>
      <c r="AA240" s="39" t="str">
        <f t="shared" si="73"/>
        <v/>
      </c>
      <c r="AB240" s="40" t="str">
        <f>IF(OR(L240="",V240=0),"",IF(AND(N(I240)&gt;0,N(INDEX('10-تشرين الأول'!$I$2:$I$501,V240))&gt;0,INDEX('10-تشرين الأول'!$F$2:$F$501,V240)=F240),N(I240)/N(INDEX('10-تشرين الأول'!$I$2:$I$501,V240))-1,""))</f>
        <v/>
      </c>
      <c r="AC240" t="str">
        <f>IF(L240="","",IF(AND($AO$2=1,ISNA(MATCH(L240,'12-كانون الأول'!$L$2:$L$501,0))),"محذوف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IF(L241="","",IF($AO$1=1,IFERROR(MATCH(L241,'10-تشرين الأول'!$L$2:$L$501,0),0),0))</f>
        <v/>
      </c>
      <c r="W241" t="str">
        <f t="shared" si="71"/>
        <v/>
      </c>
      <c r="X241" s="38" t="str">
        <f>IF(L241="","",IF(V241&gt;0,INDEX('10-تشرين الأول'!$P$2:$P$501,V241),IF($AO$1=1,0,"")))</f>
        <v/>
      </c>
      <c r="Y241" s="38" t="str">
        <f t="shared" si="72"/>
        <v/>
      </c>
      <c r="Z241" s="39" t="str">
        <f>IF(L241="","",IF(V241&gt;0,INDEX('10-تشرين الأول'!$Q$2:$Q$501,V241),IF($AO$1=1,0,"")))</f>
        <v/>
      </c>
      <c r="AA241" s="39" t="str">
        <f t="shared" si="73"/>
        <v/>
      </c>
      <c r="AB241" s="40" t="str">
        <f>IF(OR(L241="",V241=0),"",IF(AND(N(I241)&gt;0,N(INDEX('10-تشرين الأول'!$I$2:$I$501,V241))&gt;0,INDEX('10-تشرين الأول'!$F$2:$F$501,V241)=F241),N(I241)/N(INDEX('10-تشرين الأول'!$I$2:$I$501,V241))-1,""))</f>
        <v/>
      </c>
      <c r="AC241" t="str">
        <f>IF(L241="","",IF(AND($AO$2=1,ISNA(MATCH(L241,'12-كانون الأول'!$L$2:$L$501,0))),"محذوف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IF(L242="","",IF($AO$1=1,IFERROR(MATCH(L242,'10-تشرين الأول'!$L$2:$L$501,0),0),0))</f>
        <v/>
      </c>
      <c r="W242" t="str">
        <f t="shared" si="71"/>
        <v/>
      </c>
      <c r="X242" s="38" t="str">
        <f>IF(L242="","",IF(V242&gt;0,INDEX('10-تشرين الأول'!$P$2:$P$501,V242),IF($AO$1=1,0,"")))</f>
        <v/>
      </c>
      <c r="Y242" s="38" t="str">
        <f t="shared" si="72"/>
        <v/>
      </c>
      <c r="Z242" s="39" t="str">
        <f>IF(L242="","",IF(V242&gt;0,INDEX('10-تشرين الأول'!$Q$2:$Q$501,V242),IF($AO$1=1,0,"")))</f>
        <v/>
      </c>
      <c r="AA242" s="39" t="str">
        <f t="shared" si="73"/>
        <v/>
      </c>
      <c r="AB242" s="40" t="str">
        <f>IF(OR(L242="",V242=0),"",IF(AND(N(I242)&gt;0,N(INDEX('10-تشرين الأول'!$I$2:$I$501,V242))&gt;0,INDEX('10-تشرين الأول'!$F$2:$F$501,V242)=F242),N(I242)/N(INDEX('10-تشرين الأول'!$I$2:$I$501,V242))-1,""))</f>
        <v/>
      </c>
      <c r="AC242" t="str">
        <f>IF(L242="","",IF(AND($AO$2=1,ISNA(MATCH(L242,'12-كانون الأول'!$L$2:$L$501,0))),"محذوف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IF(L243="","",IF($AO$1=1,IFERROR(MATCH(L243,'10-تشرين الأول'!$L$2:$L$501,0),0),0))</f>
        <v/>
      </c>
      <c r="W243" t="str">
        <f t="shared" si="71"/>
        <v/>
      </c>
      <c r="X243" s="38" t="str">
        <f>IF(L243="","",IF(V243&gt;0,INDEX('10-تشرين الأول'!$P$2:$P$501,V243),IF($AO$1=1,0,"")))</f>
        <v/>
      </c>
      <c r="Y243" s="38" t="str">
        <f t="shared" si="72"/>
        <v/>
      </c>
      <c r="Z243" s="39" t="str">
        <f>IF(L243="","",IF(V243&gt;0,INDEX('10-تشرين الأول'!$Q$2:$Q$501,V243),IF($AO$1=1,0,"")))</f>
        <v/>
      </c>
      <c r="AA243" s="39" t="str">
        <f t="shared" si="73"/>
        <v/>
      </c>
      <c r="AB243" s="40" t="str">
        <f>IF(OR(L243="",V243=0),"",IF(AND(N(I243)&gt;0,N(INDEX('10-تشرين الأول'!$I$2:$I$501,V243))&gt;0,INDEX('10-تشرين الأول'!$F$2:$F$501,V243)=F243),N(I243)/N(INDEX('10-تشرين الأول'!$I$2:$I$501,V243))-1,""))</f>
        <v/>
      </c>
      <c r="AC243" t="str">
        <f>IF(L243="","",IF(AND($AO$2=1,ISNA(MATCH(L243,'12-كانون الأول'!$L$2:$L$501,0))),"محذوف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IF(L244="","",IF($AO$1=1,IFERROR(MATCH(L244,'10-تشرين الأول'!$L$2:$L$501,0),0),0))</f>
        <v/>
      </c>
      <c r="W244" t="str">
        <f t="shared" si="71"/>
        <v/>
      </c>
      <c r="X244" s="38" t="str">
        <f>IF(L244="","",IF(V244&gt;0,INDEX('10-تشرين الأول'!$P$2:$P$501,V244),IF($AO$1=1,0,"")))</f>
        <v/>
      </c>
      <c r="Y244" s="38" t="str">
        <f t="shared" si="72"/>
        <v/>
      </c>
      <c r="Z244" s="39" t="str">
        <f>IF(L244="","",IF(V244&gt;0,INDEX('10-تشرين الأول'!$Q$2:$Q$501,V244),IF($AO$1=1,0,"")))</f>
        <v/>
      </c>
      <c r="AA244" s="39" t="str">
        <f t="shared" si="73"/>
        <v/>
      </c>
      <c r="AB244" s="40" t="str">
        <f>IF(OR(L244="",V244=0),"",IF(AND(N(I244)&gt;0,N(INDEX('10-تشرين الأول'!$I$2:$I$501,V244))&gt;0,INDEX('10-تشرين الأول'!$F$2:$F$501,V244)=F244),N(I244)/N(INDEX('10-تشرين الأول'!$I$2:$I$501,V244))-1,""))</f>
        <v/>
      </c>
      <c r="AC244" t="str">
        <f>IF(L244="","",IF(AND($AO$2=1,ISNA(MATCH(L244,'12-كانون الأول'!$L$2:$L$501,0))),"محذوف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IF(L245="","",IF($AO$1=1,IFERROR(MATCH(L245,'10-تشرين الأول'!$L$2:$L$501,0),0),0))</f>
        <v/>
      </c>
      <c r="W245" t="str">
        <f t="shared" si="71"/>
        <v/>
      </c>
      <c r="X245" s="38" t="str">
        <f>IF(L245="","",IF(V245&gt;0,INDEX('10-تشرين الأول'!$P$2:$P$501,V245),IF($AO$1=1,0,"")))</f>
        <v/>
      </c>
      <c r="Y245" s="38" t="str">
        <f t="shared" si="72"/>
        <v/>
      </c>
      <c r="Z245" s="39" t="str">
        <f>IF(L245="","",IF(V245&gt;0,INDEX('10-تشرين الأول'!$Q$2:$Q$501,V245),IF($AO$1=1,0,"")))</f>
        <v/>
      </c>
      <c r="AA245" s="39" t="str">
        <f t="shared" si="73"/>
        <v/>
      </c>
      <c r="AB245" s="40" t="str">
        <f>IF(OR(L245="",V245=0),"",IF(AND(N(I245)&gt;0,N(INDEX('10-تشرين الأول'!$I$2:$I$501,V245))&gt;0,INDEX('10-تشرين الأول'!$F$2:$F$501,V245)=F245),N(I245)/N(INDEX('10-تشرين الأول'!$I$2:$I$501,V245))-1,""))</f>
        <v/>
      </c>
      <c r="AC245" t="str">
        <f>IF(L245="","",IF(AND($AO$2=1,ISNA(MATCH(L245,'12-كانون الأول'!$L$2:$L$501,0))),"محذوف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IF(L246="","",IF($AO$1=1,IFERROR(MATCH(L246,'10-تشرين الأول'!$L$2:$L$501,0),0),0))</f>
        <v/>
      </c>
      <c r="W246" t="str">
        <f t="shared" si="71"/>
        <v/>
      </c>
      <c r="X246" s="38" t="str">
        <f>IF(L246="","",IF(V246&gt;0,INDEX('10-تشرين الأول'!$P$2:$P$501,V246),IF($AO$1=1,0,"")))</f>
        <v/>
      </c>
      <c r="Y246" s="38" t="str">
        <f t="shared" si="72"/>
        <v/>
      </c>
      <c r="Z246" s="39" t="str">
        <f>IF(L246="","",IF(V246&gt;0,INDEX('10-تشرين الأول'!$Q$2:$Q$501,V246),IF($AO$1=1,0,"")))</f>
        <v/>
      </c>
      <c r="AA246" s="39" t="str">
        <f t="shared" si="73"/>
        <v/>
      </c>
      <c r="AB246" s="40" t="str">
        <f>IF(OR(L246="",V246=0),"",IF(AND(N(I246)&gt;0,N(INDEX('10-تشرين الأول'!$I$2:$I$501,V246))&gt;0,INDEX('10-تشرين الأول'!$F$2:$F$501,V246)=F246),N(I246)/N(INDEX('10-تشرين الأول'!$I$2:$I$501,V246))-1,""))</f>
        <v/>
      </c>
      <c r="AC246" t="str">
        <f>IF(L246="","",IF(AND($AO$2=1,ISNA(MATCH(L246,'12-كانون الأول'!$L$2:$L$501,0))),"محذوف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IF(L247="","",IF($AO$1=1,IFERROR(MATCH(L247,'10-تشرين الأول'!$L$2:$L$501,0),0),0))</f>
        <v/>
      </c>
      <c r="W247" t="str">
        <f t="shared" si="71"/>
        <v/>
      </c>
      <c r="X247" s="38" t="str">
        <f>IF(L247="","",IF(V247&gt;0,INDEX('10-تشرين الأول'!$P$2:$P$501,V247),IF($AO$1=1,0,"")))</f>
        <v/>
      </c>
      <c r="Y247" s="38" t="str">
        <f t="shared" si="72"/>
        <v/>
      </c>
      <c r="Z247" s="39" t="str">
        <f>IF(L247="","",IF(V247&gt;0,INDEX('10-تشرين الأول'!$Q$2:$Q$501,V247),IF($AO$1=1,0,"")))</f>
        <v/>
      </c>
      <c r="AA247" s="39" t="str">
        <f t="shared" si="73"/>
        <v/>
      </c>
      <c r="AB247" s="40" t="str">
        <f>IF(OR(L247="",V247=0),"",IF(AND(N(I247)&gt;0,N(INDEX('10-تشرين الأول'!$I$2:$I$501,V247))&gt;0,INDEX('10-تشرين الأول'!$F$2:$F$501,V247)=F247),N(I247)/N(INDEX('10-تشرين الأول'!$I$2:$I$501,V247))-1,""))</f>
        <v/>
      </c>
      <c r="AC247" t="str">
        <f>IF(L247="","",IF(AND($AO$2=1,ISNA(MATCH(L247,'12-كانون الأول'!$L$2:$L$501,0))),"محذوف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IF(L248="","",IF($AO$1=1,IFERROR(MATCH(L248,'10-تشرين الأول'!$L$2:$L$501,0),0),0))</f>
        <v/>
      </c>
      <c r="W248" t="str">
        <f t="shared" si="71"/>
        <v/>
      </c>
      <c r="X248" s="38" t="str">
        <f>IF(L248="","",IF(V248&gt;0,INDEX('10-تشرين الأول'!$P$2:$P$501,V248),IF($AO$1=1,0,"")))</f>
        <v/>
      </c>
      <c r="Y248" s="38" t="str">
        <f t="shared" si="72"/>
        <v/>
      </c>
      <c r="Z248" s="39" t="str">
        <f>IF(L248="","",IF(V248&gt;0,INDEX('10-تشرين الأول'!$Q$2:$Q$501,V248),IF($AO$1=1,0,"")))</f>
        <v/>
      </c>
      <c r="AA248" s="39" t="str">
        <f t="shared" si="73"/>
        <v/>
      </c>
      <c r="AB248" s="40" t="str">
        <f>IF(OR(L248="",V248=0),"",IF(AND(N(I248)&gt;0,N(INDEX('10-تشرين الأول'!$I$2:$I$501,V248))&gt;0,INDEX('10-تشرين الأول'!$F$2:$F$501,V248)=F248),N(I248)/N(INDEX('10-تشرين الأول'!$I$2:$I$501,V248))-1,""))</f>
        <v/>
      </c>
      <c r="AC248" t="str">
        <f>IF(L248="","",IF(AND($AO$2=1,ISNA(MATCH(L248,'12-كانون الأول'!$L$2:$L$501,0))),"محذوف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IF(L249="","",IF($AO$1=1,IFERROR(MATCH(L249,'10-تشرين الأول'!$L$2:$L$501,0),0),0))</f>
        <v/>
      </c>
      <c r="W249" t="str">
        <f t="shared" si="71"/>
        <v/>
      </c>
      <c r="X249" s="38" t="str">
        <f>IF(L249="","",IF(V249&gt;0,INDEX('10-تشرين الأول'!$P$2:$P$501,V249),IF($AO$1=1,0,"")))</f>
        <v/>
      </c>
      <c r="Y249" s="38" t="str">
        <f t="shared" si="72"/>
        <v/>
      </c>
      <c r="Z249" s="39" t="str">
        <f>IF(L249="","",IF(V249&gt;0,INDEX('10-تشرين الأول'!$Q$2:$Q$501,V249),IF($AO$1=1,0,"")))</f>
        <v/>
      </c>
      <c r="AA249" s="39" t="str">
        <f t="shared" si="73"/>
        <v/>
      </c>
      <c r="AB249" s="40" t="str">
        <f>IF(OR(L249="",V249=0),"",IF(AND(N(I249)&gt;0,N(INDEX('10-تشرين الأول'!$I$2:$I$501,V249))&gt;0,INDEX('10-تشرين الأول'!$F$2:$F$501,V249)=F249),N(I249)/N(INDEX('10-تشرين الأول'!$I$2:$I$501,V249))-1,""))</f>
        <v/>
      </c>
      <c r="AC249" t="str">
        <f>IF(L249="","",IF(AND($AO$2=1,ISNA(MATCH(L249,'12-كانون الأول'!$L$2:$L$501,0))),"محذوف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IF(L250="","",IF($AO$1=1,IFERROR(MATCH(L250,'10-تشرين الأول'!$L$2:$L$501,0),0),0))</f>
        <v/>
      </c>
      <c r="W250" t="str">
        <f t="shared" si="71"/>
        <v/>
      </c>
      <c r="X250" s="38" t="str">
        <f>IF(L250="","",IF(V250&gt;0,INDEX('10-تشرين الأول'!$P$2:$P$501,V250),IF($AO$1=1,0,"")))</f>
        <v/>
      </c>
      <c r="Y250" s="38" t="str">
        <f t="shared" si="72"/>
        <v/>
      </c>
      <c r="Z250" s="39" t="str">
        <f>IF(L250="","",IF(V250&gt;0,INDEX('10-تشرين الأول'!$Q$2:$Q$501,V250),IF($AO$1=1,0,"")))</f>
        <v/>
      </c>
      <c r="AA250" s="39" t="str">
        <f t="shared" si="73"/>
        <v/>
      </c>
      <c r="AB250" s="40" t="str">
        <f>IF(OR(L250="",V250=0),"",IF(AND(N(I250)&gt;0,N(INDEX('10-تشرين الأول'!$I$2:$I$501,V250))&gt;0,INDEX('10-تشرين الأول'!$F$2:$F$501,V250)=F250),N(I250)/N(INDEX('10-تشرين الأول'!$I$2:$I$501,V250))-1,""))</f>
        <v/>
      </c>
      <c r="AC250" t="str">
        <f>IF(L250="","",IF(AND($AO$2=1,ISNA(MATCH(L250,'12-كانون الأول'!$L$2:$L$501,0))),"محذوف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IF(L251="","",IF($AO$1=1,IFERROR(MATCH(L251,'10-تشرين الأول'!$L$2:$L$501,0),0),0))</f>
        <v/>
      </c>
      <c r="W251" t="str">
        <f t="shared" si="71"/>
        <v/>
      </c>
      <c r="X251" s="38" t="str">
        <f>IF(L251="","",IF(V251&gt;0,INDEX('10-تشرين الأول'!$P$2:$P$501,V251),IF($AO$1=1,0,"")))</f>
        <v/>
      </c>
      <c r="Y251" s="38" t="str">
        <f t="shared" si="72"/>
        <v/>
      </c>
      <c r="Z251" s="39" t="str">
        <f>IF(L251="","",IF(V251&gt;0,INDEX('10-تشرين الأول'!$Q$2:$Q$501,V251),IF($AO$1=1,0,"")))</f>
        <v/>
      </c>
      <c r="AA251" s="39" t="str">
        <f t="shared" si="73"/>
        <v/>
      </c>
      <c r="AB251" s="40" t="str">
        <f>IF(OR(L251="",V251=0),"",IF(AND(N(I251)&gt;0,N(INDEX('10-تشرين الأول'!$I$2:$I$501,V251))&gt;0,INDEX('10-تشرين الأول'!$F$2:$F$501,V251)=F251),N(I251)/N(INDEX('10-تشرين الأول'!$I$2:$I$501,V251))-1,""))</f>
        <v/>
      </c>
      <c r="AC251" t="str">
        <f>IF(L251="","",IF(AND($AO$2=1,ISNA(MATCH(L251,'12-كانون الأول'!$L$2:$L$501,0))),"محذوف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IF(L252="","",IF($AO$1=1,IFERROR(MATCH(L252,'10-تشرين الأول'!$L$2:$L$501,0),0),0))</f>
        <v/>
      </c>
      <c r="W252" t="str">
        <f t="shared" si="71"/>
        <v/>
      </c>
      <c r="X252" s="38" t="str">
        <f>IF(L252="","",IF(V252&gt;0,INDEX('10-تشرين الأول'!$P$2:$P$501,V252),IF($AO$1=1,0,"")))</f>
        <v/>
      </c>
      <c r="Y252" s="38" t="str">
        <f t="shared" si="72"/>
        <v/>
      </c>
      <c r="Z252" s="39" t="str">
        <f>IF(L252="","",IF(V252&gt;0,INDEX('10-تشرين الأول'!$Q$2:$Q$501,V252),IF($AO$1=1,0,"")))</f>
        <v/>
      </c>
      <c r="AA252" s="39" t="str">
        <f t="shared" si="73"/>
        <v/>
      </c>
      <c r="AB252" s="40" t="str">
        <f>IF(OR(L252="",V252=0),"",IF(AND(N(I252)&gt;0,N(INDEX('10-تشرين الأول'!$I$2:$I$501,V252))&gt;0,INDEX('10-تشرين الأول'!$F$2:$F$501,V252)=F252),N(I252)/N(INDEX('10-تشرين الأول'!$I$2:$I$501,V252))-1,""))</f>
        <v/>
      </c>
      <c r="AC252" t="str">
        <f>IF(L252="","",IF(AND($AO$2=1,ISNA(MATCH(L252,'12-كانون الأول'!$L$2:$L$501,0))),"محذوف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IF(L253="","",IF($AO$1=1,IFERROR(MATCH(L253,'10-تشرين الأول'!$L$2:$L$501,0),0),0))</f>
        <v/>
      </c>
      <c r="W253" t="str">
        <f t="shared" si="71"/>
        <v/>
      </c>
      <c r="X253" s="38" t="str">
        <f>IF(L253="","",IF(V253&gt;0,INDEX('10-تشرين الأول'!$P$2:$P$501,V253),IF($AO$1=1,0,"")))</f>
        <v/>
      </c>
      <c r="Y253" s="38" t="str">
        <f t="shared" si="72"/>
        <v/>
      </c>
      <c r="Z253" s="39" t="str">
        <f>IF(L253="","",IF(V253&gt;0,INDEX('10-تشرين الأول'!$Q$2:$Q$501,V253),IF($AO$1=1,0,"")))</f>
        <v/>
      </c>
      <c r="AA253" s="39" t="str">
        <f t="shared" si="73"/>
        <v/>
      </c>
      <c r="AB253" s="40" t="str">
        <f>IF(OR(L253="",V253=0),"",IF(AND(N(I253)&gt;0,N(INDEX('10-تشرين الأول'!$I$2:$I$501,V253))&gt;0,INDEX('10-تشرين الأول'!$F$2:$F$501,V253)=F253),N(I253)/N(INDEX('10-تشرين الأول'!$I$2:$I$501,V253))-1,""))</f>
        <v/>
      </c>
      <c r="AC253" t="str">
        <f>IF(L253="","",IF(AND($AO$2=1,ISNA(MATCH(L253,'12-كانون الأول'!$L$2:$L$501,0))),"محذوف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IF(L254="","",IF($AO$1=1,IFERROR(MATCH(L254,'10-تشرين الأول'!$L$2:$L$501,0),0),0))</f>
        <v/>
      </c>
      <c r="W254" t="str">
        <f t="shared" si="71"/>
        <v/>
      </c>
      <c r="X254" s="38" t="str">
        <f>IF(L254="","",IF(V254&gt;0,INDEX('10-تشرين الأول'!$P$2:$P$501,V254),IF($AO$1=1,0,"")))</f>
        <v/>
      </c>
      <c r="Y254" s="38" t="str">
        <f t="shared" si="72"/>
        <v/>
      </c>
      <c r="Z254" s="39" t="str">
        <f>IF(L254="","",IF(V254&gt;0,INDEX('10-تشرين الأول'!$Q$2:$Q$501,V254),IF($AO$1=1,0,"")))</f>
        <v/>
      </c>
      <c r="AA254" s="39" t="str">
        <f t="shared" si="73"/>
        <v/>
      </c>
      <c r="AB254" s="40" t="str">
        <f>IF(OR(L254="",V254=0),"",IF(AND(N(I254)&gt;0,N(INDEX('10-تشرين الأول'!$I$2:$I$501,V254))&gt;0,INDEX('10-تشرين الأول'!$F$2:$F$501,V254)=F254),N(I254)/N(INDEX('10-تشرين الأول'!$I$2:$I$501,V254))-1,""))</f>
        <v/>
      </c>
      <c r="AC254" t="str">
        <f>IF(L254="","",IF(AND($AO$2=1,ISNA(MATCH(L254,'12-كانون الأول'!$L$2:$L$501,0))),"محذوف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IF(L255="","",IF($AO$1=1,IFERROR(MATCH(L255,'10-تشرين الأول'!$L$2:$L$501,0),0),0))</f>
        <v/>
      </c>
      <c r="W255" t="str">
        <f t="shared" si="71"/>
        <v/>
      </c>
      <c r="X255" s="38" t="str">
        <f>IF(L255="","",IF(V255&gt;0,INDEX('10-تشرين الأول'!$P$2:$P$501,V255),IF($AO$1=1,0,"")))</f>
        <v/>
      </c>
      <c r="Y255" s="38" t="str">
        <f t="shared" si="72"/>
        <v/>
      </c>
      <c r="Z255" s="39" t="str">
        <f>IF(L255="","",IF(V255&gt;0,INDEX('10-تشرين الأول'!$Q$2:$Q$501,V255),IF($AO$1=1,0,"")))</f>
        <v/>
      </c>
      <c r="AA255" s="39" t="str">
        <f t="shared" si="73"/>
        <v/>
      </c>
      <c r="AB255" s="40" t="str">
        <f>IF(OR(L255="",V255=0),"",IF(AND(N(I255)&gt;0,N(INDEX('10-تشرين الأول'!$I$2:$I$501,V255))&gt;0,INDEX('10-تشرين الأول'!$F$2:$F$501,V255)=F255),N(I255)/N(INDEX('10-تشرين الأول'!$I$2:$I$501,V255))-1,""))</f>
        <v/>
      </c>
      <c r="AC255" t="str">
        <f>IF(L255="","",IF(AND($AO$2=1,ISNA(MATCH(L255,'12-كانون الأول'!$L$2:$L$501,0))),"محذوف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IF(L256="","",IF($AO$1=1,IFERROR(MATCH(L256,'10-تشرين الأول'!$L$2:$L$501,0),0),0))</f>
        <v/>
      </c>
      <c r="W256" t="str">
        <f t="shared" si="71"/>
        <v/>
      </c>
      <c r="X256" s="38" t="str">
        <f>IF(L256="","",IF(V256&gt;0,INDEX('10-تشرين الأول'!$P$2:$P$501,V256),IF($AO$1=1,0,"")))</f>
        <v/>
      </c>
      <c r="Y256" s="38" t="str">
        <f t="shared" si="72"/>
        <v/>
      </c>
      <c r="Z256" s="39" t="str">
        <f>IF(L256="","",IF(V256&gt;0,INDEX('10-تشرين الأول'!$Q$2:$Q$501,V256),IF($AO$1=1,0,"")))</f>
        <v/>
      </c>
      <c r="AA256" s="39" t="str">
        <f t="shared" si="73"/>
        <v/>
      </c>
      <c r="AB256" s="40" t="str">
        <f>IF(OR(L256="",V256=0),"",IF(AND(N(I256)&gt;0,N(INDEX('10-تشرين الأول'!$I$2:$I$501,V256))&gt;0,INDEX('10-تشرين الأول'!$F$2:$F$501,V256)=F256),N(I256)/N(INDEX('10-تشرين الأول'!$I$2:$I$501,V256))-1,""))</f>
        <v/>
      </c>
      <c r="AC256" t="str">
        <f>IF(L256="","",IF(AND($AO$2=1,ISNA(MATCH(L256,'12-كانون الأول'!$L$2:$L$501,0))),"محذوف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IF(L257="","",IF($AO$1=1,IFERROR(MATCH(L257,'10-تشرين الأول'!$L$2:$L$501,0),0),0))</f>
        <v/>
      </c>
      <c r="W257" t="str">
        <f t="shared" si="71"/>
        <v/>
      </c>
      <c r="X257" s="38" t="str">
        <f>IF(L257="","",IF(V257&gt;0,INDEX('10-تشرين الأول'!$P$2:$P$501,V257),IF($AO$1=1,0,"")))</f>
        <v/>
      </c>
      <c r="Y257" s="38" t="str">
        <f t="shared" si="72"/>
        <v/>
      </c>
      <c r="Z257" s="39" t="str">
        <f>IF(L257="","",IF(V257&gt;0,INDEX('10-تشرين الأول'!$Q$2:$Q$501,V257),IF($AO$1=1,0,"")))</f>
        <v/>
      </c>
      <c r="AA257" s="39" t="str">
        <f t="shared" si="73"/>
        <v/>
      </c>
      <c r="AB257" s="40" t="str">
        <f>IF(OR(L257="",V257=0),"",IF(AND(N(I257)&gt;0,N(INDEX('10-تشرين الأول'!$I$2:$I$501,V257))&gt;0,INDEX('10-تشرين الأول'!$F$2:$F$501,V257)=F257),N(I257)/N(INDEX('10-تشرين الأول'!$I$2:$I$501,V257))-1,""))</f>
        <v/>
      </c>
      <c r="AC257" t="str">
        <f>IF(L257="","",IF(AND($AO$2=1,ISNA(MATCH(L257,'12-كانون الأول'!$L$2:$L$501,0))),"محذوف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IF(L258="","",IF($AO$1=1,IFERROR(MATCH(L258,'10-تشرين الأول'!$L$2:$L$501,0),0),0))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IF(L258="","",IF(V258&gt;0,INDEX('10-تشرين الأول'!$P$2:$P$501,V258),IF($AO$1=1,0,"")))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IF(L258="","",IF(V258&gt;0,INDEX('10-تشرين الأول'!$Q$2:$Q$501,V258),IF($AO$1=1,0,"")))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IF(OR(L258="",V258=0),"",IF(AND(N(I258)&gt;0,N(INDEX('10-تشرين الأول'!$I$2:$I$501,V258))&gt;0,INDEX('10-تشرين الأول'!$F$2:$F$501,V258)=F258),N(I258)/N(INDEX('10-تشرين الأول'!$I$2:$I$501,V258))-1,""))</f>
        <v/>
      </c>
      <c r="AC258" t="str">
        <f>IF(L258="","",IF(AND($AO$2=1,ISNA(MATCH(L258,'12-كانون الأول'!$L$2:$L$501,0))),"محذوف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IF(L259="","",IF($AO$1=1,IFERROR(MATCH(L259,'10-تشرين الأول'!$L$2:$L$501,0),0),0))</f>
        <v/>
      </c>
      <c r="W259" t="str">
        <f t="shared" si="91"/>
        <v/>
      </c>
      <c r="X259" s="38" t="str">
        <f>IF(L259="","",IF(V259&gt;0,INDEX('10-تشرين الأول'!$P$2:$P$501,V259),IF($AO$1=1,0,"")))</f>
        <v/>
      </c>
      <c r="Y259" s="38" t="str">
        <f t="shared" si="92"/>
        <v/>
      </c>
      <c r="Z259" s="39" t="str">
        <f>IF(L259="","",IF(V259&gt;0,INDEX('10-تشرين الأول'!$Q$2:$Q$501,V259),IF($AO$1=1,0,"")))</f>
        <v/>
      </c>
      <c r="AA259" s="39" t="str">
        <f t="shared" si="93"/>
        <v/>
      </c>
      <c r="AB259" s="40" t="str">
        <f>IF(OR(L259="",V259=0),"",IF(AND(N(I259)&gt;0,N(INDEX('10-تشرين الأول'!$I$2:$I$501,V259))&gt;0,INDEX('10-تشرين الأول'!$F$2:$F$501,V259)=F259),N(I259)/N(INDEX('10-تشرين الأول'!$I$2:$I$501,V259))-1,""))</f>
        <v/>
      </c>
      <c r="AC259" t="str">
        <f>IF(L259="","",IF(AND($AO$2=1,ISNA(MATCH(L259,'12-كانون الأول'!$L$2:$L$501,0))),"محذوف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IF(L260="","",IF($AO$1=1,IFERROR(MATCH(L260,'10-تشرين الأول'!$L$2:$L$501,0),0),0))</f>
        <v/>
      </c>
      <c r="W260" t="str">
        <f t="shared" si="91"/>
        <v/>
      </c>
      <c r="X260" s="38" t="str">
        <f>IF(L260="","",IF(V260&gt;0,INDEX('10-تشرين الأول'!$P$2:$P$501,V260),IF($AO$1=1,0,"")))</f>
        <v/>
      </c>
      <c r="Y260" s="38" t="str">
        <f t="shared" si="92"/>
        <v/>
      </c>
      <c r="Z260" s="39" t="str">
        <f>IF(L260="","",IF(V260&gt;0,INDEX('10-تشرين الأول'!$Q$2:$Q$501,V260),IF($AO$1=1,0,"")))</f>
        <v/>
      </c>
      <c r="AA260" s="39" t="str">
        <f t="shared" si="93"/>
        <v/>
      </c>
      <c r="AB260" s="40" t="str">
        <f>IF(OR(L260="",V260=0),"",IF(AND(N(I260)&gt;0,N(INDEX('10-تشرين الأول'!$I$2:$I$501,V260))&gt;0,INDEX('10-تشرين الأول'!$F$2:$F$501,V260)=F260),N(I260)/N(INDEX('10-تشرين الأول'!$I$2:$I$501,V260))-1,""))</f>
        <v/>
      </c>
      <c r="AC260" t="str">
        <f>IF(L260="","",IF(AND($AO$2=1,ISNA(MATCH(L260,'12-كانون الأول'!$L$2:$L$501,0))),"محذوف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IF(L261="","",IF($AO$1=1,IFERROR(MATCH(L261,'10-تشرين الأول'!$L$2:$L$501,0),0),0))</f>
        <v/>
      </c>
      <c r="W261" t="str">
        <f t="shared" si="91"/>
        <v/>
      </c>
      <c r="X261" s="38" t="str">
        <f>IF(L261="","",IF(V261&gt;0,INDEX('10-تشرين الأول'!$P$2:$P$501,V261),IF($AO$1=1,0,"")))</f>
        <v/>
      </c>
      <c r="Y261" s="38" t="str">
        <f t="shared" si="92"/>
        <v/>
      </c>
      <c r="Z261" s="39" t="str">
        <f>IF(L261="","",IF(V261&gt;0,INDEX('10-تشرين الأول'!$Q$2:$Q$501,V261),IF($AO$1=1,0,"")))</f>
        <v/>
      </c>
      <c r="AA261" s="39" t="str">
        <f t="shared" si="93"/>
        <v/>
      </c>
      <c r="AB261" s="40" t="str">
        <f>IF(OR(L261="",V261=0),"",IF(AND(N(I261)&gt;0,N(INDEX('10-تشرين الأول'!$I$2:$I$501,V261))&gt;0,INDEX('10-تشرين الأول'!$F$2:$F$501,V261)=F261),N(I261)/N(INDEX('10-تشرين الأول'!$I$2:$I$501,V261))-1,""))</f>
        <v/>
      </c>
      <c r="AC261" t="str">
        <f>IF(L261="","",IF(AND($AO$2=1,ISNA(MATCH(L261,'12-كانون الأول'!$L$2:$L$501,0))),"محذوف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IF(L262="","",IF($AO$1=1,IFERROR(MATCH(L262,'10-تشرين الأول'!$L$2:$L$501,0),0),0))</f>
        <v/>
      </c>
      <c r="W262" t="str">
        <f t="shared" si="91"/>
        <v/>
      </c>
      <c r="X262" s="38" t="str">
        <f>IF(L262="","",IF(V262&gt;0,INDEX('10-تشرين الأول'!$P$2:$P$501,V262),IF($AO$1=1,0,"")))</f>
        <v/>
      </c>
      <c r="Y262" s="38" t="str">
        <f t="shared" si="92"/>
        <v/>
      </c>
      <c r="Z262" s="39" t="str">
        <f>IF(L262="","",IF(V262&gt;0,INDEX('10-تشرين الأول'!$Q$2:$Q$501,V262),IF($AO$1=1,0,"")))</f>
        <v/>
      </c>
      <c r="AA262" s="39" t="str">
        <f t="shared" si="93"/>
        <v/>
      </c>
      <c r="AB262" s="40" t="str">
        <f>IF(OR(L262="",V262=0),"",IF(AND(N(I262)&gt;0,N(INDEX('10-تشرين الأول'!$I$2:$I$501,V262))&gt;0,INDEX('10-تشرين الأول'!$F$2:$F$501,V262)=F262),N(I262)/N(INDEX('10-تشرين الأول'!$I$2:$I$501,V262))-1,""))</f>
        <v/>
      </c>
      <c r="AC262" t="str">
        <f>IF(L262="","",IF(AND($AO$2=1,ISNA(MATCH(L262,'12-كانون الأول'!$L$2:$L$501,0))),"محذوف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IF(L263="","",IF($AO$1=1,IFERROR(MATCH(L263,'10-تشرين الأول'!$L$2:$L$501,0),0),0))</f>
        <v/>
      </c>
      <c r="W263" t="str">
        <f t="shared" si="91"/>
        <v/>
      </c>
      <c r="X263" s="38" t="str">
        <f>IF(L263="","",IF(V263&gt;0,INDEX('10-تشرين الأول'!$P$2:$P$501,V263),IF($AO$1=1,0,"")))</f>
        <v/>
      </c>
      <c r="Y263" s="38" t="str">
        <f t="shared" si="92"/>
        <v/>
      </c>
      <c r="Z263" s="39" t="str">
        <f>IF(L263="","",IF(V263&gt;0,INDEX('10-تشرين الأول'!$Q$2:$Q$501,V263),IF($AO$1=1,0,"")))</f>
        <v/>
      </c>
      <c r="AA263" s="39" t="str">
        <f t="shared" si="93"/>
        <v/>
      </c>
      <c r="AB263" s="40" t="str">
        <f>IF(OR(L263="",V263=0),"",IF(AND(N(I263)&gt;0,N(INDEX('10-تشرين الأول'!$I$2:$I$501,V263))&gt;0,INDEX('10-تشرين الأول'!$F$2:$F$501,V263)=F263),N(I263)/N(INDEX('10-تشرين الأول'!$I$2:$I$501,V263))-1,""))</f>
        <v/>
      </c>
      <c r="AC263" t="str">
        <f>IF(L263="","",IF(AND($AO$2=1,ISNA(MATCH(L263,'12-كانون الأول'!$L$2:$L$501,0))),"محذوف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IF(L264="","",IF($AO$1=1,IFERROR(MATCH(L264,'10-تشرين الأول'!$L$2:$L$501,0),0),0))</f>
        <v/>
      </c>
      <c r="W264" t="str">
        <f t="shared" si="91"/>
        <v/>
      </c>
      <c r="X264" s="38" t="str">
        <f>IF(L264="","",IF(V264&gt;0,INDEX('10-تشرين الأول'!$P$2:$P$501,V264),IF($AO$1=1,0,"")))</f>
        <v/>
      </c>
      <c r="Y264" s="38" t="str">
        <f t="shared" si="92"/>
        <v/>
      </c>
      <c r="Z264" s="39" t="str">
        <f>IF(L264="","",IF(V264&gt;0,INDEX('10-تشرين الأول'!$Q$2:$Q$501,V264),IF($AO$1=1,0,"")))</f>
        <v/>
      </c>
      <c r="AA264" s="39" t="str">
        <f t="shared" si="93"/>
        <v/>
      </c>
      <c r="AB264" s="40" t="str">
        <f>IF(OR(L264="",V264=0),"",IF(AND(N(I264)&gt;0,N(INDEX('10-تشرين الأول'!$I$2:$I$501,V264))&gt;0,INDEX('10-تشرين الأول'!$F$2:$F$501,V264)=F264),N(I264)/N(INDEX('10-تشرين الأول'!$I$2:$I$501,V264))-1,""))</f>
        <v/>
      </c>
      <c r="AC264" t="str">
        <f>IF(L264="","",IF(AND($AO$2=1,ISNA(MATCH(L264,'12-كانون الأول'!$L$2:$L$501,0))),"محذوف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IF(L265="","",IF($AO$1=1,IFERROR(MATCH(L265,'10-تشرين الأول'!$L$2:$L$501,0),0),0))</f>
        <v/>
      </c>
      <c r="W265" t="str">
        <f t="shared" si="91"/>
        <v/>
      </c>
      <c r="X265" s="38" t="str">
        <f>IF(L265="","",IF(V265&gt;0,INDEX('10-تشرين الأول'!$P$2:$P$501,V265),IF($AO$1=1,0,"")))</f>
        <v/>
      </c>
      <c r="Y265" s="38" t="str">
        <f t="shared" si="92"/>
        <v/>
      </c>
      <c r="Z265" s="39" t="str">
        <f>IF(L265="","",IF(V265&gt;0,INDEX('10-تشرين الأول'!$Q$2:$Q$501,V265),IF($AO$1=1,0,"")))</f>
        <v/>
      </c>
      <c r="AA265" s="39" t="str">
        <f t="shared" si="93"/>
        <v/>
      </c>
      <c r="AB265" s="40" t="str">
        <f>IF(OR(L265="",V265=0),"",IF(AND(N(I265)&gt;0,N(INDEX('10-تشرين الأول'!$I$2:$I$501,V265))&gt;0,INDEX('10-تشرين الأول'!$F$2:$F$501,V265)=F265),N(I265)/N(INDEX('10-تشرين الأول'!$I$2:$I$501,V265))-1,""))</f>
        <v/>
      </c>
      <c r="AC265" t="str">
        <f>IF(L265="","",IF(AND($AO$2=1,ISNA(MATCH(L265,'12-كانون الأول'!$L$2:$L$501,0))),"محذوف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IF(L266="","",IF($AO$1=1,IFERROR(MATCH(L266,'10-تشرين الأول'!$L$2:$L$501,0),0),0))</f>
        <v/>
      </c>
      <c r="W266" t="str">
        <f t="shared" si="91"/>
        <v/>
      </c>
      <c r="X266" s="38" t="str">
        <f>IF(L266="","",IF(V266&gt;0,INDEX('10-تشرين الأول'!$P$2:$P$501,V266),IF($AO$1=1,0,"")))</f>
        <v/>
      </c>
      <c r="Y266" s="38" t="str">
        <f t="shared" si="92"/>
        <v/>
      </c>
      <c r="Z266" s="39" t="str">
        <f>IF(L266="","",IF(V266&gt;0,INDEX('10-تشرين الأول'!$Q$2:$Q$501,V266),IF($AO$1=1,0,"")))</f>
        <v/>
      </c>
      <c r="AA266" s="39" t="str">
        <f t="shared" si="93"/>
        <v/>
      </c>
      <c r="AB266" s="40" t="str">
        <f>IF(OR(L266="",V266=0),"",IF(AND(N(I266)&gt;0,N(INDEX('10-تشرين الأول'!$I$2:$I$501,V266))&gt;0,INDEX('10-تشرين الأول'!$F$2:$F$501,V266)=F266),N(I266)/N(INDEX('10-تشرين الأول'!$I$2:$I$501,V266))-1,""))</f>
        <v/>
      </c>
      <c r="AC266" t="str">
        <f>IF(L266="","",IF(AND($AO$2=1,ISNA(MATCH(L266,'12-كانون الأول'!$L$2:$L$501,0))),"محذوف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IF(L267="","",IF($AO$1=1,IFERROR(MATCH(L267,'10-تشرين الأول'!$L$2:$L$501,0),0),0))</f>
        <v/>
      </c>
      <c r="W267" t="str">
        <f t="shared" si="91"/>
        <v/>
      </c>
      <c r="X267" s="38" t="str">
        <f>IF(L267="","",IF(V267&gt;0,INDEX('10-تشرين الأول'!$P$2:$P$501,V267),IF($AO$1=1,0,"")))</f>
        <v/>
      </c>
      <c r="Y267" s="38" t="str">
        <f t="shared" si="92"/>
        <v/>
      </c>
      <c r="Z267" s="39" t="str">
        <f>IF(L267="","",IF(V267&gt;0,INDEX('10-تشرين الأول'!$Q$2:$Q$501,V267),IF($AO$1=1,0,"")))</f>
        <v/>
      </c>
      <c r="AA267" s="39" t="str">
        <f t="shared" si="93"/>
        <v/>
      </c>
      <c r="AB267" s="40" t="str">
        <f>IF(OR(L267="",V267=0),"",IF(AND(N(I267)&gt;0,N(INDEX('10-تشرين الأول'!$I$2:$I$501,V267))&gt;0,INDEX('10-تشرين الأول'!$F$2:$F$501,V267)=F267),N(I267)/N(INDEX('10-تشرين الأول'!$I$2:$I$501,V267))-1,""))</f>
        <v/>
      </c>
      <c r="AC267" t="str">
        <f>IF(L267="","",IF(AND($AO$2=1,ISNA(MATCH(L267,'12-كانون الأول'!$L$2:$L$501,0))),"محذوف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IF(L268="","",IF($AO$1=1,IFERROR(MATCH(L268,'10-تشرين الأول'!$L$2:$L$501,0),0),0))</f>
        <v/>
      </c>
      <c r="W268" t="str">
        <f t="shared" si="91"/>
        <v/>
      </c>
      <c r="X268" s="38" t="str">
        <f>IF(L268="","",IF(V268&gt;0,INDEX('10-تشرين الأول'!$P$2:$P$501,V268),IF($AO$1=1,0,"")))</f>
        <v/>
      </c>
      <c r="Y268" s="38" t="str">
        <f t="shared" si="92"/>
        <v/>
      </c>
      <c r="Z268" s="39" t="str">
        <f>IF(L268="","",IF(V268&gt;0,INDEX('10-تشرين الأول'!$Q$2:$Q$501,V268),IF($AO$1=1,0,"")))</f>
        <v/>
      </c>
      <c r="AA268" s="39" t="str">
        <f t="shared" si="93"/>
        <v/>
      </c>
      <c r="AB268" s="40" t="str">
        <f>IF(OR(L268="",V268=0),"",IF(AND(N(I268)&gt;0,N(INDEX('10-تشرين الأول'!$I$2:$I$501,V268))&gt;0,INDEX('10-تشرين الأول'!$F$2:$F$501,V268)=F268),N(I268)/N(INDEX('10-تشرين الأول'!$I$2:$I$501,V268))-1,""))</f>
        <v/>
      </c>
      <c r="AC268" t="str">
        <f>IF(L268="","",IF(AND($AO$2=1,ISNA(MATCH(L268,'12-كانون الأول'!$L$2:$L$501,0))),"محذوف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IF(L269="","",IF($AO$1=1,IFERROR(MATCH(L269,'10-تشرين الأول'!$L$2:$L$501,0),0),0))</f>
        <v/>
      </c>
      <c r="W269" t="str">
        <f t="shared" si="91"/>
        <v/>
      </c>
      <c r="X269" s="38" t="str">
        <f>IF(L269="","",IF(V269&gt;0,INDEX('10-تشرين الأول'!$P$2:$P$501,V269),IF($AO$1=1,0,"")))</f>
        <v/>
      </c>
      <c r="Y269" s="38" t="str">
        <f t="shared" si="92"/>
        <v/>
      </c>
      <c r="Z269" s="39" t="str">
        <f>IF(L269="","",IF(V269&gt;0,INDEX('10-تشرين الأول'!$Q$2:$Q$501,V269),IF($AO$1=1,0,"")))</f>
        <v/>
      </c>
      <c r="AA269" s="39" t="str">
        <f t="shared" si="93"/>
        <v/>
      </c>
      <c r="AB269" s="40" t="str">
        <f>IF(OR(L269="",V269=0),"",IF(AND(N(I269)&gt;0,N(INDEX('10-تشرين الأول'!$I$2:$I$501,V269))&gt;0,INDEX('10-تشرين الأول'!$F$2:$F$501,V269)=F269),N(I269)/N(INDEX('10-تشرين الأول'!$I$2:$I$501,V269))-1,""))</f>
        <v/>
      </c>
      <c r="AC269" t="str">
        <f>IF(L269="","",IF(AND($AO$2=1,ISNA(MATCH(L269,'12-كانون الأول'!$L$2:$L$501,0))),"محذوف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IF(L270="","",IF($AO$1=1,IFERROR(MATCH(L270,'10-تشرين الأول'!$L$2:$L$501,0),0),0))</f>
        <v/>
      </c>
      <c r="W270" t="str">
        <f t="shared" si="91"/>
        <v/>
      </c>
      <c r="X270" s="38" t="str">
        <f>IF(L270="","",IF(V270&gt;0,INDEX('10-تشرين الأول'!$P$2:$P$501,V270),IF($AO$1=1,0,"")))</f>
        <v/>
      </c>
      <c r="Y270" s="38" t="str">
        <f t="shared" si="92"/>
        <v/>
      </c>
      <c r="Z270" s="39" t="str">
        <f>IF(L270="","",IF(V270&gt;0,INDEX('10-تشرين الأول'!$Q$2:$Q$501,V270),IF($AO$1=1,0,"")))</f>
        <v/>
      </c>
      <c r="AA270" s="39" t="str">
        <f t="shared" si="93"/>
        <v/>
      </c>
      <c r="AB270" s="40" t="str">
        <f>IF(OR(L270="",V270=0),"",IF(AND(N(I270)&gt;0,N(INDEX('10-تشرين الأول'!$I$2:$I$501,V270))&gt;0,INDEX('10-تشرين الأول'!$F$2:$F$501,V270)=F270),N(I270)/N(INDEX('10-تشرين الأول'!$I$2:$I$501,V270))-1,""))</f>
        <v/>
      </c>
      <c r="AC270" t="str">
        <f>IF(L270="","",IF(AND($AO$2=1,ISNA(MATCH(L270,'12-كانون الأول'!$L$2:$L$501,0))),"محذوف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IF(L271="","",IF($AO$1=1,IFERROR(MATCH(L271,'10-تشرين الأول'!$L$2:$L$501,0),0),0))</f>
        <v/>
      </c>
      <c r="W271" t="str">
        <f t="shared" si="91"/>
        <v/>
      </c>
      <c r="X271" s="38" t="str">
        <f>IF(L271="","",IF(V271&gt;0,INDEX('10-تشرين الأول'!$P$2:$P$501,V271),IF($AO$1=1,0,"")))</f>
        <v/>
      </c>
      <c r="Y271" s="38" t="str">
        <f t="shared" si="92"/>
        <v/>
      </c>
      <c r="Z271" s="39" t="str">
        <f>IF(L271="","",IF(V271&gt;0,INDEX('10-تشرين الأول'!$Q$2:$Q$501,V271),IF($AO$1=1,0,"")))</f>
        <v/>
      </c>
      <c r="AA271" s="39" t="str">
        <f t="shared" si="93"/>
        <v/>
      </c>
      <c r="AB271" s="40" t="str">
        <f>IF(OR(L271="",V271=0),"",IF(AND(N(I271)&gt;0,N(INDEX('10-تشرين الأول'!$I$2:$I$501,V271))&gt;0,INDEX('10-تشرين الأول'!$F$2:$F$501,V271)=F271),N(I271)/N(INDEX('10-تشرين الأول'!$I$2:$I$501,V271))-1,""))</f>
        <v/>
      </c>
      <c r="AC271" t="str">
        <f>IF(L271="","",IF(AND($AO$2=1,ISNA(MATCH(L271,'12-كانون الأول'!$L$2:$L$501,0))),"محذوف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IF(L272="","",IF($AO$1=1,IFERROR(MATCH(L272,'10-تشرين الأول'!$L$2:$L$501,0),0),0))</f>
        <v/>
      </c>
      <c r="W272" t="str">
        <f t="shared" si="91"/>
        <v/>
      </c>
      <c r="X272" s="38" t="str">
        <f>IF(L272="","",IF(V272&gt;0,INDEX('10-تشرين الأول'!$P$2:$P$501,V272),IF($AO$1=1,0,"")))</f>
        <v/>
      </c>
      <c r="Y272" s="38" t="str">
        <f t="shared" si="92"/>
        <v/>
      </c>
      <c r="Z272" s="39" t="str">
        <f>IF(L272="","",IF(V272&gt;0,INDEX('10-تشرين الأول'!$Q$2:$Q$501,V272),IF($AO$1=1,0,"")))</f>
        <v/>
      </c>
      <c r="AA272" s="39" t="str">
        <f t="shared" si="93"/>
        <v/>
      </c>
      <c r="AB272" s="40" t="str">
        <f>IF(OR(L272="",V272=0),"",IF(AND(N(I272)&gt;0,N(INDEX('10-تشرين الأول'!$I$2:$I$501,V272))&gt;0,INDEX('10-تشرين الأول'!$F$2:$F$501,V272)=F272),N(I272)/N(INDEX('10-تشرين الأول'!$I$2:$I$501,V272))-1,""))</f>
        <v/>
      </c>
      <c r="AC272" t="str">
        <f>IF(L272="","",IF(AND($AO$2=1,ISNA(MATCH(L272,'12-كانون الأول'!$L$2:$L$501,0))),"محذوف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IF(L273="","",IF($AO$1=1,IFERROR(MATCH(L273,'10-تشرين الأول'!$L$2:$L$501,0),0),0))</f>
        <v/>
      </c>
      <c r="W273" t="str">
        <f t="shared" si="91"/>
        <v/>
      </c>
      <c r="X273" s="38" t="str">
        <f>IF(L273="","",IF(V273&gt;0,INDEX('10-تشرين الأول'!$P$2:$P$501,V273),IF($AO$1=1,0,"")))</f>
        <v/>
      </c>
      <c r="Y273" s="38" t="str">
        <f t="shared" si="92"/>
        <v/>
      </c>
      <c r="Z273" s="39" t="str">
        <f>IF(L273="","",IF(V273&gt;0,INDEX('10-تشرين الأول'!$Q$2:$Q$501,V273),IF($AO$1=1,0,"")))</f>
        <v/>
      </c>
      <c r="AA273" s="39" t="str">
        <f t="shared" si="93"/>
        <v/>
      </c>
      <c r="AB273" s="40" t="str">
        <f>IF(OR(L273="",V273=0),"",IF(AND(N(I273)&gt;0,N(INDEX('10-تشرين الأول'!$I$2:$I$501,V273))&gt;0,INDEX('10-تشرين الأول'!$F$2:$F$501,V273)=F273),N(I273)/N(INDEX('10-تشرين الأول'!$I$2:$I$501,V273))-1,""))</f>
        <v/>
      </c>
      <c r="AC273" t="str">
        <f>IF(L273="","",IF(AND($AO$2=1,ISNA(MATCH(L273,'12-كانون الأول'!$L$2:$L$501,0))),"محذوف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IF(L274="","",IF($AO$1=1,IFERROR(MATCH(L274,'10-تشرين الأول'!$L$2:$L$501,0),0),0))</f>
        <v/>
      </c>
      <c r="W274" t="str">
        <f t="shared" si="91"/>
        <v/>
      </c>
      <c r="X274" s="38" t="str">
        <f>IF(L274="","",IF(V274&gt;0,INDEX('10-تشرين الأول'!$P$2:$P$501,V274),IF($AO$1=1,0,"")))</f>
        <v/>
      </c>
      <c r="Y274" s="38" t="str">
        <f t="shared" si="92"/>
        <v/>
      </c>
      <c r="Z274" s="39" t="str">
        <f>IF(L274="","",IF(V274&gt;0,INDEX('10-تشرين الأول'!$Q$2:$Q$501,V274),IF($AO$1=1,0,"")))</f>
        <v/>
      </c>
      <c r="AA274" s="39" t="str">
        <f t="shared" si="93"/>
        <v/>
      </c>
      <c r="AB274" s="40" t="str">
        <f>IF(OR(L274="",V274=0),"",IF(AND(N(I274)&gt;0,N(INDEX('10-تشرين الأول'!$I$2:$I$501,V274))&gt;0,INDEX('10-تشرين الأول'!$F$2:$F$501,V274)=F274),N(I274)/N(INDEX('10-تشرين الأول'!$I$2:$I$501,V274))-1,""))</f>
        <v/>
      </c>
      <c r="AC274" t="str">
        <f>IF(L274="","",IF(AND($AO$2=1,ISNA(MATCH(L274,'12-كانون الأول'!$L$2:$L$501,0))),"محذوف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IF(L275="","",IF($AO$1=1,IFERROR(MATCH(L275,'10-تشرين الأول'!$L$2:$L$501,0),0),0))</f>
        <v/>
      </c>
      <c r="W275" t="str">
        <f t="shared" si="91"/>
        <v/>
      </c>
      <c r="X275" s="38" t="str">
        <f>IF(L275="","",IF(V275&gt;0,INDEX('10-تشرين الأول'!$P$2:$P$501,V275),IF($AO$1=1,0,"")))</f>
        <v/>
      </c>
      <c r="Y275" s="38" t="str">
        <f t="shared" si="92"/>
        <v/>
      </c>
      <c r="Z275" s="39" t="str">
        <f>IF(L275="","",IF(V275&gt;0,INDEX('10-تشرين الأول'!$Q$2:$Q$501,V275),IF($AO$1=1,0,"")))</f>
        <v/>
      </c>
      <c r="AA275" s="39" t="str">
        <f t="shared" si="93"/>
        <v/>
      </c>
      <c r="AB275" s="40" t="str">
        <f>IF(OR(L275="",V275=0),"",IF(AND(N(I275)&gt;0,N(INDEX('10-تشرين الأول'!$I$2:$I$501,V275))&gt;0,INDEX('10-تشرين الأول'!$F$2:$F$501,V275)=F275),N(I275)/N(INDEX('10-تشرين الأول'!$I$2:$I$501,V275))-1,""))</f>
        <v/>
      </c>
      <c r="AC275" t="str">
        <f>IF(L275="","",IF(AND($AO$2=1,ISNA(MATCH(L275,'12-كانون الأول'!$L$2:$L$501,0))),"محذوف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IF(L276="","",IF($AO$1=1,IFERROR(MATCH(L276,'10-تشرين الأول'!$L$2:$L$501,0),0),0))</f>
        <v/>
      </c>
      <c r="W276" t="str">
        <f t="shared" si="91"/>
        <v/>
      </c>
      <c r="X276" s="38" t="str">
        <f>IF(L276="","",IF(V276&gt;0,INDEX('10-تشرين الأول'!$P$2:$P$501,V276),IF($AO$1=1,0,"")))</f>
        <v/>
      </c>
      <c r="Y276" s="38" t="str">
        <f t="shared" si="92"/>
        <v/>
      </c>
      <c r="Z276" s="39" t="str">
        <f>IF(L276="","",IF(V276&gt;0,INDEX('10-تشرين الأول'!$Q$2:$Q$501,V276),IF($AO$1=1,0,"")))</f>
        <v/>
      </c>
      <c r="AA276" s="39" t="str">
        <f t="shared" si="93"/>
        <v/>
      </c>
      <c r="AB276" s="40" t="str">
        <f>IF(OR(L276="",V276=0),"",IF(AND(N(I276)&gt;0,N(INDEX('10-تشرين الأول'!$I$2:$I$501,V276))&gt;0,INDEX('10-تشرين الأول'!$F$2:$F$501,V276)=F276),N(I276)/N(INDEX('10-تشرين الأول'!$I$2:$I$501,V276))-1,""))</f>
        <v/>
      </c>
      <c r="AC276" t="str">
        <f>IF(L276="","",IF(AND($AO$2=1,ISNA(MATCH(L276,'12-كانون الأول'!$L$2:$L$501,0))),"محذوف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IF(L277="","",IF($AO$1=1,IFERROR(MATCH(L277,'10-تشرين الأول'!$L$2:$L$501,0),0),0))</f>
        <v/>
      </c>
      <c r="W277" t="str">
        <f t="shared" si="91"/>
        <v/>
      </c>
      <c r="X277" s="38" t="str">
        <f>IF(L277="","",IF(V277&gt;0,INDEX('10-تشرين الأول'!$P$2:$P$501,V277),IF($AO$1=1,0,"")))</f>
        <v/>
      </c>
      <c r="Y277" s="38" t="str">
        <f t="shared" si="92"/>
        <v/>
      </c>
      <c r="Z277" s="39" t="str">
        <f>IF(L277="","",IF(V277&gt;0,INDEX('10-تشرين الأول'!$Q$2:$Q$501,V277),IF($AO$1=1,0,"")))</f>
        <v/>
      </c>
      <c r="AA277" s="39" t="str">
        <f t="shared" si="93"/>
        <v/>
      </c>
      <c r="AB277" s="40" t="str">
        <f>IF(OR(L277="",V277=0),"",IF(AND(N(I277)&gt;0,N(INDEX('10-تشرين الأول'!$I$2:$I$501,V277))&gt;0,INDEX('10-تشرين الأول'!$F$2:$F$501,V277)=F277),N(I277)/N(INDEX('10-تشرين الأول'!$I$2:$I$501,V277))-1,""))</f>
        <v/>
      </c>
      <c r="AC277" t="str">
        <f>IF(L277="","",IF(AND($AO$2=1,ISNA(MATCH(L277,'12-كانون الأول'!$L$2:$L$501,0))),"محذوف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IF(L278="","",IF($AO$1=1,IFERROR(MATCH(L278,'10-تشرين الأول'!$L$2:$L$501,0),0),0))</f>
        <v/>
      </c>
      <c r="W278" t="str">
        <f t="shared" si="91"/>
        <v/>
      </c>
      <c r="X278" s="38" t="str">
        <f>IF(L278="","",IF(V278&gt;0,INDEX('10-تشرين الأول'!$P$2:$P$501,V278),IF($AO$1=1,0,"")))</f>
        <v/>
      </c>
      <c r="Y278" s="38" t="str">
        <f t="shared" si="92"/>
        <v/>
      </c>
      <c r="Z278" s="39" t="str">
        <f>IF(L278="","",IF(V278&gt;0,INDEX('10-تشرين الأول'!$Q$2:$Q$501,V278),IF($AO$1=1,0,"")))</f>
        <v/>
      </c>
      <c r="AA278" s="39" t="str">
        <f t="shared" si="93"/>
        <v/>
      </c>
      <c r="AB278" s="40" t="str">
        <f>IF(OR(L278="",V278=0),"",IF(AND(N(I278)&gt;0,N(INDEX('10-تشرين الأول'!$I$2:$I$501,V278))&gt;0,INDEX('10-تشرين الأول'!$F$2:$F$501,V278)=F278),N(I278)/N(INDEX('10-تشرين الأول'!$I$2:$I$501,V278))-1,""))</f>
        <v/>
      </c>
      <c r="AC278" t="str">
        <f>IF(L278="","",IF(AND($AO$2=1,ISNA(MATCH(L278,'12-كانون الأول'!$L$2:$L$501,0))),"محذوف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IF(L279="","",IF($AO$1=1,IFERROR(MATCH(L279,'10-تشرين الأول'!$L$2:$L$501,0),0),0))</f>
        <v/>
      </c>
      <c r="W279" t="str">
        <f t="shared" si="91"/>
        <v/>
      </c>
      <c r="X279" s="38" t="str">
        <f>IF(L279="","",IF(V279&gt;0,INDEX('10-تشرين الأول'!$P$2:$P$501,V279),IF($AO$1=1,0,"")))</f>
        <v/>
      </c>
      <c r="Y279" s="38" t="str">
        <f t="shared" si="92"/>
        <v/>
      </c>
      <c r="Z279" s="39" t="str">
        <f>IF(L279="","",IF(V279&gt;0,INDEX('10-تشرين الأول'!$Q$2:$Q$501,V279),IF($AO$1=1,0,"")))</f>
        <v/>
      </c>
      <c r="AA279" s="39" t="str">
        <f t="shared" si="93"/>
        <v/>
      </c>
      <c r="AB279" s="40" t="str">
        <f>IF(OR(L279="",V279=0),"",IF(AND(N(I279)&gt;0,N(INDEX('10-تشرين الأول'!$I$2:$I$501,V279))&gt;0,INDEX('10-تشرين الأول'!$F$2:$F$501,V279)=F279),N(I279)/N(INDEX('10-تشرين الأول'!$I$2:$I$501,V279))-1,""))</f>
        <v/>
      </c>
      <c r="AC279" t="str">
        <f>IF(L279="","",IF(AND($AO$2=1,ISNA(MATCH(L279,'12-كانون الأول'!$L$2:$L$501,0))),"محذوف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IF(L280="","",IF($AO$1=1,IFERROR(MATCH(L280,'10-تشرين الأول'!$L$2:$L$501,0),0),0))</f>
        <v/>
      </c>
      <c r="W280" t="str">
        <f t="shared" si="91"/>
        <v/>
      </c>
      <c r="X280" s="38" t="str">
        <f>IF(L280="","",IF(V280&gt;0,INDEX('10-تشرين الأول'!$P$2:$P$501,V280),IF($AO$1=1,0,"")))</f>
        <v/>
      </c>
      <c r="Y280" s="38" t="str">
        <f t="shared" si="92"/>
        <v/>
      </c>
      <c r="Z280" s="39" t="str">
        <f>IF(L280="","",IF(V280&gt;0,INDEX('10-تشرين الأول'!$Q$2:$Q$501,V280),IF($AO$1=1,0,"")))</f>
        <v/>
      </c>
      <c r="AA280" s="39" t="str">
        <f t="shared" si="93"/>
        <v/>
      </c>
      <c r="AB280" s="40" t="str">
        <f>IF(OR(L280="",V280=0),"",IF(AND(N(I280)&gt;0,N(INDEX('10-تشرين الأول'!$I$2:$I$501,V280))&gt;0,INDEX('10-تشرين الأول'!$F$2:$F$501,V280)=F280),N(I280)/N(INDEX('10-تشرين الأول'!$I$2:$I$501,V280))-1,""))</f>
        <v/>
      </c>
      <c r="AC280" t="str">
        <f>IF(L280="","",IF(AND($AO$2=1,ISNA(MATCH(L280,'12-كانون الأول'!$L$2:$L$501,0))),"محذوف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IF(L281="","",IF($AO$1=1,IFERROR(MATCH(L281,'10-تشرين الأول'!$L$2:$L$501,0),0),0))</f>
        <v/>
      </c>
      <c r="W281" t="str">
        <f t="shared" si="91"/>
        <v/>
      </c>
      <c r="X281" s="38" t="str">
        <f>IF(L281="","",IF(V281&gt;0,INDEX('10-تشرين الأول'!$P$2:$P$501,V281),IF($AO$1=1,0,"")))</f>
        <v/>
      </c>
      <c r="Y281" s="38" t="str">
        <f t="shared" si="92"/>
        <v/>
      </c>
      <c r="Z281" s="39" t="str">
        <f>IF(L281="","",IF(V281&gt;0,INDEX('10-تشرين الأول'!$Q$2:$Q$501,V281),IF($AO$1=1,0,"")))</f>
        <v/>
      </c>
      <c r="AA281" s="39" t="str">
        <f t="shared" si="93"/>
        <v/>
      </c>
      <c r="AB281" s="40" t="str">
        <f>IF(OR(L281="",V281=0),"",IF(AND(N(I281)&gt;0,N(INDEX('10-تشرين الأول'!$I$2:$I$501,V281))&gt;0,INDEX('10-تشرين الأول'!$F$2:$F$501,V281)=F281),N(I281)/N(INDEX('10-تشرين الأول'!$I$2:$I$501,V281))-1,""))</f>
        <v/>
      </c>
      <c r="AC281" t="str">
        <f>IF(L281="","",IF(AND($AO$2=1,ISNA(MATCH(L281,'12-كانون الأول'!$L$2:$L$501,0))),"محذوف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IF(L282="","",IF($AO$1=1,IFERROR(MATCH(L282,'10-تشرين الأول'!$L$2:$L$501,0),0),0))</f>
        <v/>
      </c>
      <c r="W282" t="str">
        <f t="shared" si="91"/>
        <v/>
      </c>
      <c r="X282" s="38" t="str">
        <f>IF(L282="","",IF(V282&gt;0,INDEX('10-تشرين الأول'!$P$2:$P$501,V282),IF($AO$1=1,0,"")))</f>
        <v/>
      </c>
      <c r="Y282" s="38" t="str">
        <f t="shared" si="92"/>
        <v/>
      </c>
      <c r="Z282" s="39" t="str">
        <f>IF(L282="","",IF(V282&gt;0,INDEX('10-تشرين الأول'!$Q$2:$Q$501,V282),IF($AO$1=1,0,"")))</f>
        <v/>
      </c>
      <c r="AA282" s="39" t="str">
        <f t="shared" si="93"/>
        <v/>
      </c>
      <c r="AB282" s="40" t="str">
        <f>IF(OR(L282="",V282=0),"",IF(AND(N(I282)&gt;0,N(INDEX('10-تشرين الأول'!$I$2:$I$501,V282))&gt;0,INDEX('10-تشرين الأول'!$F$2:$F$501,V282)=F282),N(I282)/N(INDEX('10-تشرين الأول'!$I$2:$I$501,V282))-1,""))</f>
        <v/>
      </c>
      <c r="AC282" t="str">
        <f>IF(L282="","",IF(AND($AO$2=1,ISNA(MATCH(L282,'12-كانون الأول'!$L$2:$L$501,0))),"محذوف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IF(L283="","",IF($AO$1=1,IFERROR(MATCH(L283,'10-تشرين الأول'!$L$2:$L$501,0),0),0))</f>
        <v/>
      </c>
      <c r="W283" t="str">
        <f t="shared" si="91"/>
        <v/>
      </c>
      <c r="X283" s="38" t="str">
        <f>IF(L283="","",IF(V283&gt;0,INDEX('10-تشرين الأول'!$P$2:$P$501,V283),IF($AO$1=1,0,"")))</f>
        <v/>
      </c>
      <c r="Y283" s="38" t="str">
        <f t="shared" si="92"/>
        <v/>
      </c>
      <c r="Z283" s="39" t="str">
        <f>IF(L283="","",IF(V283&gt;0,INDEX('10-تشرين الأول'!$Q$2:$Q$501,V283),IF($AO$1=1,0,"")))</f>
        <v/>
      </c>
      <c r="AA283" s="39" t="str">
        <f t="shared" si="93"/>
        <v/>
      </c>
      <c r="AB283" s="40" t="str">
        <f>IF(OR(L283="",V283=0),"",IF(AND(N(I283)&gt;0,N(INDEX('10-تشرين الأول'!$I$2:$I$501,V283))&gt;0,INDEX('10-تشرين الأول'!$F$2:$F$501,V283)=F283),N(I283)/N(INDEX('10-تشرين الأول'!$I$2:$I$501,V283))-1,""))</f>
        <v/>
      </c>
      <c r="AC283" t="str">
        <f>IF(L283="","",IF(AND($AO$2=1,ISNA(MATCH(L283,'12-كانون الأول'!$L$2:$L$501,0))),"محذوف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IF(L284="","",IF($AO$1=1,IFERROR(MATCH(L284,'10-تشرين الأول'!$L$2:$L$501,0),0),0))</f>
        <v/>
      </c>
      <c r="W284" t="str">
        <f t="shared" si="91"/>
        <v/>
      </c>
      <c r="X284" s="38" t="str">
        <f>IF(L284="","",IF(V284&gt;0,INDEX('10-تشرين الأول'!$P$2:$P$501,V284),IF($AO$1=1,0,"")))</f>
        <v/>
      </c>
      <c r="Y284" s="38" t="str">
        <f t="shared" si="92"/>
        <v/>
      </c>
      <c r="Z284" s="39" t="str">
        <f>IF(L284="","",IF(V284&gt;0,INDEX('10-تشرين الأول'!$Q$2:$Q$501,V284),IF($AO$1=1,0,"")))</f>
        <v/>
      </c>
      <c r="AA284" s="39" t="str">
        <f t="shared" si="93"/>
        <v/>
      </c>
      <c r="AB284" s="40" t="str">
        <f>IF(OR(L284="",V284=0),"",IF(AND(N(I284)&gt;0,N(INDEX('10-تشرين الأول'!$I$2:$I$501,V284))&gt;0,INDEX('10-تشرين الأول'!$F$2:$F$501,V284)=F284),N(I284)/N(INDEX('10-تشرين الأول'!$I$2:$I$501,V284))-1,""))</f>
        <v/>
      </c>
      <c r="AC284" t="str">
        <f>IF(L284="","",IF(AND($AO$2=1,ISNA(MATCH(L284,'12-كانون الأول'!$L$2:$L$501,0))),"محذوف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IF(L285="","",IF($AO$1=1,IFERROR(MATCH(L285,'10-تشرين الأول'!$L$2:$L$501,0),0),0))</f>
        <v/>
      </c>
      <c r="W285" t="str">
        <f t="shared" si="91"/>
        <v/>
      </c>
      <c r="X285" s="38" t="str">
        <f>IF(L285="","",IF(V285&gt;0,INDEX('10-تشرين الأول'!$P$2:$P$501,V285),IF($AO$1=1,0,"")))</f>
        <v/>
      </c>
      <c r="Y285" s="38" t="str">
        <f t="shared" si="92"/>
        <v/>
      </c>
      <c r="Z285" s="39" t="str">
        <f>IF(L285="","",IF(V285&gt;0,INDEX('10-تشرين الأول'!$Q$2:$Q$501,V285),IF($AO$1=1,0,"")))</f>
        <v/>
      </c>
      <c r="AA285" s="39" t="str">
        <f t="shared" si="93"/>
        <v/>
      </c>
      <c r="AB285" s="40" t="str">
        <f>IF(OR(L285="",V285=0),"",IF(AND(N(I285)&gt;0,N(INDEX('10-تشرين الأول'!$I$2:$I$501,V285))&gt;0,INDEX('10-تشرين الأول'!$F$2:$F$501,V285)=F285),N(I285)/N(INDEX('10-تشرين الأول'!$I$2:$I$501,V285))-1,""))</f>
        <v/>
      </c>
      <c r="AC285" t="str">
        <f>IF(L285="","",IF(AND($AO$2=1,ISNA(MATCH(L285,'12-كانون الأول'!$L$2:$L$501,0))),"محذوف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IF(L286="","",IF($AO$1=1,IFERROR(MATCH(L286,'10-تشرين الأول'!$L$2:$L$501,0),0),0))</f>
        <v/>
      </c>
      <c r="W286" t="str">
        <f t="shared" si="91"/>
        <v/>
      </c>
      <c r="X286" s="38" t="str">
        <f>IF(L286="","",IF(V286&gt;0,INDEX('10-تشرين الأول'!$P$2:$P$501,V286),IF($AO$1=1,0,"")))</f>
        <v/>
      </c>
      <c r="Y286" s="38" t="str">
        <f t="shared" si="92"/>
        <v/>
      </c>
      <c r="Z286" s="39" t="str">
        <f>IF(L286="","",IF(V286&gt;0,INDEX('10-تشرين الأول'!$Q$2:$Q$501,V286),IF($AO$1=1,0,"")))</f>
        <v/>
      </c>
      <c r="AA286" s="39" t="str">
        <f t="shared" si="93"/>
        <v/>
      </c>
      <c r="AB286" s="40" t="str">
        <f>IF(OR(L286="",V286=0),"",IF(AND(N(I286)&gt;0,N(INDEX('10-تشرين الأول'!$I$2:$I$501,V286))&gt;0,INDEX('10-تشرين الأول'!$F$2:$F$501,V286)=F286),N(I286)/N(INDEX('10-تشرين الأول'!$I$2:$I$501,V286))-1,""))</f>
        <v/>
      </c>
      <c r="AC286" t="str">
        <f>IF(L286="","",IF(AND($AO$2=1,ISNA(MATCH(L286,'12-كانون الأول'!$L$2:$L$501,0))),"محذوف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IF(L287="","",IF($AO$1=1,IFERROR(MATCH(L287,'10-تشرين الأول'!$L$2:$L$501,0),0),0))</f>
        <v/>
      </c>
      <c r="W287" t="str">
        <f t="shared" si="91"/>
        <v/>
      </c>
      <c r="X287" s="38" t="str">
        <f>IF(L287="","",IF(V287&gt;0,INDEX('10-تشرين الأول'!$P$2:$P$501,V287),IF($AO$1=1,0,"")))</f>
        <v/>
      </c>
      <c r="Y287" s="38" t="str">
        <f t="shared" si="92"/>
        <v/>
      </c>
      <c r="Z287" s="39" t="str">
        <f>IF(L287="","",IF(V287&gt;0,INDEX('10-تشرين الأول'!$Q$2:$Q$501,V287),IF($AO$1=1,0,"")))</f>
        <v/>
      </c>
      <c r="AA287" s="39" t="str">
        <f t="shared" si="93"/>
        <v/>
      </c>
      <c r="AB287" s="40" t="str">
        <f>IF(OR(L287="",V287=0),"",IF(AND(N(I287)&gt;0,N(INDEX('10-تشرين الأول'!$I$2:$I$501,V287))&gt;0,INDEX('10-تشرين الأول'!$F$2:$F$501,V287)=F287),N(I287)/N(INDEX('10-تشرين الأول'!$I$2:$I$501,V287))-1,""))</f>
        <v/>
      </c>
      <c r="AC287" t="str">
        <f>IF(L287="","",IF(AND($AO$2=1,ISNA(MATCH(L287,'12-كانون الأول'!$L$2:$L$501,0))),"محذوف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IF(L288="","",IF($AO$1=1,IFERROR(MATCH(L288,'10-تشرين الأول'!$L$2:$L$501,0),0),0))</f>
        <v/>
      </c>
      <c r="W288" t="str">
        <f t="shared" si="91"/>
        <v/>
      </c>
      <c r="X288" s="38" t="str">
        <f>IF(L288="","",IF(V288&gt;0,INDEX('10-تشرين الأول'!$P$2:$P$501,V288),IF($AO$1=1,0,"")))</f>
        <v/>
      </c>
      <c r="Y288" s="38" t="str">
        <f t="shared" si="92"/>
        <v/>
      </c>
      <c r="Z288" s="39" t="str">
        <f>IF(L288="","",IF(V288&gt;0,INDEX('10-تشرين الأول'!$Q$2:$Q$501,V288),IF($AO$1=1,0,"")))</f>
        <v/>
      </c>
      <c r="AA288" s="39" t="str">
        <f t="shared" si="93"/>
        <v/>
      </c>
      <c r="AB288" s="40" t="str">
        <f>IF(OR(L288="",V288=0),"",IF(AND(N(I288)&gt;0,N(INDEX('10-تشرين الأول'!$I$2:$I$501,V288))&gt;0,INDEX('10-تشرين الأول'!$F$2:$F$501,V288)=F288),N(I288)/N(INDEX('10-تشرين الأول'!$I$2:$I$501,V288))-1,""))</f>
        <v/>
      </c>
      <c r="AC288" t="str">
        <f>IF(L288="","",IF(AND($AO$2=1,ISNA(MATCH(L288,'12-كانون الأول'!$L$2:$L$501,0))),"محذوف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IF(L289="","",IF($AO$1=1,IFERROR(MATCH(L289,'10-تشرين الأول'!$L$2:$L$501,0),0),0))</f>
        <v/>
      </c>
      <c r="W289" t="str">
        <f t="shared" si="91"/>
        <v/>
      </c>
      <c r="X289" s="38" t="str">
        <f>IF(L289="","",IF(V289&gt;0,INDEX('10-تشرين الأول'!$P$2:$P$501,V289),IF($AO$1=1,0,"")))</f>
        <v/>
      </c>
      <c r="Y289" s="38" t="str">
        <f t="shared" si="92"/>
        <v/>
      </c>
      <c r="Z289" s="39" t="str">
        <f>IF(L289="","",IF(V289&gt;0,INDEX('10-تشرين الأول'!$Q$2:$Q$501,V289),IF($AO$1=1,0,"")))</f>
        <v/>
      </c>
      <c r="AA289" s="39" t="str">
        <f t="shared" si="93"/>
        <v/>
      </c>
      <c r="AB289" s="40" t="str">
        <f>IF(OR(L289="",V289=0),"",IF(AND(N(I289)&gt;0,N(INDEX('10-تشرين الأول'!$I$2:$I$501,V289))&gt;0,INDEX('10-تشرين الأول'!$F$2:$F$501,V289)=F289),N(I289)/N(INDEX('10-تشرين الأول'!$I$2:$I$501,V289))-1,""))</f>
        <v/>
      </c>
      <c r="AC289" t="str">
        <f>IF(L289="","",IF(AND($AO$2=1,ISNA(MATCH(L289,'12-كانون الأول'!$L$2:$L$501,0))),"محذوف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IF(L290="","",IF($AO$1=1,IFERROR(MATCH(L290,'10-تشرين الأول'!$L$2:$L$501,0),0),0))</f>
        <v/>
      </c>
      <c r="W290" t="str">
        <f t="shared" si="91"/>
        <v/>
      </c>
      <c r="X290" s="38" t="str">
        <f>IF(L290="","",IF(V290&gt;0,INDEX('10-تشرين الأول'!$P$2:$P$501,V290),IF($AO$1=1,0,"")))</f>
        <v/>
      </c>
      <c r="Y290" s="38" t="str">
        <f t="shared" si="92"/>
        <v/>
      </c>
      <c r="Z290" s="39" t="str">
        <f>IF(L290="","",IF(V290&gt;0,INDEX('10-تشرين الأول'!$Q$2:$Q$501,V290),IF($AO$1=1,0,"")))</f>
        <v/>
      </c>
      <c r="AA290" s="39" t="str">
        <f t="shared" si="93"/>
        <v/>
      </c>
      <c r="AB290" s="40" t="str">
        <f>IF(OR(L290="",V290=0),"",IF(AND(N(I290)&gt;0,N(INDEX('10-تشرين الأول'!$I$2:$I$501,V290))&gt;0,INDEX('10-تشرين الأول'!$F$2:$F$501,V290)=F290),N(I290)/N(INDEX('10-تشرين الأول'!$I$2:$I$501,V290))-1,""))</f>
        <v/>
      </c>
      <c r="AC290" t="str">
        <f>IF(L290="","",IF(AND($AO$2=1,ISNA(MATCH(L290,'12-كانون الأول'!$L$2:$L$501,0))),"محذوف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IF(L291="","",IF($AO$1=1,IFERROR(MATCH(L291,'10-تشرين الأول'!$L$2:$L$501,0),0),0))</f>
        <v/>
      </c>
      <c r="W291" t="str">
        <f t="shared" si="91"/>
        <v/>
      </c>
      <c r="X291" s="38" t="str">
        <f>IF(L291="","",IF(V291&gt;0,INDEX('10-تشرين الأول'!$P$2:$P$501,V291),IF($AO$1=1,0,"")))</f>
        <v/>
      </c>
      <c r="Y291" s="38" t="str">
        <f t="shared" si="92"/>
        <v/>
      </c>
      <c r="Z291" s="39" t="str">
        <f>IF(L291="","",IF(V291&gt;0,INDEX('10-تشرين الأول'!$Q$2:$Q$501,V291),IF($AO$1=1,0,"")))</f>
        <v/>
      </c>
      <c r="AA291" s="39" t="str">
        <f t="shared" si="93"/>
        <v/>
      </c>
      <c r="AB291" s="40" t="str">
        <f>IF(OR(L291="",V291=0),"",IF(AND(N(I291)&gt;0,N(INDEX('10-تشرين الأول'!$I$2:$I$501,V291))&gt;0,INDEX('10-تشرين الأول'!$F$2:$F$501,V291)=F291),N(I291)/N(INDEX('10-تشرين الأول'!$I$2:$I$501,V291))-1,""))</f>
        <v/>
      </c>
      <c r="AC291" t="str">
        <f>IF(L291="","",IF(AND($AO$2=1,ISNA(MATCH(L291,'12-كانون الأول'!$L$2:$L$501,0))),"محذوف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IF(L292="","",IF($AO$1=1,IFERROR(MATCH(L292,'10-تشرين الأول'!$L$2:$L$501,0),0),0))</f>
        <v/>
      </c>
      <c r="W292" t="str">
        <f t="shared" si="91"/>
        <v/>
      </c>
      <c r="X292" s="38" t="str">
        <f>IF(L292="","",IF(V292&gt;0,INDEX('10-تشرين الأول'!$P$2:$P$501,V292),IF($AO$1=1,0,"")))</f>
        <v/>
      </c>
      <c r="Y292" s="38" t="str">
        <f t="shared" si="92"/>
        <v/>
      </c>
      <c r="Z292" s="39" t="str">
        <f>IF(L292="","",IF(V292&gt;0,INDEX('10-تشرين الأول'!$Q$2:$Q$501,V292),IF($AO$1=1,0,"")))</f>
        <v/>
      </c>
      <c r="AA292" s="39" t="str">
        <f t="shared" si="93"/>
        <v/>
      </c>
      <c r="AB292" s="40" t="str">
        <f>IF(OR(L292="",V292=0),"",IF(AND(N(I292)&gt;0,N(INDEX('10-تشرين الأول'!$I$2:$I$501,V292))&gt;0,INDEX('10-تشرين الأول'!$F$2:$F$501,V292)=F292),N(I292)/N(INDEX('10-تشرين الأول'!$I$2:$I$501,V292))-1,""))</f>
        <v/>
      </c>
      <c r="AC292" t="str">
        <f>IF(L292="","",IF(AND($AO$2=1,ISNA(MATCH(L292,'12-كانون الأول'!$L$2:$L$501,0))),"محذوف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IF(L293="","",IF($AO$1=1,IFERROR(MATCH(L293,'10-تشرين الأول'!$L$2:$L$501,0),0),0))</f>
        <v/>
      </c>
      <c r="W293" t="str">
        <f t="shared" si="91"/>
        <v/>
      </c>
      <c r="X293" s="38" t="str">
        <f>IF(L293="","",IF(V293&gt;0,INDEX('10-تشرين الأول'!$P$2:$P$501,V293),IF($AO$1=1,0,"")))</f>
        <v/>
      </c>
      <c r="Y293" s="38" t="str">
        <f t="shared" si="92"/>
        <v/>
      </c>
      <c r="Z293" s="39" t="str">
        <f>IF(L293="","",IF(V293&gt;0,INDEX('10-تشرين الأول'!$Q$2:$Q$501,V293),IF($AO$1=1,0,"")))</f>
        <v/>
      </c>
      <c r="AA293" s="39" t="str">
        <f t="shared" si="93"/>
        <v/>
      </c>
      <c r="AB293" s="40" t="str">
        <f>IF(OR(L293="",V293=0),"",IF(AND(N(I293)&gt;0,N(INDEX('10-تشرين الأول'!$I$2:$I$501,V293))&gt;0,INDEX('10-تشرين الأول'!$F$2:$F$501,V293)=F293),N(I293)/N(INDEX('10-تشرين الأول'!$I$2:$I$501,V293))-1,""))</f>
        <v/>
      </c>
      <c r="AC293" t="str">
        <f>IF(L293="","",IF(AND($AO$2=1,ISNA(MATCH(L293,'12-كانون الأول'!$L$2:$L$501,0))),"محذوف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IF(L294="","",IF($AO$1=1,IFERROR(MATCH(L294,'10-تشرين الأول'!$L$2:$L$501,0),0),0))</f>
        <v/>
      </c>
      <c r="W294" t="str">
        <f t="shared" si="91"/>
        <v/>
      </c>
      <c r="X294" s="38" t="str">
        <f>IF(L294="","",IF(V294&gt;0,INDEX('10-تشرين الأول'!$P$2:$P$501,V294),IF($AO$1=1,0,"")))</f>
        <v/>
      </c>
      <c r="Y294" s="38" t="str">
        <f t="shared" si="92"/>
        <v/>
      </c>
      <c r="Z294" s="39" t="str">
        <f>IF(L294="","",IF(V294&gt;0,INDEX('10-تشرين الأول'!$Q$2:$Q$501,V294),IF($AO$1=1,0,"")))</f>
        <v/>
      </c>
      <c r="AA294" s="39" t="str">
        <f t="shared" si="93"/>
        <v/>
      </c>
      <c r="AB294" s="40" t="str">
        <f>IF(OR(L294="",V294=0),"",IF(AND(N(I294)&gt;0,N(INDEX('10-تشرين الأول'!$I$2:$I$501,V294))&gt;0,INDEX('10-تشرين الأول'!$F$2:$F$501,V294)=F294),N(I294)/N(INDEX('10-تشرين الأول'!$I$2:$I$501,V294))-1,""))</f>
        <v/>
      </c>
      <c r="AC294" t="str">
        <f>IF(L294="","",IF(AND($AO$2=1,ISNA(MATCH(L294,'12-كانون الأول'!$L$2:$L$501,0))),"محذوف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IF(L295="","",IF($AO$1=1,IFERROR(MATCH(L295,'10-تشرين الأول'!$L$2:$L$501,0),0),0))</f>
        <v/>
      </c>
      <c r="W295" t="str">
        <f t="shared" si="91"/>
        <v/>
      </c>
      <c r="X295" s="38" t="str">
        <f>IF(L295="","",IF(V295&gt;0,INDEX('10-تشرين الأول'!$P$2:$P$501,V295),IF($AO$1=1,0,"")))</f>
        <v/>
      </c>
      <c r="Y295" s="38" t="str">
        <f t="shared" si="92"/>
        <v/>
      </c>
      <c r="Z295" s="39" t="str">
        <f>IF(L295="","",IF(V295&gt;0,INDEX('10-تشرين الأول'!$Q$2:$Q$501,V295),IF($AO$1=1,0,"")))</f>
        <v/>
      </c>
      <c r="AA295" s="39" t="str">
        <f t="shared" si="93"/>
        <v/>
      </c>
      <c r="AB295" s="40" t="str">
        <f>IF(OR(L295="",V295=0),"",IF(AND(N(I295)&gt;0,N(INDEX('10-تشرين الأول'!$I$2:$I$501,V295))&gt;0,INDEX('10-تشرين الأول'!$F$2:$F$501,V295)=F295),N(I295)/N(INDEX('10-تشرين الأول'!$I$2:$I$501,V295))-1,""))</f>
        <v/>
      </c>
      <c r="AC295" t="str">
        <f>IF(L295="","",IF(AND($AO$2=1,ISNA(MATCH(L295,'12-كانون الأول'!$L$2:$L$501,0))),"محذوف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IF(L296="","",IF($AO$1=1,IFERROR(MATCH(L296,'10-تشرين الأول'!$L$2:$L$501,0),0),0))</f>
        <v/>
      </c>
      <c r="W296" t="str">
        <f t="shared" si="91"/>
        <v/>
      </c>
      <c r="X296" s="38" t="str">
        <f>IF(L296="","",IF(V296&gt;0,INDEX('10-تشرين الأول'!$P$2:$P$501,V296),IF($AO$1=1,0,"")))</f>
        <v/>
      </c>
      <c r="Y296" s="38" t="str">
        <f t="shared" si="92"/>
        <v/>
      </c>
      <c r="Z296" s="39" t="str">
        <f>IF(L296="","",IF(V296&gt;0,INDEX('10-تشرين الأول'!$Q$2:$Q$501,V296),IF($AO$1=1,0,"")))</f>
        <v/>
      </c>
      <c r="AA296" s="39" t="str">
        <f t="shared" si="93"/>
        <v/>
      </c>
      <c r="AB296" s="40" t="str">
        <f>IF(OR(L296="",V296=0),"",IF(AND(N(I296)&gt;0,N(INDEX('10-تشرين الأول'!$I$2:$I$501,V296))&gt;0,INDEX('10-تشرين الأول'!$F$2:$F$501,V296)=F296),N(I296)/N(INDEX('10-تشرين الأول'!$I$2:$I$501,V296))-1,""))</f>
        <v/>
      </c>
      <c r="AC296" t="str">
        <f>IF(L296="","",IF(AND($AO$2=1,ISNA(MATCH(L296,'12-كانون الأول'!$L$2:$L$501,0))),"محذوف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IF(L297="","",IF($AO$1=1,IFERROR(MATCH(L297,'10-تشرين الأول'!$L$2:$L$501,0),0),0))</f>
        <v/>
      </c>
      <c r="W297" t="str">
        <f t="shared" si="91"/>
        <v/>
      </c>
      <c r="X297" s="38" t="str">
        <f>IF(L297="","",IF(V297&gt;0,INDEX('10-تشرين الأول'!$P$2:$P$501,V297),IF($AO$1=1,0,"")))</f>
        <v/>
      </c>
      <c r="Y297" s="38" t="str">
        <f t="shared" si="92"/>
        <v/>
      </c>
      <c r="Z297" s="39" t="str">
        <f>IF(L297="","",IF(V297&gt;0,INDEX('10-تشرين الأول'!$Q$2:$Q$501,V297),IF($AO$1=1,0,"")))</f>
        <v/>
      </c>
      <c r="AA297" s="39" t="str">
        <f t="shared" si="93"/>
        <v/>
      </c>
      <c r="AB297" s="40" t="str">
        <f>IF(OR(L297="",V297=0),"",IF(AND(N(I297)&gt;0,N(INDEX('10-تشرين الأول'!$I$2:$I$501,V297))&gt;0,INDEX('10-تشرين الأول'!$F$2:$F$501,V297)=F297),N(I297)/N(INDEX('10-تشرين الأول'!$I$2:$I$501,V297))-1,""))</f>
        <v/>
      </c>
      <c r="AC297" t="str">
        <f>IF(L297="","",IF(AND($AO$2=1,ISNA(MATCH(L297,'12-كانون الأول'!$L$2:$L$501,0))),"محذوف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IF(L298="","",IF($AO$1=1,IFERROR(MATCH(L298,'10-تشرين الأول'!$L$2:$L$501,0),0),0))</f>
        <v/>
      </c>
      <c r="W298" t="str">
        <f t="shared" si="91"/>
        <v/>
      </c>
      <c r="X298" s="38" t="str">
        <f>IF(L298="","",IF(V298&gt;0,INDEX('10-تشرين الأول'!$P$2:$P$501,V298),IF($AO$1=1,0,"")))</f>
        <v/>
      </c>
      <c r="Y298" s="38" t="str">
        <f t="shared" si="92"/>
        <v/>
      </c>
      <c r="Z298" s="39" t="str">
        <f>IF(L298="","",IF(V298&gt;0,INDEX('10-تشرين الأول'!$Q$2:$Q$501,V298),IF($AO$1=1,0,"")))</f>
        <v/>
      </c>
      <c r="AA298" s="39" t="str">
        <f t="shared" si="93"/>
        <v/>
      </c>
      <c r="AB298" s="40" t="str">
        <f>IF(OR(L298="",V298=0),"",IF(AND(N(I298)&gt;0,N(INDEX('10-تشرين الأول'!$I$2:$I$501,V298))&gt;0,INDEX('10-تشرين الأول'!$F$2:$F$501,V298)=F298),N(I298)/N(INDEX('10-تشرين الأول'!$I$2:$I$501,V298))-1,""))</f>
        <v/>
      </c>
      <c r="AC298" t="str">
        <f>IF(L298="","",IF(AND($AO$2=1,ISNA(MATCH(L298,'12-كانون الأول'!$L$2:$L$501,0))),"محذوف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IF(L299="","",IF($AO$1=1,IFERROR(MATCH(L299,'10-تشرين الأول'!$L$2:$L$501,0),0),0))</f>
        <v/>
      </c>
      <c r="W299" t="str">
        <f t="shared" si="91"/>
        <v/>
      </c>
      <c r="X299" s="38" t="str">
        <f>IF(L299="","",IF(V299&gt;0,INDEX('10-تشرين الأول'!$P$2:$P$501,V299),IF($AO$1=1,0,"")))</f>
        <v/>
      </c>
      <c r="Y299" s="38" t="str">
        <f t="shared" si="92"/>
        <v/>
      </c>
      <c r="Z299" s="39" t="str">
        <f>IF(L299="","",IF(V299&gt;0,INDEX('10-تشرين الأول'!$Q$2:$Q$501,V299),IF($AO$1=1,0,"")))</f>
        <v/>
      </c>
      <c r="AA299" s="39" t="str">
        <f t="shared" si="93"/>
        <v/>
      </c>
      <c r="AB299" s="40" t="str">
        <f>IF(OR(L299="",V299=0),"",IF(AND(N(I299)&gt;0,N(INDEX('10-تشرين الأول'!$I$2:$I$501,V299))&gt;0,INDEX('10-تشرين الأول'!$F$2:$F$501,V299)=F299),N(I299)/N(INDEX('10-تشرين الأول'!$I$2:$I$501,V299))-1,""))</f>
        <v/>
      </c>
      <c r="AC299" t="str">
        <f>IF(L299="","",IF(AND($AO$2=1,ISNA(MATCH(L299,'12-كانون الأول'!$L$2:$L$501,0))),"محذوف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IF(L300="","",IF($AO$1=1,IFERROR(MATCH(L300,'10-تشرين الأول'!$L$2:$L$501,0),0),0))</f>
        <v/>
      </c>
      <c r="W300" t="str">
        <f t="shared" si="91"/>
        <v/>
      </c>
      <c r="X300" s="38" t="str">
        <f>IF(L300="","",IF(V300&gt;0,INDEX('10-تشرين الأول'!$P$2:$P$501,V300),IF($AO$1=1,0,"")))</f>
        <v/>
      </c>
      <c r="Y300" s="38" t="str">
        <f t="shared" si="92"/>
        <v/>
      </c>
      <c r="Z300" s="39" t="str">
        <f>IF(L300="","",IF(V300&gt;0,INDEX('10-تشرين الأول'!$Q$2:$Q$501,V300),IF($AO$1=1,0,"")))</f>
        <v/>
      </c>
      <c r="AA300" s="39" t="str">
        <f t="shared" si="93"/>
        <v/>
      </c>
      <c r="AB300" s="40" t="str">
        <f>IF(OR(L300="",V300=0),"",IF(AND(N(I300)&gt;0,N(INDEX('10-تشرين الأول'!$I$2:$I$501,V300))&gt;0,INDEX('10-تشرين الأول'!$F$2:$F$501,V300)=F300),N(I300)/N(INDEX('10-تشرين الأول'!$I$2:$I$501,V300))-1,""))</f>
        <v/>
      </c>
      <c r="AC300" t="str">
        <f>IF(L300="","",IF(AND($AO$2=1,ISNA(MATCH(L300,'12-كانون الأول'!$L$2:$L$501,0))),"محذوف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IF(L301="","",IF($AO$1=1,IFERROR(MATCH(L301,'10-تشرين الأول'!$L$2:$L$501,0),0),0))</f>
        <v/>
      </c>
      <c r="W301" t="str">
        <f t="shared" si="91"/>
        <v/>
      </c>
      <c r="X301" s="38" t="str">
        <f>IF(L301="","",IF(V301&gt;0,INDEX('10-تشرين الأول'!$P$2:$P$501,V301),IF($AO$1=1,0,"")))</f>
        <v/>
      </c>
      <c r="Y301" s="38" t="str">
        <f t="shared" si="92"/>
        <v/>
      </c>
      <c r="Z301" s="39" t="str">
        <f>IF(L301="","",IF(V301&gt;0,INDEX('10-تشرين الأول'!$Q$2:$Q$501,V301),IF($AO$1=1,0,"")))</f>
        <v/>
      </c>
      <c r="AA301" s="39" t="str">
        <f t="shared" si="93"/>
        <v/>
      </c>
      <c r="AB301" s="40" t="str">
        <f>IF(OR(L301="",V301=0),"",IF(AND(N(I301)&gt;0,N(INDEX('10-تشرين الأول'!$I$2:$I$501,V301))&gt;0,INDEX('10-تشرين الأول'!$F$2:$F$501,V301)=F301),N(I301)/N(INDEX('10-تشرين الأول'!$I$2:$I$501,V301))-1,""))</f>
        <v/>
      </c>
      <c r="AC301" t="str">
        <f>IF(L301="","",IF(AND($AO$2=1,ISNA(MATCH(L301,'12-كانون الأول'!$L$2:$L$501,0))),"محذوف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IF(L302="","",IF($AO$1=1,IFERROR(MATCH(L302,'10-تشرين الأول'!$L$2:$L$501,0),0),0))</f>
        <v/>
      </c>
      <c r="W302" t="str">
        <f t="shared" si="91"/>
        <v/>
      </c>
      <c r="X302" s="38" t="str">
        <f>IF(L302="","",IF(V302&gt;0,INDEX('10-تشرين الأول'!$P$2:$P$501,V302),IF($AO$1=1,0,"")))</f>
        <v/>
      </c>
      <c r="Y302" s="38" t="str">
        <f t="shared" si="92"/>
        <v/>
      </c>
      <c r="Z302" s="39" t="str">
        <f>IF(L302="","",IF(V302&gt;0,INDEX('10-تشرين الأول'!$Q$2:$Q$501,V302),IF($AO$1=1,0,"")))</f>
        <v/>
      </c>
      <c r="AA302" s="39" t="str">
        <f t="shared" si="93"/>
        <v/>
      </c>
      <c r="AB302" s="40" t="str">
        <f>IF(OR(L302="",V302=0),"",IF(AND(N(I302)&gt;0,N(INDEX('10-تشرين الأول'!$I$2:$I$501,V302))&gt;0,INDEX('10-تشرين الأول'!$F$2:$F$501,V302)=F302),N(I302)/N(INDEX('10-تشرين الأول'!$I$2:$I$501,V302))-1,""))</f>
        <v/>
      </c>
      <c r="AC302" t="str">
        <f>IF(L302="","",IF(AND($AO$2=1,ISNA(MATCH(L302,'12-كانون الأول'!$L$2:$L$501,0))),"محذوف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IF(L303="","",IF($AO$1=1,IFERROR(MATCH(L303,'10-تشرين الأول'!$L$2:$L$501,0),0),0))</f>
        <v/>
      </c>
      <c r="W303" t="str">
        <f t="shared" si="91"/>
        <v/>
      </c>
      <c r="X303" s="38" t="str">
        <f>IF(L303="","",IF(V303&gt;0,INDEX('10-تشرين الأول'!$P$2:$P$501,V303),IF($AO$1=1,0,"")))</f>
        <v/>
      </c>
      <c r="Y303" s="38" t="str">
        <f t="shared" si="92"/>
        <v/>
      </c>
      <c r="Z303" s="39" t="str">
        <f>IF(L303="","",IF(V303&gt;0,INDEX('10-تشرين الأول'!$Q$2:$Q$501,V303),IF($AO$1=1,0,"")))</f>
        <v/>
      </c>
      <c r="AA303" s="39" t="str">
        <f t="shared" si="93"/>
        <v/>
      </c>
      <c r="AB303" s="40" t="str">
        <f>IF(OR(L303="",V303=0),"",IF(AND(N(I303)&gt;0,N(INDEX('10-تشرين الأول'!$I$2:$I$501,V303))&gt;0,INDEX('10-تشرين الأول'!$F$2:$F$501,V303)=F303),N(I303)/N(INDEX('10-تشرين الأول'!$I$2:$I$501,V303))-1,""))</f>
        <v/>
      </c>
      <c r="AC303" t="str">
        <f>IF(L303="","",IF(AND($AO$2=1,ISNA(MATCH(L303,'12-كانون الأول'!$L$2:$L$501,0))),"محذوف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IF(L304="","",IF($AO$1=1,IFERROR(MATCH(L304,'10-تشرين الأول'!$L$2:$L$501,0),0),0))</f>
        <v/>
      </c>
      <c r="W304" t="str">
        <f t="shared" si="91"/>
        <v/>
      </c>
      <c r="X304" s="38" t="str">
        <f>IF(L304="","",IF(V304&gt;0,INDEX('10-تشرين الأول'!$P$2:$P$501,V304),IF($AO$1=1,0,"")))</f>
        <v/>
      </c>
      <c r="Y304" s="38" t="str">
        <f t="shared" si="92"/>
        <v/>
      </c>
      <c r="Z304" s="39" t="str">
        <f>IF(L304="","",IF(V304&gt;0,INDEX('10-تشرين الأول'!$Q$2:$Q$501,V304),IF($AO$1=1,0,"")))</f>
        <v/>
      </c>
      <c r="AA304" s="39" t="str">
        <f t="shared" si="93"/>
        <v/>
      </c>
      <c r="AB304" s="40" t="str">
        <f>IF(OR(L304="",V304=0),"",IF(AND(N(I304)&gt;0,N(INDEX('10-تشرين الأول'!$I$2:$I$501,V304))&gt;0,INDEX('10-تشرين الأول'!$F$2:$F$501,V304)=F304),N(I304)/N(INDEX('10-تشرين الأول'!$I$2:$I$501,V304))-1,""))</f>
        <v/>
      </c>
      <c r="AC304" t="str">
        <f>IF(L304="","",IF(AND($AO$2=1,ISNA(MATCH(L304,'12-كانون الأول'!$L$2:$L$501,0))),"محذوف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IF(L305="","",IF($AO$1=1,IFERROR(MATCH(L305,'10-تشرين الأول'!$L$2:$L$501,0),0),0))</f>
        <v/>
      </c>
      <c r="W305" t="str">
        <f t="shared" si="91"/>
        <v/>
      </c>
      <c r="X305" s="38" t="str">
        <f>IF(L305="","",IF(V305&gt;0,INDEX('10-تشرين الأول'!$P$2:$P$501,V305),IF($AO$1=1,0,"")))</f>
        <v/>
      </c>
      <c r="Y305" s="38" t="str">
        <f t="shared" si="92"/>
        <v/>
      </c>
      <c r="Z305" s="39" t="str">
        <f>IF(L305="","",IF(V305&gt;0,INDEX('10-تشرين الأول'!$Q$2:$Q$501,V305),IF($AO$1=1,0,"")))</f>
        <v/>
      </c>
      <c r="AA305" s="39" t="str">
        <f t="shared" si="93"/>
        <v/>
      </c>
      <c r="AB305" s="40" t="str">
        <f>IF(OR(L305="",V305=0),"",IF(AND(N(I305)&gt;0,N(INDEX('10-تشرين الأول'!$I$2:$I$501,V305))&gt;0,INDEX('10-تشرين الأول'!$F$2:$F$501,V305)=F305),N(I305)/N(INDEX('10-تشرين الأول'!$I$2:$I$501,V305))-1,""))</f>
        <v/>
      </c>
      <c r="AC305" t="str">
        <f>IF(L305="","",IF(AND($AO$2=1,ISNA(MATCH(L305,'12-كانون الأول'!$L$2:$L$501,0))),"محذوف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IF(L306="","",IF($AO$1=1,IFERROR(MATCH(L306,'10-تشرين الأول'!$L$2:$L$501,0),0),0))</f>
        <v/>
      </c>
      <c r="W306" t="str">
        <f t="shared" si="91"/>
        <v/>
      </c>
      <c r="X306" s="38" t="str">
        <f>IF(L306="","",IF(V306&gt;0,INDEX('10-تشرين الأول'!$P$2:$P$501,V306),IF($AO$1=1,0,"")))</f>
        <v/>
      </c>
      <c r="Y306" s="38" t="str">
        <f t="shared" si="92"/>
        <v/>
      </c>
      <c r="Z306" s="39" t="str">
        <f>IF(L306="","",IF(V306&gt;0,INDEX('10-تشرين الأول'!$Q$2:$Q$501,V306),IF($AO$1=1,0,"")))</f>
        <v/>
      </c>
      <c r="AA306" s="39" t="str">
        <f t="shared" si="93"/>
        <v/>
      </c>
      <c r="AB306" s="40" t="str">
        <f>IF(OR(L306="",V306=0),"",IF(AND(N(I306)&gt;0,N(INDEX('10-تشرين الأول'!$I$2:$I$501,V306))&gt;0,INDEX('10-تشرين الأول'!$F$2:$F$501,V306)=F306),N(I306)/N(INDEX('10-تشرين الأول'!$I$2:$I$501,V306))-1,""))</f>
        <v/>
      </c>
      <c r="AC306" t="str">
        <f>IF(L306="","",IF(AND($AO$2=1,ISNA(MATCH(L306,'12-كانون الأول'!$L$2:$L$501,0))),"محذوف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IF(L307="","",IF($AO$1=1,IFERROR(MATCH(L307,'10-تشرين الأول'!$L$2:$L$501,0),0),0))</f>
        <v/>
      </c>
      <c r="W307" t="str">
        <f t="shared" si="91"/>
        <v/>
      </c>
      <c r="X307" s="38" t="str">
        <f>IF(L307="","",IF(V307&gt;0,INDEX('10-تشرين الأول'!$P$2:$P$501,V307),IF($AO$1=1,0,"")))</f>
        <v/>
      </c>
      <c r="Y307" s="38" t="str">
        <f t="shared" si="92"/>
        <v/>
      </c>
      <c r="Z307" s="39" t="str">
        <f>IF(L307="","",IF(V307&gt;0,INDEX('10-تشرين الأول'!$Q$2:$Q$501,V307),IF($AO$1=1,0,"")))</f>
        <v/>
      </c>
      <c r="AA307" s="39" t="str">
        <f t="shared" si="93"/>
        <v/>
      </c>
      <c r="AB307" s="40" t="str">
        <f>IF(OR(L307="",V307=0),"",IF(AND(N(I307)&gt;0,N(INDEX('10-تشرين الأول'!$I$2:$I$501,V307))&gt;0,INDEX('10-تشرين الأول'!$F$2:$F$501,V307)=F307),N(I307)/N(INDEX('10-تشرين الأول'!$I$2:$I$501,V307))-1,""))</f>
        <v/>
      </c>
      <c r="AC307" t="str">
        <f>IF(L307="","",IF(AND($AO$2=1,ISNA(MATCH(L307,'12-كانون الأول'!$L$2:$L$501,0))),"محذوف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IF(L308="","",IF($AO$1=1,IFERROR(MATCH(L308,'10-تشرين الأول'!$L$2:$L$501,0),0),0))</f>
        <v/>
      </c>
      <c r="W308" t="str">
        <f t="shared" si="91"/>
        <v/>
      </c>
      <c r="X308" s="38" t="str">
        <f>IF(L308="","",IF(V308&gt;0,INDEX('10-تشرين الأول'!$P$2:$P$501,V308),IF($AO$1=1,0,"")))</f>
        <v/>
      </c>
      <c r="Y308" s="38" t="str">
        <f t="shared" si="92"/>
        <v/>
      </c>
      <c r="Z308" s="39" t="str">
        <f>IF(L308="","",IF(V308&gt;0,INDEX('10-تشرين الأول'!$Q$2:$Q$501,V308),IF($AO$1=1,0,"")))</f>
        <v/>
      </c>
      <c r="AA308" s="39" t="str">
        <f t="shared" si="93"/>
        <v/>
      </c>
      <c r="AB308" s="40" t="str">
        <f>IF(OR(L308="",V308=0),"",IF(AND(N(I308)&gt;0,N(INDEX('10-تشرين الأول'!$I$2:$I$501,V308))&gt;0,INDEX('10-تشرين الأول'!$F$2:$F$501,V308)=F308),N(I308)/N(INDEX('10-تشرين الأول'!$I$2:$I$501,V308))-1,""))</f>
        <v/>
      </c>
      <c r="AC308" t="str">
        <f>IF(L308="","",IF(AND($AO$2=1,ISNA(MATCH(L308,'12-كانون الأول'!$L$2:$L$501,0))),"محذوف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IF(L309="","",IF($AO$1=1,IFERROR(MATCH(L309,'10-تشرين الأول'!$L$2:$L$501,0),0),0))</f>
        <v/>
      </c>
      <c r="W309" t="str">
        <f t="shared" si="91"/>
        <v/>
      </c>
      <c r="X309" s="38" t="str">
        <f>IF(L309="","",IF(V309&gt;0,INDEX('10-تشرين الأول'!$P$2:$P$501,V309),IF($AO$1=1,0,"")))</f>
        <v/>
      </c>
      <c r="Y309" s="38" t="str">
        <f t="shared" si="92"/>
        <v/>
      </c>
      <c r="Z309" s="39" t="str">
        <f>IF(L309="","",IF(V309&gt;0,INDEX('10-تشرين الأول'!$Q$2:$Q$501,V309),IF($AO$1=1,0,"")))</f>
        <v/>
      </c>
      <c r="AA309" s="39" t="str">
        <f t="shared" si="93"/>
        <v/>
      </c>
      <c r="AB309" s="40" t="str">
        <f>IF(OR(L309="",V309=0),"",IF(AND(N(I309)&gt;0,N(INDEX('10-تشرين الأول'!$I$2:$I$501,V309))&gt;0,INDEX('10-تشرين الأول'!$F$2:$F$501,V309)=F309),N(I309)/N(INDEX('10-تشرين الأول'!$I$2:$I$501,V309))-1,""))</f>
        <v/>
      </c>
      <c r="AC309" t="str">
        <f>IF(L309="","",IF(AND($AO$2=1,ISNA(MATCH(L309,'12-كانون الأول'!$L$2:$L$501,0))),"محذوف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IF(L310="","",IF($AO$1=1,IFERROR(MATCH(L310,'10-تشرين الأول'!$L$2:$L$501,0),0),0))</f>
        <v/>
      </c>
      <c r="W310" t="str">
        <f t="shared" si="91"/>
        <v/>
      </c>
      <c r="X310" s="38" t="str">
        <f>IF(L310="","",IF(V310&gt;0,INDEX('10-تشرين الأول'!$P$2:$P$501,V310),IF($AO$1=1,0,"")))</f>
        <v/>
      </c>
      <c r="Y310" s="38" t="str">
        <f t="shared" si="92"/>
        <v/>
      </c>
      <c r="Z310" s="39" t="str">
        <f>IF(L310="","",IF(V310&gt;0,INDEX('10-تشرين الأول'!$Q$2:$Q$501,V310),IF($AO$1=1,0,"")))</f>
        <v/>
      </c>
      <c r="AA310" s="39" t="str">
        <f t="shared" si="93"/>
        <v/>
      </c>
      <c r="AB310" s="40" t="str">
        <f>IF(OR(L310="",V310=0),"",IF(AND(N(I310)&gt;0,N(INDEX('10-تشرين الأول'!$I$2:$I$501,V310))&gt;0,INDEX('10-تشرين الأول'!$F$2:$F$501,V310)=F310),N(I310)/N(INDEX('10-تشرين الأول'!$I$2:$I$501,V310))-1,""))</f>
        <v/>
      </c>
      <c r="AC310" t="str">
        <f>IF(L310="","",IF(AND($AO$2=1,ISNA(MATCH(L310,'12-كانون الأول'!$L$2:$L$501,0))),"محذوف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IF(L311="","",IF($AO$1=1,IFERROR(MATCH(L311,'10-تشرين الأول'!$L$2:$L$501,0),0),0))</f>
        <v/>
      </c>
      <c r="W311" t="str">
        <f t="shared" si="91"/>
        <v/>
      </c>
      <c r="X311" s="38" t="str">
        <f>IF(L311="","",IF(V311&gt;0,INDEX('10-تشرين الأول'!$P$2:$P$501,V311),IF($AO$1=1,0,"")))</f>
        <v/>
      </c>
      <c r="Y311" s="38" t="str">
        <f t="shared" si="92"/>
        <v/>
      </c>
      <c r="Z311" s="39" t="str">
        <f>IF(L311="","",IF(V311&gt;0,INDEX('10-تشرين الأول'!$Q$2:$Q$501,V311),IF($AO$1=1,0,"")))</f>
        <v/>
      </c>
      <c r="AA311" s="39" t="str">
        <f t="shared" si="93"/>
        <v/>
      </c>
      <c r="AB311" s="40" t="str">
        <f>IF(OR(L311="",V311=0),"",IF(AND(N(I311)&gt;0,N(INDEX('10-تشرين الأول'!$I$2:$I$501,V311))&gt;0,INDEX('10-تشرين الأول'!$F$2:$F$501,V311)=F311),N(I311)/N(INDEX('10-تشرين الأول'!$I$2:$I$501,V311))-1,""))</f>
        <v/>
      </c>
      <c r="AC311" t="str">
        <f>IF(L311="","",IF(AND($AO$2=1,ISNA(MATCH(L311,'12-كانون الأول'!$L$2:$L$501,0))),"محذوف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IF(L312="","",IF($AO$1=1,IFERROR(MATCH(L312,'10-تشرين الأول'!$L$2:$L$501,0),0),0))</f>
        <v/>
      </c>
      <c r="W312" t="str">
        <f t="shared" si="91"/>
        <v/>
      </c>
      <c r="X312" s="38" t="str">
        <f>IF(L312="","",IF(V312&gt;0,INDEX('10-تشرين الأول'!$P$2:$P$501,V312),IF($AO$1=1,0,"")))</f>
        <v/>
      </c>
      <c r="Y312" s="38" t="str">
        <f t="shared" si="92"/>
        <v/>
      </c>
      <c r="Z312" s="39" t="str">
        <f>IF(L312="","",IF(V312&gt;0,INDEX('10-تشرين الأول'!$Q$2:$Q$501,V312),IF($AO$1=1,0,"")))</f>
        <v/>
      </c>
      <c r="AA312" s="39" t="str">
        <f t="shared" si="93"/>
        <v/>
      </c>
      <c r="AB312" s="40" t="str">
        <f>IF(OR(L312="",V312=0),"",IF(AND(N(I312)&gt;0,N(INDEX('10-تشرين الأول'!$I$2:$I$501,V312))&gt;0,INDEX('10-تشرين الأول'!$F$2:$F$501,V312)=F312),N(I312)/N(INDEX('10-تشرين الأول'!$I$2:$I$501,V312))-1,""))</f>
        <v/>
      </c>
      <c r="AC312" t="str">
        <f>IF(L312="","",IF(AND($AO$2=1,ISNA(MATCH(L312,'12-كانون الأول'!$L$2:$L$501,0))),"محذوف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IF(L313="","",IF($AO$1=1,IFERROR(MATCH(L313,'10-تشرين الأول'!$L$2:$L$501,0),0),0))</f>
        <v/>
      </c>
      <c r="W313" t="str">
        <f t="shared" si="91"/>
        <v/>
      </c>
      <c r="X313" s="38" t="str">
        <f>IF(L313="","",IF(V313&gt;0,INDEX('10-تشرين الأول'!$P$2:$P$501,V313),IF($AO$1=1,0,"")))</f>
        <v/>
      </c>
      <c r="Y313" s="38" t="str">
        <f t="shared" si="92"/>
        <v/>
      </c>
      <c r="Z313" s="39" t="str">
        <f>IF(L313="","",IF(V313&gt;0,INDEX('10-تشرين الأول'!$Q$2:$Q$501,V313),IF($AO$1=1,0,"")))</f>
        <v/>
      </c>
      <c r="AA313" s="39" t="str">
        <f t="shared" si="93"/>
        <v/>
      </c>
      <c r="AB313" s="40" t="str">
        <f>IF(OR(L313="",V313=0),"",IF(AND(N(I313)&gt;0,N(INDEX('10-تشرين الأول'!$I$2:$I$501,V313))&gt;0,INDEX('10-تشرين الأول'!$F$2:$F$501,V313)=F313),N(I313)/N(INDEX('10-تشرين الأول'!$I$2:$I$501,V313))-1,""))</f>
        <v/>
      </c>
      <c r="AC313" t="str">
        <f>IF(L313="","",IF(AND($AO$2=1,ISNA(MATCH(L313,'12-كانون الأول'!$L$2:$L$501,0))),"محذوف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IF(L314="","",IF($AO$1=1,IFERROR(MATCH(L314,'10-تشرين الأول'!$L$2:$L$501,0),0),0))</f>
        <v/>
      </c>
      <c r="W314" t="str">
        <f t="shared" si="91"/>
        <v/>
      </c>
      <c r="X314" s="38" t="str">
        <f>IF(L314="","",IF(V314&gt;0,INDEX('10-تشرين الأول'!$P$2:$P$501,V314),IF($AO$1=1,0,"")))</f>
        <v/>
      </c>
      <c r="Y314" s="38" t="str">
        <f t="shared" si="92"/>
        <v/>
      </c>
      <c r="Z314" s="39" t="str">
        <f>IF(L314="","",IF(V314&gt;0,INDEX('10-تشرين الأول'!$Q$2:$Q$501,V314),IF($AO$1=1,0,"")))</f>
        <v/>
      </c>
      <c r="AA314" s="39" t="str">
        <f t="shared" si="93"/>
        <v/>
      </c>
      <c r="AB314" s="40" t="str">
        <f>IF(OR(L314="",V314=0),"",IF(AND(N(I314)&gt;0,N(INDEX('10-تشرين الأول'!$I$2:$I$501,V314))&gt;0,INDEX('10-تشرين الأول'!$F$2:$F$501,V314)=F314),N(I314)/N(INDEX('10-تشرين الأول'!$I$2:$I$501,V314))-1,""))</f>
        <v/>
      </c>
      <c r="AC314" t="str">
        <f>IF(L314="","",IF(AND($AO$2=1,ISNA(MATCH(L314,'12-كانون الأول'!$L$2:$L$501,0))),"محذوف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IF(L315="","",IF($AO$1=1,IFERROR(MATCH(L315,'10-تشرين الأول'!$L$2:$L$501,0),0),0))</f>
        <v/>
      </c>
      <c r="W315" t="str">
        <f t="shared" si="91"/>
        <v/>
      </c>
      <c r="X315" s="38" t="str">
        <f>IF(L315="","",IF(V315&gt;0,INDEX('10-تشرين الأول'!$P$2:$P$501,V315),IF($AO$1=1,0,"")))</f>
        <v/>
      </c>
      <c r="Y315" s="38" t="str">
        <f t="shared" si="92"/>
        <v/>
      </c>
      <c r="Z315" s="39" t="str">
        <f>IF(L315="","",IF(V315&gt;0,INDEX('10-تشرين الأول'!$Q$2:$Q$501,V315),IF($AO$1=1,0,"")))</f>
        <v/>
      </c>
      <c r="AA315" s="39" t="str">
        <f t="shared" si="93"/>
        <v/>
      </c>
      <c r="AB315" s="40" t="str">
        <f>IF(OR(L315="",V315=0),"",IF(AND(N(I315)&gt;0,N(INDEX('10-تشرين الأول'!$I$2:$I$501,V315))&gt;0,INDEX('10-تشرين الأول'!$F$2:$F$501,V315)=F315),N(I315)/N(INDEX('10-تشرين الأول'!$I$2:$I$501,V315))-1,""))</f>
        <v/>
      </c>
      <c r="AC315" t="str">
        <f>IF(L315="","",IF(AND($AO$2=1,ISNA(MATCH(L315,'12-كانون الأول'!$L$2:$L$501,0))),"محذوف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IF(L316="","",IF($AO$1=1,IFERROR(MATCH(L316,'10-تشرين الأول'!$L$2:$L$501,0),0),0))</f>
        <v/>
      </c>
      <c r="W316" t="str">
        <f t="shared" si="91"/>
        <v/>
      </c>
      <c r="X316" s="38" t="str">
        <f>IF(L316="","",IF(V316&gt;0,INDEX('10-تشرين الأول'!$P$2:$P$501,V316),IF($AO$1=1,0,"")))</f>
        <v/>
      </c>
      <c r="Y316" s="38" t="str">
        <f t="shared" si="92"/>
        <v/>
      </c>
      <c r="Z316" s="39" t="str">
        <f>IF(L316="","",IF(V316&gt;0,INDEX('10-تشرين الأول'!$Q$2:$Q$501,V316),IF($AO$1=1,0,"")))</f>
        <v/>
      </c>
      <c r="AA316" s="39" t="str">
        <f t="shared" si="93"/>
        <v/>
      </c>
      <c r="AB316" s="40" t="str">
        <f>IF(OR(L316="",V316=0),"",IF(AND(N(I316)&gt;0,N(INDEX('10-تشرين الأول'!$I$2:$I$501,V316))&gt;0,INDEX('10-تشرين الأول'!$F$2:$F$501,V316)=F316),N(I316)/N(INDEX('10-تشرين الأول'!$I$2:$I$501,V316))-1,""))</f>
        <v/>
      </c>
      <c r="AC316" t="str">
        <f>IF(L316="","",IF(AND($AO$2=1,ISNA(MATCH(L316,'12-كانون الأول'!$L$2:$L$501,0))),"محذوف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IF(L317="","",IF($AO$1=1,IFERROR(MATCH(L317,'10-تشرين الأول'!$L$2:$L$501,0),0),0))</f>
        <v/>
      </c>
      <c r="W317" t="str">
        <f t="shared" si="91"/>
        <v/>
      </c>
      <c r="X317" s="38" t="str">
        <f>IF(L317="","",IF(V317&gt;0,INDEX('10-تشرين الأول'!$P$2:$P$501,V317),IF($AO$1=1,0,"")))</f>
        <v/>
      </c>
      <c r="Y317" s="38" t="str">
        <f t="shared" si="92"/>
        <v/>
      </c>
      <c r="Z317" s="39" t="str">
        <f>IF(L317="","",IF(V317&gt;0,INDEX('10-تشرين الأول'!$Q$2:$Q$501,V317),IF($AO$1=1,0,"")))</f>
        <v/>
      </c>
      <c r="AA317" s="39" t="str">
        <f t="shared" si="93"/>
        <v/>
      </c>
      <c r="AB317" s="40" t="str">
        <f>IF(OR(L317="",V317=0),"",IF(AND(N(I317)&gt;0,N(INDEX('10-تشرين الأول'!$I$2:$I$501,V317))&gt;0,INDEX('10-تشرين الأول'!$F$2:$F$501,V317)=F317),N(I317)/N(INDEX('10-تشرين الأول'!$I$2:$I$501,V317))-1,""))</f>
        <v/>
      </c>
      <c r="AC317" t="str">
        <f>IF(L317="","",IF(AND($AO$2=1,ISNA(MATCH(L317,'12-كانون الأول'!$L$2:$L$501,0))),"محذوف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IF(L318="","",IF($AO$1=1,IFERROR(MATCH(L318,'10-تشرين الأول'!$L$2:$L$501,0),0),0))</f>
        <v/>
      </c>
      <c r="W318" t="str">
        <f t="shared" si="91"/>
        <v/>
      </c>
      <c r="X318" s="38" t="str">
        <f>IF(L318="","",IF(V318&gt;0,INDEX('10-تشرين الأول'!$P$2:$P$501,V318),IF($AO$1=1,0,"")))</f>
        <v/>
      </c>
      <c r="Y318" s="38" t="str">
        <f t="shared" si="92"/>
        <v/>
      </c>
      <c r="Z318" s="39" t="str">
        <f>IF(L318="","",IF(V318&gt;0,INDEX('10-تشرين الأول'!$Q$2:$Q$501,V318),IF($AO$1=1,0,"")))</f>
        <v/>
      </c>
      <c r="AA318" s="39" t="str">
        <f t="shared" si="93"/>
        <v/>
      </c>
      <c r="AB318" s="40" t="str">
        <f>IF(OR(L318="",V318=0),"",IF(AND(N(I318)&gt;0,N(INDEX('10-تشرين الأول'!$I$2:$I$501,V318))&gt;0,INDEX('10-تشرين الأول'!$F$2:$F$501,V318)=F318),N(I318)/N(INDEX('10-تشرين الأول'!$I$2:$I$501,V318))-1,""))</f>
        <v/>
      </c>
      <c r="AC318" t="str">
        <f>IF(L318="","",IF(AND($AO$2=1,ISNA(MATCH(L318,'12-كانون الأول'!$L$2:$L$501,0))),"محذوف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IF(L319="","",IF($AO$1=1,IFERROR(MATCH(L319,'10-تشرين الأول'!$L$2:$L$501,0),0),0))</f>
        <v/>
      </c>
      <c r="W319" t="str">
        <f t="shared" si="91"/>
        <v/>
      </c>
      <c r="X319" s="38" t="str">
        <f>IF(L319="","",IF(V319&gt;0,INDEX('10-تشرين الأول'!$P$2:$P$501,V319),IF($AO$1=1,0,"")))</f>
        <v/>
      </c>
      <c r="Y319" s="38" t="str">
        <f t="shared" si="92"/>
        <v/>
      </c>
      <c r="Z319" s="39" t="str">
        <f>IF(L319="","",IF(V319&gt;0,INDEX('10-تشرين الأول'!$Q$2:$Q$501,V319),IF($AO$1=1,0,"")))</f>
        <v/>
      </c>
      <c r="AA319" s="39" t="str">
        <f t="shared" si="93"/>
        <v/>
      </c>
      <c r="AB319" s="40" t="str">
        <f>IF(OR(L319="",V319=0),"",IF(AND(N(I319)&gt;0,N(INDEX('10-تشرين الأول'!$I$2:$I$501,V319))&gt;0,INDEX('10-تشرين الأول'!$F$2:$F$501,V319)=F319),N(I319)/N(INDEX('10-تشرين الأول'!$I$2:$I$501,V319))-1,""))</f>
        <v/>
      </c>
      <c r="AC319" t="str">
        <f>IF(L319="","",IF(AND($AO$2=1,ISNA(MATCH(L319,'12-كانون الأول'!$L$2:$L$501,0))),"محذوف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IF(L320="","",IF($AO$1=1,IFERROR(MATCH(L320,'10-تشرين الأول'!$L$2:$L$501,0),0),0))</f>
        <v/>
      </c>
      <c r="W320" t="str">
        <f t="shared" si="91"/>
        <v/>
      </c>
      <c r="X320" s="38" t="str">
        <f>IF(L320="","",IF(V320&gt;0,INDEX('10-تشرين الأول'!$P$2:$P$501,V320),IF($AO$1=1,0,"")))</f>
        <v/>
      </c>
      <c r="Y320" s="38" t="str">
        <f t="shared" si="92"/>
        <v/>
      </c>
      <c r="Z320" s="39" t="str">
        <f>IF(L320="","",IF(V320&gt;0,INDEX('10-تشرين الأول'!$Q$2:$Q$501,V320),IF($AO$1=1,0,"")))</f>
        <v/>
      </c>
      <c r="AA320" s="39" t="str">
        <f t="shared" si="93"/>
        <v/>
      </c>
      <c r="AB320" s="40" t="str">
        <f>IF(OR(L320="",V320=0),"",IF(AND(N(I320)&gt;0,N(INDEX('10-تشرين الأول'!$I$2:$I$501,V320))&gt;0,INDEX('10-تشرين الأول'!$F$2:$F$501,V320)=F320),N(I320)/N(INDEX('10-تشرين الأول'!$I$2:$I$501,V320))-1,""))</f>
        <v/>
      </c>
      <c r="AC320" t="str">
        <f>IF(L320="","",IF(AND($AO$2=1,ISNA(MATCH(L320,'12-كانون الأول'!$L$2:$L$501,0))),"محذوف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IF(L321="","",IF($AO$1=1,IFERROR(MATCH(L321,'10-تشرين الأول'!$L$2:$L$501,0),0),0))</f>
        <v/>
      </c>
      <c r="W321" t="str">
        <f t="shared" si="91"/>
        <v/>
      </c>
      <c r="X321" s="38" t="str">
        <f>IF(L321="","",IF(V321&gt;0,INDEX('10-تشرين الأول'!$P$2:$P$501,V321),IF($AO$1=1,0,"")))</f>
        <v/>
      </c>
      <c r="Y321" s="38" t="str">
        <f t="shared" si="92"/>
        <v/>
      </c>
      <c r="Z321" s="39" t="str">
        <f>IF(L321="","",IF(V321&gt;0,INDEX('10-تشرين الأول'!$Q$2:$Q$501,V321),IF($AO$1=1,0,"")))</f>
        <v/>
      </c>
      <c r="AA321" s="39" t="str">
        <f t="shared" si="93"/>
        <v/>
      </c>
      <c r="AB321" s="40" t="str">
        <f>IF(OR(L321="",V321=0),"",IF(AND(N(I321)&gt;0,N(INDEX('10-تشرين الأول'!$I$2:$I$501,V321))&gt;0,INDEX('10-تشرين الأول'!$F$2:$F$501,V321)=F321),N(I321)/N(INDEX('10-تشرين الأول'!$I$2:$I$501,V321))-1,""))</f>
        <v/>
      </c>
      <c r="AC321" t="str">
        <f>IF(L321="","",IF(AND($AO$2=1,ISNA(MATCH(L321,'12-كانون الأول'!$L$2:$L$501,0))),"محذوف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IF(L322="","",IF($AO$1=1,IFERROR(MATCH(L322,'10-تشرين الأول'!$L$2:$L$501,0),0),0))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IF(L322="","",IF(V322&gt;0,INDEX('10-تشرين الأول'!$P$2:$P$501,V322),IF($AO$1=1,0,"")))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IF(L322="","",IF(V322&gt;0,INDEX('10-تشرين الأول'!$Q$2:$Q$501,V322),IF($AO$1=1,0,"")))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IF(OR(L322="",V322=0),"",IF(AND(N(I322)&gt;0,N(INDEX('10-تشرين الأول'!$I$2:$I$501,V322))&gt;0,INDEX('10-تشرين الأول'!$F$2:$F$501,V322)=F322),N(I322)/N(INDEX('10-تشرين الأول'!$I$2:$I$501,V322))-1,""))</f>
        <v/>
      </c>
      <c r="AC322" t="str">
        <f>IF(L322="","",IF(AND($AO$2=1,ISNA(MATCH(L322,'12-كانون الأول'!$L$2:$L$501,0))),"محذوف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IF(L323="","",IF($AO$1=1,IFERROR(MATCH(L323,'10-تشرين الأول'!$L$2:$L$501,0),0),0))</f>
        <v/>
      </c>
      <c r="W323" t="str">
        <f t="shared" si="111"/>
        <v/>
      </c>
      <c r="X323" s="38" t="str">
        <f>IF(L323="","",IF(V323&gt;0,INDEX('10-تشرين الأول'!$P$2:$P$501,V323),IF($AO$1=1,0,"")))</f>
        <v/>
      </c>
      <c r="Y323" s="38" t="str">
        <f t="shared" si="112"/>
        <v/>
      </c>
      <c r="Z323" s="39" t="str">
        <f>IF(L323="","",IF(V323&gt;0,INDEX('10-تشرين الأول'!$Q$2:$Q$501,V323),IF($AO$1=1,0,"")))</f>
        <v/>
      </c>
      <c r="AA323" s="39" t="str">
        <f t="shared" si="113"/>
        <v/>
      </c>
      <c r="AB323" s="40" t="str">
        <f>IF(OR(L323="",V323=0),"",IF(AND(N(I323)&gt;0,N(INDEX('10-تشرين الأول'!$I$2:$I$501,V323))&gt;0,INDEX('10-تشرين الأول'!$F$2:$F$501,V323)=F323),N(I323)/N(INDEX('10-تشرين الأول'!$I$2:$I$501,V323))-1,""))</f>
        <v/>
      </c>
      <c r="AC323" t="str">
        <f>IF(L323="","",IF(AND($AO$2=1,ISNA(MATCH(L323,'12-كانون الأول'!$L$2:$L$501,0))),"محذوف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IF(L324="","",IF($AO$1=1,IFERROR(MATCH(L324,'10-تشرين الأول'!$L$2:$L$501,0),0),0))</f>
        <v/>
      </c>
      <c r="W324" t="str">
        <f t="shared" si="111"/>
        <v/>
      </c>
      <c r="X324" s="38" t="str">
        <f>IF(L324="","",IF(V324&gt;0,INDEX('10-تشرين الأول'!$P$2:$P$501,V324),IF($AO$1=1,0,"")))</f>
        <v/>
      </c>
      <c r="Y324" s="38" t="str">
        <f t="shared" si="112"/>
        <v/>
      </c>
      <c r="Z324" s="39" t="str">
        <f>IF(L324="","",IF(V324&gt;0,INDEX('10-تشرين الأول'!$Q$2:$Q$501,V324),IF($AO$1=1,0,"")))</f>
        <v/>
      </c>
      <c r="AA324" s="39" t="str">
        <f t="shared" si="113"/>
        <v/>
      </c>
      <c r="AB324" s="40" t="str">
        <f>IF(OR(L324="",V324=0),"",IF(AND(N(I324)&gt;0,N(INDEX('10-تشرين الأول'!$I$2:$I$501,V324))&gt;0,INDEX('10-تشرين الأول'!$F$2:$F$501,V324)=F324),N(I324)/N(INDEX('10-تشرين الأول'!$I$2:$I$501,V324))-1,""))</f>
        <v/>
      </c>
      <c r="AC324" t="str">
        <f>IF(L324="","",IF(AND($AO$2=1,ISNA(MATCH(L324,'12-كانون الأول'!$L$2:$L$501,0))),"محذوف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IF(L325="","",IF($AO$1=1,IFERROR(MATCH(L325,'10-تشرين الأول'!$L$2:$L$501,0),0),0))</f>
        <v/>
      </c>
      <c r="W325" t="str">
        <f t="shared" si="111"/>
        <v/>
      </c>
      <c r="X325" s="38" t="str">
        <f>IF(L325="","",IF(V325&gt;0,INDEX('10-تشرين الأول'!$P$2:$P$501,V325),IF($AO$1=1,0,"")))</f>
        <v/>
      </c>
      <c r="Y325" s="38" t="str">
        <f t="shared" si="112"/>
        <v/>
      </c>
      <c r="Z325" s="39" t="str">
        <f>IF(L325="","",IF(V325&gt;0,INDEX('10-تشرين الأول'!$Q$2:$Q$501,V325),IF($AO$1=1,0,"")))</f>
        <v/>
      </c>
      <c r="AA325" s="39" t="str">
        <f t="shared" si="113"/>
        <v/>
      </c>
      <c r="AB325" s="40" t="str">
        <f>IF(OR(L325="",V325=0),"",IF(AND(N(I325)&gt;0,N(INDEX('10-تشرين الأول'!$I$2:$I$501,V325))&gt;0,INDEX('10-تشرين الأول'!$F$2:$F$501,V325)=F325),N(I325)/N(INDEX('10-تشرين الأول'!$I$2:$I$501,V325))-1,""))</f>
        <v/>
      </c>
      <c r="AC325" t="str">
        <f>IF(L325="","",IF(AND($AO$2=1,ISNA(MATCH(L325,'12-كانون الأول'!$L$2:$L$501,0))),"محذوف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IF(L326="","",IF($AO$1=1,IFERROR(MATCH(L326,'10-تشرين الأول'!$L$2:$L$501,0),0),0))</f>
        <v/>
      </c>
      <c r="W326" t="str">
        <f t="shared" si="111"/>
        <v/>
      </c>
      <c r="X326" s="38" t="str">
        <f>IF(L326="","",IF(V326&gt;0,INDEX('10-تشرين الأول'!$P$2:$P$501,V326),IF($AO$1=1,0,"")))</f>
        <v/>
      </c>
      <c r="Y326" s="38" t="str">
        <f t="shared" si="112"/>
        <v/>
      </c>
      <c r="Z326" s="39" t="str">
        <f>IF(L326="","",IF(V326&gt;0,INDEX('10-تشرين الأول'!$Q$2:$Q$501,V326),IF($AO$1=1,0,"")))</f>
        <v/>
      </c>
      <c r="AA326" s="39" t="str">
        <f t="shared" si="113"/>
        <v/>
      </c>
      <c r="AB326" s="40" t="str">
        <f>IF(OR(L326="",V326=0),"",IF(AND(N(I326)&gt;0,N(INDEX('10-تشرين الأول'!$I$2:$I$501,V326))&gt;0,INDEX('10-تشرين الأول'!$F$2:$F$501,V326)=F326),N(I326)/N(INDEX('10-تشرين الأول'!$I$2:$I$501,V326))-1,""))</f>
        <v/>
      </c>
      <c r="AC326" t="str">
        <f>IF(L326="","",IF(AND($AO$2=1,ISNA(MATCH(L326,'12-كانون الأول'!$L$2:$L$501,0))),"محذوف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IF(L327="","",IF($AO$1=1,IFERROR(MATCH(L327,'10-تشرين الأول'!$L$2:$L$501,0),0),0))</f>
        <v/>
      </c>
      <c r="W327" t="str">
        <f t="shared" si="111"/>
        <v/>
      </c>
      <c r="X327" s="38" t="str">
        <f>IF(L327="","",IF(V327&gt;0,INDEX('10-تشرين الأول'!$P$2:$P$501,V327),IF($AO$1=1,0,"")))</f>
        <v/>
      </c>
      <c r="Y327" s="38" t="str">
        <f t="shared" si="112"/>
        <v/>
      </c>
      <c r="Z327" s="39" t="str">
        <f>IF(L327="","",IF(V327&gt;0,INDEX('10-تشرين الأول'!$Q$2:$Q$501,V327),IF($AO$1=1,0,"")))</f>
        <v/>
      </c>
      <c r="AA327" s="39" t="str">
        <f t="shared" si="113"/>
        <v/>
      </c>
      <c r="AB327" s="40" t="str">
        <f>IF(OR(L327="",V327=0),"",IF(AND(N(I327)&gt;0,N(INDEX('10-تشرين الأول'!$I$2:$I$501,V327))&gt;0,INDEX('10-تشرين الأول'!$F$2:$F$501,V327)=F327),N(I327)/N(INDEX('10-تشرين الأول'!$I$2:$I$501,V327))-1,""))</f>
        <v/>
      </c>
      <c r="AC327" t="str">
        <f>IF(L327="","",IF(AND($AO$2=1,ISNA(MATCH(L327,'12-كانون الأول'!$L$2:$L$501,0))),"محذوف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IF(L328="","",IF($AO$1=1,IFERROR(MATCH(L328,'10-تشرين الأول'!$L$2:$L$501,0),0),0))</f>
        <v/>
      </c>
      <c r="W328" t="str">
        <f t="shared" si="111"/>
        <v/>
      </c>
      <c r="X328" s="38" t="str">
        <f>IF(L328="","",IF(V328&gt;0,INDEX('10-تشرين الأول'!$P$2:$P$501,V328),IF($AO$1=1,0,"")))</f>
        <v/>
      </c>
      <c r="Y328" s="38" t="str">
        <f t="shared" si="112"/>
        <v/>
      </c>
      <c r="Z328" s="39" t="str">
        <f>IF(L328="","",IF(V328&gt;0,INDEX('10-تشرين الأول'!$Q$2:$Q$501,V328),IF($AO$1=1,0,"")))</f>
        <v/>
      </c>
      <c r="AA328" s="39" t="str">
        <f t="shared" si="113"/>
        <v/>
      </c>
      <c r="AB328" s="40" t="str">
        <f>IF(OR(L328="",V328=0),"",IF(AND(N(I328)&gt;0,N(INDEX('10-تشرين الأول'!$I$2:$I$501,V328))&gt;0,INDEX('10-تشرين الأول'!$F$2:$F$501,V328)=F328),N(I328)/N(INDEX('10-تشرين الأول'!$I$2:$I$501,V328))-1,""))</f>
        <v/>
      </c>
      <c r="AC328" t="str">
        <f>IF(L328="","",IF(AND($AO$2=1,ISNA(MATCH(L328,'12-كانون الأول'!$L$2:$L$501,0))),"محذوف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IF(L329="","",IF($AO$1=1,IFERROR(MATCH(L329,'10-تشرين الأول'!$L$2:$L$501,0),0),0))</f>
        <v/>
      </c>
      <c r="W329" t="str">
        <f t="shared" si="111"/>
        <v/>
      </c>
      <c r="X329" s="38" t="str">
        <f>IF(L329="","",IF(V329&gt;0,INDEX('10-تشرين الأول'!$P$2:$P$501,V329),IF($AO$1=1,0,"")))</f>
        <v/>
      </c>
      <c r="Y329" s="38" t="str">
        <f t="shared" si="112"/>
        <v/>
      </c>
      <c r="Z329" s="39" t="str">
        <f>IF(L329="","",IF(V329&gt;0,INDEX('10-تشرين الأول'!$Q$2:$Q$501,V329),IF($AO$1=1,0,"")))</f>
        <v/>
      </c>
      <c r="AA329" s="39" t="str">
        <f t="shared" si="113"/>
        <v/>
      </c>
      <c r="AB329" s="40" t="str">
        <f>IF(OR(L329="",V329=0),"",IF(AND(N(I329)&gt;0,N(INDEX('10-تشرين الأول'!$I$2:$I$501,V329))&gt;0,INDEX('10-تشرين الأول'!$F$2:$F$501,V329)=F329),N(I329)/N(INDEX('10-تشرين الأول'!$I$2:$I$501,V329))-1,""))</f>
        <v/>
      </c>
      <c r="AC329" t="str">
        <f>IF(L329="","",IF(AND($AO$2=1,ISNA(MATCH(L329,'12-كانون الأول'!$L$2:$L$501,0))),"محذوف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IF(L330="","",IF($AO$1=1,IFERROR(MATCH(L330,'10-تشرين الأول'!$L$2:$L$501,0),0),0))</f>
        <v/>
      </c>
      <c r="W330" t="str">
        <f t="shared" si="111"/>
        <v/>
      </c>
      <c r="X330" s="38" t="str">
        <f>IF(L330="","",IF(V330&gt;0,INDEX('10-تشرين الأول'!$P$2:$P$501,V330),IF($AO$1=1,0,"")))</f>
        <v/>
      </c>
      <c r="Y330" s="38" t="str">
        <f t="shared" si="112"/>
        <v/>
      </c>
      <c r="Z330" s="39" t="str">
        <f>IF(L330="","",IF(V330&gt;0,INDEX('10-تشرين الأول'!$Q$2:$Q$501,V330),IF($AO$1=1,0,"")))</f>
        <v/>
      </c>
      <c r="AA330" s="39" t="str">
        <f t="shared" si="113"/>
        <v/>
      </c>
      <c r="AB330" s="40" t="str">
        <f>IF(OR(L330="",V330=0),"",IF(AND(N(I330)&gt;0,N(INDEX('10-تشرين الأول'!$I$2:$I$501,V330))&gt;0,INDEX('10-تشرين الأول'!$F$2:$F$501,V330)=F330),N(I330)/N(INDEX('10-تشرين الأول'!$I$2:$I$501,V330))-1,""))</f>
        <v/>
      </c>
      <c r="AC330" t="str">
        <f>IF(L330="","",IF(AND($AO$2=1,ISNA(MATCH(L330,'12-كانون الأول'!$L$2:$L$501,0))),"محذوف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IF(L331="","",IF($AO$1=1,IFERROR(MATCH(L331,'10-تشرين الأول'!$L$2:$L$501,0),0),0))</f>
        <v/>
      </c>
      <c r="W331" t="str">
        <f t="shared" si="111"/>
        <v/>
      </c>
      <c r="X331" s="38" t="str">
        <f>IF(L331="","",IF(V331&gt;0,INDEX('10-تشرين الأول'!$P$2:$P$501,V331),IF($AO$1=1,0,"")))</f>
        <v/>
      </c>
      <c r="Y331" s="38" t="str">
        <f t="shared" si="112"/>
        <v/>
      </c>
      <c r="Z331" s="39" t="str">
        <f>IF(L331="","",IF(V331&gt;0,INDEX('10-تشرين الأول'!$Q$2:$Q$501,V331),IF($AO$1=1,0,"")))</f>
        <v/>
      </c>
      <c r="AA331" s="39" t="str">
        <f t="shared" si="113"/>
        <v/>
      </c>
      <c r="AB331" s="40" t="str">
        <f>IF(OR(L331="",V331=0),"",IF(AND(N(I331)&gt;0,N(INDEX('10-تشرين الأول'!$I$2:$I$501,V331))&gt;0,INDEX('10-تشرين الأول'!$F$2:$F$501,V331)=F331),N(I331)/N(INDEX('10-تشرين الأول'!$I$2:$I$501,V331))-1,""))</f>
        <v/>
      </c>
      <c r="AC331" t="str">
        <f>IF(L331="","",IF(AND($AO$2=1,ISNA(MATCH(L331,'12-كانون الأول'!$L$2:$L$501,0))),"محذوف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IF(L332="","",IF($AO$1=1,IFERROR(MATCH(L332,'10-تشرين الأول'!$L$2:$L$501,0),0),0))</f>
        <v/>
      </c>
      <c r="W332" t="str">
        <f t="shared" si="111"/>
        <v/>
      </c>
      <c r="X332" s="38" t="str">
        <f>IF(L332="","",IF(V332&gt;0,INDEX('10-تشرين الأول'!$P$2:$P$501,V332),IF($AO$1=1,0,"")))</f>
        <v/>
      </c>
      <c r="Y332" s="38" t="str">
        <f t="shared" si="112"/>
        <v/>
      </c>
      <c r="Z332" s="39" t="str">
        <f>IF(L332="","",IF(V332&gt;0,INDEX('10-تشرين الأول'!$Q$2:$Q$501,V332),IF($AO$1=1,0,"")))</f>
        <v/>
      </c>
      <c r="AA332" s="39" t="str">
        <f t="shared" si="113"/>
        <v/>
      </c>
      <c r="AB332" s="40" t="str">
        <f>IF(OR(L332="",V332=0),"",IF(AND(N(I332)&gt;0,N(INDEX('10-تشرين الأول'!$I$2:$I$501,V332))&gt;0,INDEX('10-تشرين الأول'!$F$2:$F$501,V332)=F332),N(I332)/N(INDEX('10-تشرين الأول'!$I$2:$I$501,V332))-1,""))</f>
        <v/>
      </c>
      <c r="AC332" t="str">
        <f>IF(L332="","",IF(AND($AO$2=1,ISNA(MATCH(L332,'12-كانون الأول'!$L$2:$L$501,0))),"محذوف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IF(L333="","",IF($AO$1=1,IFERROR(MATCH(L333,'10-تشرين الأول'!$L$2:$L$501,0),0),0))</f>
        <v/>
      </c>
      <c r="W333" t="str">
        <f t="shared" si="111"/>
        <v/>
      </c>
      <c r="X333" s="38" t="str">
        <f>IF(L333="","",IF(V333&gt;0,INDEX('10-تشرين الأول'!$P$2:$P$501,V333),IF($AO$1=1,0,"")))</f>
        <v/>
      </c>
      <c r="Y333" s="38" t="str">
        <f t="shared" si="112"/>
        <v/>
      </c>
      <c r="Z333" s="39" t="str">
        <f>IF(L333="","",IF(V333&gt;0,INDEX('10-تشرين الأول'!$Q$2:$Q$501,V333),IF($AO$1=1,0,"")))</f>
        <v/>
      </c>
      <c r="AA333" s="39" t="str">
        <f t="shared" si="113"/>
        <v/>
      </c>
      <c r="AB333" s="40" t="str">
        <f>IF(OR(L333="",V333=0),"",IF(AND(N(I333)&gt;0,N(INDEX('10-تشرين الأول'!$I$2:$I$501,V333))&gt;0,INDEX('10-تشرين الأول'!$F$2:$F$501,V333)=F333),N(I333)/N(INDEX('10-تشرين الأول'!$I$2:$I$501,V333))-1,""))</f>
        <v/>
      </c>
      <c r="AC333" t="str">
        <f>IF(L333="","",IF(AND($AO$2=1,ISNA(MATCH(L333,'12-كانون الأول'!$L$2:$L$501,0))),"محذوف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IF(L334="","",IF($AO$1=1,IFERROR(MATCH(L334,'10-تشرين الأول'!$L$2:$L$501,0),0),0))</f>
        <v/>
      </c>
      <c r="W334" t="str">
        <f t="shared" si="111"/>
        <v/>
      </c>
      <c r="X334" s="38" t="str">
        <f>IF(L334="","",IF(V334&gt;0,INDEX('10-تشرين الأول'!$P$2:$P$501,V334),IF($AO$1=1,0,"")))</f>
        <v/>
      </c>
      <c r="Y334" s="38" t="str">
        <f t="shared" si="112"/>
        <v/>
      </c>
      <c r="Z334" s="39" t="str">
        <f>IF(L334="","",IF(V334&gt;0,INDEX('10-تشرين الأول'!$Q$2:$Q$501,V334),IF($AO$1=1,0,"")))</f>
        <v/>
      </c>
      <c r="AA334" s="39" t="str">
        <f t="shared" si="113"/>
        <v/>
      </c>
      <c r="AB334" s="40" t="str">
        <f>IF(OR(L334="",V334=0),"",IF(AND(N(I334)&gt;0,N(INDEX('10-تشرين الأول'!$I$2:$I$501,V334))&gt;0,INDEX('10-تشرين الأول'!$F$2:$F$501,V334)=F334),N(I334)/N(INDEX('10-تشرين الأول'!$I$2:$I$501,V334))-1,""))</f>
        <v/>
      </c>
      <c r="AC334" t="str">
        <f>IF(L334="","",IF(AND($AO$2=1,ISNA(MATCH(L334,'12-كانون الأول'!$L$2:$L$501,0))),"محذوف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IF(L335="","",IF($AO$1=1,IFERROR(MATCH(L335,'10-تشرين الأول'!$L$2:$L$501,0),0),0))</f>
        <v/>
      </c>
      <c r="W335" t="str">
        <f t="shared" si="111"/>
        <v/>
      </c>
      <c r="X335" s="38" t="str">
        <f>IF(L335="","",IF(V335&gt;0,INDEX('10-تشرين الأول'!$P$2:$P$501,V335),IF($AO$1=1,0,"")))</f>
        <v/>
      </c>
      <c r="Y335" s="38" t="str">
        <f t="shared" si="112"/>
        <v/>
      </c>
      <c r="Z335" s="39" t="str">
        <f>IF(L335="","",IF(V335&gt;0,INDEX('10-تشرين الأول'!$Q$2:$Q$501,V335),IF($AO$1=1,0,"")))</f>
        <v/>
      </c>
      <c r="AA335" s="39" t="str">
        <f t="shared" si="113"/>
        <v/>
      </c>
      <c r="AB335" s="40" t="str">
        <f>IF(OR(L335="",V335=0),"",IF(AND(N(I335)&gt;0,N(INDEX('10-تشرين الأول'!$I$2:$I$501,V335))&gt;0,INDEX('10-تشرين الأول'!$F$2:$F$501,V335)=F335),N(I335)/N(INDEX('10-تشرين الأول'!$I$2:$I$501,V335))-1,""))</f>
        <v/>
      </c>
      <c r="AC335" t="str">
        <f>IF(L335="","",IF(AND($AO$2=1,ISNA(MATCH(L335,'12-كانون الأول'!$L$2:$L$501,0))),"محذوف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IF(L336="","",IF($AO$1=1,IFERROR(MATCH(L336,'10-تشرين الأول'!$L$2:$L$501,0),0),0))</f>
        <v/>
      </c>
      <c r="W336" t="str">
        <f t="shared" si="111"/>
        <v/>
      </c>
      <c r="X336" s="38" t="str">
        <f>IF(L336="","",IF(V336&gt;0,INDEX('10-تشرين الأول'!$P$2:$P$501,V336),IF($AO$1=1,0,"")))</f>
        <v/>
      </c>
      <c r="Y336" s="38" t="str">
        <f t="shared" si="112"/>
        <v/>
      </c>
      <c r="Z336" s="39" t="str">
        <f>IF(L336="","",IF(V336&gt;0,INDEX('10-تشرين الأول'!$Q$2:$Q$501,V336),IF($AO$1=1,0,"")))</f>
        <v/>
      </c>
      <c r="AA336" s="39" t="str">
        <f t="shared" si="113"/>
        <v/>
      </c>
      <c r="AB336" s="40" t="str">
        <f>IF(OR(L336="",V336=0),"",IF(AND(N(I336)&gt;0,N(INDEX('10-تشرين الأول'!$I$2:$I$501,V336))&gt;0,INDEX('10-تشرين الأول'!$F$2:$F$501,V336)=F336),N(I336)/N(INDEX('10-تشرين الأول'!$I$2:$I$501,V336))-1,""))</f>
        <v/>
      </c>
      <c r="AC336" t="str">
        <f>IF(L336="","",IF(AND($AO$2=1,ISNA(MATCH(L336,'12-كانون الأول'!$L$2:$L$501,0))),"محذوف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IF(L337="","",IF($AO$1=1,IFERROR(MATCH(L337,'10-تشرين الأول'!$L$2:$L$501,0),0),0))</f>
        <v/>
      </c>
      <c r="W337" t="str">
        <f t="shared" si="111"/>
        <v/>
      </c>
      <c r="X337" s="38" t="str">
        <f>IF(L337="","",IF(V337&gt;0,INDEX('10-تشرين الأول'!$P$2:$P$501,V337),IF($AO$1=1,0,"")))</f>
        <v/>
      </c>
      <c r="Y337" s="38" t="str">
        <f t="shared" si="112"/>
        <v/>
      </c>
      <c r="Z337" s="39" t="str">
        <f>IF(L337="","",IF(V337&gt;0,INDEX('10-تشرين الأول'!$Q$2:$Q$501,V337),IF($AO$1=1,0,"")))</f>
        <v/>
      </c>
      <c r="AA337" s="39" t="str">
        <f t="shared" si="113"/>
        <v/>
      </c>
      <c r="AB337" s="40" t="str">
        <f>IF(OR(L337="",V337=0),"",IF(AND(N(I337)&gt;0,N(INDEX('10-تشرين الأول'!$I$2:$I$501,V337))&gt;0,INDEX('10-تشرين الأول'!$F$2:$F$501,V337)=F337),N(I337)/N(INDEX('10-تشرين الأول'!$I$2:$I$501,V337))-1,""))</f>
        <v/>
      </c>
      <c r="AC337" t="str">
        <f>IF(L337="","",IF(AND($AO$2=1,ISNA(MATCH(L337,'12-كانون الأول'!$L$2:$L$501,0))),"محذوف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IF(L338="","",IF($AO$1=1,IFERROR(MATCH(L338,'10-تشرين الأول'!$L$2:$L$501,0),0),0))</f>
        <v/>
      </c>
      <c r="W338" t="str">
        <f t="shared" si="111"/>
        <v/>
      </c>
      <c r="X338" s="38" t="str">
        <f>IF(L338="","",IF(V338&gt;0,INDEX('10-تشرين الأول'!$P$2:$P$501,V338),IF($AO$1=1,0,"")))</f>
        <v/>
      </c>
      <c r="Y338" s="38" t="str">
        <f t="shared" si="112"/>
        <v/>
      </c>
      <c r="Z338" s="39" t="str">
        <f>IF(L338="","",IF(V338&gt;0,INDEX('10-تشرين الأول'!$Q$2:$Q$501,V338),IF($AO$1=1,0,"")))</f>
        <v/>
      </c>
      <c r="AA338" s="39" t="str">
        <f t="shared" si="113"/>
        <v/>
      </c>
      <c r="AB338" s="40" t="str">
        <f>IF(OR(L338="",V338=0),"",IF(AND(N(I338)&gt;0,N(INDEX('10-تشرين الأول'!$I$2:$I$501,V338))&gt;0,INDEX('10-تشرين الأول'!$F$2:$F$501,V338)=F338),N(I338)/N(INDEX('10-تشرين الأول'!$I$2:$I$501,V338))-1,""))</f>
        <v/>
      </c>
      <c r="AC338" t="str">
        <f>IF(L338="","",IF(AND($AO$2=1,ISNA(MATCH(L338,'12-كانون الأول'!$L$2:$L$501,0))),"محذوف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IF(L339="","",IF($AO$1=1,IFERROR(MATCH(L339,'10-تشرين الأول'!$L$2:$L$501,0),0),0))</f>
        <v/>
      </c>
      <c r="W339" t="str">
        <f t="shared" si="111"/>
        <v/>
      </c>
      <c r="X339" s="38" t="str">
        <f>IF(L339="","",IF(V339&gt;0,INDEX('10-تشرين الأول'!$P$2:$P$501,V339),IF($AO$1=1,0,"")))</f>
        <v/>
      </c>
      <c r="Y339" s="38" t="str">
        <f t="shared" si="112"/>
        <v/>
      </c>
      <c r="Z339" s="39" t="str">
        <f>IF(L339="","",IF(V339&gt;0,INDEX('10-تشرين الأول'!$Q$2:$Q$501,V339),IF($AO$1=1,0,"")))</f>
        <v/>
      </c>
      <c r="AA339" s="39" t="str">
        <f t="shared" si="113"/>
        <v/>
      </c>
      <c r="AB339" s="40" t="str">
        <f>IF(OR(L339="",V339=0),"",IF(AND(N(I339)&gt;0,N(INDEX('10-تشرين الأول'!$I$2:$I$501,V339))&gt;0,INDEX('10-تشرين الأول'!$F$2:$F$501,V339)=F339),N(I339)/N(INDEX('10-تشرين الأول'!$I$2:$I$501,V339))-1,""))</f>
        <v/>
      </c>
      <c r="AC339" t="str">
        <f>IF(L339="","",IF(AND($AO$2=1,ISNA(MATCH(L339,'12-كانون الأول'!$L$2:$L$501,0))),"محذوف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IF(L340="","",IF($AO$1=1,IFERROR(MATCH(L340,'10-تشرين الأول'!$L$2:$L$501,0),0),0))</f>
        <v/>
      </c>
      <c r="W340" t="str">
        <f t="shared" si="111"/>
        <v/>
      </c>
      <c r="X340" s="38" t="str">
        <f>IF(L340="","",IF(V340&gt;0,INDEX('10-تشرين الأول'!$P$2:$P$501,V340),IF($AO$1=1,0,"")))</f>
        <v/>
      </c>
      <c r="Y340" s="38" t="str">
        <f t="shared" si="112"/>
        <v/>
      </c>
      <c r="Z340" s="39" t="str">
        <f>IF(L340="","",IF(V340&gt;0,INDEX('10-تشرين الأول'!$Q$2:$Q$501,V340),IF($AO$1=1,0,"")))</f>
        <v/>
      </c>
      <c r="AA340" s="39" t="str">
        <f t="shared" si="113"/>
        <v/>
      </c>
      <c r="AB340" s="40" t="str">
        <f>IF(OR(L340="",V340=0),"",IF(AND(N(I340)&gt;0,N(INDEX('10-تشرين الأول'!$I$2:$I$501,V340))&gt;0,INDEX('10-تشرين الأول'!$F$2:$F$501,V340)=F340),N(I340)/N(INDEX('10-تشرين الأول'!$I$2:$I$501,V340))-1,""))</f>
        <v/>
      </c>
      <c r="AC340" t="str">
        <f>IF(L340="","",IF(AND($AO$2=1,ISNA(MATCH(L340,'12-كانون الأول'!$L$2:$L$501,0))),"محذوف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IF(L341="","",IF($AO$1=1,IFERROR(MATCH(L341,'10-تشرين الأول'!$L$2:$L$501,0),0),0))</f>
        <v/>
      </c>
      <c r="W341" t="str">
        <f t="shared" si="111"/>
        <v/>
      </c>
      <c r="X341" s="38" t="str">
        <f>IF(L341="","",IF(V341&gt;0,INDEX('10-تشرين الأول'!$P$2:$P$501,V341),IF($AO$1=1,0,"")))</f>
        <v/>
      </c>
      <c r="Y341" s="38" t="str">
        <f t="shared" si="112"/>
        <v/>
      </c>
      <c r="Z341" s="39" t="str">
        <f>IF(L341="","",IF(V341&gt;0,INDEX('10-تشرين الأول'!$Q$2:$Q$501,V341),IF($AO$1=1,0,"")))</f>
        <v/>
      </c>
      <c r="AA341" s="39" t="str">
        <f t="shared" si="113"/>
        <v/>
      </c>
      <c r="AB341" s="40" t="str">
        <f>IF(OR(L341="",V341=0),"",IF(AND(N(I341)&gt;0,N(INDEX('10-تشرين الأول'!$I$2:$I$501,V341))&gt;0,INDEX('10-تشرين الأول'!$F$2:$F$501,V341)=F341),N(I341)/N(INDEX('10-تشرين الأول'!$I$2:$I$501,V341))-1,""))</f>
        <v/>
      </c>
      <c r="AC341" t="str">
        <f>IF(L341="","",IF(AND($AO$2=1,ISNA(MATCH(L341,'12-كانون الأول'!$L$2:$L$501,0))),"محذوف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IF(L342="","",IF($AO$1=1,IFERROR(MATCH(L342,'10-تشرين الأول'!$L$2:$L$501,0),0),0))</f>
        <v/>
      </c>
      <c r="W342" t="str">
        <f t="shared" si="111"/>
        <v/>
      </c>
      <c r="X342" s="38" t="str">
        <f>IF(L342="","",IF(V342&gt;0,INDEX('10-تشرين الأول'!$P$2:$P$501,V342),IF($AO$1=1,0,"")))</f>
        <v/>
      </c>
      <c r="Y342" s="38" t="str">
        <f t="shared" si="112"/>
        <v/>
      </c>
      <c r="Z342" s="39" t="str">
        <f>IF(L342="","",IF(V342&gt;0,INDEX('10-تشرين الأول'!$Q$2:$Q$501,V342),IF($AO$1=1,0,"")))</f>
        <v/>
      </c>
      <c r="AA342" s="39" t="str">
        <f t="shared" si="113"/>
        <v/>
      </c>
      <c r="AB342" s="40" t="str">
        <f>IF(OR(L342="",V342=0),"",IF(AND(N(I342)&gt;0,N(INDEX('10-تشرين الأول'!$I$2:$I$501,V342))&gt;0,INDEX('10-تشرين الأول'!$F$2:$F$501,V342)=F342),N(I342)/N(INDEX('10-تشرين الأول'!$I$2:$I$501,V342))-1,""))</f>
        <v/>
      </c>
      <c r="AC342" t="str">
        <f>IF(L342="","",IF(AND($AO$2=1,ISNA(MATCH(L342,'12-كانون الأول'!$L$2:$L$501,0))),"محذوف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IF(L343="","",IF($AO$1=1,IFERROR(MATCH(L343,'10-تشرين الأول'!$L$2:$L$501,0),0),0))</f>
        <v/>
      </c>
      <c r="W343" t="str">
        <f t="shared" si="111"/>
        <v/>
      </c>
      <c r="X343" s="38" t="str">
        <f>IF(L343="","",IF(V343&gt;0,INDEX('10-تشرين الأول'!$P$2:$P$501,V343),IF($AO$1=1,0,"")))</f>
        <v/>
      </c>
      <c r="Y343" s="38" t="str">
        <f t="shared" si="112"/>
        <v/>
      </c>
      <c r="Z343" s="39" t="str">
        <f>IF(L343="","",IF(V343&gt;0,INDEX('10-تشرين الأول'!$Q$2:$Q$501,V343),IF($AO$1=1,0,"")))</f>
        <v/>
      </c>
      <c r="AA343" s="39" t="str">
        <f t="shared" si="113"/>
        <v/>
      </c>
      <c r="AB343" s="40" t="str">
        <f>IF(OR(L343="",V343=0),"",IF(AND(N(I343)&gt;0,N(INDEX('10-تشرين الأول'!$I$2:$I$501,V343))&gt;0,INDEX('10-تشرين الأول'!$F$2:$F$501,V343)=F343),N(I343)/N(INDEX('10-تشرين الأول'!$I$2:$I$501,V343))-1,""))</f>
        <v/>
      </c>
      <c r="AC343" t="str">
        <f>IF(L343="","",IF(AND($AO$2=1,ISNA(MATCH(L343,'12-كانون الأول'!$L$2:$L$501,0))),"محذوف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IF(L344="","",IF($AO$1=1,IFERROR(MATCH(L344,'10-تشرين الأول'!$L$2:$L$501,0),0),0))</f>
        <v/>
      </c>
      <c r="W344" t="str">
        <f t="shared" si="111"/>
        <v/>
      </c>
      <c r="X344" s="38" t="str">
        <f>IF(L344="","",IF(V344&gt;0,INDEX('10-تشرين الأول'!$P$2:$P$501,V344),IF($AO$1=1,0,"")))</f>
        <v/>
      </c>
      <c r="Y344" s="38" t="str">
        <f t="shared" si="112"/>
        <v/>
      </c>
      <c r="Z344" s="39" t="str">
        <f>IF(L344="","",IF(V344&gt;0,INDEX('10-تشرين الأول'!$Q$2:$Q$501,V344),IF($AO$1=1,0,"")))</f>
        <v/>
      </c>
      <c r="AA344" s="39" t="str">
        <f t="shared" si="113"/>
        <v/>
      </c>
      <c r="AB344" s="40" t="str">
        <f>IF(OR(L344="",V344=0),"",IF(AND(N(I344)&gt;0,N(INDEX('10-تشرين الأول'!$I$2:$I$501,V344))&gt;0,INDEX('10-تشرين الأول'!$F$2:$F$501,V344)=F344),N(I344)/N(INDEX('10-تشرين الأول'!$I$2:$I$501,V344))-1,""))</f>
        <v/>
      </c>
      <c r="AC344" t="str">
        <f>IF(L344="","",IF(AND($AO$2=1,ISNA(MATCH(L344,'12-كانون الأول'!$L$2:$L$501,0))),"محذوف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IF(L345="","",IF($AO$1=1,IFERROR(MATCH(L345,'10-تشرين الأول'!$L$2:$L$501,0),0),0))</f>
        <v/>
      </c>
      <c r="W345" t="str">
        <f t="shared" si="111"/>
        <v/>
      </c>
      <c r="X345" s="38" t="str">
        <f>IF(L345="","",IF(V345&gt;0,INDEX('10-تشرين الأول'!$P$2:$P$501,V345),IF($AO$1=1,0,"")))</f>
        <v/>
      </c>
      <c r="Y345" s="38" t="str">
        <f t="shared" si="112"/>
        <v/>
      </c>
      <c r="Z345" s="39" t="str">
        <f>IF(L345="","",IF(V345&gt;0,INDEX('10-تشرين الأول'!$Q$2:$Q$501,V345),IF($AO$1=1,0,"")))</f>
        <v/>
      </c>
      <c r="AA345" s="39" t="str">
        <f t="shared" si="113"/>
        <v/>
      </c>
      <c r="AB345" s="40" t="str">
        <f>IF(OR(L345="",V345=0),"",IF(AND(N(I345)&gt;0,N(INDEX('10-تشرين الأول'!$I$2:$I$501,V345))&gt;0,INDEX('10-تشرين الأول'!$F$2:$F$501,V345)=F345),N(I345)/N(INDEX('10-تشرين الأول'!$I$2:$I$501,V345))-1,""))</f>
        <v/>
      </c>
      <c r="AC345" t="str">
        <f>IF(L345="","",IF(AND($AO$2=1,ISNA(MATCH(L345,'12-كانون الأول'!$L$2:$L$501,0))),"محذوف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IF(L346="","",IF($AO$1=1,IFERROR(MATCH(L346,'10-تشرين الأول'!$L$2:$L$501,0),0),0))</f>
        <v/>
      </c>
      <c r="W346" t="str">
        <f t="shared" si="111"/>
        <v/>
      </c>
      <c r="X346" s="38" t="str">
        <f>IF(L346="","",IF(V346&gt;0,INDEX('10-تشرين الأول'!$P$2:$P$501,V346),IF($AO$1=1,0,"")))</f>
        <v/>
      </c>
      <c r="Y346" s="38" t="str">
        <f t="shared" si="112"/>
        <v/>
      </c>
      <c r="Z346" s="39" t="str">
        <f>IF(L346="","",IF(V346&gt;0,INDEX('10-تشرين الأول'!$Q$2:$Q$501,V346),IF($AO$1=1,0,"")))</f>
        <v/>
      </c>
      <c r="AA346" s="39" t="str">
        <f t="shared" si="113"/>
        <v/>
      </c>
      <c r="AB346" s="40" t="str">
        <f>IF(OR(L346="",V346=0),"",IF(AND(N(I346)&gt;0,N(INDEX('10-تشرين الأول'!$I$2:$I$501,V346))&gt;0,INDEX('10-تشرين الأول'!$F$2:$F$501,V346)=F346),N(I346)/N(INDEX('10-تشرين الأول'!$I$2:$I$501,V346))-1,""))</f>
        <v/>
      </c>
      <c r="AC346" t="str">
        <f>IF(L346="","",IF(AND($AO$2=1,ISNA(MATCH(L346,'12-كانون الأول'!$L$2:$L$501,0))),"محذوف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IF(L347="","",IF($AO$1=1,IFERROR(MATCH(L347,'10-تشرين الأول'!$L$2:$L$501,0),0),0))</f>
        <v/>
      </c>
      <c r="W347" t="str">
        <f t="shared" si="111"/>
        <v/>
      </c>
      <c r="X347" s="38" t="str">
        <f>IF(L347="","",IF(V347&gt;0,INDEX('10-تشرين الأول'!$P$2:$P$501,V347),IF($AO$1=1,0,"")))</f>
        <v/>
      </c>
      <c r="Y347" s="38" t="str">
        <f t="shared" si="112"/>
        <v/>
      </c>
      <c r="Z347" s="39" t="str">
        <f>IF(L347="","",IF(V347&gt;0,INDEX('10-تشرين الأول'!$Q$2:$Q$501,V347),IF($AO$1=1,0,"")))</f>
        <v/>
      </c>
      <c r="AA347" s="39" t="str">
        <f t="shared" si="113"/>
        <v/>
      </c>
      <c r="AB347" s="40" t="str">
        <f>IF(OR(L347="",V347=0),"",IF(AND(N(I347)&gt;0,N(INDEX('10-تشرين الأول'!$I$2:$I$501,V347))&gt;0,INDEX('10-تشرين الأول'!$F$2:$F$501,V347)=F347),N(I347)/N(INDEX('10-تشرين الأول'!$I$2:$I$501,V347))-1,""))</f>
        <v/>
      </c>
      <c r="AC347" t="str">
        <f>IF(L347="","",IF(AND($AO$2=1,ISNA(MATCH(L347,'12-كانون الأول'!$L$2:$L$501,0))),"محذوف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IF(L348="","",IF($AO$1=1,IFERROR(MATCH(L348,'10-تشرين الأول'!$L$2:$L$501,0),0),0))</f>
        <v/>
      </c>
      <c r="W348" t="str">
        <f t="shared" si="111"/>
        <v/>
      </c>
      <c r="X348" s="38" t="str">
        <f>IF(L348="","",IF(V348&gt;0,INDEX('10-تشرين الأول'!$P$2:$P$501,V348),IF($AO$1=1,0,"")))</f>
        <v/>
      </c>
      <c r="Y348" s="38" t="str">
        <f t="shared" si="112"/>
        <v/>
      </c>
      <c r="Z348" s="39" t="str">
        <f>IF(L348="","",IF(V348&gt;0,INDEX('10-تشرين الأول'!$Q$2:$Q$501,V348),IF($AO$1=1,0,"")))</f>
        <v/>
      </c>
      <c r="AA348" s="39" t="str">
        <f t="shared" si="113"/>
        <v/>
      </c>
      <c r="AB348" s="40" t="str">
        <f>IF(OR(L348="",V348=0),"",IF(AND(N(I348)&gt;0,N(INDEX('10-تشرين الأول'!$I$2:$I$501,V348))&gt;0,INDEX('10-تشرين الأول'!$F$2:$F$501,V348)=F348),N(I348)/N(INDEX('10-تشرين الأول'!$I$2:$I$501,V348))-1,""))</f>
        <v/>
      </c>
      <c r="AC348" t="str">
        <f>IF(L348="","",IF(AND($AO$2=1,ISNA(MATCH(L348,'12-كانون الأول'!$L$2:$L$501,0))),"محذوف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IF(L349="","",IF($AO$1=1,IFERROR(MATCH(L349,'10-تشرين الأول'!$L$2:$L$501,0),0),0))</f>
        <v/>
      </c>
      <c r="W349" t="str">
        <f t="shared" si="111"/>
        <v/>
      </c>
      <c r="X349" s="38" t="str">
        <f>IF(L349="","",IF(V349&gt;0,INDEX('10-تشرين الأول'!$P$2:$P$501,V349),IF($AO$1=1,0,"")))</f>
        <v/>
      </c>
      <c r="Y349" s="38" t="str">
        <f t="shared" si="112"/>
        <v/>
      </c>
      <c r="Z349" s="39" t="str">
        <f>IF(L349="","",IF(V349&gt;0,INDEX('10-تشرين الأول'!$Q$2:$Q$501,V349),IF($AO$1=1,0,"")))</f>
        <v/>
      </c>
      <c r="AA349" s="39" t="str">
        <f t="shared" si="113"/>
        <v/>
      </c>
      <c r="AB349" s="40" t="str">
        <f>IF(OR(L349="",V349=0),"",IF(AND(N(I349)&gt;0,N(INDEX('10-تشرين الأول'!$I$2:$I$501,V349))&gt;0,INDEX('10-تشرين الأول'!$F$2:$F$501,V349)=F349),N(I349)/N(INDEX('10-تشرين الأول'!$I$2:$I$501,V349))-1,""))</f>
        <v/>
      </c>
      <c r="AC349" t="str">
        <f>IF(L349="","",IF(AND($AO$2=1,ISNA(MATCH(L349,'12-كانون الأول'!$L$2:$L$501,0))),"محذوف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IF(L350="","",IF($AO$1=1,IFERROR(MATCH(L350,'10-تشرين الأول'!$L$2:$L$501,0),0),0))</f>
        <v/>
      </c>
      <c r="W350" t="str">
        <f t="shared" si="111"/>
        <v/>
      </c>
      <c r="X350" s="38" t="str">
        <f>IF(L350="","",IF(V350&gt;0,INDEX('10-تشرين الأول'!$P$2:$P$501,V350),IF($AO$1=1,0,"")))</f>
        <v/>
      </c>
      <c r="Y350" s="38" t="str">
        <f t="shared" si="112"/>
        <v/>
      </c>
      <c r="Z350" s="39" t="str">
        <f>IF(L350="","",IF(V350&gt;0,INDEX('10-تشرين الأول'!$Q$2:$Q$501,V350),IF($AO$1=1,0,"")))</f>
        <v/>
      </c>
      <c r="AA350" s="39" t="str">
        <f t="shared" si="113"/>
        <v/>
      </c>
      <c r="AB350" s="40" t="str">
        <f>IF(OR(L350="",V350=0),"",IF(AND(N(I350)&gt;0,N(INDEX('10-تشرين الأول'!$I$2:$I$501,V350))&gt;0,INDEX('10-تشرين الأول'!$F$2:$F$501,V350)=F350),N(I350)/N(INDEX('10-تشرين الأول'!$I$2:$I$501,V350))-1,""))</f>
        <v/>
      </c>
      <c r="AC350" t="str">
        <f>IF(L350="","",IF(AND($AO$2=1,ISNA(MATCH(L350,'12-كانون الأول'!$L$2:$L$501,0))),"محذوف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IF(L351="","",IF($AO$1=1,IFERROR(MATCH(L351,'10-تشرين الأول'!$L$2:$L$501,0),0),0))</f>
        <v/>
      </c>
      <c r="W351" t="str">
        <f t="shared" si="111"/>
        <v/>
      </c>
      <c r="X351" s="38" t="str">
        <f>IF(L351="","",IF(V351&gt;0,INDEX('10-تشرين الأول'!$P$2:$P$501,V351),IF($AO$1=1,0,"")))</f>
        <v/>
      </c>
      <c r="Y351" s="38" t="str">
        <f t="shared" si="112"/>
        <v/>
      </c>
      <c r="Z351" s="39" t="str">
        <f>IF(L351="","",IF(V351&gt;0,INDEX('10-تشرين الأول'!$Q$2:$Q$501,V351),IF($AO$1=1,0,"")))</f>
        <v/>
      </c>
      <c r="AA351" s="39" t="str">
        <f t="shared" si="113"/>
        <v/>
      </c>
      <c r="AB351" s="40" t="str">
        <f>IF(OR(L351="",V351=0),"",IF(AND(N(I351)&gt;0,N(INDEX('10-تشرين الأول'!$I$2:$I$501,V351))&gt;0,INDEX('10-تشرين الأول'!$F$2:$F$501,V351)=F351),N(I351)/N(INDEX('10-تشرين الأول'!$I$2:$I$501,V351))-1,""))</f>
        <v/>
      </c>
      <c r="AC351" t="str">
        <f>IF(L351="","",IF(AND($AO$2=1,ISNA(MATCH(L351,'12-كانون الأول'!$L$2:$L$501,0))),"محذوف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IF(L352="","",IF($AO$1=1,IFERROR(MATCH(L352,'10-تشرين الأول'!$L$2:$L$501,0),0),0))</f>
        <v/>
      </c>
      <c r="W352" t="str">
        <f t="shared" si="111"/>
        <v/>
      </c>
      <c r="X352" s="38" t="str">
        <f>IF(L352="","",IF(V352&gt;0,INDEX('10-تشرين الأول'!$P$2:$P$501,V352),IF($AO$1=1,0,"")))</f>
        <v/>
      </c>
      <c r="Y352" s="38" t="str">
        <f t="shared" si="112"/>
        <v/>
      </c>
      <c r="Z352" s="39" t="str">
        <f>IF(L352="","",IF(V352&gt;0,INDEX('10-تشرين الأول'!$Q$2:$Q$501,V352),IF($AO$1=1,0,"")))</f>
        <v/>
      </c>
      <c r="AA352" s="39" t="str">
        <f t="shared" si="113"/>
        <v/>
      </c>
      <c r="AB352" s="40" t="str">
        <f>IF(OR(L352="",V352=0),"",IF(AND(N(I352)&gt;0,N(INDEX('10-تشرين الأول'!$I$2:$I$501,V352))&gt;0,INDEX('10-تشرين الأول'!$F$2:$F$501,V352)=F352),N(I352)/N(INDEX('10-تشرين الأول'!$I$2:$I$501,V352))-1,""))</f>
        <v/>
      </c>
      <c r="AC352" t="str">
        <f>IF(L352="","",IF(AND($AO$2=1,ISNA(MATCH(L352,'12-كانون الأول'!$L$2:$L$501,0))),"محذوف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IF(L353="","",IF($AO$1=1,IFERROR(MATCH(L353,'10-تشرين الأول'!$L$2:$L$501,0),0),0))</f>
        <v/>
      </c>
      <c r="W353" t="str">
        <f t="shared" si="111"/>
        <v/>
      </c>
      <c r="X353" s="38" t="str">
        <f>IF(L353="","",IF(V353&gt;0,INDEX('10-تشرين الأول'!$P$2:$P$501,V353),IF($AO$1=1,0,"")))</f>
        <v/>
      </c>
      <c r="Y353" s="38" t="str">
        <f t="shared" si="112"/>
        <v/>
      </c>
      <c r="Z353" s="39" t="str">
        <f>IF(L353="","",IF(V353&gt;0,INDEX('10-تشرين الأول'!$Q$2:$Q$501,V353),IF($AO$1=1,0,"")))</f>
        <v/>
      </c>
      <c r="AA353" s="39" t="str">
        <f t="shared" si="113"/>
        <v/>
      </c>
      <c r="AB353" s="40" t="str">
        <f>IF(OR(L353="",V353=0),"",IF(AND(N(I353)&gt;0,N(INDEX('10-تشرين الأول'!$I$2:$I$501,V353))&gt;0,INDEX('10-تشرين الأول'!$F$2:$F$501,V353)=F353),N(I353)/N(INDEX('10-تشرين الأول'!$I$2:$I$501,V353))-1,""))</f>
        <v/>
      </c>
      <c r="AC353" t="str">
        <f>IF(L353="","",IF(AND($AO$2=1,ISNA(MATCH(L353,'12-كانون الأول'!$L$2:$L$501,0))),"محذوف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IF(L354="","",IF($AO$1=1,IFERROR(MATCH(L354,'10-تشرين الأول'!$L$2:$L$501,0),0),0))</f>
        <v/>
      </c>
      <c r="W354" t="str">
        <f t="shared" si="111"/>
        <v/>
      </c>
      <c r="X354" s="38" t="str">
        <f>IF(L354="","",IF(V354&gt;0,INDEX('10-تشرين الأول'!$P$2:$P$501,V354),IF($AO$1=1,0,"")))</f>
        <v/>
      </c>
      <c r="Y354" s="38" t="str">
        <f t="shared" si="112"/>
        <v/>
      </c>
      <c r="Z354" s="39" t="str">
        <f>IF(L354="","",IF(V354&gt;0,INDEX('10-تشرين الأول'!$Q$2:$Q$501,V354),IF($AO$1=1,0,"")))</f>
        <v/>
      </c>
      <c r="AA354" s="39" t="str">
        <f t="shared" si="113"/>
        <v/>
      </c>
      <c r="AB354" s="40" t="str">
        <f>IF(OR(L354="",V354=0),"",IF(AND(N(I354)&gt;0,N(INDEX('10-تشرين الأول'!$I$2:$I$501,V354))&gt;0,INDEX('10-تشرين الأول'!$F$2:$F$501,V354)=F354),N(I354)/N(INDEX('10-تشرين الأول'!$I$2:$I$501,V354))-1,""))</f>
        <v/>
      </c>
      <c r="AC354" t="str">
        <f>IF(L354="","",IF(AND($AO$2=1,ISNA(MATCH(L354,'12-كانون الأول'!$L$2:$L$501,0))),"محذوف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IF(L355="","",IF($AO$1=1,IFERROR(MATCH(L355,'10-تشرين الأول'!$L$2:$L$501,0),0),0))</f>
        <v/>
      </c>
      <c r="W355" t="str">
        <f t="shared" si="111"/>
        <v/>
      </c>
      <c r="X355" s="38" t="str">
        <f>IF(L355="","",IF(V355&gt;0,INDEX('10-تشرين الأول'!$P$2:$P$501,V355),IF($AO$1=1,0,"")))</f>
        <v/>
      </c>
      <c r="Y355" s="38" t="str">
        <f t="shared" si="112"/>
        <v/>
      </c>
      <c r="Z355" s="39" t="str">
        <f>IF(L355="","",IF(V355&gt;0,INDEX('10-تشرين الأول'!$Q$2:$Q$501,V355),IF($AO$1=1,0,"")))</f>
        <v/>
      </c>
      <c r="AA355" s="39" t="str">
        <f t="shared" si="113"/>
        <v/>
      </c>
      <c r="AB355" s="40" t="str">
        <f>IF(OR(L355="",V355=0),"",IF(AND(N(I355)&gt;0,N(INDEX('10-تشرين الأول'!$I$2:$I$501,V355))&gt;0,INDEX('10-تشرين الأول'!$F$2:$F$501,V355)=F355),N(I355)/N(INDEX('10-تشرين الأول'!$I$2:$I$501,V355))-1,""))</f>
        <v/>
      </c>
      <c r="AC355" t="str">
        <f>IF(L355="","",IF(AND($AO$2=1,ISNA(MATCH(L355,'12-كانون الأول'!$L$2:$L$501,0))),"محذوف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IF(L356="","",IF($AO$1=1,IFERROR(MATCH(L356,'10-تشرين الأول'!$L$2:$L$501,0),0),0))</f>
        <v/>
      </c>
      <c r="W356" t="str">
        <f t="shared" si="111"/>
        <v/>
      </c>
      <c r="X356" s="38" t="str">
        <f>IF(L356="","",IF(V356&gt;0,INDEX('10-تشرين الأول'!$P$2:$P$501,V356),IF($AO$1=1,0,"")))</f>
        <v/>
      </c>
      <c r="Y356" s="38" t="str">
        <f t="shared" si="112"/>
        <v/>
      </c>
      <c r="Z356" s="39" t="str">
        <f>IF(L356="","",IF(V356&gt;0,INDEX('10-تشرين الأول'!$Q$2:$Q$501,V356),IF($AO$1=1,0,"")))</f>
        <v/>
      </c>
      <c r="AA356" s="39" t="str">
        <f t="shared" si="113"/>
        <v/>
      </c>
      <c r="AB356" s="40" t="str">
        <f>IF(OR(L356="",V356=0),"",IF(AND(N(I356)&gt;0,N(INDEX('10-تشرين الأول'!$I$2:$I$501,V356))&gt;0,INDEX('10-تشرين الأول'!$F$2:$F$501,V356)=F356),N(I356)/N(INDEX('10-تشرين الأول'!$I$2:$I$501,V356))-1,""))</f>
        <v/>
      </c>
      <c r="AC356" t="str">
        <f>IF(L356="","",IF(AND($AO$2=1,ISNA(MATCH(L356,'12-كانون الأول'!$L$2:$L$501,0))),"محذوف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IF(L357="","",IF($AO$1=1,IFERROR(MATCH(L357,'10-تشرين الأول'!$L$2:$L$501,0),0),0))</f>
        <v/>
      </c>
      <c r="W357" t="str">
        <f t="shared" si="111"/>
        <v/>
      </c>
      <c r="X357" s="38" t="str">
        <f>IF(L357="","",IF(V357&gt;0,INDEX('10-تشرين الأول'!$P$2:$P$501,V357),IF($AO$1=1,0,"")))</f>
        <v/>
      </c>
      <c r="Y357" s="38" t="str">
        <f t="shared" si="112"/>
        <v/>
      </c>
      <c r="Z357" s="39" t="str">
        <f>IF(L357="","",IF(V357&gt;0,INDEX('10-تشرين الأول'!$Q$2:$Q$501,V357),IF($AO$1=1,0,"")))</f>
        <v/>
      </c>
      <c r="AA357" s="39" t="str">
        <f t="shared" si="113"/>
        <v/>
      </c>
      <c r="AB357" s="40" t="str">
        <f>IF(OR(L357="",V357=0),"",IF(AND(N(I357)&gt;0,N(INDEX('10-تشرين الأول'!$I$2:$I$501,V357))&gt;0,INDEX('10-تشرين الأول'!$F$2:$F$501,V357)=F357),N(I357)/N(INDEX('10-تشرين الأول'!$I$2:$I$501,V357))-1,""))</f>
        <v/>
      </c>
      <c r="AC357" t="str">
        <f>IF(L357="","",IF(AND($AO$2=1,ISNA(MATCH(L357,'12-كانون الأول'!$L$2:$L$501,0))),"محذوف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IF(L358="","",IF($AO$1=1,IFERROR(MATCH(L358,'10-تشرين الأول'!$L$2:$L$501,0),0),0))</f>
        <v/>
      </c>
      <c r="W358" t="str">
        <f t="shared" si="111"/>
        <v/>
      </c>
      <c r="X358" s="38" t="str">
        <f>IF(L358="","",IF(V358&gt;0,INDEX('10-تشرين الأول'!$P$2:$P$501,V358),IF($AO$1=1,0,"")))</f>
        <v/>
      </c>
      <c r="Y358" s="38" t="str">
        <f t="shared" si="112"/>
        <v/>
      </c>
      <c r="Z358" s="39" t="str">
        <f>IF(L358="","",IF(V358&gt;0,INDEX('10-تشرين الأول'!$Q$2:$Q$501,V358),IF($AO$1=1,0,"")))</f>
        <v/>
      </c>
      <c r="AA358" s="39" t="str">
        <f t="shared" si="113"/>
        <v/>
      </c>
      <c r="AB358" s="40" t="str">
        <f>IF(OR(L358="",V358=0),"",IF(AND(N(I358)&gt;0,N(INDEX('10-تشرين الأول'!$I$2:$I$501,V358))&gt;0,INDEX('10-تشرين الأول'!$F$2:$F$501,V358)=F358),N(I358)/N(INDEX('10-تشرين الأول'!$I$2:$I$501,V358))-1,""))</f>
        <v/>
      </c>
      <c r="AC358" t="str">
        <f>IF(L358="","",IF(AND($AO$2=1,ISNA(MATCH(L358,'12-كانون الأول'!$L$2:$L$501,0))),"محذوف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IF(L359="","",IF($AO$1=1,IFERROR(MATCH(L359,'10-تشرين الأول'!$L$2:$L$501,0),0),0))</f>
        <v/>
      </c>
      <c r="W359" t="str">
        <f t="shared" si="111"/>
        <v/>
      </c>
      <c r="X359" s="38" t="str">
        <f>IF(L359="","",IF(V359&gt;0,INDEX('10-تشرين الأول'!$P$2:$P$501,V359),IF($AO$1=1,0,"")))</f>
        <v/>
      </c>
      <c r="Y359" s="38" t="str">
        <f t="shared" si="112"/>
        <v/>
      </c>
      <c r="Z359" s="39" t="str">
        <f>IF(L359="","",IF(V359&gt;0,INDEX('10-تشرين الأول'!$Q$2:$Q$501,V359),IF($AO$1=1,0,"")))</f>
        <v/>
      </c>
      <c r="AA359" s="39" t="str">
        <f t="shared" si="113"/>
        <v/>
      </c>
      <c r="AB359" s="40" t="str">
        <f>IF(OR(L359="",V359=0),"",IF(AND(N(I359)&gt;0,N(INDEX('10-تشرين الأول'!$I$2:$I$501,V359))&gt;0,INDEX('10-تشرين الأول'!$F$2:$F$501,V359)=F359),N(I359)/N(INDEX('10-تشرين الأول'!$I$2:$I$501,V359))-1,""))</f>
        <v/>
      </c>
      <c r="AC359" t="str">
        <f>IF(L359="","",IF(AND($AO$2=1,ISNA(MATCH(L359,'12-كانون الأول'!$L$2:$L$501,0))),"محذوف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IF(L360="","",IF($AO$1=1,IFERROR(MATCH(L360,'10-تشرين الأول'!$L$2:$L$501,0),0),0))</f>
        <v/>
      </c>
      <c r="W360" t="str">
        <f t="shared" si="111"/>
        <v/>
      </c>
      <c r="X360" s="38" t="str">
        <f>IF(L360="","",IF(V360&gt;0,INDEX('10-تشرين الأول'!$P$2:$P$501,V360),IF($AO$1=1,0,"")))</f>
        <v/>
      </c>
      <c r="Y360" s="38" t="str">
        <f t="shared" si="112"/>
        <v/>
      </c>
      <c r="Z360" s="39" t="str">
        <f>IF(L360="","",IF(V360&gt;0,INDEX('10-تشرين الأول'!$Q$2:$Q$501,V360),IF($AO$1=1,0,"")))</f>
        <v/>
      </c>
      <c r="AA360" s="39" t="str">
        <f t="shared" si="113"/>
        <v/>
      </c>
      <c r="AB360" s="40" t="str">
        <f>IF(OR(L360="",V360=0),"",IF(AND(N(I360)&gt;0,N(INDEX('10-تشرين الأول'!$I$2:$I$501,V360))&gt;0,INDEX('10-تشرين الأول'!$F$2:$F$501,V360)=F360),N(I360)/N(INDEX('10-تشرين الأول'!$I$2:$I$501,V360))-1,""))</f>
        <v/>
      </c>
      <c r="AC360" t="str">
        <f>IF(L360="","",IF(AND($AO$2=1,ISNA(MATCH(L360,'12-كانون الأول'!$L$2:$L$501,0))),"محذوف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IF(L361="","",IF($AO$1=1,IFERROR(MATCH(L361,'10-تشرين الأول'!$L$2:$L$501,0),0),0))</f>
        <v/>
      </c>
      <c r="W361" t="str">
        <f t="shared" si="111"/>
        <v/>
      </c>
      <c r="X361" s="38" t="str">
        <f>IF(L361="","",IF(V361&gt;0,INDEX('10-تشرين الأول'!$P$2:$P$501,V361),IF($AO$1=1,0,"")))</f>
        <v/>
      </c>
      <c r="Y361" s="38" t="str">
        <f t="shared" si="112"/>
        <v/>
      </c>
      <c r="Z361" s="39" t="str">
        <f>IF(L361="","",IF(V361&gt;0,INDEX('10-تشرين الأول'!$Q$2:$Q$501,V361),IF($AO$1=1,0,"")))</f>
        <v/>
      </c>
      <c r="AA361" s="39" t="str">
        <f t="shared" si="113"/>
        <v/>
      </c>
      <c r="AB361" s="40" t="str">
        <f>IF(OR(L361="",V361=0),"",IF(AND(N(I361)&gt;0,N(INDEX('10-تشرين الأول'!$I$2:$I$501,V361))&gt;0,INDEX('10-تشرين الأول'!$F$2:$F$501,V361)=F361),N(I361)/N(INDEX('10-تشرين الأول'!$I$2:$I$501,V361))-1,""))</f>
        <v/>
      </c>
      <c r="AC361" t="str">
        <f>IF(L361="","",IF(AND($AO$2=1,ISNA(MATCH(L361,'12-كانون الأول'!$L$2:$L$501,0))),"محذوف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IF(L362="","",IF($AO$1=1,IFERROR(MATCH(L362,'10-تشرين الأول'!$L$2:$L$501,0),0),0))</f>
        <v/>
      </c>
      <c r="W362" t="str">
        <f t="shared" si="111"/>
        <v/>
      </c>
      <c r="X362" s="38" t="str">
        <f>IF(L362="","",IF(V362&gt;0,INDEX('10-تشرين الأول'!$P$2:$P$501,V362),IF($AO$1=1,0,"")))</f>
        <v/>
      </c>
      <c r="Y362" s="38" t="str">
        <f t="shared" si="112"/>
        <v/>
      </c>
      <c r="Z362" s="39" t="str">
        <f>IF(L362="","",IF(V362&gt;0,INDEX('10-تشرين الأول'!$Q$2:$Q$501,V362),IF($AO$1=1,0,"")))</f>
        <v/>
      </c>
      <c r="AA362" s="39" t="str">
        <f t="shared" si="113"/>
        <v/>
      </c>
      <c r="AB362" s="40" t="str">
        <f>IF(OR(L362="",V362=0),"",IF(AND(N(I362)&gt;0,N(INDEX('10-تشرين الأول'!$I$2:$I$501,V362))&gt;0,INDEX('10-تشرين الأول'!$F$2:$F$501,V362)=F362),N(I362)/N(INDEX('10-تشرين الأول'!$I$2:$I$501,V362))-1,""))</f>
        <v/>
      </c>
      <c r="AC362" t="str">
        <f>IF(L362="","",IF(AND($AO$2=1,ISNA(MATCH(L362,'12-كانون الأول'!$L$2:$L$501,0))),"محذوف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IF(L363="","",IF($AO$1=1,IFERROR(MATCH(L363,'10-تشرين الأول'!$L$2:$L$501,0),0),0))</f>
        <v/>
      </c>
      <c r="W363" t="str">
        <f t="shared" si="111"/>
        <v/>
      </c>
      <c r="X363" s="38" t="str">
        <f>IF(L363="","",IF(V363&gt;0,INDEX('10-تشرين الأول'!$P$2:$P$501,V363),IF($AO$1=1,0,"")))</f>
        <v/>
      </c>
      <c r="Y363" s="38" t="str">
        <f t="shared" si="112"/>
        <v/>
      </c>
      <c r="Z363" s="39" t="str">
        <f>IF(L363="","",IF(V363&gt;0,INDEX('10-تشرين الأول'!$Q$2:$Q$501,V363),IF($AO$1=1,0,"")))</f>
        <v/>
      </c>
      <c r="AA363" s="39" t="str">
        <f t="shared" si="113"/>
        <v/>
      </c>
      <c r="AB363" s="40" t="str">
        <f>IF(OR(L363="",V363=0),"",IF(AND(N(I363)&gt;0,N(INDEX('10-تشرين الأول'!$I$2:$I$501,V363))&gt;0,INDEX('10-تشرين الأول'!$F$2:$F$501,V363)=F363),N(I363)/N(INDEX('10-تشرين الأول'!$I$2:$I$501,V363))-1,""))</f>
        <v/>
      </c>
      <c r="AC363" t="str">
        <f>IF(L363="","",IF(AND($AO$2=1,ISNA(MATCH(L363,'12-كانون الأول'!$L$2:$L$501,0))),"محذوف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IF(L364="","",IF($AO$1=1,IFERROR(MATCH(L364,'10-تشرين الأول'!$L$2:$L$501,0),0),0))</f>
        <v/>
      </c>
      <c r="W364" t="str">
        <f t="shared" si="111"/>
        <v/>
      </c>
      <c r="X364" s="38" t="str">
        <f>IF(L364="","",IF(V364&gt;0,INDEX('10-تشرين الأول'!$P$2:$P$501,V364),IF($AO$1=1,0,"")))</f>
        <v/>
      </c>
      <c r="Y364" s="38" t="str">
        <f t="shared" si="112"/>
        <v/>
      </c>
      <c r="Z364" s="39" t="str">
        <f>IF(L364="","",IF(V364&gt;0,INDEX('10-تشرين الأول'!$Q$2:$Q$501,V364),IF($AO$1=1,0,"")))</f>
        <v/>
      </c>
      <c r="AA364" s="39" t="str">
        <f t="shared" si="113"/>
        <v/>
      </c>
      <c r="AB364" s="40" t="str">
        <f>IF(OR(L364="",V364=0),"",IF(AND(N(I364)&gt;0,N(INDEX('10-تشرين الأول'!$I$2:$I$501,V364))&gt;0,INDEX('10-تشرين الأول'!$F$2:$F$501,V364)=F364),N(I364)/N(INDEX('10-تشرين الأول'!$I$2:$I$501,V364))-1,""))</f>
        <v/>
      </c>
      <c r="AC364" t="str">
        <f>IF(L364="","",IF(AND($AO$2=1,ISNA(MATCH(L364,'12-كانون الأول'!$L$2:$L$501,0))),"محذوف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IF(L365="","",IF($AO$1=1,IFERROR(MATCH(L365,'10-تشرين الأول'!$L$2:$L$501,0),0),0))</f>
        <v/>
      </c>
      <c r="W365" t="str">
        <f t="shared" si="111"/>
        <v/>
      </c>
      <c r="X365" s="38" t="str">
        <f>IF(L365="","",IF(V365&gt;0,INDEX('10-تشرين الأول'!$P$2:$P$501,V365),IF($AO$1=1,0,"")))</f>
        <v/>
      </c>
      <c r="Y365" s="38" t="str">
        <f t="shared" si="112"/>
        <v/>
      </c>
      <c r="Z365" s="39" t="str">
        <f>IF(L365="","",IF(V365&gt;0,INDEX('10-تشرين الأول'!$Q$2:$Q$501,V365),IF($AO$1=1,0,"")))</f>
        <v/>
      </c>
      <c r="AA365" s="39" t="str">
        <f t="shared" si="113"/>
        <v/>
      </c>
      <c r="AB365" s="40" t="str">
        <f>IF(OR(L365="",V365=0),"",IF(AND(N(I365)&gt;0,N(INDEX('10-تشرين الأول'!$I$2:$I$501,V365))&gt;0,INDEX('10-تشرين الأول'!$F$2:$F$501,V365)=F365),N(I365)/N(INDEX('10-تشرين الأول'!$I$2:$I$501,V365))-1,""))</f>
        <v/>
      </c>
      <c r="AC365" t="str">
        <f>IF(L365="","",IF(AND($AO$2=1,ISNA(MATCH(L365,'12-كانون الأول'!$L$2:$L$501,0))),"محذوف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IF(L366="","",IF($AO$1=1,IFERROR(MATCH(L366,'10-تشرين الأول'!$L$2:$L$501,0),0),0))</f>
        <v/>
      </c>
      <c r="W366" t="str">
        <f t="shared" si="111"/>
        <v/>
      </c>
      <c r="X366" s="38" t="str">
        <f>IF(L366="","",IF(V366&gt;0,INDEX('10-تشرين الأول'!$P$2:$P$501,V366),IF($AO$1=1,0,"")))</f>
        <v/>
      </c>
      <c r="Y366" s="38" t="str">
        <f t="shared" si="112"/>
        <v/>
      </c>
      <c r="Z366" s="39" t="str">
        <f>IF(L366="","",IF(V366&gt;0,INDEX('10-تشرين الأول'!$Q$2:$Q$501,V366),IF($AO$1=1,0,"")))</f>
        <v/>
      </c>
      <c r="AA366" s="39" t="str">
        <f t="shared" si="113"/>
        <v/>
      </c>
      <c r="AB366" s="40" t="str">
        <f>IF(OR(L366="",V366=0),"",IF(AND(N(I366)&gt;0,N(INDEX('10-تشرين الأول'!$I$2:$I$501,V366))&gt;0,INDEX('10-تشرين الأول'!$F$2:$F$501,V366)=F366),N(I366)/N(INDEX('10-تشرين الأول'!$I$2:$I$501,V366))-1,""))</f>
        <v/>
      </c>
      <c r="AC366" t="str">
        <f>IF(L366="","",IF(AND($AO$2=1,ISNA(MATCH(L366,'12-كانون الأول'!$L$2:$L$501,0))),"محذوف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IF(L367="","",IF($AO$1=1,IFERROR(MATCH(L367,'10-تشرين الأول'!$L$2:$L$501,0),0),0))</f>
        <v/>
      </c>
      <c r="W367" t="str">
        <f t="shared" si="111"/>
        <v/>
      </c>
      <c r="X367" s="38" t="str">
        <f>IF(L367="","",IF(V367&gt;0,INDEX('10-تشرين الأول'!$P$2:$P$501,V367),IF($AO$1=1,0,"")))</f>
        <v/>
      </c>
      <c r="Y367" s="38" t="str">
        <f t="shared" si="112"/>
        <v/>
      </c>
      <c r="Z367" s="39" t="str">
        <f>IF(L367="","",IF(V367&gt;0,INDEX('10-تشرين الأول'!$Q$2:$Q$501,V367),IF($AO$1=1,0,"")))</f>
        <v/>
      </c>
      <c r="AA367" s="39" t="str">
        <f t="shared" si="113"/>
        <v/>
      </c>
      <c r="AB367" s="40" t="str">
        <f>IF(OR(L367="",V367=0),"",IF(AND(N(I367)&gt;0,N(INDEX('10-تشرين الأول'!$I$2:$I$501,V367))&gt;0,INDEX('10-تشرين الأول'!$F$2:$F$501,V367)=F367),N(I367)/N(INDEX('10-تشرين الأول'!$I$2:$I$501,V367))-1,""))</f>
        <v/>
      </c>
      <c r="AC367" t="str">
        <f>IF(L367="","",IF(AND($AO$2=1,ISNA(MATCH(L367,'12-كانون الأول'!$L$2:$L$501,0))),"محذوف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IF(L368="","",IF($AO$1=1,IFERROR(MATCH(L368,'10-تشرين الأول'!$L$2:$L$501,0),0),0))</f>
        <v/>
      </c>
      <c r="W368" t="str">
        <f t="shared" si="111"/>
        <v/>
      </c>
      <c r="X368" s="38" t="str">
        <f>IF(L368="","",IF(V368&gt;0,INDEX('10-تشرين الأول'!$P$2:$P$501,V368),IF($AO$1=1,0,"")))</f>
        <v/>
      </c>
      <c r="Y368" s="38" t="str">
        <f t="shared" si="112"/>
        <v/>
      </c>
      <c r="Z368" s="39" t="str">
        <f>IF(L368="","",IF(V368&gt;0,INDEX('10-تشرين الأول'!$Q$2:$Q$501,V368),IF($AO$1=1,0,"")))</f>
        <v/>
      </c>
      <c r="AA368" s="39" t="str">
        <f t="shared" si="113"/>
        <v/>
      </c>
      <c r="AB368" s="40" t="str">
        <f>IF(OR(L368="",V368=0),"",IF(AND(N(I368)&gt;0,N(INDEX('10-تشرين الأول'!$I$2:$I$501,V368))&gt;0,INDEX('10-تشرين الأول'!$F$2:$F$501,V368)=F368),N(I368)/N(INDEX('10-تشرين الأول'!$I$2:$I$501,V368))-1,""))</f>
        <v/>
      </c>
      <c r="AC368" t="str">
        <f>IF(L368="","",IF(AND($AO$2=1,ISNA(MATCH(L368,'12-كانون الأول'!$L$2:$L$501,0))),"محذوف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IF(L369="","",IF($AO$1=1,IFERROR(MATCH(L369,'10-تشرين الأول'!$L$2:$L$501,0),0),0))</f>
        <v/>
      </c>
      <c r="W369" t="str">
        <f t="shared" si="111"/>
        <v/>
      </c>
      <c r="X369" s="38" t="str">
        <f>IF(L369="","",IF(V369&gt;0,INDEX('10-تشرين الأول'!$P$2:$P$501,V369),IF($AO$1=1,0,"")))</f>
        <v/>
      </c>
      <c r="Y369" s="38" t="str">
        <f t="shared" si="112"/>
        <v/>
      </c>
      <c r="Z369" s="39" t="str">
        <f>IF(L369="","",IF(V369&gt;0,INDEX('10-تشرين الأول'!$Q$2:$Q$501,V369),IF($AO$1=1,0,"")))</f>
        <v/>
      </c>
      <c r="AA369" s="39" t="str">
        <f t="shared" si="113"/>
        <v/>
      </c>
      <c r="AB369" s="40" t="str">
        <f>IF(OR(L369="",V369=0),"",IF(AND(N(I369)&gt;0,N(INDEX('10-تشرين الأول'!$I$2:$I$501,V369))&gt;0,INDEX('10-تشرين الأول'!$F$2:$F$501,V369)=F369),N(I369)/N(INDEX('10-تشرين الأول'!$I$2:$I$501,V369))-1,""))</f>
        <v/>
      </c>
      <c r="AC369" t="str">
        <f>IF(L369="","",IF(AND($AO$2=1,ISNA(MATCH(L369,'12-كانون الأول'!$L$2:$L$501,0))),"محذوف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IF(L370="","",IF($AO$1=1,IFERROR(MATCH(L370,'10-تشرين الأول'!$L$2:$L$501,0),0),0))</f>
        <v/>
      </c>
      <c r="W370" t="str">
        <f t="shared" si="111"/>
        <v/>
      </c>
      <c r="X370" s="38" t="str">
        <f>IF(L370="","",IF(V370&gt;0,INDEX('10-تشرين الأول'!$P$2:$P$501,V370),IF($AO$1=1,0,"")))</f>
        <v/>
      </c>
      <c r="Y370" s="38" t="str">
        <f t="shared" si="112"/>
        <v/>
      </c>
      <c r="Z370" s="39" t="str">
        <f>IF(L370="","",IF(V370&gt;0,INDEX('10-تشرين الأول'!$Q$2:$Q$501,V370),IF($AO$1=1,0,"")))</f>
        <v/>
      </c>
      <c r="AA370" s="39" t="str">
        <f t="shared" si="113"/>
        <v/>
      </c>
      <c r="AB370" s="40" t="str">
        <f>IF(OR(L370="",V370=0),"",IF(AND(N(I370)&gt;0,N(INDEX('10-تشرين الأول'!$I$2:$I$501,V370))&gt;0,INDEX('10-تشرين الأول'!$F$2:$F$501,V370)=F370),N(I370)/N(INDEX('10-تشرين الأول'!$I$2:$I$501,V370))-1,""))</f>
        <v/>
      </c>
      <c r="AC370" t="str">
        <f>IF(L370="","",IF(AND($AO$2=1,ISNA(MATCH(L370,'12-كانون الأول'!$L$2:$L$501,0))),"محذوف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IF(L371="","",IF($AO$1=1,IFERROR(MATCH(L371,'10-تشرين الأول'!$L$2:$L$501,0),0),0))</f>
        <v/>
      </c>
      <c r="W371" t="str">
        <f t="shared" si="111"/>
        <v/>
      </c>
      <c r="X371" s="38" t="str">
        <f>IF(L371="","",IF(V371&gt;0,INDEX('10-تشرين الأول'!$P$2:$P$501,V371),IF($AO$1=1,0,"")))</f>
        <v/>
      </c>
      <c r="Y371" s="38" t="str">
        <f t="shared" si="112"/>
        <v/>
      </c>
      <c r="Z371" s="39" t="str">
        <f>IF(L371="","",IF(V371&gt;0,INDEX('10-تشرين الأول'!$Q$2:$Q$501,V371),IF($AO$1=1,0,"")))</f>
        <v/>
      </c>
      <c r="AA371" s="39" t="str">
        <f t="shared" si="113"/>
        <v/>
      </c>
      <c r="AB371" s="40" t="str">
        <f>IF(OR(L371="",V371=0),"",IF(AND(N(I371)&gt;0,N(INDEX('10-تشرين الأول'!$I$2:$I$501,V371))&gt;0,INDEX('10-تشرين الأول'!$F$2:$F$501,V371)=F371),N(I371)/N(INDEX('10-تشرين الأول'!$I$2:$I$501,V371))-1,""))</f>
        <v/>
      </c>
      <c r="AC371" t="str">
        <f>IF(L371="","",IF(AND($AO$2=1,ISNA(MATCH(L371,'12-كانون الأول'!$L$2:$L$501,0))),"محذوف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IF(L372="","",IF($AO$1=1,IFERROR(MATCH(L372,'10-تشرين الأول'!$L$2:$L$501,0),0),0))</f>
        <v/>
      </c>
      <c r="W372" t="str">
        <f t="shared" si="111"/>
        <v/>
      </c>
      <c r="X372" s="38" t="str">
        <f>IF(L372="","",IF(V372&gt;0,INDEX('10-تشرين الأول'!$P$2:$P$501,V372),IF($AO$1=1,0,"")))</f>
        <v/>
      </c>
      <c r="Y372" s="38" t="str">
        <f t="shared" si="112"/>
        <v/>
      </c>
      <c r="Z372" s="39" t="str">
        <f>IF(L372="","",IF(V372&gt;0,INDEX('10-تشرين الأول'!$Q$2:$Q$501,V372),IF($AO$1=1,0,"")))</f>
        <v/>
      </c>
      <c r="AA372" s="39" t="str">
        <f t="shared" si="113"/>
        <v/>
      </c>
      <c r="AB372" s="40" t="str">
        <f>IF(OR(L372="",V372=0),"",IF(AND(N(I372)&gt;0,N(INDEX('10-تشرين الأول'!$I$2:$I$501,V372))&gt;0,INDEX('10-تشرين الأول'!$F$2:$F$501,V372)=F372),N(I372)/N(INDEX('10-تشرين الأول'!$I$2:$I$501,V372))-1,""))</f>
        <v/>
      </c>
      <c r="AC372" t="str">
        <f>IF(L372="","",IF(AND($AO$2=1,ISNA(MATCH(L372,'12-كانون الأول'!$L$2:$L$501,0))),"محذوف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IF(L373="","",IF($AO$1=1,IFERROR(MATCH(L373,'10-تشرين الأول'!$L$2:$L$501,0),0),0))</f>
        <v/>
      </c>
      <c r="W373" t="str">
        <f t="shared" si="111"/>
        <v/>
      </c>
      <c r="X373" s="38" t="str">
        <f>IF(L373="","",IF(V373&gt;0,INDEX('10-تشرين الأول'!$P$2:$P$501,V373),IF($AO$1=1,0,"")))</f>
        <v/>
      </c>
      <c r="Y373" s="38" t="str">
        <f t="shared" si="112"/>
        <v/>
      </c>
      <c r="Z373" s="39" t="str">
        <f>IF(L373="","",IF(V373&gt;0,INDEX('10-تشرين الأول'!$Q$2:$Q$501,V373),IF($AO$1=1,0,"")))</f>
        <v/>
      </c>
      <c r="AA373" s="39" t="str">
        <f t="shared" si="113"/>
        <v/>
      </c>
      <c r="AB373" s="40" t="str">
        <f>IF(OR(L373="",V373=0),"",IF(AND(N(I373)&gt;0,N(INDEX('10-تشرين الأول'!$I$2:$I$501,V373))&gt;0,INDEX('10-تشرين الأول'!$F$2:$F$501,V373)=F373),N(I373)/N(INDEX('10-تشرين الأول'!$I$2:$I$501,V373))-1,""))</f>
        <v/>
      </c>
      <c r="AC373" t="str">
        <f>IF(L373="","",IF(AND($AO$2=1,ISNA(MATCH(L373,'12-كانون الأول'!$L$2:$L$501,0))),"محذوف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IF(L374="","",IF($AO$1=1,IFERROR(MATCH(L374,'10-تشرين الأول'!$L$2:$L$501,0),0),0))</f>
        <v/>
      </c>
      <c r="W374" t="str">
        <f t="shared" si="111"/>
        <v/>
      </c>
      <c r="X374" s="38" t="str">
        <f>IF(L374="","",IF(V374&gt;0,INDEX('10-تشرين الأول'!$P$2:$P$501,V374),IF($AO$1=1,0,"")))</f>
        <v/>
      </c>
      <c r="Y374" s="38" t="str">
        <f t="shared" si="112"/>
        <v/>
      </c>
      <c r="Z374" s="39" t="str">
        <f>IF(L374="","",IF(V374&gt;0,INDEX('10-تشرين الأول'!$Q$2:$Q$501,V374),IF($AO$1=1,0,"")))</f>
        <v/>
      </c>
      <c r="AA374" s="39" t="str">
        <f t="shared" si="113"/>
        <v/>
      </c>
      <c r="AB374" s="40" t="str">
        <f>IF(OR(L374="",V374=0),"",IF(AND(N(I374)&gt;0,N(INDEX('10-تشرين الأول'!$I$2:$I$501,V374))&gt;0,INDEX('10-تشرين الأول'!$F$2:$F$501,V374)=F374),N(I374)/N(INDEX('10-تشرين الأول'!$I$2:$I$501,V374))-1,""))</f>
        <v/>
      </c>
      <c r="AC374" t="str">
        <f>IF(L374="","",IF(AND($AO$2=1,ISNA(MATCH(L374,'12-كانون الأول'!$L$2:$L$501,0))),"محذوف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IF(L375="","",IF($AO$1=1,IFERROR(MATCH(L375,'10-تشرين الأول'!$L$2:$L$501,0),0),0))</f>
        <v/>
      </c>
      <c r="W375" t="str">
        <f t="shared" si="111"/>
        <v/>
      </c>
      <c r="X375" s="38" t="str">
        <f>IF(L375="","",IF(V375&gt;0,INDEX('10-تشرين الأول'!$P$2:$P$501,V375),IF($AO$1=1,0,"")))</f>
        <v/>
      </c>
      <c r="Y375" s="38" t="str">
        <f t="shared" si="112"/>
        <v/>
      </c>
      <c r="Z375" s="39" t="str">
        <f>IF(L375="","",IF(V375&gt;0,INDEX('10-تشرين الأول'!$Q$2:$Q$501,V375),IF($AO$1=1,0,"")))</f>
        <v/>
      </c>
      <c r="AA375" s="39" t="str">
        <f t="shared" si="113"/>
        <v/>
      </c>
      <c r="AB375" s="40" t="str">
        <f>IF(OR(L375="",V375=0),"",IF(AND(N(I375)&gt;0,N(INDEX('10-تشرين الأول'!$I$2:$I$501,V375))&gt;0,INDEX('10-تشرين الأول'!$F$2:$F$501,V375)=F375),N(I375)/N(INDEX('10-تشرين الأول'!$I$2:$I$501,V375))-1,""))</f>
        <v/>
      </c>
      <c r="AC375" t="str">
        <f>IF(L375="","",IF(AND($AO$2=1,ISNA(MATCH(L375,'12-كانون الأول'!$L$2:$L$501,0))),"محذوف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IF(L376="","",IF($AO$1=1,IFERROR(MATCH(L376,'10-تشرين الأول'!$L$2:$L$501,0),0),0))</f>
        <v/>
      </c>
      <c r="W376" t="str">
        <f t="shared" si="111"/>
        <v/>
      </c>
      <c r="X376" s="38" t="str">
        <f>IF(L376="","",IF(V376&gt;0,INDEX('10-تشرين الأول'!$P$2:$P$501,V376),IF($AO$1=1,0,"")))</f>
        <v/>
      </c>
      <c r="Y376" s="38" t="str">
        <f t="shared" si="112"/>
        <v/>
      </c>
      <c r="Z376" s="39" t="str">
        <f>IF(L376="","",IF(V376&gt;0,INDEX('10-تشرين الأول'!$Q$2:$Q$501,V376),IF($AO$1=1,0,"")))</f>
        <v/>
      </c>
      <c r="AA376" s="39" t="str">
        <f t="shared" si="113"/>
        <v/>
      </c>
      <c r="AB376" s="40" t="str">
        <f>IF(OR(L376="",V376=0),"",IF(AND(N(I376)&gt;0,N(INDEX('10-تشرين الأول'!$I$2:$I$501,V376))&gt;0,INDEX('10-تشرين الأول'!$F$2:$F$501,V376)=F376),N(I376)/N(INDEX('10-تشرين الأول'!$I$2:$I$501,V376))-1,""))</f>
        <v/>
      </c>
      <c r="AC376" t="str">
        <f>IF(L376="","",IF(AND($AO$2=1,ISNA(MATCH(L376,'12-كانون الأول'!$L$2:$L$501,0))),"محذوف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IF(L377="","",IF($AO$1=1,IFERROR(MATCH(L377,'10-تشرين الأول'!$L$2:$L$501,0),0),0))</f>
        <v/>
      </c>
      <c r="W377" t="str">
        <f t="shared" si="111"/>
        <v/>
      </c>
      <c r="X377" s="38" t="str">
        <f>IF(L377="","",IF(V377&gt;0,INDEX('10-تشرين الأول'!$P$2:$P$501,V377),IF($AO$1=1,0,"")))</f>
        <v/>
      </c>
      <c r="Y377" s="38" t="str">
        <f t="shared" si="112"/>
        <v/>
      </c>
      <c r="Z377" s="39" t="str">
        <f>IF(L377="","",IF(V377&gt;0,INDEX('10-تشرين الأول'!$Q$2:$Q$501,V377),IF($AO$1=1,0,"")))</f>
        <v/>
      </c>
      <c r="AA377" s="39" t="str">
        <f t="shared" si="113"/>
        <v/>
      </c>
      <c r="AB377" s="40" t="str">
        <f>IF(OR(L377="",V377=0),"",IF(AND(N(I377)&gt;0,N(INDEX('10-تشرين الأول'!$I$2:$I$501,V377))&gt;0,INDEX('10-تشرين الأول'!$F$2:$F$501,V377)=F377),N(I377)/N(INDEX('10-تشرين الأول'!$I$2:$I$501,V377))-1,""))</f>
        <v/>
      </c>
      <c r="AC377" t="str">
        <f>IF(L377="","",IF(AND($AO$2=1,ISNA(MATCH(L377,'12-كانون الأول'!$L$2:$L$501,0))),"محذوف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IF(L378="","",IF($AO$1=1,IFERROR(MATCH(L378,'10-تشرين الأول'!$L$2:$L$501,0),0),0))</f>
        <v/>
      </c>
      <c r="W378" t="str">
        <f t="shared" si="111"/>
        <v/>
      </c>
      <c r="X378" s="38" t="str">
        <f>IF(L378="","",IF(V378&gt;0,INDEX('10-تشرين الأول'!$P$2:$P$501,V378),IF($AO$1=1,0,"")))</f>
        <v/>
      </c>
      <c r="Y378" s="38" t="str">
        <f t="shared" si="112"/>
        <v/>
      </c>
      <c r="Z378" s="39" t="str">
        <f>IF(L378="","",IF(V378&gt;0,INDEX('10-تشرين الأول'!$Q$2:$Q$501,V378),IF($AO$1=1,0,"")))</f>
        <v/>
      </c>
      <c r="AA378" s="39" t="str">
        <f t="shared" si="113"/>
        <v/>
      </c>
      <c r="AB378" s="40" t="str">
        <f>IF(OR(L378="",V378=0),"",IF(AND(N(I378)&gt;0,N(INDEX('10-تشرين الأول'!$I$2:$I$501,V378))&gt;0,INDEX('10-تشرين الأول'!$F$2:$F$501,V378)=F378),N(I378)/N(INDEX('10-تشرين الأول'!$I$2:$I$501,V378))-1,""))</f>
        <v/>
      </c>
      <c r="AC378" t="str">
        <f>IF(L378="","",IF(AND($AO$2=1,ISNA(MATCH(L378,'12-كانون الأول'!$L$2:$L$501,0))),"محذوف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IF(L379="","",IF($AO$1=1,IFERROR(MATCH(L379,'10-تشرين الأول'!$L$2:$L$501,0),0),0))</f>
        <v/>
      </c>
      <c r="W379" t="str">
        <f t="shared" si="111"/>
        <v/>
      </c>
      <c r="X379" s="38" t="str">
        <f>IF(L379="","",IF(V379&gt;0,INDEX('10-تشرين الأول'!$P$2:$P$501,V379),IF($AO$1=1,0,"")))</f>
        <v/>
      </c>
      <c r="Y379" s="38" t="str">
        <f t="shared" si="112"/>
        <v/>
      </c>
      <c r="Z379" s="39" t="str">
        <f>IF(L379="","",IF(V379&gt;0,INDEX('10-تشرين الأول'!$Q$2:$Q$501,V379),IF($AO$1=1,0,"")))</f>
        <v/>
      </c>
      <c r="AA379" s="39" t="str">
        <f t="shared" si="113"/>
        <v/>
      </c>
      <c r="AB379" s="40" t="str">
        <f>IF(OR(L379="",V379=0),"",IF(AND(N(I379)&gt;0,N(INDEX('10-تشرين الأول'!$I$2:$I$501,V379))&gt;0,INDEX('10-تشرين الأول'!$F$2:$F$501,V379)=F379),N(I379)/N(INDEX('10-تشرين الأول'!$I$2:$I$501,V379))-1,""))</f>
        <v/>
      </c>
      <c r="AC379" t="str">
        <f>IF(L379="","",IF(AND($AO$2=1,ISNA(MATCH(L379,'12-كانون الأول'!$L$2:$L$501,0))),"محذوف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IF(L380="","",IF($AO$1=1,IFERROR(MATCH(L380,'10-تشرين الأول'!$L$2:$L$501,0),0),0))</f>
        <v/>
      </c>
      <c r="W380" t="str">
        <f t="shared" si="111"/>
        <v/>
      </c>
      <c r="X380" s="38" t="str">
        <f>IF(L380="","",IF(V380&gt;0,INDEX('10-تشرين الأول'!$P$2:$P$501,V380),IF($AO$1=1,0,"")))</f>
        <v/>
      </c>
      <c r="Y380" s="38" t="str">
        <f t="shared" si="112"/>
        <v/>
      </c>
      <c r="Z380" s="39" t="str">
        <f>IF(L380="","",IF(V380&gt;0,INDEX('10-تشرين الأول'!$Q$2:$Q$501,V380),IF($AO$1=1,0,"")))</f>
        <v/>
      </c>
      <c r="AA380" s="39" t="str">
        <f t="shared" si="113"/>
        <v/>
      </c>
      <c r="AB380" s="40" t="str">
        <f>IF(OR(L380="",V380=0),"",IF(AND(N(I380)&gt;0,N(INDEX('10-تشرين الأول'!$I$2:$I$501,V380))&gt;0,INDEX('10-تشرين الأول'!$F$2:$F$501,V380)=F380),N(I380)/N(INDEX('10-تشرين الأول'!$I$2:$I$501,V380))-1,""))</f>
        <v/>
      </c>
      <c r="AC380" t="str">
        <f>IF(L380="","",IF(AND($AO$2=1,ISNA(MATCH(L380,'12-كانون الأول'!$L$2:$L$501,0))),"محذوف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IF(L381="","",IF($AO$1=1,IFERROR(MATCH(L381,'10-تشرين الأول'!$L$2:$L$501,0),0),0))</f>
        <v/>
      </c>
      <c r="W381" t="str">
        <f t="shared" si="111"/>
        <v/>
      </c>
      <c r="X381" s="38" t="str">
        <f>IF(L381="","",IF(V381&gt;0,INDEX('10-تشرين الأول'!$P$2:$P$501,V381),IF($AO$1=1,0,"")))</f>
        <v/>
      </c>
      <c r="Y381" s="38" t="str">
        <f t="shared" si="112"/>
        <v/>
      </c>
      <c r="Z381" s="39" t="str">
        <f>IF(L381="","",IF(V381&gt;0,INDEX('10-تشرين الأول'!$Q$2:$Q$501,V381),IF($AO$1=1,0,"")))</f>
        <v/>
      </c>
      <c r="AA381" s="39" t="str">
        <f t="shared" si="113"/>
        <v/>
      </c>
      <c r="AB381" s="40" t="str">
        <f>IF(OR(L381="",V381=0),"",IF(AND(N(I381)&gt;0,N(INDEX('10-تشرين الأول'!$I$2:$I$501,V381))&gt;0,INDEX('10-تشرين الأول'!$F$2:$F$501,V381)=F381),N(I381)/N(INDEX('10-تشرين الأول'!$I$2:$I$501,V381))-1,""))</f>
        <v/>
      </c>
      <c r="AC381" t="str">
        <f>IF(L381="","",IF(AND($AO$2=1,ISNA(MATCH(L381,'12-كانون الأول'!$L$2:$L$501,0))),"محذوف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IF(L382="","",IF($AO$1=1,IFERROR(MATCH(L382,'10-تشرين الأول'!$L$2:$L$501,0),0),0))</f>
        <v/>
      </c>
      <c r="W382" t="str">
        <f t="shared" si="111"/>
        <v/>
      </c>
      <c r="X382" s="38" t="str">
        <f>IF(L382="","",IF(V382&gt;0,INDEX('10-تشرين الأول'!$P$2:$P$501,V382),IF($AO$1=1,0,"")))</f>
        <v/>
      </c>
      <c r="Y382" s="38" t="str">
        <f t="shared" si="112"/>
        <v/>
      </c>
      <c r="Z382" s="39" t="str">
        <f>IF(L382="","",IF(V382&gt;0,INDEX('10-تشرين الأول'!$Q$2:$Q$501,V382),IF($AO$1=1,0,"")))</f>
        <v/>
      </c>
      <c r="AA382" s="39" t="str">
        <f t="shared" si="113"/>
        <v/>
      </c>
      <c r="AB382" s="40" t="str">
        <f>IF(OR(L382="",V382=0),"",IF(AND(N(I382)&gt;0,N(INDEX('10-تشرين الأول'!$I$2:$I$501,V382))&gt;0,INDEX('10-تشرين الأول'!$F$2:$F$501,V382)=F382),N(I382)/N(INDEX('10-تشرين الأول'!$I$2:$I$501,V382))-1,""))</f>
        <v/>
      </c>
      <c r="AC382" t="str">
        <f>IF(L382="","",IF(AND($AO$2=1,ISNA(MATCH(L382,'12-كانون الأول'!$L$2:$L$501,0))),"محذوف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IF(L383="","",IF($AO$1=1,IFERROR(MATCH(L383,'10-تشرين الأول'!$L$2:$L$501,0),0),0))</f>
        <v/>
      </c>
      <c r="W383" t="str">
        <f t="shared" si="111"/>
        <v/>
      </c>
      <c r="X383" s="38" t="str">
        <f>IF(L383="","",IF(V383&gt;0,INDEX('10-تشرين الأول'!$P$2:$P$501,V383),IF($AO$1=1,0,"")))</f>
        <v/>
      </c>
      <c r="Y383" s="38" t="str">
        <f t="shared" si="112"/>
        <v/>
      </c>
      <c r="Z383" s="39" t="str">
        <f>IF(L383="","",IF(V383&gt;0,INDEX('10-تشرين الأول'!$Q$2:$Q$501,V383),IF($AO$1=1,0,"")))</f>
        <v/>
      </c>
      <c r="AA383" s="39" t="str">
        <f t="shared" si="113"/>
        <v/>
      </c>
      <c r="AB383" s="40" t="str">
        <f>IF(OR(L383="",V383=0),"",IF(AND(N(I383)&gt;0,N(INDEX('10-تشرين الأول'!$I$2:$I$501,V383))&gt;0,INDEX('10-تشرين الأول'!$F$2:$F$501,V383)=F383),N(I383)/N(INDEX('10-تشرين الأول'!$I$2:$I$501,V383))-1,""))</f>
        <v/>
      </c>
      <c r="AC383" t="str">
        <f>IF(L383="","",IF(AND($AO$2=1,ISNA(MATCH(L383,'12-كانون الأول'!$L$2:$L$501,0))),"محذوف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IF(L384="","",IF($AO$1=1,IFERROR(MATCH(L384,'10-تشرين الأول'!$L$2:$L$501,0),0),0))</f>
        <v/>
      </c>
      <c r="W384" t="str">
        <f t="shared" si="111"/>
        <v/>
      </c>
      <c r="X384" s="38" t="str">
        <f>IF(L384="","",IF(V384&gt;0,INDEX('10-تشرين الأول'!$P$2:$P$501,V384),IF($AO$1=1,0,"")))</f>
        <v/>
      </c>
      <c r="Y384" s="38" t="str">
        <f t="shared" si="112"/>
        <v/>
      </c>
      <c r="Z384" s="39" t="str">
        <f>IF(L384="","",IF(V384&gt;0,INDEX('10-تشرين الأول'!$Q$2:$Q$501,V384),IF($AO$1=1,0,"")))</f>
        <v/>
      </c>
      <c r="AA384" s="39" t="str">
        <f t="shared" si="113"/>
        <v/>
      </c>
      <c r="AB384" s="40" t="str">
        <f>IF(OR(L384="",V384=0),"",IF(AND(N(I384)&gt;0,N(INDEX('10-تشرين الأول'!$I$2:$I$501,V384))&gt;0,INDEX('10-تشرين الأول'!$F$2:$F$501,V384)=F384),N(I384)/N(INDEX('10-تشرين الأول'!$I$2:$I$501,V384))-1,""))</f>
        <v/>
      </c>
      <c r="AC384" t="str">
        <f>IF(L384="","",IF(AND($AO$2=1,ISNA(MATCH(L384,'12-كانون الأول'!$L$2:$L$501,0))),"محذوف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IF(L385="","",IF($AO$1=1,IFERROR(MATCH(L385,'10-تشرين الأول'!$L$2:$L$501,0),0),0))</f>
        <v/>
      </c>
      <c r="W385" t="str">
        <f t="shared" si="111"/>
        <v/>
      </c>
      <c r="X385" s="38" t="str">
        <f>IF(L385="","",IF(V385&gt;0,INDEX('10-تشرين الأول'!$P$2:$P$501,V385),IF($AO$1=1,0,"")))</f>
        <v/>
      </c>
      <c r="Y385" s="38" t="str">
        <f t="shared" si="112"/>
        <v/>
      </c>
      <c r="Z385" s="39" t="str">
        <f>IF(L385="","",IF(V385&gt;0,INDEX('10-تشرين الأول'!$Q$2:$Q$501,V385),IF($AO$1=1,0,"")))</f>
        <v/>
      </c>
      <c r="AA385" s="39" t="str">
        <f t="shared" si="113"/>
        <v/>
      </c>
      <c r="AB385" s="40" t="str">
        <f>IF(OR(L385="",V385=0),"",IF(AND(N(I385)&gt;0,N(INDEX('10-تشرين الأول'!$I$2:$I$501,V385))&gt;0,INDEX('10-تشرين الأول'!$F$2:$F$501,V385)=F385),N(I385)/N(INDEX('10-تشرين الأول'!$I$2:$I$501,V385))-1,""))</f>
        <v/>
      </c>
      <c r="AC385" t="str">
        <f>IF(L385="","",IF(AND($AO$2=1,ISNA(MATCH(L385,'12-كانون الأول'!$L$2:$L$501,0))),"محذوف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IF(L386="","",IF($AO$1=1,IFERROR(MATCH(L386,'10-تشرين الأول'!$L$2:$L$501,0),0),0))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IF(L386="","",IF(V386&gt;0,INDEX('10-تشرين الأول'!$P$2:$P$501,V386),IF($AO$1=1,0,"")))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IF(L386="","",IF(V386&gt;0,INDEX('10-تشرين الأول'!$Q$2:$Q$501,V386),IF($AO$1=1,0,"")))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IF(OR(L386="",V386=0),"",IF(AND(N(I386)&gt;0,N(INDEX('10-تشرين الأول'!$I$2:$I$501,V386))&gt;0,INDEX('10-تشرين الأول'!$F$2:$F$501,V386)=F386),N(I386)/N(INDEX('10-تشرين الأول'!$I$2:$I$501,V386))-1,""))</f>
        <v/>
      </c>
      <c r="AC386" t="str">
        <f>IF(L386="","",IF(AND($AO$2=1,ISNA(MATCH(L386,'12-كانون الأول'!$L$2:$L$501,0))),"محذوف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IF(L387="","",IF($AO$1=1,IFERROR(MATCH(L387,'10-تشرين الأول'!$L$2:$L$501,0),0),0))</f>
        <v/>
      </c>
      <c r="W387" t="str">
        <f t="shared" si="131"/>
        <v/>
      </c>
      <c r="X387" s="38" t="str">
        <f>IF(L387="","",IF(V387&gt;0,INDEX('10-تشرين الأول'!$P$2:$P$501,V387),IF($AO$1=1,0,"")))</f>
        <v/>
      </c>
      <c r="Y387" s="38" t="str">
        <f t="shared" si="132"/>
        <v/>
      </c>
      <c r="Z387" s="39" t="str">
        <f>IF(L387="","",IF(V387&gt;0,INDEX('10-تشرين الأول'!$Q$2:$Q$501,V387),IF($AO$1=1,0,"")))</f>
        <v/>
      </c>
      <c r="AA387" s="39" t="str">
        <f t="shared" si="133"/>
        <v/>
      </c>
      <c r="AB387" s="40" t="str">
        <f>IF(OR(L387="",V387=0),"",IF(AND(N(I387)&gt;0,N(INDEX('10-تشرين الأول'!$I$2:$I$501,V387))&gt;0,INDEX('10-تشرين الأول'!$F$2:$F$501,V387)=F387),N(I387)/N(INDEX('10-تشرين الأول'!$I$2:$I$501,V387))-1,""))</f>
        <v/>
      </c>
      <c r="AC387" t="str">
        <f>IF(L387="","",IF(AND($AO$2=1,ISNA(MATCH(L387,'12-كانون الأول'!$L$2:$L$501,0))),"محذوف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IF(L388="","",IF($AO$1=1,IFERROR(MATCH(L388,'10-تشرين الأول'!$L$2:$L$501,0),0),0))</f>
        <v/>
      </c>
      <c r="W388" t="str">
        <f t="shared" si="131"/>
        <v/>
      </c>
      <c r="X388" s="38" t="str">
        <f>IF(L388="","",IF(V388&gt;0,INDEX('10-تشرين الأول'!$P$2:$P$501,V388),IF($AO$1=1,0,"")))</f>
        <v/>
      </c>
      <c r="Y388" s="38" t="str">
        <f t="shared" si="132"/>
        <v/>
      </c>
      <c r="Z388" s="39" t="str">
        <f>IF(L388="","",IF(V388&gt;0,INDEX('10-تشرين الأول'!$Q$2:$Q$501,V388),IF($AO$1=1,0,"")))</f>
        <v/>
      </c>
      <c r="AA388" s="39" t="str">
        <f t="shared" si="133"/>
        <v/>
      </c>
      <c r="AB388" s="40" t="str">
        <f>IF(OR(L388="",V388=0),"",IF(AND(N(I388)&gt;0,N(INDEX('10-تشرين الأول'!$I$2:$I$501,V388))&gt;0,INDEX('10-تشرين الأول'!$F$2:$F$501,V388)=F388),N(I388)/N(INDEX('10-تشرين الأول'!$I$2:$I$501,V388))-1,""))</f>
        <v/>
      </c>
      <c r="AC388" t="str">
        <f>IF(L388="","",IF(AND($AO$2=1,ISNA(MATCH(L388,'12-كانون الأول'!$L$2:$L$501,0))),"محذوف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IF(L389="","",IF($AO$1=1,IFERROR(MATCH(L389,'10-تشرين الأول'!$L$2:$L$501,0),0),0))</f>
        <v/>
      </c>
      <c r="W389" t="str">
        <f t="shared" si="131"/>
        <v/>
      </c>
      <c r="X389" s="38" t="str">
        <f>IF(L389="","",IF(V389&gt;0,INDEX('10-تشرين الأول'!$P$2:$P$501,V389),IF($AO$1=1,0,"")))</f>
        <v/>
      </c>
      <c r="Y389" s="38" t="str">
        <f t="shared" si="132"/>
        <v/>
      </c>
      <c r="Z389" s="39" t="str">
        <f>IF(L389="","",IF(V389&gt;0,INDEX('10-تشرين الأول'!$Q$2:$Q$501,V389),IF($AO$1=1,0,"")))</f>
        <v/>
      </c>
      <c r="AA389" s="39" t="str">
        <f t="shared" si="133"/>
        <v/>
      </c>
      <c r="AB389" s="40" t="str">
        <f>IF(OR(L389="",V389=0),"",IF(AND(N(I389)&gt;0,N(INDEX('10-تشرين الأول'!$I$2:$I$501,V389))&gt;0,INDEX('10-تشرين الأول'!$F$2:$F$501,V389)=F389),N(I389)/N(INDEX('10-تشرين الأول'!$I$2:$I$501,V389))-1,""))</f>
        <v/>
      </c>
      <c r="AC389" t="str">
        <f>IF(L389="","",IF(AND($AO$2=1,ISNA(MATCH(L389,'12-كانون الأول'!$L$2:$L$501,0))),"محذوف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IF(L390="","",IF($AO$1=1,IFERROR(MATCH(L390,'10-تشرين الأول'!$L$2:$L$501,0),0),0))</f>
        <v/>
      </c>
      <c r="W390" t="str">
        <f t="shared" si="131"/>
        <v/>
      </c>
      <c r="X390" s="38" t="str">
        <f>IF(L390="","",IF(V390&gt;0,INDEX('10-تشرين الأول'!$P$2:$P$501,V390),IF($AO$1=1,0,"")))</f>
        <v/>
      </c>
      <c r="Y390" s="38" t="str">
        <f t="shared" si="132"/>
        <v/>
      </c>
      <c r="Z390" s="39" t="str">
        <f>IF(L390="","",IF(V390&gt;0,INDEX('10-تشرين الأول'!$Q$2:$Q$501,V390),IF($AO$1=1,0,"")))</f>
        <v/>
      </c>
      <c r="AA390" s="39" t="str">
        <f t="shared" si="133"/>
        <v/>
      </c>
      <c r="AB390" s="40" t="str">
        <f>IF(OR(L390="",V390=0),"",IF(AND(N(I390)&gt;0,N(INDEX('10-تشرين الأول'!$I$2:$I$501,V390))&gt;0,INDEX('10-تشرين الأول'!$F$2:$F$501,V390)=F390),N(I390)/N(INDEX('10-تشرين الأول'!$I$2:$I$501,V390))-1,""))</f>
        <v/>
      </c>
      <c r="AC390" t="str">
        <f>IF(L390="","",IF(AND($AO$2=1,ISNA(MATCH(L390,'12-كانون الأول'!$L$2:$L$501,0))),"محذوف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IF(L391="","",IF($AO$1=1,IFERROR(MATCH(L391,'10-تشرين الأول'!$L$2:$L$501,0),0),0))</f>
        <v/>
      </c>
      <c r="W391" t="str">
        <f t="shared" si="131"/>
        <v/>
      </c>
      <c r="X391" s="38" t="str">
        <f>IF(L391="","",IF(V391&gt;0,INDEX('10-تشرين الأول'!$P$2:$P$501,V391),IF($AO$1=1,0,"")))</f>
        <v/>
      </c>
      <c r="Y391" s="38" t="str">
        <f t="shared" si="132"/>
        <v/>
      </c>
      <c r="Z391" s="39" t="str">
        <f>IF(L391="","",IF(V391&gt;0,INDEX('10-تشرين الأول'!$Q$2:$Q$501,V391),IF($AO$1=1,0,"")))</f>
        <v/>
      </c>
      <c r="AA391" s="39" t="str">
        <f t="shared" si="133"/>
        <v/>
      </c>
      <c r="AB391" s="40" t="str">
        <f>IF(OR(L391="",V391=0),"",IF(AND(N(I391)&gt;0,N(INDEX('10-تشرين الأول'!$I$2:$I$501,V391))&gt;0,INDEX('10-تشرين الأول'!$F$2:$F$501,V391)=F391),N(I391)/N(INDEX('10-تشرين الأول'!$I$2:$I$501,V391))-1,""))</f>
        <v/>
      </c>
      <c r="AC391" t="str">
        <f>IF(L391="","",IF(AND($AO$2=1,ISNA(MATCH(L391,'12-كانون الأول'!$L$2:$L$501,0))),"محذوف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IF(L392="","",IF($AO$1=1,IFERROR(MATCH(L392,'10-تشرين الأول'!$L$2:$L$501,0),0),0))</f>
        <v/>
      </c>
      <c r="W392" t="str">
        <f t="shared" si="131"/>
        <v/>
      </c>
      <c r="X392" s="38" t="str">
        <f>IF(L392="","",IF(V392&gt;0,INDEX('10-تشرين الأول'!$P$2:$P$501,V392),IF($AO$1=1,0,"")))</f>
        <v/>
      </c>
      <c r="Y392" s="38" t="str">
        <f t="shared" si="132"/>
        <v/>
      </c>
      <c r="Z392" s="39" t="str">
        <f>IF(L392="","",IF(V392&gt;0,INDEX('10-تشرين الأول'!$Q$2:$Q$501,V392),IF($AO$1=1,0,"")))</f>
        <v/>
      </c>
      <c r="AA392" s="39" t="str">
        <f t="shared" si="133"/>
        <v/>
      </c>
      <c r="AB392" s="40" t="str">
        <f>IF(OR(L392="",V392=0),"",IF(AND(N(I392)&gt;0,N(INDEX('10-تشرين الأول'!$I$2:$I$501,V392))&gt;0,INDEX('10-تشرين الأول'!$F$2:$F$501,V392)=F392),N(I392)/N(INDEX('10-تشرين الأول'!$I$2:$I$501,V392))-1,""))</f>
        <v/>
      </c>
      <c r="AC392" t="str">
        <f>IF(L392="","",IF(AND($AO$2=1,ISNA(MATCH(L392,'12-كانون الأول'!$L$2:$L$501,0))),"محذوف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IF(L393="","",IF($AO$1=1,IFERROR(MATCH(L393,'10-تشرين الأول'!$L$2:$L$501,0),0),0))</f>
        <v/>
      </c>
      <c r="W393" t="str">
        <f t="shared" si="131"/>
        <v/>
      </c>
      <c r="X393" s="38" t="str">
        <f>IF(L393="","",IF(V393&gt;0,INDEX('10-تشرين الأول'!$P$2:$P$501,V393),IF($AO$1=1,0,"")))</f>
        <v/>
      </c>
      <c r="Y393" s="38" t="str">
        <f t="shared" si="132"/>
        <v/>
      </c>
      <c r="Z393" s="39" t="str">
        <f>IF(L393="","",IF(V393&gt;0,INDEX('10-تشرين الأول'!$Q$2:$Q$501,V393),IF($AO$1=1,0,"")))</f>
        <v/>
      </c>
      <c r="AA393" s="39" t="str">
        <f t="shared" si="133"/>
        <v/>
      </c>
      <c r="AB393" s="40" t="str">
        <f>IF(OR(L393="",V393=0),"",IF(AND(N(I393)&gt;0,N(INDEX('10-تشرين الأول'!$I$2:$I$501,V393))&gt;0,INDEX('10-تشرين الأول'!$F$2:$F$501,V393)=F393),N(I393)/N(INDEX('10-تشرين الأول'!$I$2:$I$501,V393))-1,""))</f>
        <v/>
      </c>
      <c r="AC393" t="str">
        <f>IF(L393="","",IF(AND($AO$2=1,ISNA(MATCH(L393,'12-كانون الأول'!$L$2:$L$501,0))),"محذوف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IF(L394="","",IF($AO$1=1,IFERROR(MATCH(L394,'10-تشرين الأول'!$L$2:$L$501,0),0),0))</f>
        <v/>
      </c>
      <c r="W394" t="str">
        <f t="shared" si="131"/>
        <v/>
      </c>
      <c r="X394" s="38" t="str">
        <f>IF(L394="","",IF(V394&gt;0,INDEX('10-تشرين الأول'!$P$2:$P$501,V394),IF($AO$1=1,0,"")))</f>
        <v/>
      </c>
      <c r="Y394" s="38" t="str">
        <f t="shared" si="132"/>
        <v/>
      </c>
      <c r="Z394" s="39" t="str">
        <f>IF(L394="","",IF(V394&gt;0,INDEX('10-تشرين الأول'!$Q$2:$Q$501,V394),IF($AO$1=1,0,"")))</f>
        <v/>
      </c>
      <c r="AA394" s="39" t="str">
        <f t="shared" si="133"/>
        <v/>
      </c>
      <c r="AB394" s="40" t="str">
        <f>IF(OR(L394="",V394=0),"",IF(AND(N(I394)&gt;0,N(INDEX('10-تشرين الأول'!$I$2:$I$501,V394))&gt;0,INDEX('10-تشرين الأول'!$F$2:$F$501,V394)=F394),N(I394)/N(INDEX('10-تشرين الأول'!$I$2:$I$501,V394))-1,""))</f>
        <v/>
      </c>
      <c r="AC394" t="str">
        <f>IF(L394="","",IF(AND($AO$2=1,ISNA(MATCH(L394,'12-كانون الأول'!$L$2:$L$501,0))),"محذوف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IF(L395="","",IF($AO$1=1,IFERROR(MATCH(L395,'10-تشرين الأول'!$L$2:$L$501,0),0),0))</f>
        <v/>
      </c>
      <c r="W395" t="str">
        <f t="shared" si="131"/>
        <v/>
      </c>
      <c r="X395" s="38" t="str">
        <f>IF(L395="","",IF(V395&gt;0,INDEX('10-تشرين الأول'!$P$2:$P$501,V395),IF($AO$1=1,0,"")))</f>
        <v/>
      </c>
      <c r="Y395" s="38" t="str">
        <f t="shared" si="132"/>
        <v/>
      </c>
      <c r="Z395" s="39" t="str">
        <f>IF(L395="","",IF(V395&gt;0,INDEX('10-تشرين الأول'!$Q$2:$Q$501,V395),IF($AO$1=1,0,"")))</f>
        <v/>
      </c>
      <c r="AA395" s="39" t="str">
        <f t="shared" si="133"/>
        <v/>
      </c>
      <c r="AB395" s="40" t="str">
        <f>IF(OR(L395="",V395=0),"",IF(AND(N(I395)&gt;0,N(INDEX('10-تشرين الأول'!$I$2:$I$501,V395))&gt;0,INDEX('10-تشرين الأول'!$F$2:$F$501,V395)=F395),N(I395)/N(INDEX('10-تشرين الأول'!$I$2:$I$501,V395))-1,""))</f>
        <v/>
      </c>
      <c r="AC395" t="str">
        <f>IF(L395="","",IF(AND($AO$2=1,ISNA(MATCH(L395,'12-كانون الأول'!$L$2:$L$501,0))),"محذوف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IF(L396="","",IF($AO$1=1,IFERROR(MATCH(L396,'10-تشرين الأول'!$L$2:$L$501,0),0),0))</f>
        <v/>
      </c>
      <c r="W396" t="str">
        <f t="shared" si="131"/>
        <v/>
      </c>
      <c r="X396" s="38" t="str">
        <f>IF(L396="","",IF(V396&gt;0,INDEX('10-تشرين الأول'!$P$2:$P$501,V396),IF($AO$1=1,0,"")))</f>
        <v/>
      </c>
      <c r="Y396" s="38" t="str">
        <f t="shared" si="132"/>
        <v/>
      </c>
      <c r="Z396" s="39" t="str">
        <f>IF(L396="","",IF(V396&gt;0,INDEX('10-تشرين الأول'!$Q$2:$Q$501,V396),IF($AO$1=1,0,"")))</f>
        <v/>
      </c>
      <c r="AA396" s="39" t="str">
        <f t="shared" si="133"/>
        <v/>
      </c>
      <c r="AB396" s="40" t="str">
        <f>IF(OR(L396="",V396=0),"",IF(AND(N(I396)&gt;0,N(INDEX('10-تشرين الأول'!$I$2:$I$501,V396))&gt;0,INDEX('10-تشرين الأول'!$F$2:$F$501,V396)=F396),N(I396)/N(INDEX('10-تشرين الأول'!$I$2:$I$501,V396))-1,""))</f>
        <v/>
      </c>
      <c r="AC396" t="str">
        <f>IF(L396="","",IF(AND($AO$2=1,ISNA(MATCH(L396,'12-كانون الأول'!$L$2:$L$501,0))),"محذوف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IF(L397="","",IF($AO$1=1,IFERROR(MATCH(L397,'10-تشرين الأول'!$L$2:$L$501,0),0),0))</f>
        <v/>
      </c>
      <c r="W397" t="str">
        <f t="shared" si="131"/>
        <v/>
      </c>
      <c r="X397" s="38" t="str">
        <f>IF(L397="","",IF(V397&gt;0,INDEX('10-تشرين الأول'!$P$2:$P$501,V397),IF($AO$1=1,0,"")))</f>
        <v/>
      </c>
      <c r="Y397" s="38" t="str">
        <f t="shared" si="132"/>
        <v/>
      </c>
      <c r="Z397" s="39" t="str">
        <f>IF(L397="","",IF(V397&gt;0,INDEX('10-تشرين الأول'!$Q$2:$Q$501,V397),IF($AO$1=1,0,"")))</f>
        <v/>
      </c>
      <c r="AA397" s="39" t="str">
        <f t="shared" si="133"/>
        <v/>
      </c>
      <c r="AB397" s="40" t="str">
        <f>IF(OR(L397="",V397=0),"",IF(AND(N(I397)&gt;0,N(INDEX('10-تشرين الأول'!$I$2:$I$501,V397))&gt;0,INDEX('10-تشرين الأول'!$F$2:$F$501,V397)=F397),N(I397)/N(INDEX('10-تشرين الأول'!$I$2:$I$501,V397))-1,""))</f>
        <v/>
      </c>
      <c r="AC397" t="str">
        <f>IF(L397="","",IF(AND($AO$2=1,ISNA(MATCH(L397,'12-كانون الأول'!$L$2:$L$501,0))),"محذوف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IF(L398="","",IF($AO$1=1,IFERROR(MATCH(L398,'10-تشرين الأول'!$L$2:$L$501,0),0),0))</f>
        <v/>
      </c>
      <c r="W398" t="str">
        <f t="shared" si="131"/>
        <v/>
      </c>
      <c r="X398" s="38" t="str">
        <f>IF(L398="","",IF(V398&gt;0,INDEX('10-تشرين الأول'!$P$2:$P$501,V398),IF($AO$1=1,0,"")))</f>
        <v/>
      </c>
      <c r="Y398" s="38" t="str">
        <f t="shared" si="132"/>
        <v/>
      </c>
      <c r="Z398" s="39" t="str">
        <f>IF(L398="","",IF(V398&gt;0,INDEX('10-تشرين الأول'!$Q$2:$Q$501,V398),IF($AO$1=1,0,"")))</f>
        <v/>
      </c>
      <c r="AA398" s="39" t="str">
        <f t="shared" si="133"/>
        <v/>
      </c>
      <c r="AB398" s="40" t="str">
        <f>IF(OR(L398="",V398=0),"",IF(AND(N(I398)&gt;0,N(INDEX('10-تشرين الأول'!$I$2:$I$501,V398))&gt;0,INDEX('10-تشرين الأول'!$F$2:$F$501,V398)=F398),N(I398)/N(INDEX('10-تشرين الأول'!$I$2:$I$501,V398))-1,""))</f>
        <v/>
      </c>
      <c r="AC398" t="str">
        <f>IF(L398="","",IF(AND($AO$2=1,ISNA(MATCH(L398,'12-كانون الأول'!$L$2:$L$501,0))),"محذوف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IF(L399="","",IF($AO$1=1,IFERROR(MATCH(L399,'10-تشرين الأول'!$L$2:$L$501,0),0),0))</f>
        <v/>
      </c>
      <c r="W399" t="str">
        <f t="shared" si="131"/>
        <v/>
      </c>
      <c r="X399" s="38" t="str">
        <f>IF(L399="","",IF(V399&gt;0,INDEX('10-تشرين الأول'!$P$2:$P$501,V399),IF($AO$1=1,0,"")))</f>
        <v/>
      </c>
      <c r="Y399" s="38" t="str">
        <f t="shared" si="132"/>
        <v/>
      </c>
      <c r="Z399" s="39" t="str">
        <f>IF(L399="","",IF(V399&gt;0,INDEX('10-تشرين الأول'!$Q$2:$Q$501,V399),IF($AO$1=1,0,"")))</f>
        <v/>
      </c>
      <c r="AA399" s="39" t="str">
        <f t="shared" si="133"/>
        <v/>
      </c>
      <c r="AB399" s="40" t="str">
        <f>IF(OR(L399="",V399=0),"",IF(AND(N(I399)&gt;0,N(INDEX('10-تشرين الأول'!$I$2:$I$501,V399))&gt;0,INDEX('10-تشرين الأول'!$F$2:$F$501,V399)=F399),N(I399)/N(INDEX('10-تشرين الأول'!$I$2:$I$501,V399))-1,""))</f>
        <v/>
      </c>
      <c r="AC399" t="str">
        <f>IF(L399="","",IF(AND($AO$2=1,ISNA(MATCH(L399,'12-كانون الأول'!$L$2:$L$501,0))),"محذوف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IF(L400="","",IF($AO$1=1,IFERROR(MATCH(L400,'10-تشرين الأول'!$L$2:$L$501,0),0),0))</f>
        <v/>
      </c>
      <c r="W400" t="str">
        <f t="shared" si="131"/>
        <v/>
      </c>
      <c r="X400" s="38" t="str">
        <f>IF(L400="","",IF(V400&gt;0,INDEX('10-تشرين الأول'!$P$2:$P$501,V400),IF($AO$1=1,0,"")))</f>
        <v/>
      </c>
      <c r="Y400" s="38" t="str">
        <f t="shared" si="132"/>
        <v/>
      </c>
      <c r="Z400" s="39" t="str">
        <f>IF(L400="","",IF(V400&gt;0,INDEX('10-تشرين الأول'!$Q$2:$Q$501,V400),IF($AO$1=1,0,"")))</f>
        <v/>
      </c>
      <c r="AA400" s="39" t="str">
        <f t="shared" si="133"/>
        <v/>
      </c>
      <c r="AB400" s="40" t="str">
        <f>IF(OR(L400="",V400=0),"",IF(AND(N(I400)&gt;0,N(INDEX('10-تشرين الأول'!$I$2:$I$501,V400))&gt;0,INDEX('10-تشرين الأول'!$F$2:$F$501,V400)=F400),N(I400)/N(INDEX('10-تشرين الأول'!$I$2:$I$501,V400))-1,""))</f>
        <v/>
      </c>
      <c r="AC400" t="str">
        <f>IF(L400="","",IF(AND($AO$2=1,ISNA(MATCH(L400,'12-كانون الأول'!$L$2:$L$501,0))),"محذوف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IF(L401="","",IF($AO$1=1,IFERROR(MATCH(L401,'10-تشرين الأول'!$L$2:$L$501,0),0),0))</f>
        <v/>
      </c>
      <c r="W401" t="str">
        <f t="shared" si="131"/>
        <v/>
      </c>
      <c r="X401" s="38" t="str">
        <f>IF(L401="","",IF(V401&gt;0,INDEX('10-تشرين الأول'!$P$2:$P$501,V401),IF($AO$1=1,0,"")))</f>
        <v/>
      </c>
      <c r="Y401" s="38" t="str">
        <f t="shared" si="132"/>
        <v/>
      </c>
      <c r="Z401" s="39" t="str">
        <f>IF(L401="","",IF(V401&gt;0,INDEX('10-تشرين الأول'!$Q$2:$Q$501,V401),IF($AO$1=1,0,"")))</f>
        <v/>
      </c>
      <c r="AA401" s="39" t="str">
        <f t="shared" si="133"/>
        <v/>
      </c>
      <c r="AB401" s="40" t="str">
        <f>IF(OR(L401="",V401=0),"",IF(AND(N(I401)&gt;0,N(INDEX('10-تشرين الأول'!$I$2:$I$501,V401))&gt;0,INDEX('10-تشرين الأول'!$F$2:$F$501,V401)=F401),N(I401)/N(INDEX('10-تشرين الأول'!$I$2:$I$501,V401))-1,""))</f>
        <v/>
      </c>
      <c r="AC401" t="str">
        <f>IF(L401="","",IF(AND($AO$2=1,ISNA(MATCH(L401,'12-كانون الأول'!$L$2:$L$501,0))),"محذوف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IF(L402="","",IF($AO$1=1,IFERROR(MATCH(L402,'10-تشرين الأول'!$L$2:$L$501,0),0),0))</f>
        <v/>
      </c>
      <c r="W402" t="str">
        <f t="shared" si="131"/>
        <v/>
      </c>
      <c r="X402" s="38" t="str">
        <f>IF(L402="","",IF(V402&gt;0,INDEX('10-تشرين الأول'!$P$2:$P$501,V402),IF($AO$1=1,0,"")))</f>
        <v/>
      </c>
      <c r="Y402" s="38" t="str">
        <f t="shared" si="132"/>
        <v/>
      </c>
      <c r="Z402" s="39" t="str">
        <f>IF(L402="","",IF(V402&gt;0,INDEX('10-تشرين الأول'!$Q$2:$Q$501,V402),IF($AO$1=1,0,"")))</f>
        <v/>
      </c>
      <c r="AA402" s="39" t="str">
        <f t="shared" si="133"/>
        <v/>
      </c>
      <c r="AB402" s="40" t="str">
        <f>IF(OR(L402="",V402=0),"",IF(AND(N(I402)&gt;0,N(INDEX('10-تشرين الأول'!$I$2:$I$501,V402))&gt;0,INDEX('10-تشرين الأول'!$F$2:$F$501,V402)=F402),N(I402)/N(INDEX('10-تشرين الأول'!$I$2:$I$501,V402))-1,""))</f>
        <v/>
      </c>
      <c r="AC402" t="str">
        <f>IF(L402="","",IF(AND($AO$2=1,ISNA(MATCH(L402,'12-كانون الأول'!$L$2:$L$501,0))),"محذوف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IF(L403="","",IF($AO$1=1,IFERROR(MATCH(L403,'10-تشرين الأول'!$L$2:$L$501,0),0),0))</f>
        <v/>
      </c>
      <c r="W403" t="str">
        <f t="shared" si="131"/>
        <v/>
      </c>
      <c r="X403" s="38" t="str">
        <f>IF(L403="","",IF(V403&gt;0,INDEX('10-تشرين الأول'!$P$2:$P$501,V403),IF($AO$1=1,0,"")))</f>
        <v/>
      </c>
      <c r="Y403" s="38" t="str">
        <f t="shared" si="132"/>
        <v/>
      </c>
      <c r="Z403" s="39" t="str">
        <f>IF(L403="","",IF(V403&gt;0,INDEX('10-تشرين الأول'!$Q$2:$Q$501,V403),IF($AO$1=1,0,"")))</f>
        <v/>
      </c>
      <c r="AA403" s="39" t="str">
        <f t="shared" si="133"/>
        <v/>
      </c>
      <c r="AB403" s="40" t="str">
        <f>IF(OR(L403="",V403=0),"",IF(AND(N(I403)&gt;0,N(INDEX('10-تشرين الأول'!$I$2:$I$501,V403))&gt;0,INDEX('10-تشرين الأول'!$F$2:$F$501,V403)=F403),N(I403)/N(INDEX('10-تشرين الأول'!$I$2:$I$501,V403))-1,""))</f>
        <v/>
      </c>
      <c r="AC403" t="str">
        <f>IF(L403="","",IF(AND($AO$2=1,ISNA(MATCH(L403,'12-كانون الأول'!$L$2:$L$501,0))),"محذوف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IF(L404="","",IF($AO$1=1,IFERROR(MATCH(L404,'10-تشرين الأول'!$L$2:$L$501,0),0),0))</f>
        <v/>
      </c>
      <c r="W404" t="str">
        <f t="shared" si="131"/>
        <v/>
      </c>
      <c r="X404" s="38" t="str">
        <f>IF(L404="","",IF(V404&gt;0,INDEX('10-تشرين الأول'!$P$2:$P$501,V404),IF($AO$1=1,0,"")))</f>
        <v/>
      </c>
      <c r="Y404" s="38" t="str">
        <f t="shared" si="132"/>
        <v/>
      </c>
      <c r="Z404" s="39" t="str">
        <f>IF(L404="","",IF(V404&gt;0,INDEX('10-تشرين الأول'!$Q$2:$Q$501,V404),IF($AO$1=1,0,"")))</f>
        <v/>
      </c>
      <c r="AA404" s="39" t="str">
        <f t="shared" si="133"/>
        <v/>
      </c>
      <c r="AB404" s="40" t="str">
        <f>IF(OR(L404="",V404=0),"",IF(AND(N(I404)&gt;0,N(INDEX('10-تشرين الأول'!$I$2:$I$501,V404))&gt;0,INDEX('10-تشرين الأول'!$F$2:$F$501,V404)=F404),N(I404)/N(INDEX('10-تشرين الأول'!$I$2:$I$501,V404))-1,""))</f>
        <v/>
      </c>
      <c r="AC404" t="str">
        <f>IF(L404="","",IF(AND($AO$2=1,ISNA(MATCH(L404,'12-كانون الأول'!$L$2:$L$501,0))),"محذوف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IF(L405="","",IF($AO$1=1,IFERROR(MATCH(L405,'10-تشرين الأول'!$L$2:$L$501,0),0),0))</f>
        <v/>
      </c>
      <c r="W405" t="str">
        <f t="shared" si="131"/>
        <v/>
      </c>
      <c r="X405" s="38" t="str">
        <f>IF(L405="","",IF(V405&gt;0,INDEX('10-تشرين الأول'!$P$2:$P$501,V405),IF($AO$1=1,0,"")))</f>
        <v/>
      </c>
      <c r="Y405" s="38" t="str">
        <f t="shared" si="132"/>
        <v/>
      </c>
      <c r="Z405" s="39" t="str">
        <f>IF(L405="","",IF(V405&gt;0,INDEX('10-تشرين الأول'!$Q$2:$Q$501,V405),IF($AO$1=1,0,"")))</f>
        <v/>
      </c>
      <c r="AA405" s="39" t="str">
        <f t="shared" si="133"/>
        <v/>
      </c>
      <c r="AB405" s="40" t="str">
        <f>IF(OR(L405="",V405=0),"",IF(AND(N(I405)&gt;0,N(INDEX('10-تشرين الأول'!$I$2:$I$501,V405))&gt;0,INDEX('10-تشرين الأول'!$F$2:$F$501,V405)=F405),N(I405)/N(INDEX('10-تشرين الأول'!$I$2:$I$501,V405))-1,""))</f>
        <v/>
      </c>
      <c r="AC405" t="str">
        <f>IF(L405="","",IF(AND($AO$2=1,ISNA(MATCH(L405,'12-كانون الأول'!$L$2:$L$501,0))),"محذوف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IF(L406="","",IF($AO$1=1,IFERROR(MATCH(L406,'10-تشرين الأول'!$L$2:$L$501,0),0),0))</f>
        <v/>
      </c>
      <c r="W406" t="str">
        <f t="shared" si="131"/>
        <v/>
      </c>
      <c r="X406" s="38" t="str">
        <f>IF(L406="","",IF(V406&gt;0,INDEX('10-تشرين الأول'!$P$2:$P$501,V406),IF($AO$1=1,0,"")))</f>
        <v/>
      </c>
      <c r="Y406" s="38" t="str">
        <f t="shared" si="132"/>
        <v/>
      </c>
      <c r="Z406" s="39" t="str">
        <f>IF(L406="","",IF(V406&gt;0,INDEX('10-تشرين الأول'!$Q$2:$Q$501,V406),IF($AO$1=1,0,"")))</f>
        <v/>
      </c>
      <c r="AA406" s="39" t="str">
        <f t="shared" si="133"/>
        <v/>
      </c>
      <c r="AB406" s="40" t="str">
        <f>IF(OR(L406="",V406=0),"",IF(AND(N(I406)&gt;0,N(INDEX('10-تشرين الأول'!$I$2:$I$501,V406))&gt;0,INDEX('10-تشرين الأول'!$F$2:$F$501,V406)=F406),N(I406)/N(INDEX('10-تشرين الأول'!$I$2:$I$501,V406))-1,""))</f>
        <v/>
      </c>
      <c r="AC406" t="str">
        <f>IF(L406="","",IF(AND($AO$2=1,ISNA(MATCH(L406,'12-كانون الأول'!$L$2:$L$501,0))),"محذوف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IF(L407="","",IF($AO$1=1,IFERROR(MATCH(L407,'10-تشرين الأول'!$L$2:$L$501,0),0),0))</f>
        <v/>
      </c>
      <c r="W407" t="str">
        <f t="shared" si="131"/>
        <v/>
      </c>
      <c r="X407" s="38" t="str">
        <f>IF(L407="","",IF(V407&gt;0,INDEX('10-تشرين الأول'!$P$2:$P$501,V407),IF($AO$1=1,0,"")))</f>
        <v/>
      </c>
      <c r="Y407" s="38" t="str">
        <f t="shared" si="132"/>
        <v/>
      </c>
      <c r="Z407" s="39" t="str">
        <f>IF(L407="","",IF(V407&gt;0,INDEX('10-تشرين الأول'!$Q$2:$Q$501,V407),IF($AO$1=1,0,"")))</f>
        <v/>
      </c>
      <c r="AA407" s="39" t="str">
        <f t="shared" si="133"/>
        <v/>
      </c>
      <c r="AB407" s="40" t="str">
        <f>IF(OR(L407="",V407=0),"",IF(AND(N(I407)&gt;0,N(INDEX('10-تشرين الأول'!$I$2:$I$501,V407))&gt;0,INDEX('10-تشرين الأول'!$F$2:$F$501,V407)=F407),N(I407)/N(INDEX('10-تشرين الأول'!$I$2:$I$501,V407))-1,""))</f>
        <v/>
      </c>
      <c r="AC407" t="str">
        <f>IF(L407="","",IF(AND($AO$2=1,ISNA(MATCH(L407,'12-كانون الأول'!$L$2:$L$501,0))),"محذوف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IF(L408="","",IF($AO$1=1,IFERROR(MATCH(L408,'10-تشرين الأول'!$L$2:$L$501,0),0),0))</f>
        <v/>
      </c>
      <c r="W408" t="str">
        <f t="shared" si="131"/>
        <v/>
      </c>
      <c r="X408" s="38" t="str">
        <f>IF(L408="","",IF(V408&gt;0,INDEX('10-تشرين الأول'!$P$2:$P$501,V408),IF($AO$1=1,0,"")))</f>
        <v/>
      </c>
      <c r="Y408" s="38" t="str">
        <f t="shared" si="132"/>
        <v/>
      </c>
      <c r="Z408" s="39" t="str">
        <f>IF(L408="","",IF(V408&gt;0,INDEX('10-تشرين الأول'!$Q$2:$Q$501,V408),IF($AO$1=1,0,"")))</f>
        <v/>
      </c>
      <c r="AA408" s="39" t="str">
        <f t="shared" si="133"/>
        <v/>
      </c>
      <c r="AB408" s="40" t="str">
        <f>IF(OR(L408="",V408=0),"",IF(AND(N(I408)&gt;0,N(INDEX('10-تشرين الأول'!$I$2:$I$501,V408))&gt;0,INDEX('10-تشرين الأول'!$F$2:$F$501,V408)=F408),N(I408)/N(INDEX('10-تشرين الأول'!$I$2:$I$501,V408))-1,""))</f>
        <v/>
      </c>
      <c r="AC408" t="str">
        <f>IF(L408="","",IF(AND($AO$2=1,ISNA(MATCH(L408,'12-كانون الأول'!$L$2:$L$501,0))),"محذوف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IF(L409="","",IF($AO$1=1,IFERROR(MATCH(L409,'10-تشرين الأول'!$L$2:$L$501,0),0),0))</f>
        <v/>
      </c>
      <c r="W409" t="str">
        <f t="shared" si="131"/>
        <v/>
      </c>
      <c r="X409" s="38" t="str">
        <f>IF(L409="","",IF(V409&gt;0,INDEX('10-تشرين الأول'!$P$2:$P$501,V409),IF($AO$1=1,0,"")))</f>
        <v/>
      </c>
      <c r="Y409" s="38" t="str">
        <f t="shared" si="132"/>
        <v/>
      </c>
      <c r="Z409" s="39" t="str">
        <f>IF(L409="","",IF(V409&gt;0,INDEX('10-تشرين الأول'!$Q$2:$Q$501,V409),IF($AO$1=1,0,"")))</f>
        <v/>
      </c>
      <c r="AA409" s="39" t="str">
        <f t="shared" si="133"/>
        <v/>
      </c>
      <c r="AB409" s="40" t="str">
        <f>IF(OR(L409="",V409=0),"",IF(AND(N(I409)&gt;0,N(INDEX('10-تشرين الأول'!$I$2:$I$501,V409))&gt;0,INDEX('10-تشرين الأول'!$F$2:$F$501,V409)=F409),N(I409)/N(INDEX('10-تشرين الأول'!$I$2:$I$501,V409))-1,""))</f>
        <v/>
      </c>
      <c r="AC409" t="str">
        <f>IF(L409="","",IF(AND($AO$2=1,ISNA(MATCH(L409,'12-كانون الأول'!$L$2:$L$501,0))),"محذوف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IF(L410="","",IF($AO$1=1,IFERROR(MATCH(L410,'10-تشرين الأول'!$L$2:$L$501,0),0),0))</f>
        <v/>
      </c>
      <c r="W410" t="str">
        <f t="shared" si="131"/>
        <v/>
      </c>
      <c r="X410" s="38" t="str">
        <f>IF(L410="","",IF(V410&gt;0,INDEX('10-تشرين الأول'!$P$2:$P$501,V410),IF($AO$1=1,0,"")))</f>
        <v/>
      </c>
      <c r="Y410" s="38" t="str">
        <f t="shared" si="132"/>
        <v/>
      </c>
      <c r="Z410" s="39" t="str">
        <f>IF(L410="","",IF(V410&gt;0,INDEX('10-تشرين الأول'!$Q$2:$Q$501,V410),IF($AO$1=1,0,"")))</f>
        <v/>
      </c>
      <c r="AA410" s="39" t="str">
        <f t="shared" si="133"/>
        <v/>
      </c>
      <c r="AB410" s="40" t="str">
        <f>IF(OR(L410="",V410=0),"",IF(AND(N(I410)&gt;0,N(INDEX('10-تشرين الأول'!$I$2:$I$501,V410))&gt;0,INDEX('10-تشرين الأول'!$F$2:$F$501,V410)=F410),N(I410)/N(INDEX('10-تشرين الأول'!$I$2:$I$501,V410))-1,""))</f>
        <v/>
      </c>
      <c r="AC410" t="str">
        <f>IF(L410="","",IF(AND($AO$2=1,ISNA(MATCH(L410,'12-كانون الأول'!$L$2:$L$501,0))),"محذوف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IF(L411="","",IF($AO$1=1,IFERROR(MATCH(L411,'10-تشرين الأول'!$L$2:$L$501,0),0),0))</f>
        <v/>
      </c>
      <c r="W411" t="str">
        <f t="shared" si="131"/>
        <v/>
      </c>
      <c r="X411" s="38" t="str">
        <f>IF(L411="","",IF(V411&gt;0,INDEX('10-تشرين الأول'!$P$2:$P$501,V411),IF($AO$1=1,0,"")))</f>
        <v/>
      </c>
      <c r="Y411" s="38" t="str">
        <f t="shared" si="132"/>
        <v/>
      </c>
      <c r="Z411" s="39" t="str">
        <f>IF(L411="","",IF(V411&gt;0,INDEX('10-تشرين الأول'!$Q$2:$Q$501,V411),IF($AO$1=1,0,"")))</f>
        <v/>
      </c>
      <c r="AA411" s="39" t="str">
        <f t="shared" si="133"/>
        <v/>
      </c>
      <c r="AB411" s="40" t="str">
        <f>IF(OR(L411="",V411=0),"",IF(AND(N(I411)&gt;0,N(INDEX('10-تشرين الأول'!$I$2:$I$501,V411))&gt;0,INDEX('10-تشرين الأول'!$F$2:$F$501,V411)=F411),N(I411)/N(INDEX('10-تشرين الأول'!$I$2:$I$501,V411))-1,""))</f>
        <v/>
      </c>
      <c r="AC411" t="str">
        <f>IF(L411="","",IF(AND($AO$2=1,ISNA(MATCH(L411,'12-كانون الأول'!$L$2:$L$501,0))),"محذوف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IF(L412="","",IF($AO$1=1,IFERROR(MATCH(L412,'10-تشرين الأول'!$L$2:$L$501,0),0),0))</f>
        <v/>
      </c>
      <c r="W412" t="str">
        <f t="shared" si="131"/>
        <v/>
      </c>
      <c r="X412" s="38" t="str">
        <f>IF(L412="","",IF(V412&gt;0,INDEX('10-تشرين الأول'!$P$2:$P$501,V412),IF($AO$1=1,0,"")))</f>
        <v/>
      </c>
      <c r="Y412" s="38" t="str">
        <f t="shared" si="132"/>
        <v/>
      </c>
      <c r="Z412" s="39" t="str">
        <f>IF(L412="","",IF(V412&gt;0,INDEX('10-تشرين الأول'!$Q$2:$Q$501,V412),IF($AO$1=1,0,"")))</f>
        <v/>
      </c>
      <c r="AA412" s="39" t="str">
        <f t="shared" si="133"/>
        <v/>
      </c>
      <c r="AB412" s="40" t="str">
        <f>IF(OR(L412="",V412=0),"",IF(AND(N(I412)&gt;0,N(INDEX('10-تشرين الأول'!$I$2:$I$501,V412))&gt;0,INDEX('10-تشرين الأول'!$F$2:$F$501,V412)=F412),N(I412)/N(INDEX('10-تشرين الأول'!$I$2:$I$501,V412))-1,""))</f>
        <v/>
      </c>
      <c r="AC412" t="str">
        <f>IF(L412="","",IF(AND($AO$2=1,ISNA(MATCH(L412,'12-كانون الأول'!$L$2:$L$501,0))),"محذوف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IF(L413="","",IF($AO$1=1,IFERROR(MATCH(L413,'10-تشرين الأول'!$L$2:$L$501,0),0),0))</f>
        <v/>
      </c>
      <c r="W413" t="str">
        <f t="shared" si="131"/>
        <v/>
      </c>
      <c r="X413" s="38" t="str">
        <f>IF(L413="","",IF(V413&gt;0,INDEX('10-تشرين الأول'!$P$2:$P$501,V413),IF($AO$1=1,0,"")))</f>
        <v/>
      </c>
      <c r="Y413" s="38" t="str">
        <f t="shared" si="132"/>
        <v/>
      </c>
      <c r="Z413" s="39" t="str">
        <f>IF(L413="","",IF(V413&gt;0,INDEX('10-تشرين الأول'!$Q$2:$Q$501,V413),IF($AO$1=1,0,"")))</f>
        <v/>
      </c>
      <c r="AA413" s="39" t="str">
        <f t="shared" si="133"/>
        <v/>
      </c>
      <c r="AB413" s="40" t="str">
        <f>IF(OR(L413="",V413=0),"",IF(AND(N(I413)&gt;0,N(INDEX('10-تشرين الأول'!$I$2:$I$501,V413))&gt;0,INDEX('10-تشرين الأول'!$F$2:$F$501,V413)=F413),N(I413)/N(INDEX('10-تشرين الأول'!$I$2:$I$501,V413))-1,""))</f>
        <v/>
      </c>
      <c r="AC413" t="str">
        <f>IF(L413="","",IF(AND($AO$2=1,ISNA(MATCH(L413,'12-كانون الأول'!$L$2:$L$501,0))),"محذوف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IF(L414="","",IF($AO$1=1,IFERROR(MATCH(L414,'10-تشرين الأول'!$L$2:$L$501,0),0),0))</f>
        <v/>
      </c>
      <c r="W414" t="str">
        <f t="shared" si="131"/>
        <v/>
      </c>
      <c r="X414" s="38" t="str">
        <f>IF(L414="","",IF(V414&gt;0,INDEX('10-تشرين الأول'!$P$2:$P$501,V414),IF($AO$1=1,0,"")))</f>
        <v/>
      </c>
      <c r="Y414" s="38" t="str">
        <f t="shared" si="132"/>
        <v/>
      </c>
      <c r="Z414" s="39" t="str">
        <f>IF(L414="","",IF(V414&gt;0,INDEX('10-تشرين الأول'!$Q$2:$Q$501,V414),IF($AO$1=1,0,"")))</f>
        <v/>
      </c>
      <c r="AA414" s="39" t="str">
        <f t="shared" si="133"/>
        <v/>
      </c>
      <c r="AB414" s="40" t="str">
        <f>IF(OR(L414="",V414=0),"",IF(AND(N(I414)&gt;0,N(INDEX('10-تشرين الأول'!$I$2:$I$501,V414))&gt;0,INDEX('10-تشرين الأول'!$F$2:$F$501,V414)=F414),N(I414)/N(INDEX('10-تشرين الأول'!$I$2:$I$501,V414))-1,""))</f>
        <v/>
      </c>
      <c r="AC414" t="str">
        <f>IF(L414="","",IF(AND($AO$2=1,ISNA(MATCH(L414,'12-كانون الأول'!$L$2:$L$501,0))),"محذوف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IF(L415="","",IF($AO$1=1,IFERROR(MATCH(L415,'10-تشرين الأول'!$L$2:$L$501,0),0),0))</f>
        <v/>
      </c>
      <c r="W415" t="str">
        <f t="shared" si="131"/>
        <v/>
      </c>
      <c r="X415" s="38" t="str">
        <f>IF(L415="","",IF(V415&gt;0,INDEX('10-تشرين الأول'!$P$2:$P$501,V415),IF($AO$1=1,0,"")))</f>
        <v/>
      </c>
      <c r="Y415" s="38" t="str">
        <f t="shared" si="132"/>
        <v/>
      </c>
      <c r="Z415" s="39" t="str">
        <f>IF(L415="","",IF(V415&gt;0,INDEX('10-تشرين الأول'!$Q$2:$Q$501,V415),IF($AO$1=1,0,"")))</f>
        <v/>
      </c>
      <c r="AA415" s="39" t="str">
        <f t="shared" si="133"/>
        <v/>
      </c>
      <c r="AB415" s="40" t="str">
        <f>IF(OR(L415="",V415=0),"",IF(AND(N(I415)&gt;0,N(INDEX('10-تشرين الأول'!$I$2:$I$501,V415))&gt;0,INDEX('10-تشرين الأول'!$F$2:$F$501,V415)=F415),N(I415)/N(INDEX('10-تشرين الأول'!$I$2:$I$501,V415))-1,""))</f>
        <v/>
      </c>
      <c r="AC415" t="str">
        <f>IF(L415="","",IF(AND($AO$2=1,ISNA(MATCH(L415,'12-كانون الأول'!$L$2:$L$501,0))),"محذوف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IF(L416="","",IF($AO$1=1,IFERROR(MATCH(L416,'10-تشرين الأول'!$L$2:$L$501,0),0),0))</f>
        <v/>
      </c>
      <c r="W416" t="str">
        <f t="shared" si="131"/>
        <v/>
      </c>
      <c r="X416" s="38" t="str">
        <f>IF(L416="","",IF(V416&gt;0,INDEX('10-تشرين الأول'!$P$2:$P$501,V416),IF($AO$1=1,0,"")))</f>
        <v/>
      </c>
      <c r="Y416" s="38" t="str">
        <f t="shared" si="132"/>
        <v/>
      </c>
      <c r="Z416" s="39" t="str">
        <f>IF(L416="","",IF(V416&gt;0,INDEX('10-تشرين الأول'!$Q$2:$Q$501,V416),IF($AO$1=1,0,"")))</f>
        <v/>
      </c>
      <c r="AA416" s="39" t="str">
        <f t="shared" si="133"/>
        <v/>
      </c>
      <c r="AB416" s="40" t="str">
        <f>IF(OR(L416="",V416=0),"",IF(AND(N(I416)&gt;0,N(INDEX('10-تشرين الأول'!$I$2:$I$501,V416))&gt;0,INDEX('10-تشرين الأول'!$F$2:$F$501,V416)=F416),N(I416)/N(INDEX('10-تشرين الأول'!$I$2:$I$501,V416))-1,""))</f>
        <v/>
      </c>
      <c r="AC416" t="str">
        <f>IF(L416="","",IF(AND($AO$2=1,ISNA(MATCH(L416,'12-كانون الأول'!$L$2:$L$501,0))),"محذوف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IF(L417="","",IF($AO$1=1,IFERROR(MATCH(L417,'10-تشرين الأول'!$L$2:$L$501,0),0),0))</f>
        <v/>
      </c>
      <c r="W417" t="str">
        <f t="shared" si="131"/>
        <v/>
      </c>
      <c r="X417" s="38" t="str">
        <f>IF(L417="","",IF(V417&gt;0,INDEX('10-تشرين الأول'!$P$2:$P$501,V417),IF($AO$1=1,0,"")))</f>
        <v/>
      </c>
      <c r="Y417" s="38" t="str">
        <f t="shared" si="132"/>
        <v/>
      </c>
      <c r="Z417" s="39" t="str">
        <f>IF(L417="","",IF(V417&gt;0,INDEX('10-تشرين الأول'!$Q$2:$Q$501,V417),IF($AO$1=1,0,"")))</f>
        <v/>
      </c>
      <c r="AA417" s="39" t="str">
        <f t="shared" si="133"/>
        <v/>
      </c>
      <c r="AB417" s="40" t="str">
        <f>IF(OR(L417="",V417=0),"",IF(AND(N(I417)&gt;0,N(INDEX('10-تشرين الأول'!$I$2:$I$501,V417))&gt;0,INDEX('10-تشرين الأول'!$F$2:$F$501,V417)=F417),N(I417)/N(INDEX('10-تشرين الأول'!$I$2:$I$501,V417))-1,""))</f>
        <v/>
      </c>
      <c r="AC417" t="str">
        <f>IF(L417="","",IF(AND($AO$2=1,ISNA(MATCH(L417,'12-كانون الأول'!$L$2:$L$501,0))),"محذوف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IF(L418="","",IF($AO$1=1,IFERROR(MATCH(L418,'10-تشرين الأول'!$L$2:$L$501,0),0),0))</f>
        <v/>
      </c>
      <c r="W418" t="str">
        <f t="shared" si="131"/>
        <v/>
      </c>
      <c r="X418" s="38" t="str">
        <f>IF(L418="","",IF(V418&gt;0,INDEX('10-تشرين الأول'!$P$2:$P$501,V418),IF($AO$1=1,0,"")))</f>
        <v/>
      </c>
      <c r="Y418" s="38" t="str">
        <f t="shared" si="132"/>
        <v/>
      </c>
      <c r="Z418" s="39" t="str">
        <f>IF(L418="","",IF(V418&gt;0,INDEX('10-تشرين الأول'!$Q$2:$Q$501,V418),IF($AO$1=1,0,"")))</f>
        <v/>
      </c>
      <c r="AA418" s="39" t="str">
        <f t="shared" si="133"/>
        <v/>
      </c>
      <c r="AB418" s="40" t="str">
        <f>IF(OR(L418="",V418=0),"",IF(AND(N(I418)&gt;0,N(INDEX('10-تشرين الأول'!$I$2:$I$501,V418))&gt;0,INDEX('10-تشرين الأول'!$F$2:$F$501,V418)=F418),N(I418)/N(INDEX('10-تشرين الأول'!$I$2:$I$501,V418))-1,""))</f>
        <v/>
      </c>
      <c r="AC418" t="str">
        <f>IF(L418="","",IF(AND($AO$2=1,ISNA(MATCH(L418,'12-كانون الأول'!$L$2:$L$501,0))),"محذوف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IF(L419="","",IF($AO$1=1,IFERROR(MATCH(L419,'10-تشرين الأول'!$L$2:$L$501,0),0),0))</f>
        <v/>
      </c>
      <c r="W419" t="str">
        <f t="shared" si="131"/>
        <v/>
      </c>
      <c r="X419" s="38" t="str">
        <f>IF(L419="","",IF(V419&gt;0,INDEX('10-تشرين الأول'!$P$2:$P$501,V419),IF($AO$1=1,0,"")))</f>
        <v/>
      </c>
      <c r="Y419" s="38" t="str">
        <f t="shared" si="132"/>
        <v/>
      </c>
      <c r="Z419" s="39" t="str">
        <f>IF(L419="","",IF(V419&gt;0,INDEX('10-تشرين الأول'!$Q$2:$Q$501,V419),IF($AO$1=1,0,"")))</f>
        <v/>
      </c>
      <c r="AA419" s="39" t="str">
        <f t="shared" si="133"/>
        <v/>
      </c>
      <c r="AB419" s="40" t="str">
        <f>IF(OR(L419="",V419=0),"",IF(AND(N(I419)&gt;0,N(INDEX('10-تشرين الأول'!$I$2:$I$501,V419))&gt;0,INDEX('10-تشرين الأول'!$F$2:$F$501,V419)=F419),N(I419)/N(INDEX('10-تشرين الأول'!$I$2:$I$501,V419))-1,""))</f>
        <v/>
      </c>
      <c r="AC419" t="str">
        <f>IF(L419="","",IF(AND($AO$2=1,ISNA(MATCH(L419,'12-كانون الأول'!$L$2:$L$501,0))),"محذوف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IF(L420="","",IF($AO$1=1,IFERROR(MATCH(L420,'10-تشرين الأول'!$L$2:$L$501,0),0),0))</f>
        <v/>
      </c>
      <c r="W420" t="str">
        <f t="shared" si="131"/>
        <v/>
      </c>
      <c r="X420" s="38" t="str">
        <f>IF(L420="","",IF(V420&gt;0,INDEX('10-تشرين الأول'!$P$2:$P$501,V420),IF($AO$1=1,0,"")))</f>
        <v/>
      </c>
      <c r="Y420" s="38" t="str">
        <f t="shared" si="132"/>
        <v/>
      </c>
      <c r="Z420" s="39" t="str">
        <f>IF(L420="","",IF(V420&gt;0,INDEX('10-تشرين الأول'!$Q$2:$Q$501,V420),IF($AO$1=1,0,"")))</f>
        <v/>
      </c>
      <c r="AA420" s="39" t="str">
        <f t="shared" si="133"/>
        <v/>
      </c>
      <c r="AB420" s="40" t="str">
        <f>IF(OR(L420="",V420=0),"",IF(AND(N(I420)&gt;0,N(INDEX('10-تشرين الأول'!$I$2:$I$501,V420))&gt;0,INDEX('10-تشرين الأول'!$F$2:$F$501,V420)=F420),N(I420)/N(INDEX('10-تشرين الأول'!$I$2:$I$501,V420))-1,""))</f>
        <v/>
      </c>
      <c r="AC420" t="str">
        <f>IF(L420="","",IF(AND($AO$2=1,ISNA(MATCH(L420,'12-كانون الأول'!$L$2:$L$501,0))),"محذوف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IF(L421="","",IF($AO$1=1,IFERROR(MATCH(L421,'10-تشرين الأول'!$L$2:$L$501,0),0),0))</f>
        <v/>
      </c>
      <c r="W421" t="str">
        <f t="shared" si="131"/>
        <v/>
      </c>
      <c r="X421" s="38" t="str">
        <f>IF(L421="","",IF(V421&gt;0,INDEX('10-تشرين الأول'!$P$2:$P$501,V421),IF($AO$1=1,0,"")))</f>
        <v/>
      </c>
      <c r="Y421" s="38" t="str">
        <f t="shared" si="132"/>
        <v/>
      </c>
      <c r="Z421" s="39" t="str">
        <f>IF(L421="","",IF(V421&gt;0,INDEX('10-تشرين الأول'!$Q$2:$Q$501,V421),IF($AO$1=1,0,"")))</f>
        <v/>
      </c>
      <c r="AA421" s="39" t="str">
        <f t="shared" si="133"/>
        <v/>
      </c>
      <c r="AB421" s="40" t="str">
        <f>IF(OR(L421="",V421=0),"",IF(AND(N(I421)&gt;0,N(INDEX('10-تشرين الأول'!$I$2:$I$501,V421))&gt;0,INDEX('10-تشرين الأول'!$F$2:$F$501,V421)=F421),N(I421)/N(INDEX('10-تشرين الأول'!$I$2:$I$501,V421))-1,""))</f>
        <v/>
      </c>
      <c r="AC421" t="str">
        <f>IF(L421="","",IF(AND($AO$2=1,ISNA(MATCH(L421,'12-كانون الأول'!$L$2:$L$501,0))),"محذوف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IF(L422="","",IF($AO$1=1,IFERROR(MATCH(L422,'10-تشرين الأول'!$L$2:$L$501,0),0),0))</f>
        <v/>
      </c>
      <c r="W422" t="str">
        <f t="shared" si="131"/>
        <v/>
      </c>
      <c r="X422" s="38" t="str">
        <f>IF(L422="","",IF(V422&gt;0,INDEX('10-تشرين الأول'!$P$2:$P$501,V422),IF($AO$1=1,0,"")))</f>
        <v/>
      </c>
      <c r="Y422" s="38" t="str">
        <f t="shared" si="132"/>
        <v/>
      </c>
      <c r="Z422" s="39" t="str">
        <f>IF(L422="","",IF(V422&gt;0,INDEX('10-تشرين الأول'!$Q$2:$Q$501,V422),IF($AO$1=1,0,"")))</f>
        <v/>
      </c>
      <c r="AA422" s="39" t="str">
        <f t="shared" si="133"/>
        <v/>
      </c>
      <c r="AB422" s="40" t="str">
        <f>IF(OR(L422="",V422=0),"",IF(AND(N(I422)&gt;0,N(INDEX('10-تشرين الأول'!$I$2:$I$501,V422))&gt;0,INDEX('10-تشرين الأول'!$F$2:$F$501,V422)=F422),N(I422)/N(INDEX('10-تشرين الأول'!$I$2:$I$501,V422))-1,""))</f>
        <v/>
      </c>
      <c r="AC422" t="str">
        <f>IF(L422="","",IF(AND($AO$2=1,ISNA(MATCH(L422,'12-كانون الأول'!$L$2:$L$501,0))),"محذوف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IF(L423="","",IF($AO$1=1,IFERROR(MATCH(L423,'10-تشرين الأول'!$L$2:$L$501,0),0),0))</f>
        <v/>
      </c>
      <c r="W423" t="str">
        <f t="shared" si="131"/>
        <v/>
      </c>
      <c r="X423" s="38" t="str">
        <f>IF(L423="","",IF(V423&gt;0,INDEX('10-تشرين الأول'!$P$2:$P$501,V423),IF($AO$1=1,0,"")))</f>
        <v/>
      </c>
      <c r="Y423" s="38" t="str">
        <f t="shared" si="132"/>
        <v/>
      </c>
      <c r="Z423" s="39" t="str">
        <f>IF(L423="","",IF(V423&gt;0,INDEX('10-تشرين الأول'!$Q$2:$Q$501,V423),IF($AO$1=1,0,"")))</f>
        <v/>
      </c>
      <c r="AA423" s="39" t="str">
        <f t="shared" si="133"/>
        <v/>
      </c>
      <c r="AB423" s="40" t="str">
        <f>IF(OR(L423="",V423=0),"",IF(AND(N(I423)&gt;0,N(INDEX('10-تشرين الأول'!$I$2:$I$501,V423))&gt;0,INDEX('10-تشرين الأول'!$F$2:$F$501,V423)=F423),N(I423)/N(INDEX('10-تشرين الأول'!$I$2:$I$501,V423))-1,""))</f>
        <v/>
      </c>
      <c r="AC423" t="str">
        <f>IF(L423="","",IF(AND($AO$2=1,ISNA(MATCH(L423,'12-كانون الأول'!$L$2:$L$501,0))),"محذوف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IF(L424="","",IF($AO$1=1,IFERROR(MATCH(L424,'10-تشرين الأول'!$L$2:$L$501,0),0),0))</f>
        <v/>
      </c>
      <c r="W424" t="str">
        <f t="shared" si="131"/>
        <v/>
      </c>
      <c r="X424" s="38" t="str">
        <f>IF(L424="","",IF(V424&gt;0,INDEX('10-تشرين الأول'!$P$2:$P$501,V424),IF($AO$1=1,0,"")))</f>
        <v/>
      </c>
      <c r="Y424" s="38" t="str">
        <f t="shared" si="132"/>
        <v/>
      </c>
      <c r="Z424" s="39" t="str">
        <f>IF(L424="","",IF(V424&gt;0,INDEX('10-تشرين الأول'!$Q$2:$Q$501,V424),IF($AO$1=1,0,"")))</f>
        <v/>
      </c>
      <c r="AA424" s="39" t="str">
        <f t="shared" si="133"/>
        <v/>
      </c>
      <c r="AB424" s="40" t="str">
        <f>IF(OR(L424="",V424=0),"",IF(AND(N(I424)&gt;0,N(INDEX('10-تشرين الأول'!$I$2:$I$501,V424))&gt;0,INDEX('10-تشرين الأول'!$F$2:$F$501,V424)=F424),N(I424)/N(INDEX('10-تشرين الأول'!$I$2:$I$501,V424))-1,""))</f>
        <v/>
      </c>
      <c r="AC424" t="str">
        <f>IF(L424="","",IF(AND($AO$2=1,ISNA(MATCH(L424,'12-كانون الأول'!$L$2:$L$501,0))),"محذوف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IF(L425="","",IF($AO$1=1,IFERROR(MATCH(L425,'10-تشرين الأول'!$L$2:$L$501,0),0),0))</f>
        <v/>
      </c>
      <c r="W425" t="str">
        <f t="shared" si="131"/>
        <v/>
      </c>
      <c r="X425" s="38" t="str">
        <f>IF(L425="","",IF(V425&gt;0,INDEX('10-تشرين الأول'!$P$2:$P$501,V425),IF($AO$1=1,0,"")))</f>
        <v/>
      </c>
      <c r="Y425" s="38" t="str">
        <f t="shared" si="132"/>
        <v/>
      </c>
      <c r="Z425" s="39" t="str">
        <f>IF(L425="","",IF(V425&gt;0,INDEX('10-تشرين الأول'!$Q$2:$Q$501,V425),IF($AO$1=1,0,"")))</f>
        <v/>
      </c>
      <c r="AA425" s="39" t="str">
        <f t="shared" si="133"/>
        <v/>
      </c>
      <c r="AB425" s="40" t="str">
        <f>IF(OR(L425="",V425=0),"",IF(AND(N(I425)&gt;0,N(INDEX('10-تشرين الأول'!$I$2:$I$501,V425))&gt;0,INDEX('10-تشرين الأول'!$F$2:$F$501,V425)=F425),N(I425)/N(INDEX('10-تشرين الأول'!$I$2:$I$501,V425))-1,""))</f>
        <v/>
      </c>
      <c r="AC425" t="str">
        <f>IF(L425="","",IF(AND($AO$2=1,ISNA(MATCH(L425,'12-كانون الأول'!$L$2:$L$501,0))),"محذوف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IF(L426="","",IF($AO$1=1,IFERROR(MATCH(L426,'10-تشرين الأول'!$L$2:$L$501,0),0),0))</f>
        <v/>
      </c>
      <c r="W426" t="str">
        <f t="shared" si="131"/>
        <v/>
      </c>
      <c r="X426" s="38" t="str">
        <f>IF(L426="","",IF(V426&gt;0,INDEX('10-تشرين الأول'!$P$2:$P$501,V426),IF($AO$1=1,0,"")))</f>
        <v/>
      </c>
      <c r="Y426" s="38" t="str">
        <f t="shared" si="132"/>
        <v/>
      </c>
      <c r="Z426" s="39" t="str">
        <f>IF(L426="","",IF(V426&gt;0,INDEX('10-تشرين الأول'!$Q$2:$Q$501,V426),IF($AO$1=1,0,"")))</f>
        <v/>
      </c>
      <c r="AA426" s="39" t="str">
        <f t="shared" si="133"/>
        <v/>
      </c>
      <c r="AB426" s="40" t="str">
        <f>IF(OR(L426="",V426=0),"",IF(AND(N(I426)&gt;0,N(INDEX('10-تشرين الأول'!$I$2:$I$501,V426))&gt;0,INDEX('10-تشرين الأول'!$F$2:$F$501,V426)=F426),N(I426)/N(INDEX('10-تشرين الأول'!$I$2:$I$501,V426))-1,""))</f>
        <v/>
      </c>
      <c r="AC426" t="str">
        <f>IF(L426="","",IF(AND($AO$2=1,ISNA(MATCH(L426,'12-كانون الأول'!$L$2:$L$501,0))),"محذوف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IF(L427="","",IF($AO$1=1,IFERROR(MATCH(L427,'10-تشرين الأول'!$L$2:$L$501,0),0),0))</f>
        <v/>
      </c>
      <c r="W427" t="str">
        <f t="shared" si="131"/>
        <v/>
      </c>
      <c r="X427" s="38" t="str">
        <f>IF(L427="","",IF(V427&gt;0,INDEX('10-تشرين الأول'!$P$2:$P$501,V427),IF($AO$1=1,0,"")))</f>
        <v/>
      </c>
      <c r="Y427" s="38" t="str">
        <f t="shared" si="132"/>
        <v/>
      </c>
      <c r="Z427" s="39" t="str">
        <f>IF(L427="","",IF(V427&gt;0,INDEX('10-تشرين الأول'!$Q$2:$Q$501,V427),IF($AO$1=1,0,"")))</f>
        <v/>
      </c>
      <c r="AA427" s="39" t="str">
        <f t="shared" si="133"/>
        <v/>
      </c>
      <c r="AB427" s="40" t="str">
        <f>IF(OR(L427="",V427=0),"",IF(AND(N(I427)&gt;0,N(INDEX('10-تشرين الأول'!$I$2:$I$501,V427))&gt;0,INDEX('10-تشرين الأول'!$F$2:$F$501,V427)=F427),N(I427)/N(INDEX('10-تشرين الأول'!$I$2:$I$501,V427))-1,""))</f>
        <v/>
      </c>
      <c r="AC427" t="str">
        <f>IF(L427="","",IF(AND($AO$2=1,ISNA(MATCH(L427,'12-كانون الأول'!$L$2:$L$501,0))),"محذوف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IF(L428="","",IF($AO$1=1,IFERROR(MATCH(L428,'10-تشرين الأول'!$L$2:$L$501,0),0),0))</f>
        <v/>
      </c>
      <c r="W428" t="str">
        <f t="shared" si="131"/>
        <v/>
      </c>
      <c r="X428" s="38" t="str">
        <f>IF(L428="","",IF(V428&gt;0,INDEX('10-تشرين الأول'!$P$2:$P$501,V428),IF($AO$1=1,0,"")))</f>
        <v/>
      </c>
      <c r="Y428" s="38" t="str">
        <f t="shared" si="132"/>
        <v/>
      </c>
      <c r="Z428" s="39" t="str">
        <f>IF(L428="","",IF(V428&gt;0,INDEX('10-تشرين الأول'!$Q$2:$Q$501,V428),IF($AO$1=1,0,"")))</f>
        <v/>
      </c>
      <c r="AA428" s="39" t="str">
        <f t="shared" si="133"/>
        <v/>
      </c>
      <c r="AB428" s="40" t="str">
        <f>IF(OR(L428="",V428=0),"",IF(AND(N(I428)&gt;0,N(INDEX('10-تشرين الأول'!$I$2:$I$501,V428))&gt;0,INDEX('10-تشرين الأول'!$F$2:$F$501,V428)=F428),N(I428)/N(INDEX('10-تشرين الأول'!$I$2:$I$501,V428))-1,""))</f>
        <v/>
      </c>
      <c r="AC428" t="str">
        <f>IF(L428="","",IF(AND($AO$2=1,ISNA(MATCH(L428,'12-كانون الأول'!$L$2:$L$501,0))),"محذوف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IF(L429="","",IF($AO$1=1,IFERROR(MATCH(L429,'10-تشرين الأول'!$L$2:$L$501,0),0),0))</f>
        <v/>
      </c>
      <c r="W429" t="str">
        <f t="shared" si="131"/>
        <v/>
      </c>
      <c r="X429" s="38" t="str">
        <f>IF(L429="","",IF(V429&gt;0,INDEX('10-تشرين الأول'!$P$2:$P$501,V429),IF($AO$1=1,0,"")))</f>
        <v/>
      </c>
      <c r="Y429" s="38" t="str">
        <f t="shared" si="132"/>
        <v/>
      </c>
      <c r="Z429" s="39" t="str">
        <f>IF(L429="","",IF(V429&gt;0,INDEX('10-تشرين الأول'!$Q$2:$Q$501,V429),IF($AO$1=1,0,"")))</f>
        <v/>
      </c>
      <c r="AA429" s="39" t="str">
        <f t="shared" si="133"/>
        <v/>
      </c>
      <c r="AB429" s="40" t="str">
        <f>IF(OR(L429="",V429=0),"",IF(AND(N(I429)&gt;0,N(INDEX('10-تشرين الأول'!$I$2:$I$501,V429))&gt;0,INDEX('10-تشرين الأول'!$F$2:$F$501,V429)=F429),N(I429)/N(INDEX('10-تشرين الأول'!$I$2:$I$501,V429))-1,""))</f>
        <v/>
      </c>
      <c r="AC429" t="str">
        <f>IF(L429="","",IF(AND($AO$2=1,ISNA(MATCH(L429,'12-كانون الأول'!$L$2:$L$501,0))),"محذوف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IF(L430="","",IF($AO$1=1,IFERROR(MATCH(L430,'10-تشرين الأول'!$L$2:$L$501,0),0),0))</f>
        <v/>
      </c>
      <c r="W430" t="str">
        <f t="shared" si="131"/>
        <v/>
      </c>
      <c r="X430" s="38" t="str">
        <f>IF(L430="","",IF(V430&gt;0,INDEX('10-تشرين الأول'!$P$2:$P$501,V430),IF($AO$1=1,0,"")))</f>
        <v/>
      </c>
      <c r="Y430" s="38" t="str">
        <f t="shared" si="132"/>
        <v/>
      </c>
      <c r="Z430" s="39" t="str">
        <f>IF(L430="","",IF(V430&gt;0,INDEX('10-تشرين الأول'!$Q$2:$Q$501,V430),IF($AO$1=1,0,"")))</f>
        <v/>
      </c>
      <c r="AA430" s="39" t="str">
        <f t="shared" si="133"/>
        <v/>
      </c>
      <c r="AB430" s="40" t="str">
        <f>IF(OR(L430="",V430=0),"",IF(AND(N(I430)&gt;0,N(INDEX('10-تشرين الأول'!$I$2:$I$501,V430))&gt;0,INDEX('10-تشرين الأول'!$F$2:$F$501,V430)=F430),N(I430)/N(INDEX('10-تشرين الأول'!$I$2:$I$501,V430))-1,""))</f>
        <v/>
      </c>
      <c r="AC430" t="str">
        <f>IF(L430="","",IF(AND($AO$2=1,ISNA(MATCH(L430,'12-كانون الأول'!$L$2:$L$501,0))),"محذوف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IF(L431="","",IF($AO$1=1,IFERROR(MATCH(L431,'10-تشرين الأول'!$L$2:$L$501,0),0),0))</f>
        <v/>
      </c>
      <c r="W431" t="str">
        <f t="shared" si="131"/>
        <v/>
      </c>
      <c r="X431" s="38" t="str">
        <f>IF(L431="","",IF(V431&gt;0,INDEX('10-تشرين الأول'!$P$2:$P$501,V431),IF($AO$1=1,0,"")))</f>
        <v/>
      </c>
      <c r="Y431" s="38" t="str">
        <f t="shared" si="132"/>
        <v/>
      </c>
      <c r="Z431" s="39" t="str">
        <f>IF(L431="","",IF(V431&gt;0,INDEX('10-تشرين الأول'!$Q$2:$Q$501,V431),IF($AO$1=1,0,"")))</f>
        <v/>
      </c>
      <c r="AA431" s="39" t="str">
        <f t="shared" si="133"/>
        <v/>
      </c>
      <c r="AB431" s="40" t="str">
        <f>IF(OR(L431="",V431=0),"",IF(AND(N(I431)&gt;0,N(INDEX('10-تشرين الأول'!$I$2:$I$501,V431))&gt;0,INDEX('10-تشرين الأول'!$F$2:$F$501,V431)=F431),N(I431)/N(INDEX('10-تشرين الأول'!$I$2:$I$501,V431))-1,""))</f>
        <v/>
      </c>
      <c r="AC431" t="str">
        <f>IF(L431="","",IF(AND($AO$2=1,ISNA(MATCH(L431,'12-كانون الأول'!$L$2:$L$501,0))),"محذوف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IF(L432="","",IF($AO$1=1,IFERROR(MATCH(L432,'10-تشرين الأول'!$L$2:$L$501,0),0),0))</f>
        <v/>
      </c>
      <c r="W432" t="str">
        <f t="shared" si="131"/>
        <v/>
      </c>
      <c r="X432" s="38" t="str">
        <f>IF(L432="","",IF(V432&gt;0,INDEX('10-تشرين الأول'!$P$2:$P$501,V432),IF($AO$1=1,0,"")))</f>
        <v/>
      </c>
      <c r="Y432" s="38" t="str">
        <f t="shared" si="132"/>
        <v/>
      </c>
      <c r="Z432" s="39" t="str">
        <f>IF(L432="","",IF(V432&gt;0,INDEX('10-تشرين الأول'!$Q$2:$Q$501,V432),IF($AO$1=1,0,"")))</f>
        <v/>
      </c>
      <c r="AA432" s="39" t="str">
        <f t="shared" si="133"/>
        <v/>
      </c>
      <c r="AB432" s="40" t="str">
        <f>IF(OR(L432="",V432=0),"",IF(AND(N(I432)&gt;0,N(INDEX('10-تشرين الأول'!$I$2:$I$501,V432))&gt;0,INDEX('10-تشرين الأول'!$F$2:$F$501,V432)=F432),N(I432)/N(INDEX('10-تشرين الأول'!$I$2:$I$501,V432))-1,""))</f>
        <v/>
      </c>
      <c r="AC432" t="str">
        <f>IF(L432="","",IF(AND($AO$2=1,ISNA(MATCH(L432,'12-كانون الأول'!$L$2:$L$501,0))),"محذوف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IF(L433="","",IF($AO$1=1,IFERROR(MATCH(L433,'10-تشرين الأول'!$L$2:$L$501,0),0),0))</f>
        <v/>
      </c>
      <c r="W433" t="str">
        <f t="shared" si="131"/>
        <v/>
      </c>
      <c r="X433" s="38" t="str">
        <f>IF(L433="","",IF(V433&gt;0,INDEX('10-تشرين الأول'!$P$2:$P$501,V433),IF($AO$1=1,0,"")))</f>
        <v/>
      </c>
      <c r="Y433" s="38" t="str">
        <f t="shared" si="132"/>
        <v/>
      </c>
      <c r="Z433" s="39" t="str">
        <f>IF(L433="","",IF(V433&gt;0,INDEX('10-تشرين الأول'!$Q$2:$Q$501,V433),IF($AO$1=1,0,"")))</f>
        <v/>
      </c>
      <c r="AA433" s="39" t="str">
        <f t="shared" si="133"/>
        <v/>
      </c>
      <c r="AB433" s="40" t="str">
        <f>IF(OR(L433="",V433=0),"",IF(AND(N(I433)&gt;0,N(INDEX('10-تشرين الأول'!$I$2:$I$501,V433))&gt;0,INDEX('10-تشرين الأول'!$F$2:$F$501,V433)=F433),N(I433)/N(INDEX('10-تشرين الأول'!$I$2:$I$501,V433))-1,""))</f>
        <v/>
      </c>
      <c r="AC433" t="str">
        <f>IF(L433="","",IF(AND($AO$2=1,ISNA(MATCH(L433,'12-كانون الأول'!$L$2:$L$501,0))),"محذوف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IF(L434="","",IF($AO$1=1,IFERROR(MATCH(L434,'10-تشرين الأول'!$L$2:$L$501,0),0),0))</f>
        <v/>
      </c>
      <c r="W434" t="str">
        <f t="shared" si="131"/>
        <v/>
      </c>
      <c r="X434" s="38" t="str">
        <f>IF(L434="","",IF(V434&gt;0,INDEX('10-تشرين الأول'!$P$2:$P$501,V434),IF($AO$1=1,0,"")))</f>
        <v/>
      </c>
      <c r="Y434" s="38" t="str">
        <f t="shared" si="132"/>
        <v/>
      </c>
      <c r="Z434" s="39" t="str">
        <f>IF(L434="","",IF(V434&gt;0,INDEX('10-تشرين الأول'!$Q$2:$Q$501,V434),IF($AO$1=1,0,"")))</f>
        <v/>
      </c>
      <c r="AA434" s="39" t="str">
        <f t="shared" si="133"/>
        <v/>
      </c>
      <c r="AB434" s="40" t="str">
        <f>IF(OR(L434="",V434=0),"",IF(AND(N(I434)&gt;0,N(INDEX('10-تشرين الأول'!$I$2:$I$501,V434))&gt;0,INDEX('10-تشرين الأول'!$F$2:$F$501,V434)=F434),N(I434)/N(INDEX('10-تشرين الأول'!$I$2:$I$501,V434))-1,""))</f>
        <v/>
      </c>
      <c r="AC434" t="str">
        <f>IF(L434="","",IF(AND($AO$2=1,ISNA(MATCH(L434,'12-كانون الأول'!$L$2:$L$501,0))),"محذوف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IF(L435="","",IF($AO$1=1,IFERROR(MATCH(L435,'10-تشرين الأول'!$L$2:$L$501,0),0),0))</f>
        <v/>
      </c>
      <c r="W435" t="str">
        <f t="shared" si="131"/>
        <v/>
      </c>
      <c r="X435" s="38" t="str">
        <f>IF(L435="","",IF(V435&gt;0,INDEX('10-تشرين الأول'!$P$2:$P$501,V435),IF($AO$1=1,0,"")))</f>
        <v/>
      </c>
      <c r="Y435" s="38" t="str">
        <f t="shared" si="132"/>
        <v/>
      </c>
      <c r="Z435" s="39" t="str">
        <f>IF(L435="","",IF(V435&gt;0,INDEX('10-تشرين الأول'!$Q$2:$Q$501,V435),IF($AO$1=1,0,"")))</f>
        <v/>
      </c>
      <c r="AA435" s="39" t="str">
        <f t="shared" si="133"/>
        <v/>
      </c>
      <c r="AB435" s="40" t="str">
        <f>IF(OR(L435="",V435=0),"",IF(AND(N(I435)&gt;0,N(INDEX('10-تشرين الأول'!$I$2:$I$501,V435))&gt;0,INDEX('10-تشرين الأول'!$F$2:$F$501,V435)=F435),N(I435)/N(INDEX('10-تشرين الأول'!$I$2:$I$501,V435))-1,""))</f>
        <v/>
      </c>
      <c r="AC435" t="str">
        <f>IF(L435="","",IF(AND($AO$2=1,ISNA(MATCH(L435,'12-كانون الأول'!$L$2:$L$501,0))),"محذوف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IF(L436="","",IF($AO$1=1,IFERROR(MATCH(L436,'10-تشرين الأول'!$L$2:$L$501,0),0),0))</f>
        <v/>
      </c>
      <c r="W436" t="str">
        <f t="shared" si="131"/>
        <v/>
      </c>
      <c r="X436" s="38" t="str">
        <f>IF(L436="","",IF(V436&gt;0,INDEX('10-تشرين الأول'!$P$2:$P$501,V436),IF($AO$1=1,0,"")))</f>
        <v/>
      </c>
      <c r="Y436" s="38" t="str">
        <f t="shared" si="132"/>
        <v/>
      </c>
      <c r="Z436" s="39" t="str">
        <f>IF(L436="","",IF(V436&gt;0,INDEX('10-تشرين الأول'!$Q$2:$Q$501,V436),IF($AO$1=1,0,"")))</f>
        <v/>
      </c>
      <c r="AA436" s="39" t="str">
        <f t="shared" si="133"/>
        <v/>
      </c>
      <c r="AB436" s="40" t="str">
        <f>IF(OR(L436="",V436=0),"",IF(AND(N(I436)&gt;0,N(INDEX('10-تشرين الأول'!$I$2:$I$501,V436))&gt;0,INDEX('10-تشرين الأول'!$F$2:$F$501,V436)=F436),N(I436)/N(INDEX('10-تشرين الأول'!$I$2:$I$501,V436))-1,""))</f>
        <v/>
      </c>
      <c r="AC436" t="str">
        <f>IF(L436="","",IF(AND($AO$2=1,ISNA(MATCH(L436,'12-كانون الأول'!$L$2:$L$501,0))),"محذوف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IF(L437="","",IF($AO$1=1,IFERROR(MATCH(L437,'10-تشرين الأول'!$L$2:$L$501,0),0),0))</f>
        <v/>
      </c>
      <c r="W437" t="str">
        <f t="shared" si="131"/>
        <v/>
      </c>
      <c r="X437" s="38" t="str">
        <f>IF(L437="","",IF(V437&gt;0,INDEX('10-تشرين الأول'!$P$2:$P$501,V437),IF($AO$1=1,0,"")))</f>
        <v/>
      </c>
      <c r="Y437" s="38" t="str">
        <f t="shared" si="132"/>
        <v/>
      </c>
      <c r="Z437" s="39" t="str">
        <f>IF(L437="","",IF(V437&gt;0,INDEX('10-تشرين الأول'!$Q$2:$Q$501,V437),IF($AO$1=1,0,"")))</f>
        <v/>
      </c>
      <c r="AA437" s="39" t="str">
        <f t="shared" si="133"/>
        <v/>
      </c>
      <c r="AB437" s="40" t="str">
        <f>IF(OR(L437="",V437=0),"",IF(AND(N(I437)&gt;0,N(INDEX('10-تشرين الأول'!$I$2:$I$501,V437))&gt;0,INDEX('10-تشرين الأول'!$F$2:$F$501,V437)=F437),N(I437)/N(INDEX('10-تشرين الأول'!$I$2:$I$501,V437))-1,""))</f>
        <v/>
      </c>
      <c r="AC437" t="str">
        <f>IF(L437="","",IF(AND($AO$2=1,ISNA(MATCH(L437,'12-كانون الأول'!$L$2:$L$501,0))),"محذوف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IF(L438="","",IF($AO$1=1,IFERROR(MATCH(L438,'10-تشرين الأول'!$L$2:$L$501,0),0),0))</f>
        <v/>
      </c>
      <c r="W438" t="str">
        <f t="shared" si="131"/>
        <v/>
      </c>
      <c r="X438" s="38" t="str">
        <f>IF(L438="","",IF(V438&gt;0,INDEX('10-تشرين الأول'!$P$2:$P$501,V438),IF($AO$1=1,0,"")))</f>
        <v/>
      </c>
      <c r="Y438" s="38" t="str">
        <f t="shared" si="132"/>
        <v/>
      </c>
      <c r="Z438" s="39" t="str">
        <f>IF(L438="","",IF(V438&gt;0,INDEX('10-تشرين الأول'!$Q$2:$Q$501,V438),IF($AO$1=1,0,"")))</f>
        <v/>
      </c>
      <c r="AA438" s="39" t="str">
        <f t="shared" si="133"/>
        <v/>
      </c>
      <c r="AB438" s="40" t="str">
        <f>IF(OR(L438="",V438=0),"",IF(AND(N(I438)&gt;0,N(INDEX('10-تشرين الأول'!$I$2:$I$501,V438))&gt;0,INDEX('10-تشرين الأول'!$F$2:$F$501,V438)=F438),N(I438)/N(INDEX('10-تشرين الأول'!$I$2:$I$501,V438))-1,""))</f>
        <v/>
      </c>
      <c r="AC438" t="str">
        <f>IF(L438="","",IF(AND($AO$2=1,ISNA(MATCH(L438,'12-كانون الأول'!$L$2:$L$501,0))),"محذوف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IF(L439="","",IF($AO$1=1,IFERROR(MATCH(L439,'10-تشرين الأول'!$L$2:$L$501,0),0),0))</f>
        <v/>
      </c>
      <c r="W439" t="str">
        <f t="shared" si="131"/>
        <v/>
      </c>
      <c r="X439" s="38" t="str">
        <f>IF(L439="","",IF(V439&gt;0,INDEX('10-تشرين الأول'!$P$2:$P$501,V439),IF($AO$1=1,0,"")))</f>
        <v/>
      </c>
      <c r="Y439" s="38" t="str">
        <f t="shared" si="132"/>
        <v/>
      </c>
      <c r="Z439" s="39" t="str">
        <f>IF(L439="","",IF(V439&gt;0,INDEX('10-تشرين الأول'!$Q$2:$Q$501,V439),IF($AO$1=1,0,"")))</f>
        <v/>
      </c>
      <c r="AA439" s="39" t="str">
        <f t="shared" si="133"/>
        <v/>
      </c>
      <c r="AB439" s="40" t="str">
        <f>IF(OR(L439="",V439=0),"",IF(AND(N(I439)&gt;0,N(INDEX('10-تشرين الأول'!$I$2:$I$501,V439))&gt;0,INDEX('10-تشرين الأول'!$F$2:$F$501,V439)=F439),N(I439)/N(INDEX('10-تشرين الأول'!$I$2:$I$501,V439))-1,""))</f>
        <v/>
      </c>
      <c r="AC439" t="str">
        <f>IF(L439="","",IF(AND($AO$2=1,ISNA(MATCH(L439,'12-كانون الأول'!$L$2:$L$501,0))),"محذوف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IF(L440="","",IF($AO$1=1,IFERROR(MATCH(L440,'10-تشرين الأول'!$L$2:$L$501,0),0),0))</f>
        <v/>
      </c>
      <c r="W440" t="str">
        <f t="shared" si="131"/>
        <v/>
      </c>
      <c r="X440" s="38" t="str">
        <f>IF(L440="","",IF(V440&gt;0,INDEX('10-تشرين الأول'!$P$2:$P$501,V440),IF($AO$1=1,0,"")))</f>
        <v/>
      </c>
      <c r="Y440" s="38" t="str">
        <f t="shared" si="132"/>
        <v/>
      </c>
      <c r="Z440" s="39" t="str">
        <f>IF(L440="","",IF(V440&gt;0,INDEX('10-تشرين الأول'!$Q$2:$Q$501,V440),IF($AO$1=1,0,"")))</f>
        <v/>
      </c>
      <c r="AA440" s="39" t="str">
        <f t="shared" si="133"/>
        <v/>
      </c>
      <c r="AB440" s="40" t="str">
        <f>IF(OR(L440="",V440=0),"",IF(AND(N(I440)&gt;0,N(INDEX('10-تشرين الأول'!$I$2:$I$501,V440))&gt;0,INDEX('10-تشرين الأول'!$F$2:$F$501,V440)=F440),N(I440)/N(INDEX('10-تشرين الأول'!$I$2:$I$501,V440))-1,""))</f>
        <v/>
      </c>
      <c r="AC440" t="str">
        <f>IF(L440="","",IF(AND($AO$2=1,ISNA(MATCH(L440,'12-كانون الأول'!$L$2:$L$501,0))),"محذوف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IF(L441="","",IF($AO$1=1,IFERROR(MATCH(L441,'10-تشرين الأول'!$L$2:$L$501,0),0),0))</f>
        <v/>
      </c>
      <c r="W441" t="str">
        <f t="shared" si="131"/>
        <v/>
      </c>
      <c r="X441" s="38" t="str">
        <f>IF(L441="","",IF(V441&gt;0,INDEX('10-تشرين الأول'!$P$2:$P$501,V441),IF($AO$1=1,0,"")))</f>
        <v/>
      </c>
      <c r="Y441" s="38" t="str">
        <f t="shared" si="132"/>
        <v/>
      </c>
      <c r="Z441" s="39" t="str">
        <f>IF(L441="","",IF(V441&gt;0,INDEX('10-تشرين الأول'!$Q$2:$Q$501,V441),IF($AO$1=1,0,"")))</f>
        <v/>
      </c>
      <c r="AA441" s="39" t="str">
        <f t="shared" si="133"/>
        <v/>
      </c>
      <c r="AB441" s="40" t="str">
        <f>IF(OR(L441="",V441=0),"",IF(AND(N(I441)&gt;0,N(INDEX('10-تشرين الأول'!$I$2:$I$501,V441))&gt;0,INDEX('10-تشرين الأول'!$F$2:$F$501,V441)=F441),N(I441)/N(INDEX('10-تشرين الأول'!$I$2:$I$501,V441))-1,""))</f>
        <v/>
      </c>
      <c r="AC441" t="str">
        <f>IF(L441="","",IF(AND($AO$2=1,ISNA(MATCH(L441,'12-كانون الأول'!$L$2:$L$501,0))),"محذوف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IF(L442="","",IF($AO$1=1,IFERROR(MATCH(L442,'10-تشرين الأول'!$L$2:$L$501,0),0),0))</f>
        <v/>
      </c>
      <c r="W442" t="str">
        <f t="shared" si="131"/>
        <v/>
      </c>
      <c r="X442" s="38" t="str">
        <f>IF(L442="","",IF(V442&gt;0,INDEX('10-تشرين الأول'!$P$2:$P$501,V442),IF($AO$1=1,0,"")))</f>
        <v/>
      </c>
      <c r="Y442" s="38" t="str">
        <f t="shared" si="132"/>
        <v/>
      </c>
      <c r="Z442" s="39" t="str">
        <f>IF(L442="","",IF(V442&gt;0,INDEX('10-تشرين الأول'!$Q$2:$Q$501,V442),IF($AO$1=1,0,"")))</f>
        <v/>
      </c>
      <c r="AA442" s="39" t="str">
        <f t="shared" si="133"/>
        <v/>
      </c>
      <c r="AB442" s="40" t="str">
        <f>IF(OR(L442="",V442=0),"",IF(AND(N(I442)&gt;0,N(INDEX('10-تشرين الأول'!$I$2:$I$501,V442))&gt;0,INDEX('10-تشرين الأول'!$F$2:$F$501,V442)=F442),N(I442)/N(INDEX('10-تشرين الأول'!$I$2:$I$501,V442))-1,""))</f>
        <v/>
      </c>
      <c r="AC442" t="str">
        <f>IF(L442="","",IF(AND($AO$2=1,ISNA(MATCH(L442,'12-كانون الأول'!$L$2:$L$501,0))),"محذوف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IF(L443="","",IF($AO$1=1,IFERROR(MATCH(L443,'10-تشرين الأول'!$L$2:$L$501,0),0),0))</f>
        <v/>
      </c>
      <c r="W443" t="str">
        <f t="shared" si="131"/>
        <v/>
      </c>
      <c r="X443" s="38" t="str">
        <f>IF(L443="","",IF(V443&gt;0,INDEX('10-تشرين الأول'!$P$2:$P$501,V443),IF($AO$1=1,0,"")))</f>
        <v/>
      </c>
      <c r="Y443" s="38" t="str">
        <f t="shared" si="132"/>
        <v/>
      </c>
      <c r="Z443" s="39" t="str">
        <f>IF(L443="","",IF(V443&gt;0,INDEX('10-تشرين الأول'!$Q$2:$Q$501,V443),IF($AO$1=1,0,"")))</f>
        <v/>
      </c>
      <c r="AA443" s="39" t="str">
        <f t="shared" si="133"/>
        <v/>
      </c>
      <c r="AB443" s="40" t="str">
        <f>IF(OR(L443="",V443=0),"",IF(AND(N(I443)&gt;0,N(INDEX('10-تشرين الأول'!$I$2:$I$501,V443))&gt;0,INDEX('10-تشرين الأول'!$F$2:$F$501,V443)=F443),N(I443)/N(INDEX('10-تشرين الأول'!$I$2:$I$501,V443))-1,""))</f>
        <v/>
      </c>
      <c r="AC443" t="str">
        <f>IF(L443="","",IF(AND($AO$2=1,ISNA(MATCH(L443,'12-كانون الأول'!$L$2:$L$501,0))),"محذوف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IF(L444="","",IF($AO$1=1,IFERROR(MATCH(L444,'10-تشرين الأول'!$L$2:$L$501,0),0),0))</f>
        <v/>
      </c>
      <c r="W444" t="str">
        <f t="shared" si="131"/>
        <v/>
      </c>
      <c r="X444" s="38" t="str">
        <f>IF(L444="","",IF(V444&gt;0,INDEX('10-تشرين الأول'!$P$2:$P$501,V444),IF($AO$1=1,0,"")))</f>
        <v/>
      </c>
      <c r="Y444" s="38" t="str">
        <f t="shared" si="132"/>
        <v/>
      </c>
      <c r="Z444" s="39" t="str">
        <f>IF(L444="","",IF(V444&gt;0,INDEX('10-تشرين الأول'!$Q$2:$Q$501,V444),IF($AO$1=1,0,"")))</f>
        <v/>
      </c>
      <c r="AA444" s="39" t="str">
        <f t="shared" si="133"/>
        <v/>
      </c>
      <c r="AB444" s="40" t="str">
        <f>IF(OR(L444="",V444=0),"",IF(AND(N(I444)&gt;0,N(INDEX('10-تشرين الأول'!$I$2:$I$501,V444))&gt;0,INDEX('10-تشرين الأول'!$F$2:$F$501,V444)=F444),N(I444)/N(INDEX('10-تشرين الأول'!$I$2:$I$501,V444))-1,""))</f>
        <v/>
      </c>
      <c r="AC444" t="str">
        <f>IF(L444="","",IF(AND($AO$2=1,ISNA(MATCH(L444,'12-كانون الأول'!$L$2:$L$501,0))),"محذوف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IF(L445="","",IF($AO$1=1,IFERROR(MATCH(L445,'10-تشرين الأول'!$L$2:$L$501,0),0),0))</f>
        <v/>
      </c>
      <c r="W445" t="str">
        <f t="shared" si="131"/>
        <v/>
      </c>
      <c r="X445" s="38" t="str">
        <f>IF(L445="","",IF(V445&gt;0,INDEX('10-تشرين الأول'!$P$2:$P$501,V445),IF($AO$1=1,0,"")))</f>
        <v/>
      </c>
      <c r="Y445" s="38" t="str">
        <f t="shared" si="132"/>
        <v/>
      </c>
      <c r="Z445" s="39" t="str">
        <f>IF(L445="","",IF(V445&gt;0,INDEX('10-تشرين الأول'!$Q$2:$Q$501,V445),IF($AO$1=1,0,"")))</f>
        <v/>
      </c>
      <c r="AA445" s="39" t="str">
        <f t="shared" si="133"/>
        <v/>
      </c>
      <c r="AB445" s="40" t="str">
        <f>IF(OR(L445="",V445=0),"",IF(AND(N(I445)&gt;0,N(INDEX('10-تشرين الأول'!$I$2:$I$501,V445))&gt;0,INDEX('10-تشرين الأول'!$F$2:$F$501,V445)=F445),N(I445)/N(INDEX('10-تشرين الأول'!$I$2:$I$501,V445))-1,""))</f>
        <v/>
      </c>
      <c r="AC445" t="str">
        <f>IF(L445="","",IF(AND($AO$2=1,ISNA(MATCH(L445,'12-كانون الأول'!$L$2:$L$501,0))),"محذوف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IF(L446="","",IF($AO$1=1,IFERROR(MATCH(L446,'10-تشرين الأول'!$L$2:$L$501,0),0),0))</f>
        <v/>
      </c>
      <c r="W446" t="str">
        <f t="shared" si="131"/>
        <v/>
      </c>
      <c r="X446" s="38" t="str">
        <f>IF(L446="","",IF(V446&gt;0,INDEX('10-تشرين الأول'!$P$2:$P$501,V446),IF($AO$1=1,0,"")))</f>
        <v/>
      </c>
      <c r="Y446" s="38" t="str">
        <f t="shared" si="132"/>
        <v/>
      </c>
      <c r="Z446" s="39" t="str">
        <f>IF(L446="","",IF(V446&gt;0,INDEX('10-تشرين الأول'!$Q$2:$Q$501,V446),IF($AO$1=1,0,"")))</f>
        <v/>
      </c>
      <c r="AA446" s="39" t="str">
        <f t="shared" si="133"/>
        <v/>
      </c>
      <c r="AB446" s="40" t="str">
        <f>IF(OR(L446="",V446=0),"",IF(AND(N(I446)&gt;0,N(INDEX('10-تشرين الأول'!$I$2:$I$501,V446))&gt;0,INDEX('10-تشرين الأول'!$F$2:$F$501,V446)=F446),N(I446)/N(INDEX('10-تشرين الأول'!$I$2:$I$501,V446))-1,""))</f>
        <v/>
      </c>
      <c r="AC446" t="str">
        <f>IF(L446="","",IF(AND($AO$2=1,ISNA(MATCH(L446,'12-كانون الأول'!$L$2:$L$501,0))),"محذوف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IF(L447="","",IF($AO$1=1,IFERROR(MATCH(L447,'10-تشرين الأول'!$L$2:$L$501,0),0),0))</f>
        <v/>
      </c>
      <c r="W447" t="str">
        <f t="shared" si="131"/>
        <v/>
      </c>
      <c r="X447" s="38" t="str">
        <f>IF(L447="","",IF(V447&gt;0,INDEX('10-تشرين الأول'!$P$2:$P$501,V447),IF($AO$1=1,0,"")))</f>
        <v/>
      </c>
      <c r="Y447" s="38" t="str">
        <f t="shared" si="132"/>
        <v/>
      </c>
      <c r="Z447" s="39" t="str">
        <f>IF(L447="","",IF(V447&gt;0,INDEX('10-تشرين الأول'!$Q$2:$Q$501,V447),IF($AO$1=1,0,"")))</f>
        <v/>
      </c>
      <c r="AA447" s="39" t="str">
        <f t="shared" si="133"/>
        <v/>
      </c>
      <c r="AB447" s="40" t="str">
        <f>IF(OR(L447="",V447=0),"",IF(AND(N(I447)&gt;0,N(INDEX('10-تشرين الأول'!$I$2:$I$501,V447))&gt;0,INDEX('10-تشرين الأول'!$F$2:$F$501,V447)=F447),N(I447)/N(INDEX('10-تشرين الأول'!$I$2:$I$501,V447))-1,""))</f>
        <v/>
      </c>
      <c r="AC447" t="str">
        <f>IF(L447="","",IF(AND($AO$2=1,ISNA(MATCH(L447,'12-كانون الأول'!$L$2:$L$501,0))),"محذوف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IF(L448="","",IF($AO$1=1,IFERROR(MATCH(L448,'10-تشرين الأول'!$L$2:$L$501,0),0),0))</f>
        <v/>
      </c>
      <c r="W448" t="str">
        <f t="shared" si="131"/>
        <v/>
      </c>
      <c r="X448" s="38" t="str">
        <f>IF(L448="","",IF(V448&gt;0,INDEX('10-تشرين الأول'!$P$2:$P$501,V448),IF($AO$1=1,0,"")))</f>
        <v/>
      </c>
      <c r="Y448" s="38" t="str">
        <f t="shared" si="132"/>
        <v/>
      </c>
      <c r="Z448" s="39" t="str">
        <f>IF(L448="","",IF(V448&gt;0,INDEX('10-تشرين الأول'!$Q$2:$Q$501,V448),IF($AO$1=1,0,"")))</f>
        <v/>
      </c>
      <c r="AA448" s="39" t="str">
        <f t="shared" si="133"/>
        <v/>
      </c>
      <c r="AB448" s="40" t="str">
        <f>IF(OR(L448="",V448=0),"",IF(AND(N(I448)&gt;0,N(INDEX('10-تشرين الأول'!$I$2:$I$501,V448))&gt;0,INDEX('10-تشرين الأول'!$F$2:$F$501,V448)=F448),N(I448)/N(INDEX('10-تشرين الأول'!$I$2:$I$501,V448))-1,""))</f>
        <v/>
      </c>
      <c r="AC448" t="str">
        <f>IF(L448="","",IF(AND($AO$2=1,ISNA(MATCH(L448,'12-كانون الأول'!$L$2:$L$501,0))),"محذوف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IF(L449="","",IF($AO$1=1,IFERROR(MATCH(L449,'10-تشرين الأول'!$L$2:$L$501,0),0),0))</f>
        <v/>
      </c>
      <c r="W449" t="str">
        <f t="shared" si="131"/>
        <v/>
      </c>
      <c r="X449" s="38" t="str">
        <f>IF(L449="","",IF(V449&gt;0,INDEX('10-تشرين الأول'!$P$2:$P$501,V449),IF($AO$1=1,0,"")))</f>
        <v/>
      </c>
      <c r="Y449" s="38" t="str">
        <f t="shared" si="132"/>
        <v/>
      </c>
      <c r="Z449" s="39" t="str">
        <f>IF(L449="","",IF(V449&gt;0,INDEX('10-تشرين الأول'!$Q$2:$Q$501,V449),IF($AO$1=1,0,"")))</f>
        <v/>
      </c>
      <c r="AA449" s="39" t="str">
        <f t="shared" si="133"/>
        <v/>
      </c>
      <c r="AB449" s="40" t="str">
        <f>IF(OR(L449="",V449=0),"",IF(AND(N(I449)&gt;0,N(INDEX('10-تشرين الأول'!$I$2:$I$501,V449))&gt;0,INDEX('10-تشرين الأول'!$F$2:$F$501,V449)=F449),N(I449)/N(INDEX('10-تشرين الأول'!$I$2:$I$501,V449))-1,""))</f>
        <v/>
      </c>
      <c r="AC449" t="str">
        <f>IF(L449="","",IF(AND($AO$2=1,ISNA(MATCH(L449,'12-كانون الأول'!$L$2:$L$501,0))),"محذوف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IF(L450="","",IF($AO$1=1,IFERROR(MATCH(L450,'10-تشرين الأول'!$L$2:$L$501,0),0),0))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IF(L450="","",IF(V450&gt;0,INDEX('10-تشرين الأول'!$P$2:$P$501,V450),IF($AO$1=1,0,"")))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IF(L450="","",IF(V450&gt;0,INDEX('10-تشرين الأول'!$Q$2:$Q$501,V450),IF($AO$1=1,0,"")))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IF(OR(L450="",V450=0),"",IF(AND(N(I450)&gt;0,N(INDEX('10-تشرين الأول'!$I$2:$I$501,V450))&gt;0,INDEX('10-تشرين الأول'!$F$2:$F$501,V450)=F450),N(I450)/N(INDEX('10-تشرين الأول'!$I$2:$I$501,V450))-1,""))</f>
        <v/>
      </c>
      <c r="AC450" t="str">
        <f>IF(L450="","",IF(AND($AO$2=1,ISNA(MATCH(L450,'12-كانون الأول'!$L$2:$L$501,0))),"محذوف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IF(L451="","",IF($AO$1=1,IFERROR(MATCH(L451,'10-تشرين الأول'!$L$2:$L$501,0),0),0))</f>
        <v/>
      </c>
      <c r="W451" t="str">
        <f t="shared" si="151"/>
        <v/>
      </c>
      <c r="X451" s="38" t="str">
        <f>IF(L451="","",IF(V451&gt;0,INDEX('10-تشرين الأول'!$P$2:$P$501,V451),IF($AO$1=1,0,"")))</f>
        <v/>
      </c>
      <c r="Y451" s="38" t="str">
        <f t="shared" si="152"/>
        <v/>
      </c>
      <c r="Z451" s="39" t="str">
        <f>IF(L451="","",IF(V451&gt;0,INDEX('10-تشرين الأول'!$Q$2:$Q$501,V451),IF($AO$1=1,0,"")))</f>
        <v/>
      </c>
      <c r="AA451" s="39" t="str">
        <f t="shared" si="153"/>
        <v/>
      </c>
      <c r="AB451" s="40" t="str">
        <f>IF(OR(L451="",V451=0),"",IF(AND(N(I451)&gt;0,N(INDEX('10-تشرين الأول'!$I$2:$I$501,V451))&gt;0,INDEX('10-تشرين الأول'!$F$2:$F$501,V451)=F451),N(I451)/N(INDEX('10-تشرين الأول'!$I$2:$I$501,V451))-1,""))</f>
        <v/>
      </c>
      <c r="AC451" t="str">
        <f>IF(L451="","",IF(AND($AO$2=1,ISNA(MATCH(L451,'12-كانون الأول'!$L$2:$L$501,0))),"محذوف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IF(L452="","",IF($AO$1=1,IFERROR(MATCH(L452,'10-تشرين الأول'!$L$2:$L$501,0),0),0))</f>
        <v/>
      </c>
      <c r="W452" t="str">
        <f t="shared" si="151"/>
        <v/>
      </c>
      <c r="X452" s="38" t="str">
        <f>IF(L452="","",IF(V452&gt;0,INDEX('10-تشرين الأول'!$P$2:$P$501,V452),IF($AO$1=1,0,"")))</f>
        <v/>
      </c>
      <c r="Y452" s="38" t="str">
        <f t="shared" si="152"/>
        <v/>
      </c>
      <c r="Z452" s="39" t="str">
        <f>IF(L452="","",IF(V452&gt;0,INDEX('10-تشرين الأول'!$Q$2:$Q$501,V452),IF($AO$1=1,0,"")))</f>
        <v/>
      </c>
      <c r="AA452" s="39" t="str">
        <f t="shared" si="153"/>
        <v/>
      </c>
      <c r="AB452" s="40" t="str">
        <f>IF(OR(L452="",V452=0),"",IF(AND(N(I452)&gt;0,N(INDEX('10-تشرين الأول'!$I$2:$I$501,V452))&gt;0,INDEX('10-تشرين الأول'!$F$2:$F$501,V452)=F452),N(I452)/N(INDEX('10-تشرين الأول'!$I$2:$I$501,V452))-1,""))</f>
        <v/>
      </c>
      <c r="AC452" t="str">
        <f>IF(L452="","",IF(AND($AO$2=1,ISNA(MATCH(L452,'12-كانون الأول'!$L$2:$L$501,0))),"محذوف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IF(L453="","",IF($AO$1=1,IFERROR(MATCH(L453,'10-تشرين الأول'!$L$2:$L$501,0),0),0))</f>
        <v/>
      </c>
      <c r="W453" t="str">
        <f t="shared" si="151"/>
        <v/>
      </c>
      <c r="X453" s="38" t="str">
        <f>IF(L453="","",IF(V453&gt;0,INDEX('10-تشرين الأول'!$P$2:$P$501,V453),IF($AO$1=1,0,"")))</f>
        <v/>
      </c>
      <c r="Y453" s="38" t="str">
        <f t="shared" si="152"/>
        <v/>
      </c>
      <c r="Z453" s="39" t="str">
        <f>IF(L453="","",IF(V453&gt;0,INDEX('10-تشرين الأول'!$Q$2:$Q$501,V453),IF($AO$1=1,0,"")))</f>
        <v/>
      </c>
      <c r="AA453" s="39" t="str">
        <f t="shared" si="153"/>
        <v/>
      </c>
      <c r="AB453" s="40" t="str">
        <f>IF(OR(L453="",V453=0),"",IF(AND(N(I453)&gt;0,N(INDEX('10-تشرين الأول'!$I$2:$I$501,V453))&gt;0,INDEX('10-تشرين الأول'!$F$2:$F$501,V453)=F453),N(I453)/N(INDEX('10-تشرين الأول'!$I$2:$I$501,V453))-1,""))</f>
        <v/>
      </c>
      <c r="AC453" t="str">
        <f>IF(L453="","",IF(AND($AO$2=1,ISNA(MATCH(L453,'12-كانون الأول'!$L$2:$L$501,0))),"محذوف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IF(L454="","",IF($AO$1=1,IFERROR(MATCH(L454,'10-تشرين الأول'!$L$2:$L$501,0),0),0))</f>
        <v/>
      </c>
      <c r="W454" t="str">
        <f t="shared" si="151"/>
        <v/>
      </c>
      <c r="X454" s="38" t="str">
        <f>IF(L454="","",IF(V454&gt;0,INDEX('10-تشرين الأول'!$P$2:$P$501,V454),IF($AO$1=1,0,"")))</f>
        <v/>
      </c>
      <c r="Y454" s="38" t="str">
        <f t="shared" si="152"/>
        <v/>
      </c>
      <c r="Z454" s="39" t="str">
        <f>IF(L454="","",IF(V454&gt;0,INDEX('10-تشرين الأول'!$Q$2:$Q$501,V454),IF($AO$1=1,0,"")))</f>
        <v/>
      </c>
      <c r="AA454" s="39" t="str">
        <f t="shared" si="153"/>
        <v/>
      </c>
      <c r="AB454" s="40" t="str">
        <f>IF(OR(L454="",V454=0),"",IF(AND(N(I454)&gt;0,N(INDEX('10-تشرين الأول'!$I$2:$I$501,V454))&gt;0,INDEX('10-تشرين الأول'!$F$2:$F$501,V454)=F454),N(I454)/N(INDEX('10-تشرين الأول'!$I$2:$I$501,V454))-1,""))</f>
        <v/>
      </c>
      <c r="AC454" t="str">
        <f>IF(L454="","",IF(AND($AO$2=1,ISNA(MATCH(L454,'12-كانون الأول'!$L$2:$L$501,0))),"محذوف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IF(L455="","",IF($AO$1=1,IFERROR(MATCH(L455,'10-تشرين الأول'!$L$2:$L$501,0),0),0))</f>
        <v/>
      </c>
      <c r="W455" t="str">
        <f t="shared" si="151"/>
        <v/>
      </c>
      <c r="X455" s="38" t="str">
        <f>IF(L455="","",IF(V455&gt;0,INDEX('10-تشرين الأول'!$P$2:$P$501,V455),IF($AO$1=1,0,"")))</f>
        <v/>
      </c>
      <c r="Y455" s="38" t="str">
        <f t="shared" si="152"/>
        <v/>
      </c>
      <c r="Z455" s="39" t="str">
        <f>IF(L455="","",IF(V455&gt;0,INDEX('10-تشرين الأول'!$Q$2:$Q$501,V455),IF($AO$1=1,0,"")))</f>
        <v/>
      </c>
      <c r="AA455" s="39" t="str">
        <f t="shared" si="153"/>
        <v/>
      </c>
      <c r="AB455" s="40" t="str">
        <f>IF(OR(L455="",V455=0),"",IF(AND(N(I455)&gt;0,N(INDEX('10-تشرين الأول'!$I$2:$I$501,V455))&gt;0,INDEX('10-تشرين الأول'!$F$2:$F$501,V455)=F455),N(I455)/N(INDEX('10-تشرين الأول'!$I$2:$I$501,V455))-1,""))</f>
        <v/>
      </c>
      <c r="AC455" t="str">
        <f>IF(L455="","",IF(AND($AO$2=1,ISNA(MATCH(L455,'12-كانون الأول'!$L$2:$L$501,0))),"محذوف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IF(L456="","",IF($AO$1=1,IFERROR(MATCH(L456,'10-تشرين الأول'!$L$2:$L$501,0),0),0))</f>
        <v/>
      </c>
      <c r="W456" t="str">
        <f t="shared" si="151"/>
        <v/>
      </c>
      <c r="X456" s="38" t="str">
        <f>IF(L456="","",IF(V456&gt;0,INDEX('10-تشرين الأول'!$P$2:$P$501,V456),IF($AO$1=1,0,"")))</f>
        <v/>
      </c>
      <c r="Y456" s="38" t="str">
        <f t="shared" si="152"/>
        <v/>
      </c>
      <c r="Z456" s="39" t="str">
        <f>IF(L456="","",IF(V456&gt;0,INDEX('10-تشرين الأول'!$Q$2:$Q$501,V456),IF($AO$1=1,0,"")))</f>
        <v/>
      </c>
      <c r="AA456" s="39" t="str">
        <f t="shared" si="153"/>
        <v/>
      </c>
      <c r="AB456" s="40" t="str">
        <f>IF(OR(L456="",V456=0),"",IF(AND(N(I456)&gt;0,N(INDEX('10-تشرين الأول'!$I$2:$I$501,V456))&gt;0,INDEX('10-تشرين الأول'!$F$2:$F$501,V456)=F456),N(I456)/N(INDEX('10-تشرين الأول'!$I$2:$I$501,V456))-1,""))</f>
        <v/>
      </c>
      <c r="AC456" t="str">
        <f>IF(L456="","",IF(AND($AO$2=1,ISNA(MATCH(L456,'12-كانون الأول'!$L$2:$L$501,0))),"محذوف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IF(L457="","",IF($AO$1=1,IFERROR(MATCH(L457,'10-تشرين الأول'!$L$2:$L$501,0),0),0))</f>
        <v/>
      </c>
      <c r="W457" t="str">
        <f t="shared" si="151"/>
        <v/>
      </c>
      <c r="X457" s="38" t="str">
        <f>IF(L457="","",IF(V457&gt;0,INDEX('10-تشرين الأول'!$P$2:$P$501,V457),IF($AO$1=1,0,"")))</f>
        <v/>
      </c>
      <c r="Y457" s="38" t="str">
        <f t="shared" si="152"/>
        <v/>
      </c>
      <c r="Z457" s="39" t="str">
        <f>IF(L457="","",IF(V457&gt;0,INDEX('10-تشرين الأول'!$Q$2:$Q$501,V457),IF($AO$1=1,0,"")))</f>
        <v/>
      </c>
      <c r="AA457" s="39" t="str">
        <f t="shared" si="153"/>
        <v/>
      </c>
      <c r="AB457" s="40" t="str">
        <f>IF(OR(L457="",V457=0),"",IF(AND(N(I457)&gt;0,N(INDEX('10-تشرين الأول'!$I$2:$I$501,V457))&gt;0,INDEX('10-تشرين الأول'!$F$2:$F$501,V457)=F457),N(I457)/N(INDEX('10-تشرين الأول'!$I$2:$I$501,V457))-1,""))</f>
        <v/>
      </c>
      <c r="AC457" t="str">
        <f>IF(L457="","",IF(AND($AO$2=1,ISNA(MATCH(L457,'12-كانون الأول'!$L$2:$L$501,0))),"محذوف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IF(L458="","",IF($AO$1=1,IFERROR(MATCH(L458,'10-تشرين الأول'!$L$2:$L$501,0),0),0))</f>
        <v/>
      </c>
      <c r="W458" t="str">
        <f t="shared" si="151"/>
        <v/>
      </c>
      <c r="X458" s="38" t="str">
        <f>IF(L458="","",IF(V458&gt;0,INDEX('10-تشرين الأول'!$P$2:$P$501,V458),IF($AO$1=1,0,"")))</f>
        <v/>
      </c>
      <c r="Y458" s="38" t="str">
        <f t="shared" si="152"/>
        <v/>
      </c>
      <c r="Z458" s="39" t="str">
        <f>IF(L458="","",IF(V458&gt;0,INDEX('10-تشرين الأول'!$Q$2:$Q$501,V458),IF($AO$1=1,0,"")))</f>
        <v/>
      </c>
      <c r="AA458" s="39" t="str">
        <f t="shared" si="153"/>
        <v/>
      </c>
      <c r="AB458" s="40" t="str">
        <f>IF(OR(L458="",V458=0),"",IF(AND(N(I458)&gt;0,N(INDEX('10-تشرين الأول'!$I$2:$I$501,V458))&gt;0,INDEX('10-تشرين الأول'!$F$2:$F$501,V458)=F458),N(I458)/N(INDEX('10-تشرين الأول'!$I$2:$I$501,V458))-1,""))</f>
        <v/>
      </c>
      <c r="AC458" t="str">
        <f>IF(L458="","",IF(AND($AO$2=1,ISNA(MATCH(L458,'12-كانون الأول'!$L$2:$L$501,0))),"محذوف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IF(L459="","",IF($AO$1=1,IFERROR(MATCH(L459,'10-تشرين الأول'!$L$2:$L$501,0),0),0))</f>
        <v/>
      </c>
      <c r="W459" t="str">
        <f t="shared" si="151"/>
        <v/>
      </c>
      <c r="X459" s="38" t="str">
        <f>IF(L459="","",IF(V459&gt;0,INDEX('10-تشرين الأول'!$P$2:$P$501,V459),IF($AO$1=1,0,"")))</f>
        <v/>
      </c>
      <c r="Y459" s="38" t="str">
        <f t="shared" si="152"/>
        <v/>
      </c>
      <c r="Z459" s="39" t="str">
        <f>IF(L459="","",IF(V459&gt;0,INDEX('10-تشرين الأول'!$Q$2:$Q$501,V459),IF($AO$1=1,0,"")))</f>
        <v/>
      </c>
      <c r="AA459" s="39" t="str">
        <f t="shared" si="153"/>
        <v/>
      </c>
      <c r="AB459" s="40" t="str">
        <f>IF(OR(L459="",V459=0),"",IF(AND(N(I459)&gt;0,N(INDEX('10-تشرين الأول'!$I$2:$I$501,V459))&gt;0,INDEX('10-تشرين الأول'!$F$2:$F$501,V459)=F459),N(I459)/N(INDEX('10-تشرين الأول'!$I$2:$I$501,V459))-1,""))</f>
        <v/>
      </c>
      <c r="AC459" t="str">
        <f>IF(L459="","",IF(AND($AO$2=1,ISNA(MATCH(L459,'12-كانون الأول'!$L$2:$L$501,0))),"محذوف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IF(L460="","",IF($AO$1=1,IFERROR(MATCH(L460,'10-تشرين الأول'!$L$2:$L$501,0),0),0))</f>
        <v/>
      </c>
      <c r="W460" t="str">
        <f t="shared" si="151"/>
        <v/>
      </c>
      <c r="X460" s="38" t="str">
        <f>IF(L460="","",IF(V460&gt;0,INDEX('10-تشرين الأول'!$P$2:$P$501,V460),IF($AO$1=1,0,"")))</f>
        <v/>
      </c>
      <c r="Y460" s="38" t="str">
        <f t="shared" si="152"/>
        <v/>
      </c>
      <c r="Z460" s="39" t="str">
        <f>IF(L460="","",IF(V460&gt;0,INDEX('10-تشرين الأول'!$Q$2:$Q$501,V460),IF($AO$1=1,0,"")))</f>
        <v/>
      </c>
      <c r="AA460" s="39" t="str">
        <f t="shared" si="153"/>
        <v/>
      </c>
      <c r="AB460" s="40" t="str">
        <f>IF(OR(L460="",V460=0),"",IF(AND(N(I460)&gt;0,N(INDEX('10-تشرين الأول'!$I$2:$I$501,V460))&gt;0,INDEX('10-تشرين الأول'!$F$2:$F$501,V460)=F460),N(I460)/N(INDEX('10-تشرين الأول'!$I$2:$I$501,V460))-1,""))</f>
        <v/>
      </c>
      <c r="AC460" t="str">
        <f>IF(L460="","",IF(AND($AO$2=1,ISNA(MATCH(L460,'12-كانون الأول'!$L$2:$L$501,0))),"محذوف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IF(L461="","",IF($AO$1=1,IFERROR(MATCH(L461,'10-تشرين الأول'!$L$2:$L$501,0),0),0))</f>
        <v/>
      </c>
      <c r="W461" t="str">
        <f t="shared" si="151"/>
        <v/>
      </c>
      <c r="X461" s="38" t="str">
        <f>IF(L461="","",IF(V461&gt;0,INDEX('10-تشرين الأول'!$P$2:$P$501,V461),IF($AO$1=1,0,"")))</f>
        <v/>
      </c>
      <c r="Y461" s="38" t="str">
        <f t="shared" si="152"/>
        <v/>
      </c>
      <c r="Z461" s="39" t="str">
        <f>IF(L461="","",IF(V461&gt;0,INDEX('10-تشرين الأول'!$Q$2:$Q$501,V461),IF($AO$1=1,0,"")))</f>
        <v/>
      </c>
      <c r="AA461" s="39" t="str">
        <f t="shared" si="153"/>
        <v/>
      </c>
      <c r="AB461" s="40" t="str">
        <f>IF(OR(L461="",V461=0),"",IF(AND(N(I461)&gt;0,N(INDEX('10-تشرين الأول'!$I$2:$I$501,V461))&gt;0,INDEX('10-تشرين الأول'!$F$2:$F$501,V461)=F461),N(I461)/N(INDEX('10-تشرين الأول'!$I$2:$I$501,V461))-1,""))</f>
        <v/>
      </c>
      <c r="AC461" t="str">
        <f>IF(L461="","",IF(AND($AO$2=1,ISNA(MATCH(L461,'12-كانون الأول'!$L$2:$L$501,0))),"محذوف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IF(L462="","",IF($AO$1=1,IFERROR(MATCH(L462,'10-تشرين الأول'!$L$2:$L$501,0),0),0))</f>
        <v/>
      </c>
      <c r="W462" t="str">
        <f t="shared" si="151"/>
        <v/>
      </c>
      <c r="X462" s="38" t="str">
        <f>IF(L462="","",IF(V462&gt;0,INDEX('10-تشرين الأول'!$P$2:$P$501,V462),IF($AO$1=1,0,"")))</f>
        <v/>
      </c>
      <c r="Y462" s="38" t="str">
        <f t="shared" si="152"/>
        <v/>
      </c>
      <c r="Z462" s="39" t="str">
        <f>IF(L462="","",IF(V462&gt;0,INDEX('10-تشرين الأول'!$Q$2:$Q$501,V462),IF($AO$1=1,0,"")))</f>
        <v/>
      </c>
      <c r="AA462" s="39" t="str">
        <f t="shared" si="153"/>
        <v/>
      </c>
      <c r="AB462" s="40" t="str">
        <f>IF(OR(L462="",V462=0),"",IF(AND(N(I462)&gt;0,N(INDEX('10-تشرين الأول'!$I$2:$I$501,V462))&gt;0,INDEX('10-تشرين الأول'!$F$2:$F$501,V462)=F462),N(I462)/N(INDEX('10-تشرين الأول'!$I$2:$I$501,V462))-1,""))</f>
        <v/>
      </c>
      <c r="AC462" t="str">
        <f>IF(L462="","",IF(AND($AO$2=1,ISNA(MATCH(L462,'12-كانون الأول'!$L$2:$L$501,0))),"محذوف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IF(L463="","",IF($AO$1=1,IFERROR(MATCH(L463,'10-تشرين الأول'!$L$2:$L$501,0),0),0))</f>
        <v/>
      </c>
      <c r="W463" t="str">
        <f t="shared" si="151"/>
        <v/>
      </c>
      <c r="X463" s="38" t="str">
        <f>IF(L463="","",IF(V463&gt;0,INDEX('10-تشرين الأول'!$P$2:$P$501,V463),IF($AO$1=1,0,"")))</f>
        <v/>
      </c>
      <c r="Y463" s="38" t="str">
        <f t="shared" si="152"/>
        <v/>
      </c>
      <c r="Z463" s="39" t="str">
        <f>IF(L463="","",IF(V463&gt;0,INDEX('10-تشرين الأول'!$Q$2:$Q$501,V463),IF($AO$1=1,0,"")))</f>
        <v/>
      </c>
      <c r="AA463" s="39" t="str">
        <f t="shared" si="153"/>
        <v/>
      </c>
      <c r="AB463" s="40" t="str">
        <f>IF(OR(L463="",V463=0),"",IF(AND(N(I463)&gt;0,N(INDEX('10-تشرين الأول'!$I$2:$I$501,V463))&gt;0,INDEX('10-تشرين الأول'!$F$2:$F$501,V463)=F463),N(I463)/N(INDEX('10-تشرين الأول'!$I$2:$I$501,V463))-1,""))</f>
        <v/>
      </c>
      <c r="AC463" t="str">
        <f>IF(L463="","",IF(AND($AO$2=1,ISNA(MATCH(L463,'12-كانون الأول'!$L$2:$L$501,0))),"محذوف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IF(L464="","",IF($AO$1=1,IFERROR(MATCH(L464,'10-تشرين الأول'!$L$2:$L$501,0),0),0))</f>
        <v/>
      </c>
      <c r="W464" t="str">
        <f t="shared" si="151"/>
        <v/>
      </c>
      <c r="X464" s="38" t="str">
        <f>IF(L464="","",IF(V464&gt;0,INDEX('10-تشرين الأول'!$P$2:$P$501,V464),IF($AO$1=1,0,"")))</f>
        <v/>
      </c>
      <c r="Y464" s="38" t="str">
        <f t="shared" si="152"/>
        <v/>
      </c>
      <c r="Z464" s="39" t="str">
        <f>IF(L464="","",IF(V464&gt;0,INDEX('10-تشرين الأول'!$Q$2:$Q$501,V464),IF($AO$1=1,0,"")))</f>
        <v/>
      </c>
      <c r="AA464" s="39" t="str">
        <f t="shared" si="153"/>
        <v/>
      </c>
      <c r="AB464" s="40" t="str">
        <f>IF(OR(L464="",V464=0),"",IF(AND(N(I464)&gt;0,N(INDEX('10-تشرين الأول'!$I$2:$I$501,V464))&gt;0,INDEX('10-تشرين الأول'!$F$2:$F$501,V464)=F464),N(I464)/N(INDEX('10-تشرين الأول'!$I$2:$I$501,V464))-1,""))</f>
        <v/>
      </c>
      <c r="AC464" t="str">
        <f>IF(L464="","",IF(AND($AO$2=1,ISNA(MATCH(L464,'12-كانون الأول'!$L$2:$L$501,0))),"محذوف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IF(L465="","",IF($AO$1=1,IFERROR(MATCH(L465,'10-تشرين الأول'!$L$2:$L$501,0),0),0))</f>
        <v/>
      </c>
      <c r="W465" t="str">
        <f t="shared" si="151"/>
        <v/>
      </c>
      <c r="X465" s="38" t="str">
        <f>IF(L465="","",IF(V465&gt;0,INDEX('10-تشرين الأول'!$P$2:$P$501,V465),IF($AO$1=1,0,"")))</f>
        <v/>
      </c>
      <c r="Y465" s="38" t="str">
        <f t="shared" si="152"/>
        <v/>
      </c>
      <c r="Z465" s="39" t="str">
        <f>IF(L465="","",IF(V465&gt;0,INDEX('10-تشرين الأول'!$Q$2:$Q$501,V465),IF($AO$1=1,0,"")))</f>
        <v/>
      </c>
      <c r="AA465" s="39" t="str">
        <f t="shared" si="153"/>
        <v/>
      </c>
      <c r="AB465" s="40" t="str">
        <f>IF(OR(L465="",V465=0),"",IF(AND(N(I465)&gt;0,N(INDEX('10-تشرين الأول'!$I$2:$I$501,V465))&gt;0,INDEX('10-تشرين الأول'!$F$2:$F$501,V465)=F465),N(I465)/N(INDEX('10-تشرين الأول'!$I$2:$I$501,V465))-1,""))</f>
        <v/>
      </c>
      <c r="AC465" t="str">
        <f>IF(L465="","",IF(AND($AO$2=1,ISNA(MATCH(L465,'12-كانون الأول'!$L$2:$L$501,0))),"محذوف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IF(L466="","",IF($AO$1=1,IFERROR(MATCH(L466,'10-تشرين الأول'!$L$2:$L$501,0),0),0))</f>
        <v/>
      </c>
      <c r="W466" t="str">
        <f t="shared" si="151"/>
        <v/>
      </c>
      <c r="X466" s="38" t="str">
        <f>IF(L466="","",IF(V466&gt;0,INDEX('10-تشرين الأول'!$P$2:$P$501,V466),IF($AO$1=1,0,"")))</f>
        <v/>
      </c>
      <c r="Y466" s="38" t="str">
        <f t="shared" si="152"/>
        <v/>
      </c>
      <c r="Z466" s="39" t="str">
        <f>IF(L466="","",IF(V466&gt;0,INDEX('10-تشرين الأول'!$Q$2:$Q$501,V466),IF($AO$1=1,0,"")))</f>
        <v/>
      </c>
      <c r="AA466" s="39" t="str">
        <f t="shared" si="153"/>
        <v/>
      </c>
      <c r="AB466" s="40" t="str">
        <f>IF(OR(L466="",V466=0),"",IF(AND(N(I466)&gt;0,N(INDEX('10-تشرين الأول'!$I$2:$I$501,V466))&gt;0,INDEX('10-تشرين الأول'!$F$2:$F$501,V466)=F466),N(I466)/N(INDEX('10-تشرين الأول'!$I$2:$I$501,V466))-1,""))</f>
        <v/>
      </c>
      <c r="AC466" t="str">
        <f>IF(L466="","",IF(AND($AO$2=1,ISNA(MATCH(L466,'12-كانون الأول'!$L$2:$L$501,0))),"محذوف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IF(L467="","",IF($AO$1=1,IFERROR(MATCH(L467,'10-تشرين الأول'!$L$2:$L$501,0),0),0))</f>
        <v/>
      </c>
      <c r="W467" t="str">
        <f t="shared" si="151"/>
        <v/>
      </c>
      <c r="X467" s="38" t="str">
        <f>IF(L467="","",IF(V467&gt;0,INDEX('10-تشرين الأول'!$P$2:$P$501,V467),IF($AO$1=1,0,"")))</f>
        <v/>
      </c>
      <c r="Y467" s="38" t="str">
        <f t="shared" si="152"/>
        <v/>
      </c>
      <c r="Z467" s="39" t="str">
        <f>IF(L467="","",IF(V467&gt;0,INDEX('10-تشرين الأول'!$Q$2:$Q$501,V467),IF($AO$1=1,0,"")))</f>
        <v/>
      </c>
      <c r="AA467" s="39" t="str">
        <f t="shared" si="153"/>
        <v/>
      </c>
      <c r="AB467" s="40" t="str">
        <f>IF(OR(L467="",V467=0),"",IF(AND(N(I467)&gt;0,N(INDEX('10-تشرين الأول'!$I$2:$I$501,V467))&gt;0,INDEX('10-تشرين الأول'!$F$2:$F$501,V467)=F467),N(I467)/N(INDEX('10-تشرين الأول'!$I$2:$I$501,V467))-1,""))</f>
        <v/>
      </c>
      <c r="AC467" t="str">
        <f>IF(L467="","",IF(AND($AO$2=1,ISNA(MATCH(L467,'12-كانون الأول'!$L$2:$L$501,0))),"محذوف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IF(L468="","",IF($AO$1=1,IFERROR(MATCH(L468,'10-تشرين الأول'!$L$2:$L$501,0),0),0))</f>
        <v/>
      </c>
      <c r="W468" t="str">
        <f t="shared" si="151"/>
        <v/>
      </c>
      <c r="X468" s="38" t="str">
        <f>IF(L468="","",IF(V468&gt;0,INDEX('10-تشرين الأول'!$P$2:$P$501,V468),IF($AO$1=1,0,"")))</f>
        <v/>
      </c>
      <c r="Y468" s="38" t="str">
        <f t="shared" si="152"/>
        <v/>
      </c>
      <c r="Z468" s="39" t="str">
        <f>IF(L468="","",IF(V468&gt;0,INDEX('10-تشرين الأول'!$Q$2:$Q$501,V468),IF($AO$1=1,0,"")))</f>
        <v/>
      </c>
      <c r="AA468" s="39" t="str">
        <f t="shared" si="153"/>
        <v/>
      </c>
      <c r="AB468" s="40" t="str">
        <f>IF(OR(L468="",V468=0),"",IF(AND(N(I468)&gt;0,N(INDEX('10-تشرين الأول'!$I$2:$I$501,V468))&gt;0,INDEX('10-تشرين الأول'!$F$2:$F$501,V468)=F468),N(I468)/N(INDEX('10-تشرين الأول'!$I$2:$I$501,V468))-1,""))</f>
        <v/>
      </c>
      <c r="AC468" t="str">
        <f>IF(L468="","",IF(AND($AO$2=1,ISNA(MATCH(L468,'12-كانون الأول'!$L$2:$L$501,0))),"محذوف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IF(L469="","",IF($AO$1=1,IFERROR(MATCH(L469,'10-تشرين الأول'!$L$2:$L$501,0),0),0))</f>
        <v/>
      </c>
      <c r="W469" t="str">
        <f t="shared" si="151"/>
        <v/>
      </c>
      <c r="X469" s="38" t="str">
        <f>IF(L469="","",IF(V469&gt;0,INDEX('10-تشرين الأول'!$P$2:$P$501,V469),IF($AO$1=1,0,"")))</f>
        <v/>
      </c>
      <c r="Y469" s="38" t="str">
        <f t="shared" si="152"/>
        <v/>
      </c>
      <c r="Z469" s="39" t="str">
        <f>IF(L469="","",IF(V469&gt;0,INDEX('10-تشرين الأول'!$Q$2:$Q$501,V469),IF($AO$1=1,0,"")))</f>
        <v/>
      </c>
      <c r="AA469" s="39" t="str">
        <f t="shared" si="153"/>
        <v/>
      </c>
      <c r="AB469" s="40" t="str">
        <f>IF(OR(L469="",V469=0),"",IF(AND(N(I469)&gt;0,N(INDEX('10-تشرين الأول'!$I$2:$I$501,V469))&gt;0,INDEX('10-تشرين الأول'!$F$2:$F$501,V469)=F469),N(I469)/N(INDEX('10-تشرين الأول'!$I$2:$I$501,V469))-1,""))</f>
        <v/>
      </c>
      <c r="AC469" t="str">
        <f>IF(L469="","",IF(AND($AO$2=1,ISNA(MATCH(L469,'12-كانون الأول'!$L$2:$L$501,0))),"محذوف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IF(L470="","",IF($AO$1=1,IFERROR(MATCH(L470,'10-تشرين الأول'!$L$2:$L$501,0),0),0))</f>
        <v/>
      </c>
      <c r="W470" t="str">
        <f t="shared" si="151"/>
        <v/>
      </c>
      <c r="X470" s="38" t="str">
        <f>IF(L470="","",IF(V470&gt;0,INDEX('10-تشرين الأول'!$P$2:$P$501,V470),IF($AO$1=1,0,"")))</f>
        <v/>
      </c>
      <c r="Y470" s="38" t="str">
        <f t="shared" si="152"/>
        <v/>
      </c>
      <c r="Z470" s="39" t="str">
        <f>IF(L470="","",IF(V470&gt;0,INDEX('10-تشرين الأول'!$Q$2:$Q$501,V470),IF($AO$1=1,0,"")))</f>
        <v/>
      </c>
      <c r="AA470" s="39" t="str">
        <f t="shared" si="153"/>
        <v/>
      </c>
      <c r="AB470" s="40" t="str">
        <f>IF(OR(L470="",V470=0),"",IF(AND(N(I470)&gt;0,N(INDEX('10-تشرين الأول'!$I$2:$I$501,V470))&gt;0,INDEX('10-تشرين الأول'!$F$2:$F$501,V470)=F470),N(I470)/N(INDEX('10-تشرين الأول'!$I$2:$I$501,V470))-1,""))</f>
        <v/>
      </c>
      <c r="AC470" t="str">
        <f>IF(L470="","",IF(AND($AO$2=1,ISNA(MATCH(L470,'12-كانون الأول'!$L$2:$L$501,0))),"محذوف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IF(L471="","",IF($AO$1=1,IFERROR(MATCH(L471,'10-تشرين الأول'!$L$2:$L$501,0),0),0))</f>
        <v/>
      </c>
      <c r="W471" t="str">
        <f t="shared" si="151"/>
        <v/>
      </c>
      <c r="X471" s="38" t="str">
        <f>IF(L471="","",IF(V471&gt;0,INDEX('10-تشرين الأول'!$P$2:$P$501,V471),IF($AO$1=1,0,"")))</f>
        <v/>
      </c>
      <c r="Y471" s="38" t="str">
        <f t="shared" si="152"/>
        <v/>
      </c>
      <c r="Z471" s="39" t="str">
        <f>IF(L471="","",IF(V471&gt;0,INDEX('10-تشرين الأول'!$Q$2:$Q$501,V471),IF($AO$1=1,0,"")))</f>
        <v/>
      </c>
      <c r="AA471" s="39" t="str">
        <f t="shared" si="153"/>
        <v/>
      </c>
      <c r="AB471" s="40" t="str">
        <f>IF(OR(L471="",V471=0),"",IF(AND(N(I471)&gt;0,N(INDEX('10-تشرين الأول'!$I$2:$I$501,V471))&gt;0,INDEX('10-تشرين الأول'!$F$2:$F$501,V471)=F471),N(I471)/N(INDEX('10-تشرين الأول'!$I$2:$I$501,V471))-1,""))</f>
        <v/>
      </c>
      <c r="AC471" t="str">
        <f>IF(L471="","",IF(AND($AO$2=1,ISNA(MATCH(L471,'12-كانون الأول'!$L$2:$L$501,0))),"محذوف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IF(L472="","",IF($AO$1=1,IFERROR(MATCH(L472,'10-تشرين الأول'!$L$2:$L$501,0),0),0))</f>
        <v/>
      </c>
      <c r="W472" t="str">
        <f t="shared" si="151"/>
        <v/>
      </c>
      <c r="X472" s="38" t="str">
        <f>IF(L472="","",IF(V472&gt;0,INDEX('10-تشرين الأول'!$P$2:$P$501,V472),IF($AO$1=1,0,"")))</f>
        <v/>
      </c>
      <c r="Y472" s="38" t="str">
        <f t="shared" si="152"/>
        <v/>
      </c>
      <c r="Z472" s="39" t="str">
        <f>IF(L472="","",IF(V472&gt;0,INDEX('10-تشرين الأول'!$Q$2:$Q$501,V472),IF($AO$1=1,0,"")))</f>
        <v/>
      </c>
      <c r="AA472" s="39" t="str">
        <f t="shared" si="153"/>
        <v/>
      </c>
      <c r="AB472" s="40" t="str">
        <f>IF(OR(L472="",V472=0),"",IF(AND(N(I472)&gt;0,N(INDEX('10-تشرين الأول'!$I$2:$I$501,V472))&gt;0,INDEX('10-تشرين الأول'!$F$2:$F$501,V472)=F472),N(I472)/N(INDEX('10-تشرين الأول'!$I$2:$I$501,V472))-1,""))</f>
        <v/>
      </c>
      <c r="AC472" t="str">
        <f>IF(L472="","",IF(AND($AO$2=1,ISNA(MATCH(L472,'12-كانون الأول'!$L$2:$L$501,0))),"محذوف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IF(L473="","",IF($AO$1=1,IFERROR(MATCH(L473,'10-تشرين الأول'!$L$2:$L$501,0),0),0))</f>
        <v/>
      </c>
      <c r="W473" t="str">
        <f t="shared" si="151"/>
        <v/>
      </c>
      <c r="X473" s="38" t="str">
        <f>IF(L473="","",IF(V473&gt;0,INDEX('10-تشرين الأول'!$P$2:$P$501,V473),IF($AO$1=1,0,"")))</f>
        <v/>
      </c>
      <c r="Y473" s="38" t="str">
        <f t="shared" si="152"/>
        <v/>
      </c>
      <c r="Z473" s="39" t="str">
        <f>IF(L473="","",IF(V473&gt;0,INDEX('10-تشرين الأول'!$Q$2:$Q$501,V473),IF($AO$1=1,0,"")))</f>
        <v/>
      </c>
      <c r="AA473" s="39" t="str">
        <f t="shared" si="153"/>
        <v/>
      </c>
      <c r="AB473" s="40" t="str">
        <f>IF(OR(L473="",V473=0),"",IF(AND(N(I473)&gt;0,N(INDEX('10-تشرين الأول'!$I$2:$I$501,V473))&gt;0,INDEX('10-تشرين الأول'!$F$2:$F$501,V473)=F473),N(I473)/N(INDEX('10-تشرين الأول'!$I$2:$I$501,V473))-1,""))</f>
        <v/>
      </c>
      <c r="AC473" t="str">
        <f>IF(L473="","",IF(AND($AO$2=1,ISNA(MATCH(L473,'12-كانون الأول'!$L$2:$L$501,0))),"محذوف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IF(L474="","",IF($AO$1=1,IFERROR(MATCH(L474,'10-تشرين الأول'!$L$2:$L$501,0),0),0))</f>
        <v/>
      </c>
      <c r="W474" t="str">
        <f t="shared" si="151"/>
        <v/>
      </c>
      <c r="X474" s="38" t="str">
        <f>IF(L474="","",IF(V474&gt;0,INDEX('10-تشرين الأول'!$P$2:$P$501,V474),IF($AO$1=1,0,"")))</f>
        <v/>
      </c>
      <c r="Y474" s="38" t="str">
        <f t="shared" si="152"/>
        <v/>
      </c>
      <c r="Z474" s="39" t="str">
        <f>IF(L474="","",IF(V474&gt;0,INDEX('10-تشرين الأول'!$Q$2:$Q$501,V474),IF($AO$1=1,0,"")))</f>
        <v/>
      </c>
      <c r="AA474" s="39" t="str">
        <f t="shared" si="153"/>
        <v/>
      </c>
      <c r="AB474" s="40" t="str">
        <f>IF(OR(L474="",V474=0),"",IF(AND(N(I474)&gt;0,N(INDEX('10-تشرين الأول'!$I$2:$I$501,V474))&gt;0,INDEX('10-تشرين الأول'!$F$2:$F$501,V474)=F474),N(I474)/N(INDEX('10-تشرين الأول'!$I$2:$I$501,V474))-1,""))</f>
        <v/>
      </c>
      <c r="AC474" t="str">
        <f>IF(L474="","",IF(AND($AO$2=1,ISNA(MATCH(L474,'12-كانون الأول'!$L$2:$L$501,0))),"محذوف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IF(L475="","",IF($AO$1=1,IFERROR(MATCH(L475,'10-تشرين الأول'!$L$2:$L$501,0),0),0))</f>
        <v/>
      </c>
      <c r="W475" t="str">
        <f t="shared" si="151"/>
        <v/>
      </c>
      <c r="X475" s="38" t="str">
        <f>IF(L475="","",IF(V475&gt;0,INDEX('10-تشرين الأول'!$P$2:$P$501,V475),IF($AO$1=1,0,"")))</f>
        <v/>
      </c>
      <c r="Y475" s="38" t="str">
        <f t="shared" si="152"/>
        <v/>
      </c>
      <c r="Z475" s="39" t="str">
        <f>IF(L475="","",IF(V475&gt;0,INDEX('10-تشرين الأول'!$Q$2:$Q$501,V475),IF($AO$1=1,0,"")))</f>
        <v/>
      </c>
      <c r="AA475" s="39" t="str">
        <f t="shared" si="153"/>
        <v/>
      </c>
      <c r="AB475" s="40" t="str">
        <f>IF(OR(L475="",V475=0),"",IF(AND(N(I475)&gt;0,N(INDEX('10-تشرين الأول'!$I$2:$I$501,V475))&gt;0,INDEX('10-تشرين الأول'!$F$2:$F$501,V475)=F475),N(I475)/N(INDEX('10-تشرين الأول'!$I$2:$I$501,V475))-1,""))</f>
        <v/>
      </c>
      <c r="AC475" t="str">
        <f>IF(L475="","",IF(AND($AO$2=1,ISNA(MATCH(L475,'12-كانون الأول'!$L$2:$L$501,0))),"محذوف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IF(L476="","",IF($AO$1=1,IFERROR(MATCH(L476,'10-تشرين الأول'!$L$2:$L$501,0),0),0))</f>
        <v/>
      </c>
      <c r="W476" t="str">
        <f t="shared" si="151"/>
        <v/>
      </c>
      <c r="X476" s="38" t="str">
        <f>IF(L476="","",IF(V476&gt;0,INDEX('10-تشرين الأول'!$P$2:$P$501,V476),IF($AO$1=1,0,"")))</f>
        <v/>
      </c>
      <c r="Y476" s="38" t="str">
        <f t="shared" si="152"/>
        <v/>
      </c>
      <c r="Z476" s="39" t="str">
        <f>IF(L476="","",IF(V476&gt;0,INDEX('10-تشرين الأول'!$Q$2:$Q$501,V476),IF($AO$1=1,0,"")))</f>
        <v/>
      </c>
      <c r="AA476" s="39" t="str">
        <f t="shared" si="153"/>
        <v/>
      </c>
      <c r="AB476" s="40" t="str">
        <f>IF(OR(L476="",V476=0),"",IF(AND(N(I476)&gt;0,N(INDEX('10-تشرين الأول'!$I$2:$I$501,V476))&gt;0,INDEX('10-تشرين الأول'!$F$2:$F$501,V476)=F476),N(I476)/N(INDEX('10-تشرين الأول'!$I$2:$I$501,V476))-1,""))</f>
        <v/>
      </c>
      <c r="AC476" t="str">
        <f>IF(L476="","",IF(AND($AO$2=1,ISNA(MATCH(L476,'12-كانون الأول'!$L$2:$L$501,0))),"محذوف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IF(L477="","",IF($AO$1=1,IFERROR(MATCH(L477,'10-تشرين الأول'!$L$2:$L$501,0),0),0))</f>
        <v/>
      </c>
      <c r="W477" t="str">
        <f t="shared" si="151"/>
        <v/>
      </c>
      <c r="X477" s="38" t="str">
        <f>IF(L477="","",IF(V477&gt;0,INDEX('10-تشرين الأول'!$P$2:$P$501,V477),IF($AO$1=1,0,"")))</f>
        <v/>
      </c>
      <c r="Y477" s="38" t="str">
        <f t="shared" si="152"/>
        <v/>
      </c>
      <c r="Z477" s="39" t="str">
        <f>IF(L477="","",IF(V477&gt;0,INDEX('10-تشرين الأول'!$Q$2:$Q$501,V477),IF($AO$1=1,0,"")))</f>
        <v/>
      </c>
      <c r="AA477" s="39" t="str">
        <f t="shared" si="153"/>
        <v/>
      </c>
      <c r="AB477" s="40" t="str">
        <f>IF(OR(L477="",V477=0),"",IF(AND(N(I477)&gt;0,N(INDEX('10-تشرين الأول'!$I$2:$I$501,V477))&gt;0,INDEX('10-تشرين الأول'!$F$2:$F$501,V477)=F477),N(I477)/N(INDEX('10-تشرين الأول'!$I$2:$I$501,V477))-1,""))</f>
        <v/>
      </c>
      <c r="AC477" t="str">
        <f>IF(L477="","",IF(AND($AO$2=1,ISNA(MATCH(L477,'12-كانون الأول'!$L$2:$L$501,0))),"محذوف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IF(L478="","",IF($AO$1=1,IFERROR(MATCH(L478,'10-تشرين الأول'!$L$2:$L$501,0),0),0))</f>
        <v/>
      </c>
      <c r="W478" t="str">
        <f t="shared" si="151"/>
        <v/>
      </c>
      <c r="X478" s="38" t="str">
        <f>IF(L478="","",IF(V478&gt;0,INDEX('10-تشرين الأول'!$P$2:$P$501,V478),IF($AO$1=1,0,"")))</f>
        <v/>
      </c>
      <c r="Y478" s="38" t="str">
        <f t="shared" si="152"/>
        <v/>
      </c>
      <c r="Z478" s="39" t="str">
        <f>IF(L478="","",IF(V478&gt;0,INDEX('10-تشرين الأول'!$Q$2:$Q$501,V478),IF($AO$1=1,0,"")))</f>
        <v/>
      </c>
      <c r="AA478" s="39" t="str">
        <f t="shared" si="153"/>
        <v/>
      </c>
      <c r="AB478" s="40" t="str">
        <f>IF(OR(L478="",V478=0),"",IF(AND(N(I478)&gt;0,N(INDEX('10-تشرين الأول'!$I$2:$I$501,V478))&gt;0,INDEX('10-تشرين الأول'!$F$2:$F$501,V478)=F478),N(I478)/N(INDEX('10-تشرين الأول'!$I$2:$I$501,V478))-1,""))</f>
        <v/>
      </c>
      <c r="AC478" t="str">
        <f>IF(L478="","",IF(AND($AO$2=1,ISNA(MATCH(L478,'12-كانون الأول'!$L$2:$L$501,0))),"محذوف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IF(L479="","",IF($AO$1=1,IFERROR(MATCH(L479,'10-تشرين الأول'!$L$2:$L$501,0),0),0))</f>
        <v/>
      </c>
      <c r="W479" t="str">
        <f t="shared" si="151"/>
        <v/>
      </c>
      <c r="X479" s="38" t="str">
        <f>IF(L479="","",IF(V479&gt;0,INDEX('10-تشرين الأول'!$P$2:$P$501,V479),IF($AO$1=1,0,"")))</f>
        <v/>
      </c>
      <c r="Y479" s="38" t="str">
        <f t="shared" si="152"/>
        <v/>
      </c>
      <c r="Z479" s="39" t="str">
        <f>IF(L479="","",IF(V479&gt;0,INDEX('10-تشرين الأول'!$Q$2:$Q$501,V479),IF($AO$1=1,0,"")))</f>
        <v/>
      </c>
      <c r="AA479" s="39" t="str">
        <f t="shared" si="153"/>
        <v/>
      </c>
      <c r="AB479" s="40" t="str">
        <f>IF(OR(L479="",V479=0),"",IF(AND(N(I479)&gt;0,N(INDEX('10-تشرين الأول'!$I$2:$I$501,V479))&gt;0,INDEX('10-تشرين الأول'!$F$2:$F$501,V479)=F479),N(I479)/N(INDEX('10-تشرين الأول'!$I$2:$I$501,V479))-1,""))</f>
        <v/>
      </c>
      <c r="AC479" t="str">
        <f>IF(L479="","",IF(AND($AO$2=1,ISNA(MATCH(L479,'12-كانون الأول'!$L$2:$L$501,0))),"محذوف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IF(L480="","",IF($AO$1=1,IFERROR(MATCH(L480,'10-تشرين الأول'!$L$2:$L$501,0),0),0))</f>
        <v/>
      </c>
      <c r="W480" t="str">
        <f t="shared" si="151"/>
        <v/>
      </c>
      <c r="X480" s="38" t="str">
        <f>IF(L480="","",IF(V480&gt;0,INDEX('10-تشرين الأول'!$P$2:$P$501,V480),IF($AO$1=1,0,"")))</f>
        <v/>
      </c>
      <c r="Y480" s="38" t="str">
        <f t="shared" si="152"/>
        <v/>
      </c>
      <c r="Z480" s="39" t="str">
        <f>IF(L480="","",IF(V480&gt;0,INDEX('10-تشرين الأول'!$Q$2:$Q$501,V480),IF($AO$1=1,0,"")))</f>
        <v/>
      </c>
      <c r="AA480" s="39" t="str">
        <f t="shared" si="153"/>
        <v/>
      </c>
      <c r="AB480" s="40" t="str">
        <f>IF(OR(L480="",V480=0),"",IF(AND(N(I480)&gt;0,N(INDEX('10-تشرين الأول'!$I$2:$I$501,V480))&gt;0,INDEX('10-تشرين الأول'!$F$2:$F$501,V480)=F480),N(I480)/N(INDEX('10-تشرين الأول'!$I$2:$I$501,V480))-1,""))</f>
        <v/>
      </c>
      <c r="AC480" t="str">
        <f>IF(L480="","",IF(AND($AO$2=1,ISNA(MATCH(L480,'12-كانون الأول'!$L$2:$L$501,0))),"محذوف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IF(L481="","",IF($AO$1=1,IFERROR(MATCH(L481,'10-تشرين الأول'!$L$2:$L$501,0),0),0))</f>
        <v/>
      </c>
      <c r="W481" t="str">
        <f t="shared" si="151"/>
        <v/>
      </c>
      <c r="X481" s="38" t="str">
        <f>IF(L481="","",IF(V481&gt;0,INDEX('10-تشرين الأول'!$P$2:$P$501,V481),IF($AO$1=1,0,"")))</f>
        <v/>
      </c>
      <c r="Y481" s="38" t="str">
        <f t="shared" si="152"/>
        <v/>
      </c>
      <c r="Z481" s="39" t="str">
        <f>IF(L481="","",IF(V481&gt;0,INDEX('10-تشرين الأول'!$Q$2:$Q$501,V481),IF($AO$1=1,0,"")))</f>
        <v/>
      </c>
      <c r="AA481" s="39" t="str">
        <f t="shared" si="153"/>
        <v/>
      </c>
      <c r="AB481" s="40" t="str">
        <f>IF(OR(L481="",V481=0),"",IF(AND(N(I481)&gt;0,N(INDEX('10-تشرين الأول'!$I$2:$I$501,V481))&gt;0,INDEX('10-تشرين الأول'!$F$2:$F$501,V481)=F481),N(I481)/N(INDEX('10-تشرين الأول'!$I$2:$I$501,V481))-1,""))</f>
        <v/>
      </c>
      <c r="AC481" t="str">
        <f>IF(L481="","",IF(AND($AO$2=1,ISNA(MATCH(L481,'12-كانون الأول'!$L$2:$L$501,0))),"محذوف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IF(L482="","",IF($AO$1=1,IFERROR(MATCH(L482,'10-تشرين الأول'!$L$2:$L$501,0),0),0))</f>
        <v/>
      </c>
      <c r="W482" t="str">
        <f t="shared" si="151"/>
        <v/>
      </c>
      <c r="X482" s="38" t="str">
        <f>IF(L482="","",IF(V482&gt;0,INDEX('10-تشرين الأول'!$P$2:$P$501,V482),IF($AO$1=1,0,"")))</f>
        <v/>
      </c>
      <c r="Y482" s="38" t="str">
        <f t="shared" si="152"/>
        <v/>
      </c>
      <c r="Z482" s="39" t="str">
        <f>IF(L482="","",IF(V482&gt;0,INDEX('10-تشرين الأول'!$Q$2:$Q$501,V482),IF($AO$1=1,0,"")))</f>
        <v/>
      </c>
      <c r="AA482" s="39" t="str">
        <f t="shared" si="153"/>
        <v/>
      </c>
      <c r="AB482" s="40" t="str">
        <f>IF(OR(L482="",V482=0),"",IF(AND(N(I482)&gt;0,N(INDEX('10-تشرين الأول'!$I$2:$I$501,V482))&gt;0,INDEX('10-تشرين الأول'!$F$2:$F$501,V482)=F482),N(I482)/N(INDEX('10-تشرين الأول'!$I$2:$I$501,V482))-1,""))</f>
        <v/>
      </c>
      <c r="AC482" t="str">
        <f>IF(L482="","",IF(AND($AO$2=1,ISNA(MATCH(L482,'12-كانون الأول'!$L$2:$L$501,0))),"محذوف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IF(L483="","",IF($AO$1=1,IFERROR(MATCH(L483,'10-تشرين الأول'!$L$2:$L$501,0),0),0))</f>
        <v/>
      </c>
      <c r="W483" t="str">
        <f t="shared" si="151"/>
        <v/>
      </c>
      <c r="X483" s="38" t="str">
        <f>IF(L483="","",IF(V483&gt;0,INDEX('10-تشرين الأول'!$P$2:$P$501,V483),IF($AO$1=1,0,"")))</f>
        <v/>
      </c>
      <c r="Y483" s="38" t="str">
        <f t="shared" si="152"/>
        <v/>
      </c>
      <c r="Z483" s="39" t="str">
        <f>IF(L483="","",IF(V483&gt;0,INDEX('10-تشرين الأول'!$Q$2:$Q$501,V483),IF($AO$1=1,0,"")))</f>
        <v/>
      </c>
      <c r="AA483" s="39" t="str">
        <f t="shared" si="153"/>
        <v/>
      </c>
      <c r="AB483" s="40" t="str">
        <f>IF(OR(L483="",V483=0),"",IF(AND(N(I483)&gt;0,N(INDEX('10-تشرين الأول'!$I$2:$I$501,V483))&gt;0,INDEX('10-تشرين الأول'!$F$2:$F$501,V483)=F483),N(I483)/N(INDEX('10-تشرين الأول'!$I$2:$I$501,V483))-1,""))</f>
        <v/>
      </c>
      <c r="AC483" t="str">
        <f>IF(L483="","",IF(AND($AO$2=1,ISNA(MATCH(L483,'12-كانون الأول'!$L$2:$L$501,0))),"محذوف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IF(L484="","",IF($AO$1=1,IFERROR(MATCH(L484,'10-تشرين الأول'!$L$2:$L$501,0),0),0))</f>
        <v/>
      </c>
      <c r="W484" t="str">
        <f t="shared" si="151"/>
        <v/>
      </c>
      <c r="X484" s="38" t="str">
        <f>IF(L484="","",IF(V484&gt;0,INDEX('10-تشرين الأول'!$P$2:$P$501,V484),IF($AO$1=1,0,"")))</f>
        <v/>
      </c>
      <c r="Y484" s="38" t="str">
        <f t="shared" si="152"/>
        <v/>
      </c>
      <c r="Z484" s="39" t="str">
        <f>IF(L484="","",IF(V484&gt;0,INDEX('10-تشرين الأول'!$Q$2:$Q$501,V484),IF($AO$1=1,0,"")))</f>
        <v/>
      </c>
      <c r="AA484" s="39" t="str">
        <f t="shared" si="153"/>
        <v/>
      </c>
      <c r="AB484" s="40" t="str">
        <f>IF(OR(L484="",V484=0),"",IF(AND(N(I484)&gt;0,N(INDEX('10-تشرين الأول'!$I$2:$I$501,V484))&gt;0,INDEX('10-تشرين الأول'!$F$2:$F$501,V484)=F484),N(I484)/N(INDEX('10-تشرين الأول'!$I$2:$I$501,V484))-1,""))</f>
        <v/>
      </c>
      <c r="AC484" t="str">
        <f>IF(L484="","",IF(AND($AO$2=1,ISNA(MATCH(L484,'12-كانون الأول'!$L$2:$L$501,0))),"محذوف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IF(L485="","",IF($AO$1=1,IFERROR(MATCH(L485,'10-تشرين الأول'!$L$2:$L$501,0),0),0))</f>
        <v/>
      </c>
      <c r="W485" t="str">
        <f t="shared" si="151"/>
        <v/>
      </c>
      <c r="X485" s="38" t="str">
        <f>IF(L485="","",IF(V485&gt;0,INDEX('10-تشرين الأول'!$P$2:$P$501,V485),IF($AO$1=1,0,"")))</f>
        <v/>
      </c>
      <c r="Y485" s="38" t="str">
        <f t="shared" si="152"/>
        <v/>
      </c>
      <c r="Z485" s="39" t="str">
        <f>IF(L485="","",IF(V485&gt;0,INDEX('10-تشرين الأول'!$Q$2:$Q$501,V485),IF($AO$1=1,0,"")))</f>
        <v/>
      </c>
      <c r="AA485" s="39" t="str">
        <f t="shared" si="153"/>
        <v/>
      </c>
      <c r="AB485" s="40" t="str">
        <f>IF(OR(L485="",V485=0),"",IF(AND(N(I485)&gt;0,N(INDEX('10-تشرين الأول'!$I$2:$I$501,V485))&gt;0,INDEX('10-تشرين الأول'!$F$2:$F$501,V485)=F485),N(I485)/N(INDEX('10-تشرين الأول'!$I$2:$I$501,V485))-1,""))</f>
        <v/>
      </c>
      <c r="AC485" t="str">
        <f>IF(L485="","",IF(AND($AO$2=1,ISNA(MATCH(L485,'12-كانون الأول'!$L$2:$L$501,0))),"محذوف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IF(L486="","",IF($AO$1=1,IFERROR(MATCH(L486,'10-تشرين الأول'!$L$2:$L$501,0),0),0))</f>
        <v/>
      </c>
      <c r="W486" t="str">
        <f t="shared" si="151"/>
        <v/>
      </c>
      <c r="X486" s="38" t="str">
        <f>IF(L486="","",IF(V486&gt;0,INDEX('10-تشرين الأول'!$P$2:$P$501,V486),IF($AO$1=1,0,"")))</f>
        <v/>
      </c>
      <c r="Y486" s="38" t="str">
        <f t="shared" si="152"/>
        <v/>
      </c>
      <c r="Z486" s="39" t="str">
        <f>IF(L486="","",IF(V486&gt;0,INDEX('10-تشرين الأول'!$Q$2:$Q$501,V486),IF($AO$1=1,0,"")))</f>
        <v/>
      </c>
      <c r="AA486" s="39" t="str">
        <f t="shared" si="153"/>
        <v/>
      </c>
      <c r="AB486" s="40" t="str">
        <f>IF(OR(L486="",V486=0),"",IF(AND(N(I486)&gt;0,N(INDEX('10-تشرين الأول'!$I$2:$I$501,V486))&gt;0,INDEX('10-تشرين الأول'!$F$2:$F$501,V486)=F486),N(I486)/N(INDEX('10-تشرين الأول'!$I$2:$I$501,V486))-1,""))</f>
        <v/>
      </c>
      <c r="AC486" t="str">
        <f>IF(L486="","",IF(AND($AO$2=1,ISNA(MATCH(L486,'12-كانون الأول'!$L$2:$L$501,0))),"محذوف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IF(L487="","",IF($AO$1=1,IFERROR(MATCH(L487,'10-تشرين الأول'!$L$2:$L$501,0),0),0))</f>
        <v/>
      </c>
      <c r="W487" t="str">
        <f t="shared" si="151"/>
        <v/>
      </c>
      <c r="X487" s="38" t="str">
        <f>IF(L487="","",IF(V487&gt;0,INDEX('10-تشرين الأول'!$P$2:$P$501,V487),IF($AO$1=1,0,"")))</f>
        <v/>
      </c>
      <c r="Y487" s="38" t="str">
        <f t="shared" si="152"/>
        <v/>
      </c>
      <c r="Z487" s="39" t="str">
        <f>IF(L487="","",IF(V487&gt;0,INDEX('10-تشرين الأول'!$Q$2:$Q$501,V487),IF($AO$1=1,0,"")))</f>
        <v/>
      </c>
      <c r="AA487" s="39" t="str">
        <f t="shared" si="153"/>
        <v/>
      </c>
      <c r="AB487" s="40" t="str">
        <f>IF(OR(L487="",V487=0),"",IF(AND(N(I487)&gt;0,N(INDEX('10-تشرين الأول'!$I$2:$I$501,V487))&gt;0,INDEX('10-تشرين الأول'!$F$2:$F$501,V487)=F487),N(I487)/N(INDEX('10-تشرين الأول'!$I$2:$I$501,V487))-1,""))</f>
        <v/>
      </c>
      <c r="AC487" t="str">
        <f>IF(L487="","",IF(AND($AO$2=1,ISNA(MATCH(L487,'12-كانون الأول'!$L$2:$L$501,0))),"محذوف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IF(L488="","",IF($AO$1=1,IFERROR(MATCH(L488,'10-تشرين الأول'!$L$2:$L$501,0),0),0))</f>
        <v/>
      </c>
      <c r="W488" t="str">
        <f t="shared" si="151"/>
        <v/>
      </c>
      <c r="X488" s="38" t="str">
        <f>IF(L488="","",IF(V488&gt;0,INDEX('10-تشرين الأول'!$P$2:$P$501,V488),IF($AO$1=1,0,"")))</f>
        <v/>
      </c>
      <c r="Y488" s="38" t="str">
        <f t="shared" si="152"/>
        <v/>
      </c>
      <c r="Z488" s="39" t="str">
        <f>IF(L488="","",IF(V488&gt;0,INDEX('10-تشرين الأول'!$Q$2:$Q$501,V488),IF($AO$1=1,0,"")))</f>
        <v/>
      </c>
      <c r="AA488" s="39" t="str">
        <f t="shared" si="153"/>
        <v/>
      </c>
      <c r="AB488" s="40" t="str">
        <f>IF(OR(L488="",V488=0),"",IF(AND(N(I488)&gt;0,N(INDEX('10-تشرين الأول'!$I$2:$I$501,V488))&gt;0,INDEX('10-تشرين الأول'!$F$2:$F$501,V488)=F488),N(I488)/N(INDEX('10-تشرين الأول'!$I$2:$I$501,V488))-1,""))</f>
        <v/>
      </c>
      <c r="AC488" t="str">
        <f>IF(L488="","",IF(AND($AO$2=1,ISNA(MATCH(L488,'12-كانون الأول'!$L$2:$L$501,0))),"محذوف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IF(L489="","",IF($AO$1=1,IFERROR(MATCH(L489,'10-تشرين الأول'!$L$2:$L$501,0),0),0))</f>
        <v/>
      </c>
      <c r="W489" t="str">
        <f t="shared" si="151"/>
        <v/>
      </c>
      <c r="X489" s="38" t="str">
        <f>IF(L489="","",IF(V489&gt;0,INDEX('10-تشرين الأول'!$P$2:$P$501,V489),IF($AO$1=1,0,"")))</f>
        <v/>
      </c>
      <c r="Y489" s="38" t="str">
        <f t="shared" si="152"/>
        <v/>
      </c>
      <c r="Z489" s="39" t="str">
        <f>IF(L489="","",IF(V489&gt;0,INDEX('10-تشرين الأول'!$Q$2:$Q$501,V489),IF($AO$1=1,0,"")))</f>
        <v/>
      </c>
      <c r="AA489" s="39" t="str">
        <f t="shared" si="153"/>
        <v/>
      </c>
      <c r="AB489" s="40" t="str">
        <f>IF(OR(L489="",V489=0),"",IF(AND(N(I489)&gt;0,N(INDEX('10-تشرين الأول'!$I$2:$I$501,V489))&gt;0,INDEX('10-تشرين الأول'!$F$2:$F$501,V489)=F489),N(I489)/N(INDEX('10-تشرين الأول'!$I$2:$I$501,V489))-1,""))</f>
        <v/>
      </c>
      <c r="AC489" t="str">
        <f>IF(L489="","",IF(AND($AO$2=1,ISNA(MATCH(L489,'12-كانون الأول'!$L$2:$L$501,0))),"محذوف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IF(L490="","",IF($AO$1=1,IFERROR(MATCH(L490,'10-تشرين الأول'!$L$2:$L$501,0),0),0))</f>
        <v/>
      </c>
      <c r="W490" t="str">
        <f t="shared" si="151"/>
        <v/>
      </c>
      <c r="X490" s="38" t="str">
        <f>IF(L490="","",IF(V490&gt;0,INDEX('10-تشرين الأول'!$P$2:$P$501,V490),IF($AO$1=1,0,"")))</f>
        <v/>
      </c>
      <c r="Y490" s="38" t="str">
        <f t="shared" si="152"/>
        <v/>
      </c>
      <c r="Z490" s="39" t="str">
        <f>IF(L490="","",IF(V490&gt;0,INDEX('10-تشرين الأول'!$Q$2:$Q$501,V490),IF($AO$1=1,0,"")))</f>
        <v/>
      </c>
      <c r="AA490" s="39" t="str">
        <f t="shared" si="153"/>
        <v/>
      </c>
      <c r="AB490" s="40" t="str">
        <f>IF(OR(L490="",V490=0),"",IF(AND(N(I490)&gt;0,N(INDEX('10-تشرين الأول'!$I$2:$I$501,V490))&gt;0,INDEX('10-تشرين الأول'!$F$2:$F$501,V490)=F490),N(I490)/N(INDEX('10-تشرين الأول'!$I$2:$I$501,V490))-1,""))</f>
        <v/>
      </c>
      <c r="AC490" t="str">
        <f>IF(L490="","",IF(AND($AO$2=1,ISNA(MATCH(L490,'12-كانون الأول'!$L$2:$L$501,0))),"محذوف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IF(L491="","",IF($AO$1=1,IFERROR(MATCH(L491,'10-تشرين الأول'!$L$2:$L$501,0),0),0))</f>
        <v/>
      </c>
      <c r="W491" t="str">
        <f t="shared" si="151"/>
        <v/>
      </c>
      <c r="X491" s="38" t="str">
        <f>IF(L491="","",IF(V491&gt;0,INDEX('10-تشرين الأول'!$P$2:$P$501,V491),IF($AO$1=1,0,"")))</f>
        <v/>
      </c>
      <c r="Y491" s="38" t="str">
        <f t="shared" si="152"/>
        <v/>
      </c>
      <c r="Z491" s="39" t="str">
        <f>IF(L491="","",IF(V491&gt;0,INDEX('10-تشرين الأول'!$Q$2:$Q$501,V491),IF($AO$1=1,0,"")))</f>
        <v/>
      </c>
      <c r="AA491" s="39" t="str">
        <f t="shared" si="153"/>
        <v/>
      </c>
      <c r="AB491" s="40" t="str">
        <f>IF(OR(L491="",V491=0),"",IF(AND(N(I491)&gt;0,N(INDEX('10-تشرين الأول'!$I$2:$I$501,V491))&gt;0,INDEX('10-تشرين الأول'!$F$2:$F$501,V491)=F491),N(I491)/N(INDEX('10-تشرين الأول'!$I$2:$I$501,V491))-1,""))</f>
        <v/>
      </c>
      <c r="AC491" t="str">
        <f>IF(L491="","",IF(AND($AO$2=1,ISNA(MATCH(L491,'12-كانون الأول'!$L$2:$L$501,0))),"محذوف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IF(L492="","",IF($AO$1=1,IFERROR(MATCH(L492,'10-تشرين الأول'!$L$2:$L$501,0),0),0))</f>
        <v/>
      </c>
      <c r="W492" t="str">
        <f t="shared" si="151"/>
        <v/>
      </c>
      <c r="X492" s="38" t="str">
        <f>IF(L492="","",IF(V492&gt;0,INDEX('10-تشرين الأول'!$P$2:$P$501,V492),IF($AO$1=1,0,"")))</f>
        <v/>
      </c>
      <c r="Y492" s="38" t="str">
        <f t="shared" si="152"/>
        <v/>
      </c>
      <c r="Z492" s="39" t="str">
        <f>IF(L492="","",IF(V492&gt;0,INDEX('10-تشرين الأول'!$Q$2:$Q$501,V492),IF($AO$1=1,0,"")))</f>
        <v/>
      </c>
      <c r="AA492" s="39" t="str">
        <f t="shared" si="153"/>
        <v/>
      </c>
      <c r="AB492" s="40" t="str">
        <f>IF(OR(L492="",V492=0),"",IF(AND(N(I492)&gt;0,N(INDEX('10-تشرين الأول'!$I$2:$I$501,V492))&gt;0,INDEX('10-تشرين الأول'!$F$2:$F$501,V492)=F492),N(I492)/N(INDEX('10-تشرين الأول'!$I$2:$I$501,V492))-1,""))</f>
        <v/>
      </c>
      <c r="AC492" t="str">
        <f>IF(L492="","",IF(AND($AO$2=1,ISNA(MATCH(L492,'12-كانون الأول'!$L$2:$L$501,0))),"محذوف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IF(L493="","",IF($AO$1=1,IFERROR(MATCH(L493,'10-تشرين الأول'!$L$2:$L$501,0),0),0))</f>
        <v/>
      </c>
      <c r="W493" t="str">
        <f t="shared" si="151"/>
        <v/>
      </c>
      <c r="X493" s="38" t="str">
        <f>IF(L493="","",IF(V493&gt;0,INDEX('10-تشرين الأول'!$P$2:$P$501,V493),IF($AO$1=1,0,"")))</f>
        <v/>
      </c>
      <c r="Y493" s="38" t="str">
        <f t="shared" si="152"/>
        <v/>
      </c>
      <c r="Z493" s="39" t="str">
        <f>IF(L493="","",IF(V493&gt;0,INDEX('10-تشرين الأول'!$Q$2:$Q$501,V493),IF($AO$1=1,0,"")))</f>
        <v/>
      </c>
      <c r="AA493" s="39" t="str">
        <f t="shared" si="153"/>
        <v/>
      </c>
      <c r="AB493" s="40" t="str">
        <f>IF(OR(L493="",V493=0),"",IF(AND(N(I493)&gt;0,N(INDEX('10-تشرين الأول'!$I$2:$I$501,V493))&gt;0,INDEX('10-تشرين الأول'!$F$2:$F$501,V493)=F493),N(I493)/N(INDEX('10-تشرين الأول'!$I$2:$I$501,V493))-1,""))</f>
        <v/>
      </c>
      <c r="AC493" t="str">
        <f>IF(L493="","",IF(AND($AO$2=1,ISNA(MATCH(L493,'12-كانون الأول'!$L$2:$L$501,0))),"محذوف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IF(L494="","",IF($AO$1=1,IFERROR(MATCH(L494,'10-تشرين الأول'!$L$2:$L$501,0),0),0))</f>
        <v/>
      </c>
      <c r="W494" t="str">
        <f t="shared" si="151"/>
        <v/>
      </c>
      <c r="X494" s="38" t="str">
        <f>IF(L494="","",IF(V494&gt;0,INDEX('10-تشرين الأول'!$P$2:$P$501,V494),IF($AO$1=1,0,"")))</f>
        <v/>
      </c>
      <c r="Y494" s="38" t="str">
        <f t="shared" si="152"/>
        <v/>
      </c>
      <c r="Z494" s="39" t="str">
        <f>IF(L494="","",IF(V494&gt;0,INDEX('10-تشرين الأول'!$Q$2:$Q$501,V494),IF($AO$1=1,0,"")))</f>
        <v/>
      </c>
      <c r="AA494" s="39" t="str">
        <f t="shared" si="153"/>
        <v/>
      </c>
      <c r="AB494" s="40" t="str">
        <f>IF(OR(L494="",V494=0),"",IF(AND(N(I494)&gt;0,N(INDEX('10-تشرين الأول'!$I$2:$I$501,V494))&gt;0,INDEX('10-تشرين الأول'!$F$2:$F$501,V494)=F494),N(I494)/N(INDEX('10-تشرين الأول'!$I$2:$I$501,V494))-1,""))</f>
        <v/>
      </c>
      <c r="AC494" t="str">
        <f>IF(L494="","",IF(AND($AO$2=1,ISNA(MATCH(L494,'12-كانون الأول'!$L$2:$L$501,0))),"محذوف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IF(L495="","",IF($AO$1=1,IFERROR(MATCH(L495,'10-تشرين الأول'!$L$2:$L$501,0),0),0))</f>
        <v/>
      </c>
      <c r="W495" t="str">
        <f t="shared" si="151"/>
        <v/>
      </c>
      <c r="X495" s="38" t="str">
        <f>IF(L495="","",IF(V495&gt;0,INDEX('10-تشرين الأول'!$P$2:$P$501,V495),IF($AO$1=1,0,"")))</f>
        <v/>
      </c>
      <c r="Y495" s="38" t="str">
        <f t="shared" si="152"/>
        <v/>
      </c>
      <c r="Z495" s="39" t="str">
        <f>IF(L495="","",IF(V495&gt;0,INDEX('10-تشرين الأول'!$Q$2:$Q$501,V495),IF($AO$1=1,0,"")))</f>
        <v/>
      </c>
      <c r="AA495" s="39" t="str">
        <f t="shared" si="153"/>
        <v/>
      </c>
      <c r="AB495" s="40" t="str">
        <f>IF(OR(L495="",V495=0),"",IF(AND(N(I495)&gt;0,N(INDEX('10-تشرين الأول'!$I$2:$I$501,V495))&gt;0,INDEX('10-تشرين الأول'!$F$2:$F$501,V495)=F495),N(I495)/N(INDEX('10-تشرين الأول'!$I$2:$I$501,V495))-1,""))</f>
        <v/>
      </c>
      <c r="AC495" t="str">
        <f>IF(L495="","",IF(AND($AO$2=1,ISNA(MATCH(L495,'12-كانون الأول'!$L$2:$L$501,0))),"محذوف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IF(L496="","",IF($AO$1=1,IFERROR(MATCH(L496,'10-تشرين الأول'!$L$2:$L$501,0),0),0))</f>
        <v/>
      </c>
      <c r="W496" t="str">
        <f t="shared" si="151"/>
        <v/>
      </c>
      <c r="X496" s="38" t="str">
        <f>IF(L496="","",IF(V496&gt;0,INDEX('10-تشرين الأول'!$P$2:$P$501,V496),IF($AO$1=1,0,"")))</f>
        <v/>
      </c>
      <c r="Y496" s="38" t="str">
        <f t="shared" si="152"/>
        <v/>
      </c>
      <c r="Z496" s="39" t="str">
        <f>IF(L496="","",IF(V496&gt;0,INDEX('10-تشرين الأول'!$Q$2:$Q$501,V496),IF($AO$1=1,0,"")))</f>
        <v/>
      </c>
      <c r="AA496" s="39" t="str">
        <f t="shared" si="153"/>
        <v/>
      </c>
      <c r="AB496" s="40" t="str">
        <f>IF(OR(L496="",V496=0),"",IF(AND(N(I496)&gt;0,N(INDEX('10-تشرين الأول'!$I$2:$I$501,V496))&gt;0,INDEX('10-تشرين الأول'!$F$2:$F$501,V496)=F496),N(I496)/N(INDEX('10-تشرين الأول'!$I$2:$I$501,V496))-1,""))</f>
        <v/>
      </c>
      <c r="AC496" t="str">
        <f>IF(L496="","",IF(AND($AO$2=1,ISNA(MATCH(L496,'12-كانون الأول'!$L$2:$L$501,0))),"محذوف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IF(L497="","",IF($AO$1=1,IFERROR(MATCH(L497,'10-تشرين الأول'!$L$2:$L$501,0),0),0))</f>
        <v/>
      </c>
      <c r="W497" t="str">
        <f t="shared" si="151"/>
        <v/>
      </c>
      <c r="X497" s="38" t="str">
        <f>IF(L497="","",IF(V497&gt;0,INDEX('10-تشرين الأول'!$P$2:$P$501,V497),IF($AO$1=1,0,"")))</f>
        <v/>
      </c>
      <c r="Y497" s="38" t="str">
        <f t="shared" si="152"/>
        <v/>
      </c>
      <c r="Z497" s="39" t="str">
        <f>IF(L497="","",IF(V497&gt;0,INDEX('10-تشرين الأول'!$Q$2:$Q$501,V497),IF($AO$1=1,0,"")))</f>
        <v/>
      </c>
      <c r="AA497" s="39" t="str">
        <f t="shared" si="153"/>
        <v/>
      </c>
      <c r="AB497" s="40" t="str">
        <f>IF(OR(L497="",V497=0),"",IF(AND(N(I497)&gt;0,N(INDEX('10-تشرين الأول'!$I$2:$I$501,V497))&gt;0,INDEX('10-تشرين الأول'!$F$2:$F$501,V497)=F497),N(I497)/N(INDEX('10-تشرين الأول'!$I$2:$I$501,V497))-1,""))</f>
        <v/>
      </c>
      <c r="AC497" t="str">
        <f>IF(L497="","",IF(AND($AO$2=1,ISNA(MATCH(L497,'12-كانون الأول'!$L$2:$L$501,0))),"محذوف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IF(L498="","",IF($AO$1=1,IFERROR(MATCH(L498,'10-تشرين الأول'!$L$2:$L$501,0),0),0))</f>
        <v/>
      </c>
      <c r="W498" t="str">
        <f t="shared" si="151"/>
        <v/>
      </c>
      <c r="X498" s="38" t="str">
        <f>IF(L498="","",IF(V498&gt;0,INDEX('10-تشرين الأول'!$P$2:$P$501,V498),IF($AO$1=1,0,"")))</f>
        <v/>
      </c>
      <c r="Y498" s="38" t="str">
        <f t="shared" si="152"/>
        <v/>
      </c>
      <c r="Z498" s="39" t="str">
        <f>IF(L498="","",IF(V498&gt;0,INDEX('10-تشرين الأول'!$Q$2:$Q$501,V498),IF($AO$1=1,0,"")))</f>
        <v/>
      </c>
      <c r="AA498" s="39" t="str">
        <f t="shared" si="153"/>
        <v/>
      </c>
      <c r="AB498" s="40" t="str">
        <f>IF(OR(L498="",V498=0),"",IF(AND(N(I498)&gt;0,N(INDEX('10-تشرين الأول'!$I$2:$I$501,V498))&gt;0,INDEX('10-تشرين الأول'!$F$2:$F$501,V498)=F498),N(I498)/N(INDEX('10-تشرين الأول'!$I$2:$I$501,V498))-1,""))</f>
        <v/>
      </c>
      <c r="AC498" t="str">
        <f>IF(L498="","",IF(AND($AO$2=1,ISNA(MATCH(L498,'12-كانون الأول'!$L$2:$L$501,0))),"محذوف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IF(L499="","",IF($AO$1=1,IFERROR(MATCH(L499,'10-تشرين الأول'!$L$2:$L$501,0),0),0))</f>
        <v/>
      </c>
      <c r="W499" t="str">
        <f t="shared" si="151"/>
        <v/>
      </c>
      <c r="X499" s="38" t="str">
        <f>IF(L499="","",IF(V499&gt;0,INDEX('10-تشرين الأول'!$P$2:$P$501,V499),IF($AO$1=1,0,"")))</f>
        <v/>
      </c>
      <c r="Y499" s="38" t="str">
        <f t="shared" si="152"/>
        <v/>
      </c>
      <c r="Z499" s="39" t="str">
        <f>IF(L499="","",IF(V499&gt;0,INDEX('10-تشرين الأول'!$Q$2:$Q$501,V499),IF($AO$1=1,0,"")))</f>
        <v/>
      </c>
      <c r="AA499" s="39" t="str">
        <f t="shared" si="153"/>
        <v/>
      </c>
      <c r="AB499" s="40" t="str">
        <f>IF(OR(L499="",V499=0),"",IF(AND(N(I499)&gt;0,N(INDEX('10-تشرين الأول'!$I$2:$I$501,V499))&gt;0,INDEX('10-تشرين الأول'!$F$2:$F$501,V499)=F499),N(I499)/N(INDEX('10-تشرين الأول'!$I$2:$I$501,V499))-1,""))</f>
        <v/>
      </c>
      <c r="AC499" t="str">
        <f>IF(L499="","",IF(AND($AO$2=1,ISNA(MATCH(L499,'12-كانون الأول'!$L$2:$L$501,0))),"محذوف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IF(L500="","",IF($AO$1=1,IFERROR(MATCH(L500,'10-تشرين الأول'!$L$2:$L$501,0),0),0))</f>
        <v/>
      </c>
      <c r="W500" t="str">
        <f t="shared" si="151"/>
        <v/>
      </c>
      <c r="X500" s="38" t="str">
        <f>IF(L500="","",IF(V500&gt;0,INDEX('10-تشرين الأول'!$P$2:$P$501,V500),IF($AO$1=1,0,"")))</f>
        <v/>
      </c>
      <c r="Y500" s="38" t="str">
        <f t="shared" si="152"/>
        <v/>
      </c>
      <c r="Z500" s="39" t="str">
        <f>IF(L500="","",IF(V500&gt;0,INDEX('10-تشرين الأول'!$Q$2:$Q$501,V500),IF($AO$1=1,0,"")))</f>
        <v/>
      </c>
      <c r="AA500" s="39" t="str">
        <f t="shared" si="153"/>
        <v/>
      </c>
      <c r="AB500" s="40" t="str">
        <f>IF(OR(L500="",V500=0),"",IF(AND(N(I500)&gt;0,N(INDEX('10-تشرين الأول'!$I$2:$I$501,V500))&gt;0,INDEX('10-تشرين الأول'!$F$2:$F$501,V500)=F500),N(I500)/N(INDEX('10-تشرين الأول'!$I$2:$I$501,V500))-1,""))</f>
        <v/>
      </c>
      <c r="AC500" t="str">
        <f>IF(L500="","",IF(AND($AO$2=1,ISNA(MATCH(L500,'12-كانون الأول'!$L$2:$L$501,0))),"محذوف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IF(L501="","",IF($AO$1=1,IFERROR(MATCH(L501,'10-تشرين الأول'!$L$2:$L$501,0),0),0))</f>
        <v/>
      </c>
      <c r="W501" t="str">
        <f t="shared" si="151"/>
        <v/>
      </c>
      <c r="X501" s="38" t="str">
        <f>IF(L501="","",IF(V501&gt;0,INDEX('10-تشرين الأول'!$P$2:$P$501,V501),IF($AO$1=1,0,"")))</f>
        <v/>
      </c>
      <c r="Y501" s="38" t="str">
        <f t="shared" si="152"/>
        <v/>
      </c>
      <c r="Z501" s="39" t="str">
        <f>IF(L501="","",IF(V501&gt;0,INDEX('10-تشرين الأول'!$Q$2:$Q$501,V501),IF($AO$1=1,0,"")))</f>
        <v/>
      </c>
      <c r="AA501" s="39" t="str">
        <f t="shared" si="153"/>
        <v/>
      </c>
      <c r="AB501" s="40" t="str">
        <f>IF(OR(L501="",V501=0),"",IF(AND(N(I501)&gt;0,N(INDEX('10-تشرين الأول'!$I$2:$I$501,V501))&gt;0,INDEX('10-تشرين الأول'!$F$2:$F$501,V501)=F501),N(I501)/N(INDEX('10-تشرين الأول'!$I$2:$I$501,V501))-1,""))</f>
        <v/>
      </c>
      <c r="AC501" t="str">
        <f>IF(L501="","",IF(AND($AO$2=1,ISNA(MATCH(L501,'12-كانون الأول'!$L$2:$L$501,0))),"محذوف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10000000}"/>
  <conditionalFormatting sqref="K1">
    <cfRule type="expression" dxfId="9" priority="2">
      <formula>LEFT(K1,1)="⚠"</formula>
    </cfRule>
    <cfRule type="expression" dxfId="8" priority="3">
      <formula>LEFT(K1,1)="✓"</formula>
    </cfRule>
  </conditionalFormatting>
  <conditionalFormatting sqref="K2:U501">
    <cfRule type="expression" dxfId="7" priority="4">
      <formula>$U2&lt;&gt;""</formula>
    </cfRule>
  </conditionalFormatting>
  <conditionalFormatting sqref="W2:W501">
    <cfRule type="expression" dxfId="6" priority="5">
      <formula>$W2="جديد"</formula>
    </cfRule>
  </conditionalFormatting>
  <conditionalFormatting sqref="AC2:AC501">
    <cfRule type="expression" dxfId="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IF(COUNTA('11-تشرين الثاني'!$A$2:$A$501)&gt;0,1,0)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IF(L2="","",IF($AO$1=1,IFERROR(MATCH(L2,'11-تشرين الثاني'!$L$2:$L$501,0),0),0))</f>
        <v/>
      </c>
      <c r="W2" t="str">
        <f t="shared" ref="W2:W65" si="11">IF(L2="","",IF(AND($AO$1=1,V2=0),"جديد",""))</f>
        <v/>
      </c>
      <c r="X2" s="38" t="str">
        <f>IF(L2="","",IF(V2&gt;0,INDEX('11-تشرين الثاني'!$P$2:$P$501,V2),IF($AO$1=1,0,"")))</f>
        <v/>
      </c>
      <c r="Y2" s="38" t="str">
        <f t="shared" ref="Y2:Y65" si="12">IF(OR(L2="",X2=""),"",P2-X2)</f>
        <v/>
      </c>
      <c r="Z2" s="39" t="str">
        <f>IF(L2="","",IF(V2&gt;0,INDEX('11-تشرين الثاني'!$Q$2:$Q$501,V2),IF($AO$1=1,0,"")))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IF(OR(L2="",V2=0),"",IF(AND(N(I2)&gt;0,N(INDEX('11-تشرين الثاني'!$I$2:$I$501,V2))&gt;0,INDEX('11-تشرين الثاني'!$F$2:$F$501,V2)=F2),N(I2)/N(INDEX('11-تشرين الثاني'!$I$2:$I$501,V2))-1,""))</f>
        <v/>
      </c>
      <c r="AC2" t="str">
        <f t="shared" ref="AC2:AC65" si="14">IF(L2="","","")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5">IF(AA2="","",ABS(AA2)+ROW()/1000000000)</f>
        <v/>
      </c>
      <c r="AH2" s="39" t="str">
        <f t="shared" ref="AH2:AH65" si="16">IF(L2="","",IF(AND(P2&gt;0,N2&gt;0,N(C2)&gt;0),P2*(M2*N(C2)-N2),0))</f>
        <v/>
      </c>
      <c r="AI2" s="39" t="str">
        <f t="shared" ref="AI2:AI65" si="17">IF(L2="","",IF(AND(P2&gt;0,N2&gt;0,N(D2)&gt;0),P2*(M2*N(D2)-N2),0))</f>
        <v/>
      </c>
      <c r="AJ2" s="39" t="str">
        <f t="shared" ref="AJ2:AJ65" si="18">IF(L2="","",IF(AND(P2&gt;0,N2&gt;0,N(E2)&gt;0),P2*(M2*N(E2)-N2),0))</f>
        <v/>
      </c>
      <c r="AK2" t="str">
        <f t="shared" ref="AK2:AK65" si="19">IF(L2="","",Q2+ROW()/1000000000)</f>
        <v/>
      </c>
      <c r="AL2" t="str">
        <f t="shared" ref="AL2:AL65" si="20">IF(L2="","",T2+ROW()/1000000000)</f>
        <v/>
      </c>
      <c r="AN2" s="3" t="s">
        <v>262</v>
      </c>
      <c r="AO2" s="35">
        <f>0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IF(L3="","",IF($AO$1=1,IFERROR(MATCH(L3,'11-تشرين الثاني'!$L$2:$L$501,0),0),0))</f>
        <v/>
      </c>
      <c r="W3" t="str">
        <f t="shared" si="11"/>
        <v/>
      </c>
      <c r="X3" s="38" t="str">
        <f>IF(L3="","",IF(V3&gt;0,INDEX('11-تشرين الثاني'!$P$2:$P$501,V3),IF($AO$1=1,0,"")))</f>
        <v/>
      </c>
      <c r="Y3" s="38" t="str">
        <f t="shared" si="12"/>
        <v/>
      </c>
      <c r="Z3" s="39" t="str">
        <f>IF(L3="","",IF(V3&gt;0,INDEX('11-تشرين الثاني'!$Q$2:$Q$501,V3),IF($AO$1=1,0,"")))</f>
        <v/>
      </c>
      <c r="AA3" s="39" t="str">
        <f t="shared" si="13"/>
        <v/>
      </c>
      <c r="AB3" s="40" t="str">
        <f>IF(OR(L3="",V3=0),"",IF(AND(N(I3)&gt;0,N(INDEX('11-تشرين الثاني'!$I$2:$I$501,V3))&gt;0,INDEX('11-تشرين الثاني'!$F$2:$F$501,V3)=F3),N(I3)/N(INDEX('11-تشرين الثاني'!$I$2:$I$501,V3))-1,""))</f>
        <v/>
      </c>
      <c r="AC3" t="str">
        <f t="shared" si="14"/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5"/>
        <v/>
      </c>
      <c r="AH3" s="39" t="str">
        <f t="shared" si="16"/>
        <v/>
      </c>
      <c r="AI3" s="39" t="str">
        <f t="shared" si="17"/>
        <v/>
      </c>
      <c r="AJ3" s="39" t="str">
        <f t="shared" si="18"/>
        <v/>
      </c>
      <c r="AK3" t="str">
        <f t="shared" si="19"/>
        <v/>
      </c>
      <c r="AL3" t="str">
        <f t="shared" si="20"/>
        <v/>
      </c>
      <c r="AN3" s="3" t="s">
        <v>142</v>
      </c>
      <c r="AO3" s="41">
        <f>'لوحة التحكم'!$C$27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IF(L4="","",IF($AO$1=1,IFERROR(MATCH(L4,'11-تشرين الثاني'!$L$2:$L$501,0),0),0))</f>
        <v/>
      </c>
      <c r="W4" t="str">
        <f t="shared" si="11"/>
        <v/>
      </c>
      <c r="X4" s="38" t="str">
        <f>IF(L4="","",IF(V4&gt;0,INDEX('11-تشرين الثاني'!$P$2:$P$501,V4),IF($AO$1=1,0,"")))</f>
        <v/>
      </c>
      <c r="Y4" s="38" t="str">
        <f t="shared" si="12"/>
        <v/>
      </c>
      <c r="Z4" s="39" t="str">
        <f>IF(L4="","",IF(V4&gt;0,INDEX('11-تشرين الثاني'!$Q$2:$Q$501,V4),IF($AO$1=1,0,"")))</f>
        <v/>
      </c>
      <c r="AA4" s="39" t="str">
        <f t="shared" si="13"/>
        <v/>
      </c>
      <c r="AB4" s="40" t="str">
        <f>IF(OR(L4="",V4=0),"",IF(AND(N(I4)&gt;0,N(INDEX('11-تشرين الثاني'!$I$2:$I$501,V4))&gt;0,INDEX('11-تشرين الثاني'!$F$2:$F$501,V4)=F4),N(I4)/N(INDEX('11-تشرين الثاني'!$I$2:$I$501,V4))-1,""))</f>
        <v/>
      </c>
      <c r="AC4" t="str">
        <f t="shared" si="14"/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5"/>
        <v/>
      </c>
      <c r="AH4" s="39" t="str">
        <f t="shared" si="16"/>
        <v/>
      </c>
      <c r="AI4" s="39" t="str">
        <f t="shared" si="17"/>
        <v/>
      </c>
      <c r="AJ4" s="39" t="str">
        <f t="shared" si="18"/>
        <v/>
      </c>
      <c r="AK4" t="str">
        <f t="shared" si="19"/>
        <v/>
      </c>
      <c r="AL4" t="str">
        <f t="shared" si="20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IF(L5="","",IF($AO$1=1,IFERROR(MATCH(L5,'11-تشرين الثاني'!$L$2:$L$501,0),0),0))</f>
        <v/>
      </c>
      <c r="W5" t="str">
        <f t="shared" si="11"/>
        <v/>
      </c>
      <c r="X5" s="38" t="str">
        <f>IF(L5="","",IF(V5&gt;0,INDEX('11-تشرين الثاني'!$P$2:$P$501,V5),IF($AO$1=1,0,"")))</f>
        <v/>
      </c>
      <c r="Y5" s="38" t="str">
        <f t="shared" si="12"/>
        <v/>
      </c>
      <c r="Z5" s="39" t="str">
        <f>IF(L5="","",IF(V5&gt;0,INDEX('11-تشرين الثاني'!$Q$2:$Q$501,V5),IF($AO$1=1,0,"")))</f>
        <v/>
      </c>
      <c r="AA5" s="39" t="str">
        <f t="shared" si="13"/>
        <v/>
      </c>
      <c r="AB5" s="40" t="str">
        <f>IF(OR(L5="",V5=0),"",IF(AND(N(I5)&gt;0,N(INDEX('11-تشرين الثاني'!$I$2:$I$501,V5))&gt;0,INDEX('11-تشرين الثاني'!$F$2:$F$501,V5)=F5),N(I5)/N(INDEX('11-تشرين الثاني'!$I$2:$I$501,V5))-1,""))</f>
        <v/>
      </c>
      <c r="AC5" t="str">
        <f t="shared" si="14"/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5"/>
        <v/>
      </c>
      <c r="AH5" s="39" t="str">
        <f t="shared" si="16"/>
        <v/>
      </c>
      <c r="AI5" s="39" t="str">
        <f t="shared" si="17"/>
        <v/>
      </c>
      <c r="AJ5" s="39" t="str">
        <f t="shared" si="18"/>
        <v/>
      </c>
      <c r="AK5" t="str">
        <f t="shared" si="19"/>
        <v/>
      </c>
      <c r="AL5" t="str">
        <f t="shared" si="20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IF(L6="","",IF($AO$1=1,IFERROR(MATCH(L6,'11-تشرين الثاني'!$L$2:$L$501,0),0),0))</f>
        <v/>
      </c>
      <c r="W6" t="str">
        <f t="shared" si="11"/>
        <v/>
      </c>
      <c r="X6" s="38" t="str">
        <f>IF(L6="","",IF(V6&gt;0,INDEX('11-تشرين الثاني'!$P$2:$P$501,V6),IF($AO$1=1,0,"")))</f>
        <v/>
      </c>
      <c r="Y6" s="38" t="str">
        <f t="shared" si="12"/>
        <v/>
      </c>
      <c r="Z6" s="39" t="str">
        <f>IF(L6="","",IF(V6&gt;0,INDEX('11-تشرين الثاني'!$Q$2:$Q$501,V6),IF($AO$1=1,0,"")))</f>
        <v/>
      </c>
      <c r="AA6" s="39" t="str">
        <f t="shared" si="13"/>
        <v/>
      </c>
      <c r="AB6" s="40" t="str">
        <f>IF(OR(L6="",V6=0),"",IF(AND(N(I6)&gt;0,N(INDEX('11-تشرين الثاني'!$I$2:$I$501,V6))&gt;0,INDEX('11-تشرين الثاني'!$F$2:$F$501,V6)=F6),N(I6)/N(INDEX('11-تشرين الثاني'!$I$2:$I$501,V6))-1,""))</f>
        <v/>
      </c>
      <c r="AC6" t="str">
        <f t="shared" si="14"/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5"/>
        <v/>
      </c>
      <c r="AH6" s="39" t="str">
        <f t="shared" si="16"/>
        <v/>
      </c>
      <c r="AI6" s="39" t="str">
        <f t="shared" si="17"/>
        <v/>
      </c>
      <c r="AJ6" s="39" t="str">
        <f t="shared" si="18"/>
        <v/>
      </c>
      <c r="AK6" t="str">
        <f t="shared" si="19"/>
        <v/>
      </c>
      <c r="AL6" t="str">
        <f t="shared" si="20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IF(L7="","",IF($AO$1=1,IFERROR(MATCH(L7,'11-تشرين الثاني'!$L$2:$L$501,0),0),0))</f>
        <v/>
      </c>
      <c r="W7" t="str">
        <f t="shared" si="11"/>
        <v/>
      </c>
      <c r="X7" s="38" t="str">
        <f>IF(L7="","",IF(V7&gt;0,INDEX('11-تشرين الثاني'!$P$2:$P$501,V7),IF($AO$1=1,0,"")))</f>
        <v/>
      </c>
      <c r="Y7" s="38" t="str">
        <f t="shared" si="12"/>
        <v/>
      </c>
      <c r="Z7" s="39" t="str">
        <f>IF(L7="","",IF(V7&gt;0,INDEX('11-تشرين الثاني'!$Q$2:$Q$501,V7),IF($AO$1=1,0,"")))</f>
        <v/>
      </c>
      <c r="AA7" s="39" t="str">
        <f t="shared" si="13"/>
        <v/>
      </c>
      <c r="AB7" s="40" t="str">
        <f>IF(OR(L7="",V7=0),"",IF(AND(N(I7)&gt;0,N(INDEX('11-تشرين الثاني'!$I$2:$I$501,V7))&gt;0,INDEX('11-تشرين الثاني'!$F$2:$F$501,V7)=F7),N(I7)/N(INDEX('11-تشرين الثاني'!$I$2:$I$501,V7))-1,""))</f>
        <v/>
      </c>
      <c r="AC7" t="str">
        <f t="shared" si="14"/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5"/>
        <v/>
      </c>
      <c r="AH7" s="39" t="str">
        <f t="shared" si="16"/>
        <v/>
      </c>
      <c r="AI7" s="39" t="str">
        <f t="shared" si="17"/>
        <v/>
      </c>
      <c r="AJ7" s="39" t="str">
        <f t="shared" si="18"/>
        <v/>
      </c>
      <c r="AK7" t="str">
        <f t="shared" si="19"/>
        <v/>
      </c>
      <c r="AL7" t="str">
        <f t="shared" si="20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IF(L8="","",IF($AO$1=1,IFERROR(MATCH(L8,'11-تشرين الثاني'!$L$2:$L$501,0),0),0))</f>
        <v/>
      </c>
      <c r="W8" t="str">
        <f t="shared" si="11"/>
        <v/>
      </c>
      <c r="X8" s="38" t="str">
        <f>IF(L8="","",IF(V8&gt;0,INDEX('11-تشرين الثاني'!$P$2:$P$501,V8),IF($AO$1=1,0,"")))</f>
        <v/>
      </c>
      <c r="Y8" s="38" t="str">
        <f t="shared" si="12"/>
        <v/>
      </c>
      <c r="Z8" s="39" t="str">
        <f>IF(L8="","",IF(V8&gt;0,INDEX('11-تشرين الثاني'!$Q$2:$Q$501,V8),IF($AO$1=1,0,"")))</f>
        <v/>
      </c>
      <c r="AA8" s="39" t="str">
        <f t="shared" si="13"/>
        <v/>
      </c>
      <c r="AB8" s="40" t="str">
        <f>IF(OR(L8="",V8=0),"",IF(AND(N(I8)&gt;0,N(INDEX('11-تشرين الثاني'!$I$2:$I$501,V8))&gt;0,INDEX('11-تشرين الثاني'!$F$2:$F$501,V8)=F8),N(I8)/N(INDEX('11-تشرين الثاني'!$I$2:$I$501,V8))-1,""))</f>
        <v/>
      </c>
      <c r="AC8" t="str">
        <f t="shared" si="14"/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5"/>
        <v/>
      </c>
      <c r="AH8" s="39" t="str">
        <f t="shared" si="16"/>
        <v/>
      </c>
      <c r="AI8" s="39" t="str">
        <f t="shared" si="17"/>
        <v/>
      </c>
      <c r="AJ8" s="39" t="str">
        <f t="shared" si="18"/>
        <v/>
      </c>
      <c r="AK8" t="str">
        <f t="shared" si="19"/>
        <v/>
      </c>
      <c r="AL8" t="str">
        <f t="shared" si="20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IF(L9="","",IF($AO$1=1,IFERROR(MATCH(L9,'11-تشرين الثاني'!$L$2:$L$501,0),0),0))</f>
        <v/>
      </c>
      <c r="W9" t="str">
        <f t="shared" si="11"/>
        <v/>
      </c>
      <c r="X9" s="38" t="str">
        <f>IF(L9="","",IF(V9&gt;0,INDEX('11-تشرين الثاني'!$P$2:$P$501,V9),IF($AO$1=1,0,"")))</f>
        <v/>
      </c>
      <c r="Y9" s="38" t="str">
        <f t="shared" si="12"/>
        <v/>
      </c>
      <c r="Z9" s="39" t="str">
        <f>IF(L9="","",IF(V9&gt;0,INDEX('11-تشرين الثاني'!$Q$2:$Q$501,V9),IF($AO$1=1,0,"")))</f>
        <v/>
      </c>
      <c r="AA9" s="39" t="str">
        <f t="shared" si="13"/>
        <v/>
      </c>
      <c r="AB9" s="40" t="str">
        <f>IF(OR(L9="",V9=0),"",IF(AND(N(I9)&gt;0,N(INDEX('11-تشرين الثاني'!$I$2:$I$501,V9))&gt;0,INDEX('11-تشرين الثاني'!$F$2:$F$501,V9)=F9),N(I9)/N(INDEX('11-تشرين الثاني'!$I$2:$I$501,V9))-1,""))</f>
        <v/>
      </c>
      <c r="AC9" t="str">
        <f t="shared" si="14"/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5"/>
        <v/>
      </c>
      <c r="AH9" s="39" t="str">
        <f t="shared" si="16"/>
        <v/>
      </c>
      <c r="AI9" s="39" t="str">
        <f t="shared" si="17"/>
        <v/>
      </c>
      <c r="AJ9" s="39" t="str">
        <f t="shared" si="18"/>
        <v/>
      </c>
      <c r="AK9" t="str">
        <f t="shared" si="19"/>
        <v/>
      </c>
      <c r="AL9" t="str">
        <f t="shared" si="20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IF(L10="","",IF($AO$1=1,IFERROR(MATCH(L10,'11-تشرين الثاني'!$L$2:$L$501,0),0),0))</f>
        <v/>
      </c>
      <c r="W10" t="str">
        <f t="shared" si="11"/>
        <v/>
      </c>
      <c r="X10" s="38" t="str">
        <f>IF(L10="","",IF(V10&gt;0,INDEX('11-تشرين الثاني'!$P$2:$P$501,V10),IF($AO$1=1,0,"")))</f>
        <v/>
      </c>
      <c r="Y10" s="38" t="str">
        <f t="shared" si="12"/>
        <v/>
      </c>
      <c r="Z10" s="39" t="str">
        <f>IF(L10="","",IF(V10&gt;0,INDEX('11-تشرين الثاني'!$Q$2:$Q$501,V10),IF($AO$1=1,0,"")))</f>
        <v/>
      </c>
      <c r="AA10" s="39" t="str">
        <f t="shared" si="13"/>
        <v/>
      </c>
      <c r="AB10" s="40" t="str">
        <f>IF(OR(L10="",V10=0),"",IF(AND(N(I10)&gt;0,N(INDEX('11-تشرين الثاني'!$I$2:$I$501,V10))&gt;0,INDEX('11-تشرين الثاني'!$F$2:$F$501,V10)=F10),N(I10)/N(INDEX('11-تشرين الثاني'!$I$2:$I$501,V10))-1,""))</f>
        <v/>
      </c>
      <c r="AC10" t="str">
        <f t="shared" si="14"/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5"/>
        <v/>
      </c>
      <c r="AH10" s="39" t="str">
        <f t="shared" si="16"/>
        <v/>
      </c>
      <c r="AI10" s="39" t="str">
        <f t="shared" si="17"/>
        <v/>
      </c>
      <c r="AJ10" s="39" t="str">
        <f t="shared" si="18"/>
        <v/>
      </c>
      <c r="AK10" t="str">
        <f t="shared" si="19"/>
        <v/>
      </c>
      <c r="AL10" t="str">
        <f t="shared" si="20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IF(L11="","",IF($AO$1=1,IFERROR(MATCH(L11,'11-تشرين الثاني'!$L$2:$L$501,0),0),0))</f>
        <v/>
      </c>
      <c r="W11" t="str">
        <f t="shared" si="11"/>
        <v/>
      </c>
      <c r="X11" s="38" t="str">
        <f>IF(L11="","",IF(V11&gt;0,INDEX('11-تشرين الثاني'!$P$2:$P$501,V11),IF($AO$1=1,0,"")))</f>
        <v/>
      </c>
      <c r="Y11" s="38" t="str">
        <f t="shared" si="12"/>
        <v/>
      </c>
      <c r="Z11" s="39" t="str">
        <f>IF(L11="","",IF(V11&gt;0,INDEX('11-تشرين الثاني'!$Q$2:$Q$501,V11),IF($AO$1=1,0,"")))</f>
        <v/>
      </c>
      <c r="AA11" s="39" t="str">
        <f t="shared" si="13"/>
        <v/>
      </c>
      <c r="AB11" s="40" t="str">
        <f>IF(OR(L11="",V11=0),"",IF(AND(N(I11)&gt;0,N(INDEX('11-تشرين الثاني'!$I$2:$I$501,V11))&gt;0,INDEX('11-تشرين الثاني'!$F$2:$F$501,V11)=F11),N(I11)/N(INDEX('11-تشرين الثاني'!$I$2:$I$501,V11))-1,""))</f>
        <v/>
      </c>
      <c r="AC11" t="str">
        <f t="shared" si="14"/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5"/>
        <v/>
      </c>
      <c r="AH11" s="39" t="str">
        <f t="shared" si="16"/>
        <v/>
      </c>
      <c r="AI11" s="39" t="str">
        <f t="shared" si="17"/>
        <v/>
      </c>
      <c r="AJ11" s="39" t="str">
        <f t="shared" si="18"/>
        <v/>
      </c>
      <c r="AK11" t="str">
        <f t="shared" si="19"/>
        <v/>
      </c>
      <c r="AL11" t="str">
        <f t="shared" si="20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IF(L12="","",IF($AO$1=1,IFERROR(MATCH(L12,'11-تشرين الثاني'!$L$2:$L$501,0),0),0))</f>
        <v/>
      </c>
      <c r="W12" t="str">
        <f t="shared" si="11"/>
        <v/>
      </c>
      <c r="X12" s="38" t="str">
        <f>IF(L12="","",IF(V12&gt;0,INDEX('11-تشرين الثاني'!$P$2:$P$501,V12),IF($AO$1=1,0,"")))</f>
        <v/>
      </c>
      <c r="Y12" s="38" t="str">
        <f t="shared" si="12"/>
        <v/>
      </c>
      <c r="Z12" s="39" t="str">
        <f>IF(L12="","",IF(V12&gt;0,INDEX('11-تشرين الثاني'!$Q$2:$Q$501,V12),IF($AO$1=1,0,"")))</f>
        <v/>
      </c>
      <c r="AA12" s="39" t="str">
        <f t="shared" si="13"/>
        <v/>
      </c>
      <c r="AB12" s="40" t="str">
        <f>IF(OR(L12="",V12=0),"",IF(AND(N(I12)&gt;0,N(INDEX('11-تشرين الثاني'!$I$2:$I$501,V12))&gt;0,INDEX('11-تشرين الثاني'!$F$2:$F$501,V12)=F12),N(I12)/N(INDEX('11-تشرين الثاني'!$I$2:$I$501,V12))-1,""))</f>
        <v/>
      </c>
      <c r="AC12" t="str">
        <f t="shared" si="14"/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5"/>
        <v/>
      </c>
      <c r="AH12" s="39" t="str">
        <f t="shared" si="16"/>
        <v/>
      </c>
      <c r="AI12" s="39" t="str">
        <f t="shared" si="17"/>
        <v/>
      </c>
      <c r="AJ12" s="39" t="str">
        <f t="shared" si="18"/>
        <v/>
      </c>
      <c r="AK12" t="str">
        <f t="shared" si="19"/>
        <v/>
      </c>
      <c r="AL12" t="str">
        <f t="shared" si="20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IF(L13="","",IF($AO$1=1,IFERROR(MATCH(L13,'11-تشرين الثاني'!$L$2:$L$501,0),0),0))</f>
        <v/>
      </c>
      <c r="W13" t="str">
        <f t="shared" si="11"/>
        <v/>
      </c>
      <c r="X13" s="38" t="str">
        <f>IF(L13="","",IF(V13&gt;0,INDEX('11-تشرين الثاني'!$P$2:$P$501,V13),IF($AO$1=1,0,"")))</f>
        <v/>
      </c>
      <c r="Y13" s="38" t="str">
        <f t="shared" si="12"/>
        <v/>
      </c>
      <c r="Z13" s="39" t="str">
        <f>IF(L13="","",IF(V13&gt;0,INDEX('11-تشرين الثاني'!$Q$2:$Q$501,V13),IF($AO$1=1,0,"")))</f>
        <v/>
      </c>
      <c r="AA13" s="39" t="str">
        <f t="shared" si="13"/>
        <v/>
      </c>
      <c r="AB13" s="40" t="str">
        <f>IF(OR(L13="",V13=0),"",IF(AND(N(I13)&gt;0,N(INDEX('11-تشرين الثاني'!$I$2:$I$501,V13))&gt;0,INDEX('11-تشرين الثاني'!$F$2:$F$501,V13)=F13),N(I13)/N(INDEX('11-تشرين الثاني'!$I$2:$I$501,V13))-1,""))</f>
        <v/>
      </c>
      <c r="AC13" t="str">
        <f t="shared" si="14"/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5"/>
        <v/>
      </c>
      <c r="AH13" s="39" t="str">
        <f t="shared" si="16"/>
        <v/>
      </c>
      <c r="AI13" s="39" t="str">
        <f t="shared" si="17"/>
        <v/>
      </c>
      <c r="AJ13" s="39" t="str">
        <f t="shared" si="18"/>
        <v/>
      </c>
      <c r="AK13" t="str">
        <f t="shared" si="19"/>
        <v/>
      </c>
      <c r="AL13" t="str">
        <f t="shared" si="20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IF(L14="","",IF($AO$1=1,IFERROR(MATCH(L14,'11-تشرين الثاني'!$L$2:$L$501,0),0),0))</f>
        <v/>
      </c>
      <c r="W14" t="str">
        <f t="shared" si="11"/>
        <v/>
      </c>
      <c r="X14" s="38" t="str">
        <f>IF(L14="","",IF(V14&gt;0,INDEX('11-تشرين الثاني'!$P$2:$P$501,V14),IF($AO$1=1,0,"")))</f>
        <v/>
      </c>
      <c r="Y14" s="38" t="str">
        <f t="shared" si="12"/>
        <v/>
      </c>
      <c r="Z14" s="39" t="str">
        <f>IF(L14="","",IF(V14&gt;0,INDEX('11-تشرين الثاني'!$Q$2:$Q$501,V14),IF($AO$1=1,0,"")))</f>
        <v/>
      </c>
      <c r="AA14" s="39" t="str">
        <f t="shared" si="13"/>
        <v/>
      </c>
      <c r="AB14" s="40" t="str">
        <f>IF(OR(L14="",V14=0),"",IF(AND(N(I14)&gt;0,N(INDEX('11-تشرين الثاني'!$I$2:$I$501,V14))&gt;0,INDEX('11-تشرين الثاني'!$F$2:$F$501,V14)=F14),N(I14)/N(INDEX('11-تشرين الثاني'!$I$2:$I$501,V14))-1,""))</f>
        <v/>
      </c>
      <c r="AC14" t="str">
        <f t="shared" si="14"/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5"/>
        <v/>
      </c>
      <c r="AH14" s="39" t="str">
        <f t="shared" si="16"/>
        <v/>
      </c>
      <c r="AI14" s="39" t="str">
        <f t="shared" si="17"/>
        <v/>
      </c>
      <c r="AJ14" s="39" t="str">
        <f t="shared" si="18"/>
        <v/>
      </c>
      <c r="AK14" t="str">
        <f t="shared" si="19"/>
        <v/>
      </c>
      <c r="AL14" t="str">
        <f t="shared" si="20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IF(L15="","",IF($AO$1=1,IFERROR(MATCH(L15,'11-تشرين الثاني'!$L$2:$L$501,0),0),0))</f>
        <v/>
      </c>
      <c r="W15" t="str">
        <f t="shared" si="11"/>
        <v/>
      </c>
      <c r="X15" s="38" t="str">
        <f>IF(L15="","",IF(V15&gt;0,INDEX('11-تشرين الثاني'!$P$2:$P$501,V15),IF($AO$1=1,0,"")))</f>
        <v/>
      </c>
      <c r="Y15" s="38" t="str">
        <f t="shared" si="12"/>
        <v/>
      </c>
      <c r="Z15" s="39" t="str">
        <f>IF(L15="","",IF(V15&gt;0,INDEX('11-تشرين الثاني'!$Q$2:$Q$501,V15),IF($AO$1=1,0,"")))</f>
        <v/>
      </c>
      <c r="AA15" s="39" t="str">
        <f t="shared" si="13"/>
        <v/>
      </c>
      <c r="AB15" s="40" t="str">
        <f>IF(OR(L15="",V15=0),"",IF(AND(N(I15)&gt;0,N(INDEX('11-تشرين الثاني'!$I$2:$I$501,V15))&gt;0,INDEX('11-تشرين الثاني'!$F$2:$F$501,V15)=F15),N(I15)/N(INDEX('11-تشرين الثاني'!$I$2:$I$501,V15))-1,""))</f>
        <v/>
      </c>
      <c r="AC15" t="str">
        <f t="shared" si="14"/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5"/>
        <v/>
      </c>
      <c r="AH15" s="39" t="str">
        <f t="shared" si="16"/>
        <v/>
      </c>
      <c r="AI15" s="39" t="str">
        <f t="shared" si="17"/>
        <v/>
      </c>
      <c r="AJ15" s="39" t="str">
        <f t="shared" si="18"/>
        <v/>
      </c>
      <c r="AK15" t="str">
        <f t="shared" si="19"/>
        <v/>
      </c>
      <c r="AL15" t="str">
        <f t="shared" si="20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IF(L16="","",IF($AO$1=1,IFERROR(MATCH(L16,'11-تشرين الثاني'!$L$2:$L$501,0),0),0))</f>
        <v/>
      </c>
      <c r="W16" t="str">
        <f t="shared" si="11"/>
        <v/>
      </c>
      <c r="X16" s="38" t="str">
        <f>IF(L16="","",IF(V16&gt;0,INDEX('11-تشرين الثاني'!$P$2:$P$501,V16),IF($AO$1=1,0,"")))</f>
        <v/>
      </c>
      <c r="Y16" s="38" t="str">
        <f t="shared" si="12"/>
        <v/>
      </c>
      <c r="Z16" s="39" t="str">
        <f>IF(L16="","",IF(V16&gt;0,INDEX('11-تشرين الثاني'!$Q$2:$Q$501,V16),IF($AO$1=1,0,"")))</f>
        <v/>
      </c>
      <c r="AA16" s="39" t="str">
        <f t="shared" si="13"/>
        <v/>
      </c>
      <c r="AB16" s="40" t="str">
        <f>IF(OR(L16="",V16=0),"",IF(AND(N(I16)&gt;0,N(INDEX('11-تشرين الثاني'!$I$2:$I$501,V16))&gt;0,INDEX('11-تشرين الثاني'!$F$2:$F$501,V16)=F16),N(I16)/N(INDEX('11-تشرين الثاني'!$I$2:$I$501,V16))-1,""))</f>
        <v/>
      </c>
      <c r="AC16" t="str">
        <f t="shared" si="14"/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5"/>
        <v/>
      </c>
      <c r="AH16" s="39" t="str">
        <f t="shared" si="16"/>
        <v/>
      </c>
      <c r="AI16" s="39" t="str">
        <f t="shared" si="17"/>
        <v/>
      </c>
      <c r="AJ16" s="39" t="str">
        <f t="shared" si="18"/>
        <v/>
      </c>
      <c r="AK16" t="str">
        <f t="shared" si="19"/>
        <v/>
      </c>
      <c r="AL16" t="str">
        <f t="shared" si="20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IF(L17="","",IF($AO$1=1,IFERROR(MATCH(L17,'11-تشرين الثاني'!$L$2:$L$501,0),0),0))</f>
        <v/>
      </c>
      <c r="W17" t="str">
        <f t="shared" si="11"/>
        <v/>
      </c>
      <c r="X17" s="38" t="str">
        <f>IF(L17="","",IF(V17&gt;0,INDEX('11-تشرين الثاني'!$P$2:$P$501,V17),IF($AO$1=1,0,"")))</f>
        <v/>
      </c>
      <c r="Y17" s="38" t="str">
        <f t="shared" si="12"/>
        <v/>
      </c>
      <c r="Z17" s="39" t="str">
        <f>IF(L17="","",IF(V17&gt;0,INDEX('11-تشرين الثاني'!$Q$2:$Q$501,V17),IF($AO$1=1,0,"")))</f>
        <v/>
      </c>
      <c r="AA17" s="39" t="str">
        <f t="shared" si="13"/>
        <v/>
      </c>
      <c r="AB17" s="40" t="str">
        <f>IF(OR(L17="",V17=0),"",IF(AND(N(I17)&gt;0,N(INDEX('11-تشرين الثاني'!$I$2:$I$501,V17))&gt;0,INDEX('11-تشرين الثاني'!$F$2:$F$501,V17)=F17),N(I17)/N(INDEX('11-تشرين الثاني'!$I$2:$I$501,V17))-1,""))</f>
        <v/>
      </c>
      <c r="AC17" t="str">
        <f t="shared" si="14"/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5"/>
        <v/>
      </c>
      <c r="AH17" s="39" t="str">
        <f t="shared" si="16"/>
        <v/>
      </c>
      <c r="AI17" s="39" t="str">
        <f t="shared" si="17"/>
        <v/>
      </c>
      <c r="AJ17" s="39" t="str">
        <f t="shared" si="18"/>
        <v/>
      </c>
      <c r="AK17" t="str">
        <f t="shared" si="19"/>
        <v/>
      </c>
      <c r="AL17" t="str">
        <f t="shared" si="20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IF(L18="","",IF($AO$1=1,IFERROR(MATCH(L18,'11-تشرين الثاني'!$L$2:$L$501,0),0),0))</f>
        <v/>
      </c>
      <c r="W18" t="str">
        <f t="shared" si="11"/>
        <v/>
      </c>
      <c r="X18" s="38" t="str">
        <f>IF(L18="","",IF(V18&gt;0,INDEX('11-تشرين الثاني'!$P$2:$P$501,V18),IF($AO$1=1,0,"")))</f>
        <v/>
      </c>
      <c r="Y18" s="38" t="str">
        <f t="shared" si="12"/>
        <v/>
      </c>
      <c r="Z18" s="39" t="str">
        <f>IF(L18="","",IF(V18&gt;0,INDEX('11-تشرين الثاني'!$Q$2:$Q$501,V18),IF($AO$1=1,0,"")))</f>
        <v/>
      </c>
      <c r="AA18" s="39" t="str">
        <f t="shared" si="13"/>
        <v/>
      </c>
      <c r="AB18" s="40" t="str">
        <f>IF(OR(L18="",V18=0),"",IF(AND(N(I18)&gt;0,N(INDEX('11-تشرين الثاني'!$I$2:$I$501,V18))&gt;0,INDEX('11-تشرين الثاني'!$F$2:$F$501,V18)=F18),N(I18)/N(INDEX('11-تشرين الثاني'!$I$2:$I$501,V18))-1,""))</f>
        <v/>
      </c>
      <c r="AC18" t="str">
        <f t="shared" si="14"/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5"/>
        <v/>
      </c>
      <c r="AH18" s="39" t="str">
        <f t="shared" si="16"/>
        <v/>
      </c>
      <c r="AI18" s="39" t="str">
        <f t="shared" si="17"/>
        <v/>
      </c>
      <c r="AJ18" s="39" t="str">
        <f t="shared" si="18"/>
        <v/>
      </c>
      <c r="AK18" t="str">
        <f t="shared" si="19"/>
        <v/>
      </c>
      <c r="AL18" t="str">
        <f t="shared" si="20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IF(L19="","",IF($AO$1=1,IFERROR(MATCH(L19,'11-تشرين الثاني'!$L$2:$L$501,0),0),0))</f>
        <v/>
      </c>
      <c r="W19" t="str">
        <f t="shared" si="11"/>
        <v/>
      </c>
      <c r="X19" s="38" t="str">
        <f>IF(L19="","",IF(V19&gt;0,INDEX('11-تشرين الثاني'!$P$2:$P$501,V19),IF($AO$1=1,0,"")))</f>
        <v/>
      </c>
      <c r="Y19" s="38" t="str">
        <f t="shared" si="12"/>
        <v/>
      </c>
      <c r="Z19" s="39" t="str">
        <f>IF(L19="","",IF(V19&gt;0,INDEX('11-تشرين الثاني'!$Q$2:$Q$501,V19),IF($AO$1=1,0,"")))</f>
        <v/>
      </c>
      <c r="AA19" s="39" t="str">
        <f t="shared" si="13"/>
        <v/>
      </c>
      <c r="AB19" s="40" t="str">
        <f>IF(OR(L19="",V19=0),"",IF(AND(N(I19)&gt;0,N(INDEX('11-تشرين الثاني'!$I$2:$I$501,V19))&gt;0,INDEX('11-تشرين الثاني'!$F$2:$F$501,V19)=F19),N(I19)/N(INDEX('11-تشرين الثاني'!$I$2:$I$501,V19))-1,""))</f>
        <v/>
      </c>
      <c r="AC19" t="str">
        <f t="shared" si="14"/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5"/>
        <v/>
      </c>
      <c r="AH19" s="39" t="str">
        <f t="shared" si="16"/>
        <v/>
      </c>
      <c r="AI19" s="39" t="str">
        <f t="shared" si="17"/>
        <v/>
      </c>
      <c r="AJ19" s="39" t="str">
        <f t="shared" si="18"/>
        <v/>
      </c>
      <c r="AK19" t="str">
        <f t="shared" si="19"/>
        <v/>
      </c>
      <c r="AL19" t="str">
        <f t="shared" si="20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IF(L20="","",IF($AO$1=1,IFERROR(MATCH(L20,'11-تشرين الثاني'!$L$2:$L$501,0),0),0))</f>
        <v/>
      </c>
      <c r="W20" t="str">
        <f t="shared" si="11"/>
        <v/>
      </c>
      <c r="X20" s="38" t="str">
        <f>IF(L20="","",IF(V20&gt;0,INDEX('11-تشرين الثاني'!$P$2:$P$501,V20),IF($AO$1=1,0,"")))</f>
        <v/>
      </c>
      <c r="Y20" s="38" t="str">
        <f t="shared" si="12"/>
        <v/>
      </c>
      <c r="Z20" s="39" t="str">
        <f>IF(L20="","",IF(V20&gt;0,INDEX('11-تشرين الثاني'!$Q$2:$Q$501,V20),IF($AO$1=1,0,"")))</f>
        <v/>
      </c>
      <c r="AA20" s="39" t="str">
        <f t="shared" si="13"/>
        <v/>
      </c>
      <c r="AB20" s="40" t="str">
        <f>IF(OR(L20="",V20=0),"",IF(AND(N(I20)&gt;0,N(INDEX('11-تشرين الثاني'!$I$2:$I$501,V20))&gt;0,INDEX('11-تشرين الثاني'!$F$2:$F$501,V20)=F20),N(I20)/N(INDEX('11-تشرين الثاني'!$I$2:$I$501,V20))-1,""))</f>
        <v/>
      </c>
      <c r="AC20" t="str">
        <f t="shared" si="14"/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5"/>
        <v/>
      </c>
      <c r="AH20" s="39" t="str">
        <f t="shared" si="16"/>
        <v/>
      </c>
      <c r="AI20" s="39" t="str">
        <f t="shared" si="17"/>
        <v/>
      </c>
      <c r="AJ20" s="39" t="str">
        <f t="shared" si="18"/>
        <v/>
      </c>
      <c r="AK20" t="str">
        <f t="shared" si="19"/>
        <v/>
      </c>
      <c r="AL20" t="str">
        <f t="shared" si="20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IF(L21="","",IF($AO$1=1,IFERROR(MATCH(L21,'11-تشرين الثاني'!$L$2:$L$501,0),0),0))</f>
        <v/>
      </c>
      <c r="W21" t="str">
        <f t="shared" si="11"/>
        <v/>
      </c>
      <c r="X21" s="38" t="str">
        <f>IF(L21="","",IF(V21&gt;0,INDEX('11-تشرين الثاني'!$P$2:$P$501,V21),IF($AO$1=1,0,"")))</f>
        <v/>
      </c>
      <c r="Y21" s="38" t="str">
        <f t="shared" si="12"/>
        <v/>
      </c>
      <c r="Z21" s="39" t="str">
        <f>IF(L21="","",IF(V21&gt;0,INDEX('11-تشرين الثاني'!$Q$2:$Q$501,V21),IF($AO$1=1,0,"")))</f>
        <v/>
      </c>
      <c r="AA21" s="39" t="str">
        <f t="shared" si="13"/>
        <v/>
      </c>
      <c r="AB21" s="40" t="str">
        <f>IF(OR(L21="",V21=0),"",IF(AND(N(I21)&gt;0,N(INDEX('11-تشرين الثاني'!$I$2:$I$501,V21))&gt;0,INDEX('11-تشرين الثاني'!$F$2:$F$501,V21)=F21),N(I21)/N(INDEX('11-تشرين الثاني'!$I$2:$I$501,V21))-1,""))</f>
        <v/>
      </c>
      <c r="AC21" t="str">
        <f t="shared" si="14"/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5"/>
        <v/>
      </c>
      <c r="AH21" s="39" t="str">
        <f t="shared" si="16"/>
        <v/>
      </c>
      <c r="AI21" s="39" t="str">
        <f t="shared" si="17"/>
        <v/>
      </c>
      <c r="AJ21" s="39" t="str">
        <f t="shared" si="18"/>
        <v/>
      </c>
      <c r="AK21" t="str">
        <f t="shared" si="19"/>
        <v/>
      </c>
      <c r="AL21" t="str">
        <f t="shared" si="20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IF(L22="","",IF($AO$1=1,IFERROR(MATCH(L22,'11-تشرين الثاني'!$L$2:$L$501,0),0),0))</f>
        <v/>
      </c>
      <c r="W22" t="str">
        <f t="shared" si="11"/>
        <v/>
      </c>
      <c r="X22" s="38" t="str">
        <f>IF(L22="","",IF(V22&gt;0,INDEX('11-تشرين الثاني'!$P$2:$P$501,V22),IF($AO$1=1,0,"")))</f>
        <v/>
      </c>
      <c r="Y22" s="38" t="str">
        <f t="shared" si="12"/>
        <v/>
      </c>
      <c r="Z22" s="39" t="str">
        <f>IF(L22="","",IF(V22&gt;0,INDEX('11-تشرين الثاني'!$Q$2:$Q$501,V22),IF($AO$1=1,0,"")))</f>
        <v/>
      </c>
      <c r="AA22" s="39" t="str">
        <f t="shared" si="13"/>
        <v/>
      </c>
      <c r="AB22" s="40" t="str">
        <f>IF(OR(L22="",V22=0),"",IF(AND(N(I22)&gt;0,N(INDEX('11-تشرين الثاني'!$I$2:$I$501,V22))&gt;0,INDEX('11-تشرين الثاني'!$F$2:$F$501,V22)=F22),N(I22)/N(INDEX('11-تشرين الثاني'!$I$2:$I$501,V22))-1,""))</f>
        <v/>
      </c>
      <c r="AC22" t="str">
        <f t="shared" si="14"/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5"/>
        <v/>
      </c>
      <c r="AH22" s="39" t="str">
        <f t="shared" si="16"/>
        <v/>
      </c>
      <c r="AI22" s="39" t="str">
        <f t="shared" si="17"/>
        <v/>
      </c>
      <c r="AJ22" s="39" t="str">
        <f t="shared" si="18"/>
        <v/>
      </c>
      <c r="AK22" t="str">
        <f t="shared" si="19"/>
        <v/>
      </c>
      <c r="AL22" t="str">
        <f t="shared" si="20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IF(L23="","",IF($AO$1=1,IFERROR(MATCH(L23,'11-تشرين الثاني'!$L$2:$L$501,0),0),0))</f>
        <v/>
      </c>
      <c r="W23" t="str">
        <f t="shared" si="11"/>
        <v/>
      </c>
      <c r="X23" s="38" t="str">
        <f>IF(L23="","",IF(V23&gt;0,INDEX('11-تشرين الثاني'!$P$2:$P$501,V23),IF($AO$1=1,0,"")))</f>
        <v/>
      </c>
      <c r="Y23" s="38" t="str">
        <f t="shared" si="12"/>
        <v/>
      </c>
      <c r="Z23" s="39" t="str">
        <f>IF(L23="","",IF(V23&gt;0,INDEX('11-تشرين الثاني'!$Q$2:$Q$501,V23),IF($AO$1=1,0,"")))</f>
        <v/>
      </c>
      <c r="AA23" s="39" t="str">
        <f t="shared" si="13"/>
        <v/>
      </c>
      <c r="AB23" s="40" t="str">
        <f>IF(OR(L23="",V23=0),"",IF(AND(N(I23)&gt;0,N(INDEX('11-تشرين الثاني'!$I$2:$I$501,V23))&gt;0,INDEX('11-تشرين الثاني'!$F$2:$F$501,V23)=F23),N(I23)/N(INDEX('11-تشرين الثاني'!$I$2:$I$501,V23))-1,""))</f>
        <v/>
      </c>
      <c r="AC23" t="str">
        <f t="shared" si="14"/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5"/>
        <v/>
      </c>
      <c r="AH23" s="39" t="str">
        <f t="shared" si="16"/>
        <v/>
      </c>
      <c r="AI23" s="39" t="str">
        <f t="shared" si="17"/>
        <v/>
      </c>
      <c r="AJ23" s="39" t="str">
        <f t="shared" si="18"/>
        <v/>
      </c>
      <c r="AK23" t="str">
        <f t="shared" si="19"/>
        <v/>
      </c>
      <c r="AL23" t="str">
        <f t="shared" si="20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IF(L24="","",IF($AO$1=1,IFERROR(MATCH(L24,'11-تشرين الثاني'!$L$2:$L$501,0),0),0))</f>
        <v/>
      </c>
      <c r="W24" t="str">
        <f t="shared" si="11"/>
        <v/>
      </c>
      <c r="X24" s="38" t="str">
        <f>IF(L24="","",IF(V24&gt;0,INDEX('11-تشرين الثاني'!$P$2:$P$501,V24),IF($AO$1=1,0,"")))</f>
        <v/>
      </c>
      <c r="Y24" s="38" t="str">
        <f t="shared" si="12"/>
        <v/>
      </c>
      <c r="Z24" s="39" t="str">
        <f>IF(L24="","",IF(V24&gt;0,INDEX('11-تشرين الثاني'!$Q$2:$Q$501,V24),IF($AO$1=1,0,"")))</f>
        <v/>
      </c>
      <c r="AA24" s="39" t="str">
        <f t="shared" si="13"/>
        <v/>
      </c>
      <c r="AB24" s="40" t="str">
        <f>IF(OR(L24="",V24=0),"",IF(AND(N(I24)&gt;0,N(INDEX('11-تشرين الثاني'!$I$2:$I$501,V24))&gt;0,INDEX('11-تشرين الثاني'!$F$2:$F$501,V24)=F24),N(I24)/N(INDEX('11-تشرين الثاني'!$I$2:$I$501,V24))-1,""))</f>
        <v/>
      </c>
      <c r="AC24" t="str">
        <f t="shared" si="14"/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5"/>
        <v/>
      </c>
      <c r="AH24" s="39" t="str">
        <f t="shared" si="16"/>
        <v/>
      </c>
      <c r="AI24" s="39" t="str">
        <f t="shared" si="17"/>
        <v/>
      </c>
      <c r="AJ24" s="39" t="str">
        <f t="shared" si="18"/>
        <v/>
      </c>
      <c r="AK24" t="str">
        <f t="shared" si="19"/>
        <v/>
      </c>
      <c r="AL24" t="str">
        <f t="shared" si="20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IF(L25="","",IF($AO$1=1,IFERROR(MATCH(L25,'11-تشرين الثاني'!$L$2:$L$501,0),0),0))</f>
        <v/>
      </c>
      <c r="W25" t="str">
        <f t="shared" si="11"/>
        <v/>
      </c>
      <c r="X25" s="38" t="str">
        <f>IF(L25="","",IF(V25&gt;0,INDEX('11-تشرين الثاني'!$P$2:$P$501,V25),IF($AO$1=1,0,"")))</f>
        <v/>
      </c>
      <c r="Y25" s="38" t="str">
        <f t="shared" si="12"/>
        <v/>
      </c>
      <c r="Z25" s="39" t="str">
        <f>IF(L25="","",IF(V25&gt;0,INDEX('11-تشرين الثاني'!$Q$2:$Q$501,V25),IF($AO$1=1,0,"")))</f>
        <v/>
      </c>
      <c r="AA25" s="39" t="str">
        <f t="shared" si="13"/>
        <v/>
      </c>
      <c r="AB25" s="40" t="str">
        <f>IF(OR(L25="",V25=0),"",IF(AND(N(I25)&gt;0,N(INDEX('11-تشرين الثاني'!$I$2:$I$501,V25))&gt;0,INDEX('11-تشرين الثاني'!$F$2:$F$501,V25)=F25),N(I25)/N(INDEX('11-تشرين الثاني'!$I$2:$I$501,V25))-1,""))</f>
        <v/>
      </c>
      <c r="AC25" t="str">
        <f t="shared" si="14"/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5"/>
        <v/>
      </c>
      <c r="AH25" s="39" t="str">
        <f t="shared" si="16"/>
        <v/>
      </c>
      <c r="AI25" s="39" t="str">
        <f t="shared" si="17"/>
        <v/>
      </c>
      <c r="AJ25" s="39" t="str">
        <f t="shared" si="18"/>
        <v/>
      </c>
      <c r="AK25" t="str">
        <f t="shared" si="19"/>
        <v/>
      </c>
      <c r="AL25" t="str">
        <f t="shared" si="20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IF(L26="","",IF($AO$1=1,IFERROR(MATCH(L26,'11-تشرين الثاني'!$L$2:$L$501,0),0),0))</f>
        <v/>
      </c>
      <c r="W26" t="str">
        <f t="shared" si="11"/>
        <v/>
      </c>
      <c r="X26" s="38" t="str">
        <f>IF(L26="","",IF(V26&gt;0,INDEX('11-تشرين الثاني'!$P$2:$P$501,V26),IF($AO$1=1,0,"")))</f>
        <v/>
      </c>
      <c r="Y26" s="38" t="str">
        <f t="shared" si="12"/>
        <v/>
      </c>
      <c r="Z26" s="39" t="str">
        <f>IF(L26="","",IF(V26&gt;0,INDEX('11-تشرين الثاني'!$Q$2:$Q$501,V26),IF($AO$1=1,0,"")))</f>
        <v/>
      </c>
      <c r="AA26" s="39" t="str">
        <f t="shared" si="13"/>
        <v/>
      </c>
      <c r="AB26" s="40" t="str">
        <f>IF(OR(L26="",V26=0),"",IF(AND(N(I26)&gt;0,N(INDEX('11-تشرين الثاني'!$I$2:$I$501,V26))&gt;0,INDEX('11-تشرين الثاني'!$F$2:$F$501,V26)=F26),N(I26)/N(INDEX('11-تشرين الثاني'!$I$2:$I$501,V26))-1,""))</f>
        <v/>
      </c>
      <c r="AC26" t="str">
        <f t="shared" si="14"/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5"/>
        <v/>
      </c>
      <c r="AH26" s="39" t="str">
        <f t="shared" si="16"/>
        <v/>
      </c>
      <c r="AI26" s="39" t="str">
        <f t="shared" si="17"/>
        <v/>
      </c>
      <c r="AJ26" s="39" t="str">
        <f t="shared" si="18"/>
        <v/>
      </c>
      <c r="AK26" t="str">
        <f t="shared" si="19"/>
        <v/>
      </c>
      <c r="AL26" t="str">
        <f t="shared" si="20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IF(L27="","",IF($AO$1=1,IFERROR(MATCH(L27,'11-تشرين الثاني'!$L$2:$L$501,0),0),0))</f>
        <v/>
      </c>
      <c r="W27" t="str">
        <f t="shared" si="11"/>
        <v/>
      </c>
      <c r="X27" s="38" t="str">
        <f>IF(L27="","",IF(V27&gt;0,INDEX('11-تشرين الثاني'!$P$2:$P$501,V27),IF($AO$1=1,0,"")))</f>
        <v/>
      </c>
      <c r="Y27" s="38" t="str">
        <f t="shared" si="12"/>
        <v/>
      </c>
      <c r="Z27" s="39" t="str">
        <f>IF(L27="","",IF(V27&gt;0,INDEX('11-تشرين الثاني'!$Q$2:$Q$501,V27),IF($AO$1=1,0,"")))</f>
        <v/>
      </c>
      <c r="AA27" s="39" t="str">
        <f t="shared" si="13"/>
        <v/>
      </c>
      <c r="AB27" s="40" t="str">
        <f>IF(OR(L27="",V27=0),"",IF(AND(N(I27)&gt;0,N(INDEX('11-تشرين الثاني'!$I$2:$I$501,V27))&gt;0,INDEX('11-تشرين الثاني'!$F$2:$F$501,V27)=F27),N(I27)/N(INDEX('11-تشرين الثاني'!$I$2:$I$501,V27))-1,""))</f>
        <v/>
      </c>
      <c r="AC27" t="str">
        <f t="shared" si="14"/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5"/>
        <v/>
      </c>
      <c r="AH27" s="39" t="str">
        <f t="shared" si="16"/>
        <v/>
      </c>
      <c r="AI27" s="39" t="str">
        <f t="shared" si="17"/>
        <v/>
      </c>
      <c r="AJ27" s="39" t="str">
        <f t="shared" si="18"/>
        <v/>
      </c>
      <c r="AK27" t="str">
        <f t="shared" si="19"/>
        <v/>
      </c>
      <c r="AL27" t="str">
        <f t="shared" si="20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IF(L28="","",IF($AO$1=1,IFERROR(MATCH(L28,'11-تشرين الثاني'!$L$2:$L$501,0),0),0))</f>
        <v/>
      </c>
      <c r="W28" t="str">
        <f t="shared" si="11"/>
        <v/>
      </c>
      <c r="X28" s="38" t="str">
        <f>IF(L28="","",IF(V28&gt;0,INDEX('11-تشرين الثاني'!$P$2:$P$501,V28),IF($AO$1=1,0,"")))</f>
        <v/>
      </c>
      <c r="Y28" s="38" t="str">
        <f t="shared" si="12"/>
        <v/>
      </c>
      <c r="Z28" s="39" t="str">
        <f>IF(L28="","",IF(V28&gt;0,INDEX('11-تشرين الثاني'!$Q$2:$Q$501,V28),IF($AO$1=1,0,"")))</f>
        <v/>
      </c>
      <c r="AA28" s="39" t="str">
        <f t="shared" si="13"/>
        <v/>
      </c>
      <c r="AB28" s="40" t="str">
        <f>IF(OR(L28="",V28=0),"",IF(AND(N(I28)&gt;0,N(INDEX('11-تشرين الثاني'!$I$2:$I$501,V28))&gt;0,INDEX('11-تشرين الثاني'!$F$2:$F$501,V28)=F28),N(I28)/N(INDEX('11-تشرين الثاني'!$I$2:$I$501,V28))-1,""))</f>
        <v/>
      </c>
      <c r="AC28" t="str">
        <f t="shared" si="14"/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5"/>
        <v/>
      </c>
      <c r="AH28" s="39" t="str">
        <f t="shared" si="16"/>
        <v/>
      </c>
      <c r="AI28" s="39" t="str">
        <f t="shared" si="17"/>
        <v/>
      </c>
      <c r="AJ28" s="39" t="str">
        <f t="shared" si="18"/>
        <v/>
      </c>
      <c r="AK28" t="str">
        <f t="shared" si="19"/>
        <v/>
      </c>
      <c r="AL28" t="str">
        <f t="shared" si="20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IF(L29="","",IF($AO$1=1,IFERROR(MATCH(L29,'11-تشرين الثاني'!$L$2:$L$501,0),0),0))</f>
        <v/>
      </c>
      <c r="W29" t="str">
        <f t="shared" si="11"/>
        <v/>
      </c>
      <c r="X29" s="38" t="str">
        <f>IF(L29="","",IF(V29&gt;0,INDEX('11-تشرين الثاني'!$P$2:$P$501,V29),IF($AO$1=1,0,"")))</f>
        <v/>
      </c>
      <c r="Y29" s="38" t="str">
        <f t="shared" si="12"/>
        <v/>
      </c>
      <c r="Z29" s="39" t="str">
        <f>IF(L29="","",IF(V29&gt;0,INDEX('11-تشرين الثاني'!$Q$2:$Q$501,V29),IF($AO$1=1,0,"")))</f>
        <v/>
      </c>
      <c r="AA29" s="39" t="str">
        <f t="shared" si="13"/>
        <v/>
      </c>
      <c r="AB29" s="40" t="str">
        <f>IF(OR(L29="",V29=0),"",IF(AND(N(I29)&gt;0,N(INDEX('11-تشرين الثاني'!$I$2:$I$501,V29))&gt;0,INDEX('11-تشرين الثاني'!$F$2:$F$501,V29)=F29),N(I29)/N(INDEX('11-تشرين الثاني'!$I$2:$I$501,V29))-1,""))</f>
        <v/>
      </c>
      <c r="AC29" t="str">
        <f t="shared" si="14"/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5"/>
        <v/>
      </c>
      <c r="AH29" s="39" t="str">
        <f t="shared" si="16"/>
        <v/>
      </c>
      <c r="AI29" s="39" t="str">
        <f t="shared" si="17"/>
        <v/>
      </c>
      <c r="AJ29" s="39" t="str">
        <f t="shared" si="18"/>
        <v/>
      </c>
      <c r="AK29" t="str">
        <f t="shared" si="19"/>
        <v/>
      </c>
      <c r="AL29" t="str">
        <f t="shared" si="20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IF(L30="","",IF($AO$1=1,IFERROR(MATCH(L30,'11-تشرين الثاني'!$L$2:$L$501,0),0),0))</f>
        <v/>
      </c>
      <c r="W30" t="str">
        <f t="shared" si="11"/>
        <v/>
      </c>
      <c r="X30" s="38" t="str">
        <f>IF(L30="","",IF(V30&gt;0,INDEX('11-تشرين الثاني'!$P$2:$P$501,V30),IF($AO$1=1,0,"")))</f>
        <v/>
      </c>
      <c r="Y30" s="38" t="str">
        <f t="shared" si="12"/>
        <v/>
      </c>
      <c r="Z30" s="39" t="str">
        <f>IF(L30="","",IF(V30&gt;0,INDEX('11-تشرين الثاني'!$Q$2:$Q$501,V30),IF($AO$1=1,0,"")))</f>
        <v/>
      </c>
      <c r="AA30" s="39" t="str">
        <f t="shared" si="13"/>
        <v/>
      </c>
      <c r="AB30" s="40" t="str">
        <f>IF(OR(L30="",V30=0),"",IF(AND(N(I30)&gt;0,N(INDEX('11-تشرين الثاني'!$I$2:$I$501,V30))&gt;0,INDEX('11-تشرين الثاني'!$F$2:$F$501,V30)=F30),N(I30)/N(INDEX('11-تشرين الثاني'!$I$2:$I$501,V30))-1,""))</f>
        <v/>
      </c>
      <c r="AC30" t="str">
        <f t="shared" si="14"/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5"/>
        <v/>
      </c>
      <c r="AH30" s="39" t="str">
        <f t="shared" si="16"/>
        <v/>
      </c>
      <c r="AI30" s="39" t="str">
        <f t="shared" si="17"/>
        <v/>
      </c>
      <c r="AJ30" s="39" t="str">
        <f t="shared" si="18"/>
        <v/>
      </c>
      <c r="AK30" t="str">
        <f t="shared" si="19"/>
        <v/>
      </c>
      <c r="AL30" t="str">
        <f t="shared" si="20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IF(L31="","",IF($AO$1=1,IFERROR(MATCH(L31,'11-تشرين الثاني'!$L$2:$L$501,0),0),0))</f>
        <v/>
      </c>
      <c r="W31" t="str">
        <f t="shared" si="11"/>
        <v/>
      </c>
      <c r="X31" s="38" t="str">
        <f>IF(L31="","",IF(V31&gt;0,INDEX('11-تشرين الثاني'!$P$2:$P$501,V31),IF($AO$1=1,0,"")))</f>
        <v/>
      </c>
      <c r="Y31" s="38" t="str">
        <f t="shared" si="12"/>
        <v/>
      </c>
      <c r="Z31" s="39" t="str">
        <f>IF(L31="","",IF(V31&gt;0,INDEX('11-تشرين الثاني'!$Q$2:$Q$501,V31),IF($AO$1=1,0,"")))</f>
        <v/>
      </c>
      <c r="AA31" s="39" t="str">
        <f t="shared" si="13"/>
        <v/>
      </c>
      <c r="AB31" s="40" t="str">
        <f>IF(OR(L31="",V31=0),"",IF(AND(N(I31)&gt;0,N(INDEX('11-تشرين الثاني'!$I$2:$I$501,V31))&gt;0,INDEX('11-تشرين الثاني'!$F$2:$F$501,V31)=F31),N(I31)/N(INDEX('11-تشرين الثاني'!$I$2:$I$501,V31))-1,""))</f>
        <v/>
      </c>
      <c r="AC31" t="str">
        <f t="shared" si="14"/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5"/>
        <v/>
      </c>
      <c r="AH31" s="39" t="str">
        <f t="shared" si="16"/>
        <v/>
      </c>
      <c r="AI31" s="39" t="str">
        <f t="shared" si="17"/>
        <v/>
      </c>
      <c r="AJ31" s="39" t="str">
        <f t="shared" si="18"/>
        <v/>
      </c>
      <c r="AK31" t="str">
        <f t="shared" si="19"/>
        <v/>
      </c>
      <c r="AL31" t="str">
        <f t="shared" si="20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IF(L32="","",IF($AO$1=1,IFERROR(MATCH(L32,'11-تشرين الثاني'!$L$2:$L$501,0),0),0))</f>
        <v/>
      </c>
      <c r="W32" t="str">
        <f t="shared" si="11"/>
        <v/>
      </c>
      <c r="X32" s="38" t="str">
        <f>IF(L32="","",IF(V32&gt;0,INDEX('11-تشرين الثاني'!$P$2:$P$501,V32),IF($AO$1=1,0,"")))</f>
        <v/>
      </c>
      <c r="Y32" s="38" t="str">
        <f t="shared" si="12"/>
        <v/>
      </c>
      <c r="Z32" s="39" t="str">
        <f>IF(L32="","",IF(V32&gt;0,INDEX('11-تشرين الثاني'!$Q$2:$Q$501,V32),IF($AO$1=1,0,"")))</f>
        <v/>
      </c>
      <c r="AA32" s="39" t="str">
        <f t="shared" si="13"/>
        <v/>
      </c>
      <c r="AB32" s="40" t="str">
        <f>IF(OR(L32="",V32=0),"",IF(AND(N(I32)&gt;0,N(INDEX('11-تشرين الثاني'!$I$2:$I$501,V32))&gt;0,INDEX('11-تشرين الثاني'!$F$2:$F$501,V32)=F32),N(I32)/N(INDEX('11-تشرين الثاني'!$I$2:$I$501,V32))-1,""))</f>
        <v/>
      </c>
      <c r="AC32" t="str">
        <f t="shared" si="14"/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5"/>
        <v/>
      </c>
      <c r="AH32" s="39" t="str">
        <f t="shared" si="16"/>
        <v/>
      </c>
      <c r="AI32" s="39" t="str">
        <f t="shared" si="17"/>
        <v/>
      </c>
      <c r="AJ32" s="39" t="str">
        <f t="shared" si="18"/>
        <v/>
      </c>
      <c r="AK32" t="str">
        <f t="shared" si="19"/>
        <v/>
      </c>
      <c r="AL32" t="str">
        <f t="shared" si="20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IF(L33="","",IF($AO$1=1,IFERROR(MATCH(L33,'11-تشرين الثاني'!$L$2:$L$501,0),0),0))</f>
        <v/>
      </c>
      <c r="W33" t="str">
        <f t="shared" si="11"/>
        <v/>
      </c>
      <c r="X33" s="38" t="str">
        <f>IF(L33="","",IF(V33&gt;0,INDEX('11-تشرين الثاني'!$P$2:$P$501,V33),IF($AO$1=1,0,"")))</f>
        <v/>
      </c>
      <c r="Y33" s="38" t="str">
        <f t="shared" si="12"/>
        <v/>
      </c>
      <c r="Z33" s="39" t="str">
        <f>IF(L33="","",IF(V33&gt;0,INDEX('11-تشرين الثاني'!$Q$2:$Q$501,V33),IF($AO$1=1,0,"")))</f>
        <v/>
      </c>
      <c r="AA33" s="39" t="str">
        <f t="shared" si="13"/>
        <v/>
      </c>
      <c r="AB33" s="40" t="str">
        <f>IF(OR(L33="",V33=0),"",IF(AND(N(I33)&gt;0,N(INDEX('11-تشرين الثاني'!$I$2:$I$501,V33))&gt;0,INDEX('11-تشرين الثاني'!$F$2:$F$501,V33)=F33),N(I33)/N(INDEX('11-تشرين الثاني'!$I$2:$I$501,V33))-1,""))</f>
        <v/>
      </c>
      <c r="AC33" t="str">
        <f t="shared" si="14"/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5"/>
        <v/>
      </c>
      <c r="AH33" s="39" t="str">
        <f t="shared" si="16"/>
        <v/>
      </c>
      <c r="AI33" s="39" t="str">
        <f t="shared" si="17"/>
        <v/>
      </c>
      <c r="AJ33" s="39" t="str">
        <f t="shared" si="18"/>
        <v/>
      </c>
      <c r="AK33" t="str">
        <f t="shared" si="19"/>
        <v/>
      </c>
      <c r="AL33" t="str">
        <f t="shared" si="20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IF(L34="","",IF($AO$1=1,IFERROR(MATCH(L34,'11-تشرين الثاني'!$L$2:$L$501,0),0),0))</f>
        <v/>
      </c>
      <c r="W34" t="str">
        <f t="shared" si="11"/>
        <v/>
      </c>
      <c r="X34" s="38" t="str">
        <f>IF(L34="","",IF(V34&gt;0,INDEX('11-تشرين الثاني'!$P$2:$P$501,V34),IF($AO$1=1,0,"")))</f>
        <v/>
      </c>
      <c r="Y34" s="38" t="str">
        <f t="shared" si="12"/>
        <v/>
      </c>
      <c r="Z34" s="39" t="str">
        <f>IF(L34="","",IF(V34&gt;0,INDEX('11-تشرين الثاني'!$Q$2:$Q$501,V34),IF($AO$1=1,0,"")))</f>
        <v/>
      </c>
      <c r="AA34" s="39" t="str">
        <f t="shared" si="13"/>
        <v/>
      </c>
      <c r="AB34" s="40" t="str">
        <f>IF(OR(L34="",V34=0),"",IF(AND(N(I34)&gt;0,N(INDEX('11-تشرين الثاني'!$I$2:$I$501,V34))&gt;0,INDEX('11-تشرين الثاني'!$F$2:$F$501,V34)=F34),N(I34)/N(INDEX('11-تشرين الثاني'!$I$2:$I$501,V34))-1,""))</f>
        <v/>
      </c>
      <c r="AC34" t="str">
        <f t="shared" si="14"/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5"/>
        <v/>
      </c>
      <c r="AH34" s="39" t="str">
        <f t="shared" si="16"/>
        <v/>
      </c>
      <c r="AI34" s="39" t="str">
        <f t="shared" si="17"/>
        <v/>
      </c>
      <c r="AJ34" s="39" t="str">
        <f t="shared" si="18"/>
        <v/>
      </c>
      <c r="AK34" t="str">
        <f t="shared" si="19"/>
        <v/>
      </c>
      <c r="AL34" t="str">
        <f t="shared" si="20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IF(L35="","",IF($AO$1=1,IFERROR(MATCH(L35,'11-تشرين الثاني'!$L$2:$L$501,0),0),0))</f>
        <v/>
      </c>
      <c r="W35" t="str">
        <f t="shared" si="11"/>
        <v/>
      </c>
      <c r="X35" s="38" t="str">
        <f>IF(L35="","",IF(V35&gt;0,INDEX('11-تشرين الثاني'!$P$2:$P$501,V35),IF($AO$1=1,0,"")))</f>
        <v/>
      </c>
      <c r="Y35" s="38" t="str">
        <f t="shared" si="12"/>
        <v/>
      </c>
      <c r="Z35" s="39" t="str">
        <f>IF(L35="","",IF(V35&gt;0,INDEX('11-تشرين الثاني'!$Q$2:$Q$501,V35),IF($AO$1=1,0,"")))</f>
        <v/>
      </c>
      <c r="AA35" s="39" t="str">
        <f t="shared" si="13"/>
        <v/>
      </c>
      <c r="AB35" s="40" t="str">
        <f>IF(OR(L35="",V35=0),"",IF(AND(N(I35)&gt;0,N(INDEX('11-تشرين الثاني'!$I$2:$I$501,V35))&gt;0,INDEX('11-تشرين الثاني'!$F$2:$F$501,V35)=F35),N(I35)/N(INDEX('11-تشرين الثاني'!$I$2:$I$501,V35))-1,""))</f>
        <v/>
      </c>
      <c r="AC35" t="str">
        <f t="shared" si="14"/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5"/>
        <v/>
      </c>
      <c r="AH35" s="39" t="str">
        <f t="shared" si="16"/>
        <v/>
      </c>
      <c r="AI35" s="39" t="str">
        <f t="shared" si="17"/>
        <v/>
      </c>
      <c r="AJ35" s="39" t="str">
        <f t="shared" si="18"/>
        <v/>
      </c>
      <c r="AK35" t="str">
        <f t="shared" si="19"/>
        <v/>
      </c>
      <c r="AL35" t="str">
        <f t="shared" si="20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IF(L36="","",IF($AO$1=1,IFERROR(MATCH(L36,'11-تشرين الثاني'!$L$2:$L$501,0),0),0))</f>
        <v/>
      </c>
      <c r="W36" t="str">
        <f t="shared" si="11"/>
        <v/>
      </c>
      <c r="X36" s="38" t="str">
        <f>IF(L36="","",IF(V36&gt;0,INDEX('11-تشرين الثاني'!$P$2:$P$501,V36),IF($AO$1=1,0,"")))</f>
        <v/>
      </c>
      <c r="Y36" s="38" t="str">
        <f t="shared" si="12"/>
        <v/>
      </c>
      <c r="Z36" s="39" t="str">
        <f>IF(L36="","",IF(V36&gt;0,INDEX('11-تشرين الثاني'!$Q$2:$Q$501,V36),IF($AO$1=1,0,"")))</f>
        <v/>
      </c>
      <c r="AA36" s="39" t="str">
        <f t="shared" si="13"/>
        <v/>
      </c>
      <c r="AB36" s="40" t="str">
        <f>IF(OR(L36="",V36=0),"",IF(AND(N(I36)&gt;0,N(INDEX('11-تشرين الثاني'!$I$2:$I$501,V36))&gt;0,INDEX('11-تشرين الثاني'!$F$2:$F$501,V36)=F36),N(I36)/N(INDEX('11-تشرين الثاني'!$I$2:$I$501,V36))-1,""))</f>
        <v/>
      </c>
      <c r="AC36" t="str">
        <f t="shared" si="14"/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5"/>
        <v/>
      </c>
      <c r="AH36" s="39" t="str">
        <f t="shared" si="16"/>
        <v/>
      </c>
      <c r="AI36" s="39" t="str">
        <f t="shared" si="17"/>
        <v/>
      </c>
      <c r="AJ36" s="39" t="str">
        <f t="shared" si="18"/>
        <v/>
      </c>
      <c r="AK36" t="str">
        <f t="shared" si="19"/>
        <v/>
      </c>
      <c r="AL36" t="str">
        <f t="shared" si="20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IF(L37="","",IF($AO$1=1,IFERROR(MATCH(L37,'11-تشرين الثاني'!$L$2:$L$501,0),0),0))</f>
        <v/>
      </c>
      <c r="W37" t="str">
        <f t="shared" si="11"/>
        <v/>
      </c>
      <c r="X37" s="38" t="str">
        <f>IF(L37="","",IF(V37&gt;0,INDEX('11-تشرين الثاني'!$P$2:$P$501,V37),IF($AO$1=1,0,"")))</f>
        <v/>
      </c>
      <c r="Y37" s="38" t="str">
        <f t="shared" si="12"/>
        <v/>
      </c>
      <c r="Z37" s="39" t="str">
        <f>IF(L37="","",IF(V37&gt;0,INDEX('11-تشرين الثاني'!$Q$2:$Q$501,V37),IF($AO$1=1,0,"")))</f>
        <v/>
      </c>
      <c r="AA37" s="39" t="str">
        <f t="shared" si="13"/>
        <v/>
      </c>
      <c r="AB37" s="40" t="str">
        <f>IF(OR(L37="",V37=0),"",IF(AND(N(I37)&gt;0,N(INDEX('11-تشرين الثاني'!$I$2:$I$501,V37))&gt;0,INDEX('11-تشرين الثاني'!$F$2:$F$501,V37)=F37),N(I37)/N(INDEX('11-تشرين الثاني'!$I$2:$I$501,V37))-1,""))</f>
        <v/>
      </c>
      <c r="AC37" t="str">
        <f t="shared" si="14"/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5"/>
        <v/>
      </c>
      <c r="AH37" s="39" t="str">
        <f t="shared" si="16"/>
        <v/>
      </c>
      <c r="AI37" s="39" t="str">
        <f t="shared" si="17"/>
        <v/>
      </c>
      <c r="AJ37" s="39" t="str">
        <f t="shared" si="18"/>
        <v/>
      </c>
      <c r="AK37" t="str">
        <f t="shared" si="19"/>
        <v/>
      </c>
      <c r="AL37" t="str">
        <f t="shared" si="20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IF(L38="","",IF($AO$1=1,IFERROR(MATCH(L38,'11-تشرين الثاني'!$L$2:$L$501,0),0),0))</f>
        <v/>
      </c>
      <c r="W38" t="str">
        <f t="shared" si="11"/>
        <v/>
      </c>
      <c r="X38" s="38" t="str">
        <f>IF(L38="","",IF(V38&gt;0,INDEX('11-تشرين الثاني'!$P$2:$P$501,V38),IF($AO$1=1,0,"")))</f>
        <v/>
      </c>
      <c r="Y38" s="38" t="str">
        <f t="shared" si="12"/>
        <v/>
      </c>
      <c r="Z38" s="39" t="str">
        <f>IF(L38="","",IF(V38&gt;0,INDEX('11-تشرين الثاني'!$Q$2:$Q$501,V38),IF($AO$1=1,0,"")))</f>
        <v/>
      </c>
      <c r="AA38" s="39" t="str">
        <f t="shared" si="13"/>
        <v/>
      </c>
      <c r="AB38" s="40" t="str">
        <f>IF(OR(L38="",V38=0),"",IF(AND(N(I38)&gt;0,N(INDEX('11-تشرين الثاني'!$I$2:$I$501,V38))&gt;0,INDEX('11-تشرين الثاني'!$F$2:$F$501,V38)=F38),N(I38)/N(INDEX('11-تشرين الثاني'!$I$2:$I$501,V38))-1,""))</f>
        <v/>
      </c>
      <c r="AC38" t="str">
        <f t="shared" si="14"/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5"/>
        <v/>
      </c>
      <c r="AH38" s="39" t="str">
        <f t="shared" si="16"/>
        <v/>
      </c>
      <c r="AI38" s="39" t="str">
        <f t="shared" si="17"/>
        <v/>
      </c>
      <c r="AJ38" s="39" t="str">
        <f t="shared" si="18"/>
        <v/>
      </c>
      <c r="AK38" t="str">
        <f t="shared" si="19"/>
        <v/>
      </c>
      <c r="AL38" t="str">
        <f t="shared" si="20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IF(L39="","",IF($AO$1=1,IFERROR(MATCH(L39,'11-تشرين الثاني'!$L$2:$L$501,0),0),0))</f>
        <v/>
      </c>
      <c r="W39" t="str">
        <f t="shared" si="11"/>
        <v/>
      </c>
      <c r="X39" s="38" t="str">
        <f>IF(L39="","",IF(V39&gt;0,INDEX('11-تشرين الثاني'!$P$2:$P$501,V39),IF($AO$1=1,0,"")))</f>
        <v/>
      </c>
      <c r="Y39" s="38" t="str">
        <f t="shared" si="12"/>
        <v/>
      </c>
      <c r="Z39" s="39" t="str">
        <f>IF(L39="","",IF(V39&gt;0,INDEX('11-تشرين الثاني'!$Q$2:$Q$501,V39),IF($AO$1=1,0,"")))</f>
        <v/>
      </c>
      <c r="AA39" s="39" t="str">
        <f t="shared" si="13"/>
        <v/>
      </c>
      <c r="AB39" s="40" t="str">
        <f>IF(OR(L39="",V39=0),"",IF(AND(N(I39)&gt;0,N(INDEX('11-تشرين الثاني'!$I$2:$I$501,V39))&gt;0,INDEX('11-تشرين الثاني'!$F$2:$F$501,V39)=F39),N(I39)/N(INDEX('11-تشرين الثاني'!$I$2:$I$501,V39))-1,""))</f>
        <v/>
      </c>
      <c r="AC39" t="str">
        <f t="shared" si="14"/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5"/>
        <v/>
      </c>
      <c r="AH39" s="39" t="str">
        <f t="shared" si="16"/>
        <v/>
      </c>
      <c r="AI39" s="39" t="str">
        <f t="shared" si="17"/>
        <v/>
      </c>
      <c r="AJ39" s="39" t="str">
        <f t="shared" si="18"/>
        <v/>
      </c>
      <c r="AK39" t="str">
        <f t="shared" si="19"/>
        <v/>
      </c>
      <c r="AL39" t="str">
        <f t="shared" si="20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IF(L40="","",IF($AO$1=1,IFERROR(MATCH(L40,'11-تشرين الثاني'!$L$2:$L$501,0),0),0))</f>
        <v/>
      </c>
      <c r="W40" t="str">
        <f t="shared" si="11"/>
        <v/>
      </c>
      <c r="X40" s="38" t="str">
        <f>IF(L40="","",IF(V40&gt;0,INDEX('11-تشرين الثاني'!$P$2:$P$501,V40),IF($AO$1=1,0,"")))</f>
        <v/>
      </c>
      <c r="Y40" s="38" t="str">
        <f t="shared" si="12"/>
        <v/>
      </c>
      <c r="Z40" s="39" t="str">
        <f>IF(L40="","",IF(V40&gt;0,INDEX('11-تشرين الثاني'!$Q$2:$Q$501,V40),IF($AO$1=1,0,"")))</f>
        <v/>
      </c>
      <c r="AA40" s="39" t="str">
        <f t="shared" si="13"/>
        <v/>
      </c>
      <c r="AB40" s="40" t="str">
        <f>IF(OR(L40="",V40=0),"",IF(AND(N(I40)&gt;0,N(INDEX('11-تشرين الثاني'!$I$2:$I$501,V40))&gt;0,INDEX('11-تشرين الثاني'!$F$2:$F$501,V40)=F40),N(I40)/N(INDEX('11-تشرين الثاني'!$I$2:$I$501,V40))-1,""))</f>
        <v/>
      </c>
      <c r="AC40" t="str">
        <f t="shared" si="14"/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5"/>
        <v/>
      </c>
      <c r="AH40" s="39" t="str">
        <f t="shared" si="16"/>
        <v/>
      </c>
      <c r="AI40" s="39" t="str">
        <f t="shared" si="17"/>
        <v/>
      </c>
      <c r="AJ40" s="39" t="str">
        <f t="shared" si="18"/>
        <v/>
      </c>
      <c r="AK40" t="str">
        <f t="shared" si="19"/>
        <v/>
      </c>
      <c r="AL40" t="str">
        <f t="shared" si="20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IF(L41="","",IF($AO$1=1,IFERROR(MATCH(L41,'11-تشرين الثاني'!$L$2:$L$501,0),0),0))</f>
        <v/>
      </c>
      <c r="W41" t="str">
        <f t="shared" si="11"/>
        <v/>
      </c>
      <c r="X41" s="38" t="str">
        <f>IF(L41="","",IF(V41&gt;0,INDEX('11-تشرين الثاني'!$P$2:$P$501,V41),IF($AO$1=1,0,"")))</f>
        <v/>
      </c>
      <c r="Y41" s="38" t="str">
        <f t="shared" si="12"/>
        <v/>
      </c>
      <c r="Z41" s="39" t="str">
        <f>IF(L41="","",IF(V41&gt;0,INDEX('11-تشرين الثاني'!$Q$2:$Q$501,V41),IF($AO$1=1,0,"")))</f>
        <v/>
      </c>
      <c r="AA41" s="39" t="str">
        <f t="shared" si="13"/>
        <v/>
      </c>
      <c r="AB41" s="40" t="str">
        <f>IF(OR(L41="",V41=0),"",IF(AND(N(I41)&gt;0,N(INDEX('11-تشرين الثاني'!$I$2:$I$501,V41))&gt;0,INDEX('11-تشرين الثاني'!$F$2:$F$501,V41)=F41),N(I41)/N(INDEX('11-تشرين الثاني'!$I$2:$I$501,V41))-1,""))</f>
        <v/>
      </c>
      <c r="AC41" t="str">
        <f t="shared" si="14"/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5"/>
        <v/>
      </c>
      <c r="AH41" s="39" t="str">
        <f t="shared" si="16"/>
        <v/>
      </c>
      <c r="AI41" s="39" t="str">
        <f t="shared" si="17"/>
        <v/>
      </c>
      <c r="AJ41" s="39" t="str">
        <f t="shared" si="18"/>
        <v/>
      </c>
      <c r="AK41" t="str">
        <f t="shared" si="19"/>
        <v/>
      </c>
      <c r="AL41" t="str">
        <f t="shared" si="20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IF(L42="","",IF($AO$1=1,IFERROR(MATCH(L42,'11-تشرين الثاني'!$L$2:$L$501,0),0),0))</f>
        <v/>
      </c>
      <c r="W42" t="str">
        <f t="shared" si="11"/>
        <v/>
      </c>
      <c r="X42" s="38" t="str">
        <f>IF(L42="","",IF(V42&gt;0,INDEX('11-تشرين الثاني'!$P$2:$P$501,V42),IF($AO$1=1,0,"")))</f>
        <v/>
      </c>
      <c r="Y42" s="38" t="str">
        <f t="shared" si="12"/>
        <v/>
      </c>
      <c r="Z42" s="39" t="str">
        <f>IF(L42="","",IF(V42&gt;0,INDEX('11-تشرين الثاني'!$Q$2:$Q$501,V42),IF($AO$1=1,0,"")))</f>
        <v/>
      </c>
      <c r="AA42" s="39" t="str">
        <f t="shared" si="13"/>
        <v/>
      </c>
      <c r="AB42" s="40" t="str">
        <f>IF(OR(L42="",V42=0),"",IF(AND(N(I42)&gt;0,N(INDEX('11-تشرين الثاني'!$I$2:$I$501,V42))&gt;0,INDEX('11-تشرين الثاني'!$F$2:$F$501,V42)=F42),N(I42)/N(INDEX('11-تشرين الثاني'!$I$2:$I$501,V42))-1,""))</f>
        <v/>
      </c>
      <c r="AC42" t="str">
        <f t="shared" si="14"/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5"/>
        <v/>
      </c>
      <c r="AH42" s="39" t="str">
        <f t="shared" si="16"/>
        <v/>
      </c>
      <c r="AI42" s="39" t="str">
        <f t="shared" si="17"/>
        <v/>
      </c>
      <c r="AJ42" s="39" t="str">
        <f t="shared" si="18"/>
        <v/>
      </c>
      <c r="AK42" t="str">
        <f t="shared" si="19"/>
        <v/>
      </c>
      <c r="AL42" t="str">
        <f t="shared" si="20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IF(L43="","",IF($AO$1=1,IFERROR(MATCH(L43,'11-تشرين الثاني'!$L$2:$L$501,0),0),0))</f>
        <v/>
      </c>
      <c r="W43" t="str">
        <f t="shared" si="11"/>
        <v/>
      </c>
      <c r="X43" s="38" t="str">
        <f>IF(L43="","",IF(V43&gt;0,INDEX('11-تشرين الثاني'!$P$2:$P$501,V43),IF($AO$1=1,0,"")))</f>
        <v/>
      </c>
      <c r="Y43" s="38" t="str">
        <f t="shared" si="12"/>
        <v/>
      </c>
      <c r="Z43" s="39" t="str">
        <f>IF(L43="","",IF(V43&gt;0,INDEX('11-تشرين الثاني'!$Q$2:$Q$501,V43),IF($AO$1=1,0,"")))</f>
        <v/>
      </c>
      <c r="AA43" s="39" t="str">
        <f t="shared" si="13"/>
        <v/>
      </c>
      <c r="AB43" s="40" t="str">
        <f>IF(OR(L43="",V43=0),"",IF(AND(N(I43)&gt;0,N(INDEX('11-تشرين الثاني'!$I$2:$I$501,V43))&gt;0,INDEX('11-تشرين الثاني'!$F$2:$F$501,V43)=F43),N(I43)/N(INDEX('11-تشرين الثاني'!$I$2:$I$501,V43))-1,""))</f>
        <v/>
      </c>
      <c r="AC43" t="str">
        <f t="shared" si="14"/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5"/>
        <v/>
      </c>
      <c r="AH43" s="39" t="str">
        <f t="shared" si="16"/>
        <v/>
      </c>
      <c r="AI43" s="39" t="str">
        <f t="shared" si="17"/>
        <v/>
      </c>
      <c r="AJ43" s="39" t="str">
        <f t="shared" si="18"/>
        <v/>
      </c>
      <c r="AK43" t="str">
        <f t="shared" si="19"/>
        <v/>
      </c>
      <c r="AL43" t="str">
        <f t="shared" si="20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IF(L44="","",IF($AO$1=1,IFERROR(MATCH(L44,'11-تشرين الثاني'!$L$2:$L$501,0),0),0))</f>
        <v/>
      </c>
      <c r="W44" t="str">
        <f t="shared" si="11"/>
        <v/>
      </c>
      <c r="X44" s="38" t="str">
        <f>IF(L44="","",IF(V44&gt;0,INDEX('11-تشرين الثاني'!$P$2:$P$501,V44),IF($AO$1=1,0,"")))</f>
        <v/>
      </c>
      <c r="Y44" s="38" t="str">
        <f t="shared" si="12"/>
        <v/>
      </c>
      <c r="Z44" s="39" t="str">
        <f>IF(L44="","",IF(V44&gt;0,INDEX('11-تشرين الثاني'!$Q$2:$Q$501,V44),IF($AO$1=1,0,"")))</f>
        <v/>
      </c>
      <c r="AA44" s="39" t="str">
        <f t="shared" si="13"/>
        <v/>
      </c>
      <c r="AB44" s="40" t="str">
        <f>IF(OR(L44="",V44=0),"",IF(AND(N(I44)&gt;0,N(INDEX('11-تشرين الثاني'!$I$2:$I$501,V44))&gt;0,INDEX('11-تشرين الثاني'!$F$2:$F$501,V44)=F44),N(I44)/N(INDEX('11-تشرين الثاني'!$I$2:$I$501,V44))-1,""))</f>
        <v/>
      </c>
      <c r="AC44" t="str">
        <f t="shared" si="14"/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5"/>
        <v/>
      </c>
      <c r="AH44" s="39" t="str">
        <f t="shared" si="16"/>
        <v/>
      </c>
      <c r="AI44" s="39" t="str">
        <f t="shared" si="17"/>
        <v/>
      </c>
      <c r="AJ44" s="39" t="str">
        <f t="shared" si="18"/>
        <v/>
      </c>
      <c r="AK44" t="str">
        <f t="shared" si="19"/>
        <v/>
      </c>
      <c r="AL44" t="str">
        <f t="shared" si="20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IF(L45="","",IF($AO$1=1,IFERROR(MATCH(L45,'11-تشرين الثاني'!$L$2:$L$501,0),0),0))</f>
        <v/>
      </c>
      <c r="W45" t="str">
        <f t="shared" si="11"/>
        <v/>
      </c>
      <c r="X45" s="38" t="str">
        <f>IF(L45="","",IF(V45&gt;0,INDEX('11-تشرين الثاني'!$P$2:$P$501,V45),IF($AO$1=1,0,"")))</f>
        <v/>
      </c>
      <c r="Y45" s="38" t="str">
        <f t="shared" si="12"/>
        <v/>
      </c>
      <c r="Z45" s="39" t="str">
        <f>IF(L45="","",IF(V45&gt;0,INDEX('11-تشرين الثاني'!$Q$2:$Q$501,V45),IF($AO$1=1,0,"")))</f>
        <v/>
      </c>
      <c r="AA45" s="39" t="str">
        <f t="shared" si="13"/>
        <v/>
      </c>
      <c r="AB45" s="40" t="str">
        <f>IF(OR(L45="",V45=0),"",IF(AND(N(I45)&gt;0,N(INDEX('11-تشرين الثاني'!$I$2:$I$501,V45))&gt;0,INDEX('11-تشرين الثاني'!$F$2:$F$501,V45)=F45),N(I45)/N(INDEX('11-تشرين الثاني'!$I$2:$I$501,V45))-1,""))</f>
        <v/>
      </c>
      <c r="AC45" t="str">
        <f t="shared" si="14"/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5"/>
        <v/>
      </c>
      <c r="AH45" s="39" t="str">
        <f t="shared" si="16"/>
        <v/>
      </c>
      <c r="AI45" s="39" t="str">
        <f t="shared" si="17"/>
        <v/>
      </c>
      <c r="AJ45" s="39" t="str">
        <f t="shared" si="18"/>
        <v/>
      </c>
      <c r="AK45" t="str">
        <f t="shared" si="19"/>
        <v/>
      </c>
      <c r="AL45" t="str">
        <f t="shared" si="20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IF(L46="","",IF($AO$1=1,IFERROR(MATCH(L46,'11-تشرين الثاني'!$L$2:$L$501,0),0),0))</f>
        <v/>
      </c>
      <c r="W46" t="str">
        <f t="shared" si="11"/>
        <v/>
      </c>
      <c r="X46" s="38" t="str">
        <f>IF(L46="","",IF(V46&gt;0,INDEX('11-تشرين الثاني'!$P$2:$P$501,V46),IF($AO$1=1,0,"")))</f>
        <v/>
      </c>
      <c r="Y46" s="38" t="str">
        <f t="shared" si="12"/>
        <v/>
      </c>
      <c r="Z46" s="39" t="str">
        <f>IF(L46="","",IF(V46&gt;0,INDEX('11-تشرين الثاني'!$Q$2:$Q$501,V46),IF($AO$1=1,0,"")))</f>
        <v/>
      </c>
      <c r="AA46" s="39" t="str">
        <f t="shared" si="13"/>
        <v/>
      </c>
      <c r="AB46" s="40" t="str">
        <f>IF(OR(L46="",V46=0),"",IF(AND(N(I46)&gt;0,N(INDEX('11-تشرين الثاني'!$I$2:$I$501,V46))&gt;0,INDEX('11-تشرين الثاني'!$F$2:$F$501,V46)=F46),N(I46)/N(INDEX('11-تشرين الثاني'!$I$2:$I$501,V46))-1,""))</f>
        <v/>
      </c>
      <c r="AC46" t="str">
        <f t="shared" si="14"/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5"/>
        <v/>
      </c>
      <c r="AH46" s="39" t="str">
        <f t="shared" si="16"/>
        <v/>
      </c>
      <c r="AI46" s="39" t="str">
        <f t="shared" si="17"/>
        <v/>
      </c>
      <c r="AJ46" s="39" t="str">
        <f t="shared" si="18"/>
        <v/>
      </c>
      <c r="AK46" t="str">
        <f t="shared" si="19"/>
        <v/>
      </c>
      <c r="AL46" t="str">
        <f t="shared" si="20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IF(L47="","",IF($AO$1=1,IFERROR(MATCH(L47,'11-تشرين الثاني'!$L$2:$L$501,0),0),0))</f>
        <v/>
      </c>
      <c r="W47" t="str">
        <f t="shared" si="11"/>
        <v/>
      </c>
      <c r="X47" s="38" t="str">
        <f>IF(L47="","",IF(V47&gt;0,INDEX('11-تشرين الثاني'!$P$2:$P$501,V47),IF($AO$1=1,0,"")))</f>
        <v/>
      </c>
      <c r="Y47" s="38" t="str">
        <f t="shared" si="12"/>
        <v/>
      </c>
      <c r="Z47" s="39" t="str">
        <f>IF(L47="","",IF(V47&gt;0,INDEX('11-تشرين الثاني'!$Q$2:$Q$501,V47),IF($AO$1=1,0,"")))</f>
        <v/>
      </c>
      <c r="AA47" s="39" t="str">
        <f t="shared" si="13"/>
        <v/>
      </c>
      <c r="AB47" s="40" t="str">
        <f>IF(OR(L47="",V47=0),"",IF(AND(N(I47)&gt;0,N(INDEX('11-تشرين الثاني'!$I$2:$I$501,V47))&gt;0,INDEX('11-تشرين الثاني'!$F$2:$F$501,V47)=F47),N(I47)/N(INDEX('11-تشرين الثاني'!$I$2:$I$501,V47))-1,""))</f>
        <v/>
      </c>
      <c r="AC47" t="str">
        <f t="shared" si="14"/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5"/>
        <v/>
      </c>
      <c r="AH47" s="39" t="str">
        <f t="shared" si="16"/>
        <v/>
      </c>
      <c r="AI47" s="39" t="str">
        <f t="shared" si="17"/>
        <v/>
      </c>
      <c r="AJ47" s="39" t="str">
        <f t="shared" si="18"/>
        <v/>
      </c>
      <c r="AK47" t="str">
        <f t="shared" si="19"/>
        <v/>
      </c>
      <c r="AL47" t="str">
        <f t="shared" si="20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IF(L48="","",IF($AO$1=1,IFERROR(MATCH(L48,'11-تشرين الثاني'!$L$2:$L$501,0),0),0))</f>
        <v/>
      </c>
      <c r="W48" t="str">
        <f t="shared" si="11"/>
        <v/>
      </c>
      <c r="X48" s="38" t="str">
        <f>IF(L48="","",IF(V48&gt;0,INDEX('11-تشرين الثاني'!$P$2:$P$501,V48),IF($AO$1=1,0,"")))</f>
        <v/>
      </c>
      <c r="Y48" s="38" t="str">
        <f t="shared" si="12"/>
        <v/>
      </c>
      <c r="Z48" s="39" t="str">
        <f>IF(L48="","",IF(V48&gt;0,INDEX('11-تشرين الثاني'!$Q$2:$Q$501,V48),IF($AO$1=1,0,"")))</f>
        <v/>
      </c>
      <c r="AA48" s="39" t="str">
        <f t="shared" si="13"/>
        <v/>
      </c>
      <c r="AB48" s="40" t="str">
        <f>IF(OR(L48="",V48=0),"",IF(AND(N(I48)&gt;0,N(INDEX('11-تشرين الثاني'!$I$2:$I$501,V48))&gt;0,INDEX('11-تشرين الثاني'!$F$2:$F$501,V48)=F48),N(I48)/N(INDEX('11-تشرين الثاني'!$I$2:$I$501,V48))-1,""))</f>
        <v/>
      </c>
      <c r="AC48" t="str">
        <f t="shared" si="14"/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5"/>
        <v/>
      </c>
      <c r="AH48" s="39" t="str">
        <f t="shared" si="16"/>
        <v/>
      </c>
      <c r="AI48" s="39" t="str">
        <f t="shared" si="17"/>
        <v/>
      </c>
      <c r="AJ48" s="39" t="str">
        <f t="shared" si="18"/>
        <v/>
      </c>
      <c r="AK48" t="str">
        <f t="shared" si="19"/>
        <v/>
      </c>
      <c r="AL48" t="str">
        <f t="shared" si="20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IF(L49="","",IF($AO$1=1,IFERROR(MATCH(L49,'11-تشرين الثاني'!$L$2:$L$501,0),0),0))</f>
        <v/>
      </c>
      <c r="W49" t="str">
        <f t="shared" si="11"/>
        <v/>
      </c>
      <c r="X49" s="38" t="str">
        <f>IF(L49="","",IF(V49&gt;0,INDEX('11-تشرين الثاني'!$P$2:$P$501,V49),IF($AO$1=1,0,"")))</f>
        <v/>
      </c>
      <c r="Y49" s="38" t="str">
        <f t="shared" si="12"/>
        <v/>
      </c>
      <c r="Z49" s="39" t="str">
        <f>IF(L49="","",IF(V49&gt;0,INDEX('11-تشرين الثاني'!$Q$2:$Q$501,V49),IF($AO$1=1,0,"")))</f>
        <v/>
      </c>
      <c r="AA49" s="39" t="str">
        <f t="shared" si="13"/>
        <v/>
      </c>
      <c r="AB49" s="40" t="str">
        <f>IF(OR(L49="",V49=0),"",IF(AND(N(I49)&gt;0,N(INDEX('11-تشرين الثاني'!$I$2:$I$501,V49))&gt;0,INDEX('11-تشرين الثاني'!$F$2:$F$501,V49)=F49),N(I49)/N(INDEX('11-تشرين الثاني'!$I$2:$I$501,V49))-1,""))</f>
        <v/>
      </c>
      <c r="AC49" t="str">
        <f t="shared" si="14"/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5"/>
        <v/>
      </c>
      <c r="AH49" s="39" t="str">
        <f t="shared" si="16"/>
        <v/>
      </c>
      <c r="AI49" s="39" t="str">
        <f t="shared" si="17"/>
        <v/>
      </c>
      <c r="AJ49" s="39" t="str">
        <f t="shared" si="18"/>
        <v/>
      </c>
      <c r="AK49" t="str">
        <f t="shared" si="19"/>
        <v/>
      </c>
      <c r="AL49" t="str">
        <f t="shared" si="20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IF(L50="","",IF($AO$1=1,IFERROR(MATCH(L50,'11-تشرين الثاني'!$L$2:$L$501,0),0),0))</f>
        <v/>
      </c>
      <c r="W50" t="str">
        <f t="shared" si="11"/>
        <v/>
      </c>
      <c r="X50" s="38" t="str">
        <f>IF(L50="","",IF(V50&gt;0,INDEX('11-تشرين الثاني'!$P$2:$P$501,V50),IF($AO$1=1,0,"")))</f>
        <v/>
      </c>
      <c r="Y50" s="38" t="str">
        <f t="shared" si="12"/>
        <v/>
      </c>
      <c r="Z50" s="39" t="str">
        <f>IF(L50="","",IF(V50&gt;0,INDEX('11-تشرين الثاني'!$Q$2:$Q$501,V50),IF($AO$1=1,0,"")))</f>
        <v/>
      </c>
      <c r="AA50" s="39" t="str">
        <f t="shared" si="13"/>
        <v/>
      </c>
      <c r="AB50" s="40" t="str">
        <f>IF(OR(L50="",V50=0),"",IF(AND(N(I50)&gt;0,N(INDEX('11-تشرين الثاني'!$I$2:$I$501,V50))&gt;0,INDEX('11-تشرين الثاني'!$F$2:$F$501,V50)=F50),N(I50)/N(INDEX('11-تشرين الثاني'!$I$2:$I$501,V50))-1,""))</f>
        <v/>
      </c>
      <c r="AC50" t="str">
        <f t="shared" si="14"/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5"/>
        <v/>
      </c>
      <c r="AH50" s="39" t="str">
        <f t="shared" si="16"/>
        <v/>
      </c>
      <c r="AI50" s="39" t="str">
        <f t="shared" si="17"/>
        <v/>
      </c>
      <c r="AJ50" s="39" t="str">
        <f t="shared" si="18"/>
        <v/>
      </c>
      <c r="AK50" t="str">
        <f t="shared" si="19"/>
        <v/>
      </c>
      <c r="AL50" t="str">
        <f t="shared" si="20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IF(L51="","",IF($AO$1=1,IFERROR(MATCH(L51,'11-تشرين الثاني'!$L$2:$L$501,0),0),0))</f>
        <v/>
      </c>
      <c r="W51" t="str">
        <f t="shared" si="11"/>
        <v/>
      </c>
      <c r="X51" s="38" t="str">
        <f>IF(L51="","",IF(V51&gt;0,INDEX('11-تشرين الثاني'!$P$2:$P$501,V51),IF($AO$1=1,0,"")))</f>
        <v/>
      </c>
      <c r="Y51" s="38" t="str">
        <f t="shared" si="12"/>
        <v/>
      </c>
      <c r="Z51" s="39" t="str">
        <f>IF(L51="","",IF(V51&gt;0,INDEX('11-تشرين الثاني'!$Q$2:$Q$501,V51),IF($AO$1=1,0,"")))</f>
        <v/>
      </c>
      <c r="AA51" s="39" t="str">
        <f t="shared" si="13"/>
        <v/>
      </c>
      <c r="AB51" s="40" t="str">
        <f>IF(OR(L51="",V51=0),"",IF(AND(N(I51)&gt;0,N(INDEX('11-تشرين الثاني'!$I$2:$I$501,V51))&gt;0,INDEX('11-تشرين الثاني'!$F$2:$F$501,V51)=F51),N(I51)/N(INDEX('11-تشرين الثاني'!$I$2:$I$501,V51))-1,""))</f>
        <v/>
      </c>
      <c r="AC51" t="str">
        <f t="shared" si="14"/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5"/>
        <v/>
      </c>
      <c r="AH51" s="39" t="str">
        <f t="shared" si="16"/>
        <v/>
      </c>
      <c r="AI51" s="39" t="str">
        <f t="shared" si="17"/>
        <v/>
      </c>
      <c r="AJ51" s="39" t="str">
        <f t="shared" si="18"/>
        <v/>
      </c>
      <c r="AK51" t="str">
        <f t="shared" si="19"/>
        <v/>
      </c>
      <c r="AL51" t="str">
        <f t="shared" si="20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IF(L52="","",IF($AO$1=1,IFERROR(MATCH(L52,'11-تشرين الثاني'!$L$2:$L$501,0),0),0))</f>
        <v/>
      </c>
      <c r="W52" t="str">
        <f t="shared" si="11"/>
        <v/>
      </c>
      <c r="X52" s="38" t="str">
        <f>IF(L52="","",IF(V52&gt;0,INDEX('11-تشرين الثاني'!$P$2:$P$501,V52),IF($AO$1=1,0,"")))</f>
        <v/>
      </c>
      <c r="Y52" s="38" t="str">
        <f t="shared" si="12"/>
        <v/>
      </c>
      <c r="Z52" s="39" t="str">
        <f>IF(L52="","",IF(V52&gt;0,INDEX('11-تشرين الثاني'!$Q$2:$Q$501,V52),IF($AO$1=1,0,"")))</f>
        <v/>
      </c>
      <c r="AA52" s="39" t="str">
        <f t="shared" si="13"/>
        <v/>
      </c>
      <c r="AB52" s="40" t="str">
        <f>IF(OR(L52="",V52=0),"",IF(AND(N(I52)&gt;0,N(INDEX('11-تشرين الثاني'!$I$2:$I$501,V52))&gt;0,INDEX('11-تشرين الثاني'!$F$2:$F$501,V52)=F52),N(I52)/N(INDEX('11-تشرين الثاني'!$I$2:$I$501,V52))-1,""))</f>
        <v/>
      </c>
      <c r="AC52" t="str">
        <f t="shared" si="14"/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5"/>
        <v/>
      </c>
      <c r="AH52" s="39" t="str">
        <f t="shared" si="16"/>
        <v/>
      </c>
      <c r="AI52" s="39" t="str">
        <f t="shared" si="17"/>
        <v/>
      </c>
      <c r="AJ52" s="39" t="str">
        <f t="shared" si="18"/>
        <v/>
      </c>
      <c r="AK52" t="str">
        <f t="shared" si="19"/>
        <v/>
      </c>
      <c r="AL52" t="str">
        <f t="shared" si="20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IF(L53="","",IF($AO$1=1,IFERROR(MATCH(L53,'11-تشرين الثاني'!$L$2:$L$501,0),0),0))</f>
        <v/>
      </c>
      <c r="W53" t="str">
        <f t="shared" si="11"/>
        <v/>
      </c>
      <c r="X53" s="38" t="str">
        <f>IF(L53="","",IF(V53&gt;0,INDEX('11-تشرين الثاني'!$P$2:$P$501,V53),IF($AO$1=1,0,"")))</f>
        <v/>
      </c>
      <c r="Y53" s="38" t="str">
        <f t="shared" si="12"/>
        <v/>
      </c>
      <c r="Z53" s="39" t="str">
        <f>IF(L53="","",IF(V53&gt;0,INDEX('11-تشرين الثاني'!$Q$2:$Q$501,V53),IF($AO$1=1,0,"")))</f>
        <v/>
      </c>
      <c r="AA53" s="39" t="str">
        <f t="shared" si="13"/>
        <v/>
      </c>
      <c r="AB53" s="40" t="str">
        <f>IF(OR(L53="",V53=0),"",IF(AND(N(I53)&gt;0,N(INDEX('11-تشرين الثاني'!$I$2:$I$501,V53))&gt;0,INDEX('11-تشرين الثاني'!$F$2:$F$501,V53)=F53),N(I53)/N(INDEX('11-تشرين الثاني'!$I$2:$I$501,V53))-1,""))</f>
        <v/>
      </c>
      <c r="AC53" t="str">
        <f t="shared" si="14"/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5"/>
        <v/>
      </c>
      <c r="AH53" s="39" t="str">
        <f t="shared" si="16"/>
        <v/>
      </c>
      <c r="AI53" s="39" t="str">
        <f t="shared" si="17"/>
        <v/>
      </c>
      <c r="AJ53" s="39" t="str">
        <f t="shared" si="18"/>
        <v/>
      </c>
      <c r="AK53" t="str">
        <f t="shared" si="19"/>
        <v/>
      </c>
      <c r="AL53" t="str">
        <f t="shared" si="20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IF(L54="","",IF($AO$1=1,IFERROR(MATCH(L54,'11-تشرين الثاني'!$L$2:$L$501,0),0),0))</f>
        <v/>
      </c>
      <c r="W54" t="str">
        <f t="shared" si="11"/>
        <v/>
      </c>
      <c r="X54" s="38" t="str">
        <f>IF(L54="","",IF(V54&gt;0,INDEX('11-تشرين الثاني'!$P$2:$P$501,V54),IF($AO$1=1,0,"")))</f>
        <v/>
      </c>
      <c r="Y54" s="38" t="str">
        <f t="shared" si="12"/>
        <v/>
      </c>
      <c r="Z54" s="39" t="str">
        <f>IF(L54="","",IF(V54&gt;0,INDEX('11-تشرين الثاني'!$Q$2:$Q$501,V54),IF($AO$1=1,0,"")))</f>
        <v/>
      </c>
      <c r="AA54" s="39" t="str">
        <f t="shared" si="13"/>
        <v/>
      </c>
      <c r="AB54" s="40" t="str">
        <f>IF(OR(L54="",V54=0),"",IF(AND(N(I54)&gt;0,N(INDEX('11-تشرين الثاني'!$I$2:$I$501,V54))&gt;0,INDEX('11-تشرين الثاني'!$F$2:$F$501,V54)=F54),N(I54)/N(INDEX('11-تشرين الثاني'!$I$2:$I$501,V54))-1,""))</f>
        <v/>
      </c>
      <c r="AC54" t="str">
        <f t="shared" si="14"/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5"/>
        <v/>
      </c>
      <c r="AH54" s="39" t="str">
        <f t="shared" si="16"/>
        <v/>
      </c>
      <c r="AI54" s="39" t="str">
        <f t="shared" si="17"/>
        <v/>
      </c>
      <c r="AJ54" s="39" t="str">
        <f t="shared" si="18"/>
        <v/>
      </c>
      <c r="AK54" t="str">
        <f t="shared" si="19"/>
        <v/>
      </c>
      <c r="AL54" t="str">
        <f t="shared" si="20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IF(L55="","",IF($AO$1=1,IFERROR(MATCH(L55,'11-تشرين الثاني'!$L$2:$L$501,0),0),0))</f>
        <v/>
      </c>
      <c r="W55" t="str">
        <f t="shared" si="11"/>
        <v/>
      </c>
      <c r="X55" s="38" t="str">
        <f>IF(L55="","",IF(V55&gt;0,INDEX('11-تشرين الثاني'!$P$2:$P$501,V55),IF($AO$1=1,0,"")))</f>
        <v/>
      </c>
      <c r="Y55" s="38" t="str">
        <f t="shared" si="12"/>
        <v/>
      </c>
      <c r="Z55" s="39" t="str">
        <f>IF(L55="","",IF(V55&gt;0,INDEX('11-تشرين الثاني'!$Q$2:$Q$501,V55),IF($AO$1=1,0,"")))</f>
        <v/>
      </c>
      <c r="AA55" s="39" t="str">
        <f t="shared" si="13"/>
        <v/>
      </c>
      <c r="AB55" s="40" t="str">
        <f>IF(OR(L55="",V55=0),"",IF(AND(N(I55)&gt;0,N(INDEX('11-تشرين الثاني'!$I$2:$I$501,V55))&gt;0,INDEX('11-تشرين الثاني'!$F$2:$F$501,V55)=F55),N(I55)/N(INDEX('11-تشرين الثاني'!$I$2:$I$501,V55))-1,""))</f>
        <v/>
      </c>
      <c r="AC55" t="str">
        <f t="shared" si="14"/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5"/>
        <v/>
      </c>
      <c r="AH55" s="39" t="str">
        <f t="shared" si="16"/>
        <v/>
      </c>
      <c r="AI55" s="39" t="str">
        <f t="shared" si="17"/>
        <v/>
      </c>
      <c r="AJ55" s="39" t="str">
        <f t="shared" si="18"/>
        <v/>
      </c>
      <c r="AK55" t="str">
        <f t="shared" si="19"/>
        <v/>
      </c>
      <c r="AL55" t="str">
        <f t="shared" si="20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IF(L56="","",IF($AO$1=1,IFERROR(MATCH(L56,'11-تشرين الثاني'!$L$2:$L$501,0),0),0))</f>
        <v/>
      </c>
      <c r="W56" t="str">
        <f t="shared" si="11"/>
        <v/>
      </c>
      <c r="X56" s="38" t="str">
        <f>IF(L56="","",IF(V56&gt;0,INDEX('11-تشرين الثاني'!$P$2:$P$501,V56),IF($AO$1=1,0,"")))</f>
        <v/>
      </c>
      <c r="Y56" s="38" t="str">
        <f t="shared" si="12"/>
        <v/>
      </c>
      <c r="Z56" s="39" t="str">
        <f>IF(L56="","",IF(V56&gt;0,INDEX('11-تشرين الثاني'!$Q$2:$Q$501,V56),IF($AO$1=1,0,"")))</f>
        <v/>
      </c>
      <c r="AA56" s="39" t="str">
        <f t="shared" si="13"/>
        <v/>
      </c>
      <c r="AB56" s="40" t="str">
        <f>IF(OR(L56="",V56=0),"",IF(AND(N(I56)&gt;0,N(INDEX('11-تشرين الثاني'!$I$2:$I$501,V56))&gt;0,INDEX('11-تشرين الثاني'!$F$2:$F$501,V56)=F56),N(I56)/N(INDEX('11-تشرين الثاني'!$I$2:$I$501,V56))-1,""))</f>
        <v/>
      </c>
      <c r="AC56" t="str">
        <f t="shared" si="14"/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5"/>
        <v/>
      </c>
      <c r="AH56" s="39" t="str">
        <f t="shared" si="16"/>
        <v/>
      </c>
      <c r="AI56" s="39" t="str">
        <f t="shared" si="17"/>
        <v/>
      </c>
      <c r="AJ56" s="39" t="str">
        <f t="shared" si="18"/>
        <v/>
      </c>
      <c r="AK56" t="str">
        <f t="shared" si="19"/>
        <v/>
      </c>
      <c r="AL56" t="str">
        <f t="shared" si="20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IF(L57="","",IF($AO$1=1,IFERROR(MATCH(L57,'11-تشرين الثاني'!$L$2:$L$501,0),0),0))</f>
        <v/>
      </c>
      <c r="W57" t="str">
        <f t="shared" si="11"/>
        <v/>
      </c>
      <c r="X57" s="38" t="str">
        <f>IF(L57="","",IF(V57&gt;0,INDEX('11-تشرين الثاني'!$P$2:$P$501,V57),IF($AO$1=1,0,"")))</f>
        <v/>
      </c>
      <c r="Y57" s="38" t="str">
        <f t="shared" si="12"/>
        <v/>
      </c>
      <c r="Z57" s="39" t="str">
        <f>IF(L57="","",IF(V57&gt;0,INDEX('11-تشرين الثاني'!$Q$2:$Q$501,V57),IF($AO$1=1,0,"")))</f>
        <v/>
      </c>
      <c r="AA57" s="39" t="str">
        <f t="shared" si="13"/>
        <v/>
      </c>
      <c r="AB57" s="40" t="str">
        <f>IF(OR(L57="",V57=0),"",IF(AND(N(I57)&gt;0,N(INDEX('11-تشرين الثاني'!$I$2:$I$501,V57))&gt;0,INDEX('11-تشرين الثاني'!$F$2:$F$501,V57)=F57),N(I57)/N(INDEX('11-تشرين الثاني'!$I$2:$I$501,V57))-1,""))</f>
        <v/>
      </c>
      <c r="AC57" t="str">
        <f t="shared" si="14"/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5"/>
        <v/>
      </c>
      <c r="AH57" s="39" t="str">
        <f t="shared" si="16"/>
        <v/>
      </c>
      <c r="AI57" s="39" t="str">
        <f t="shared" si="17"/>
        <v/>
      </c>
      <c r="AJ57" s="39" t="str">
        <f t="shared" si="18"/>
        <v/>
      </c>
      <c r="AK57" t="str">
        <f t="shared" si="19"/>
        <v/>
      </c>
      <c r="AL57" t="str">
        <f t="shared" si="20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IF(L58="","",IF($AO$1=1,IFERROR(MATCH(L58,'11-تشرين الثاني'!$L$2:$L$501,0),0),0))</f>
        <v/>
      </c>
      <c r="W58" t="str">
        <f t="shared" si="11"/>
        <v/>
      </c>
      <c r="X58" s="38" t="str">
        <f>IF(L58="","",IF(V58&gt;0,INDEX('11-تشرين الثاني'!$P$2:$P$501,V58),IF($AO$1=1,0,"")))</f>
        <v/>
      </c>
      <c r="Y58" s="38" t="str">
        <f t="shared" si="12"/>
        <v/>
      </c>
      <c r="Z58" s="39" t="str">
        <f>IF(L58="","",IF(V58&gt;0,INDEX('11-تشرين الثاني'!$Q$2:$Q$501,V58),IF($AO$1=1,0,"")))</f>
        <v/>
      </c>
      <c r="AA58" s="39" t="str">
        <f t="shared" si="13"/>
        <v/>
      </c>
      <c r="AB58" s="40" t="str">
        <f>IF(OR(L58="",V58=0),"",IF(AND(N(I58)&gt;0,N(INDEX('11-تشرين الثاني'!$I$2:$I$501,V58))&gt;0,INDEX('11-تشرين الثاني'!$F$2:$F$501,V58)=F58),N(I58)/N(INDEX('11-تشرين الثاني'!$I$2:$I$501,V58))-1,""))</f>
        <v/>
      </c>
      <c r="AC58" t="str">
        <f t="shared" si="14"/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5"/>
        <v/>
      </c>
      <c r="AH58" s="39" t="str">
        <f t="shared" si="16"/>
        <v/>
      </c>
      <c r="AI58" s="39" t="str">
        <f t="shared" si="17"/>
        <v/>
      </c>
      <c r="AJ58" s="39" t="str">
        <f t="shared" si="18"/>
        <v/>
      </c>
      <c r="AK58" t="str">
        <f t="shared" si="19"/>
        <v/>
      </c>
      <c r="AL58" t="str">
        <f t="shared" si="20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IF(L59="","",IF($AO$1=1,IFERROR(MATCH(L59,'11-تشرين الثاني'!$L$2:$L$501,0),0),0))</f>
        <v/>
      </c>
      <c r="W59" t="str">
        <f t="shared" si="11"/>
        <v/>
      </c>
      <c r="X59" s="38" t="str">
        <f>IF(L59="","",IF(V59&gt;0,INDEX('11-تشرين الثاني'!$P$2:$P$501,V59),IF($AO$1=1,0,"")))</f>
        <v/>
      </c>
      <c r="Y59" s="38" t="str">
        <f t="shared" si="12"/>
        <v/>
      </c>
      <c r="Z59" s="39" t="str">
        <f>IF(L59="","",IF(V59&gt;0,INDEX('11-تشرين الثاني'!$Q$2:$Q$501,V59),IF($AO$1=1,0,"")))</f>
        <v/>
      </c>
      <c r="AA59" s="39" t="str">
        <f t="shared" si="13"/>
        <v/>
      </c>
      <c r="AB59" s="40" t="str">
        <f>IF(OR(L59="",V59=0),"",IF(AND(N(I59)&gt;0,N(INDEX('11-تشرين الثاني'!$I$2:$I$501,V59))&gt;0,INDEX('11-تشرين الثاني'!$F$2:$F$501,V59)=F59),N(I59)/N(INDEX('11-تشرين الثاني'!$I$2:$I$501,V59))-1,""))</f>
        <v/>
      </c>
      <c r="AC59" t="str">
        <f t="shared" si="14"/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5"/>
        <v/>
      </c>
      <c r="AH59" s="39" t="str">
        <f t="shared" si="16"/>
        <v/>
      </c>
      <c r="AI59" s="39" t="str">
        <f t="shared" si="17"/>
        <v/>
      </c>
      <c r="AJ59" s="39" t="str">
        <f t="shared" si="18"/>
        <v/>
      </c>
      <c r="AK59" t="str">
        <f t="shared" si="19"/>
        <v/>
      </c>
      <c r="AL59" t="str">
        <f t="shared" si="20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IF(L60="","",IF($AO$1=1,IFERROR(MATCH(L60,'11-تشرين الثاني'!$L$2:$L$501,0),0),0))</f>
        <v/>
      </c>
      <c r="W60" t="str">
        <f t="shared" si="11"/>
        <v/>
      </c>
      <c r="X60" s="38" t="str">
        <f>IF(L60="","",IF(V60&gt;0,INDEX('11-تشرين الثاني'!$P$2:$P$501,V60),IF($AO$1=1,0,"")))</f>
        <v/>
      </c>
      <c r="Y60" s="38" t="str">
        <f t="shared" si="12"/>
        <v/>
      </c>
      <c r="Z60" s="39" t="str">
        <f>IF(L60="","",IF(V60&gt;0,INDEX('11-تشرين الثاني'!$Q$2:$Q$501,V60),IF($AO$1=1,0,"")))</f>
        <v/>
      </c>
      <c r="AA60" s="39" t="str">
        <f t="shared" si="13"/>
        <v/>
      </c>
      <c r="AB60" s="40" t="str">
        <f>IF(OR(L60="",V60=0),"",IF(AND(N(I60)&gt;0,N(INDEX('11-تشرين الثاني'!$I$2:$I$501,V60))&gt;0,INDEX('11-تشرين الثاني'!$F$2:$F$501,V60)=F60),N(I60)/N(INDEX('11-تشرين الثاني'!$I$2:$I$501,V60))-1,""))</f>
        <v/>
      </c>
      <c r="AC60" t="str">
        <f t="shared" si="14"/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5"/>
        <v/>
      </c>
      <c r="AH60" s="39" t="str">
        <f t="shared" si="16"/>
        <v/>
      </c>
      <c r="AI60" s="39" t="str">
        <f t="shared" si="17"/>
        <v/>
      </c>
      <c r="AJ60" s="39" t="str">
        <f t="shared" si="18"/>
        <v/>
      </c>
      <c r="AK60" t="str">
        <f t="shared" si="19"/>
        <v/>
      </c>
      <c r="AL60" t="str">
        <f t="shared" si="20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IF(L61="","",IF($AO$1=1,IFERROR(MATCH(L61,'11-تشرين الثاني'!$L$2:$L$501,0),0),0))</f>
        <v/>
      </c>
      <c r="W61" t="str">
        <f t="shared" si="11"/>
        <v/>
      </c>
      <c r="X61" s="38" t="str">
        <f>IF(L61="","",IF(V61&gt;0,INDEX('11-تشرين الثاني'!$P$2:$P$501,V61),IF($AO$1=1,0,"")))</f>
        <v/>
      </c>
      <c r="Y61" s="38" t="str">
        <f t="shared" si="12"/>
        <v/>
      </c>
      <c r="Z61" s="39" t="str">
        <f>IF(L61="","",IF(V61&gt;0,INDEX('11-تشرين الثاني'!$Q$2:$Q$501,V61),IF($AO$1=1,0,"")))</f>
        <v/>
      </c>
      <c r="AA61" s="39" t="str">
        <f t="shared" si="13"/>
        <v/>
      </c>
      <c r="AB61" s="40" t="str">
        <f>IF(OR(L61="",V61=0),"",IF(AND(N(I61)&gt;0,N(INDEX('11-تشرين الثاني'!$I$2:$I$501,V61))&gt;0,INDEX('11-تشرين الثاني'!$F$2:$F$501,V61)=F61),N(I61)/N(INDEX('11-تشرين الثاني'!$I$2:$I$501,V61))-1,""))</f>
        <v/>
      </c>
      <c r="AC61" t="str">
        <f t="shared" si="14"/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5"/>
        <v/>
      </c>
      <c r="AH61" s="39" t="str">
        <f t="shared" si="16"/>
        <v/>
      </c>
      <c r="AI61" s="39" t="str">
        <f t="shared" si="17"/>
        <v/>
      </c>
      <c r="AJ61" s="39" t="str">
        <f t="shared" si="18"/>
        <v/>
      </c>
      <c r="AK61" t="str">
        <f t="shared" si="19"/>
        <v/>
      </c>
      <c r="AL61" t="str">
        <f t="shared" si="20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IF(L62="","",IF($AO$1=1,IFERROR(MATCH(L62,'11-تشرين الثاني'!$L$2:$L$501,0),0),0))</f>
        <v/>
      </c>
      <c r="W62" t="str">
        <f t="shared" si="11"/>
        <v/>
      </c>
      <c r="X62" s="38" t="str">
        <f>IF(L62="","",IF(V62&gt;0,INDEX('11-تشرين الثاني'!$P$2:$P$501,V62),IF($AO$1=1,0,"")))</f>
        <v/>
      </c>
      <c r="Y62" s="38" t="str">
        <f t="shared" si="12"/>
        <v/>
      </c>
      <c r="Z62" s="39" t="str">
        <f>IF(L62="","",IF(V62&gt;0,INDEX('11-تشرين الثاني'!$Q$2:$Q$501,V62),IF($AO$1=1,0,"")))</f>
        <v/>
      </c>
      <c r="AA62" s="39" t="str">
        <f t="shared" si="13"/>
        <v/>
      </c>
      <c r="AB62" s="40" t="str">
        <f>IF(OR(L62="",V62=0),"",IF(AND(N(I62)&gt;0,N(INDEX('11-تشرين الثاني'!$I$2:$I$501,V62))&gt;0,INDEX('11-تشرين الثاني'!$F$2:$F$501,V62)=F62),N(I62)/N(INDEX('11-تشرين الثاني'!$I$2:$I$501,V62))-1,""))</f>
        <v/>
      </c>
      <c r="AC62" t="str">
        <f t="shared" si="14"/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5"/>
        <v/>
      </c>
      <c r="AH62" s="39" t="str">
        <f t="shared" si="16"/>
        <v/>
      </c>
      <c r="AI62" s="39" t="str">
        <f t="shared" si="17"/>
        <v/>
      </c>
      <c r="AJ62" s="39" t="str">
        <f t="shared" si="18"/>
        <v/>
      </c>
      <c r="AK62" t="str">
        <f t="shared" si="19"/>
        <v/>
      </c>
      <c r="AL62" t="str">
        <f t="shared" si="20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IF(L63="","",IF($AO$1=1,IFERROR(MATCH(L63,'11-تشرين الثاني'!$L$2:$L$501,0),0),0))</f>
        <v/>
      </c>
      <c r="W63" t="str">
        <f t="shared" si="11"/>
        <v/>
      </c>
      <c r="X63" s="38" t="str">
        <f>IF(L63="","",IF(V63&gt;0,INDEX('11-تشرين الثاني'!$P$2:$P$501,V63),IF($AO$1=1,0,"")))</f>
        <v/>
      </c>
      <c r="Y63" s="38" t="str">
        <f t="shared" si="12"/>
        <v/>
      </c>
      <c r="Z63" s="39" t="str">
        <f>IF(L63="","",IF(V63&gt;0,INDEX('11-تشرين الثاني'!$Q$2:$Q$501,V63),IF($AO$1=1,0,"")))</f>
        <v/>
      </c>
      <c r="AA63" s="39" t="str">
        <f t="shared" si="13"/>
        <v/>
      </c>
      <c r="AB63" s="40" t="str">
        <f>IF(OR(L63="",V63=0),"",IF(AND(N(I63)&gt;0,N(INDEX('11-تشرين الثاني'!$I$2:$I$501,V63))&gt;0,INDEX('11-تشرين الثاني'!$F$2:$F$501,V63)=F63),N(I63)/N(INDEX('11-تشرين الثاني'!$I$2:$I$501,V63))-1,""))</f>
        <v/>
      </c>
      <c r="AC63" t="str">
        <f t="shared" si="14"/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5"/>
        <v/>
      </c>
      <c r="AH63" s="39" t="str">
        <f t="shared" si="16"/>
        <v/>
      </c>
      <c r="AI63" s="39" t="str">
        <f t="shared" si="17"/>
        <v/>
      </c>
      <c r="AJ63" s="39" t="str">
        <f t="shared" si="18"/>
        <v/>
      </c>
      <c r="AK63" t="str">
        <f t="shared" si="19"/>
        <v/>
      </c>
      <c r="AL63" t="str">
        <f t="shared" si="20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IF(L64="","",IF($AO$1=1,IFERROR(MATCH(L64,'11-تشرين الثاني'!$L$2:$L$501,0),0),0))</f>
        <v/>
      </c>
      <c r="W64" t="str">
        <f t="shared" si="11"/>
        <v/>
      </c>
      <c r="X64" s="38" t="str">
        <f>IF(L64="","",IF(V64&gt;0,INDEX('11-تشرين الثاني'!$P$2:$P$501,V64),IF($AO$1=1,0,"")))</f>
        <v/>
      </c>
      <c r="Y64" s="38" t="str">
        <f t="shared" si="12"/>
        <v/>
      </c>
      <c r="Z64" s="39" t="str">
        <f>IF(L64="","",IF(V64&gt;0,INDEX('11-تشرين الثاني'!$Q$2:$Q$501,V64),IF($AO$1=1,0,"")))</f>
        <v/>
      </c>
      <c r="AA64" s="39" t="str">
        <f t="shared" si="13"/>
        <v/>
      </c>
      <c r="AB64" s="40" t="str">
        <f>IF(OR(L64="",V64=0),"",IF(AND(N(I64)&gt;0,N(INDEX('11-تشرين الثاني'!$I$2:$I$501,V64))&gt;0,INDEX('11-تشرين الثاني'!$F$2:$F$501,V64)=F64),N(I64)/N(INDEX('11-تشرين الثاني'!$I$2:$I$501,V64))-1,""))</f>
        <v/>
      </c>
      <c r="AC64" t="str">
        <f t="shared" si="14"/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5"/>
        <v/>
      </c>
      <c r="AH64" s="39" t="str">
        <f t="shared" si="16"/>
        <v/>
      </c>
      <c r="AI64" s="39" t="str">
        <f t="shared" si="17"/>
        <v/>
      </c>
      <c r="AJ64" s="39" t="str">
        <f t="shared" si="18"/>
        <v/>
      </c>
      <c r="AK64" t="str">
        <f t="shared" si="19"/>
        <v/>
      </c>
      <c r="AL64" t="str">
        <f t="shared" si="20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IF(L65="","",IF($AO$1=1,IFERROR(MATCH(L65,'11-تشرين الثاني'!$L$2:$L$501,0),0),0))</f>
        <v/>
      </c>
      <c r="W65" t="str">
        <f t="shared" si="11"/>
        <v/>
      </c>
      <c r="X65" s="38" t="str">
        <f>IF(L65="","",IF(V65&gt;0,INDEX('11-تشرين الثاني'!$P$2:$P$501,V65),IF($AO$1=1,0,"")))</f>
        <v/>
      </c>
      <c r="Y65" s="38" t="str">
        <f t="shared" si="12"/>
        <v/>
      </c>
      <c r="Z65" s="39" t="str">
        <f>IF(L65="","",IF(V65&gt;0,INDEX('11-تشرين الثاني'!$Q$2:$Q$501,V65),IF($AO$1=1,0,"")))</f>
        <v/>
      </c>
      <c r="AA65" s="39" t="str">
        <f t="shared" si="13"/>
        <v/>
      </c>
      <c r="AB65" s="40" t="str">
        <f>IF(OR(L65="",V65=0),"",IF(AND(N(I65)&gt;0,N(INDEX('11-تشرين الثاني'!$I$2:$I$501,V65))&gt;0,INDEX('11-تشرين الثاني'!$F$2:$F$501,V65)=F65),N(I65)/N(INDEX('11-تشرين الثاني'!$I$2:$I$501,V65))-1,""))</f>
        <v/>
      </c>
      <c r="AC65" t="str">
        <f t="shared" si="14"/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5"/>
        <v/>
      </c>
      <c r="AH65" s="39" t="str">
        <f t="shared" si="16"/>
        <v/>
      </c>
      <c r="AI65" s="39" t="str">
        <f t="shared" si="17"/>
        <v/>
      </c>
      <c r="AJ65" s="39" t="str">
        <f t="shared" si="18"/>
        <v/>
      </c>
      <c r="AK65" t="str">
        <f t="shared" si="19"/>
        <v/>
      </c>
      <c r="AL65" t="str">
        <f t="shared" si="20"/>
        <v/>
      </c>
    </row>
    <row r="66" spans="11:38" ht="15">
      <c r="K66" t="str">
        <f t="shared" ref="K66:K129" si="21">IF(L66="","",IF(U66&lt;&gt;"","⚠",""))</f>
        <v/>
      </c>
      <c r="L66" t="str">
        <f t="shared" ref="L66:L129" si="22">IF(A66="","",TRIM(A66))</f>
        <v/>
      </c>
      <c r="M66" s="36" t="str">
        <f t="shared" ref="M66:M129" si="23">IF(L66="","",IF(ISNUMBER(SEARCH("دولار",F66)),1,IF(ISNUMBER(SEARCH("ليرة",F66)),IF($AO$3&gt;0,1/$AO$3,0),0)))</f>
        <v/>
      </c>
      <c r="N66" s="37" t="str">
        <f t="shared" ref="N66:N129" si="24">IF(L66="","",N(I66)*M66)</f>
        <v/>
      </c>
      <c r="O66" s="37" t="str">
        <f t="shared" ref="O66:O129" si="25">IF(L66="","",M66*CHOOSE($AO$4,N(C66),N(D66),N(E66)))</f>
        <v/>
      </c>
      <c r="P66" s="38" t="str">
        <f t="shared" ref="P66:P129" si="26">IF(L66="","",MAX(N(B66),0))</f>
        <v/>
      </c>
      <c r="Q66" s="39" t="str">
        <f t="shared" ref="Q66:Q129" si="27">IF(L66="","",P66*N66)</f>
        <v/>
      </c>
      <c r="R66" s="39" t="str">
        <f t="shared" ref="R66:R129" si="28">IF(L66="","",P66*O66)</f>
        <v/>
      </c>
      <c r="S66" t="str">
        <f t="shared" ref="S66:S129" si="29">IF(L66="","",IF(AND(P66&gt;0,N66&gt;0,O66&gt;0),1,0))</f>
        <v/>
      </c>
      <c r="T66" s="39" t="str">
        <f t="shared" ref="T66:T129" si="30">IF(L66="","",S66*(R66-Q66))</f>
        <v/>
      </c>
      <c r="U66" t="str">
        <f t="shared" ref="U66:U129" si="31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IF(L66="","",IF($AO$1=1,IFERROR(MATCH(L66,'11-تشرين الثاني'!$L$2:$L$501,0),0),0))</f>
        <v/>
      </c>
      <c r="W66" t="str">
        <f t="shared" ref="W66:W129" si="32">IF(L66="","",IF(AND($AO$1=1,V66=0),"جديد",""))</f>
        <v/>
      </c>
      <c r="X66" s="38" t="str">
        <f>IF(L66="","",IF(V66&gt;0,INDEX('11-تشرين الثاني'!$P$2:$P$501,V66),IF($AO$1=1,0,"")))</f>
        <v/>
      </c>
      <c r="Y66" s="38" t="str">
        <f t="shared" ref="Y66:Y129" si="33">IF(OR(L66="",X66=""),"",P66-X66)</f>
        <v/>
      </c>
      <c r="Z66" s="39" t="str">
        <f>IF(L66="","",IF(V66&gt;0,INDEX('11-تشرين الثاني'!$Q$2:$Q$501,V66),IF($AO$1=1,0,"")))</f>
        <v/>
      </c>
      <c r="AA66" s="39" t="str">
        <f t="shared" ref="AA66:AA129" si="34">IF(OR(L66="",Z66=""),"",Q66-Z66)</f>
        <v/>
      </c>
      <c r="AB66" s="40" t="str">
        <f>IF(OR(L66="",V66=0),"",IF(AND(N(I66)&gt;0,N(INDEX('11-تشرين الثاني'!$I$2:$I$501,V66))&gt;0,INDEX('11-تشرين الثاني'!$F$2:$F$501,V66)=F66),N(I66)/N(INDEX('11-تشرين الثاني'!$I$2:$I$501,V66))-1,""))</f>
        <v/>
      </c>
      <c r="AC66" t="str">
        <f t="shared" ref="AC66:AC129" si="35">IF(L66="","","")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6">IF(AA66="","",ABS(AA66)+ROW()/1000000000)</f>
        <v/>
      </c>
      <c r="AH66" s="39" t="str">
        <f t="shared" ref="AH66:AH129" si="37">IF(L66="","",IF(AND(P66&gt;0,N66&gt;0,N(C66)&gt;0),P66*(M66*N(C66)-N66),0))</f>
        <v/>
      </c>
      <c r="AI66" s="39" t="str">
        <f t="shared" ref="AI66:AI129" si="38">IF(L66="","",IF(AND(P66&gt;0,N66&gt;0,N(D66)&gt;0),P66*(M66*N(D66)-N66),0))</f>
        <v/>
      </c>
      <c r="AJ66" s="39" t="str">
        <f t="shared" ref="AJ66:AJ129" si="39">IF(L66="","",IF(AND(P66&gt;0,N66&gt;0,N(E66)&gt;0),P66*(M66*N(E66)-N66),0))</f>
        <v/>
      </c>
      <c r="AK66" t="str">
        <f t="shared" ref="AK66:AK129" si="40">IF(L66="","",Q66+ROW()/1000000000)</f>
        <v/>
      </c>
      <c r="AL66" t="str">
        <f t="shared" ref="AL66:AL129" si="41">IF(L66="","",T66+ROW()/1000000000)</f>
        <v/>
      </c>
    </row>
    <row r="67" spans="11:38" ht="15">
      <c r="K67" t="str">
        <f t="shared" si="21"/>
        <v/>
      </c>
      <c r="L67" t="str">
        <f t="shared" si="22"/>
        <v/>
      </c>
      <c r="M67" s="36" t="str">
        <f t="shared" si="23"/>
        <v/>
      </c>
      <c r="N67" s="37" t="str">
        <f t="shared" si="24"/>
        <v/>
      </c>
      <c r="O67" s="37" t="str">
        <f t="shared" si="25"/>
        <v/>
      </c>
      <c r="P67" s="38" t="str">
        <f t="shared" si="26"/>
        <v/>
      </c>
      <c r="Q67" s="39" t="str">
        <f t="shared" si="27"/>
        <v/>
      </c>
      <c r="R67" s="39" t="str">
        <f t="shared" si="28"/>
        <v/>
      </c>
      <c r="S67" t="str">
        <f t="shared" si="29"/>
        <v/>
      </c>
      <c r="T67" s="39" t="str">
        <f t="shared" si="30"/>
        <v/>
      </c>
      <c r="U67" t="str">
        <f t="shared" si="31"/>
        <v/>
      </c>
      <c r="V67" t="str">
        <f>IF(L67="","",IF($AO$1=1,IFERROR(MATCH(L67,'11-تشرين الثاني'!$L$2:$L$501,0),0),0))</f>
        <v/>
      </c>
      <c r="W67" t="str">
        <f t="shared" si="32"/>
        <v/>
      </c>
      <c r="X67" s="38" t="str">
        <f>IF(L67="","",IF(V67&gt;0,INDEX('11-تشرين الثاني'!$P$2:$P$501,V67),IF($AO$1=1,0,"")))</f>
        <v/>
      </c>
      <c r="Y67" s="38" t="str">
        <f t="shared" si="33"/>
        <v/>
      </c>
      <c r="Z67" s="39" t="str">
        <f>IF(L67="","",IF(V67&gt;0,INDEX('11-تشرين الثاني'!$Q$2:$Q$501,V67),IF($AO$1=1,0,"")))</f>
        <v/>
      </c>
      <c r="AA67" s="39" t="str">
        <f t="shared" si="34"/>
        <v/>
      </c>
      <c r="AB67" s="40" t="str">
        <f>IF(OR(L67="",V67=0),"",IF(AND(N(I67)&gt;0,N(INDEX('11-تشرين الثاني'!$I$2:$I$501,V67))&gt;0,INDEX('11-تشرين الثاني'!$F$2:$F$501,V67)=F67),N(I67)/N(INDEX('11-تشرين الثاني'!$I$2:$I$501,V67))-1,""))</f>
        <v/>
      </c>
      <c r="AC67" t="str">
        <f t="shared" si="35"/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6"/>
        <v/>
      </c>
      <c r="AH67" s="39" t="str">
        <f t="shared" si="37"/>
        <v/>
      </c>
      <c r="AI67" s="39" t="str">
        <f t="shared" si="38"/>
        <v/>
      </c>
      <c r="AJ67" s="39" t="str">
        <f t="shared" si="39"/>
        <v/>
      </c>
      <c r="AK67" t="str">
        <f t="shared" si="40"/>
        <v/>
      </c>
      <c r="AL67" t="str">
        <f t="shared" si="41"/>
        <v/>
      </c>
    </row>
    <row r="68" spans="11:38" ht="15">
      <c r="K68" t="str">
        <f t="shared" si="21"/>
        <v/>
      </c>
      <c r="L68" t="str">
        <f t="shared" si="22"/>
        <v/>
      </c>
      <c r="M68" s="36" t="str">
        <f t="shared" si="23"/>
        <v/>
      </c>
      <c r="N68" s="37" t="str">
        <f t="shared" si="24"/>
        <v/>
      </c>
      <c r="O68" s="37" t="str">
        <f t="shared" si="25"/>
        <v/>
      </c>
      <c r="P68" s="38" t="str">
        <f t="shared" si="26"/>
        <v/>
      </c>
      <c r="Q68" s="39" t="str">
        <f t="shared" si="27"/>
        <v/>
      </c>
      <c r="R68" s="39" t="str">
        <f t="shared" si="28"/>
        <v/>
      </c>
      <c r="S68" t="str">
        <f t="shared" si="29"/>
        <v/>
      </c>
      <c r="T68" s="39" t="str">
        <f t="shared" si="30"/>
        <v/>
      </c>
      <c r="U68" t="str">
        <f t="shared" si="31"/>
        <v/>
      </c>
      <c r="V68" t="str">
        <f>IF(L68="","",IF($AO$1=1,IFERROR(MATCH(L68,'11-تشرين الثاني'!$L$2:$L$501,0),0),0))</f>
        <v/>
      </c>
      <c r="W68" t="str">
        <f t="shared" si="32"/>
        <v/>
      </c>
      <c r="X68" s="38" t="str">
        <f>IF(L68="","",IF(V68&gt;0,INDEX('11-تشرين الثاني'!$P$2:$P$501,V68),IF($AO$1=1,0,"")))</f>
        <v/>
      </c>
      <c r="Y68" s="38" t="str">
        <f t="shared" si="33"/>
        <v/>
      </c>
      <c r="Z68" s="39" t="str">
        <f>IF(L68="","",IF(V68&gt;0,INDEX('11-تشرين الثاني'!$Q$2:$Q$501,V68),IF($AO$1=1,0,"")))</f>
        <v/>
      </c>
      <c r="AA68" s="39" t="str">
        <f t="shared" si="34"/>
        <v/>
      </c>
      <c r="AB68" s="40" t="str">
        <f>IF(OR(L68="",V68=0),"",IF(AND(N(I68)&gt;0,N(INDEX('11-تشرين الثاني'!$I$2:$I$501,V68))&gt;0,INDEX('11-تشرين الثاني'!$F$2:$F$501,V68)=F68),N(I68)/N(INDEX('11-تشرين الثاني'!$I$2:$I$501,V68))-1,""))</f>
        <v/>
      </c>
      <c r="AC68" t="str">
        <f t="shared" si="35"/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6"/>
        <v/>
      </c>
      <c r="AH68" s="39" t="str">
        <f t="shared" si="37"/>
        <v/>
      </c>
      <c r="AI68" s="39" t="str">
        <f t="shared" si="38"/>
        <v/>
      </c>
      <c r="AJ68" s="39" t="str">
        <f t="shared" si="39"/>
        <v/>
      </c>
      <c r="AK68" t="str">
        <f t="shared" si="40"/>
        <v/>
      </c>
      <c r="AL68" t="str">
        <f t="shared" si="41"/>
        <v/>
      </c>
    </row>
    <row r="69" spans="11:38" ht="15">
      <c r="K69" t="str">
        <f t="shared" si="21"/>
        <v/>
      </c>
      <c r="L69" t="str">
        <f t="shared" si="22"/>
        <v/>
      </c>
      <c r="M69" s="36" t="str">
        <f t="shared" si="23"/>
        <v/>
      </c>
      <c r="N69" s="37" t="str">
        <f t="shared" si="24"/>
        <v/>
      </c>
      <c r="O69" s="37" t="str">
        <f t="shared" si="25"/>
        <v/>
      </c>
      <c r="P69" s="38" t="str">
        <f t="shared" si="26"/>
        <v/>
      </c>
      <c r="Q69" s="39" t="str">
        <f t="shared" si="27"/>
        <v/>
      </c>
      <c r="R69" s="39" t="str">
        <f t="shared" si="28"/>
        <v/>
      </c>
      <c r="S69" t="str">
        <f t="shared" si="29"/>
        <v/>
      </c>
      <c r="T69" s="39" t="str">
        <f t="shared" si="30"/>
        <v/>
      </c>
      <c r="U69" t="str">
        <f t="shared" si="31"/>
        <v/>
      </c>
      <c r="V69" t="str">
        <f>IF(L69="","",IF($AO$1=1,IFERROR(MATCH(L69,'11-تشرين الثاني'!$L$2:$L$501,0),0),0))</f>
        <v/>
      </c>
      <c r="W69" t="str">
        <f t="shared" si="32"/>
        <v/>
      </c>
      <c r="X69" s="38" t="str">
        <f>IF(L69="","",IF(V69&gt;0,INDEX('11-تشرين الثاني'!$P$2:$P$501,V69),IF($AO$1=1,0,"")))</f>
        <v/>
      </c>
      <c r="Y69" s="38" t="str">
        <f t="shared" si="33"/>
        <v/>
      </c>
      <c r="Z69" s="39" t="str">
        <f>IF(L69="","",IF(V69&gt;0,INDEX('11-تشرين الثاني'!$Q$2:$Q$501,V69),IF($AO$1=1,0,"")))</f>
        <v/>
      </c>
      <c r="AA69" s="39" t="str">
        <f t="shared" si="34"/>
        <v/>
      </c>
      <c r="AB69" s="40" t="str">
        <f>IF(OR(L69="",V69=0),"",IF(AND(N(I69)&gt;0,N(INDEX('11-تشرين الثاني'!$I$2:$I$501,V69))&gt;0,INDEX('11-تشرين الثاني'!$F$2:$F$501,V69)=F69),N(I69)/N(INDEX('11-تشرين الثاني'!$I$2:$I$501,V69))-1,""))</f>
        <v/>
      </c>
      <c r="AC69" t="str">
        <f t="shared" si="35"/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6"/>
        <v/>
      </c>
      <c r="AH69" s="39" t="str">
        <f t="shared" si="37"/>
        <v/>
      </c>
      <c r="AI69" s="39" t="str">
        <f t="shared" si="38"/>
        <v/>
      </c>
      <c r="AJ69" s="39" t="str">
        <f t="shared" si="39"/>
        <v/>
      </c>
      <c r="AK69" t="str">
        <f t="shared" si="40"/>
        <v/>
      </c>
      <c r="AL69" t="str">
        <f t="shared" si="41"/>
        <v/>
      </c>
    </row>
    <row r="70" spans="11:38" ht="15">
      <c r="K70" t="str">
        <f t="shared" si="21"/>
        <v/>
      </c>
      <c r="L70" t="str">
        <f t="shared" si="22"/>
        <v/>
      </c>
      <c r="M70" s="36" t="str">
        <f t="shared" si="23"/>
        <v/>
      </c>
      <c r="N70" s="37" t="str">
        <f t="shared" si="24"/>
        <v/>
      </c>
      <c r="O70" s="37" t="str">
        <f t="shared" si="25"/>
        <v/>
      </c>
      <c r="P70" s="38" t="str">
        <f t="shared" si="26"/>
        <v/>
      </c>
      <c r="Q70" s="39" t="str">
        <f t="shared" si="27"/>
        <v/>
      </c>
      <c r="R70" s="39" t="str">
        <f t="shared" si="28"/>
        <v/>
      </c>
      <c r="S70" t="str">
        <f t="shared" si="29"/>
        <v/>
      </c>
      <c r="T70" s="39" t="str">
        <f t="shared" si="30"/>
        <v/>
      </c>
      <c r="U70" t="str">
        <f t="shared" si="31"/>
        <v/>
      </c>
      <c r="V70" t="str">
        <f>IF(L70="","",IF($AO$1=1,IFERROR(MATCH(L70,'11-تشرين الثاني'!$L$2:$L$501,0),0),0))</f>
        <v/>
      </c>
      <c r="W70" t="str">
        <f t="shared" si="32"/>
        <v/>
      </c>
      <c r="X70" s="38" t="str">
        <f>IF(L70="","",IF(V70&gt;0,INDEX('11-تشرين الثاني'!$P$2:$P$501,V70),IF($AO$1=1,0,"")))</f>
        <v/>
      </c>
      <c r="Y70" s="38" t="str">
        <f t="shared" si="33"/>
        <v/>
      </c>
      <c r="Z70" s="39" t="str">
        <f>IF(L70="","",IF(V70&gt;0,INDEX('11-تشرين الثاني'!$Q$2:$Q$501,V70),IF($AO$1=1,0,"")))</f>
        <v/>
      </c>
      <c r="AA70" s="39" t="str">
        <f t="shared" si="34"/>
        <v/>
      </c>
      <c r="AB70" s="40" t="str">
        <f>IF(OR(L70="",V70=0),"",IF(AND(N(I70)&gt;0,N(INDEX('11-تشرين الثاني'!$I$2:$I$501,V70))&gt;0,INDEX('11-تشرين الثاني'!$F$2:$F$501,V70)=F70),N(I70)/N(INDEX('11-تشرين الثاني'!$I$2:$I$501,V70))-1,""))</f>
        <v/>
      </c>
      <c r="AC70" t="str">
        <f t="shared" si="35"/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6"/>
        <v/>
      </c>
      <c r="AH70" s="39" t="str">
        <f t="shared" si="37"/>
        <v/>
      </c>
      <c r="AI70" s="39" t="str">
        <f t="shared" si="38"/>
        <v/>
      </c>
      <c r="AJ70" s="39" t="str">
        <f t="shared" si="39"/>
        <v/>
      </c>
      <c r="AK70" t="str">
        <f t="shared" si="40"/>
        <v/>
      </c>
      <c r="AL70" t="str">
        <f t="shared" si="41"/>
        <v/>
      </c>
    </row>
    <row r="71" spans="11:38" ht="15">
      <c r="K71" t="str">
        <f t="shared" si="21"/>
        <v/>
      </c>
      <c r="L71" t="str">
        <f t="shared" si="22"/>
        <v/>
      </c>
      <c r="M71" s="36" t="str">
        <f t="shared" si="23"/>
        <v/>
      </c>
      <c r="N71" s="37" t="str">
        <f t="shared" si="24"/>
        <v/>
      </c>
      <c r="O71" s="37" t="str">
        <f t="shared" si="25"/>
        <v/>
      </c>
      <c r="P71" s="38" t="str">
        <f t="shared" si="26"/>
        <v/>
      </c>
      <c r="Q71" s="39" t="str">
        <f t="shared" si="27"/>
        <v/>
      </c>
      <c r="R71" s="39" t="str">
        <f t="shared" si="28"/>
        <v/>
      </c>
      <c r="S71" t="str">
        <f t="shared" si="29"/>
        <v/>
      </c>
      <c r="T71" s="39" t="str">
        <f t="shared" si="30"/>
        <v/>
      </c>
      <c r="U71" t="str">
        <f t="shared" si="31"/>
        <v/>
      </c>
      <c r="V71" t="str">
        <f>IF(L71="","",IF($AO$1=1,IFERROR(MATCH(L71,'11-تشرين الثاني'!$L$2:$L$501,0),0),0))</f>
        <v/>
      </c>
      <c r="W71" t="str">
        <f t="shared" si="32"/>
        <v/>
      </c>
      <c r="X71" s="38" t="str">
        <f>IF(L71="","",IF(V71&gt;0,INDEX('11-تشرين الثاني'!$P$2:$P$501,V71),IF($AO$1=1,0,"")))</f>
        <v/>
      </c>
      <c r="Y71" s="38" t="str">
        <f t="shared" si="33"/>
        <v/>
      </c>
      <c r="Z71" s="39" t="str">
        <f>IF(L71="","",IF(V71&gt;0,INDEX('11-تشرين الثاني'!$Q$2:$Q$501,V71),IF($AO$1=1,0,"")))</f>
        <v/>
      </c>
      <c r="AA71" s="39" t="str">
        <f t="shared" si="34"/>
        <v/>
      </c>
      <c r="AB71" s="40" t="str">
        <f>IF(OR(L71="",V71=0),"",IF(AND(N(I71)&gt;0,N(INDEX('11-تشرين الثاني'!$I$2:$I$501,V71))&gt;0,INDEX('11-تشرين الثاني'!$F$2:$F$501,V71)=F71),N(I71)/N(INDEX('11-تشرين الثاني'!$I$2:$I$501,V71))-1,""))</f>
        <v/>
      </c>
      <c r="AC71" t="str">
        <f t="shared" si="35"/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6"/>
        <v/>
      </c>
      <c r="AH71" s="39" t="str">
        <f t="shared" si="37"/>
        <v/>
      </c>
      <c r="AI71" s="39" t="str">
        <f t="shared" si="38"/>
        <v/>
      </c>
      <c r="AJ71" s="39" t="str">
        <f t="shared" si="39"/>
        <v/>
      </c>
      <c r="AK71" t="str">
        <f t="shared" si="40"/>
        <v/>
      </c>
      <c r="AL71" t="str">
        <f t="shared" si="41"/>
        <v/>
      </c>
    </row>
    <row r="72" spans="11:38" ht="15">
      <c r="K72" t="str">
        <f t="shared" si="21"/>
        <v/>
      </c>
      <c r="L72" t="str">
        <f t="shared" si="22"/>
        <v/>
      </c>
      <c r="M72" s="36" t="str">
        <f t="shared" si="23"/>
        <v/>
      </c>
      <c r="N72" s="37" t="str">
        <f t="shared" si="24"/>
        <v/>
      </c>
      <c r="O72" s="37" t="str">
        <f t="shared" si="25"/>
        <v/>
      </c>
      <c r="P72" s="38" t="str">
        <f t="shared" si="26"/>
        <v/>
      </c>
      <c r="Q72" s="39" t="str">
        <f t="shared" si="27"/>
        <v/>
      </c>
      <c r="R72" s="39" t="str">
        <f t="shared" si="28"/>
        <v/>
      </c>
      <c r="S72" t="str">
        <f t="shared" si="29"/>
        <v/>
      </c>
      <c r="T72" s="39" t="str">
        <f t="shared" si="30"/>
        <v/>
      </c>
      <c r="U72" t="str">
        <f t="shared" si="31"/>
        <v/>
      </c>
      <c r="V72" t="str">
        <f>IF(L72="","",IF($AO$1=1,IFERROR(MATCH(L72,'11-تشرين الثاني'!$L$2:$L$501,0),0),0))</f>
        <v/>
      </c>
      <c r="W72" t="str">
        <f t="shared" si="32"/>
        <v/>
      </c>
      <c r="X72" s="38" t="str">
        <f>IF(L72="","",IF(V72&gt;0,INDEX('11-تشرين الثاني'!$P$2:$P$501,V72),IF($AO$1=1,0,"")))</f>
        <v/>
      </c>
      <c r="Y72" s="38" t="str">
        <f t="shared" si="33"/>
        <v/>
      </c>
      <c r="Z72" s="39" t="str">
        <f>IF(L72="","",IF(V72&gt;0,INDEX('11-تشرين الثاني'!$Q$2:$Q$501,V72),IF($AO$1=1,0,"")))</f>
        <v/>
      </c>
      <c r="AA72" s="39" t="str">
        <f t="shared" si="34"/>
        <v/>
      </c>
      <c r="AB72" s="40" t="str">
        <f>IF(OR(L72="",V72=0),"",IF(AND(N(I72)&gt;0,N(INDEX('11-تشرين الثاني'!$I$2:$I$501,V72))&gt;0,INDEX('11-تشرين الثاني'!$F$2:$F$501,V72)=F72),N(I72)/N(INDEX('11-تشرين الثاني'!$I$2:$I$501,V72))-1,""))</f>
        <v/>
      </c>
      <c r="AC72" t="str">
        <f t="shared" si="35"/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6"/>
        <v/>
      </c>
      <c r="AH72" s="39" t="str">
        <f t="shared" si="37"/>
        <v/>
      </c>
      <c r="AI72" s="39" t="str">
        <f t="shared" si="38"/>
        <v/>
      </c>
      <c r="AJ72" s="39" t="str">
        <f t="shared" si="39"/>
        <v/>
      </c>
      <c r="AK72" t="str">
        <f t="shared" si="40"/>
        <v/>
      </c>
      <c r="AL72" t="str">
        <f t="shared" si="41"/>
        <v/>
      </c>
    </row>
    <row r="73" spans="11:38" ht="15">
      <c r="K73" t="str">
        <f t="shared" si="21"/>
        <v/>
      </c>
      <c r="L73" t="str">
        <f t="shared" si="22"/>
        <v/>
      </c>
      <c r="M73" s="36" t="str">
        <f t="shared" si="23"/>
        <v/>
      </c>
      <c r="N73" s="37" t="str">
        <f t="shared" si="24"/>
        <v/>
      </c>
      <c r="O73" s="37" t="str">
        <f t="shared" si="25"/>
        <v/>
      </c>
      <c r="P73" s="38" t="str">
        <f t="shared" si="26"/>
        <v/>
      </c>
      <c r="Q73" s="39" t="str">
        <f t="shared" si="27"/>
        <v/>
      </c>
      <c r="R73" s="39" t="str">
        <f t="shared" si="28"/>
        <v/>
      </c>
      <c r="S73" t="str">
        <f t="shared" si="29"/>
        <v/>
      </c>
      <c r="T73" s="39" t="str">
        <f t="shared" si="30"/>
        <v/>
      </c>
      <c r="U73" t="str">
        <f t="shared" si="31"/>
        <v/>
      </c>
      <c r="V73" t="str">
        <f>IF(L73="","",IF($AO$1=1,IFERROR(MATCH(L73,'11-تشرين الثاني'!$L$2:$L$501,0),0),0))</f>
        <v/>
      </c>
      <c r="W73" t="str">
        <f t="shared" si="32"/>
        <v/>
      </c>
      <c r="X73" s="38" t="str">
        <f>IF(L73="","",IF(V73&gt;0,INDEX('11-تشرين الثاني'!$P$2:$P$501,V73),IF($AO$1=1,0,"")))</f>
        <v/>
      </c>
      <c r="Y73" s="38" t="str">
        <f t="shared" si="33"/>
        <v/>
      </c>
      <c r="Z73" s="39" t="str">
        <f>IF(L73="","",IF(V73&gt;0,INDEX('11-تشرين الثاني'!$Q$2:$Q$501,V73),IF($AO$1=1,0,"")))</f>
        <v/>
      </c>
      <c r="AA73" s="39" t="str">
        <f t="shared" si="34"/>
        <v/>
      </c>
      <c r="AB73" s="40" t="str">
        <f>IF(OR(L73="",V73=0),"",IF(AND(N(I73)&gt;0,N(INDEX('11-تشرين الثاني'!$I$2:$I$501,V73))&gt;0,INDEX('11-تشرين الثاني'!$F$2:$F$501,V73)=F73),N(I73)/N(INDEX('11-تشرين الثاني'!$I$2:$I$501,V73))-1,""))</f>
        <v/>
      </c>
      <c r="AC73" t="str">
        <f t="shared" si="35"/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6"/>
        <v/>
      </c>
      <c r="AH73" s="39" t="str">
        <f t="shared" si="37"/>
        <v/>
      </c>
      <c r="AI73" s="39" t="str">
        <f t="shared" si="38"/>
        <v/>
      </c>
      <c r="AJ73" s="39" t="str">
        <f t="shared" si="39"/>
        <v/>
      </c>
      <c r="AK73" t="str">
        <f t="shared" si="40"/>
        <v/>
      </c>
      <c r="AL73" t="str">
        <f t="shared" si="41"/>
        <v/>
      </c>
    </row>
    <row r="74" spans="11:38" ht="15">
      <c r="K74" t="str">
        <f t="shared" si="21"/>
        <v/>
      </c>
      <c r="L74" t="str">
        <f t="shared" si="22"/>
        <v/>
      </c>
      <c r="M74" s="36" t="str">
        <f t="shared" si="23"/>
        <v/>
      </c>
      <c r="N74" s="37" t="str">
        <f t="shared" si="24"/>
        <v/>
      </c>
      <c r="O74" s="37" t="str">
        <f t="shared" si="25"/>
        <v/>
      </c>
      <c r="P74" s="38" t="str">
        <f t="shared" si="26"/>
        <v/>
      </c>
      <c r="Q74" s="39" t="str">
        <f t="shared" si="27"/>
        <v/>
      </c>
      <c r="R74" s="39" t="str">
        <f t="shared" si="28"/>
        <v/>
      </c>
      <c r="S74" t="str">
        <f t="shared" si="29"/>
        <v/>
      </c>
      <c r="T74" s="39" t="str">
        <f t="shared" si="30"/>
        <v/>
      </c>
      <c r="U74" t="str">
        <f t="shared" si="31"/>
        <v/>
      </c>
      <c r="V74" t="str">
        <f>IF(L74="","",IF($AO$1=1,IFERROR(MATCH(L74,'11-تشرين الثاني'!$L$2:$L$501,0),0),0))</f>
        <v/>
      </c>
      <c r="W74" t="str">
        <f t="shared" si="32"/>
        <v/>
      </c>
      <c r="X74" s="38" t="str">
        <f>IF(L74="","",IF(V74&gt;0,INDEX('11-تشرين الثاني'!$P$2:$P$501,V74),IF($AO$1=1,0,"")))</f>
        <v/>
      </c>
      <c r="Y74" s="38" t="str">
        <f t="shared" si="33"/>
        <v/>
      </c>
      <c r="Z74" s="39" t="str">
        <f>IF(L74="","",IF(V74&gt;0,INDEX('11-تشرين الثاني'!$Q$2:$Q$501,V74),IF($AO$1=1,0,"")))</f>
        <v/>
      </c>
      <c r="AA74" s="39" t="str">
        <f t="shared" si="34"/>
        <v/>
      </c>
      <c r="AB74" s="40" t="str">
        <f>IF(OR(L74="",V74=0),"",IF(AND(N(I74)&gt;0,N(INDEX('11-تشرين الثاني'!$I$2:$I$501,V74))&gt;0,INDEX('11-تشرين الثاني'!$F$2:$F$501,V74)=F74),N(I74)/N(INDEX('11-تشرين الثاني'!$I$2:$I$501,V74))-1,""))</f>
        <v/>
      </c>
      <c r="AC74" t="str">
        <f t="shared" si="35"/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6"/>
        <v/>
      </c>
      <c r="AH74" s="39" t="str">
        <f t="shared" si="37"/>
        <v/>
      </c>
      <c r="AI74" s="39" t="str">
        <f t="shared" si="38"/>
        <v/>
      </c>
      <c r="AJ74" s="39" t="str">
        <f t="shared" si="39"/>
        <v/>
      </c>
      <c r="AK74" t="str">
        <f t="shared" si="40"/>
        <v/>
      </c>
      <c r="AL74" t="str">
        <f t="shared" si="41"/>
        <v/>
      </c>
    </row>
    <row r="75" spans="11:38" ht="15">
      <c r="K75" t="str">
        <f t="shared" si="21"/>
        <v/>
      </c>
      <c r="L75" t="str">
        <f t="shared" si="22"/>
        <v/>
      </c>
      <c r="M75" s="36" t="str">
        <f t="shared" si="23"/>
        <v/>
      </c>
      <c r="N75" s="37" t="str">
        <f t="shared" si="24"/>
        <v/>
      </c>
      <c r="O75" s="37" t="str">
        <f t="shared" si="25"/>
        <v/>
      </c>
      <c r="P75" s="38" t="str">
        <f t="shared" si="26"/>
        <v/>
      </c>
      <c r="Q75" s="39" t="str">
        <f t="shared" si="27"/>
        <v/>
      </c>
      <c r="R75" s="39" t="str">
        <f t="shared" si="28"/>
        <v/>
      </c>
      <c r="S75" t="str">
        <f t="shared" si="29"/>
        <v/>
      </c>
      <c r="T75" s="39" t="str">
        <f t="shared" si="30"/>
        <v/>
      </c>
      <c r="U75" t="str">
        <f t="shared" si="31"/>
        <v/>
      </c>
      <c r="V75" t="str">
        <f>IF(L75="","",IF($AO$1=1,IFERROR(MATCH(L75,'11-تشرين الثاني'!$L$2:$L$501,0),0),0))</f>
        <v/>
      </c>
      <c r="W75" t="str">
        <f t="shared" si="32"/>
        <v/>
      </c>
      <c r="X75" s="38" t="str">
        <f>IF(L75="","",IF(V75&gt;0,INDEX('11-تشرين الثاني'!$P$2:$P$501,V75),IF($AO$1=1,0,"")))</f>
        <v/>
      </c>
      <c r="Y75" s="38" t="str">
        <f t="shared" si="33"/>
        <v/>
      </c>
      <c r="Z75" s="39" t="str">
        <f>IF(L75="","",IF(V75&gt;0,INDEX('11-تشرين الثاني'!$Q$2:$Q$501,V75),IF($AO$1=1,0,"")))</f>
        <v/>
      </c>
      <c r="AA75" s="39" t="str">
        <f t="shared" si="34"/>
        <v/>
      </c>
      <c r="AB75" s="40" t="str">
        <f>IF(OR(L75="",V75=0),"",IF(AND(N(I75)&gt;0,N(INDEX('11-تشرين الثاني'!$I$2:$I$501,V75))&gt;0,INDEX('11-تشرين الثاني'!$F$2:$F$501,V75)=F75),N(I75)/N(INDEX('11-تشرين الثاني'!$I$2:$I$501,V75))-1,""))</f>
        <v/>
      </c>
      <c r="AC75" t="str">
        <f t="shared" si="35"/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6"/>
        <v/>
      </c>
      <c r="AH75" s="39" t="str">
        <f t="shared" si="37"/>
        <v/>
      </c>
      <c r="AI75" s="39" t="str">
        <f t="shared" si="38"/>
        <v/>
      </c>
      <c r="AJ75" s="39" t="str">
        <f t="shared" si="39"/>
        <v/>
      </c>
      <c r="AK75" t="str">
        <f t="shared" si="40"/>
        <v/>
      </c>
      <c r="AL75" t="str">
        <f t="shared" si="41"/>
        <v/>
      </c>
    </row>
    <row r="76" spans="11:38" ht="15">
      <c r="K76" t="str">
        <f t="shared" si="21"/>
        <v/>
      </c>
      <c r="L76" t="str">
        <f t="shared" si="22"/>
        <v/>
      </c>
      <c r="M76" s="36" t="str">
        <f t="shared" si="23"/>
        <v/>
      </c>
      <c r="N76" s="37" t="str">
        <f t="shared" si="24"/>
        <v/>
      </c>
      <c r="O76" s="37" t="str">
        <f t="shared" si="25"/>
        <v/>
      </c>
      <c r="P76" s="38" t="str">
        <f t="shared" si="26"/>
        <v/>
      </c>
      <c r="Q76" s="39" t="str">
        <f t="shared" si="27"/>
        <v/>
      </c>
      <c r="R76" s="39" t="str">
        <f t="shared" si="28"/>
        <v/>
      </c>
      <c r="S76" t="str">
        <f t="shared" si="29"/>
        <v/>
      </c>
      <c r="T76" s="39" t="str">
        <f t="shared" si="30"/>
        <v/>
      </c>
      <c r="U76" t="str">
        <f t="shared" si="31"/>
        <v/>
      </c>
      <c r="V76" t="str">
        <f>IF(L76="","",IF($AO$1=1,IFERROR(MATCH(L76,'11-تشرين الثاني'!$L$2:$L$501,0),0),0))</f>
        <v/>
      </c>
      <c r="W76" t="str">
        <f t="shared" si="32"/>
        <v/>
      </c>
      <c r="X76" s="38" t="str">
        <f>IF(L76="","",IF(V76&gt;0,INDEX('11-تشرين الثاني'!$P$2:$P$501,V76),IF($AO$1=1,0,"")))</f>
        <v/>
      </c>
      <c r="Y76" s="38" t="str">
        <f t="shared" si="33"/>
        <v/>
      </c>
      <c r="Z76" s="39" t="str">
        <f>IF(L76="","",IF(V76&gt;0,INDEX('11-تشرين الثاني'!$Q$2:$Q$501,V76),IF($AO$1=1,0,"")))</f>
        <v/>
      </c>
      <c r="AA76" s="39" t="str">
        <f t="shared" si="34"/>
        <v/>
      </c>
      <c r="AB76" s="40" t="str">
        <f>IF(OR(L76="",V76=0),"",IF(AND(N(I76)&gt;0,N(INDEX('11-تشرين الثاني'!$I$2:$I$501,V76))&gt;0,INDEX('11-تشرين الثاني'!$F$2:$F$501,V76)=F76),N(I76)/N(INDEX('11-تشرين الثاني'!$I$2:$I$501,V76))-1,""))</f>
        <v/>
      </c>
      <c r="AC76" t="str">
        <f t="shared" si="35"/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6"/>
        <v/>
      </c>
      <c r="AH76" s="39" t="str">
        <f t="shared" si="37"/>
        <v/>
      </c>
      <c r="AI76" s="39" t="str">
        <f t="shared" si="38"/>
        <v/>
      </c>
      <c r="AJ76" s="39" t="str">
        <f t="shared" si="39"/>
        <v/>
      </c>
      <c r="AK76" t="str">
        <f t="shared" si="40"/>
        <v/>
      </c>
      <c r="AL76" t="str">
        <f t="shared" si="41"/>
        <v/>
      </c>
    </row>
    <row r="77" spans="11:38" ht="15">
      <c r="K77" t="str">
        <f t="shared" si="21"/>
        <v/>
      </c>
      <c r="L77" t="str">
        <f t="shared" si="22"/>
        <v/>
      </c>
      <c r="M77" s="36" t="str">
        <f t="shared" si="23"/>
        <v/>
      </c>
      <c r="N77" s="37" t="str">
        <f t="shared" si="24"/>
        <v/>
      </c>
      <c r="O77" s="37" t="str">
        <f t="shared" si="25"/>
        <v/>
      </c>
      <c r="P77" s="38" t="str">
        <f t="shared" si="26"/>
        <v/>
      </c>
      <c r="Q77" s="39" t="str">
        <f t="shared" si="27"/>
        <v/>
      </c>
      <c r="R77" s="39" t="str">
        <f t="shared" si="28"/>
        <v/>
      </c>
      <c r="S77" t="str">
        <f t="shared" si="29"/>
        <v/>
      </c>
      <c r="T77" s="39" t="str">
        <f t="shared" si="30"/>
        <v/>
      </c>
      <c r="U77" t="str">
        <f t="shared" si="31"/>
        <v/>
      </c>
      <c r="V77" t="str">
        <f>IF(L77="","",IF($AO$1=1,IFERROR(MATCH(L77,'11-تشرين الثاني'!$L$2:$L$501,0),0),0))</f>
        <v/>
      </c>
      <c r="W77" t="str">
        <f t="shared" si="32"/>
        <v/>
      </c>
      <c r="X77" s="38" t="str">
        <f>IF(L77="","",IF(V77&gt;0,INDEX('11-تشرين الثاني'!$P$2:$P$501,V77),IF($AO$1=1,0,"")))</f>
        <v/>
      </c>
      <c r="Y77" s="38" t="str">
        <f t="shared" si="33"/>
        <v/>
      </c>
      <c r="Z77" s="39" t="str">
        <f>IF(L77="","",IF(V77&gt;0,INDEX('11-تشرين الثاني'!$Q$2:$Q$501,V77),IF($AO$1=1,0,"")))</f>
        <v/>
      </c>
      <c r="AA77" s="39" t="str">
        <f t="shared" si="34"/>
        <v/>
      </c>
      <c r="AB77" s="40" t="str">
        <f>IF(OR(L77="",V77=0),"",IF(AND(N(I77)&gt;0,N(INDEX('11-تشرين الثاني'!$I$2:$I$501,V77))&gt;0,INDEX('11-تشرين الثاني'!$F$2:$F$501,V77)=F77),N(I77)/N(INDEX('11-تشرين الثاني'!$I$2:$I$501,V77))-1,""))</f>
        <v/>
      </c>
      <c r="AC77" t="str">
        <f t="shared" si="35"/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6"/>
        <v/>
      </c>
      <c r="AH77" s="39" t="str">
        <f t="shared" si="37"/>
        <v/>
      </c>
      <c r="AI77" s="39" t="str">
        <f t="shared" si="38"/>
        <v/>
      </c>
      <c r="AJ77" s="39" t="str">
        <f t="shared" si="39"/>
        <v/>
      </c>
      <c r="AK77" t="str">
        <f t="shared" si="40"/>
        <v/>
      </c>
      <c r="AL77" t="str">
        <f t="shared" si="41"/>
        <v/>
      </c>
    </row>
    <row r="78" spans="11:38" ht="15">
      <c r="K78" t="str">
        <f t="shared" si="21"/>
        <v/>
      </c>
      <c r="L78" t="str">
        <f t="shared" si="22"/>
        <v/>
      </c>
      <c r="M78" s="36" t="str">
        <f t="shared" si="23"/>
        <v/>
      </c>
      <c r="N78" s="37" t="str">
        <f t="shared" si="24"/>
        <v/>
      </c>
      <c r="O78" s="37" t="str">
        <f t="shared" si="25"/>
        <v/>
      </c>
      <c r="P78" s="38" t="str">
        <f t="shared" si="26"/>
        <v/>
      </c>
      <c r="Q78" s="39" t="str">
        <f t="shared" si="27"/>
        <v/>
      </c>
      <c r="R78" s="39" t="str">
        <f t="shared" si="28"/>
        <v/>
      </c>
      <c r="S78" t="str">
        <f t="shared" si="29"/>
        <v/>
      </c>
      <c r="T78" s="39" t="str">
        <f t="shared" si="30"/>
        <v/>
      </c>
      <c r="U78" t="str">
        <f t="shared" si="31"/>
        <v/>
      </c>
      <c r="V78" t="str">
        <f>IF(L78="","",IF($AO$1=1,IFERROR(MATCH(L78,'11-تشرين الثاني'!$L$2:$L$501,0),0),0))</f>
        <v/>
      </c>
      <c r="W78" t="str">
        <f t="shared" si="32"/>
        <v/>
      </c>
      <c r="X78" s="38" t="str">
        <f>IF(L78="","",IF(V78&gt;0,INDEX('11-تشرين الثاني'!$P$2:$P$501,V78),IF($AO$1=1,0,"")))</f>
        <v/>
      </c>
      <c r="Y78" s="38" t="str">
        <f t="shared" si="33"/>
        <v/>
      </c>
      <c r="Z78" s="39" t="str">
        <f>IF(L78="","",IF(V78&gt;0,INDEX('11-تشرين الثاني'!$Q$2:$Q$501,V78),IF($AO$1=1,0,"")))</f>
        <v/>
      </c>
      <c r="AA78" s="39" t="str">
        <f t="shared" si="34"/>
        <v/>
      </c>
      <c r="AB78" s="40" t="str">
        <f>IF(OR(L78="",V78=0),"",IF(AND(N(I78)&gt;0,N(INDEX('11-تشرين الثاني'!$I$2:$I$501,V78))&gt;0,INDEX('11-تشرين الثاني'!$F$2:$F$501,V78)=F78),N(I78)/N(INDEX('11-تشرين الثاني'!$I$2:$I$501,V78))-1,""))</f>
        <v/>
      </c>
      <c r="AC78" t="str">
        <f t="shared" si="35"/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6"/>
        <v/>
      </c>
      <c r="AH78" s="39" t="str">
        <f t="shared" si="37"/>
        <v/>
      </c>
      <c r="AI78" s="39" t="str">
        <f t="shared" si="38"/>
        <v/>
      </c>
      <c r="AJ78" s="39" t="str">
        <f t="shared" si="39"/>
        <v/>
      </c>
      <c r="AK78" t="str">
        <f t="shared" si="40"/>
        <v/>
      </c>
      <c r="AL78" t="str">
        <f t="shared" si="41"/>
        <v/>
      </c>
    </row>
    <row r="79" spans="11:38" ht="15">
      <c r="K79" t="str">
        <f t="shared" si="21"/>
        <v/>
      </c>
      <c r="L79" t="str">
        <f t="shared" si="22"/>
        <v/>
      </c>
      <c r="M79" s="36" t="str">
        <f t="shared" si="23"/>
        <v/>
      </c>
      <c r="N79" s="37" t="str">
        <f t="shared" si="24"/>
        <v/>
      </c>
      <c r="O79" s="37" t="str">
        <f t="shared" si="25"/>
        <v/>
      </c>
      <c r="P79" s="38" t="str">
        <f t="shared" si="26"/>
        <v/>
      </c>
      <c r="Q79" s="39" t="str">
        <f t="shared" si="27"/>
        <v/>
      </c>
      <c r="R79" s="39" t="str">
        <f t="shared" si="28"/>
        <v/>
      </c>
      <c r="S79" t="str">
        <f t="shared" si="29"/>
        <v/>
      </c>
      <c r="T79" s="39" t="str">
        <f t="shared" si="30"/>
        <v/>
      </c>
      <c r="U79" t="str">
        <f t="shared" si="31"/>
        <v/>
      </c>
      <c r="V79" t="str">
        <f>IF(L79="","",IF($AO$1=1,IFERROR(MATCH(L79,'11-تشرين الثاني'!$L$2:$L$501,0),0),0))</f>
        <v/>
      </c>
      <c r="W79" t="str">
        <f t="shared" si="32"/>
        <v/>
      </c>
      <c r="X79" s="38" t="str">
        <f>IF(L79="","",IF(V79&gt;0,INDEX('11-تشرين الثاني'!$P$2:$P$501,V79),IF($AO$1=1,0,"")))</f>
        <v/>
      </c>
      <c r="Y79" s="38" t="str">
        <f t="shared" si="33"/>
        <v/>
      </c>
      <c r="Z79" s="39" t="str">
        <f>IF(L79="","",IF(V79&gt;0,INDEX('11-تشرين الثاني'!$Q$2:$Q$501,V79),IF($AO$1=1,0,"")))</f>
        <v/>
      </c>
      <c r="AA79" s="39" t="str">
        <f t="shared" si="34"/>
        <v/>
      </c>
      <c r="AB79" s="40" t="str">
        <f>IF(OR(L79="",V79=0),"",IF(AND(N(I79)&gt;0,N(INDEX('11-تشرين الثاني'!$I$2:$I$501,V79))&gt;0,INDEX('11-تشرين الثاني'!$F$2:$F$501,V79)=F79),N(I79)/N(INDEX('11-تشرين الثاني'!$I$2:$I$501,V79))-1,""))</f>
        <v/>
      </c>
      <c r="AC79" t="str">
        <f t="shared" si="35"/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6"/>
        <v/>
      </c>
      <c r="AH79" s="39" t="str">
        <f t="shared" si="37"/>
        <v/>
      </c>
      <c r="AI79" s="39" t="str">
        <f t="shared" si="38"/>
        <v/>
      </c>
      <c r="AJ79" s="39" t="str">
        <f t="shared" si="39"/>
        <v/>
      </c>
      <c r="AK79" t="str">
        <f t="shared" si="40"/>
        <v/>
      </c>
      <c r="AL79" t="str">
        <f t="shared" si="41"/>
        <v/>
      </c>
    </row>
    <row r="80" spans="11:38" ht="15">
      <c r="K80" t="str">
        <f t="shared" si="21"/>
        <v/>
      </c>
      <c r="L80" t="str">
        <f t="shared" si="22"/>
        <v/>
      </c>
      <c r="M80" s="36" t="str">
        <f t="shared" si="23"/>
        <v/>
      </c>
      <c r="N80" s="37" t="str">
        <f t="shared" si="24"/>
        <v/>
      </c>
      <c r="O80" s="37" t="str">
        <f t="shared" si="25"/>
        <v/>
      </c>
      <c r="P80" s="38" t="str">
        <f t="shared" si="26"/>
        <v/>
      </c>
      <c r="Q80" s="39" t="str">
        <f t="shared" si="27"/>
        <v/>
      </c>
      <c r="R80" s="39" t="str">
        <f t="shared" si="28"/>
        <v/>
      </c>
      <c r="S80" t="str">
        <f t="shared" si="29"/>
        <v/>
      </c>
      <c r="T80" s="39" t="str">
        <f t="shared" si="30"/>
        <v/>
      </c>
      <c r="U80" t="str">
        <f t="shared" si="31"/>
        <v/>
      </c>
      <c r="V80" t="str">
        <f>IF(L80="","",IF($AO$1=1,IFERROR(MATCH(L80,'11-تشرين الثاني'!$L$2:$L$501,0),0),0))</f>
        <v/>
      </c>
      <c r="W80" t="str">
        <f t="shared" si="32"/>
        <v/>
      </c>
      <c r="X80" s="38" t="str">
        <f>IF(L80="","",IF(V80&gt;0,INDEX('11-تشرين الثاني'!$P$2:$P$501,V80),IF($AO$1=1,0,"")))</f>
        <v/>
      </c>
      <c r="Y80" s="38" t="str">
        <f t="shared" si="33"/>
        <v/>
      </c>
      <c r="Z80" s="39" t="str">
        <f>IF(L80="","",IF(V80&gt;0,INDEX('11-تشرين الثاني'!$Q$2:$Q$501,V80),IF($AO$1=1,0,"")))</f>
        <v/>
      </c>
      <c r="AA80" s="39" t="str">
        <f t="shared" si="34"/>
        <v/>
      </c>
      <c r="AB80" s="40" t="str">
        <f>IF(OR(L80="",V80=0),"",IF(AND(N(I80)&gt;0,N(INDEX('11-تشرين الثاني'!$I$2:$I$501,V80))&gt;0,INDEX('11-تشرين الثاني'!$F$2:$F$501,V80)=F80),N(I80)/N(INDEX('11-تشرين الثاني'!$I$2:$I$501,V80))-1,""))</f>
        <v/>
      </c>
      <c r="AC80" t="str">
        <f t="shared" si="35"/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6"/>
        <v/>
      </c>
      <c r="AH80" s="39" t="str">
        <f t="shared" si="37"/>
        <v/>
      </c>
      <c r="AI80" s="39" t="str">
        <f t="shared" si="38"/>
        <v/>
      </c>
      <c r="AJ80" s="39" t="str">
        <f t="shared" si="39"/>
        <v/>
      </c>
      <c r="AK80" t="str">
        <f t="shared" si="40"/>
        <v/>
      </c>
      <c r="AL80" t="str">
        <f t="shared" si="41"/>
        <v/>
      </c>
    </row>
    <row r="81" spans="11:38" ht="15">
      <c r="K81" t="str">
        <f t="shared" si="21"/>
        <v/>
      </c>
      <c r="L81" t="str">
        <f t="shared" si="22"/>
        <v/>
      </c>
      <c r="M81" s="36" t="str">
        <f t="shared" si="23"/>
        <v/>
      </c>
      <c r="N81" s="37" t="str">
        <f t="shared" si="24"/>
        <v/>
      </c>
      <c r="O81" s="37" t="str">
        <f t="shared" si="25"/>
        <v/>
      </c>
      <c r="P81" s="38" t="str">
        <f t="shared" si="26"/>
        <v/>
      </c>
      <c r="Q81" s="39" t="str">
        <f t="shared" si="27"/>
        <v/>
      </c>
      <c r="R81" s="39" t="str">
        <f t="shared" si="28"/>
        <v/>
      </c>
      <c r="S81" t="str">
        <f t="shared" si="29"/>
        <v/>
      </c>
      <c r="T81" s="39" t="str">
        <f t="shared" si="30"/>
        <v/>
      </c>
      <c r="U81" t="str">
        <f t="shared" si="31"/>
        <v/>
      </c>
      <c r="V81" t="str">
        <f>IF(L81="","",IF($AO$1=1,IFERROR(MATCH(L81,'11-تشرين الثاني'!$L$2:$L$501,0),0),0))</f>
        <v/>
      </c>
      <c r="W81" t="str">
        <f t="shared" si="32"/>
        <v/>
      </c>
      <c r="X81" s="38" t="str">
        <f>IF(L81="","",IF(V81&gt;0,INDEX('11-تشرين الثاني'!$P$2:$P$501,V81),IF($AO$1=1,0,"")))</f>
        <v/>
      </c>
      <c r="Y81" s="38" t="str">
        <f t="shared" si="33"/>
        <v/>
      </c>
      <c r="Z81" s="39" t="str">
        <f>IF(L81="","",IF(V81&gt;0,INDEX('11-تشرين الثاني'!$Q$2:$Q$501,V81),IF($AO$1=1,0,"")))</f>
        <v/>
      </c>
      <c r="AA81" s="39" t="str">
        <f t="shared" si="34"/>
        <v/>
      </c>
      <c r="AB81" s="40" t="str">
        <f>IF(OR(L81="",V81=0),"",IF(AND(N(I81)&gt;0,N(INDEX('11-تشرين الثاني'!$I$2:$I$501,V81))&gt;0,INDEX('11-تشرين الثاني'!$F$2:$F$501,V81)=F81),N(I81)/N(INDEX('11-تشرين الثاني'!$I$2:$I$501,V81))-1,""))</f>
        <v/>
      </c>
      <c r="AC81" t="str">
        <f t="shared" si="35"/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6"/>
        <v/>
      </c>
      <c r="AH81" s="39" t="str">
        <f t="shared" si="37"/>
        <v/>
      </c>
      <c r="AI81" s="39" t="str">
        <f t="shared" si="38"/>
        <v/>
      </c>
      <c r="AJ81" s="39" t="str">
        <f t="shared" si="39"/>
        <v/>
      </c>
      <c r="AK81" t="str">
        <f t="shared" si="40"/>
        <v/>
      </c>
      <c r="AL81" t="str">
        <f t="shared" si="41"/>
        <v/>
      </c>
    </row>
    <row r="82" spans="11:38" ht="15">
      <c r="K82" t="str">
        <f t="shared" si="21"/>
        <v/>
      </c>
      <c r="L82" t="str">
        <f t="shared" si="22"/>
        <v/>
      </c>
      <c r="M82" s="36" t="str">
        <f t="shared" si="23"/>
        <v/>
      </c>
      <c r="N82" s="37" t="str">
        <f t="shared" si="24"/>
        <v/>
      </c>
      <c r="O82" s="37" t="str">
        <f t="shared" si="25"/>
        <v/>
      </c>
      <c r="P82" s="38" t="str">
        <f t="shared" si="26"/>
        <v/>
      </c>
      <c r="Q82" s="39" t="str">
        <f t="shared" si="27"/>
        <v/>
      </c>
      <c r="R82" s="39" t="str">
        <f t="shared" si="28"/>
        <v/>
      </c>
      <c r="S82" t="str">
        <f t="shared" si="29"/>
        <v/>
      </c>
      <c r="T82" s="39" t="str">
        <f t="shared" si="30"/>
        <v/>
      </c>
      <c r="U82" t="str">
        <f t="shared" si="31"/>
        <v/>
      </c>
      <c r="V82" t="str">
        <f>IF(L82="","",IF($AO$1=1,IFERROR(MATCH(L82,'11-تشرين الثاني'!$L$2:$L$501,0),0),0))</f>
        <v/>
      </c>
      <c r="W82" t="str">
        <f t="shared" si="32"/>
        <v/>
      </c>
      <c r="X82" s="38" t="str">
        <f>IF(L82="","",IF(V82&gt;0,INDEX('11-تشرين الثاني'!$P$2:$P$501,V82),IF($AO$1=1,0,"")))</f>
        <v/>
      </c>
      <c r="Y82" s="38" t="str">
        <f t="shared" si="33"/>
        <v/>
      </c>
      <c r="Z82" s="39" t="str">
        <f>IF(L82="","",IF(V82&gt;0,INDEX('11-تشرين الثاني'!$Q$2:$Q$501,V82),IF($AO$1=1,0,"")))</f>
        <v/>
      </c>
      <c r="AA82" s="39" t="str">
        <f t="shared" si="34"/>
        <v/>
      </c>
      <c r="AB82" s="40" t="str">
        <f>IF(OR(L82="",V82=0),"",IF(AND(N(I82)&gt;0,N(INDEX('11-تشرين الثاني'!$I$2:$I$501,V82))&gt;0,INDEX('11-تشرين الثاني'!$F$2:$F$501,V82)=F82),N(I82)/N(INDEX('11-تشرين الثاني'!$I$2:$I$501,V82))-1,""))</f>
        <v/>
      </c>
      <c r="AC82" t="str">
        <f t="shared" si="35"/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6"/>
        <v/>
      </c>
      <c r="AH82" s="39" t="str">
        <f t="shared" si="37"/>
        <v/>
      </c>
      <c r="AI82" s="39" t="str">
        <f t="shared" si="38"/>
        <v/>
      </c>
      <c r="AJ82" s="39" t="str">
        <f t="shared" si="39"/>
        <v/>
      </c>
      <c r="AK82" t="str">
        <f t="shared" si="40"/>
        <v/>
      </c>
      <c r="AL82" t="str">
        <f t="shared" si="41"/>
        <v/>
      </c>
    </row>
    <row r="83" spans="11:38" ht="15">
      <c r="K83" t="str">
        <f t="shared" si="21"/>
        <v/>
      </c>
      <c r="L83" t="str">
        <f t="shared" si="22"/>
        <v/>
      </c>
      <c r="M83" s="36" t="str">
        <f t="shared" si="23"/>
        <v/>
      </c>
      <c r="N83" s="37" t="str">
        <f t="shared" si="24"/>
        <v/>
      </c>
      <c r="O83" s="37" t="str">
        <f t="shared" si="25"/>
        <v/>
      </c>
      <c r="P83" s="38" t="str">
        <f t="shared" si="26"/>
        <v/>
      </c>
      <c r="Q83" s="39" t="str">
        <f t="shared" si="27"/>
        <v/>
      </c>
      <c r="R83" s="39" t="str">
        <f t="shared" si="28"/>
        <v/>
      </c>
      <c r="S83" t="str">
        <f t="shared" si="29"/>
        <v/>
      </c>
      <c r="T83" s="39" t="str">
        <f t="shared" si="30"/>
        <v/>
      </c>
      <c r="U83" t="str">
        <f t="shared" si="31"/>
        <v/>
      </c>
      <c r="V83" t="str">
        <f>IF(L83="","",IF($AO$1=1,IFERROR(MATCH(L83,'11-تشرين الثاني'!$L$2:$L$501,0),0),0))</f>
        <v/>
      </c>
      <c r="W83" t="str">
        <f t="shared" si="32"/>
        <v/>
      </c>
      <c r="X83" s="38" t="str">
        <f>IF(L83="","",IF(V83&gt;0,INDEX('11-تشرين الثاني'!$P$2:$P$501,V83),IF($AO$1=1,0,"")))</f>
        <v/>
      </c>
      <c r="Y83" s="38" t="str">
        <f t="shared" si="33"/>
        <v/>
      </c>
      <c r="Z83" s="39" t="str">
        <f>IF(L83="","",IF(V83&gt;0,INDEX('11-تشرين الثاني'!$Q$2:$Q$501,V83),IF($AO$1=1,0,"")))</f>
        <v/>
      </c>
      <c r="AA83" s="39" t="str">
        <f t="shared" si="34"/>
        <v/>
      </c>
      <c r="AB83" s="40" t="str">
        <f>IF(OR(L83="",V83=0),"",IF(AND(N(I83)&gt;0,N(INDEX('11-تشرين الثاني'!$I$2:$I$501,V83))&gt;0,INDEX('11-تشرين الثاني'!$F$2:$F$501,V83)=F83),N(I83)/N(INDEX('11-تشرين الثاني'!$I$2:$I$501,V83))-1,""))</f>
        <v/>
      </c>
      <c r="AC83" t="str">
        <f t="shared" si="35"/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6"/>
        <v/>
      </c>
      <c r="AH83" s="39" t="str">
        <f t="shared" si="37"/>
        <v/>
      </c>
      <c r="AI83" s="39" t="str">
        <f t="shared" si="38"/>
        <v/>
      </c>
      <c r="AJ83" s="39" t="str">
        <f t="shared" si="39"/>
        <v/>
      </c>
      <c r="AK83" t="str">
        <f t="shared" si="40"/>
        <v/>
      </c>
      <c r="AL83" t="str">
        <f t="shared" si="41"/>
        <v/>
      </c>
    </row>
    <row r="84" spans="11:38" ht="15">
      <c r="K84" t="str">
        <f t="shared" si="21"/>
        <v/>
      </c>
      <c r="L84" t="str">
        <f t="shared" si="22"/>
        <v/>
      </c>
      <c r="M84" s="36" t="str">
        <f t="shared" si="23"/>
        <v/>
      </c>
      <c r="N84" s="37" t="str">
        <f t="shared" si="24"/>
        <v/>
      </c>
      <c r="O84" s="37" t="str">
        <f t="shared" si="25"/>
        <v/>
      </c>
      <c r="P84" s="38" t="str">
        <f t="shared" si="26"/>
        <v/>
      </c>
      <c r="Q84" s="39" t="str">
        <f t="shared" si="27"/>
        <v/>
      </c>
      <c r="R84" s="39" t="str">
        <f t="shared" si="28"/>
        <v/>
      </c>
      <c r="S84" t="str">
        <f t="shared" si="29"/>
        <v/>
      </c>
      <c r="T84" s="39" t="str">
        <f t="shared" si="30"/>
        <v/>
      </c>
      <c r="U84" t="str">
        <f t="shared" si="31"/>
        <v/>
      </c>
      <c r="V84" t="str">
        <f>IF(L84="","",IF($AO$1=1,IFERROR(MATCH(L84,'11-تشرين الثاني'!$L$2:$L$501,0),0),0))</f>
        <v/>
      </c>
      <c r="W84" t="str">
        <f t="shared" si="32"/>
        <v/>
      </c>
      <c r="X84" s="38" t="str">
        <f>IF(L84="","",IF(V84&gt;0,INDEX('11-تشرين الثاني'!$P$2:$P$501,V84),IF($AO$1=1,0,"")))</f>
        <v/>
      </c>
      <c r="Y84" s="38" t="str">
        <f t="shared" si="33"/>
        <v/>
      </c>
      <c r="Z84" s="39" t="str">
        <f>IF(L84="","",IF(V84&gt;0,INDEX('11-تشرين الثاني'!$Q$2:$Q$501,V84),IF($AO$1=1,0,"")))</f>
        <v/>
      </c>
      <c r="AA84" s="39" t="str">
        <f t="shared" si="34"/>
        <v/>
      </c>
      <c r="AB84" s="40" t="str">
        <f>IF(OR(L84="",V84=0),"",IF(AND(N(I84)&gt;0,N(INDEX('11-تشرين الثاني'!$I$2:$I$501,V84))&gt;0,INDEX('11-تشرين الثاني'!$F$2:$F$501,V84)=F84),N(I84)/N(INDEX('11-تشرين الثاني'!$I$2:$I$501,V84))-1,""))</f>
        <v/>
      </c>
      <c r="AC84" t="str">
        <f t="shared" si="35"/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6"/>
        <v/>
      </c>
      <c r="AH84" s="39" t="str">
        <f t="shared" si="37"/>
        <v/>
      </c>
      <c r="AI84" s="39" t="str">
        <f t="shared" si="38"/>
        <v/>
      </c>
      <c r="AJ84" s="39" t="str">
        <f t="shared" si="39"/>
        <v/>
      </c>
      <c r="AK84" t="str">
        <f t="shared" si="40"/>
        <v/>
      </c>
      <c r="AL84" t="str">
        <f t="shared" si="41"/>
        <v/>
      </c>
    </row>
    <row r="85" spans="11:38" ht="15">
      <c r="K85" t="str">
        <f t="shared" si="21"/>
        <v/>
      </c>
      <c r="L85" t="str">
        <f t="shared" si="22"/>
        <v/>
      </c>
      <c r="M85" s="36" t="str">
        <f t="shared" si="23"/>
        <v/>
      </c>
      <c r="N85" s="37" t="str">
        <f t="shared" si="24"/>
        <v/>
      </c>
      <c r="O85" s="37" t="str">
        <f t="shared" si="25"/>
        <v/>
      </c>
      <c r="P85" s="38" t="str">
        <f t="shared" si="26"/>
        <v/>
      </c>
      <c r="Q85" s="39" t="str">
        <f t="shared" si="27"/>
        <v/>
      </c>
      <c r="R85" s="39" t="str">
        <f t="shared" si="28"/>
        <v/>
      </c>
      <c r="S85" t="str">
        <f t="shared" si="29"/>
        <v/>
      </c>
      <c r="T85" s="39" t="str">
        <f t="shared" si="30"/>
        <v/>
      </c>
      <c r="U85" t="str">
        <f t="shared" si="31"/>
        <v/>
      </c>
      <c r="V85" t="str">
        <f>IF(L85="","",IF($AO$1=1,IFERROR(MATCH(L85,'11-تشرين الثاني'!$L$2:$L$501,0),0),0))</f>
        <v/>
      </c>
      <c r="W85" t="str">
        <f t="shared" si="32"/>
        <v/>
      </c>
      <c r="X85" s="38" t="str">
        <f>IF(L85="","",IF(V85&gt;0,INDEX('11-تشرين الثاني'!$P$2:$P$501,V85),IF($AO$1=1,0,"")))</f>
        <v/>
      </c>
      <c r="Y85" s="38" t="str">
        <f t="shared" si="33"/>
        <v/>
      </c>
      <c r="Z85" s="39" t="str">
        <f>IF(L85="","",IF(V85&gt;0,INDEX('11-تشرين الثاني'!$Q$2:$Q$501,V85),IF($AO$1=1,0,"")))</f>
        <v/>
      </c>
      <c r="AA85" s="39" t="str">
        <f t="shared" si="34"/>
        <v/>
      </c>
      <c r="AB85" s="40" t="str">
        <f>IF(OR(L85="",V85=0),"",IF(AND(N(I85)&gt;0,N(INDEX('11-تشرين الثاني'!$I$2:$I$501,V85))&gt;0,INDEX('11-تشرين الثاني'!$F$2:$F$501,V85)=F85),N(I85)/N(INDEX('11-تشرين الثاني'!$I$2:$I$501,V85))-1,""))</f>
        <v/>
      </c>
      <c r="AC85" t="str">
        <f t="shared" si="35"/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6"/>
        <v/>
      </c>
      <c r="AH85" s="39" t="str">
        <f t="shared" si="37"/>
        <v/>
      </c>
      <c r="AI85" s="39" t="str">
        <f t="shared" si="38"/>
        <v/>
      </c>
      <c r="AJ85" s="39" t="str">
        <f t="shared" si="39"/>
        <v/>
      </c>
      <c r="AK85" t="str">
        <f t="shared" si="40"/>
        <v/>
      </c>
      <c r="AL85" t="str">
        <f t="shared" si="41"/>
        <v/>
      </c>
    </row>
    <row r="86" spans="11:38" ht="15">
      <c r="K86" t="str">
        <f t="shared" si="21"/>
        <v/>
      </c>
      <c r="L86" t="str">
        <f t="shared" si="22"/>
        <v/>
      </c>
      <c r="M86" s="36" t="str">
        <f t="shared" si="23"/>
        <v/>
      </c>
      <c r="N86" s="37" t="str">
        <f t="shared" si="24"/>
        <v/>
      </c>
      <c r="O86" s="37" t="str">
        <f t="shared" si="25"/>
        <v/>
      </c>
      <c r="P86" s="38" t="str">
        <f t="shared" si="26"/>
        <v/>
      </c>
      <c r="Q86" s="39" t="str">
        <f t="shared" si="27"/>
        <v/>
      </c>
      <c r="R86" s="39" t="str">
        <f t="shared" si="28"/>
        <v/>
      </c>
      <c r="S86" t="str">
        <f t="shared" si="29"/>
        <v/>
      </c>
      <c r="T86" s="39" t="str">
        <f t="shared" si="30"/>
        <v/>
      </c>
      <c r="U86" t="str">
        <f t="shared" si="31"/>
        <v/>
      </c>
      <c r="V86" t="str">
        <f>IF(L86="","",IF($AO$1=1,IFERROR(MATCH(L86,'11-تشرين الثاني'!$L$2:$L$501,0),0),0))</f>
        <v/>
      </c>
      <c r="W86" t="str">
        <f t="shared" si="32"/>
        <v/>
      </c>
      <c r="X86" s="38" t="str">
        <f>IF(L86="","",IF(V86&gt;0,INDEX('11-تشرين الثاني'!$P$2:$P$501,V86),IF($AO$1=1,0,"")))</f>
        <v/>
      </c>
      <c r="Y86" s="38" t="str">
        <f t="shared" si="33"/>
        <v/>
      </c>
      <c r="Z86" s="39" t="str">
        <f>IF(L86="","",IF(V86&gt;0,INDEX('11-تشرين الثاني'!$Q$2:$Q$501,V86),IF($AO$1=1,0,"")))</f>
        <v/>
      </c>
      <c r="AA86" s="39" t="str">
        <f t="shared" si="34"/>
        <v/>
      </c>
      <c r="AB86" s="40" t="str">
        <f>IF(OR(L86="",V86=0),"",IF(AND(N(I86)&gt;0,N(INDEX('11-تشرين الثاني'!$I$2:$I$501,V86))&gt;0,INDEX('11-تشرين الثاني'!$F$2:$F$501,V86)=F86),N(I86)/N(INDEX('11-تشرين الثاني'!$I$2:$I$501,V86))-1,""))</f>
        <v/>
      </c>
      <c r="AC86" t="str">
        <f t="shared" si="35"/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6"/>
        <v/>
      </c>
      <c r="AH86" s="39" t="str">
        <f t="shared" si="37"/>
        <v/>
      </c>
      <c r="AI86" s="39" t="str">
        <f t="shared" si="38"/>
        <v/>
      </c>
      <c r="AJ86" s="39" t="str">
        <f t="shared" si="39"/>
        <v/>
      </c>
      <c r="AK86" t="str">
        <f t="shared" si="40"/>
        <v/>
      </c>
      <c r="AL86" t="str">
        <f t="shared" si="41"/>
        <v/>
      </c>
    </row>
    <row r="87" spans="11:38" ht="15">
      <c r="K87" t="str">
        <f t="shared" si="21"/>
        <v/>
      </c>
      <c r="L87" t="str">
        <f t="shared" si="22"/>
        <v/>
      </c>
      <c r="M87" s="36" t="str">
        <f t="shared" si="23"/>
        <v/>
      </c>
      <c r="N87" s="37" t="str">
        <f t="shared" si="24"/>
        <v/>
      </c>
      <c r="O87" s="37" t="str">
        <f t="shared" si="25"/>
        <v/>
      </c>
      <c r="P87" s="38" t="str">
        <f t="shared" si="26"/>
        <v/>
      </c>
      <c r="Q87" s="39" t="str">
        <f t="shared" si="27"/>
        <v/>
      </c>
      <c r="R87" s="39" t="str">
        <f t="shared" si="28"/>
        <v/>
      </c>
      <c r="S87" t="str">
        <f t="shared" si="29"/>
        <v/>
      </c>
      <c r="T87" s="39" t="str">
        <f t="shared" si="30"/>
        <v/>
      </c>
      <c r="U87" t="str">
        <f t="shared" si="31"/>
        <v/>
      </c>
      <c r="V87" t="str">
        <f>IF(L87="","",IF($AO$1=1,IFERROR(MATCH(L87,'11-تشرين الثاني'!$L$2:$L$501,0),0),0))</f>
        <v/>
      </c>
      <c r="W87" t="str">
        <f t="shared" si="32"/>
        <v/>
      </c>
      <c r="X87" s="38" t="str">
        <f>IF(L87="","",IF(V87&gt;0,INDEX('11-تشرين الثاني'!$P$2:$P$501,V87),IF($AO$1=1,0,"")))</f>
        <v/>
      </c>
      <c r="Y87" s="38" t="str">
        <f t="shared" si="33"/>
        <v/>
      </c>
      <c r="Z87" s="39" t="str">
        <f>IF(L87="","",IF(V87&gt;0,INDEX('11-تشرين الثاني'!$Q$2:$Q$501,V87),IF($AO$1=1,0,"")))</f>
        <v/>
      </c>
      <c r="AA87" s="39" t="str">
        <f t="shared" si="34"/>
        <v/>
      </c>
      <c r="AB87" s="40" t="str">
        <f>IF(OR(L87="",V87=0),"",IF(AND(N(I87)&gt;0,N(INDEX('11-تشرين الثاني'!$I$2:$I$501,V87))&gt;0,INDEX('11-تشرين الثاني'!$F$2:$F$501,V87)=F87),N(I87)/N(INDEX('11-تشرين الثاني'!$I$2:$I$501,V87))-1,""))</f>
        <v/>
      </c>
      <c r="AC87" t="str">
        <f t="shared" si="35"/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6"/>
        <v/>
      </c>
      <c r="AH87" s="39" t="str">
        <f t="shared" si="37"/>
        <v/>
      </c>
      <c r="AI87" s="39" t="str">
        <f t="shared" si="38"/>
        <v/>
      </c>
      <c r="AJ87" s="39" t="str">
        <f t="shared" si="39"/>
        <v/>
      </c>
      <c r="AK87" t="str">
        <f t="shared" si="40"/>
        <v/>
      </c>
      <c r="AL87" t="str">
        <f t="shared" si="41"/>
        <v/>
      </c>
    </row>
    <row r="88" spans="11:38" ht="15">
      <c r="K88" t="str">
        <f t="shared" si="21"/>
        <v/>
      </c>
      <c r="L88" t="str">
        <f t="shared" si="22"/>
        <v/>
      </c>
      <c r="M88" s="36" t="str">
        <f t="shared" si="23"/>
        <v/>
      </c>
      <c r="N88" s="37" t="str">
        <f t="shared" si="24"/>
        <v/>
      </c>
      <c r="O88" s="37" t="str">
        <f t="shared" si="25"/>
        <v/>
      </c>
      <c r="P88" s="38" t="str">
        <f t="shared" si="26"/>
        <v/>
      </c>
      <c r="Q88" s="39" t="str">
        <f t="shared" si="27"/>
        <v/>
      </c>
      <c r="R88" s="39" t="str">
        <f t="shared" si="28"/>
        <v/>
      </c>
      <c r="S88" t="str">
        <f t="shared" si="29"/>
        <v/>
      </c>
      <c r="T88" s="39" t="str">
        <f t="shared" si="30"/>
        <v/>
      </c>
      <c r="U88" t="str">
        <f t="shared" si="31"/>
        <v/>
      </c>
      <c r="V88" t="str">
        <f>IF(L88="","",IF($AO$1=1,IFERROR(MATCH(L88,'11-تشرين الثاني'!$L$2:$L$501,0),0),0))</f>
        <v/>
      </c>
      <c r="W88" t="str">
        <f t="shared" si="32"/>
        <v/>
      </c>
      <c r="X88" s="38" t="str">
        <f>IF(L88="","",IF(V88&gt;0,INDEX('11-تشرين الثاني'!$P$2:$P$501,V88),IF($AO$1=1,0,"")))</f>
        <v/>
      </c>
      <c r="Y88" s="38" t="str">
        <f t="shared" si="33"/>
        <v/>
      </c>
      <c r="Z88" s="39" t="str">
        <f>IF(L88="","",IF(V88&gt;0,INDEX('11-تشرين الثاني'!$Q$2:$Q$501,V88),IF($AO$1=1,0,"")))</f>
        <v/>
      </c>
      <c r="AA88" s="39" t="str">
        <f t="shared" si="34"/>
        <v/>
      </c>
      <c r="AB88" s="40" t="str">
        <f>IF(OR(L88="",V88=0),"",IF(AND(N(I88)&gt;0,N(INDEX('11-تشرين الثاني'!$I$2:$I$501,V88))&gt;0,INDEX('11-تشرين الثاني'!$F$2:$F$501,V88)=F88),N(I88)/N(INDEX('11-تشرين الثاني'!$I$2:$I$501,V88))-1,""))</f>
        <v/>
      </c>
      <c r="AC88" t="str">
        <f t="shared" si="35"/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6"/>
        <v/>
      </c>
      <c r="AH88" s="39" t="str">
        <f t="shared" si="37"/>
        <v/>
      </c>
      <c r="AI88" s="39" t="str">
        <f t="shared" si="38"/>
        <v/>
      </c>
      <c r="AJ88" s="39" t="str">
        <f t="shared" si="39"/>
        <v/>
      </c>
      <c r="AK88" t="str">
        <f t="shared" si="40"/>
        <v/>
      </c>
      <c r="AL88" t="str">
        <f t="shared" si="41"/>
        <v/>
      </c>
    </row>
    <row r="89" spans="11:38" ht="15">
      <c r="K89" t="str">
        <f t="shared" si="21"/>
        <v/>
      </c>
      <c r="L89" t="str">
        <f t="shared" si="22"/>
        <v/>
      </c>
      <c r="M89" s="36" t="str">
        <f t="shared" si="23"/>
        <v/>
      </c>
      <c r="N89" s="37" t="str">
        <f t="shared" si="24"/>
        <v/>
      </c>
      <c r="O89" s="37" t="str">
        <f t="shared" si="25"/>
        <v/>
      </c>
      <c r="P89" s="38" t="str">
        <f t="shared" si="26"/>
        <v/>
      </c>
      <c r="Q89" s="39" t="str">
        <f t="shared" si="27"/>
        <v/>
      </c>
      <c r="R89" s="39" t="str">
        <f t="shared" si="28"/>
        <v/>
      </c>
      <c r="S89" t="str">
        <f t="shared" si="29"/>
        <v/>
      </c>
      <c r="T89" s="39" t="str">
        <f t="shared" si="30"/>
        <v/>
      </c>
      <c r="U89" t="str">
        <f t="shared" si="31"/>
        <v/>
      </c>
      <c r="V89" t="str">
        <f>IF(L89="","",IF($AO$1=1,IFERROR(MATCH(L89,'11-تشرين الثاني'!$L$2:$L$501,0),0),0))</f>
        <v/>
      </c>
      <c r="W89" t="str">
        <f t="shared" si="32"/>
        <v/>
      </c>
      <c r="X89" s="38" t="str">
        <f>IF(L89="","",IF(V89&gt;0,INDEX('11-تشرين الثاني'!$P$2:$P$501,V89),IF($AO$1=1,0,"")))</f>
        <v/>
      </c>
      <c r="Y89" s="38" t="str">
        <f t="shared" si="33"/>
        <v/>
      </c>
      <c r="Z89" s="39" t="str">
        <f>IF(L89="","",IF(V89&gt;0,INDEX('11-تشرين الثاني'!$Q$2:$Q$501,V89),IF($AO$1=1,0,"")))</f>
        <v/>
      </c>
      <c r="AA89" s="39" t="str">
        <f t="shared" si="34"/>
        <v/>
      </c>
      <c r="AB89" s="40" t="str">
        <f>IF(OR(L89="",V89=0),"",IF(AND(N(I89)&gt;0,N(INDEX('11-تشرين الثاني'!$I$2:$I$501,V89))&gt;0,INDEX('11-تشرين الثاني'!$F$2:$F$501,V89)=F89),N(I89)/N(INDEX('11-تشرين الثاني'!$I$2:$I$501,V89))-1,""))</f>
        <v/>
      </c>
      <c r="AC89" t="str">
        <f t="shared" si="35"/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6"/>
        <v/>
      </c>
      <c r="AH89" s="39" t="str">
        <f t="shared" si="37"/>
        <v/>
      </c>
      <c r="AI89" s="39" t="str">
        <f t="shared" si="38"/>
        <v/>
      </c>
      <c r="AJ89" s="39" t="str">
        <f t="shared" si="39"/>
        <v/>
      </c>
      <c r="AK89" t="str">
        <f t="shared" si="40"/>
        <v/>
      </c>
      <c r="AL89" t="str">
        <f t="shared" si="41"/>
        <v/>
      </c>
    </row>
    <row r="90" spans="11:38" ht="15">
      <c r="K90" t="str">
        <f t="shared" si="21"/>
        <v/>
      </c>
      <c r="L90" t="str">
        <f t="shared" si="22"/>
        <v/>
      </c>
      <c r="M90" s="36" t="str">
        <f t="shared" si="23"/>
        <v/>
      </c>
      <c r="N90" s="37" t="str">
        <f t="shared" si="24"/>
        <v/>
      </c>
      <c r="O90" s="37" t="str">
        <f t="shared" si="25"/>
        <v/>
      </c>
      <c r="P90" s="38" t="str">
        <f t="shared" si="26"/>
        <v/>
      </c>
      <c r="Q90" s="39" t="str">
        <f t="shared" si="27"/>
        <v/>
      </c>
      <c r="R90" s="39" t="str">
        <f t="shared" si="28"/>
        <v/>
      </c>
      <c r="S90" t="str">
        <f t="shared" si="29"/>
        <v/>
      </c>
      <c r="T90" s="39" t="str">
        <f t="shared" si="30"/>
        <v/>
      </c>
      <c r="U90" t="str">
        <f t="shared" si="31"/>
        <v/>
      </c>
      <c r="V90" t="str">
        <f>IF(L90="","",IF($AO$1=1,IFERROR(MATCH(L90,'11-تشرين الثاني'!$L$2:$L$501,0),0),0))</f>
        <v/>
      </c>
      <c r="W90" t="str">
        <f t="shared" si="32"/>
        <v/>
      </c>
      <c r="X90" s="38" t="str">
        <f>IF(L90="","",IF(V90&gt;0,INDEX('11-تشرين الثاني'!$P$2:$P$501,V90),IF($AO$1=1,0,"")))</f>
        <v/>
      </c>
      <c r="Y90" s="38" t="str">
        <f t="shared" si="33"/>
        <v/>
      </c>
      <c r="Z90" s="39" t="str">
        <f>IF(L90="","",IF(V90&gt;0,INDEX('11-تشرين الثاني'!$Q$2:$Q$501,V90),IF($AO$1=1,0,"")))</f>
        <v/>
      </c>
      <c r="AA90" s="39" t="str">
        <f t="shared" si="34"/>
        <v/>
      </c>
      <c r="AB90" s="40" t="str">
        <f>IF(OR(L90="",V90=0),"",IF(AND(N(I90)&gt;0,N(INDEX('11-تشرين الثاني'!$I$2:$I$501,V90))&gt;0,INDEX('11-تشرين الثاني'!$F$2:$F$501,V90)=F90),N(I90)/N(INDEX('11-تشرين الثاني'!$I$2:$I$501,V90))-1,""))</f>
        <v/>
      </c>
      <c r="AC90" t="str">
        <f t="shared" si="35"/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6"/>
        <v/>
      </c>
      <c r="AH90" s="39" t="str">
        <f t="shared" si="37"/>
        <v/>
      </c>
      <c r="AI90" s="39" t="str">
        <f t="shared" si="38"/>
        <v/>
      </c>
      <c r="AJ90" s="39" t="str">
        <f t="shared" si="39"/>
        <v/>
      </c>
      <c r="AK90" t="str">
        <f t="shared" si="40"/>
        <v/>
      </c>
      <c r="AL90" t="str">
        <f t="shared" si="41"/>
        <v/>
      </c>
    </row>
    <row r="91" spans="11:38" ht="15">
      <c r="K91" t="str">
        <f t="shared" si="21"/>
        <v/>
      </c>
      <c r="L91" t="str">
        <f t="shared" si="22"/>
        <v/>
      </c>
      <c r="M91" s="36" t="str">
        <f t="shared" si="23"/>
        <v/>
      </c>
      <c r="N91" s="37" t="str">
        <f t="shared" si="24"/>
        <v/>
      </c>
      <c r="O91" s="37" t="str">
        <f t="shared" si="25"/>
        <v/>
      </c>
      <c r="P91" s="38" t="str">
        <f t="shared" si="26"/>
        <v/>
      </c>
      <c r="Q91" s="39" t="str">
        <f t="shared" si="27"/>
        <v/>
      </c>
      <c r="R91" s="39" t="str">
        <f t="shared" si="28"/>
        <v/>
      </c>
      <c r="S91" t="str">
        <f t="shared" si="29"/>
        <v/>
      </c>
      <c r="T91" s="39" t="str">
        <f t="shared" si="30"/>
        <v/>
      </c>
      <c r="U91" t="str">
        <f t="shared" si="31"/>
        <v/>
      </c>
      <c r="V91" t="str">
        <f>IF(L91="","",IF($AO$1=1,IFERROR(MATCH(L91,'11-تشرين الثاني'!$L$2:$L$501,0),0),0))</f>
        <v/>
      </c>
      <c r="W91" t="str">
        <f t="shared" si="32"/>
        <v/>
      </c>
      <c r="X91" s="38" t="str">
        <f>IF(L91="","",IF(V91&gt;0,INDEX('11-تشرين الثاني'!$P$2:$P$501,V91),IF($AO$1=1,0,"")))</f>
        <v/>
      </c>
      <c r="Y91" s="38" t="str">
        <f t="shared" si="33"/>
        <v/>
      </c>
      <c r="Z91" s="39" t="str">
        <f>IF(L91="","",IF(V91&gt;0,INDEX('11-تشرين الثاني'!$Q$2:$Q$501,V91),IF($AO$1=1,0,"")))</f>
        <v/>
      </c>
      <c r="AA91" s="39" t="str">
        <f t="shared" si="34"/>
        <v/>
      </c>
      <c r="AB91" s="40" t="str">
        <f>IF(OR(L91="",V91=0),"",IF(AND(N(I91)&gt;0,N(INDEX('11-تشرين الثاني'!$I$2:$I$501,V91))&gt;0,INDEX('11-تشرين الثاني'!$F$2:$F$501,V91)=F91),N(I91)/N(INDEX('11-تشرين الثاني'!$I$2:$I$501,V91))-1,""))</f>
        <v/>
      </c>
      <c r="AC91" t="str">
        <f t="shared" si="35"/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6"/>
        <v/>
      </c>
      <c r="AH91" s="39" t="str">
        <f t="shared" si="37"/>
        <v/>
      </c>
      <c r="AI91" s="39" t="str">
        <f t="shared" si="38"/>
        <v/>
      </c>
      <c r="AJ91" s="39" t="str">
        <f t="shared" si="39"/>
        <v/>
      </c>
      <c r="AK91" t="str">
        <f t="shared" si="40"/>
        <v/>
      </c>
      <c r="AL91" t="str">
        <f t="shared" si="41"/>
        <v/>
      </c>
    </row>
    <row r="92" spans="11:38" ht="15">
      <c r="K92" t="str">
        <f t="shared" si="21"/>
        <v/>
      </c>
      <c r="L92" t="str">
        <f t="shared" si="22"/>
        <v/>
      </c>
      <c r="M92" s="36" t="str">
        <f t="shared" si="23"/>
        <v/>
      </c>
      <c r="N92" s="37" t="str">
        <f t="shared" si="24"/>
        <v/>
      </c>
      <c r="O92" s="37" t="str">
        <f t="shared" si="25"/>
        <v/>
      </c>
      <c r="P92" s="38" t="str">
        <f t="shared" si="26"/>
        <v/>
      </c>
      <c r="Q92" s="39" t="str">
        <f t="shared" si="27"/>
        <v/>
      </c>
      <c r="R92" s="39" t="str">
        <f t="shared" si="28"/>
        <v/>
      </c>
      <c r="S92" t="str">
        <f t="shared" si="29"/>
        <v/>
      </c>
      <c r="T92" s="39" t="str">
        <f t="shared" si="30"/>
        <v/>
      </c>
      <c r="U92" t="str">
        <f t="shared" si="31"/>
        <v/>
      </c>
      <c r="V92" t="str">
        <f>IF(L92="","",IF($AO$1=1,IFERROR(MATCH(L92,'11-تشرين الثاني'!$L$2:$L$501,0),0),0))</f>
        <v/>
      </c>
      <c r="W92" t="str">
        <f t="shared" si="32"/>
        <v/>
      </c>
      <c r="X92" s="38" t="str">
        <f>IF(L92="","",IF(V92&gt;0,INDEX('11-تشرين الثاني'!$P$2:$P$501,V92),IF($AO$1=1,0,"")))</f>
        <v/>
      </c>
      <c r="Y92" s="38" t="str">
        <f t="shared" si="33"/>
        <v/>
      </c>
      <c r="Z92" s="39" t="str">
        <f>IF(L92="","",IF(V92&gt;0,INDEX('11-تشرين الثاني'!$Q$2:$Q$501,V92),IF($AO$1=1,0,"")))</f>
        <v/>
      </c>
      <c r="AA92" s="39" t="str">
        <f t="shared" si="34"/>
        <v/>
      </c>
      <c r="AB92" s="40" t="str">
        <f>IF(OR(L92="",V92=0),"",IF(AND(N(I92)&gt;0,N(INDEX('11-تشرين الثاني'!$I$2:$I$501,V92))&gt;0,INDEX('11-تشرين الثاني'!$F$2:$F$501,V92)=F92),N(I92)/N(INDEX('11-تشرين الثاني'!$I$2:$I$501,V92))-1,""))</f>
        <v/>
      </c>
      <c r="AC92" t="str">
        <f t="shared" si="35"/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6"/>
        <v/>
      </c>
      <c r="AH92" s="39" t="str">
        <f t="shared" si="37"/>
        <v/>
      </c>
      <c r="AI92" s="39" t="str">
        <f t="shared" si="38"/>
        <v/>
      </c>
      <c r="AJ92" s="39" t="str">
        <f t="shared" si="39"/>
        <v/>
      </c>
      <c r="AK92" t="str">
        <f t="shared" si="40"/>
        <v/>
      </c>
      <c r="AL92" t="str">
        <f t="shared" si="41"/>
        <v/>
      </c>
    </row>
    <row r="93" spans="11:38" ht="15">
      <c r="K93" t="str">
        <f t="shared" si="21"/>
        <v/>
      </c>
      <c r="L93" t="str">
        <f t="shared" si="22"/>
        <v/>
      </c>
      <c r="M93" s="36" t="str">
        <f t="shared" si="23"/>
        <v/>
      </c>
      <c r="N93" s="37" t="str">
        <f t="shared" si="24"/>
        <v/>
      </c>
      <c r="O93" s="37" t="str">
        <f t="shared" si="25"/>
        <v/>
      </c>
      <c r="P93" s="38" t="str">
        <f t="shared" si="26"/>
        <v/>
      </c>
      <c r="Q93" s="39" t="str">
        <f t="shared" si="27"/>
        <v/>
      </c>
      <c r="R93" s="39" t="str">
        <f t="shared" si="28"/>
        <v/>
      </c>
      <c r="S93" t="str">
        <f t="shared" si="29"/>
        <v/>
      </c>
      <c r="T93" s="39" t="str">
        <f t="shared" si="30"/>
        <v/>
      </c>
      <c r="U93" t="str">
        <f t="shared" si="31"/>
        <v/>
      </c>
      <c r="V93" t="str">
        <f>IF(L93="","",IF($AO$1=1,IFERROR(MATCH(L93,'11-تشرين الثاني'!$L$2:$L$501,0),0),0))</f>
        <v/>
      </c>
      <c r="W93" t="str">
        <f t="shared" si="32"/>
        <v/>
      </c>
      <c r="X93" s="38" t="str">
        <f>IF(L93="","",IF(V93&gt;0,INDEX('11-تشرين الثاني'!$P$2:$P$501,V93),IF($AO$1=1,0,"")))</f>
        <v/>
      </c>
      <c r="Y93" s="38" t="str">
        <f t="shared" si="33"/>
        <v/>
      </c>
      <c r="Z93" s="39" t="str">
        <f>IF(L93="","",IF(V93&gt;0,INDEX('11-تشرين الثاني'!$Q$2:$Q$501,V93),IF($AO$1=1,0,"")))</f>
        <v/>
      </c>
      <c r="AA93" s="39" t="str">
        <f t="shared" si="34"/>
        <v/>
      </c>
      <c r="AB93" s="40" t="str">
        <f>IF(OR(L93="",V93=0),"",IF(AND(N(I93)&gt;0,N(INDEX('11-تشرين الثاني'!$I$2:$I$501,V93))&gt;0,INDEX('11-تشرين الثاني'!$F$2:$F$501,V93)=F93),N(I93)/N(INDEX('11-تشرين الثاني'!$I$2:$I$501,V93))-1,""))</f>
        <v/>
      </c>
      <c r="AC93" t="str">
        <f t="shared" si="35"/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6"/>
        <v/>
      </c>
      <c r="AH93" s="39" t="str">
        <f t="shared" si="37"/>
        <v/>
      </c>
      <c r="AI93" s="39" t="str">
        <f t="shared" si="38"/>
        <v/>
      </c>
      <c r="AJ93" s="39" t="str">
        <f t="shared" si="39"/>
        <v/>
      </c>
      <c r="AK93" t="str">
        <f t="shared" si="40"/>
        <v/>
      </c>
      <c r="AL93" t="str">
        <f t="shared" si="41"/>
        <v/>
      </c>
    </row>
    <row r="94" spans="11:38" ht="15">
      <c r="K94" t="str">
        <f t="shared" si="21"/>
        <v/>
      </c>
      <c r="L94" t="str">
        <f t="shared" si="22"/>
        <v/>
      </c>
      <c r="M94" s="36" t="str">
        <f t="shared" si="23"/>
        <v/>
      </c>
      <c r="N94" s="37" t="str">
        <f t="shared" si="24"/>
        <v/>
      </c>
      <c r="O94" s="37" t="str">
        <f t="shared" si="25"/>
        <v/>
      </c>
      <c r="P94" s="38" t="str">
        <f t="shared" si="26"/>
        <v/>
      </c>
      <c r="Q94" s="39" t="str">
        <f t="shared" si="27"/>
        <v/>
      </c>
      <c r="R94" s="39" t="str">
        <f t="shared" si="28"/>
        <v/>
      </c>
      <c r="S94" t="str">
        <f t="shared" si="29"/>
        <v/>
      </c>
      <c r="T94" s="39" t="str">
        <f t="shared" si="30"/>
        <v/>
      </c>
      <c r="U94" t="str">
        <f t="shared" si="31"/>
        <v/>
      </c>
      <c r="V94" t="str">
        <f>IF(L94="","",IF($AO$1=1,IFERROR(MATCH(L94,'11-تشرين الثاني'!$L$2:$L$501,0),0),0))</f>
        <v/>
      </c>
      <c r="W94" t="str">
        <f t="shared" si="32"/>
        <v/>
      </c>
      <c r="X94" s="38" t="str">
        <f>IF(L94="","",IF(V94&gt;0,INDEX('11-تشرين الثاني'!$P$2:$P$501,V94),IF($AO$1=1,0,"")))</f>
        <v/>
      </c>
      <c r="Y94" s="38" t="str">
        <f t="shared" si="33"/>
        <v/>
      </c>
      <c r="Z94" s="39" t="str">
        <f>IF(L94="","",IF(V94&gt;0,INDEX('11-تشرين الثاني'!$Q$2:$Q$501,V94),IF($AO$1=1,0,"")))</f>
        <v/>
      </c>
      <c r="AA94" s="39" t="str">
        <f t="shared" si="34"/>
        <v/>
      </c>
      <c r="AB94" s="40" t="str">
        <f>IF(OR(L94="",V94=0),"",IF(AND(N(I94)&gt;0,N(INDEX('11-تشرين الثاني'!$I$2:$I$501,V94))&gt;0,INDEX('11-تشرين الثاني'!$F$2:$F$501,V94)=F94),N(I94)/N(INDEX('11-تشرين الثاني'!$I$2:$I$501,V94))-1,""))</f>
        <v/>
      </c>
      <c r="AC94" t="str">
        <f t="shared" si="35"/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6"/>
        <v/>
      </c>
      <c r="AH94" s="39" t="str">
        <f t="shared" si="37"/>
        <v/>
      </c>
      <c r="AI94" s="39" t="str">
        <f t="shared" si="38"/>
        <v/>
      </c>
      <c r="AJ94" s="39" t="str">
        <f t="shared" si="39"/>
        <v/>
      </c>
      <c r="AK94" t="str">
        <f t="shared" si="40"/>
        <v/>
      </c>
      <c r="AL94" t="str">
        <f t="shared" si="41"/>
        <v/>
      </c>
    </row>
    <row r="95" spans="11:38" ht="15">
      <c r="K95" t="str">
        <f t="shared" si="21"/>
        <v/>
      </c>
      <c r="L95" t="str">
        <f t="shared" si="22"/>
        <v/>
      </c>
      <c r="M95" s="36" t="str">
        <f t="shared" si="23"/>
        <v/>
      </c>
      <c r="N95" s="37" t="str">
        <f t="shared" si="24"/>
        <v/>
      </c>
      <c r="O95" s="37" t="str">
        <f t="shared" si="25"/>
        <v/>
      </c>
      <c r="P95" s="38" t="str">
        <f t="shared" si="26"/>
        <v/>
      </c>
      <c r="Q95" s="39" t="str">
        <f t="shared" si="27"/>
        <v/>
      </c>
      <c r="R95" s="39" t="str">
        <f t="shared" si="28"/>
        <v/>
      </c>
      <c r="S95" t="str">
        <f t="shared" si="29"/>
        <v/>
      </c>
      <c r="T95" s="39" t="str">
        <f t="shared" si="30"/>
        <v/>
      </c>
      <c r="U95" t="str">
        <f t="shared" si="31"/>
        <v/>
      </c>
      <c r="V95" t="str">
        <f>IF(L95="","",IF($AO$1=1,IFERROR(MATCH(L95,'11-تشرين الثاني'!$L$2:$L$501,0),0),0))</f>
        <v/>
      </c>
      <c r="W95" t="str">
        <f t="shared" si="32"/>
        <v/>
      </c>
      <c r="X95" s="38" t="str">
        <f>IF(L95="","",IF(V95&gt;0,INDEX('11-تشرين الثاني'!$P$2:$P$501,V95),IF($AO$1=1,0,"")))</f>
        <v/>
      </c>
      <c r="Y95" s="38" t="str">
        <f t="shared" si="33"/>
        <v/>
      </c>
      <c r="Z95" s="39" t="str">
        <f>IF(L95="","",IF(V95&gt;0,INDEX('11-تشرين الثاني'!$Q$2:$Q$501,V95),IF($AO$1=1,0,"")))</f>
        <v/>
      </c>
      <c r="AA95" s="39" t="str">
        <f t="shared" si="34"/>
        <v/>
      </c>
      <c r="AB95" s="40" t="str">
        <f>IF(OR(L95="",V95=0),"",IF(AND(N(I95)&gt;0,N(INDEX('11-تشرين الثاني'!$I$2:$I$501,V95))&gt;0,INDEX('11-تشرين الثاني'!$F$2:$F$501,V95)=F95),N(I95)/N(INDEX('11-تشرين الثاني'!$I$2:$I$501,V95))-1,""))</f>
        <v/>
      </c>
      <c r="AC95" t="str">
        <f t="shared" si="35"/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6"/>
        <v/>
      </c>
      <c r="AH95" s="39" t="str">
        <f t="shared" si="37"/>
        <v/>
      </c>
      <c r="AI95" s="39" t="str">
        <f t="shared" si="38"/>
        <v/>
      </c>
      <c r="AJ95" s="39" t="str">
        <f t="shared" si="39"/>
        <v/>
      </c>
      <c r="AK95" t="str">
        <f t="shared" si="40"/>
        <v/>
      </c>
      <c r="AL95" t="str">
        <f t="shared" si="41"/>
        <v/>
      </c>
    </row>
    <row r="96" spans="11:38" ht="15">
      <c r="K96" t="str">
        <f t="shared" si="21"/>
        <v/>
      </c>
      <c r="L96" t="str">
        <f t="shared" si="22"/>
        <v/>
      </c>
      <c r="M96" s="36" t="str">
        <f t="shared" si="23"/>
        <v/>
      </c>
      <c r="N96" s="37" t="str">
        <f t="shared" si="24"/>
        <v/>
      </c>
      <c r="O96" s="37" t="str">
        <f t="shared" si="25"/>
        <v/>
      </c>
      <c r="P96" s="38" t="str">
        <f t="shared" si="26"/>
        <v/>
      </c>
      <c r="Q96" s="39" t="str">
        <f t="shared" si="27"/>
        <v/>
      </c>
      <c r="R96" s="39" t="str">
        <f t="shared" si="28"/>
        <v/>
      </c>
      <c r="S96" t="str">
        <f t="shared" si="29"/>
        <v/>
      </c>
      <c r="T96" s="39" t="str">
        <f t="shared" si="30"/>
        <v/>
      </c>
      <c r="U96" t="str">
        <f t="shared" si="31"/>
        <v/>
      </c>
      <c r="V96" t="str">
        <f>IF(L96="","",IF($AO$1=1,IFERROR(MATCH(L96,'11-تشرين الثاني'!$L$2:$L$501,0),0),0))</f>
        <v/>
      </c>
      <c r="W96" t="str">
        <f t="shared" si="32"/>
        <v/>
      </c>
      <c r="X96" s="38" t="str">
        <f>IF(L96="","",IF(V96&gt;0,INDEX('11-تشرين الثاني'!$P$2:$P$501,V96),IF($AO$1=1,0,"")))</f>
        <v/>
      </c>
      <c r="Y96" s="38" t="str">
        <f t="shared" si="33"/>
        <v/>
      </c>
      <c r="Z96" s="39" t="str">
        <f>IF(L96="","",IF(V96&gt;0,INDEX('11-تشرين الثاني'!$Q$2:$Q$501,V96),IF($AO$1=1,0,"")))</f>
        <v/>
      </c>
      <c r="AA96" s="39" t="str">
        <f t="shared" si="34"/>
        <v/>
      </c>
      <c r="AB96" s="40" t="str">
        <f>IF(OR(L96="",V96=0),"",IF(AND(N(I96)&gt;0,N(INDEX('11-تشرين الثاني'!$I$2:$I$501,V96))&gt;0,INDEX('11-تشرين الثاني'!$F$2:$F$501,V96)=F96),N(I96)/N(INDEX('11-تشرين الثاني'!$I$2:$I$501,V96))-1,""))</f>
        <v/>
      </c>
      <c r="AC96" t="str">
        <f t="shared" si="35"/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6"/>
        <v/>
      </c>
      <c r="AH96" s="39" t="str">
        <f t="shared" si="37"/>
        <v/>
      </c>
      <c r="AI96" s="39" t="str">
        <f t="shared" si="38"/>
        <v/>
      </c>
      <c r="AJ96" s="39" t="str">
        <f t="shared" si="39"/>
        <v/>
      </c>
      <c r="AK96" t="str">
        <f t="shared" si="40"/>
        <v/>
      </c>
      <c r="AL96" t="str">
        <f t="shared" si="41"/>
        <v/>
      </c>
    </row>
    <row r="97" spans="11:38" ht="15">
      <c r="K97" t="str">
        <f t="shared" si="21"/>
        <v/>
      </c>
      <c r="L97" t="str">
        <f t="shared" si="22"/>
        <v/>
      </c>
      <c r="M97" s="36" t="str">
        <f t="shared" si="23"/>
        <v/>
      </c>
      <c r="N97" s="37" t="str">
        <f t="shared" si="24"/>
        <v/>
      </c>
      <c r="O97" s="37" t="str">
        <f t="shared" si="25"/>
        <v/>
      </c>
      <c r="P97" s="38" t="str">
        <f t="shared" si="26"/>
        <v/>
      </c>
      <c r="Q97" s="39" t="str">
        <f t="shared" si="27"/>
        <v/>
      </c>
      <c r="R97" s="39" t="str">
        <f t="shared" si="28"/>
        <v/>
      </c>
      <c r="S97" t="str">
        <f t="shared" si="29"/>
        <v/>
      </c>
      <c r="T97" s="39" t="str">
        <f t="shared" si="30"/>
        <v/>
      </c>
      <c r="U97" t="str">
        <f t="shared" si="31"/>
        <v/>
      </c>
      <c r="V97" t="str">
        <f>IF(L97="","",IF($AO$1=1,IFERROR(MATCH(L97,'11-تشرين الثاني'!$L$2:$L$501,0),0),0))</f>
        <v/>
      </c>
      <c r="W97" t="str">
        <f t="shared" si="32"/>
        <v/>
      </c>
      <c r="X97" s="38" t="str">
        <f>IF(L97="","",IF(V97&gt;0,INDEX('11-تشرين الثاني'!$P$2:$P$501,V97),IF($AO$1=1,0,"")))</f>
        <v/>
      </c>
      <c r="Y97" s="38" t="str">
        <f t="shared" si="33"/>
        <v/>
      </c>
      <c r="Z97" s="39" t="str">
        <f>IF(L97="","",IF(V97&gt;0,INDEX('11-تشرين الثاني'!$Q$2:$Q$501,V97),IF($AO$1=1,0,"")))</f>
        <v/>
      </c>
      <c r="AA97" s="39" t="str">
        <f t="shared" si="34"/>
        <v/>
      </c>
      <c r="AB97" s="40" t="str">
        <f>IF(OR(L97="",V97=0),"",IF(AND(N(I97)&gt;0,N(INDEX('11-تشرين الثاني'!$I$2:$I$501,V97))&gt;0,INDEX('11-تشرين الثاني'!$F$2:$F$501,V97)=F97),N(I97)/N(INDEX('11-تشرين الثاني'!$I$2:$I$501,V97))-1,""))</f>
        <v/>
      </c>
      <c r="AC97" t="str">
        <f t="shared" si="35"/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6"/>
        <v/>
      </c>
      <c r="AH97" s="39" t="str">
        <f t="shared" si="37"/>
        <v/>
      </c>
      <c r="AI97" s="39" t="str">
        <f t="shared" si="38"/>
        <v/>
      </c>
      <c r="AJ97" s="39" t="str">
        <f t="shared" si="39"/>
        <v/>
      </c>
      <c r="AK97" t="str">
        <f t="shared" si="40"/>
        <v/>
      </c>
      <c r="AL97" t="str">
        <f t="shared" si="41"/>
        <v/>
      </c>
    </row>
    <row r="98" spans="11:38" ht="15">
      <c r="K98" t="str">
        <f t="shared" si="21"/>
        <v/>
      </c>
      <c r="L98" t="str">
        <f t="shared" si="22"/>
        <v/>
      </c>
      <c r="M98" s="36" t="str">
        <f t="shared" si="23"/>
        <v/>
      </c>
      <c r="N98" s="37" t="str">
        <f t="shared" si="24"/>
        <v/>
      </c>
      <c r="O98" s="37" t="str">
        <f t="shared" si="25"/>
        <v/>
      </c>
      <c r="P98" s="38" t="str">
        <f t="shared" si="26"/>
        <v/>
      </c>
      <c r="Q98" s="39" t="str">
        <f t="shared" si="27"/>
        <v/>
      </c>
      <c r="R98" s="39" t="str">
        <f t="shared" si="28"/>
        <v/>
      </c>
      <c r="S98" t="str">
        <f t="shared" si="29"/>
        <v/>
      </c>
      <c r="T98" s="39" t="str">
        <f t="shared" si="30"/>
        <v/>
      </c>
      <c r="U98" t="str">
        <f t="shared" si="31"/>
        <v/>
      </c>
      <c r="V98" t="str">
        <f>IF(L98="","",IF($AO$1=1,IFERROR(MATCH(L98,'11-تشرين الثاني'!$L$2:$L$501,0),0),0))</f>
        <v/>
      </c>
      <c r="W98" t="str">
        <f t="shared" si="32"/>
        <v/>
      </c>
      <c r="X98" s="38" t="str">
        <f>IF(L98="","",IF(V98&gt;0,INDEX('11-تشرين الثاني'!$P$2:$P$501,V98),IF($AO$1=1,0,"")))</f>
        <v/>
      </c>
      <c r="Y98" s="38" t="str">
        <f t="shared" si="33"/>
        <v/>
      </c>
      <c r="Z98" s="39" t="str">
        <f>IF(L98="","",IF(V98&gt;0,INDEX('11-تشرين الثاني'!$Q$2:$Q$501,V98),IF($AO$1=1,0,"")))</f>
        <v/>
      </c>
      <c r="AA98" s="39" t="str">
        <f t="shared" si="34"/>
        <v/>
      </c>
      <c r="AB98" s="40" t="str">
        <f>IF(OR(L98="",V98=0),"",IF(AND(N(I98)&gt;0,N(INDEX('11-تشرين الثاني'!$I$2:$I$501,V98))&gt;0,INDEX('11-تشرين الثاني'!$F$2:$F$501,V98)=F98),N(I98)/N(INDEX('11-تشرين الثاني'!$I$2:$I$501,V98))-1,""))</f>
        <v/>
      </c>
      <c r="AC98" t="str">
        <f t="shared" si="35"/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6"/>
        <v/>
      </c>
      <c r="AH98" s="39" t="str">
        <f t="shared" si="37"/>
        <v/>
      </c>
      <c r="AI98" s="39" t="str">
        <f t="shared" si="38"/>
        <v/>
      </c>
      <c r="AJ98" s="39" t="str">
        <f t="shared" si="39"/>
        <v/>
      </c>
      <c r="AK98" t="str">
        <f t="shared" si="40"/>
        <v/>
      </c>
      <c r="AL98" t="str">
        <f t="shared" si="41"/>
        <v/>
      </c>
    </row>
    <row r="99" spans="11:38" ht="15">
      <c r="K99" t="str">
        <f t="shared" si="21"/>
        <v/>
      </c>
      <c r="L99" t="str">
        <f t="shared" si="22"/>
        <v/>
      </c>
      <c r="M99" s="36" t="str">
        <f t="shared" si="23"/>
        <v/>
      </c>
      <c r="N99" s="37" t="str">
        <f t="shared" si="24"/>
        <v/>
      </c>
      <c r="O99" s="37" t="str">
        <f t="shared" si="25"/>
        <v/>
      </c>
      <c r="P99" s="38" t="str">
        <f t="shared" si="26"/>
        <v/>
      </c>
      <c r="Q99" s="39" t="str">
        <f t="shared" si="27"/>
        <v/>
      </c>
      <c r="R99" s="39" t="str">
        <f t="shared" si="28"/>
        <v/>
      </c>
      <c r="S99" t="str">
        <f t="shared" si="29"/>
        <v/>
      </c>
      <c r="T99" s="39" t="str">
        <f t="shared" si="30"/>
        <v/>
      </c>
      <c r="U99" t="str">
        <f t="shared" si="31"/>
        <v/>
      </c>
      <c r="V99" t="str">
        <f>IF(L99="","",IF($AO$1=1,IFERROR(MATCH(L99,'11-تشرين الثاني'!$L$2:$L$501,0),0),0))</f>
        <v/>
      </c>
      <c r="W99" t="str">
        <f t="shared" si="32"/>
        <v/>
      </c>
      <c r="X99" s="38" t="str">
        <f>IF(L99="","",IF(V99&gt;0,INDEX('11-تشرين الثاني'!$P$2:$P$501,V99),IF($AO$1=1,0,"")))</f>
        <v/>
      </c>
      <c r="Y99" s="38" t="str">
        <f t="shared" si="33"/>
        <v/>
      </c>
      <c r="Z99" s="39" t="str">
        <f>IF(L99="","",IF(V99&gt;0,INDEX('11-تشرين الثاني'!$Q$2:$Q$501,V99),IF($AO$1=1,0,"")))</f>
        <v/>
      </c>
      <c r="AA99" s="39" t="str">
        <f t="shared" si="34"/>
        <v/>
      </c>
      <c r="AB99" s="40" t="str">
        <f>IF(OR(L99="",V99=0),"",IF(AND(N(I99)&gt;0,N(INDEX('11-تشرين الثاني'!$I$2:$I$501,V99))&gt;0,INDEX('11-تشرين الثاني'!$F$2:$F$501,V99)=F99),N(I99)/N(INDEX('11-تشرين الثاني'!$I$2:$I$501,V99))-1,""))</f>
        <v/>
      </c>
      <c r="AC99" t="str">
        <f t="shared" si="35"/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6"/>
        <v/>
      </c>
      <c r="AH99" s="39" t="str">
        <f t="shared" si="37"/>
        <v/>
      </c>
      <c r="AI99" s="39" t="str">
        <f t="shared" si="38"/>
        <v/>
      </c>
      <c r="AJ99" s="39" t="str">
        <f t="shared" si="39"/>
        <v/>
      </c>
      <c r="AK99" t="str">
        <f t="shared" si="40"/>
        <v/>
      </c>
      <c r="AL99" t="str">
        <f t="shared" si="41"/>
        <v/>
      </c>
    </row>
    <row r="100" spans="11:38" ht="15">
      <c r="K100" t="str">
        <f t="shared" si="21"/>
        <v/>
      </c>
      <c r="L100" t="str">
        <f t="shared" si="22"/>
        <v/>
      </c>
      <c r="M100" s="36" t="str">
        <f t="shared" si="23"/>
        <v/>
      </c>
      <c r="N100" s="37" t="str">
        <f t="shared" si="24"/>
        <v/>
      </c>
      <c r="O100" s="37" t="str">
        <f t="shared" si="25"/>
        <v/>
      </c>
      <c r="P100" s="38" t="str">
        <f t="shared" si="26"/>
        <v/>
      </c>
      <c r="Q100" s="39" t="str">
        <f t="shared" si="27"/>
        <v/>
      </c>
      <c r="R100" s="39" t="str">
        <f t="shared" si="28"/>
        <v/>
      </c>
      <c r="S100" t="str">
        <f t="shared" si="29"/>
        <v/>
      </c>
      <c r="T100" s="39" t="str">
        <f t="shared" si="30"/>
        <v/>
      </c>
      <c r="U100" t="str">
        <f t="shared" si="31"/>
        <v/>
      </c>
      <c r="V100" t="str">
        <f>IF(L100="","",IF($AO$1=1,IFERROR(MATCH(L100,'11-تشرين الثاني'!$L$2:$L$501,0),0),0))</f>
        <v/>
      </c>
      <c r="W100" t="str">
        <f t="shared" si="32"/>
        <v/>
      </c>
      <c r="X100" s="38" t="str">
        <f>IF(L100="","",IF(V100&gt;0,INDEX('11-تشرين الثاني'!$P$2:$P$501,V100),IF($AO$1=1,0,"")))</f>
        <v/>
      </c>
      <c r="Y100" s="38" t="str">
        <f t="shared" si="33"/>
        <v/>
      </c>
      <c r="Z100" s="39" t="str">
        <f>IF(L100="","",IF(V100&gt;0,INDEX('11-تشرين الثاني'!$Q$2:$Q$501,V100),IF($AO$1=1,0,"")))</f>
        <v/>
      </c>
      <c r="AA100" s="39" t="str">
        <f t="shared" si="34"/>
        <v/>
      </c>
      <c r="AB100" s="40" t="str">
        <f>IF(OR(L100="",V100=0),"",IF(AND(N(I100)&gt;0,N(INDEX('11-تشرين الثاني'!$I$2:$I$501,V100))&gt;0,INDEX('11-تشرين الثاني'!$F$2:$F$501,V100)=F100),N(I100)/N(INDEX('11-تشرين الثاني'!$I$2:$I$501,V100))-1,""))</f>
        <v/>
      </c>
      <c r="AC100" t="str">
        <f t="shared" si="35"/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6"/>
        <v/>
      </c>
      <c r="AH100" s="39" t="str">
        <f t="shared" si="37"/>
        <v/>
      </c>
      <c r="AI100" s="39" t="str">
        <f t="shared" si="38"/>
        <v/>
      </c>
      <c r="AJ100" s="39" t="str">
        <f t="shared" si="39"/>
        <v/>
      </c>
      <c r="AK100" t="str">
        <f t="shared" si="40"/>
        <v/>
      </c>
      <c r="AL100" t="str">
        <f t="shared" si="41"/>
        <v/>
      </c>
    </row>
    <row r="101" spans="11:38" ht="15">
      <c r="K101" t="str">
        <f t="shared" si="21"/>
        <v/>
      </c>
      <c r="L101" t="str">
        <f t="shared" si="22"/>
        <v/>
      </c>
      <c r="M101" s="36" t="str">
        <f t="shared" si="23"/>
        <v/>
      </c>
      <c r="N101" s="37" t="str">
        <f t="shared" si="24"/>
        <v/>
      </c>
      <c r="O101" s="37" t="str">
        <f t="shared" si="25"/>
        <v/>
      </c>
      <c r="P101" s="38" t="str">
        <f t="shared" si="26"/>
        <v/>
      </c>
      <c r="Q101" s="39" t="str">
        <f t="shared" si="27"/>
        <v/>
      </c>
      <c r="R101" s="39" t="str">
        <f t="shared" si="28"/>
        <v/>
      </c>
      <c r="S101" t="str">
        <f t="shared" si="29"/>
        <v/>
      </c>
      <c r="T101" s="39" t="str">
        <f t="shared" si="30"/>
        <v/>
      </c>
      <c r="U101" t="str">
        <f t="shared" si="31"/>
        <v/>
      </c>
      <c r="V101" t="str">
        <f>IF(L101="","",IF($AO$1=1,IFERROR(MATCH(L101,'11-تشرين الثاني'!$L$2:$L$501,0),0),0))</f>
        <v/>
      </c>
      <c r="W101" t="str">
        <f t="shared" si="32"/>
        <v/>
      </c>
      <c r="X101" s="38" t="str">
        <f>IF(L101="","",IF(V101&gt;0,INDEX('11-تشرين الثاني'!$P$2:$P$501,V101),IF($AO$1=1,0,"")))</f>
        <v/>
      </c>
      <c r="Y101" s="38" t="str">
        <f t="shared" si="33"/>
        <v/>
      </c>
      <c r="Z101" s="39" t="str">
        <f>IF(L101="","",IF(V101&gt;0,INDEX('11-تشرين الثاني'!$Q$2:$Q$501,V101),IF($AO$1=1,0,"")))</f>
        <v/>
      </c>
      <c r="AA101" s="39" t="str">
        <f t="shared" si="34"/>
        <v/>
      </c>
      <c r="AB101" s="40" t="str">
        <f>IF(OR(L101="",V101=0),"",IF(AND(N(I101)&gt;0,N(INDEX('11-تشرين الثاني'!$I$2:$I$501,V101))&gt;0,INDEX('11-تشرين الثاني'!$F$2:$F$501,V101)=F101),N(I101)/N(INDEX('11-تشرين الثاني'!$I$2:$I$501,V101))-1,""))</f>
        <v/>
      </c>
      <c r="AC101" t="str">
        <f t="shared" si="35"/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6"/>
        <v/>
      </c>
      <c r="AH101" s="39" t="str">
        <f t="shared" si="37"/>
        <v/>
      </c>
      <c r="AI101" s="39" t="str">
        <f t="shared" si="38"/>
        <v/>
      </c>
      <c r="AJ101" s="39" t="str">
        <f t="shared" si="39"/>
        <v/>
      </c>
      <c r="AK101" t="str">
        <f t="shared" si="40"/>
        <v/>
      </c>
      <c r="AL101" t="str">
        <f t="shared" si="41"/>
        <v/>
      </c>
    </row>
    <row r="102" spans="11:38" ht="15">
      <c r="K102" t="str">
        <f t="shared" si="21"/>
        <v/>
      </c>
      <c r="L102" t="str">
        <f t="shared" si="22"/>
        <v/>
      </c>
      <c r="M102" s="36" t="str">
        <f t="shared" si="23"/>
        <v/>
      </c>
      <c r="N102" s="37" t="str">
        <f t="shared" si="24"/>
        <v/>
      </c>
      <c r="O102" s="37" t="str">
        <f t="shared" si="25"/>
        <v/>
      </c>
      <c r="P102" s="38" t="str">
        <f t="shared" si="26"/>
        <v/>
      </c>
      <c r="Q102" s="39" t="str">
        <f t="shared" si="27"/>
        <v/>
      </c>
      <c r="R102" s="39" t="str">
        <f t="shared" si="28"/>
        <v/>
      </c>
      <c r="S102" t="str">
        <f t="shared" si="29"/>
        <v/>
      </c>
      <c r="T102" s="39" t="str">
        <f t="shared" si="30"/>
        <v/>
      </c>
      <c r="U102" t="str">
        <f t="shared" si="31"/>
        <v/>
      </c>
      <c r="V102" t="str">
        <f>IF(L102="","",IF($AO$1=1,IFERROR(MATCH(L102,'11-تشرين الثاني'!$L$2:$L$501,0),0),0))</f>
        <v/>
      </c>
      <c r="W102" t="str">
        <f t="shared" si="32"/>
        <v/>
      </c>
      <c r="X102" s="38" t="str">
        <f>IF(L102="","",IF(V102&gt;0,INDEX('11-تشرين الثاني'!$P$2:$P$501,V102),IF($AO$1=1,0,"")))</f>
        <v/>
      </c>
      <c r="Y102" s="38" t="str">
        <f t="shared" si="33"/>
        <v/>
      </c>
      <c r="Z102" s="39" t="str">
        <f>IF(L102="","",IF(V102&gt;0,INDEX('11-تشرين الثاني'!$Q$2:$Q$501,V102),IF($AO$1=1,0,"")))</f>
        <v/>
      </c>
      <c r="AA102" s="39" t="str">
        <f t="shared" si="34"/>
        <v/>
      </c>
      <c r="AB102" s="40" t="str">
        <f>IF(OR(L102="",V102=0),"",IF(AND(N(I102)&gt;0,N(INDEX('11-تشرين الثاني'!$I$2:$I$501,V102))&gt;0,INDEX('11-تشرين الثاني'!$F$2:$F$501,V102)=F102),N(I102)/N(INDEX('11-تشرين الثاني'!$I$2:$I$501,V102))-1,""))</f>
        <v/>
      </c>
      <c r="AC102" t="str">
        <f t="shared" si="35"/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6"/>
        <v/>
      </c>
      <c r="AH102" s="39" t="str">
        <f t="shared" si="37"/>
        <v/>
      </c>
      <c r="AI102" s="39" t="str">
        <f t="shared" si="38"/>
        <v/>
      </c>
      <c r="AJ102" s="39" t="str">
        <f t="shared" si="39"/>
        <v/>
      </c>
      <c r="AK102" t="str">
        <f t="shared" si="40"/>
        <v/>
      </c>
      <c r="AL102" t="str">
        <f t="shared" si="41"/>
        <v/>
      </c>
    </row>
    <row r="103" spans="11:38" ht="15">
      <c r="K103" t="str">
        <f t="shared" si="21"/>
        <v/>
      </c>
      <c r="L103" t="str">
        <f t="shared" si="22"/>
        <v/>
      </c>
      <c r="M103" s="36" t="str">
        <f t="shared" si="23"/>
        <v/>
      </c>
      <c r="N103" s="37" t="str">
        <f t="shared" si="24"/>
        <v/>
      </c>
      <c r="O103" s="37" t="str">
        <f t="shared" si="25"/>
        <v/>
      </c>
      <c r="P103" s="38" t="str">
        <f t="shared" si="26"/>
        <v/>
      </c>
      <c r="Q103" s="39" t="str">
        <f t="shared" si="27"/>
        <v/>
      </c>
      <c r="R103" s="39" t="str">
        <f t="shared" si="28"/>
        <v/>
      </c>
      <c r="S103" t="str">
        <f t="shared" si="29"/>
        <v/>
      </c>
      <c r="T103" s="39" t="str">
        <f t="shared" si="30"/>
        <v/>
      </c>
      <c r="U103" t="str">
        <f t="shared" si="31"/>
        <v/>
      </c>
      <c r="V103" t="str">
        <f>IF(L103="","",IF($AO$1=1,IFERROR(MATCH(L103,'11-تشرين الثاني'!$L$2:$L$501,0),0),0))</f>
        <v/>
      </c>
      <c r="W103" t="str">
        <f t="shared" si="32"/>
        <v/>
      </c>
      <c r="X103" s="38" t="str">
        <f>IF(L103="","",IF(V103&gt;0,INDEX('11-تشرين الثاني'!$P$2:$P$501,V103),IF($AO$1=1,0,"")))</f>
        <v/>
      </c>
      <c r="Y103" s="38" t="str">
        <f t="shared" si="33"/>
        <v/>
      </c>
      <c r="Z103" s="39" t="str">
        <f>IF(L103="","",IF(V103&gt;0,INDEX('11-تشرين الثاني'!$Q$2:$Q$501,V103),IF($AO$1=1,0,"")))</f>
        <v/>
      </c>
      <c r="AA103" s="39" t="str">
        <f t="shared" si="34"/>
        <v/>
      </c>
      <c r="AB103" s="40" t="str">
        <f>IF(OR(L103="",V103=0),"",IF(AND(N(I103)&gt;0,N(INDEX('11-تشرين الثاني'!$I$2:$I$501,V103))&gt;0,INDEX('11-تشرين الثاني'!$F$2:$F$501,V103)=F103),N(I103)/N(INDEX('11-تشرين الثاني'!$I$2:$I$501,V103))-1,""))</f>
        <v/>
      </c>
      <c r="AC103" t="str">
        <f t="shared" si="35"/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6"/>
        <v/>
      </c>
      <c r="AH103" s="39" t="str">
        <f t="shared" si="37"/>
        <v/>
      </c>
      <c r="AI103" s="39" t="str">
        <f t="shared" si="38"/>
        <v/>
      </c>
      <c r="AJ103" s="39" t="str">
        <f t="shared" si="39"/>
        <v/>
      </c>
      <c r="AK103" t="str">
        <f t="shared" si="40"/>
        <v/>
      </c>
      <c r="AL103" t="str">
        <f t="shared" si="41"/>
        <v/>
      </c>
    </row>
    <row r="104" spans="11:38" ht="15">
      <c r="K104" t="str">
        <f t="shared" si="21"/>
        <v/>
      </c>
      <c r="L104" t="str">
        <f t="shared" si="22"/>
        <v/>
      </c>
      <c r="M104" s="36" t="str">
        <f t="shared" si="23"/>
        <v/>
      </c>
      <c r="N104" s="37" t="str">
        <f t="shared" si="24"/>
        <v/>
      </c>
      <c r="O104" s="37" t="str">
        <f t="shared" si="25"/>
        <v/>
      </c>
      <c r="P104" s="38" t="str">
        <f t="shared" si="26"/>
        <v/>
      </c>
      <c r="Q104" s="39" t="str">
        <f t="shared" si="27"/>
        <v/>
      </c>
      <c r="R104" s="39" t="str">
        <f t="shared" si="28"/>
        <v/>
      </c>
      <c r="S104" t="str">
        <f t="shared" si="29"/>
        <v/>
      </c>
      <c r="T104" s="39" t="str">
        <f t="shared" si="30"/>
        <v/>
      </c>
      <c r="U104" t="str">
        <f t="shared" si="31"/>
        <v/>
      </c>
      <c r="V104" t="str">
        <f>IF(L104="","",IF($AO$1=1,IFERROR(MATCH(L104,'11-تشرين الثاني'!$L$2:$L$501,0),0),0))</f>
        <v/>
      </c>
      <c r="W104" t="str">
        <f t="shared" si="32"/>
        <v/>
      </c>
      <c r="X104" s="38" t="str">
        <f>IF(L104="","",IF(V104&gt;0,INDEX('11-تشرين الثاني'!$P$2:$P$501,V104),IF($AO$1=1,0,"")))</f>
        <v/>
      </c>
      <c r="Y104" s="38" t="str">
        <f t="shared" si="33"/>
        <v/>
      </c>
      <c r="Z104" s="39" t="str">
        <f>IF(L104="","",IF(V104&gt;0,INDEX('11-تشرين الثاني'!$Q$2:$Q$501,V104),IF($AO$1=1,0,"")))</f>
        <v/>
      </c>
      <c r="AA104" s="39" t="str">
        <f t="shared" si="34"/>
        <v/>
      </c>
      <c r="AB104" s="40" t="str">
        <f>IF(OR(L104="",V104=0),"",IF(AND(N(I104)&gt;0,N(INDEX('11-تشرين الثاني'!$I$2:$I$501,V104))&gt;0,INDEX('11-تشرين الثاني'!$F$2:$F$501,V104)=F104),N(I104)/N(INDEX('11-تشرين الثاني'!$I$2:$I$501,V104))-1,""))</f>
        <v/>
      </c>
      <c r="AC104" t="str">
        <f t="shared" si="35"/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6"/>
        <v/>
      </c>
      <c r="AH104" s="39" t="str">
        <f t="shared" si="37"/>
        <v/>
      </c>
      <c r="AI104" s="39" t="str">
        <f t="shared" si="38"/>
        <v/>
      </c>
      <c r="AJ104" s="39" t="str">
        <f t="shared" si="39"/>
        <v/>
      </c>
      <c r="AK104" t="str">
        <f t="shared" si="40"/>
        <v/>
      </c>
      <c r="AL104" t="str">
        <f t="shared" si="41"/>
        <v/>
      </c>
    </row>
    <row r="105" spans="11:38" ht="15">
      <c r="K105" t="str">
        <f t="shared" si="21"/>
        <v/>
      </c>
      <c r="L105" t="str">
        <f t="shared" si="22"/>
        <v/>
      </c>
      <c r="M105" s="36" t="str">
        <f t="shared" si="23"/>
        <v/>
      </c>
      <c r="N105" s="37" t="str">
        <f t="shared" si="24"/>
        <v/>
      </c>
      <c r="O105" s="37" t="str">
        <f t="shared" si="25"/>
        <v/>
      </c>
      <c r="P105" s="38" t="str">
        <f t="shared" si="26"/>
        <v/>
      </c>
      <c r="Q105" s="39" t="str">
        <f t="shared" si="27"/>
        <v/>
      </c>
      <c r="R105" s="39" t="str">
        <f t="shared" si="28"/>
        <v/>
      </c>
      <c r="S105" t="str">
        <f t="shared" si="29"/>
        <v/>
      </c>
      <c r="T105" s="39" t="str">
        <f t="shared" si="30"/>
        <v/>
      </c>
      <c r="U105" t="str">
        <f t="shared" si="31"/>
        <v/>
      </c>
      <c r="V105" t="str">
        <f>IF(L105="","",IF($AO$1=1,IFERROR(MATCH(L105,'11-تشرين الثاني'!$L$2:$L$501,0),0),0))</f>
        <v/>
      </c>
      <c r="W105" t="str">
        <f t="shared" si="32"/>
        <v/>
      </c>
      <c r="X105" s="38" t="str">
        <f>IF(L105="","",IF(V105&gt;0,INDEX('11-تشرين الثاني'!$P$2:$P$501,V105),IF($AO$1=1,0,"")))</f>
        <v/>
      </c>
      <c r="Y105" s="38" t="str">
        <f t="shared" si="33"/>
        <v/>
      </c>
      <c r="Z105" s="39" t="str">
        <f>IF(L105="","",IF(V105&gt;0,INDEX('11-تشرين الثاني'!$Q$2:$Q$501,V105),IF($AO$1=1,0,"")))</f>
        <v/>
      </c>
      <c r="AA105" s="39" t="str">
        <f t="shared" si="34"/>
        <v/>
      </c>
      <c r="AB105" s="40" t="str">
        <f>IF(OR(L105="",V105=0),"",IF(AND(N(I105)&gt;0,N(INDEX('11-تشرين الثاني'!$I$2:$I$501,V105))&gt;0,INDEX('11-تشرين الثاني'!$F$2:$F$501,V105)=F105),N(I105)/N(INDEX('11-تشرين الثاني'!$I$2:$I$501,V105))-1,""))</f>
        <v/>
      </c>
      <c r="AC105" t="str">
        <f t="shared" si="35"/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6"/>
        <v/>
      </c>
      <c r="AH105" s="39" t="str">
        <f t="shared" si="37"/>
        <v/>
      </c>
      <c r="AI105" s="39" t="str">
        <f t="shared" si="38"/>
        <v/>
      </c>
      <c r="AJ105" s="39" t="str">
        <f t="shared" si="39"/>
        <v/>
      </c>
      <c r="AK105" t="str">
        <f t="shared" si="40"/>
        <v/>
      </c>
      <c r="AL105" t="str">
        <f t="shared" si="41"/>
        <v/>
      </c>
    </row>
    <row r="106" spans="11:38" ht="15">
      <c r="K106" t="str">
        <f t="shared" si="21"/>
        <v/>
      </c>
      <c r="L106" t="str">
        <f t="shared" si="22"/>
        <v/>
      </c>
      <c r="M106" s="36" t="str">
        <f t="shared" si="23"/>
        <v/>
      </c>
      <c r="N106" s="37" t="str">
        <f t="shared" si="24"/>
        <v/>
      </c>
      <c r="O106" s="37" t="str">
        <f t="shared" si="25"/>
        <v/>
      </c>
      <c r="P106" s="38" t="str">
        <f t="shared" si="26"/>
        <v/>
      </c>
      <c r="Q106" s="39" t="str">
        <f t="shared" si="27"/>
        <v/>
      </c>
      <c r="R106" s="39" t="str">
        <f t="shared" si="28"/>
        <v/>
      </c>
      <c r="S106" t="str">
        <f t="shared" si="29"/>
        <v/>
      </c>
      <c r="T106" s="39" t="str">
        <f t="shared" si="30"/>
        <v/>
      </c>
      <c r="U106" t="str">
        <f t="shared" si="31"/>
        <v/>
      </c>
      <c r="V106" t="str">
        <f>IF(L106="","",IF($AO$1=1,IFERROR(MATCH(L106,'11-تشرين الثاني'!$L$2:$L$501,0),0),0))</f>
        <v/>
      </c>
      <c r="W106" t="str">
        <f t="shared" si="32"/>
        <v/>
      </c>
      <c r="X106" s="38" t="str">
        <f>IF(L106="","",IF(V106&gt;0,INDEX('11-تشرين الثاني'!$P$2:$P$501,V106),IF($AO$1=1,0,"")))</f>
        <v/>
      </c>
      <c r="Y106" s="38" t="str">
        <f t="shared" si="33"/>
        <v/>
      </c>
      <c r="Z106" s="39" t="str">
        <f>IF(L106="","",IF(V106&gt;0,INDEX('11-تشرين الثاني'!$Q$2:$Q$501,V106),IF($AO$1=1,0,"")))</f>
        <v/>
      </c>
      <c r="AA106" s="39" t="str">
        <f t="shared" si="34"/>
        <v/>
      </c>
      <c r="AB106" s="40" t="str">
        <f>IF(OR(L106="",V106=0),"",IF(AND(N(I106)&gt;0,N(INDEX('11-تشرين الثاني'!$I$2:$I$501,V106))&gt;0,INDEX('11-تشرين الثاني'!$F$2:$F$501,V106)=F106),N(I106)/N(INDEX('11-تشرين الثاني'!$I$2:$I$501,V106))-1,""))</f>
        <v/>
      </c>
      <c r="AC106" t="str">
        <f t="shared" si="35"/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6"/>
        <v/>
      </c>
      <c r="AH106" s="39" t="str">
        <f t="shared" si="37"/>
        <v/>
      </c>
      <c r="AI106" s="39" t="str">
        <f t="shared" si="38"/>
        <v/>
      </c>
      <c r="AJ106" s="39" t="str">
        <f t="shared" si="39"/>
        <v/>
      </c>
      <c r="AK106" t="str">
        <f t="shared" si="40"/>
        <v/>
      </c>
      <c r="AL106" t="str">
        <f t="shared" si="41"/>
        <v/>
      </c>
    </row>
    <row r="107" spans="11:38" ht="15">
      <c r="K107" t="str">
        <f t="shared" si="21"/>
        <v/>
      </c>
      <c r="L107" t="str">
        <f t="shared" si="22"/>
        <v/>
      </c>
      <c r="M107" s="36" t="str">
        <f t="shared" si="23"/>
        <v/>
      </c>
      <c r="N107" s="37" t="str">
        <f t="shared" si="24"/>
        <v/>
      </c>
      <c r="O107" s="37" t="str">
        <f t="shared" si="25"/>
        <v/>
      </c>
      <c r="P107" s="38" t="str">
        <f t="shared" si="26"/>
        <v/>
      </c>
      <c r="Q107" s="39" t="str">
        <f t="shared" si="27"/>
        <v/>
      </c>
      <c r="R107" s="39" t="str">
        <f t="shared" si="28"/>
        <v/>
      </c>
      <c r="S107" t="str">
        <f t="shared" si="29"/>
        <v/>
      </c>
      <c r="T107" s="39" t="str">
        <f t="shared" si="30"/>
        <v/>
      </c>
      <c r="U107" t="str">
        <f t="shared" si="31"/>
        <v/>
      </c>
      <c r="V107" t="str">
        <f>IF(L107="","",IF($AO$1=1,IFERROR(MATCH(L107,'11-تشرين الثاني'!$L$2:$L$501,0),0),0))</f>
        <v/>
      </c>
      <c r="W107" t="str">
        <f t="shared" si="32"/>
        <v/>
      </c>
      <c r="X107" s="38" t="str">
        <f>IF(L107="","",IF(V107&gt;0,INDEX('11-تشرين الثاني'!$P$2:$P$501,V107),IF($AO$1=1,0,"")))</f>
        <v/>
      </c>
      <c r="Y107" s="38" t="str">
        <f t="shared" si="33"/>
        <v/>
      </c>
      <c r="Z107" s="39" t="str">
        <f>IF(L107="","",IF(V107&gt;0,INDEX('11-تشرين الثاني'!$Q$2:$Q$501,V107),IF($AO$1=1,0,"")))</f>
        <v/>
      </c>
      <c r="AA107" s="39" t="str">
        <f t="shared" si="34"/>
        <v/>
      </c>
      <c r="AB107" s="40" t="str">
        <f>IF(OR(L107="",V107=0),"",IF(AND(N(I107)&gt;0,N(INDEX('11-تشرين الثاني'!$I$2:$I$501,V107))&gt;0,INDEX('11-تشرين الثاني'!$F$2:$F$501,V107)=F107),N(I107)/N(INDEX('11-تشرين الثاني'!$I$2:$I$501,V107))-1,""))</f>
        <v/>
      </c>
      <c r="AC107" t="str">
        <f t="shared" si="35"/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6"/>
        <v/>
      </c>
      <c r="AH107" s="39" t="str">
        <f t="shared" si="37"/>
        <v/>
      </c>
      <c r="AI107" s="39" t="str">
        <f t="shared" si="38"/>
        <v/>
      </c>
      <c r="AJ107" s="39" t="str">
        <f t="shared" si="39"/>
        <v/>
      </c>
      <c r="AK107" t="str">
        <f t="shared" si="40"/>
        <v/>
      </c>
      <c r="AL107" t="str">
        <f t="shared" si="41"/>
        <v/>
      </c>
    </row>
    <row r="108" spans="11:38" ht="15">
      <c r="K108" t="str">
        <f t="shared" si="21"/>
        <v/>
      </c>
      <c r="L108" t="str">
        <f t="shared" si="22"/>
        <v/>
      </c>
      <c r="M108" s="36" t="str">
        <f t="shared" si="23"/>
        <v/>
      </c>
      <c r="N108" s="37" t="str">
        <f t="shared" si="24"/>
        <v/>
      </c>
      <c r="O108" s="37" t="str">
        <f t="shared" si="25"/>
        <v/>
      </c>
      <c r="P108" s="38" t="str">
        <f t="shared" si="26"/>
        <v/>
      </c>
      <c r="Q108" s="39" t="str">
        <f t="shared" si="27"/>
        <v/>
      </c>
      <c r="R108" s="39" t="str">
        <f t="shared" si="28"/>
        <v/>
      </c>
      <c r="S108" t="str">
        <f t="shared" si="29"/>
        <v/>
      </c>
      <c r="T108" s="39" t="str">
        <f t="shared" si="30"/>
        <v/>
      </c>
      <c r="U108" t="str">
        <f t="shared" si="31"/>
        <v/>
      </c>
      <c r="V108" t="str">
        <f>IF(L108="","",IF($AO$1=1,IFERROR(MATCH(L108,'11-تشرين الثاني'!$L$2:$L$501,0),0),0))</f>
        <v/>
      </c>
      <c r="W108" t="str">
        <f t="shared" si="32"/>
        <v/>
      </c>
      <c r="X108" s="38" t="str">
        <f>IF(L108="","",IF(V108&gt;0,INDEX('11-تشرين الثاني'!$P$2:$P$501,V108),IF($AO$1=1,0,"")))</f>
        <v/>
      </c>
      <c r="Y108" s="38" t="str">
        <f t="shared" si="33"/>
        <v/>
      </c>
      <c r="Z108" s="39" t="str">
        <f>IF(L108="","",IF(V108&gt;0,INDEX('11-تشرين الثاني'!$Q$2:$Q$501,V108),IF($AO$1=1,0,"")))</f>
        <v/>
      </c>
      <c r="AA108" s="39" t="str">
        <f t="shared" si="34"/>
        <v/>
      </c>
      <c r="AB108" s="40" t="str">
        <f>IF(OR(L108="",V108=0),"",IF(AND(N(I108)&gt;0,N(INDEX('11-تشرين الثاني'!$I$2:$I$501,V108))&gt;0,INDEX('11-تشرين الثاني'!$F$2:$F$501,V108)=F108),N(I108)/N(INDEX('11-تشرين الثاني'!$I$2:$I$501,V108))-1,""))</f>
        <v/>
      </c>
      <c r="AC108" t="str">
        <f t="shared" si="35"/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6"/>
        <v/>
      </c>
      <c r="AH108" s="39" t="str">
        <f t="shared" si="37"/>
        <v/>
      </c>
      <c r="AI108" s="39" t="str">
        <f t="shared" si="38"/>
        <v/>
      </c>
      <c r="AJ108" s="39" t="str">
        <f t="shared" si="39"/>
        <v/>
      </c>
      <c r="AK108" t="str">
        <f t="shared" si="40"/>
        <v/>
      </c>
      <c r="AL108" t="str">
        <f t="shared" si="41"/>
        <v/>
      </c>
    </row>
    <row r="109" spans="11:38" ht="15">
      <c r="K109" t="str">
        <f t="shared" si="21"/>
        <v/>
      </c>
      <c r="L109" t="str">
        <f t="shared" si="22"/>
        <v/>
      </c>
      <c r="M109" s="36" t="str">
        <f t="shared" si="23"/>
        <v/>
      </c>
      <c r="N109" s="37" t="str">
        <f t="shared" si="24"/>
        <v/>
      </c>
      <c r="O109" s="37" t="str">
        <f t="shared" si="25"/>
        <v/>
      </c>
      <c r="P109" s="38" t="str">
        <f t="shared" si="26"/>
        <v/>
      </c>
      <c r="Q109" s="39" t="str">
        <f t="shared" si="27"/>
        <v/>
      </c>
      <c r="R109" s="39" t="str">
        <f t="shared" si="28"/>
        <v/>
      </c>
      <c r="S109" t="str">
        <f t="shared" si="29"/>
        <v/>
      </c>
      <c r="T109" s="39" t="str">
        <f t="shared" si="30"/>
        <v/>
      </c>
      <c r="U109" t="str">
        <f t="shared" si="31"/>
        <v/>
      </c>
      <c r="V109" t="str">
        <f>IF(L109="","",IF($AO$1=1,IFERROR(MATCH(L109,'11-تشرين الثاني'!$L$2:$L$501,0),0),0))</f>
        <v/>
      </c>
      <c r="W109" t="str">
        <f t="shared" si="32"/>
        <v/>
      </c>
      <c r="X109" s="38" t="str">
        <f>IF(L109="","",IF(V109&gt;0,INDEX('11-تشرين الثاني'!$P$2:$P$501,V109),IF($AO$1=1,0,"")))</f>
        <v/>
      </c>
      <c r="Y109" s="38" t="str">
        <f t="shared" si="33"/>
        <v/>
      </c>
      <c r="Z109" s="39" t="str">
        <f>IF(L109="","",IF(V109&gt;0,INDEX('11-تشرين الثاني'!$Q$2:$Q$501,V109),IF($AO$1=1,0,"")))</f>
        <v/>
      </c>
      <c r="AA109" s="39" t="str">
        <f t="shared" si="34"/>
        <v/>
      </c>
      <c r="AB109" s="40" t="str">
        <f>IF(OR(L109="",V109=0),"",IF(AND(N(I109)&gt;0,N(INDEX('11-تشرين الثاني'!$I$2:$I$501,V109))&gt;0,INDEX('11-تشرين الثاني'!$F$2:$F$501,V109)=F109),N(I109)/N(INDEX('11-تشرين الثاني'!$I$2:$I$501,V109))-1,""))</f>
        <v/>
      </c>
      <c r="AC109" t="str">
        <f t="shared" si="35"/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6"/>
        <v/>
      </c>
      <c r="AH109" s="39" t="str">
        <f t="shared" si="37"/>
        <v/>
      </c>
      <c r="AI109" s="39" t="str">
        <f t="shared" si="38"/>
        <v/>
      </c>
      <c r="AJ109" s="39" t="str">
        <f t="shared" si="39"/>
        <v/>
      </c>
      <c r="AK109" t="str">
        <f t="shared" si="40"/>
        <v/>
      </c>
      <c r="AL109" t="str">
        <f t="shared" si="41"/>
        <v/>
      </c>
    </row>
    <row r="110" spans="11:38" ht="15">
      <c r="K110" t="str">
        <f t="shared" si="21"/>
        <v/>
      </c>
      <c r="L110" t="str">
        <f t="shared" si="22"/>
        <v/>
      </c>
      <c r="M110" s="36" t="str">
        <f t="shared" si="23"/>
        <v/>
      </c>
      <c r="N110" s="37" t="str">
        <f t="shared" si="24"/>
        <v/>
      </c>
      <c r="O110" s="37" t="str">
        <f t="shared" si="25"/>
        <v/>
      </c>
      <c r="P110" s="38" t="str">
        <f t="shared" si="26"/>
        <v/>
      </c>
      <c r="Q110" s="39" t="str">
        <f t="shared" si="27"/>
        <v/>
      </c>
      <c r="R110" s="39" t="str">
        <f t="shared" si="28"/>
        <v/>
      </c>
      <c r="S110" t="str">
        <f t="shared" si="29"/>
        <v/>
      </c>
      <c r="T110" s="39" t="str">
        <f t="shared" si="30"/>
        <v/>
      </c>
      <c r="U110" t="str">
        <f t="shared" si="31"/>
        <v/>
      </c>
      <c r="V110" t="str">
        <f>IF(L110="","",IF($AO$1=1,IFERROR(MATCH(L110,'11-تشرين الثاني'!$L$2:$L$501,0),0),0))</f>
        <v/>
      </c>
      <c r="W110" t="str">
        <f t="shared" si="32"/>
        <v/>
      </c>
      <c r="X110" s="38" t="str">
        <f>IF(L110="","",IF(V110&gt;0,INDEX('11-تشرين الثاني'!$P$2:$P$501,V110),IF($AO$1=1,0,"")))</f>
        <v/>
      </c>
      <c r="Y110" s="38" t="str">
        <f t="shared" si="33"/>
        <v/>
      </c>
      <c r="Z110" s="39" t="str">
        <f>IF(L110="","",IF(V110&gt;0,INDEX('11-تشرين الثاني'!$Q$2:$Q$501,V110),IF($AO$1=1,0,"")))</f>
        <v/>
      </c>
      <c r="AA110" s="39" t="str">
        <f t="shared" si="34"/>
        <v/>
      </c>
      <c r="AB110" s="40" t="str">
        <f>IF(OR(L110="",V110=0),"",IF(AND(N(I110)&gt;0,N(INDEX('11-تشرين الثاني'!$I$2:$I$501,V110))&gt;0,INDEX('11-تشرين الثاني'!$F$2:$F$501,V110)=F110),N(I110)/N(INDEX('11-تشرين الثاني'!$I$2:$I$501,V110))-1,""))</f>
        <v/>
      </c>
      <c r="AC110" t="str">
        <f t="shared" si="35"/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6"/>
        <v/>
      </c>
      <c r="AH110" s="39" t="str">
        <f t="shared" si="37"/>
        <v/>
      </c>
      <c r="AI110" s="39" t="str">
        <f t="shared" si="38"/>
        <v/>
      </c>
      <c r="AJ110" s="39" t="str">
        <f t="shared" si="39"/>
        <v/>
      </c>
      <c r="AK110" t="str">
        <f t="shared" si="40"/>
        <v/>
      </c>
      <c r="AL110" t="str">
        <f t="shared" si="41"/>
        <v/>
      </c>
    </row>
    <row r="111" spans="11:38" ht="15">
      <c r="K111" t="str">
        <f t="shared" si="21"/>
        <v/>
      </c>
      <c r="L111" t="str">
        <f t="shared" si="22"/>
        <v/>
      </c>
      <c r="M111" s="36" t="str">
        <f t="shared" si="23"/>
        <v/>
      </c>
      <c r="N111" s="37" t="str">
        <f t="shared" si="24"/>
        <v/>
      </c>
      <c r="O111" s="37" t="str">
        <f t="shared" si="25"/>
        <v/>
      </c>
      <c r="P111" s="38" t="str">
        <f t="shared" si="26"/>
        <v/>
      </c>
      <c r="Q111" s="39" t="str">
        <f t="shared" si="27"/>
        <v/>
      </c>
      <c r="R111" s="39" t="str">
        <f t="shared" si="28"/>
        <v/>
      </c>
      <c r="S111" t="str">
        <f t="shared" si="29"/>
        <v/>
      </c>
      <c r="T111" s="39" t="str">
        <f t="shared" si="30"/>
        <v/>
      </c>
      <c r="U111" t="str">
        <f t="shared" si="31"/>
        <v/>
      </c>
      <c r="V111" t="str">
        <f>IF(L111="","",IF($AO$1=1,IFERROR(MATCH(L111,'11-تشرين الثاني'!$L$2:$L$501,0),0),0))</f>
        <v/>
      </c>
      <c r="W111" t="str">
        <f t="shared" si="32"/>
        <v/>
      </c>
      <c r="X111" s="38" t="str">
        <f>IF(L111="","",IF(V111&gt;0,INDEX('11-تشرين الثاني'!$P$2:$P$501,V111),IF($AO$1=1,0,"")))</f>
        <v/>
      </c>
      <c r="Y111" s="38" t="str">
        <f t="shared" si="33"/>
        <v/>
      </c>
      <c r="Z111" s="39" t="str">
        <f>IF(L111="","",IF(V111&gt;0,INDEX('11-تشرين الثاني'!$Q$2:$Q$501,V111),IF($AO$1=1,0,"")))</f>
        <v/>
      </c>
      <c r="AA111" s="39" t="str">
        <f t="shared" si="34"/>
        <v/>
      </c>
      <c r="AB111" s="40" t="str">
        <f>IF(OR(L111="",V111=0),"",IF(AND(N(I111)&gt;0,N(INDEX('11-تشرين الثاني'!$I$2:$I$501,V111))&gt;0,INDEX('11-تشرين الثاني'!$F$2:$F$501,V111)=F111),N(I111)/N(INDEX('11-تشرين الثاني'!$I$2:$I$501,V111))-1,""))</f>
        <v/>
      </c>
      <c r="AC111" t="str">
        <f t="shared" si="35"/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6"/>
        <v/>
      </c>
      <c r="AH111" s="39" t="str">
        <f t="shared" si="37"/>
        <v/>
      </c>
      <c r="AI111" s="39" t="str">
        <f t="shared" si="38"/>
        <v/>
      </c>
      <c r="AJ111" s="39" t="str">
        <f t="shared" si="39"/>
        <v/>
      </c>
      <c r="AK111" t="str">
        <f t="shared" si="40"/>
        <v/>
      </c>
      <c r="AL111" t="str">
        <f t="shared" si="41"/>
        <v/>
      </c>
    </row>
    <row r="112" spans="11:38" ht="15">
      <c r="K112" t="str">
        <f t="shared" si="21"/>
        <v/>
      </c>
      <c r="L112" t="str">
        <f t="shared" si="22"/>
        <v/>
      </c>
      <c r="M112" s="36" t="str">
        <f t="shared" si="23"/>
        <v/>
      </c>
      <c r="N112" s="37" t="str">
        <f t="shared" si="24"/>
        <v/>
      </c>
      <c r="O112" s="37" t="str">
        <f t="shared" si="25"/>
        <v/>
      </c>
      <c r="P112" s="38" t="str">
        <f t="shared" si="26"/>
        <v/>
      </c>
      <c r="Q112" s="39" t="str">
        <f t="shared" si="27"/>
        <v/>
      </c>
      <c r="R112" s="39" t="str">
        <f t="shared" si="28"/>
        <v/>
      </c>
      <c r="S112" t="str">
        <f t="shared" si="29"/>
        <v/>
      </c>
      <c r="T112" s="39" t="str">
        <f t="shared" si="30"/>
        <v/>
      </c>
      <c r="U112" t="str">
        <f t="shared" si="31"/>
        <v/>
      </c>
      <c r="V112" t="str">
        <f>IF(L112="","",IF($AO$1=1,IFERROR(MATCH(L112,'11-تشرين الثاني'!$L$2:$L$501,0),0),0))</f>
        <v/>
      </c>
      <c r="W112" t="str">
        <f t="shared" si="32"/>
        <v/>
      </c>
      <c r="X112" s="38" t="str">
        <f>IF(L112="","",IF(V112&gt;0,INDEX('11-تشرين الثاني'!$P$2:$P$501,V112),IF($AO$1=1,0,"")))</f>
        <v/>
      </c>
      <c r="Y112" s="38" t="str">
        <f t="shared" si="33"/>
        <v/>
      </c>
      <c r="Z112" s="39" t="str">
        <f>IF(L112="","",IF(V112&gt;0,INDEX('11-تشرين الثاني'!$Q$2:$Q$501,V112),IF($AO$1=1,0,"")))</f>
        <v/>
      </c>
      <c r="AA112" s="39" t="str">
        <f t="shared" si="34"/>
        <v/>
      </c>
      <c r="AB112" s="40" t="str">
        <f>IF(OR(L112="",V112=0),"",IF(AND(N(I112)&gt;0,N(INDEX('11-تشرين الثاني'!$I$2:$I$501,V112))&gt;0,INDEX('11-تشرين الثاني'!$F$2:$F$501,V112)=F112),N(I112)/N(INDEX('11-تشرين الثاني'!$I$2:$I$501,V112))-1,""))</f>
        <v/>
      </c>
      <c r="AC112" t="str">
        <f t="shared" si="35"/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6"/>
        <v/>
      </c>
      <c r="AH112" s="39" t="str">
        <f t="shared" si="37"/>
        <v/>
      </c>
      <c r="AI112" s="39" t="str">
        <f t="shared" si="38"/>
        <v/>
      </c>
      <c r="AJ112" s="39" t="str">
        <f t="shared" si="39"/>
        <v/>
      </c>
      <c r="AK112" t="str">
        <f t="shared" si="40"/>
        <v/>
      </c>
      <c r="AL112" t="str">
        <f t="shared" si="41"/>
        <v/>
      </c>
    </row>
    <row r="113" spans="11:38" ht="15">
      <c r="K113" t="str">
        <f t="shared" si="21"/>
        <v/>
      </c>
      <c r="L113" t="str">
        <f t="shared" si="22"/>
        <v/>
      </c>
      <c r="M113" s="36" t="str">
        <f t="shared" si="23"/>
        <v/>
      </c>
      <c r="N113" s="37" t="str">
        <f t="shared" si="24"/>
        <v/>
      </c>
      <c r="O113" s="37" t="str">
        <f t="shared" si="25"/>
        <v/>
      </c>
      <c r="P113" s="38" t="str">
        <f t="shared" si="26"/>
        <v/>
      </c>
      <c r="Q113" s="39" t="str">
        <f t="shared" si="27"/>
        <v/>
      </c>
      <c r="R113" s="39" t="str">
        <f t="shared" si="28"/>
        <v/>
      </c>
      <c r="S113" t="str">
        <f t="shared" si="29"/>
        <v/>
      </c>
      <c r="T113" s="39" t="str">
        <f t="shared" si="30"/>
        <v/>
      </c>
      <c r="U113" t="str">
        <f t="shared" si="31"/>
        <v/>
      </c>
      <c r="V113" t="str">
        <f>IF(L113="","",IF($AO$1=1,IFERROR(MATCH(L113,'11-تشرين الثاني'!$L$2:$L$501,0),0),0))</f>
        <v/>
      </c>
      <c r="W113" t="str">
        <f t="shared" si="32"/>
        <v/>
      </c>
      <c r="X113" s="38" t="str">
        <f>IF(L113="","",IF(V113&gt;0,INDEX('11-تشرين الثاني'!$P$2:$P$501,V113),IF($AO$1=1,0,"")))</f>
        <v/>
      </c>
      <c r="Y113" s="38" t="str">
        <f t="shared" si="33"/>
        <v/>
      </c>
      <c r="Z113" s="39" t="str">
        <f>IF(L113="","",IF(V113&gt;0,INDEX('11-تشرين الثاني'!$Q$2:$Q$501,V113),IF($AO$1=1,0,"")))</f>
        <v/>
      </c>
      <c r="AA113" s="39" t="str">
        <f t="shared" si="34"/>
        <v/>
      </c>
      <c r="AB113" s="40" t="str">
        <f>IF(OR(L113="",V113=0),"",IF(AND(N(I113)&gt;0,N(INDEX('11-تشرين الثاني'!$I$2:$I$501,V113))&gt;0,INDEX('11-تشرين الثاني'!$F$2:$F$501,V113)=F113),N(I113)/N(INDEX('11-تشرين الثاني'!$I$2:$I$501,V113))-1,""))</f>
        <v/>
      </c>
      <c r="AC113" t="str">
        <f t="shared" si="35"/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6"/>
        <v/>
      </c>
      <c r="AH113" s="39" t="str">
        <f t="shared" si="37"/>
        <v/>
      </c>
      <c r="AI113" s="39" t="str">
        <f t="shared" si="38"/>
        <v/>
      </c>
      <c r="AJ113" s="39" t="str">
        <f t="shared" si="39"/>
        <v/>
      </c>
      <c r="AK113" t="str">
        <f t="shared" si="40"/>
        <v/>
      </c>
      <c r="AL113" t="str">
        <f t="shared" si="41"/>
        <v/>
      </c>
    </row>
    <row r="114" spans="11:38" ht="15">
      <c r="K114" t="str">
        <f t="shared" si="21"/>
        <v/>
      </c>
      <c r="L114" t="str">
        <f t="shared" si="22"/>
        <v/>
      </c>
      <c r="M114" s="36" t="str">
        <f t="shared" si="23"/>
        <v/>
      </c>
      <c r="N114" s="37" t="str">
        <f t="shared" si="24"/>
        <v/>
      </c>
      <c r="O114" s="37" t="str">
        <f t="shared" si="25"/>
        <v/>
      </c>
      <c r="P114" s="38" t="str">
        <f t="shared" si="26"/>
        <v/>
      </c>
      <c r="Q114" s="39" t="str">
        <f t="shared" si="27"/>
        <v/>
      </c>
      <c r="R114" s="39" t="str">
        <f t="shared" si="28"/>
        <v/>
      </c>
      <c r="S114" t="str">
        <f t="shared" si="29"/>
        <v/>
      </c>
      <c r="T114" s="39" t="str">
        <f t="shared" si="30"/>
        <v/>
      </c>
      <c r="U114" t="str">
        <f t="shared" si="31"/>
        <v/>
      </c>
      <c r="V114" t="str">
        <f>IF(L114="","",IF($AO$1=1,IFERROR(MATCH(L114,'11-تشرين الثاني'!$L$2:$L$501,0),0),0))</f>
        <v/>
      </c>
      <c r="W114" t="str">
        <f t="shared" si="32"/>
        <v/>
      </c>
      <c r="X114" s="38" t="str">
        <f>IF(L114="","",IF(V114&gt;0,INDEX('11-تشرين الثاني'!$P$2:$P$501,V114),IF($AO$1=1,0,"")))</f>
        <v/>
      </c>
      <c r="Y114" s="38" t="str">
        <f t="shared" si="33"/>
        <v/>
      </c>
      <c r="Z114" s="39" t="str">
        <f>IF(L114="","",IF(V114&gt;0,INDEX('11-تشرين الثاني'!$Q$2:$Q$501,V114),IF($AO$1=1,0,"")))</f>
        <v/>
      </c>
      <c r="AA114" s="39" t="str">
        <f t="shared" si="34"/>
        <v/>
      </c>
      <c r="AB114" s="40" t="str">
        <f>IF(OR(L114="",V114=0),"",IF(AND(N(I114)&gt;0,N(INDEX('11-تشرين الثاني'!$I$2:$I$501,V114))&gt;0,INDEX('11-تشرين الثاني'!$F$2:$F$501,V114)=F114),N(I114)/N(INDEX('11-تشرين الثاني'!$I$2:$I$501,V114))-1,""))</f>
        <v/>
      </c>
      <c r="AC114" t="str">
        <f t="shared" si="35"/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6"/>
        <v/>
      </c>
      <c r="AH114" s="39" t="str">
        <f t="shared" si="37"/>
        <v/>
      </c>
      <c r="AI114" s="39" t="str">
        <f t="shared" si="38"/>
        <v/>
      </c>
      <c r="AJ114" s="39" t="str">
        <f t="shared" si="39"/>
        <v/>
      </c>
      <c r="AK114" t="str">
        <f t="shared" si="40"/>
        <v/>
      </c>
      <c r="AL114" t="str">
        <f t="shared" si="41"/>
        <v/>
      </c>
    </row>
    <row r="115" spans="11:38" ht="15">
      <c r="K115" t="str">
        <f t="shared" si="21"/>
        <v/>
      </c>
      <c r="L115" t="str">
        <f t="shared" si="22"/>
        <v/>
      </c>
      <c r="M115" s="36" t="str">
        <f t="shared" si="23"/>
        <v/>
      </c>
      <c r="N115" s="37" t="str">
        <f t="shared" si="24"/>
        <v/>
      </c>
      <c r="O115" s="37" t="str">
        <f t="shared" si="25"/>
        <v/>
      </c>
      <c r="P115" s="38" t="str">
        <f t="shared" si="26"/>
        <v/>
      </c>
      <c r="Q115" s="39" t="str">
        <f t="shared" si="27"/>
        <v/>
      </c>
      <c r="R115" s="39" t="str">
        <f t="shared" si="28"/>
        <v/>
      </c>
      <c r="S115" t="str">
        <f t="shared" si="29"/>
        <v/>
      </c>
      <c r="T115" s="39" t="str">
        <f t="shared" si="30"/>
        <v/>
      </c>
      <c r="U115" t="str">
        <f t="shared" si="31"/>
        <v/>
      </c>
      <c r="V115" t="str">
        <f>IF(L115="","",IF($AO$1=1,IFERROR(MATCH(L115,'11-تشرين الثاني'!$L$2:$L$501,0),0),0))</f>
        <v/>
      </c>
      <c r="W115" t="str">
        <f t="shared" si="32"/>
        <v/>
      </c>
      <c r="X115" s="38" t="str">
        <f>IF(L115="","",IF(V115&gt;0,INDEX('11-تشرين الثاني'!$P$2:$P$501,V115),IF($AO$1=1,0,"")))</f>
        <v/>
      </c>
      <c r="Y115" s="38" t="str">
        <f t="shared" si="33"/>
        <v/>
      </c>
      <c r="Z115" s="39" t="str">
        <f>IF(L115="","",IF(V115&gt;0,INDEX('11-تشرين الثاني'!$Q$2:$Q$501,V115),IF($AO$1=1,0,"")))</f>
        <v/>
      </c>
      <c r="AA115" s="39" t="str">
        <f t="shared" si="34"/>
        <v/>
      </c>
      <c r="AB115" s="40" t="str">
        <f>IF(OR(L115="",V115=0),"",IF(AND(N(I115)&gt;0,N(INDEX('11-تشرين الثاني'!$I$2:$I$501,V115))&gt;0,INDEX('11-تشرين الثاني'!$F$2:$F$501,V115)=F115),N(I115)/N(INDEX('11-تشرين الثاني'!$I$2:$I$501,V115))-1,""))</f>
        <v/>
      </c>
      <c r="AC115" t="str">
        <f t="shared" si="35"/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6"/>
        <v/>
      </c>
      <c r="AH115" s="39" t="str">
        <f t="shared" si="37"/>
        <v/>
      </c>
      <c r="AI115" s="39" t="str">
        <f t="shared" si="38"/>
        <v/>
      </c>
      <c r="AJ115" s="39" t="str">
        <f t="shared" si="39"/>
        <v/>
      </c>
      <c r="AK115" t="str">
        <f t="shared" si="40"/>
        <v/>
      </c>
      <c r="AL115" t="str">
        <f t="shared" si="41"/>
        <v/>
      </c>
    </row>
    <row r="116" spans="11:38" ht="15">
      <c r="K116" t="str">
        <f t="shared" si="21"/>
        <v/>
      </c>
      <c r="L116" t="str">
        <f t="shared" si="22"/>
        <v/>
      </c>
      <c r="M116" s="36" t="str">
        <f t="shared" si="23"/>
        <v/>
      </c>
      <c r="N116" s="37" t="str">
        <f t="shared" si="24"/>
        <v/>
      </c>
      <c r="O116" s="37" t="str">
        <f t="shared" si="25"/>
        <v/>
      </c>
      <c r="P116" s="38" t="str">
        <f t="shared" si="26"/>
        <v/>
      </c>
      <c r="Q116" s="39" t="str">
        <f t="shared" si="27"/>
        <v/>
      </c>
      <c r="R116" s="39" t="str">
        <f t="shared" si="28"/>
        <v/>
      </c>
      <c r="S116" t="str">
        <f t="shared" si="29"/>
        <v/>
      </c>
      <c r="T116" s="39" t="str">
        <f t="shared" si="30"/>
        <v/>
      </c>
      <c r="U116" t="str">
        <f t="shared" si="31"/>
        <v/>
      </c>
      <c r="V116" t="str">
        <f>IF(L116="","",IF($AO$1=1,IFERROR(MATCH(L116,'11-تشرين الثاني'!$L$2:$L$501,0),0),0))</f>
        <v/>
      </c>
      <c r="W116" t="str">
        <f t="shared" si="32"/>
        <v/>
      </c>
      <c r="X116" s="38" t="str">
        <f>IF(L116="","",IF(V116&gt;0,INDEX('11-تشرين الثاني'!$P$2:$P$501,V116),IF($AO$1=1,0,"")))</f>
        <v/>
      </c>
      <c r="Y116" s="38" t="str">
        <f t="shared" si="33"/>
        <v/>
      </c>
      <c r="Z116" s="39" t="str">
        <f>IF(L116="","",IF(V116&gt;0,INDEX('11-تشرين الثاني'!$Q$2:$Q$501,V116),IF($AO$1=1,0,"")))</f>
        <v/>
      </c>
      <c r="AA116" s="39" t="str">
        <f t="shared" si="34"/>
        <v/>
      </c>
      <c r="AB116" s="40" t="str">
        <f>IF(OR(L116="",V116=0),"",IF(AND(N(I116)&gt;0,N(INDEX('11-تشرين الثاني'!$I$2:$I$501,V116))&gt;0,INDEX('11-تشرين الثاني'!$F$2:$F$501,V116)=F116),N(I116)/N(INDEX('11-تشرين الثاني'!$I$2:$I$501,V116))-1,""))</f>
        <v/>
      </c>
      <c r="AC116" t="str">
        <f t="shared" si="35"/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6"/>
        <v/>
      </c>
      <c r="AH116" s="39" t="str">
        <f t="shared" si="37"/>
        <v/>
      </c>
      <c r="AI116" s="39" t="str">
        <f t="shared" si="38"/>
        <v/>
      </c>
      <c r="AJ116" s="39" t="str">
        <f t="shared" si="39"/>
        <v/>
      </c>
      <c r="AK116" t="str">
        <f t="shared" si="40"/>
        <v/>
      </c>
      <c r="AL116" t="str">
        <f t="shared" si="41"/>
        <v/>
      </c>
    </row>
    <row r="117" spans="11:38" ht="15">
      <c r="K117" t="str">
        <f t="shared" si="21"/>
        <v/>
      </c>
      <c r="L117" t="str">
        <f t="shared" si="22"/>
        <v/>
      </c>
      <c r="M117" s="36" t="str">
        <f t="shared" si="23"/>
        <v/>
      </c>
      <c r="N117" s="37" t="str">
        <f t="shared" si="24"/>
        <v/>
      </c>
      <c r="O117" s="37" t="str">
        <f t="shared" si="25"/>
        <v/>
      </c>
      <c r="P117" s="38" t="str">
        <f t="shared" si="26"/>
        <v/>
      </c>
      <c r="Q117" s="39" t="str">
        <f t="shared" si="27"/>
        <v/>
      </c>
      <c r="R117" s="39" t="str">
        <f t="shared" si="28"/>
        <v/>
      </c>
      <c r="S117" t="str">
        <f t="shared" si="29"/>
        <v/>
      </c>
      <c r="T117" s="39" t="str">
        <f t="shared" si="30"/>
        <v/>
      </c>
      <c r="U117" t="str">
        <f t="shared" si="31"/>
        <v/>
      </c>
      <c r="V117" t="str">
        <f>IF(L117="","",IF($AO$1=1,IFERROR(MATCH(L117,'11-تشرين الثاني'!$L$2:$L$501,0),0),0))</f>
        <v/>
      </c>
      <c r="W117" t="str">
        <f t="shared" si="32"/>
        <v/>
      </c>
      <c r="X117" s="38" t="str">
        <f>IF(L117="","",IF(V117&gt;0,INDEX('11-تشرين الثاني'!$P$2:$P$501,V117),IF($AO$1=1,0,"")))</f>
        <v/>
      </c>
      <c r="Y117" s="38" t="str">
        <f t="shared" si="33"/>
        <v/>
      </c>
      <c r="Z117" s="39" t="str">
        <f>IF(L117="","",IF(V117&gt;0,INDEX('11-تشرين الثاني'!$Q$2:$Q$501,V117),IF($AO$1=1,0,"")))</f>
        <v/>
      </c>
      <c r="AA117" s="39" t="str">
        <f t="shared" si="34"/>
        <v/>
      </c>
      <c r="AB117" s="40" t="str">
        <f>IF(OR(L117="",V117=0),"",IF(AND(N(I117)&gt;0,N(INDEX('11-تشرين الثاني'!$I$2:$I$501,V117))&gt;0,INDEX('11-تشرين الثاني'!$F$2:$F$501,V117)=F117),N(I117)/N(INDEX('11-تشرين الثاني'!$I$2:$I$501,V117))-1,""))</f>
        <v/>
      </c>
      <c r="AC117" t="str">
        <f t="shared" si="35"/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6"/>
        <v/>
      </c>
      <c r="AH117" s="39" t="str">
        <f t="shared" si="37"/>
        <v/>
      </c>
      <c r="AI117" s="39" t="str">
        <f t="shared" si="38"/>
        <v/>
      </c>
      <c r="AJ117" s="39" t="str">
        <f t="shared" si="39"/>
        <v/>
      </c>
      <c r="AK117" t="str">
        <f t="shared" si="40"/>
        <v/>
      </c>
      <c r="AL117" t="str">
        <f t="shared" si="41"/>
        <v/>
      </c>
    </row>
    <row r="118" spans="11:38" ht="15">
      <c r="K118" t="str">
        <f t="shared" si="21"/>
        <v/>
      </c>
      <c r="L118" t="str">
        <f t="shared" si="22"/>
        <v/>
      </c>
      <c r="M118" s="36" t="str">
        <f t="shared" si="23"/>
        <v/>
      </c>
      <c r="N118" s="37" t="str">
        <f t="shared" si="24"/>
        <v/>
      </c>
      <c r="O118" s="37" t="str">
        <f t="shared" si="25"/>
        <v/>
      </c>
      <c r="P118" s="38" t="str">
        <f t="shared" si="26"/>
        <v/>
      </c>
      <c r="Q118" s="39" t="str">
        <f t="shared" si="27"/>
        <v/>
      </c>
      <c r="R118" s="39" t="str">
        <f t="shared" si="28"/>
        <v/>
      </c>
      <c r="S118" t="str">
        <f t="shared" si="29"/>
        <v/>
      </c>
      <c r="T118" s="39" t="str">
        <f t="shared" si="30"/>
        <v/>
      </c>
      <c r="U118" t="str">
        <f t="shared" si="31"/>
        <v/>
      </c>
      <c r="V118" t="str">
        <f>IF(L118="","",IF($AO$1=1,IFERROR(MATCH(L118,'11-تشرين الثاني'!$L$2:$L$501,0),0),0))</f>
        <v/>
      </c>
      <c r="W118" t="str">
        <f t="shared" si="32"/>
        <v/>
      </c>
      <c r="X118" s="38" t="str">
        <f>IF(L118="","",IF(V118&gt;0,INDEX('11-تشرين الثاني'!$P$2:$P$501,V118),IF($AO$1=1,0,"")))</f>
        <v/>
      </c>
      <c r="Y118" s="38" t="str">
        <f t="shared" si="33"/>
        <v/>
      </c>
      <c r="Z118" s="39" t="str">
        <f>IF(L118="","",IF(V118&gt;0,INDEX('11-تشرين الثاني'!$Q$2:$Q$501,V118),IF($AO$1=1,0,"")))</f>
        <v/>
      </c>
      <c r="AA118" s="39" t="str">
        <f t="shared" si="34"/>
        <v/>
      </c>
      <c r="AB118" s="40" t="str">
        <f>IF(OR(L118="",V118=0),"",IF(AND(N(I118)&gt;0,N(INDEX('11-تشرين الثاني'!$I$2:$I$501,V118))&gt;0,INDEX('11-تشرين الثاني'!$F$2:$F$501,V118)=F118),N(I118)/N(INDEX('11-تشرين الثاني'!$I$2:$I$501,V118))-1,""))</f>
        <v/>
      </c>
      <c r="AC118" t="str">
        <f t="shared" si="35"/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6"/>
        <v/>
      </c>
      <c r="AH118" s="39" t="str">
        <f t="shared" si="37"/>
        <v/>
      </c>
      <c r="AI118" s="39" t="str">
        <f t="shared" si="38"/>
        <v/>
      </c>
      <c r="AJ118" s="39" t="str">
        <f t="shared" si="39"/>
        <v/>
      </c>
      <c r="AK118" t="str">
        <f t="shared" si="40"/>
        <v/>
      </c>
      <c r="AL118" t="str">
        <f t="shared" si="41"/>
        <v/>
      </c>
    </row>
    <row r="119" spans="11:38" ht="15">
      <c r="K119" t="str">
        <f t="shared" si="21"/>
        <v/>
      </c>
      <c r="L119" t="str">
        <f t="shared" si="22"/>
        <v/>
      </c>
      <c r="M119" s="36" t="str">
        <f t="shared" si="23"/>
        <v/>
      </c>
      <c r="N119" s="37" t="str">
        <f t="shared" si="24"/>
        <v/>
      </c>
      <c r="O119" s="37" t="str">
        <f t="shared" si="25"/>
        <v/>
      </c>
      <c r="P119" s="38" t="str">
        <f t="shared" si="26"/>
        <v/>
      </c>
      <c r="Q119" s="39" t="str">
        <f t="shared" si="27"/>
        <v/>
      </c>
      <c r="R119" s="39" t="str">
        <f t="shared" si="28"/>
        <v/>
      </c>
      <c r="S119" t="str">
        <f t="shared" si="29"/>
        <v/>
      </c>
      <c r="T119" s="39" t="str">
        <f t="shared" si="30"/>
        <v/>
      </c>
      <c r="U119" t="str">
        <f t="shared" si="31"/>
        <v/>
      </c>
      <c r="V119" t="str">
        <f>IF(L119="","",IF($AO$1=1,IFERROR(MATCH(L119,'11-تشرين الثاني'!$L$2:$L$501,0),0),0))</f>
        <v/>
      </c>
      <c r="W119" t="str">
        <f t="shared" si="32"/>
        <v/>
      </c>
      <c r="X119" s="38" t="str">
        <f>IF(L119="","",IF(V119&gt;0,INDEX('11-تشرين الثاني'!$P$2:$P$501,V119),IF($AO$1=1,0,"")))</f>
        <v/>
      </c>
      <c r="Y119" s="38" t="str">
        <f t="shared" si="33"/>
        <v/>
      </c>
      <c r="Z119" s="39" t="str">
        <f>IF(L119="","",IF(V119&gt;0,INDEX('11-تشرين الثاني'!$Q$2:$Q$501,V119),IF($AO$1=1,0,"")))</f>
        <v/>
      </c>
      <c r="AA119" s="39" t="str">
        <f t="shared" si="34"/>
        <v/>
      </c>
      <c r="AB119" s="40" t="str">
        <f>IF(OR(L119="",V119=0),"",IF(AND(N(I119)&gt;0,N(INDEX('11-تشرين الثاني'!$I$2:$I$501,V119))&gt;0,INDEX('11-تشرين الثاني'!$F$2:$F$501,V119)=F119),N(I119)/N(INDEX('11-تشرين الثاني'!$I$2:$I$501,V119))-1,""))</f>
        <v/>
      </c>
      <c r="AC119" t="str">
        <f t="shared" si="35"/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6"/>
        <v/>
      </c>
      <c r="AH119" s="39" t="str">
        <f t="shared" si="37"/>
        <v/>
      </c>
      <c r="AI119" s="39" t="str">
        <f t="shared" si="38"/>
        <v/>
      </c>
      <c r="AJ119" s="39" t="str">
        <f t="shared" si="39"/>
        <v/>
      </c>
      <c r="AK119" t="str">
        <f t="shared" si="40"/>
        <v/>
      </c>
      <c r="AL119" t="str">
        <f t="shared" si="41"/>
        <v/>
      </c>
    </row>
    <row r="120" spans="11:38" ht="15">
      <c r="K120" t="str">
        <f t="shared" si="21"/>
        <v/>
      </c>
      <c r="L120" t="str">
        <f t="shared" si="22"/>
        <v/>
      </c>
      <c r="M120" s="36" t="str">
        <f t="shared" si="23"/>
        <v/>
      </c>
      <c r="N120" s="37" t="str">
        <f t="shared" si="24"/>
        <v/>
      </c>
      <c r="O120" s="37" t="str">
        <f t="shared" si="25"/>
        <v/>
      </c>
      <c r="P120" s="38" t="str">
        <f t="shared" si="26"/>
        <v/>
      </c>
      <c r="Q120" s="39" t="str">
        <f t="shared" si="27"/>
        <v/>
      </c>
      <c r="R120" s="39" t="str">
        <f t="shared" si="28"/>
        <v/>
      </c>
      <c r="S120" t="str">
        <f t="shared" si="29"/>
        <v/>
      </c>
      <c r="T120" s="39" t="str">
        <f t="shared" si="30"/>
        <v/>
      </c>
      <c r="U120" t="str">
        <f t="shared" si="31"/>
        <v/>
      </c>
      <c r="V120" t="str">
        <f>IF(L120="","",IF($AO$1=1,IFERROR(MATCH(L120,'11-تشرين الثاني'!$L$2:$L$501,0),0),0))</f>
        <v/>
      </c>
      <c r="W120" t="str">
        <f t="shared" si="32"/>
        <v/>
      </c>
      <c r="X120" s="38" t="str">
        <f>IF(L120="","",IF(V120&gt;0,INDEX('11-تشرين الثاني'!$P$2:$P$501,V120),IF($AO$1=1,0,"")))</f>
        <v/>
      </c>
      <c r="Y120" s="38" t="str">
        <f t="shared" si="33"/>
        <v/>
      </c>
      <c r="Z120" s="39" t="str">
        <f>IF(L120="","",IF(V120&gt;0,INDEX('11-تشرين الثاني'!$Q$2:$Q$501,V120),IF($AO$1=1,0,"")))</f>
        <v/>
      </c>
      <c r="AA120" s="39" t="str">
        <f t="shared" si="34"/>
        <v/>
      </c>
      <c r="AB120" s="40" t="str">
        <f>IF(OR(L120="",V120=0),"",IF(AND(N(I120)&gt;0,N(INDEX('11-تشرين الثاني'!$I$2:$I$501,V120))&gt;0,INDEX('11-تشرين الثاني'!$F$2:$F$501,V120)=F120),N(I120)/N(INDEX('11-تشرين الثاني'!$I$2:$I$501,V120))-1,""))</f>
        <v/>
      </c>
      <c r="AC120" t="str">
        <f t="shared" si="35"/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6"/>
        <v/>
      </c>
      <c r="AH120" s="39" t="str">
        <f t="shared" si="37"/>
        <v/>
      </c>
      <c r="AI120" s="39" t="str">
        <f t="shared" si="38"/>
        <v/>
      </c>
      <c r="AJ120" s="39" t="str">
        <f t="shared" si="39"/>
        <v/>
      </c>
      <c r="AK120" t="str">
        <f t="shared" si="40"/>
        <v/>
      </c>
      <c r="AL120" t="str">
        <f t="shared" si="41"/>
        <v/>
      </c>
    </row>
    <row r="121" spans="11:38" ht="15">
      <c r="K121" t="str">
        <f t="shared" si="21"/>
        <v/>
      </c>
      <c r="L121" t="str">
        <f t="shared" si="22"/>
        <v/>
      </c>
      <c r="M121" s="36" t="str">
        <f t="shared" si="23"/>
        <v/>
      </c>
      <c r="N121" s="37" t="str">
        <f t="shared" si="24"/>
        <v/>
      </c>
      <c r="O121" s="37" t="str">
        <f t="shared" si="25"/>
        <v/>
      </c>
      <c r="P121" s="38" t="str">
        <f t="shared" si="26"/>
        <v/>
      </c>
      <c r="Q121" s="39" t="str">
        <f t="shared" si="27"/>
        <v/>
      </c>
      <c r="R121" s="39" t="str">
        <f t="shared" si="28"/>
        <v/>
      </c>
      <c r="S121" t="str">
        <f t="shared" si="29"/>
        <v/>
      </c>
      <c r="T121" s="39" t="str">
        <f t="shared" si="30"/>
        <v/>
      </c>
      <c r="U121" t="str">
        <f t="shared" si="31"/>
        <v/>
      </c>
      <c r="V121" t="str">
        <f>IF(L121="","",IF($AO$1=1,IFERROR(MATCH(L121,'11-تشرين الثاني'!$L$2:$L$501,0),0),0))</f>
        <v/>
      </c>
      <c r="W121" t="str">
        <f t="shared" si="32"/>
        <v/>
      </c>
      <c r="X121" s="38" t="str">
        <f>IF(L121="","",IF(V121&gt;0,INDEX('11-تشرين الثاني'!$P$2:$P$501,V121),IF($AO$1=1,0,"")))</f>
        <v/>
      </c>
      <c r="Y121" s="38" t="str">
        <f t="shared" si="33"/>
        <v/>
      </c>
      <c r="Z121" s="39" t="str">
        <f>IF(L121="","",IF(V121&gt;0,INDEX('11-تشرين الثاني'!$Q$2:$Q$501,V121),IF($AO$1=1,0,"")))</f>
        <v/>
      </c>
      <c r="AA121" s="39" t="str">
        <f t="shared" si="34"/>
        <v/>
      </c>
      <c r="AB121" s="40" t="str">
        <f>IF(OR(L121="",V121=0),"",IF(AND(N(I121)&gt;0,N(INDEX('11-تشرين الثاني'!$I$2:$I$501,V121))&gt;0,INDEX('11-تشرين الثاني'!$F$2:$F$501,V121)=F121),N(I121)/N(INDEX('11-تشرين الثاني'!$I$2:$I$501,V121))-1,""))</f>
        <v/>
      </c>
      <c r="AC121" t="str">
        <f t="shared" si="35"/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6"/>
        <v/>
      </c>
      <c r="AH121" s="39" t="str">
        <f t="shared" si="37"/>
        <v/>
      </c>
      <c r="AI121" s="39" t="str">
        <f t="shared" si="38"/>
        <v/>
      </c>
      <c r="AJ121" s="39" t="str">
        <f t="shared" si="39"/>
        <v/>
      </c>
      <c r="AK121" t="str">
        <f t="shared" si="40"/>
        <v/>
      </c>
      <c r="AL121" t="str">
        <f t="shared" si="41"/>
        <v/>
      </c>
    </row>
    <row r="122" spans="11:38" ht="15">
      <c r="K122" t="str">
        <f t="shared" si="21"/>
        <v/>
      </c>
      <c r="L122" t="str">
        <f t="shared" si="22"/>
        <v/>
      </c>
      <c r="M122" s="36" t="str">
        <f t="shared" si="23"/>
        <v/>
      </c>
      <c r="N122" s="37" t="str">
        <f t="shared" si="24"/>
        <v/>
      </c>
      <c r="O122" s="37" t="str">
        <f t="shared" si="25"/>
        <v/>
      </c>
      <c r="P122" s="38" t="str">
        <f t="shared" si="26"/>
        <v/>
      </c>
      <c r="Q122" s="39" t="str">
        <f t="shared" si="27"/>
        <v/>
      </c>
      <c r="R122" s="39" t="str">
        <f t="shared" si="28"/>
        <v/>
      </c>
      <c r="S122" t="str">
        <f t="shared" si="29"/>
        <v/>
      </c>
      <c r="T122" s="39" t="str">
        <f t="shared" si="30"/>
        <v/>
      </c>
      <c r="U122" t="str">
        <f t="shared" si="31"/>
        <v/>
      </c>
      <c r="V122" t="str">
        <f>IF(L122="","",IF($AO$1=1,IFERROR(MATCH(L122,'11-تشرين الثاني'!$L$2:$L$501,0),0),0))</f>
        <v/>
      </c>
      <c r="W122" t="str">
        <f t="shared" si="32"/>
        <v/>
      </c>
      <c r="X122" s="38" t="str">
        <f>IF(L122="","",IF(V122&gt;0,INDEX('11-تشرين الثاني'!$P$2:$P$501,V122),IF($AO$1=1,0,"")))</f>
        <v/>
      </c>
      <c r="Y122" s="38" t="str">
        <f t="shared" si="33"/>
        <v/>
      </c>
      <c r="Z122" s="39" t="str">
        <f>IF(L122="","",IF(V122&gt;0,INDEX('11-تشرين الثاني'!$Q$2:$Q$501,V122),IF($AO$1=1,0,"")))</f>
        <v/>
      </c>
      <c r="AA122" s="39" t="str">
        <f t="shared" si="34"/>
        <v/>
      </c>
      <c r="AB122" s="40" t="str">
        <f>IF(OR(L122="",V122=0),"",IF(AND(N(I122)&gt;0,N(INDEX('11-تشرين الثاني'!$I$2:$I$501,V122))&gt;0,INDEX('11-تشرين الثاني'!$F$2:$F$501,V122)=F122),N(I122)/N(INDEX('11-تشرين الثاني'!$I$2:$I$501,V122))-1,""))</f>
        <v/>
      </c>
      <c r="AC122" t="str">
        <f t="shared" si="35"/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6"/>
        <v/>
      </c>
      <c r="AH122" s="39" t="str">
        <f t="shared" si="37"/>
        <v/>
      </c>
      <c r="AI122" s="39" t="str">
        <f t="shared" si="38"/>
        <v/>
      </c>
      <c r="AJ122" s="39" t="str">
        <f t="shared" si="39"/>
        <v/>
      </c>
      <c r="AK122" t="str">
        <f t="shared" si="40"/>
        <v/>
      </c>
      <c r="AL122" t="str">
        <f t="shared" si="41"/>
        <v/>
      </c>
    </row>
    <row r="123" spans="11:38" ht="15">
      <c r="K123" t="str">
        <f t="shared" si="21"/>
        <v/>
      </c>
      <c r="L123" t="str">
        <f t="shared" si="22"/>
        <v/>
      </c>
      <c r="M123" s="36" t="str">
        <f t="shared" si="23"/>
        <v/>
      </c>
      <c r="N123" s="37" t="str">
        <f t="shared" si="24"/>
        <v/>
      </c>
      <c r="O123" s="37" t="str">
        <f t="shared" si="25"/>
        <v/>
      </c>
      <c r="P123" s="38" t="str">
        <f t="shared" si="26"/>
        <v/>
      </c>
      <c r="Q123" s="39" t="str">
        <f t="shared" si="27"/>
        <v/>
      </c>
      <c r="R123" s="39" t="str">
        <f t="shared" si="28"/>
        <v/>
      </c>
      <c r="S123" t="str">
        <f t="shared" si="29"/>
        <v/>
      </c>
      <c r="T123" s="39" t="str">
        <f t="shared" si="30"/>
        <v/>
      </c>
      <c r="U123" t="str">
        <f t="shared" si="31"/>
        <v/>
      </c>
      <c r="V123" t="str">
        <f>IF(L123="","",IF($AO$1=1,IFERROR(MATCH(L123,'11-تشرين الثاني'!$L$2:$L$501,0),0),0))</f>
        <v/>
      </c>
      <c r="W123" t="str">
        <f t="shared" si="32"/>
        <v/>
      </c>
      <c r="X123" s="38" t="str">
        <f>IF(L123="","",IF(V123&gt;0,INDEX('11-تشرين الثاني'!$P$2:$P$501,V123),IF($AO$1=1,0,"")))</f>
        <v/>
      </c>
      <c r="Y123" s="38" t="str">
        <f t="shared" si="33"/>
        <v/>
      </c>
      <c r="Z123" s="39" t="str">
        <f>IF(L123="","",IF(V123&gt;0,INDEX('11-تشرين الثاني'!$Q$2:$Q$501,V123),IF($AO$1=1,0,"")))</f>
        <v/>
      </c>
      <c r="AA123" s="39" t="str">
        <f t="shared" si="34"/>
        <v/>
      </c>
      <c r="AB123" s="40" t="str">
        <f>IF(OR(L123="",V123=0),"",IF(AND(N(I123)&gt;0,N(INDEX('11-تشرين الثاني'!$I$2:$I$501,V123))&gt;0,INDEX('11-تشرين الثاني'!$F$2:$F$501,V123)=F123),N(I123)/N(INDEX('11-تشرين الثاني'!$I$2:$I$501,V123))-1,""))</f>
        <v/>
      </c>
      <c r="AC123" t="str">
        <f t="shared" si="35"/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6"/>
        <v/>
      </c>
      <c r="AH123" s="39" t="str">
        <f t="shared" si="37"/>
        <v/>
      </c>
      <c r="AI123" s="39" t="str">
        <f t="shared" si="38"/>
        <v/>
      </c>
      <c r="AJ123" s="39" t="str">
        <f t="shared" si="39"/>
        <v/>
      </c>
      <c r="AK123" t="str">
        <f t="shared" si="40"/>
        <v/>
      </c>
      <c r="AL123" t="str">
        <f t="shared" si="41"/>
        <v/>
      </c>
    </row>
    <row r="124" spans="11:38" ht="15">
      <c r="K124" t="str">
        <f t="shared" si="21"/>
        <v/>
      </c>
      <c r="L124" t="str">
        <f t="shared" si="22"/>
        <v/>
      </c>
      <c r="M124" s="36" t="str">
        <f t="shared" si="23"/>
        <v/>
      </c>
      <c r="N124" s="37" t="str">
        <f t="shared" si="24"/>
        <v/>
      </c>
      <c r="O124" s="37" t="str">
        <f t="shared" si="25"/>
        <v/>
      </c>
      <c r="P124" s="38" t="str">
        <f t="shared" si="26"/>
        <v/>
      </c>
      <c r="Q124" s="39" t="str">
        <f t="shared" si="27"/>
        <v/>
      </c>
      <c r="R124" s="39" t="str">
        <f t="shared" si="28"/>
        <v/>
      </c>
      <c r="S124" t="str">
        <f t="shared" si="29"/>
        <v/>
      </c>
      <c r="T124" s="39" t="str">
        <f t="shared" si="30"/>
        <v/>
      </c>
      <c r="U124" t="str">
        <f t="shared" si="31"/>
        <v/>
      </c>
      <c r="V124" t="str">
        <f>IF(L124="","",IF($AO$1=1,IFERROR(MATCH(L124,'11-تشرين الثاني'!$L$2:$L$501,0),0),0))</f>
        <v/>
      </c>
      <c r="W124" t="str">
        <f t="shared" si="32"/>
        <v/>
      </c>
      <c r="X124" s="38" t="str">
        <f>IF(L124="","",IF(V124&gt;0,INDEX('11-تشرين الثاني'!$P$2:$P$501,V124),IF($AO$1=1,0,"")))</f>
        <v/>
      </c>
      <c r="Y124" s="38" t="str">
        <f t="shared" si="33"/>
        <v/>
      </c>
      <c r="Z124" s="39" t="str">
        <f>IF(L124="","",IF(V124&gt;0,INDEX('11-تشرين الثاني'!$Q$2:$Q$501,V124),IF($AO$1=1,0,"")))</f>
        <v/>
      </c>
      <c r="AA124" s="39" t="str">
        <f t="shared" si="34"/>
        <v/>
      </c>
      <c r="AB124" s="40" t="str">
        <f>IF(OR(L124="",V124=0),"",IF(AND(N(I124)&gt;0,N(INDEX('11-تشرين الثاني'!$I$2:$I$501,V124))&gt;0,INDEX('11-تشرين الثاني'!$F$2:$F$501,V124)=F124),N(I124)/N(INDEX('11-تشرين الثاني'!$I$2:$I$501,V124))-1,""))</f>
        <v/>
      </c>
      <c r="AC124" t="str">
        <f t="shared" si="35"/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6"/>
        <v/>
      </c>
      <c r="AH124" s="39" t="str">
        <f t="shared" si="37"/>
        <v/>
      </c>
      <c r="AI124" s="39" t="str">
        <f t="shared" si="38"/>
        <v/>
      </c>
      <c r="AJ124" s="39" t="str">
        <f t="shared" si="39"/>
        <v/>
      </c>
      <c r="AK124" t="str">
        <f t="shared" si="40"/>
        <v/>
      </c>
      <c r="AL124" t="str">
        <f t="shared" si="41"/>
        <v/>
      </c>
    </row>
    <row r="125" spans="11:38" ht="15">
      <c r="K125" t="str">
        <f t="shared" si="21"/>
        <v/>
      </c>
      <c r="L125" t="str">
        <f t="shared" si="22"/>
        <v/>
      </c>
      <c r="M125" s="36" t="str">
        <f t="shared" si="23"/>
        <v/>
      </c>
      <c r="N125" s="37" t="str">
        <f t="shared" si="24"/>
        <v/>
      </c>
      <c r="O125" s="37" t="str">
        <f t="shared" si="25"/>
        <v/>
      </c>
      <c r="P125" s="38" t="str">
        <f t="shared" si="26"/>
        <v/>
      </c>
      <c r="Q125" s="39" t="str">
        <f t="shared" si="27"/>
        <v/>
      </c>
      <c r="R125" s="39" t="str">
        <f t="shared" si="28"/>
        <v/>
      </c>
      <c r="S125" t="str">
        <f t="shared" si="29"/>
        <v/>
      </c>
      <c r="T125" s="39" t="str">
        <f t="shared" si="30"/>
        <v/>
      </c>
      <c r="U125" t="str">
        <f t="shared" si="31"/>
        <v/>
      </c>
      <c r="V125" t="str">
        <f>IF(L125="","",IF($AO$1=1,IFERROR(MATCH(L125,'11-تشرين الثاني'!$L$2:$L$501,0),0),0))</f>
        <v/>
      </c>
      <c r="W125" t="str">
        <f t="shared" si="32"/>
        <v/>
      </c>
      <c r="X125" s="38" t="str">
        <f>IF(L125="","",IF(V125&gt;0,INDEX('11-تشرين الثاني'!$P$2:$P$501,V125),IF($AO$1=1,0,"")))</f>
        <v/>
      </c>
      <c r="Y125" s="38" t="str">
        <f t="shared" si="33"/>
        <v/>
      </c>
      <c r="Z125" s="39" t="str">
        <f>IF(L125="","",IF(V125&gt;0,INDEX('11-تشرين الثاني'!$Q$2:$Q$501,V125),IF($AO$1=1,0,"")))</f>
        <v/>
      </c>
      <c r="AA125" s="39" t="str">
        <f t="shared" si="34"/>
        <v/>
      </c>
      <c r="AB125" s="40" t="str">
        <f>IF(OR(L125="",V125=0),"",IF(AND(N(I125)&gt;0,N(INDEX('11-تشرين الثاني'!$I$2:$I$501,V125))&gt;0,INDEX('11-تشرين الثاني'!$F$2:$F$501,V125)=F125),N(I125)/N(INDEX('11-تشرين الثاني'!$I$2:$I$501,V125))-1,""))</f>
        <v/>
      </c>
      <c r="AC125" t="str">
        <f t="shared" si="35"/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6"/>
        <v/>
      </c>
      <c r="AH125" s="39" t="str">
        <f t="shared" si="37"/>
        <v/>
      </c>
      <c r="AI125" s="39" t="str">
        <f t="shared" si="38"/>
        <v/>
      </c>
      <c r="AJ125" s="39" t="str">
        <f t="shared" si="39"/>
        <v/>
      </c>
      <c r="AK125" t="str">
        <f t="shared" si="40"/>
        <v/>
      </c>
      <c r="AL125" t="str">
        <f t="shared" si="41"/>
        <v/>
      </c>
    </row>
    <row r="126" spans="11:38" ht="15">
      <c r="K126" t="str">
        <f t="shared" si="21"/>
        <v/>
      </c>
      <c r="L126" t="str">
        <f t="shared" si="22"/>
        <v/>
      </c>
      <c r="M126" s="36" t="str">
        <f t="shared" si="23"/>
        <v/>
      </c>
      <c r="N126" s="37" t="str">
        <f t="shared" si="24"/>
        <v/>
      </c>
      <c r="O126" s="37" t="str">
        <f t="shared" si="25"/>
        <v/>
      </c>
      <c r="P126" s="38" t="str">
        <f t="shared" si="26"/>
        <v/>
      </c>
      <c r="Q126" s="39" t="str">
        <f t="shared" si="27"/>
        <v/>
      </c>
      <c r="R126" s="39" t="str">
        <f t="shared" si="28"/>
        <v/>
      </c>
      <c r="S126" t="str">
        <f t="shared" si="29"/>
        <v/>
      </c>
      <c r="T126" s="39" t="str">
        <f t="shared" si="30"/>
        <v/>
      </c>
      <c r="U126" t="str">
        <f t="shared" si="31"/>
        <v/>
      </c>
      <c r="V126" t="str">
        <f>IF(L126="","",IF($AO$1=1,IFERROR(MATCH(L126,'11-تشرين الثاني'!$L$2:$L$501,0),0),0))</f>
        <v/>
      </c>
      <c r="W126" t="str">
        <f t="shared" si="32"/>
        <v/>
      </c>
      <c r="X126" s="38" t="str">
        <f>IF(L126="","",IF(V126&gt;0,INDEX('11-تشرين الثاني'!$P$2:$P$501,V126),IF($AO$1=1,0,"")))</f>
        <v/>
      </c>
      <c r="Y126" s="38" t="str">
        <f t="shared" si="33"/>
        <v/>
      </c>
      <c r="Z126" s="39" t="str">
        <f>IF(L126="","",IF(V126&gt;0,INDEX('11-تشرين الثاني'!$Q$2:$Q$501,V126),IF($AO$1=1,0,"")))</f>
        <v/>
      </c>
      <c r="AA126" s="39" t="str">
        <f t="shared" si="34"/>
        <v/>
      </c>
      <c r="AB126" s="40" t="str">
        <f>IF(OR(L126="",V126=0),"",IF(AND(N(I126)&gt;0,N(INDEX('11-تشرين الثاني'!$I$2:$I$501,V126))&gt;0,INDEX('11-تشرين الثاني'!$F$2:$F$501,V126)=F126),N(I126)/N(INDEX('11-تشرين الثاني'!$I$2:$I$501,V126))-1,""))</f>
        <v/>
      </c>
      <c r="AC126" t="str">
        <f t="shared" si="35"/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6"/>
        <v/>
      </c>
      <c r="AH126" s="39" t="str">
        <f t="shared" si="37"/>
        <v/>
      </c>
      <c r="AI126" s="39" t="str">
        <f t="shared" si="38"/>
        <v/>
      </c>
      <c r="AJ126" s="39" t="str">
        <f t="shared" si="39"/>
        <v/>
      </c>
      <c r="AK126" t="str">
        <f t="shared" si="40"/>
        <v/>
      </c>
      <c r="AL126" t="str">
        <f t="shared" si="41"/>
        <v/>
      </c>
    </row>
    <row r="127" spans="11:38" ht="15">
      <c r="K127" t="str">
        <f t="shared" si="21"/>
        <v/>
      </c>
      <c r="L127" t="str">
        <f t="shared" si="22"/>
        <v/>
      </c>
      <c r="M127" s="36" t="str">
        <f t="shared" si="23"/>
        <v/>
      </c>
      <c r="N127" s="37" t="str">
        <f t="shared" si="24"/>
        <v/>
      </c>
      <c r="O127" s="37" t="str">
        <f t="shared" si="25"/>
        <v/>
      </c>
      <c r="P127" s="38" t="str">
        <f t="shared" si="26"/>
        <v/>
      </c>
      <c r="Q127" s="39" t="str">
        <f t="shared" si="27"/>
        <v/>
      </c>
      <c r="R127" s="39" t="str">
        <f t="shared" si="28"/>
        <v/>
      </c>
      <c r="S127" t="str">
        <f t="shared" si="29"/>
        <v/>
      </c>
      <c r="T127" s="39" t="str">
        <f t="shared" si="30"/>
        <v/>
      </c>
      <c r="U127" t="str">
        <f t="shared" si="31"/>
        <v/>
      </c>
      <c r="V127" t="str">
        <f>IF(L127="","",IF($AO$1=1,IFERROR(MATCH(L127,'11-تشرين الثاني'!$L$2:$L$501,0),0),0))</f>
        <v/>
      </c>
      <c r="W127" t="str">
        <f t="shared" si="32"/>
        <v/>
      </c>
      <c r="X127" s="38" t="str">
        <f>IF(L127="","",IF(V127&gt;0,INDEX('11-تشرين الثاني'!$P$2:$P$501,V127),IF($AO$1=1,0,"")))</f>
        <v/>
      </c>
      <c r="Y127" s="38" t="str">
        <f t="shared" si="33"/>
        <v/>
      </c>
      <c r="Z127" s="39" t="str">
        <f>IF(L127="","",IF(V127&gt;0,INDEX('11-تشرين الثاني'!$Q$2:$Q$501,V127),IF($AO$1=1,0,"")))</f>
        <v/>
      </c>
      <c r="AA127" s="39" t="str">
        <f t="shared" si="34"/>
        <v/>
      </c>
      <c r="AB127" s="40" t="str">
        <f>IF(OR(L127="",V127=0),"",IF(AND(N(I127)&gt;0,N(INDEX('11-تشرين الثاني'!$I$2:$I$501,V127))&gt;0,INDEX('11-تشرين الثاني'!$F$2:$F$501,V127)=F127),N(I127)/N(INDEX('11-تشرين الثاني'!$I$2:$I$501,V127))-1,""))</f>
        <v/>
      </c>
      <c r="AC127" t="str">
        <f t="shared" si="35"/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6"/>
        <v/>
      </c>
      <c r="AH127" s="39" t="str">
        <f t="shared" si="37"/>
        <v/>
      </c>
      <c r="AI127" s="39" t="str">
        <f t="shared" si="38"/>
        <v/>
      </c>
      <c r="AJ127" s="39" t="str">
        <f t="shared" si="39"/>
        <v/>
      </c>
      <c r="AK127" t="str">
        <f t="shared" si="40"/>
        <v/>
      </c>
      <c r="AL127" t="str">
        <f t="shared" si="41"/>
        <v/>
      </c>
    </row>
    <row r="128" spans="11:38" ht="15">
      <c r="K128" t="str">
        <f t="shared" si="21"/>
        <v/>
      </c>
      <c r="L128" t="str">
        <f t="shared" si="22"/>
        <v/>
      </c>
      <c r="M128" s="36" t="str">
        <f t="shared" si="23"/>
        <v/>
      </c>
      <c r="N128" s="37" t="str">
        <f t="shared" si="24"/>
        <v/>
      </c>
      <c r="O128" s="37" t="str">
        <f t="shared" si="25"/>
        <v/>
      </c>
      <c r="P128" s="38" t="str">
        <f t="shared" si="26"/>
        <v/>
      </c>
      <c r="Q128" s="39" t="str">
        <f t="shared" si="27"/>
        <v/>
      </c>
      <c r="R128" s="39" t="str">
        <f t="shared" si="28"/>
        <v/>
      </c>
      <c r="S128" t="str">
        <f t="shared" si="29"/>
        <v/>
      </c>
      <c r="T128" s="39" t="str">
        <f t="shared" si="30"/>
        <v/>
      </c>
      <c r="U128" t="str">
        <f t="shared" si="31"/>
        <v/>
      </c>
      <c r="V128" t="str">
        <f>IF(L128="","",IF($AO$1=1,IFERROR(MATCH(L128,'11-تشرين الثاني'!$L$2:$L$501,0),0),0))</f>
        <v/>
      </c>
      <c r="W128" t="str">
        <f t="shared" si="32"/>
        <v/>
      </c>
      <c r="X128" s="38" t="str">
        <f>IF(L128="","",IF(V128&gt;0,INDEX('11-تشرين الثاني'!$P$2:$P$501,V128),IF($AO$1=1,0,"")))</f>
        <v/>
      </c>
      <c r="Y128" s="38" t="str">
        <f t="shared" si="33"/>
        <v/>
      </c>
      <c r="Z128" s="39" t="str">
        <f>IF(L128="","",IF(V128&gt;0,INDEX('11-تشرين الثاني'!$Q$2:$Q$501,V128),IF($AO$1=1,0,"")))</f>
        <v/>
      </c>
      <c r="AA128" s="39" t="str">
        <f t="shared" si="34"/>
        <v/>
      </c>
      <c r="AB128" s="40" t="str">
        <f>IF(OR(L128="",V128=0),"",IF(AND(N(I128)&gt;0,N(INDEX('11-تشرين الثاني'!$I$2:$I$501,V128))&gt;0,INDEX('11-تشرين الثاني'!$F$2:$F$501,V128)=F128),N(I128)/N(INDEX('11-تشرين الثاني'!$I$2:$I$501,V128))-1,""))</f>
        <v/>
      </c>
      <c r="AC128" t="str">
        <f t="shared" si="35"/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6"/>
        <v/>
      </c>
      <c r="AH128" s="39" t="str">
        <f t="shared" si="37"/>
        <v/>
      </c>
      <c r="AI128" s="39" t="str">
        <f t="shared" si="38"/>
        <v/>
      </c>
      <c r="AJ128" s="39" t="str">
        <f t="shared" si="39"/>
        <v/>
      </c>
      <c r="AK128" t="str">
        <f t="shared" si="40"/>
        <v/>
      </c>
      <c r="AL128" t="str">
        <f t="shared" si="41"/>
        <v/>
      </c>
    </row>
    <row r="129" spans="11:38" ht="15">
      <c r="K129" t="str">
        <f t="shared" si="21"/>
        <v/>
      </c>
      <c r="L129" t="str">
        <f t="shared" si="22"/>
        <v/>
      </c>
      <c r="M129" s="36" t="str">
        <f t="shared" si="23"/>
        <v/>
      </c>
      <c r="N129" s="37" t="str">
        <f t="shared" si="24"/>
        <v/>
      </c>
      <c r="O129" s="37" t="str">
        <f t="shared" si="25"/>
        <v/>
      </c>
      <c r="P129" s="38" t="str">
        <f t="shared" si="26"/>
        <v/>
      </c>
      <c r="Q129" s="39" t="str">
        <f t="shared" si="27"/>
        <v/>
      </c>
      <c r="R129" s="39" t="str">
        <f t="shared" si="28"/>
        <v/>
      </c>
      <c r="S129" t="str">
        <f t="shared" si="29"/>
        <v/>
      </c>
      <c r="T129" s="39" t="str">
        <f t="shared" si="30"/>
        <v/>
      </c>
      <c r="U129" t="str">
        <f t="shared" si="31"/>
        <v/>
      </c>
      <c r="V129" t="str">
        <f>IF(L129="","",IF($AO$1=1,IFERROR(MATCH(L129,'11-تشرين الثاني'!$L$2:$L$501,0),0),0))</f>
        <v/>
      </c>
      <c r="W129" t="str">
        <f t="shared" si="32"/>
        <v/>
      </c>
      <c r="X129" s="38" t="str">
        <f>IF(L129="","",IF(V129&gt;0,INDEX('11-تشرين الثاني'!$P$2:$P$501,V129),IF($AO$1=1,0,"")))</f>
        <v/>
      </c>
      <c r="Y129" s="38" t="str">
        <f t="shared" si="33"/>
        <v/>
      </c>
      <c r="Z129" s="39" t="str">
        <f>IF(L129="","",IF(V129&gt;0,INDEX('11-تشرين الثاني'!$Q$2:$Q$501,V129),IF($AO$1=1,0,"")))</f>
        <v/>
      </c>
      <c r="AA129" s="39" t="str">
        <f t="shared" si="34"/>
        <v/>
      </c>
      <c r="AB129" s="40" t="str">
        <f>IF(OR(L129="",V129=0),"",IF(AND(N(I129)&gt;0,N(INDEX('11-تشرين الثاني'!$I$2:$I$501,V129))&gt;0,INDEX('11-تشرين الثاني'!$F$2:$F$501,V129)=F129),N(I129)/N(INDEX('11-تشرين الثاني'!$I$2:$I$501,V129))-1,""))</f>
        <v/>
      </c>
      <c r="AC129" t="str">
        <f t="shared" si="35"/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6"/>
        <v/>
      </c>
      <c r="AH129" s="39" t="str">
        <f t="shared" si="37"/>
        <v/>
      </c>
      <c r="AI129" s="39" t="str">
        <f t="shared" si="38"/>
        <v/>
      </c>
      <c r="AJ129" s="39" t="str">
        <f t="shared" si="39"/>
        <v/>
      </c>
      <c r="AK129" t="str">
        <f t="shared" si="40"/>
        <v/>
      </c>
      <c r="AL129" t="str">
        <f t="shared" si="41"/>
        <v/>
      </c>
    </row>
    <row r="130" spans="11:38" ht="15">
      <c r="K130" t="str">
        <f t="shared" ref="K130:K193" si="42">IF(L130="","",IF(U130&lt;&gt;"","⚠",""))</f>
        <v/>
      </c>
      <c r="L130" t="str">
        <f t="shared" ref="L130:L193" si="43">IF(A130="","",TRIM(A130))</f>
        <v/>
      </c>
      <c r="M130" s="36" t="str">
        <f t="shared" ref="M130:M193" si="44">IF(L130="","",IF(ISNUMBER(SEARCH("دولار",F130)),1,IF(ISNUMBER(SEARCH("ليرة",F130)),IF($AO$3&gt;0,1/$AO$3,0),0)))</f>
        <v/>
      </c>
      <c r="N130" s="37" t="str">
        <f t="shared" ref="N130:N193" si="45">IF(L130="","",N(I130)*M130)</f>
        <v/>
      </c>
      <c r="O130" s="37" t="str">
        <f t="shared" ref="O130:O193" si="46">IF(L130="","",M130*CHOOSE($AO$4,N(C130),N(D130),N(E130)))</f>
        <v/>
      </c>
      <c r="P130" s="38" t="str">
        <f t="shared" ref="P130:P193" si="47">IF(L130="","",MAX(N(B130),0))</f>
        <v/>
      </c>
      <c r="Q130" s="39" t="str">
        <f t="shared" ref="Q130:Q193" si="48">IF(L130="","",P130*N130)</f>
        <v/>
      </c>
      <c r="R130" s="39" t="str">
        <f t="shared" ref="R130:R193" si="49">IF(L130="","",P130*O130)</f>
        <v/>
      </c>
      <c r="S130" t="str">
        <f t="shared" ref="S130:S193" si="50">IF(L130="","",IF(AND(P130&gt;0,N130&gt;0,O130&gt;0),1,0))</f>
        <v/>
      </c>
      <c r="T130" s="39" t="str">
        <f t="shared" ref="T130:T193" si="51">IF(L130="","",S130*(R130-Q130))</f>
        <v/>
      </c>
      <c r="U130" t="str">
        <f t="shared" ref="U130:U193" si="52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IF(L130="","",IF($AO$1=1,IFERROR(MATCH(L130,'11-تشرين الثاني'!$L$2:$L$501,0),0),0))</f>
        <v/>
      </c>
      <c r="W130" t="str">
        <f t="shared" ref="W130:W193" si="53">IF(L130="","",IF(AND($AO$1=1,V130=0),"جديد",""))</f>
        <v/>
      </c>
      <c r="X130" s="38" t="str">
        <f>IF(L130="","",IF(V130&gt;0,INDEX('11-تشرين الثاني'!$P$2:$P$501,V130),IF($AO$1=1,0,"")))</f>
        <v/>
      </c>
      <c r="Y130" s="38" t="str">
        <f t="shared" ref="Y130:Y193" si="54">IF(OR(L130="",X130=""),"",P130-X130)</f>
        <v/>
      </c>
      <c r="Z130" s="39" t="str">
        <f>IF(L130="","",IF(V130&gt;0,INDEX('11-تشرين الثاني'!$Q$2:$Q$501,V130),IF($AO$1=1,0,"")))</f>
        <v/>
      </c>
      <c r="AA130" s="39" t="str">
        <f t="shared" ref="AA130:AA193" si="55">IF(OR(L130="",Z130=""),"",Q130-Z130)</f>
        <v/>
      </c>
      <c r="AB130" s="40" t="str">
        <f>IF(OR(L130="",V130=0),"",IF(AND(N(I130)&gt;0,N(INDEX('11-تشرين الثاني'!$I$2:$I$501,V130))&gt;0,INDEX('11-تشرين الثاني'!$F$2:$F$501,V130)=F130),N(I130)/N(INDEX('11-تشرين الثاني'!$I$2:$I$501,V130))-1,""))</f>
        <v/>
      </c>
      <c r="AC130" t="str">
        <f t="shared" ref="AC130:AC193" si="56">IF(L130="","","")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7">IF(AA130="","",ABS(AA130)+ROW()/1000000000)</f>
        <v/>
      </c>
      <c r="AH130" s="39" t="str">
        <f t="shared" ref="AH130:AH193" si="58">IF(L130="","",IF(AND(P130&gt;0,N130&gt;0,N(C130)&gt;0),P130*(M130*N(C130)-N130),0))</f>
        <v/>
      </c>
      <c r="AI130" s="39" t="str">
        <f t="shared" ref="AI130:AI193" si="59">IF(L130="","",IF(AND(P130&gt;0,N130&gt;0,N(D130)&gt;0),P130*(M130*N(D130)-N130),0))</f>
        <v/>
      </c>
      <c r="AJ130" s="39" t="str">
        <f t="shared" ref="AJ130:AJ193" si="60">IF(L130="","",IF(AND(P130&gt;0,N130&gt;0,N(E130)&gt;0),P130*(M130*N(E130)-N130),0))</f>
        <v/>
      </c>
      <c r="AK130" t="str">
        <f t="shared" ref="AK130:AK193" si="61">IF(L130="","",Q130+ROW()/1000000000)</f>
        <v/>
      </c>
      <c r="AL130" t="str">
        <f t="shared" ref="AL130:AL193" si="62">IF(L130="","",T130+ROW()/1000000000)</f>
        <v/>
      </c>
    </row>
    <row r="131" spans="11:38" ht="15">
      <c r="K131" t="str">
        <f t="shared" si="42"/>
        <v/>
      </c>
      <c r="L131" t="str">
        <f t="shared" si="43"/>
        <v/>
      </c>
      <c r="M131" s="36" t="str">
        <f t="shared" si="44"/>
        <v/>
      </c>
      <c r="N131" s="37" t="str">
        <f t="shared" si="45"/>
        <v/>
      </c>
      <c r="O131" s="37" t="str">
        <f t="shared" si="46"/>
        <v/>
      </c>
      <c r="P131" s="38" t="str">
        <f t="shared" si="47"/>
        <v/>
      </c>
      <c r="Q131" s="39" t="str">
        <f t="shared" si="48"/>
        <v/>
      </c>
      <c r="R131" s="39" t="str">
        <f t="shared" si="49"/>
        <v/>
      </c>
      <c r="S131" t="str">
        <f t="shared" si="50"/>
        <v/>
      </c>
      <c r="T131" s="39" t="str">
        <f t="shared" si="51"/>
        <v/>
      </c>
      <c r="U131" t="str">
        <f t="shared" si="52"/>
        <v/>
      </c>
      <c r="V131" t="str">
        <f>IF(L131="","",IF($AO$1=1,IFERROR(MATCH(L131,'11-تشرين الثاني'!$L$2:$L$501,0),0),0))</f>
        <v/>
      </c>
      <c r="W131" t="str">
        <f t="shared" si="53"/>
        <v/>
      </c>
      <c r="X131" s="38" t="str">
        <f>IF(L131="","",IF(V131&gt;0,INDEX('11-تشرين الثاني'!$P$2:$P$501,V131),IF($AO$1=1,0,"")))</f>
        <v/>
      </c>
      <c r="Y131" s="38" t="str">
        <f t="shared" si="54"/>
        <v/>
      </c>
      <c r="Z131" s="39" t="str">
        <f>IF(L131="","",IF(V131&gt;0,INDEX('11-تشرين الثاني'!$Q$2:$Q$501,V131),IF($AO$1=1,0,"")))</f>
        <v/>
      </c>
      <c r="AA131" s="39" t="str">
        <f t="shared" si="55"/>
        <v/>
      </c>
      <c r="AB131" s="40" t="str">
        <f>IF(OR(L131="",V131=0),"",IF(AND(N(I131)&gt;0,N(INDEX('11-تشرين الثاني'!$I$2:$I$501,V131))&gt;0,INDEX('11-تشرين الثاني'!$F$2:$F$501,V131)=F131),N(I131)/N(INDEX('11-تشرين الثاني'!$I$2:$I$501,V131))-1,""))</f>
        <v/>
      </c>
      <c r="AC131" t="str">
        <f t="shared" si="56"/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7"/>
        <v/>
      </c>
      <c r="AH131" s="39" t="str">
        <f t="shared" si="58"/>
        <v/>
      </c>
      <c r="AI131" s="39" t="str">
        <f t="shared" si="59"/>
        <v/>
      </c>
      <c r="AJ131" s="39" t="str">
        <f t="shared" si="60"/>
        <v/>
      </c>
      <c r="AK131" t="str">
        <f t="shared" si="61"/>
        <v/>
      </c>
      <c r="AL131" t="str">
        <f t="shared" si="62"/>
        <v/>
      </c>
    </row>
    <row r="132" spans="11:38" ht="15">
      <c r="K132" t="str">
        <f t="shared" si="42"/>
        <v/>
      </c>
      <c r="L132" t="str">
        <f t="shared" si="43"/>
        <v/>
      </c>
      <c r="M132" s="36" t="str">
        <f t="shared" si="44"/>
        <v/>
      </c>
      <c r="N132" s="37" t="str">
        <f t="shared" si="45"/>
        <v/>
      </c>
      <c r="O132" s="37" t="str">
        <f t="shared" si="46"/>
        <v/>
      </c>
      <c r="P132" s="38" t="str">
        <f t="shared" si="47"/>
        <v/>
      </c>
      <c r="Q132" s="39" t="str">
        <f t="shared" si="48"/>
        <v/>
      </c>
      <c r="R132" s="39" t="str">
        <f t="shared" si="49"/>
        <v/>
      </c>
      <c r="S132" t="str">
        <f t="shared" si="50"/>
        <v/>
      </c>
      <c r="T132" s="39" t="str">
        <f t="shared" si="51"/>
        <v/>
      </c>
      <c r="U132" t="str">
        <f t="shared" si="52"/>
        <v/>
      </c>
      <c r="V132" t="str">
        <f>IF(L132="","",IF($AO$1=1,IFERROR(MATCH(L132,'11-تشرين الثاني'!$L$2:$L$501,0),0),0))</f>
        <v/>
      </c>
      <c r="W132" t="str">
        <f t="shared" si="53"/>
        <v/>
      </c>
      <c r="X132" s="38" t="str">
        <f>IF(L132="","",IF(V132&gt;0,INDEX('11-تشرين الثاني'!$P$2:$P$501,V132),IF($AO$1=1,0,"")))</f>
        <v/>
      </c>
      <c r="Y132" s="38" t="str">
        <f t="shared" si="54"/>
        <v/>
      </c>
      <c r="Z132" s="39" t="str">
        <f>IF(L132="","",IF(V132&gt;0,INDEX('11-تشرين الثاني'!$Q$2:$Q$501,V132),IF($AO$1=1,0,"")))</f>
        <v/>
      </c>
      <c r="AA132" s="39" t="str">
        <f t="shared" si="55"/>
        <v/>
      </c>
      <c r="AB132" s="40" t="str">
        <f>IF(OR(L132="",V132=0),"",IF(AND(N(I132)&gt;0,N(INDEX('11-تشرين الثاني'!$I$2:$I$501,V132))&gt;0,INDEX('11-تشرين الثاني'!$F$2:$F$501,V132)=F132),N(I132)/N(INDEX('11-تشرين الثاني'!$I$2:$I$501,V132))-1,""))</f>
        <v/>
      </c>
      <c r="AC132" t="str">
        <f t="shared" si="56"/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7"/>
        <v/>
      </c>
      <c r="AH132" s="39" t="str">
        <f t="shared" si="58"/>
        <v/>
      </c>
      <c r="AI132" s="39" t="str">
        <f t="shared" si="59"/>
        <v/>
      </c>
      <c r="AJ132" s="39" t="str">
        <f t="shared" si="60"/>
        <v/>
      </c>
      <c r="AK132" t="str">
        <f t="shared" si="61"/>
        <v/>
      </c>
      <c r="AL132" t="str">
        <f t="shared" si="62"/>
        <v/>
      </c>
    </row>
    <row r="133" spans="11:38" ht="15">
      <c r="K133" t="str">
        <f t="shared" si="42"/>
        <v/>
      </c>
      <c r="L133" t="str">
        <f t="shared" si="43"/>
        <v/>
      </c>
      <c r="M133" s="36" t="str">
        <f t="shared" si="44"/>
        <v/>
      </c>
      <c r="N133" s="37" t="str">
        <f t="shared" si="45"/>
        <v/>
      </c>
      <c r="O133" s="37" t="str">
        <f t="shared" si="46"/>
        <v/>
      </c>
      <c r="P133" s="38" t="str">
        <f t="shared" si="47"/>
        <v/>
      </c>
      <c r="Q133" s="39" t="str">
        <f t="shared" si="48"/>
        <v/>
      </c>
      <c r="R133" s="39" t="str">
        <f t="shared" si="49"/>
        <v/>
      </c>
      <c r="S133" t="str">
        <f t="shared" si="50"/>
        <v/>
      </c>
      <c r="T133" s="39" t="str">
        <f t="shared" si="51"/>
        <v/>
      </c>
      <c r="U133" t="str">
        <f t="shared" si="52"/>
        <v/>
      </c>
      <c r="V133" t="str">
        <f>IF(L133="","",IF($AO$1=1,IFERROR(MATCH(L133,'11-تشرين الثاني'!$L$2:$L$501,0),0),0))</f>
        <v/>
      </c>
      <c r="W133" t="str">
        <f t="shared" si="53"/>
        <v/>
      </c>
      <c r="X133" s="38" t="str">
        <f>IF(L133="","",IF(V133&gt;0,INDEX('11-تشرين الثاني'!$P$2:$P$501,V133),IF($AO$1=1,0,"")))</f>
        <v/>
      </c>
      <c r="Y133" s="38" t="str">
        <f t="shared" si="54"/>
        <v/>
      </c>
      <c r="Z133" s="39" t="str">
        <f>IF(L133="","",IF(V133&gt;0,INDEX('11-تشرين الثاني'!$Q$2:$Q$501,V133),IF($AO$1=1,0,"")))</f>
        <v/>
      </c>
      <c r="AA133" s="39" t="str">
        <f t="shared" si="55"/>
        <v/>
      </c>
      <c r="AB133" s="40" t="str">
        <f>IF(OR(L133="",V133=0),"",IF(AND(N(I133)&gt;0,N(INDEX('11-تشرين الثاني'!$I$2:$I$501,V133))&gt;0,INDEX('11-تشرين الثاني'!$F$2:$F$501,V133)=F133),N(I133)/N(INDEX('11-تشرين الثاني'!$I$2:$I$501,V133))-1,""))</f>
        <v/>
      </c>
      <c r="AC133" t="str">
        <f t="shared" si="56"/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7"/>
        <v/>
      </c>
      <c r="AH133" s="39" t="str">
        <f t="shared" si="58"/>
        <v/>
      </c>
      <c r="AI133" s="39" t="str">
        <f t="shared" si="59"/>
        <v/>
      </c>
      <c r="AJ133" s="39" t="str">
        <f t="shared" si="60"/>
        <v/>
      </c>
      <c r="AK133" t="str">
        <f t="shared" si="61"/>
        <v/>
      </c>
      <c r="AL133" t="str">
        <f t="shared" si="62"/>
        <v/>
      </c>
    </row>
    <row r="134" spans="11:38" ht="15">
      <c r="K134" t="str">
        <f t="shared" si="42"/>
        <v/>
      </c>
      <c r="L134" t="str">
        <f t="shared" si="43"/>
        <v/>
      </c>
      <c r="M134" s="36" t="str">
        <f t="shared" si="44"/>
        <v/>
      </c>
      <c r="N134" s="37" t="str">
        <f t="shared" si="45"/>
        <v/>
      </c>
      <c r="O134" s="37" t="str">
        <f t="shared" si="46"/>
        <v/>
      </c>
      <c r="P134" s="38" t="str">
        <f t="shared" si="47"/>
        <v/>
      </c>
      <c r="Q134" s="39" t="str">
        <f t="shared" si="48"/>
        <v/>
      </c>
      <c r="R134" s="39" t="str">
        <f t="shared" si="49"/>
        <v/>
      </c>
      <c r="S134" t="str">
        <f t="shared" si="50"/>
        <v/>
      </c>
      <c r="T134" s="39" t="str">
        <f t="shared" si="51"/>
        <v/>
      </c>
      <c r="U134" t="str">
        <f t="shared" si="52"/>
        <v/>
      </c>
      <c r="V134" t="str">
        <f>IF(L134="","",IF($AO$1=1,IFERROR(MATCH(L134,'11-تشرين الثاني'!$L$2:$L$501,0),0),0))</f>
        <v/>
      </c>
      <c r="W134" t="str">
        <f t="shared" si="53"/>
        <v/>
      </c>
      <c r="X134" s="38" t="str">
        <f>IF(L134="","",IF(V134&gt;0,INDEX('11-تشرين الثاني'!$P$2:$P$501,V134),IF($AO$1=1,0,"")))</f>
        <v/>
      </c>
      <c r="Y134" s="38" t="str">
        <f t="shared" si="54"/>
        <v/>
      </c>
      <c r="Z134" s="39" t="str">
        <f>IF(L134="","",IF(V134&gt;0,INDEX('11-تشرين الثاني'!$Q$2:$Q$501,V134),IF($AO$1=1,0,"")))</f>
        <v/>
      </c>
      <c r="AA134" s="39" t="str">
        <f t="shared" si="55"/>
        <v/>
      </c>
      <c r="AB134" s="40" t="str">
        <f>IF(OR(L134="",V134=0),"",IF(AND(N(I134)&gt;0,N(INDEX('11-تشرين الثاني'!$I$2:$I$501,V134))&gt;0,INDEX('11-تشرين الثاني'!$F$2:$F$501,V134)=F134),N(I134)/N(INDEX('11-تشرين الثاني'!$I$2:$I$501,V134))-1,""))</f>
        <v/>
      </c>
      <c r="AC134" t="str">
        <f t="shared" si="56"/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7"/>
        <v/>
      </c>
      <c r="AH134" s="39" t="str">
        <f t="shared" si="58"/>
        <v/>
      </c>
      <c r="AI134" s="39" t="str">
        <f t="shared" si="59"/>
        <v/>
      </c>
      <c r="AJ134" s="39" t="str">
        <f t="shared" si="60"/>
        <v/>
      </c>
      <c r="AK134" t="str">
        <f t="shared" si="61"/>
        <v/>
      </c>
      <c r="AL134" t="str">
        <f t="shared" si="62"/>
        <v/>
      </c>
    </row>
    <row r="135" spans="11:38" ht="15">
      <c r="K135" t="str">
        <f t="shared" si="42"/>
        <v/>
      </c>
      <c r="L135" t="str">
        <f t="shared" si="43"/>
        <v/>
      </c>
      <c r="M135" s="36" t="str">
        <f t="shared" si="44"/>
        <v/>
      </c>
      <c r="N135" s="37" t="str">
        <f t="shared" si="45"/>
        <v/>
      </c>
      <c r="O135" s="37" t="str">
        <f t="shared" si="46"/>
        <v/>
      </c>
      <c r="P135" s="38" t="str">
        <f t="shared" si="47"/>
        <v/>
      </c>
      <c r="Q135" s="39" t="str">
        <f t="shared" si="48"/>
        <v/>
      </c>
      <c r="R135" s="39" t="str">
        <f t="shared" si="49"/>
        <v/>
      </c>
      <c r="S135" t="str">
        <f t="shared" si="50"/>
        <v/>
      </c>
      <c r="T135" s="39" t="str">
        <f t="shared" si="51"/>
        <v/>
      </c>
      <c r="U135" t="str">
        <f t="shared" si="52"/>
        <v/>
      </c>
      <c r="V135" t="str">
        <f>IF(L135="","",IF($AO$1=1,IFERROR(MATCH(L135,'11-تشرين الثاني'!$L$2:$L$501,0),0),0))</f>
        <v/>
      </c>
      <c r="W135" t="str">
        <f t="shared" si="53"/>
        <v/>
      </c>
      <c r="X135" s="38" t="str">
        <f>IF(L135="","",IF(V135&gt;0,INDEX('11-تشرين الثاني'!$P$2:$P$501,V135),IF($AO$1=1,0,"")))</f>
        <v/>
      </c>
      <c r="Y135" s="38" t="str">
        <f t="shared" si="54"/>
        <v/>
      </c>
      <c r="Z135" s="39" t="str">
        <f>IF(L135="","",IF(V135&gt;0,INDEX('11-تشرين الثاني'!$Q$2:$Q$501,V135),IF($AO$1=1,0,"")))</f>
        <v/>
      </c>
      <c r="AA135" s="39" t="str">
        <f t="shared" si="55"/>
        <v/>
      </c>
      <c r="AB135" s="40" t="str">
        <f>IF(OR(L135="",V135=0),"",IF(AND(N(I135)&gt;0,N(INDEX('11-تشرين الثاني'!$I$2:$I$501,V135))&gt;0,INDEX('11-تشرين الثاني'!$F$2:$F$501,V135)=F135),N(I135)/N(INDEX('11-تشرين الثاني'!$I$2:$I$501,V135))-1,""))</f>
        <v/>
      </c>
      <c r="AC135" t="str">
        <f t="shared" si="56"/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7"/>
        <v/>
      </c>
      <c r="AH135" s="39" t="str">
        <f t="shared" si="58"/>
        <v/>
      </c>
      <c r="AI135" s="39" t="str">
        <f t="shared" si="59"/>
        <v/>
      </c>
      <c r="AJ135" s="39" t="str">
        <f t="shared" si="60"/>
        <v/>
      </c>
      <c r="AK135" t="str">
        <f t="shared" si="61"/>
        <v/>
      </c>
      <c r="AL135" t="str">
        <f t="shared" si="62"/>
        <v/>
      </c>
    </row>
    <row r="136" spans="11:38" ht="15">
      <c r="K136" t="str">
        <f t="shared" si="42"/>
        <v/>
      </c>
      <c r="L136" t="str">
        <f t="shared" si="43"/>
        <v/>
      </c>
      <c r="M136" s="36" t="str">
        <f t="shared" si="44"/>
        <v/>
      </c>
      <c r="N136" s="37" t="str">
        <f t="shared" si="45"/>
        <v/>
      </c>
      <c r="O136" s="37" t="str">
        <f t="shared" si="46"/>
        <v/>
      </c>
      <c r="P136" s="38" t="str">
        <f t="shared" si="47"/>
        <v/>
      </c>
      <c r="Q136" s="39" t="str">
        <f t="shared" si="48"/>
        <v/>
      </c>
      <c r="R136" s="39" t="str">
        <f t="shared" si="49"/>
        <v/>
      </c>
      <c r="S136" t="str">
        <f t="shared" si="50"/>
        <v/>
      </c>
      <c r="T136" s="39" t="str">
        <f t="shared" si="51"/>
        <v/>
      </c>
      <c r="U136" t="str">
        <f t="shared" si="52"/>
        <v/>
      </c>
      <c r="V136" t="str">
        <f>IF(L136="","",IF($AO$1=1,IFERROR(MATCH(L136,'11-تشرين الثاني'!$L$2:$L$501,0),0),0))</f>
        <v/>
      </c>
      <c r="W136" t="str">
        <f t="shared" si="53"/>
        <v/>
      </c>
      <c r="X136" s="38" t="str">
        <f>IF(L136="","",IF(V136&gt;0,INDEX('11-تشرين الثاني'!$P$2:$P$501,V136),IF($AO$1=1,0,"")))</f>
        <v/>
      </c>
      <c r="Y136" s="38" t="str">
        <f t="shared" si="54"/>
        <v/>
      </c>
      <c r="Z136" s="39" t="str">
        <f>IF(L136="","",IF(V136&gt;0,INDEX('11-تشرين الثاني'!$Q$2:$Q$501,V136),IF($AO$1=1,0,"")))</f>
        <v/>
      </c>
      <c r="AA136" s="39" t="str">
        <f t="shared" si="55"/>
        <v/>
      </c>
      <c r="AB136" s="40" t="str">
        <f>IF(OR(L136="",V136=0),"",IF(AND(N(I136)&gt;0,N(INDEX('11-تشرين الثاني'!$I$2:$I$501,V136))&gt;0,INDEX('11-تشرين الثاني'!$F$2:$F$501,V136)=F136),N(I136)/N(INDEX('11-تشرين الثاني'!$I$2:$I$501,V136))-1,""))</f>
        <v/>
      </c>
      <c r="AC136" t="str">
        <f t="shared" si="56"/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7"/>
        <v/>
      </c>
      <c r="AH136" s="39" t="str">
        <f t="shared" si="58"/>
        <v/>
      </c>
      <c r="AI136" s="39" t="str">
        <f t="shared" si="59"/>
        <v/>
      </c>
      <c r="AJ136" s="39" t="str">
        <f t="shared" si="60"/>
        <v/>
      </c>
      <c r="AK136" t="str">
        <f t="shared" si="61"/>
        <v/>
      </c>
      <c r="AL136" t="str">
        <f t="shared" si="62"/>
        <v/>
      </c>
    </row>
    <row r="137" spans="11:38" ht="15">
      <c r="K137" t="str">
        <f t="shared" si="42"/>
        <v/>
      </c>
      <c r="L137" t="str">
        <f t="shared" si="43"/>
        <v/>
      </c>
      <c r="M137" s="36" t="str">
        <f t="shared" si="44"/>
        <v/>
      </c>
      <c r="N137" s="37" t="str">
        <f t="shared" si="45"/>
        <v/>
      </c>
      <c r="O137" s="37" t="str">
        <f t="shared" si="46"/>
        <v/>
      </c>
      <c r="P137" s="38" t="str">
        <f t="shared" si="47"/>
        <v/>
      </c>
      <c r="Q137" s="39" t="str">
        <f t="shared" si="48"/>
        <v/>
      </c>
      <c r="R137" s="39" t="str">
        <f t="shared" si="49"/>
        <v/>
      </c>
      <c r="S137" t="str">
        <f t="shared" si="50"/>
        <v/>
      </c>
      <c r="T137" s="39" t="str">
        <f t="shared" si="51"/>
        <v/>
      </c>
      <c r="U137" t="str">
        <f t="shared" si="52"/>
        <v/>
      </c>
      <c r="V137" t="str">
        <f>IF(L137="","",IF($AO$1=1,IFERROR(MATCH(L137,'11-تشرين الثاني'!$L$2:$L$501,0),0),0))</f>
        <v/>
      </c>
      <c r="W137" t="str">
        <f t="shared" si="53"/>
        <v/>
      </c>
      <c r="X137" s="38" t="str">
        <f>IF(L137="","",IF(V137&gt;0,INDEX('11-تشرين الثاني'!$P$2:$P$501,V137),IF($AO$1=1,0,"")))</f>
        <v/>
      </c>
      <c r="Y137" s="38" t="str">
        <f t="shared" si="54"/>
        <v/>
      </c>
      <c r="Z137" s="39" t="str">
        <f>IF(L137="","",IF(V137&gt;0,INDEX('11-تشرين الثاني'!$Q$2:$Q$501,V137),IF($AO$1=1,0,"")))</f>
        <v/>
      </c>
      <c r="AA137" s="39" t="str">
        <f t="shared" si="55"/>
        <v/>
      </c>
      <c r="AB137" s="40" t="str">
        <f>IF(OR(L137="",V137=0),"",IF(AND(N(I137)&gt;0,N(INDEX('11-تشرين الثاني'!$I$2:$I$501,V137))&gt;0,INDEX('11-تشرين الثاني'!$F$2:$F$501,V137)=F137),N(I137)/N(INDEX('11-تشرين الثاني'!$I$2:$I$501,V137))-1,""))</f>
        <v/>
      </c>
      <c r="AC137" t="str">
        <f t="shared" si="56"/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7"/>
        <v/>
      </c>
      <c r="AH137" s="39" t="str">
        <f t="shared" si="58"/>
        <v/>
      </c>
      <c r="AI137" s="39" t="str">
        <f t="shared" si="59"/>
        <v/>
      </c>
      <c r="AJ137" s="39" t="str">
        <f t="shared" si="60"/>
        <v/>
      </c>
      <c r="AK137" t="str">
        <f t="shared" si="61"/>
        <v/>
      </c>
      <c r="AL137" t="str">
        <f t="shared" si="62"/>
        <v/>
      </c>
    </row>
    <row r="138" spans="11:38" ht="15">
      <c r="K138" t="str">
        <f t="shared" si="42"/>
        <v/>
      </c>
      <c r="L138" t="str">
        <f t="shared" si="43"/>
        <v/>
      </c>
      <c r="M138" s="36" t="str">
        <f t="shared" si="44"/>
        <v/>
      </c>
      <c r="N138" s="37" t="str">
        <f t="shared" si="45"/>
        <v/>
      </c>
      <c r="O138" s="37" t="str">
        <f t="shared" si="46"/>
        <v/>
      </c>
      <c r="P138" s="38" t="str">
        <f t="shared" si="47"/>
        <v/>
      </c>
      <c r="Q138" s="39" t="str">
        <f t="shared" si="48"/>
        <v/>
      </c>
      <c r="R138" s="39" t="str">
        <f t="shared" si="49"/>
        <v/>
      </c>
      <c r="S138" t="str">
        <f t="shared" si="50"/>
        <v/>
      </c>
      <c r="T138" s="39" t="str">
        <f t="shared" si="51"/>
        <v/>
      </c>
      <c r="U138" t="str">
        <f t="shared" si="52"/>
        <v/>
      </c>
      <c r="V138" t="str">
        <f>IF(L138="","",IF($AO$1=1,IFERROR(MATCH(L138,'11-تشرين الثاني'!$L$2:$L$501,0),0),0))</f>
        <v/>
      </c>
      <c r="W138" t="str">
        <f t="shared" si="53"/>
        <v/>
      </c>
      <c r="X138" s="38" t="str">
        <f>IF(L138="","",IF(V138&gt;0,INDEX('11-تشرين الثاني'!$P$2:$P$501,V138),IF($AO$1=1,0,"")))</f>
        <v/>
      </c>
      <c r="Y138" s="38" t="str">
        <f t="shared" si="54"/>
        <v/>
      </c>
      <c r="Z138" s="39" t="str">
        <f>IF(L138="","",IF(V138&gt;0,INDEX('11-تشرين الثاني'!$Q$2:$Q$501,V138),IF($AO$1=1,0,"")))</f>
        <v/>
      </c>
      <c r="AA138" s="39" t="str">
        <f t="shared" si="55"/>
        <v/>
      </c>
      <c r="AB138" s="40" t="str">
        <f>IF(OR(L138="",V138=0),"",IF(AND(N(I138)&gt;0,N(INDEX('11-تشرين الثاني'!$I$2:$I$501,V138))&gt;0,INDEX('11-تشرين الثاني'!$F$2:$F$501,V138)=F138),N(I138)/N(INDEX('11-تشرين الثاني'!$I$2:$I$501,V138))-1,""))</f>
        <v/>
      </c>
      <c r="AC138" t="str">
        <f t="shared" si="56"/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7"/>
        <v/>
      </c>
      <c r="AH138" s="39" t="str">
        <f t="shared" si="58"/>
        <v/>
      </c>
      <c r="AI138" s="39" t="str">
        <f t="shared" si="59"/>
        <v/>
      </c>
      <c r="AJ138" s="39" t="str">
        <f t="shared" si="60"/>
        <v/>
      </c>
      <c r="AK138" t="str">
        <f t="shared" si="61"/>
        <v/>
      </c>
      <c r="AL138" t="str">
        <f t="shared" si="62"/>
        <v/>
      </c>
    </row>
    <row r="139" spans="11:38" ht="15">
      <c r="K139" t="str">
        <f t="shared" si="42"/>
        <v/>
      </c>
      <c r="L139" t="str">
        <f t="shared" si="43"/>
        <v/>
      </c>
      <c r="M139" s="36" t="str">
        <f t="shared" si="44"/>
        <v/>
      </c>
      <c r="N139" s="37" t="str">
        <f t="shared" si="45"/>
        <v/>
      </c>
      <c r="O139" s="37" t="str">
        <f t="shared" si="46"/>
        <v/>
      </c>
      <c r="P139" s="38" t="str">
        <f t="shared" si="47"/>
        <v/>
      </c>
      <c r="Q139" s="39" t="str">
        <f t="shared" si="48"/>
        <v/>
      </c>
      <c r="R139" s="39" t="str">
        <f t="shared" si="49"/>
        <v/>
      </c>
      <c r="S139" t="str">
        <f t="shared" si="50"/>
        <v/>
      </c>
      <c r="T139" s="39" t="str">
        <f t="shared" si="51"/>
        <v/>
      </c>
      <c r="U139" t="str">
        <f t="shared" si="52"/>
        <v/>
      </c>
      <c r="V139" t="str">
        <f>IF(L139="","",IF($AO$1=1,IFERROR(MATCH(L139,'11-تشرين الثاني'!$L$2:$L$501,0),0),0))</f>
        <v/>
      </c>
      <c r="W139" t="str">
        <f t="shared" si="53"/>
        <v/>
      </c>
      <c r="X139" s="38" t="str">
        <f>IF(L139="","",IF(V139&gt;0,INDEX('11-تشرين الثاني'!$P$2:$P$501,V139),IF($AO$1=1,0,"")))</f>
        <v/>
      </c>
      <c r="Y139" s="38" t="str">
        <f t="shared" si="54"/>
        <v/>
      </c>
      <c r="Z139" s="39" t="str">
        <f>IF(L139="","",IF(V139&gt;0,INDEX('11-تشرين الثاني'!$Q$2:$Q$501,V139),IF($AO$1=1,0,"")))</f>
        <v/>
      </c>
      <c r="AA139" s="39" t="str">
        <f t="shared" si="55"/>
        <v/>
      </c>
      <c r="AB139" s="40" t="str">
        <f>IF(OR(L139="",V139=0),"",IF(AND(N(I139)&gt;0,N(INDEX('11-تشرين الثاني'!$I$2:$I$501,V139))&gt;0,INDEX('11-تشرين الثاني'!$F$2:$F$501,V139)=F139),N(I139)/N(INDEX('11-تشرين الثاني'!$I$2:$I$501,V139))-1,""))</f>
        <v/>
      </c>
      <c r="AC139" t="str">
        <f t="shared" si="56"/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7"/>
        <v/>
      </c>
      <c r="AH139" s="39" t="str">
        <f t="shared" si="58"/>
        <v/>
      </c>
      <c r="AI139" s="39" t="str">
        <f t="shared" si="59"/>
        <v/>
      </c>
      <c r="AJ139" s="39" t="str">
        <f t="shared" si="60"/>
        <v/>
      </c>
      <c r="AK139" t="str">
        <f t="shared" si="61"/>
        <v/>
      </c>
      <c r="AL139" t="str">
        <f t="shared" si="62"/>
        <v/>
      </c>
    </row>
    <row r="140" spans="11:38" ht="15">
      <c r="K140" t="str">
        <f t="shared" si="42"/>
        <v/>
      </c>
      <c r="L140" t="str">
        <f t="shared" si="43"/>
        <v/>
      </c>
      <c r="M140" s="36" t="str">
        <f t="shared" si="44"/>
        <v/>
      </c>
      <c r="N140" s="37" t="str">
        <f t="shared" si="45"/>
        <v/>
      </c>
      <c r="O140" s="37" t="str">
        <f t="shared" si="46"/>
        <v/>
      </c>
      <c r="P140" s="38" t="str">
        <f t="shared" si="47"/>
        <v/>
      </c>
      <c r="Q140" s="39" t="str">
        <f t="shared" si="48"/>
        <v/>
      </c>
      <c r="R140" s="39" t="str">
        <f t="shared" si="49"/>
        <v/>
      </c>
      <c r="S140" t="str">
        <f t="shared" si="50"/>
        <v/>
      </c>
      <c r="T140" s="39" t="str">
        <f t="shared" si="51"/>
        <v/>
      </c>
      <c r="U140" t="str">
        <f t="shared" si="52"/>
        <v/>
      </c>
      <c r="V140" t="str">
        <f>IF(L140="","",IF($AO$1=1,IFERROR(MATCH(L140,'11-تشرين الثاني'!$L$2:$L$501,0),0),0))</f>
        <v/>
      </c>
      <c r="W140" t="str">
        <f t="shared" si="53"/>
        <v/>
      </c>
      <c r="X140" s="38" t="str">
        <f>IF(L140="","",IF(V140&gt;0,INDEX('11-تشرين الثاني'!$P$2:$P$501,V140),IF($AO$1=1,0,"")))</f>
        <v/>
      </c>
      <c r="Y140" s="38" t="str">
        <f t="shared" si="54"/>
        <v/>
      </c>
      <c r="Z140" s="39" t="str">
        <f>IF(L140="","",IF(V140&gt;0,INDEX('11-تشرين الثاني'!$Q$2:$Q$501,V140),IF($AO$1=1,0,"")))</f>
        <v/>
      </c>
      <c r="AA140" s="39" t="str">
        <f t="shared" si="55"/>
        <v/>
      </c>
      <c r="AB140" s="40" t="str">
        <f>IF(OR(L140="",V140=0),"",IF(AND(N(I140)&gt;0,N(INDEX('11-تشرين الثاني'!$I$2:$I$501,V140))&gt;0,INDEX('11-تشرين الثاني'!$F$2:$F$501,V140)=F140),N(I140)/N(INDEX('11-تشرين الثاني'!$I$2:$I$501,V140))-1,""))</f>
        <v/>
      </c>
      <c r="AC140" t="str">
        <f t="shared" si="56"/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7"/>
        <v/>
      </c>
      <c r="AH140" s="39" t="str">
        <f t="shared" si="58"/>
        <v/>
      </c>
      <c r="AI140" s="39" t="str">
        <f t="shared" si="59"/>
        <v/>
      </c>
      <c r="AJ140" s="39" t="str">
        <f t="shared" si="60"/>
        <v/>
      </c>
      <c r="AK140" t="str">
        <f t="shared" si="61"/>
        <v/>
      </c>
      <c r="AL140" t="str">
        <f t="shared" si="62"/>
        <v/>
      </c>
    </row>
    <row r="141" spans="11:38" ht="15">
      <c r="K141" t="str">
        <f t="shared" si="42"/>
        <v/>
      </c>
      <c r="L141" t="str">
        <f t="shared" si="43"/>
        <v/>
      </c>
      <c r="M141" s="36" t="str">
        <f t="shared" si="44"/>
        <v/>
      </c>
      <c r="N141" s="37" t="str">
        <f t="shared" si="45"/>
        <v/>
      </c>
      <c r="O141" s="37" t="str">
        <f t="shared" si="46"/>
        <v/>
      </c>
      <c r="P141" s="38" t="str">
        <f t="shared" si="47"/>
        <v/>
      </c>
      <c r="Q141" s="39" t="str">
        <f t="shared" si="48"/>
        <v/>
      </c>
      <c r="R141" s="39" t="str">
        <f t="shared" si="49"/>
        <v/>
      </c>
      <c r="S141" t="str">
        <f t="shared" si="50"/>
        <v/>
      </c>
      <c r="T141" s="39" t="str">
        <f t="shared" si="51"/>
        <v/>
      </c>
      <c r="U141" t="str">
        <f t="shared" si="52"/>
        <v/>
      </c>
      <c r="V141" t="str">
        <f>IF(L141="","",IF($AO$1=1,IFERROR(MATCH(L141,'11-تشرين الثاني'!$L$2:$L$501,0),0),0))</f>
        <v/>
      </c>
      <c r="W141" t="str">
        <f t="shared" si="53"/>
        <v/>
      </c>
      <c r="X141" s="38" t="str">
        <f>IF(L141="","",IF(V141&gt;0,INDEX('11-تشرين الثاني'!$P$2:$P$501,V141),IF($AO$1=1,0,"")))</f>
        <v/>
      </c>
      <c r="Y141" s="38" t="str">
        <f t="shared" si="54"/>
        <v/>
      </c>
      <c r="Z141" s="39" t="str">
        <f>IF(L141="","",IF(V141&gt;0,INDEX('11-تشرين الثاني'!$Q$2:$Q$501,V141),IF($AO$1=1,0,"")))</f>
        <v/>
      </c>
      <c r="AA141" s="39" t="str">
        <f t="shared" si="55"/>
        <v/>
      </c>
      <c r="AB141" s="40" t="str">
        <f>IF(OR(L141="",V141=0),"",IF(AND(N(I141)&gt;0,N(INDEX('11-تشرين الثاني'!$I$2:$I$501,V141))&gt;0,INDEX('11-تشرين الثاني'!$F$2:$F$501,V141)=F141),N(I141)/N(INDEX('11-تشرين الثاني'!$I$2:$I$501,V141))-1,""))</f>
        <v/>
      </c>
      <c r="AC141" t="str">
        <f t="shared" si="56"/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7"/>
        <v/>
      </c>
      <c r="AH141" s="39" t="str">
        <f t="shared" si="58"/>
        <v/>
      </c>
      <c r="AI141" s="39" t="str">
        <f t="shared" si="59"/>
        <v/>
      </c>
      <c r="AJ141" s="39" t="str">
        <f t="shared" si="60"/>
        <v/>
      </c>
      <c r="AK141" t="str">
        <f t="shared" si="61"/>
        <v/>
      </c>
      <c r="AL141" t="str">
        <f t="shared" si="62"/>
        <v/>
      </c>
    </row>
    <row r="142" spans="11:38" ht="15">
      <c r="K142" t="str">
        <f t="shared" si="42"/>
        <v/>
      </c>
      <c r="L142" t="str">
        <f t="shared" si="43"/>
        <v/>
      </c>
      <c r="M142" s="36" t="str">
        <f t="shared" si="44"/>
        <v/>
      </c>
      <c r="N142" s="37" t="str">
        <f t="shared" si="45"/>
        <v/>
      </c>
      <c r="O142" s="37" t="str">
        <f t="shared" si="46"/>
        <v/>
      </c>
      <c r="P142" s="38" t="str">
        <f t="shared" si="47"/>
        <v/>
      </c>
      <c r="Q142" s="39" t="str">
        <f t="shared" si="48"/>
        <v/>
      </c>
      <c r="R142" s="39" t="str">
        <f t="shared" si="49"/>
        <v/>
      </c>
      <c r="S142" t="str">
        <f t="shared" si="50"/>
        <v/>
      </c>
      <c r="T142" s="39" t="str">
        <f t="shared" si="51"/>
        <v/>
      </c>
      <c r="U142" t="str">
        <f t="shared" si="52"/>
        <v/>
      </c>
      <c r="V142" t="str">
        <f>IF(L142="","",IF($AO$1=1,IFERROR(MATCH(L142,'11-تشرين الثاني'!$L$2:$L$501,0),0),0))</f>
        <v/>
      </c>
      <c r="W142" t="str">
        <f t="shared" si="53"/>
        <v/>
      </c>
      <c r="X142" s="38" t="str">
        <f>IF(L142="","",IF(V142&gt;0,INDEX('11-تشرين الثاني'!$P$2:$P$501,V142),IF($AO$1=1,0,"")))</f>
        <v/>
      </c>
      <c r="Y142" s="38" t="str">
        <f t="shared" si="54"/>
        <v/>
      </c>
      <c r="Z142" s="39" t="str">
        <f>IF(L142="","",IF(V142&gt;0,INDEX('11-تشرين الثاني'!$Q$2:$Q$501,V142),IF($AO$1=1,0,"")))</f>
        <v/>
      </c>
      <c r="AA142" s="39" t="str">
        <f t="shared" si="55"/>
        <v/>
      </c>
      <c r="AB142" s="40" t="str">
        <f>IF(OR(L142="",V142=0),"",IF(AND(N(I142)&gt;0,N(INDEX('11-تشرين الثاني'!$I$2:$I$501,V142))&gt;0,INDEX('11-تشرين الثاني'!$F$2:$F$501,V142)=F142),N(I142)/N(INDEX('11-تشرين الثاني'!$I$2:$I$501,V142))-1,""))</f>
        <v/>
      </c>
      <c r="AC142" t="str">
        <f t="shared" si="56"/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7"/>
        <v/>
      </c>
      <c r="AH142" s="39" t="str">
        <f t="shared" si="58"/>
        <v/>
      </c>
      <c r="AI142" s="39" t="str">
        <f t="shared" si="59"/>
        <v/>
      </c>
      <c r="AJ142" s="39" t="str">
        <f t="shared" si="60"/>
        <v/>
      </c>
      <c r="AK142" t="str">
        <f t="shared" si="61"/>
        <v/>
      </c>
      <c r="AL142" t="str">
        <f t="shared" si="62"/>
        <v/>
      </c>
    </row>
    <row r="143" spans="11:38" ht="15">
      <c r="K143" t="str">
        <f t="shared" si="42"/>
        <v/>
      </c>
      <c r="L143" t="str">
        <f t="shared" si="43"/>
        <v/>
      </c>
      <c r="M143" s="36" t="str">
        <f t="shared" si="44"/>
        <v/>
      </c>
      <c r="N143" s="37" t="str">
        <f t="shared" si="45"/>
        <v/>
      </c>
      <c r="O143" s="37" t="str">
        <f t="shared" si="46"/>
        <v/>
      </c>
      <c r="P143" s="38" t="str">
        <f t="shared" si="47"/>
        <v/>
      </c>
      <c r="Q143" s="39" t="str">
        <f t="shared" si="48"/>
        <v/>
      </c>
      <c r="R143" s="39" t="str">
        <f t="shared" si="49"/>
        <v/>
      </c>
      <c r="S143" t="str">
        <f t="shared" si="50"/>
        <v/>
      </c>
      <c r="T143" s="39" t="str">
        <f t="shared" si="51"/>
        <v/>
      </c>
      <c r="U143" t="str">
        <f t="shared" si="52"/>
        <v/>
      </c>
      <c r="V143" t="str">
        <f>IF(L143="","",IF($AO$1=1,IFERROR(MATCH(L143,'11-تشرين الثاني'!$L$2:$L$501,0),0),0))</f>
        <v/>
      </c>
      <c r="W143" t="str">
        <f t="shared" si="53"/>
        <v/>
      </c>
      <c r="X143" s="38" t="str">
        <f>IF(L143="","",IF(V143&gt;0,INDEX('11-تشرين الثاني'!$P$2:$P$501,V143),IF($AO$1=1,0,"")))</f>
        <v/>
      </c>
      <c r="Y143" s="38" t="str">
        <f t="shared" si="54"/>
        <v/>
      </c>
      <c r="Z143" s="39" t="str">
        <f>IF(L143="","",IF(V143&gt;0,INDEX('11-تشرين الثاني'!$Q$2:$Q$501,V143),IF($AO$1=1,0,"")))</f>
        <v/>
      </c>
      <c r="AA143" s="39" t="str">
        <f t="shared" si="55"/>
        <v/>
      </c>
      <c r="AB143" s="40" t="str">
        <f>IF(OR(L143="",V143=0),"",IF(AND(N(I143)&gt;0,N(INDEX('11-تشرين الثاني'!$I$2:$I$501,V143))&gt;0,INDEX('11-تشرين الثاني'!$F$2:$F$501,V143)=F143),N(I143)/N(INDEX('11-تشرين الثاني'!$I$2:$I$501,V143))-1,""))</f>
        <v/>
      </c>
      <c r="AC143" t="str">
        <f t="shared" si="56"/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7"/>
        <v/>
      </c>
      <c r="AH143" s="39" t="str">
        <f t="shared" si="58"/>
        <v/>
      </c>
      <c r="AI143" s="39" t="str">
        <f t="shared" si="59"/>
        <v/>
      </c>
      <c r="AJ143" s="39" t="str">
        <f t="shared" si="60"/>
        <v/>
      </c>
      <c r="AK143" t="str">
        <f t="shared" si="61"/>
        <v/>
      </c>
      <c r="AL143" t="str">
        <f t="shared" si="62"/>
        <v/>
      </c>
    </row>
    <row r="144" spans="11:38" ht="15">
      <c r="K144" t="str">
        <f t="shared" si="42"/>
        <v/>
      </c>
      <c r="L144" t="str">
        <f t="shared" si="43"/>
        <v/>
      </c>
      <c r="M144" s="36" t="str">
        <f t="shared" si="44"/>
        <v/>
      </c>
      <c r="N144" s="37" t="str">
        <f t="shared" si="45"/>
        <v/>
      </c>
      <c r="O144" s="37" t="str">
        <f t="shared" si="46"/>
        <v/>
      </c>
      <c r="P144" s="38" t="str">
        <f t="shared" si="47"/>
        <v/>
      </c>
      <c r="Q144" s="39" t="str">
        <f t="shared" si="48"/>
        <v/>
      </c>
      <c r="R144" s="39" t="str">
        <f t="shared" si="49"/>
        <v/>
      </c>
      <c r="S144" t="str">
        <f t="shared" si="50"/>
        <v/>
      </c>
      <c r="T144" s="39" t="str">
        <f t="shared" si="51"/>
        <v/>
      </c>
      <c r="U144" t="str">
        <f t="shared" si="52"/>
        <v/>
      </c>
      <c r="V144" t="str">
        <f>IF(L144="","",IF($AO$1=1,IFERROR(MATCH(L144,'11-تشرين الثاني'!$L$2:$L$501,0),0),0))</f>
        <v/>
      </c>
      <c r="W144" t="str">
        <f t="shared" si="53"/>
        <v/>
      </c>
      <c r="X144" s="38" t="str">
        <f>IF(L144="","",IF(V144&gt;0,INDEX('11-تشرين الثاني'!$P$2:$P$501,V144),IF($AO$1=1,0,"")))</f>
        <v/>
      </c>
      <c r="Y144" s="38" t="str">
        <f t="shared" si="54"/>
        <v/>
      </c>
      <c r="Z144" s="39" t="str">
        <f>IF(L144="","",IF(V144&gt;0,INDEX('11-تشرين الثاني'!$Q$2:$Q$501,V144),IF($AO$1=1,0,"")))</f>
        <v/>
      </c>
      <c r="AA144" s="39" t="str">
        <f t="shared" si="55"/>
        <v/>
      </c>
      <c r="AB144" s="40" t="str">
        <f>IF(OR(L144="",V144=0),"",IF(AND(N(I144)&gt;0,N(INDEX('11-تشرين الثاني'!$I$2:$I$501,V144))&gt;0,INDEX('11-تشرين الثاني'!$F$2:$F$501,V144)=F144),N(I144)/N(INDEX('11-تشرين الثاني'!$I$2:$I$501,V144))-1,""))</f>
        <v/>
      </c>
      <c r="AC144" t="str">
        <f t="shared" si="56"/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7"/>
        <v/>
      </c>
      <c r="AH144" s="39" t="str">
        <f t="shared" si="58"/>
        <v/>
      </c>
      <c r="AI144" s="39" t="str">
        <f t="shared" si="59"/>
        <v/>
      </c>
      <c r="AJ144" s="39" t="str">
        <f t="shared" si="60"/>
        <v/>
      </c>
      <c r="AK144" t="str">
        <f t="shared" si="61"/>
        <v/>
      </c>
      <c r="AL144" t="str">
        <f t="shared" si="62"/>
        <v/>
      </c>
    </row>
    <row r="145" spans="11:38" ht="15">
      <c r="K145" t="str">
        <f t="shared" si="42"/>
        <v/>
      </c>
      <c r="L145" t="str">
        <f t="shared" si="43"/>
        <v/>
      </c>
      <c r="M145" s="36" t="str">
        <f t="shared" si="44"/>
        <v/>
      </c>
      <c r="N145" s="37" t="str">
        <f t="shared" si="45"/>
        <v/>
      </c>
      <c r="O145" s="37" t="str">
        <f t="shared" si="46"/>
        <v/>
      </c>
      <c r="P145" s="38" t="str">
        <f t="shared" si="47"/>
        <v/>
      </c>
      <c r="Q145" s="39" t="str">
        <f t="shared" si="48"/>
        <v/>
      </c>
      <c r="R145" s="39" t="str">
        <f t="shared" si="49"/>
        <v/>
      </c>
      <c r="S145" t="str">
        <f t="shared" si="50"/>
        <v/>
      </c>
      <c r="T145" s="39" t="str">
        <f t="shared" si="51"/>
        <v/>
      </c>
      <c r="U145" t="str">
        <f t="shared" si="52"/>
        <v/>
      </c>
      <c r="V145" t="str">
        <f>IF(L145="","",IF($AO$1=1,IFERROR(MATCH(L145,'11-تشرين الثاني'!$L$2:$L$501,0),0),0))</f>
        <v/>
      </c>
      <c r="W145" t="str">
        <f t="shared" si="53"/>
        <v/>
      </c>
      <c r="X145" s="38" t="str">
        <f>IF(L145="","",IF(V145&gt;0,INDEX('11-تشرين الثاني'!$P$2:$P$501,V145),IF($AO$1=1,0,"")))</f>
        <v/>
      </c>
      <c r="Y145" s="38" t="str">
        <f t="shared" si="54"/>
        <v/>
      </c>
      <c r="Z145" s="39" t="str">
        <f>IF(L145="","",IF(V145&gt;0,INDEX('11-تشرين الثاني'!$Q$2:$Q$501,V145),IF($AO$1=1,0,"")))</f>
        <v/>
      </c>
      <c r="AA145" s="39" t="str">
        <f t="shared" si="55"/>
        <v/>
      </c>
      <c r="AB145" s="40" t="str">
        <f>IF(OR(L145="",V145=0),"",IF(AND(N(I145)&gt;0,N(INDEX('11-تشرين الثاني'!$I$2:$I$501,V145))&gt;0,INDEX('11-تشرين الثاني'!$F$2:$F$501,V145)=F145),N(I145)/N(INDEX('11-تشرين الثاني'!$I$2:$I$501,V145))-1,""))</f>
        <v/>
      </c>
      <c r="AC145" t="str">
        <f t="shared" si="56"/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7"/>
        <v/>
      </c>
      <c r="AH145" s="39" t="str">
        <f t="shared" si="58"/>
        <v/>
      </c>
      <c r="AI145" s="39" t="str">
        <f t="shared" si="59"/>
        <v/>
      </c>
      <c r="AJ145" s="39" t="str">
        <f t="shared" si="60"/>
        <v/>
      </c>
      <c r="AK145" t="str">
        <f t="shared" si="61"/>
        <v/>
      </c>
      <c r="AL145" t="str">
        <f t="shared" si="62"/>
        <v/>
      </c>
    </row>
    <row r="146" spans="11:38" ht="15">
      <c r="K146" t="str">
        <f t="shared" si="42"/>
        <v/>
      </c>
      <c r="L146" t="str">
        <f t="shared" si="43"/>
        <v/>
      </c>
      <c r="M146" s="36" t="str">
        <f t="shared" si="44"/>
        <v/>
      </c>
      <c r="N146" s="37" t="str">
        <f t="shared" si="45"/>
        <v/>
      </c>
      <c r="O146" s="37" t="str">
        <f t="shared" si="46"/>
        <v/>
      </c>
      <c r="P146" s="38" t="str">
        <f t="shared" si="47"/>
        <v/>
      </c>
      <c r="Q146" s="39" t="str">
        <f t="shared" si="48"/>
        <v/>
      </c>
      <c r="R146" s="39" t="str">
        <f t="shared" si="49"/>
        <v/>
      </c>
      <c r="S146" t="str">
        <f t="shared" si="50"/>
        <v/>
      </c>
      <c r="T146" s="39" t="str">
        <f t="shared" si="51"/>
        <v/>
      </c>
      <c r="U146" t="str">
        <f t="shared" si="52"/>
        <v/>
      </c>
      <c r="V146" t="str">
        <f>IF(L146="","",IF($AO$1=1,IFERROR(MATCH(L146,'11-تشرين الثاني'!$L$2:$L$501,0),0),0))</f>
        <v/>
      </c>
      <c r="W146" t="str">
        <f t="shared" si="53"/>
        <v/>
      </c>
      <c r="X146" s="38" t="str">
        <f>IF(L146="","",IF(V146&gt;0,INDEX('11-تشرين الثاني'!$P$2:$P$501,V146),IF($AO$1=1,0,"")))</f>
        <v/>
      </c>
      <c r="Y146" s="38" t="str">
        <f t="shared" si="54"/>
        <v/>
      </c>
      <c r="Z146" s="39" t="str">
        <f>IF(L146="","",IF(V146&gt;0,INDEX('11-تشرين الثاني'!$Q$2:$Q$501,V146),IF($AO$1=1,0,"")))</f>
        <v/>
      </c>
      <c r="AA146" s="39" t="str">
        <f t="shared" si="55"/>
        <v/>
      </c>
      <c r="AB146" s="40" t="str">
        <f>IF(OR(L146="",V146=0),"",IF(AND(N(I146)&gt;0,N(INDEX('11-تشرين الثاني'!$I$2:$I$501,V146))&gt;0,INDEX('11-تشرين الثاني'!$F$2:$F$501,V146)=F146),N(I146)/N(INDEX('11-تشرين الثاني'!$I$2:$I$501,V146))-1,""))</f>
        <v/>
      </c>
      <c r="AC146" t="str">
        <f t="shared" si="56"/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7"/>
        <v/>
      </c>
      <c r="AH146" s="39" t="str">
        <f t="shared" si="58"/>
        <v/>
      </c>
      <c r="AI146" s="39" t="str">
        <f t="shared" si="59"/>
        <v/>
      </c>
      <c r="AJ146" s="39" t="str">
        <f t="shared" si="60"/>
        <v/>
      </c>
      <c r="AK146" t="str">
        <f t="shared" si="61"/>
        <v/>
      </c>
      <c r="AL146" t="str">
        <f t="shared" si="62"/>
        <v/>
      </c>
    </row>
    <row r="147" spans="11:38" ht="15">
      <c r="K147" t="str">
        <f t="shared" si="42"/>
        <v/>
      </c>
      <c r="L147" t="str">
        <f t="shared" si="43"/>
        <v/>
      </c>
      <c r="M147" s="36" t="str">
        <f t="shared" si="44"/>
        <v/>
      </c>
      <c r="N147" s="37" t="str">
        <f t="shared" si="45"/>
        <v/>
      </c>
      <c r="O147" s="37" t="str">
        <f t="shared" si="46"/>
        <v/>
      </c>
      <c r="P147" s="38" t="str">
        <f t="shared" si="47"/>
        <v/>
      </c>
      <c r="Q147" s="39" t="str">
        <f t="shared" si="48"/>
        <v/>
      </c>
      <c r="R147" s="39" t="str">
        <f t="shared" si="49"/>
        <v/>
      </c>
      <c r="S147" t="str">
        <f t="shared" si="50"/>
        <v/>
      </c>
      <c r="T147" s="39" t="str">
        <f t="shared" si="51"/>
        <v/>
      </c>
      <c r="U147" t="str">
        <f t="shared" si="52"/>
        <v/>
      </c>
      <c r="V147" t="str">
        <f>IF(L147="","",IF($AO$1=1,IFERROR(MATCH(L147,'11-تشرين الثاني'!$L$2:$L$501,0),0),0))</f>
        <v/>
      </c>
      <c r="W147" t="str">
        <f t="shared" si="53"/>
        <v/>
      </c>
      <c r="X147" s="38" t="str">
        <f>IF(L147="","",IF(V147&gt;0,INDEX('11-تشرين الثاني'!$P$2:$P$501,V147),IF($AO$1=1,0,"")))</f>
        <v/>
      </c>
      <c r="Y147" s="38" t="str">
        <f t="shared" si="54"/>
        <v/>
      </c>
      <c r="Z147" s="39" t="str">
        <f>IF(L147="","",IF(V147&gt;0,INDEX('11-تشرين الثاني'!$Q$2:$Q$501,V147),IF($AO$1=1,0,"")))</f>
        <v/>
      </c>
      <c r="AA147" s="39" t="str">
        <f t="shared" si="55"/>
        <v/>
      </c>
      <c r="AB147" s="40" t="str">
        <f>IF(OR(L147="",V147=0),"",IF(AND(N(I147)&gt;0,N(INDEX('11-تشرين الثاني'!$I$2:$I$501,V147))&gt;0,INDEX('11-تشرين الثاني'!$F$2:$F$501,V147)=F147),N(I147)/N(INDEX('11-تشرين الثاني'!$I$2:$I$501,V147))-1,""))</f>
        <v/>
      </c>
      <c r="AC147" t="str">
        <f t="shared" si="56"/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7"/>
        <v/>
      </c>
      <c r="AH147" s="39" t="str">
        <f t="shared" si="58"/>
        <v/>
      </c>
      <c r="AI147" s="39" t="str">
        <f t="shared" si="59"/>
        <v/>
      </c>
      <c r="AJ147" s="39" t="str">
        <f t="shared" si="60"/>
        <v/>
      </c>
      <c r="AK147" t="str">
        <f t="shared" si="61"/>
        <v/>
      </c>
      <c r="AL147" t="str">
        <f t="shared" si="62"/>
        <v/>
      </c>
    </row>
    <row r="148" spans="11:38" ht="15">
      <c r="K148" t="str">
        <f t="shared" si="42"/>
        <v/>
      </c>
      <c r="L148" t="str">
        <f t="shared" si="43"/>
        <v/>
      </c>
      <c r="M148" s="36" t="str">
        <f t="shared" si="44"/>
        <v/>
      </c>
      <c r="N148" s="37" t="str">
        <f t="shared" si="45"/>
        <v/>
      </c>
      <c r="O148" s="37" t="str">
        <f t="shared" si="46"/>
        <v/>
      </c>
      <c r="P148" s="38" t="str">
        <f t="shared" si="47"/>
        <v/>
      </c>
      <c r="Q148" s="39" t="str">
        <f t="shared" si="48"/>
        <v/>
      </c>
      <c r="R148" s="39" t="str">
        <f t="shared" si="49"/>
        <v/>
      </c>
      <c r="S148" t="str">
        <f t="shared" si="50"/>
        <v/>
      </c>
      <c r="T148" s="39" t="str">
        <f t="shared" si="51"/>
        <v/>
      </c>
      <c r="U148" t="str">
        <f t="shared" si="52"/>
        <v/>
      </c>
      <c r="V148" t="str">
        <f>IF(L148="","",IF($AO$1=1,IFERROR(MATCH(L148,'11-تشرين الثاني'!$L$2:$L$501,0),0),0))</f>
        <v/>
      </c>
      <c r="W148" t="str">
        <f t="shared" si="53"/>
        <v/>
      </c>
      <c r="X148" s="38" t="str">
        <f>IF(L148="","",IF(V148&gt;0,INDEX('11-تشرين الثاني'!$P$2:$P$501,V148),IF($AO$1=1,0,"")))</f>
        <v/>
      </c>
      <c r="Y148" s="38" t="str">
        <f t="shared" si="54"/>
        <v/>
      </c>
      <c r="Z148" s="39" t="str">
        <f>IF(L148="","",IF(V148&gt;0,INDEX('11-تشرين الثاني'!$Q$2:$Q$501,V148),IF($AO$1=1,0,"")))</f>
        <v/>
      </c>
      <c r="AA148" s="39" t="str">
        <f t="shared" si="55"/>
        <v/>
      </c>
      <c r="AB148" s="40" t="str">
        <f>IF(OR(L148="",V148=0),"",IF(AND(N(I148)&gt;0,N(INDEX('11-تشرين الثاني'!$I$2:$I$501,V148))&gt;0,INDEX('11-تشرين الثاني'!$F$2:$F$501,V148)=F148),N(I148)/N(INDEX('11-تشرين الثاني'!$I$2:$I$501,V148))-1,""))</f>
        <v/>
      </c>
      <c r="AC148" t="str">
        <f t="shared" si="56"/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7"/>
        <v/>
      </c>
      <c r="AH148" s="39" t="str">
        <f t="shared" si="58"/>
        <v/>
      </c>
      <c r="AI148" s="39" t="str">
        <f t="shared" si="59"/>
        <v/>
      </c>
      <c r="AJ148" s="39" t="str">
        <f t="shared" si="60"/>
        <v/>
      </c>
      <c r="AK148" t="str">
        <f t="shared" si="61"/>
        <v/>
      </c>
      <c r="AL148" t="str">
        <f t="shared" si="62"/>
        <v/>
      </c>
    </row>
    <row r="149" spans="11:38" ht="15">
      <c r="K149" t="str">
        <f t="shared" si="42"/>
        <v/>
      </c>
      <c r="L149" t="str">
        <f t="shared" si="43"/>
        <v/>
      </c>
      <c r="M149" s="36" t="str">
        <f t="shared" si="44"/>
        <v/>
      </c>
      <c r="N149" s="37" t="str">
        <f t="shared" si="45"/>
        <v/>
      </c>
      <c r="O149" s="37" t="str">
        <f t="shared" si="46"/>
        <v/>
      </c>
      <c r="P149" s="38" t="str">
        <f t="shared" si="47"/>
        <v/>
      </c>
      <c r="Q149" s="39" t="str">
        <f t="shared" si="48"/>
        <v/>
      </c>
      <c r="R149" s="39" t="str">
        <f t="shared" si="49"/>
        <v/>
      </c>
      <c r="S149" t="str">
        <f t="shared" si="50"/>
        <v/>
      </c>
      <c r="T149" s="39" t="str">
        <f t="shared" si="51"/>
        <v/>
      </c>
      <c r="U149" t="str">
        <f t="shared" si="52"/>
        <v/>
      </c>
      <c r="V149" t="str">
        <f>IF(L149="","",IF($AO$1=1,IFERROR(MATCH(L149,'11-تشرين الثاني'!$L$2:$L$501,0),0),0))</f>
        <v/>
      </c>
      <c r="W149" t="str">
        <f t="shared" si="53"/>
        <v/>
      </c>
      <c r="X149" s="38" t="str">
        <f>IF(L149="","",IF(V149&gt;0,INDEX('11-تشرين الثاني'!$P$2:$P$501,V149),IF($AO$1=1,0,"")))</f>
        <v/>
      </c>
      <c r="Y149" s="38" t="str">
        <f t="shared" si="54"/>
        <v/>
      </c>
      <c r="Z149" s="39" t="str">
        <f>IF(L149="","",IF(V149&gt;0,INDEX('11-تشرين الثاني'!$Q$2:$Q$501,V149),IF($AO$1=1,0,"")))</f>
        <v/>
      </c>
      <c r="AA149" s="39" t="str">
        <f t="shared" si="55"/>
        <v/>
      </c>
      <c r="AB149" s="40" t="str">
        <f>IF(OR(L149="",V149=0),"",IF(AND(N(I149)&gt;0,N(INDEX('11-تشرين الثاني'!$I$2:$I$501,V149))&gt;0,INDEX('11-تشرين الثاني'!$F$2:$F$501,V149)=F149),N(I149)/N(INDEX('11-تشرين الثاني'!$I$2:$I$501,V149))-1,""))</f>
        <v/>
      </c>
      <c r="AC149" t="str">
        <f t="shared" si="56"/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7"/>
        <v/>
      </c>
      <c r="AH149" s="39" t="str">
        <f t="shared" si="58"/>
        <v/>
      </c>
      <c r="AI149" s="39" t="str">
        <f t="shared" si="59"/>
        <v/>
      </c>
      <c r="AJ149" s="39" t="str">
        <f t="shared" si="60"/>
        <v/>
      </c>
      <c r="AK149" t="str">
        <f t="shared" si="61"/>
        <v/>
      </c>
      <c r="AL149" t="str">
        <f t="shared" si="62"/>
        <v/>
      </c>
    </row>
    <row r="150" spans="11:38" ht="15">
      <c r="K150" t="str">
        <f t="shared" si="42"/>
        <v/>
      </c>
      <c r="L150" t="str">
        <f t="shared" si="43"/>
        <v/>
      </c>
      <c r="M150" s="36" t="str">
        <f t="shared" si="44"/>
        <v/>
      </c>
      <c r="N150" s="37" t="str">
        <f t="shared" si="45"/>
        <v/>
      </c>
      <c r="O150" s="37" t="str">
        <f t="shared" si="46"/>
        <v/>
      </c>
      <c r="P150" s="38" t="str">
        <f t="shared" si="47"/>
        <v/>
      </c>
      <c r="Q150" s="39" t="str">
        <f t="shared" si="48"/>
        <v/>
      </c>
      <c r="R150" s="39" t="str">
        <f t="shared" si="49"/>
        <v/>
      </c>
      <c r="S150" t="str">
        <f t="shared" si="50"/>
        <v/>
      </c>
      <c r="T150" s="39" t="str">
        <f t="shared" si="51"/>
        <v/>
      </c>
      <c r="U150" t="str">
        <f t="shared" si="52"/>
        <v/>
      </c>
      <c r="V150" t="str">
        <f>IF(L150="","",IF($AO$1=1,IFERROR(MATCH(L150,'11-تشرين الثاني'!$L$2:$L$501,0),0),0))</f>
        <v/>
      </c>
      <c r="W150" t="str">
        <f t="shared" si="53"/>
        <v/>
      </c>
      <c r="X150" s="38" t="str">
        <f>IF(L150="","",IF(V150&gt;0,INDEX('11-تشرين الثاني'!$P$2:$P$501,V150),IF($AO$1=1,0,"")))</f>
        <v/>
      </c>
      <c r="Y150" s="38" t="str">
        <f t="shared" si="54"/>
        <v/>
      </c>
      <c r="Z150" s="39" t="str">
        <f>IF(L150="","",IF(V150&gt;0,INDEX('11-تشرين الثاني'!$Q$2:$Q$501,V150),IF($AO$1=1,0,"")))</f>
        <v/>
      </c>
      <c r="AA150" s="39" t="str">
        <f t="shared" si="55"/>
        <v/>
      </c>
      <c r="AB150" s="40" t="str">
        <f>IF(OR(L150="",V150=0),"",IF(AND(N(I150)&gt;0,N(INDEX('11-تشرين الثاني'!$I$2:$I$501,V150))&gt;0,INDEX('11-تشرين الثاني'!$F$2:$F$501,V150)=F150),N(I150)/N(INDEX('11-تشرين الثاني'!$I$2:$I$501,V150))-1,""))</f>
        <v/>
      </c>
      <c r="AC150" t="str">
        <f t="shared" si="56"/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7"/>
        <v/>
      </c>
      <c r="AH150" s="39" t="str">
        <f t="shared" si="58"/>
        <v/>
      </c>
      <c r="AI150" s="39" t="str">
        <f t="shared" si="59"/>
        <v/>
      </c>
      <c r="AJ150" s="39" t="str">
        <f t="shared" si="60"/>
        <v/>
      </c>
      <c r="AK150" t="str">
        <f t="shared" si="61"/>
        <v/>
      </c>
      <c r="AL150" t="str">
        <f t="shared" si="62"/>
        <v/>
      </c>
    </row>
    <row r="151" spans="11:38" ht="15">
      <c r="K151" t="str">
        <f t="shared" si="42"/>
        <v/>
      </c>
      <c r="L151" t="str">
        <f t="shared" si="43"/>
        <v/>
      </c>
      <c r="M151" s="36" t="str">
        <f t="shared" si="44"/>
        <v/>
      </c>
      <c r="N151" s="37" t="str">
        <f t="shared" si="45"/>
        <v/>
      </c>
      <c r="O151" s="37" t="str">
        <f t="shared" si="46"/>
        <v/>
      </c>
      <c r="P151" s="38" t="str">
        <f t="shared" si="47"/>
        <v/>
      </c>
      <c r="Q151" s="39" t="str">
        <f t="shared" si="48"/>
        <v/>
      </c>
      <c r="R151" s="39" t="str">
        <f t="shared" si="49"/>
        <v/>
      </c>
      <c r="S151" t="str">
        <f t="shared" si="50"/>
        <v/>
      </c>
      <c r="T151" s="39" t="str">
        <f t="shared" si="51"/>
        <v/>
      </c>
      <c r="U151" t="str">
        <f t="shared" si="52"/>
        <v/>
      </c>
      <c r="V151" t="str">
        <f>IF(L151="","",IF($AO$1=1,IFERROR(MATCH(L151,'11-تشرين الثاني'!$L$2:$L$501,0),0),0))</f>
        <v/>
      </c>
      <c r="W151" t="str">
        <f t="shared" si="53"/>
        <v/>
      </c>
      <c r="X151" s="38" t="str">
        <f>IF(L151="","",IF(V151&gt;0,INDEX('11-تشرين الثاني'!$P$2:$P$501,V151),IF($AO$1=1,0,"")))</f>
        <v/>
      </c>
      <c r="Y151" s="38" t="str">
        <f t="shared" si="54"/>
        <v/>
      </c>
      <c r="Z151" s="39" t="str">
        <f>IF(L151="","",IF(V151&gt;0,INDEX('11-تشرين الثاني'!$Q$2:$Q$501,V151),IF($AO$1=1,0,"")))</f>
        <v/>
      </c>
      <c r="AA151" s="39" t="str">
        <f t="shared" si="55"/>
        <v/>
      </c>
      <c r="AB151" s="40" t="str">
        <f>IF(OR(L151="",V151=0),"",IF(AND(N(I151)&gt;0,N(INDEX('11-تشرين الثاني'!$I$2:$I$501,V151))&gt;0,INDEX('11-تشرين الثاني'!$F$2:$F$501,V151)=F151),N(I151)/N(INDEX('11-تشرين الثاني'!$I$2:$I$501,V151))-1,""))</f>
        <v/>
      </c>
      <c r="AC151" t="str">
        <f t="shared" si="56"/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7"/>
        <v/>
      </c>
      <c r="AH151" s="39" t="str">
        <f t="shared" si="58"/>
        <v/>
      </c>
      <c r="AI151" s="39" t="str">
        <f t="shared" si="59"/>
        <v/>
      </c>
      <c r="AJ151" s="39" t="str">
        <f t="shared" si="60"/>
        <v/>
      </c>
      <c r="AK151" t="str">
        <f t="shared" si="61"/>
        <v/>
      </c>
      <c r="AL151" t="str">
        <f t="shared" si="62"/>
        <v/>
      </c>
    </row>
    <row r="152" spans="11:38" ht="15">
      <c r="K152" t="str">
        <f t="shared" si="42"/>
        <v/>
      </c>
      <c r="L152" t="str">
        <f t="shared" si="43"/>
        <v/>
      </c>
      <c r="M152" s="36" t="str">
        <f t="shared" si="44"/>
        <v/>
      </c>
      <c r="N152" s="37" t="str">
        <f t="shared" si="45"/>
        <v/>
      </c>
      <c r="O152" s="37" t="str">
        <f t="shared" si="46"/>
        <v/>
      </c>
      <c r="P152" s="38" t="str">
        <f t="shared" si="47"/>
        <v/>
      </c>
      <c r="Q152" s="39" t="str">
        <f t="shared" si="48"/>
        <v/>
      </c>
      <c r="R152" s="39" t="str">
        <f t="shared" si="49"/>
        <v/>
      </c>
      <c r="S152" t="str">
        <f t="shared" si="50"/>
        <v/>
      </c>
      <c r="T152" s="39" t="str">
        <f t="shared" si="51"/>
        <v/>
      </c>
      <c r="U152" t="str">
        <f t="shared" si="52"/>
        <v/>
      </c>
      <c r="V152" t="str">
        <f>IF(L152="","",IF($AO$1=1,IFERROR(MATCH(L152,'11-تشرين الثاني'!$L$2:$L$501,0),0),0))</f>
        <v/>
      </c>
      <c r="W152" t="str">
        <f t="shared" si="53"/>
        <v/>
      </c>
      <c r="X152" s="38" t="str">
        <f>IF(L152="","",IF(V152&gt;0,INDEX('11-تشرين الثاني'!$P$2:$P$501,V152),IF($AO$1=1,0,"")))</f>
        <v/>
      </c>
      <c r="Y152" s="38" t="str">
        <f t="shared" si="54"/>
        <v/>
      </c>
      <c r="Z152" s="39" t="str">
        <f>IF(L152="","",IF(V152&gt;0,INDEX('11-تشرين الثاني'!$Q$2:$Q$501,V152),IF($AO$1=1,0,"")))</f>
        <v/>
      </c>
      <c r="AA152" s="39" t="str">
        <f t="shared" si="55"/>
        <v/>
      </c>
      <c r="AB152" s="40" t="str">
        <f>IF(OR(L152="",V152=0),"",IF(AND(N(I152)&gt;0,N(INDEX('11-تشرين الثاني'!$I$2:$I$501,V152))&gt;0,INDEX('11-تشرين الثاني'!$F$2:$F$501,V152)=F152),N(I152)/N(INDEX('11-تشرين الثاني'!$I$2:$I$501,V152))-1,""))</f>
        <v/>
      </c>
      <c r="AC152" t="str">
        <f t="shared" si="56"/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7"/>
        <v/>
      </c>
      <c r="AH152" s="39" t="str">
        <f t="shared" si="58"/>
        <v/>
      </c>
      <c r="AI152" s="39" t="str">
        <f t="shared" si="59"/>
        <v/>
      </c>
      <c r="AJ152" s="39" t="str">
        <f t="shared" si="60"/>
        <v/>
      </c>
      <c r="AK152" t="str">
        <f t="shared" si="61"/>
        <v/>
      </c>
      <c r="AL152" t="str">
        <f t="shared" si="62"/>
        <v/>
      </c>
    </row>
    <row r="153" spans="11:38" ht="15">
      <c r="K153" t="str">
        <f t="shared" si="42"/>
        <v/>
      </c>
      <c r="L153" t="str">
        <f t="shared" si="43"/>
        <v/>
      </c>
      <c r="M153" s="36" t="str">
        <f t="shared" si="44"/>
        <v/>
      </c>
      <c r="N153" s="37" t="str">
        <f t="shared" si="45"/>
        <v/>
      </c>
      <c r="O153" s="37" t="str">
        <f t="shared" si="46"/>
        <v/>
      </c>
      <c r="P153" s="38" t="str">
        <f t="shared" si="47"/>
        <v/>
      </c>
      <c r="Q153" s="39" t="str">
        <f t="shared" si="48"/>
        <v/>
      </c>
      <c r="R153" s="39" t="str">
        <f t="shared" si="49"/>
        <v/>
      </c>
      <c r="S153" t="str">
        <f t="shared" si="50"/>
        <v/>
      </c>
      <c r="T153" s="39" t="str">
        <f t="shared" si="51"/>
        <v/>
      </c>
      <c r="U153" t="str">
        <f t="shared" si="52"/>
        <v/>
      </c>
      <c r="V153" t="str">
        <f>IF(L153="","",IF($AO$1=1,IFERROR(MATCH(L153,'11-تشرين الثاني'!$L$2:$L$501,0),0),0))</f>
        <v/>
      </c>
      <c r="W153" t="str">
        <f t="shared" si="53"/>
        <v/>
      </c>
      <c r="X153" s="38" t="str">
        <f>IF(L153="","",IF(V153&gt;0,INDEX('11-تشرين الثاني'!$P$2:$P$501,V153),IF($AO$1=1,0,"")))</f>
        <v/>
      </c>
      <c r="Y153" s="38" t="str">
        <f t="shared" si="54"/>
        <v/>
      </c>
      <c r="Z153" s="39" t="str">
        <f>IF(L153="","",IF(V153&gt;0,INDEX('11-تشرين الثاني'!$Q$2:$Q$501,V153),IF($AO$1=1,0,"")))</f>
        <v/>
      </c>
      <c r="AA153" s="39" t="str">
        <f t="shared" si="55"/>
        <v/>
      </c>
      <c r="AB153" s="40" t="str">
        <f>IF(OR(L153="",V153=0),"",IF(AND(N(I153)&gt;0,N(INDEX('11-تشرين الثاني'!$I$2:$I$501,V153))&gt;0,INDEX('11-تشرين الثاني'!$F$2:$F$501,V153)=F153),N(I153)/N(INDEX('11-تشرين الثاني'!$I$2:$I$501,V153))-1,""))</f>
        <v/>
      </c>
      <c r="AC153" t="str">
        <f t="shared" si="56"/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7"/>
        <v/>
      </c>
      <c r="AH153" s="39" t="str">
        <f t="shared" si="58"/>
        <v/>
      </c>
      <c r="AI153" s="39" t="str">
        <f t="shared" si="59"/>
        <v/>
      </c>
      <c r="AJ153" s="39" t="str">
        <f t="shared" si="60"/>
        <v/>
      </c>
      <c r="AK153" t="str">
        <f t="shared" si="61"/>
        <v/>
      </c>
      <c r="AL153" t="str">
        <f t="shared" si="62"/>
        <v/>
      </c>
    </row>
    <row r="154" spans="11:38" ht="15">
      <c r="K154" t="str">
        <f t="shared" si="42"/>
        <v/>
      </c>
      <c r="L154" t="str">
        <f t="shared" si="43"/>
        <v/>
      </c>
      <c r="M154" s="36" t="str">
        <f t="shared" si="44"/>
        <v/>
      </c>
      <c r="N154" s="37" t="str">
        <f t="shared" si="45"/>
        <v/>
      </c>
      <c r="O154" s="37" t="str">
        <f t="shared" si="46"/>
        <v/>
      </c>
      <c r="P154" s="38" t="str">
        <f t="shared" si="47"/>
        <v/>
      </c>
      <c r="Q154" s="39" t="str">
        <f t="shared" si="48"/>
        <v/>
      </c>
      <c r="R154" s="39" t="str">
        <f t="shared" si="49"/>
        <v/>
      </c>
      <c r="S154" t="str">
        <f t="shared" si="50"/>
        <v/>
      </c>
      <c r="T154" s="39" t="str">
        <f t="shared" si="51"/>
        <v/>
      </c>
      <c r="U154" t="str">
        <f t="shared" si="52"/>
        <v/>
      </c>
      <c r="V154" t="str">
        <f>IF(L154="","",IF($AO$1=1,IFERROR(MATCH(L154,'11-تشرين الثاني'!$L$2:$L$501,0),0),0))</f>
        <v/>
      </c>
      <c r="W154" t="str">
        <f t="shared" si="53"/>
        <v/>
      </c>
      <c r="X154" s="38" t="str">
        <f>IF(L154="","",IF(V154&gt;0,INDEX('11-تشرين الثاني'!$P$2:$P$501,V154),IF($AO$1=1,0,"")))</f>
        <v/>
      </c>
      <c r="Y154" s="38" t="str">
        <f t="shared" si="54"/>
        <v/>
      </c>
      <c r="Z154" s="39" t="str">
        <f>IF(L154="","",IF(V154&gt;0,INDEX('11-تشرين الثاني'!$Q$2:$Q$501,V154),IF($AO$1=1,0,"")))</f>
        <v/>
      </c>
      <c r="AA154" s="39" t="str">
        <f t="shared" si="55"/>
        <v/>
      </c>
      <c r="AB154" s="40" t="str">
        <f>IF(OR(L154="",V154=0),"",IF(AND(N(I154)&gt;0,N(INDEX('11-تشرين الثاني'!$I$2:$I$501,V154))&gt;0,INDEX('11-تشرين الثاني'!$F$2:$F$501,V154)=F154),N(I154)/N(INDEX('11-تشرين الثاني'!$I$2:$I$501,V154))-1,""))</f>
        <v/>
      </c>
      <c r="AC154" t="str">
        <f t="shared" si="56"/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7"/>
        <v/>
      </c>
      <c r="AH154" s="39" t="str">
        <f t="shared" si="58"/>
        <v/>
      </c>
      <c r="AI154" s="39" t="str">
        <f t="shared" si="59"/>
        <v/>
      </c>
      <c r="AJ154" s="39" t="str">
        <f t="shared" si="60"/>
        <v/>
      </c>
      <c r="AK154" t="str">
        <f t="shared" si="61"/>
        <v/>
      </c>
      <c r="AL154" t="str">
        <f t="shared" si="62"/>
        <v/>
      </c>
    </row>
    <row r="155" spans="11:38" ht="15">
      <c r="K155" t="str">
        <f t="shared" si="42"/>
        <v/>
      </c>
      <c r="L155" t="str">
        <f t="shared" si="43"/>
        <v/>
      </c>
      <c r="M155" s="36" t="str">
        <f t="shared" si="44"/>
        <v/>
      </c>
      <c r="N155" s="37" t="str">
        <f t="shared" si="45"/>
        <v/>
      </c>
      <c r="O155" s="37" t="str">
        <f t="shared" si="46"/>
        <v/>
      </c>
      <c r="P155" s="38" t="str">
        <f t="shared" si="47"/>
        <v/>
      </c>
      <c r="Q155" s="39" t="str">
        <f t="shared" si="48"/>
        <v/>
      </c>
      <c r="R155" s="39" t="str">
        <f t="shared" si="49"/>
        <v/>
      </c>
      <c r="S155" t="str">
        <f t="shared" si="50"/>
        <v/>
      </c>
      <c r="T155" s="39" t="str">
        <f t="shared" si="51"/>
        <v/>
      </c>
      <c r="U155" t="str">
        <f t="shared" si="52"/>
        <v/>
      </c>
      <c r="V155" t="str">
        <f>IF(L155="","",IF($AO$1=1,IFERROR(MATCH(L155,'11-تشرين الثاني'!$L$2:$L$501,0),0),0))</f>
        <v/>
      </c>
      <c r="W155" t="str">
        <f t="shared" si="53"/>
        <v/>
      </c>
      <c r="X155" s="38" t="str">
        <f>IF(L155="","",IF(V155&gt;0,INDEX('11-تشرين الثاني'!$P$2:$P$501,V155),IF($AO$1=1,0,"")))</f>
        <v/>
      </c>
      <c r="Y155" s="38" t="str">
        <f t="shared" si="54"/>
        <v/>
      </c>
      <c r="Z155" s="39" t="str">
        <f>IF(L155="","",IF(V155&gt;0,INDEX('11-تشرين الثاني'!$Q$2:$Q$501,V155),IF($AO$1=1,0,"")))</f>
        <v/>
      </c>
      <c r="AA155" s="39" t="str">
        <f t="shared" si="55"/>
        <v/>
      </c>
      <c r="AB155" s="40" t="str">
        <f>IF(OR(L155="",V155=0),"",IF(AND(N(I155)&gt;0,N(INDEX('11-تشرين الثاني'!$I$2:$I$501,V155))&gt;0,INDEX('11-تشرين الثاني'!$F$2:$F$501,V155)=F155),N(I155)/N(INDEX('11-تشرين الثاني'!$I$2:$I$501,V155))-1,""))</f>
        <v/>
      </c>
      <c r="AC155" t="str">
        <f t="shared" si="56"/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7"/>
        <v/>
      </c>
      <c r="AH155" s="39" t="str">
        <f t="shared" si="58"/>
        <v/>
      </c>
      <c r="AI155" s="39" t="str">
        <f t="shared" si="59"/>
        <v/>
      </c>
      <c r="AJ155" s="39" t="str">
        <f t="shared" si="60"/>
        <v/>
      </c>
      <c r="AK155" t="str">
        <f t="shared" si="61"/>
        <v/>
      </c>
      <c r="AL155" t="str">
        <f t="shared" si="62"/>
        <v/>
      </c>
    </row>
    <row r="156" spans="11:38" ht="15">
      <c r="K156" t="str">
        <f t="shared" si="42"/>
        <v/>
      </c>
      <c r="L156" t="str">
        <f t="shared" si="43"/>
        <v/>
      </c>
      <c r="M156" s="36" t="str">
        <f t="shared" si="44"/>
        <v/>
      </c>
      <c r="N156" s="37" t="str">
        <f t="shared" si="45"/>
        <v/>
      </c>
      <c r="O156" s="37" t="str">
        <f t="shared" si="46"/>
        <v/>
      </c>
      <c r="P156" s="38" t="str">
        <f t="shared" si="47"/>
        <v/>
      </c>
      <c r="Q156" s="39" t="str">
        <f t="shared" si="48"/>
        <v/>
      </c>
      <c r="R156" s="39" t="str">
        <f t="shared" si="49"/>
        <v/>
      </c>
      <c r="S156" t="str">
        <f t="shared" si="50"/>
        <v/>
      </c>
      <c r="T156" s="39" t="str">
        <f t="shared" si="51"/>
        <v/>
      </c>
      <c r="U156" t="str">
        <f t="shared" si="52"/>
        <v/>
      </c>
      <c r="V156" t="str">
        <f>IF(L156="","",IF($AO$1=1,IFERROR(MATCH(L156,'11-تشرين الثاني'!$L$2:$L$501,0),0),0))</f>
        <v/>
      </c>
      <c r="W156" t="str">
        <f t="shared" si="53"/>
        <v/>
      </c>
      <c r="X156" s="38" t="str">
        <f>IF(L156="","",IF(V156&gt;0,INDEX('11-تشرين الثاني'!$P$2:$P$501,V156),IF($AO$1=1,0,"")))</f>
        <v/>
      </c>
      <c r="Y156" s="38" t="str">
        <f t="shared" si="54"/>
        <v/>
      </c>
      <c r="Z156" s="39" t="str">
        <f>IF(L156="","",IF(V156&gt;0,INDEX('11-تشرين الثاني'!$Q$2:$Q$501,V156),IF($AO$1=1,0,"")))</f>
        <v/>
      </c>
      <c r="AA156" s="39" t="str">
        <f t="shared" si="55"/>
        <v/>
      </c>
      <c r="AB156" s="40" t="str">
        <f>IF(OR(L156="",V156=0),"",IF(AND(N(I156)&gt;0,N(INDEX('11-تشرين الثاني'!$I$2:$I$501,V156))&gt;0,INDEX('11-تشرين الثاني'!$F$2:$F$501,V156)=F156),N(I156)/N(INDEX('11-تشرين الثاني'!$I$2:$I$501,V156))-1,""))</f>
        <v/>
      </c>
      <c r="AC156" t="str">
        <f t="shared" si="56"/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7"/>
        <v/>
      </c>
      <c r="AH156" s="39" t="str">
        <f t="shared" si="58"/>
        <v/>
      </c>
      <c r="AI156" s="39" t="str">
        <f t="shared" si="59"/>
        <v/>
      </c>
      <c r="AJ156" s="39" t="str">
        <f t="shared" si="60"/>
        <v/>
      </c>
      <c r="AK156" t="str">
        <f t="shared" si="61"/>
        <v/>
      </c>
      <c r="AL156" t="str">
        <f t="shared" si="62"/>
        <v/>
      </c>
    </row>
    <row r="157" spans="11:38" ht="15">
      <c r="K157" t="str">
        <f t="shared" si="42"/>
        <v/>
      </c>
      <c r="L157" t="str">
        <f t="shared" si="43"/>
        <v/>
      </c>
      <c r="M157" s="36" t="str">
        <f t="shared" si="44"/>
        <v/>
      </c>
      <c r="N157" s="37" t="str">
        <f t="shared" si="45"/>
        <v/>
      </c>
      <c r="O157" s="37" t="str">
        <f t="shared" si="46"/>
        <v/>
      </c>
      <c r="P157" s="38" t="str">
        <f t="shared" si="47"/>
        <v/>
      </c>
      <c r="Q157" s="39" t="str">
        <f t="shared" si="48"/>
        <v/>
      </c>
      <c r="R157" s="39" t="str">
        <f t="shared" si="49"/>
        <v/>
      </c>
      <c r="S157" t="str">
        <f t="shared" si="50"/>
        <v/>
      </c>
      <c r="T157" s="39" t="str">
        <f t="shared" si="51"/>
        <v/>
      </c>
      <c r="U157" t="str">
        <f t="shared" si="52"/>
        <v/>
      </c>
      <c r="V157" t="str">
        <f>IF(L157="","",IF($AO$1=1,IFERROR(MATCH(L157,'11-تشرين الثاني'!$L$2:$L$501,0),0),0))</f>
        <v/>
      </c>
      <c r="W157" t="str">
        <f t="shared" si="53"/>
        <v/>
      </c>
      <c r="X157" s="38" t="str">
        <f>IF(L157="","",IF(V157&gt;0,INDEX('11-تشرين الثاني'!$P$2:$P$501,V157),IF($AO$1=1,0,"")))</f>
        <v/>
      </c>
      <c r="Y157" s="38" t="str">
        <f t="shared" si="54"/>
        <v/>
      </c>
      <c r="Z157" s="39" t="str">
        <f>IF(L157="","",IF(V157&gt;0,INDEX('11-تشرين الثاني'!$Q$2:$Q$501,V157),IF($AO$1=1,0,"")))</f>
        <v/>
      </c>
      <c r="AA157" s="39" t="str">
        <f t="shared" si="55"/>
        <v/>
      </c>
      <c r="AB157" s="40" t="str">
        <f>IF(OR(L157="",V157=0),"",IF(AND(N(I157)&gt;0,N(INDEX('11-تشرين الثاني'!$I$2:$I$501,V157))&gt;0,INDEX('11-تشرين الثاني'!$F$2:$F$501,V157)=F157),N(I157)/N(INDEX('11-تشرين الثاني'!$I$2:$I$501,V157))-1,""))</f>
        <v/>
      </c>
      <c r="AC157" t="str">
        <f t="shared" si="56"/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7"/>
        <v/>
      </c>
      <c r="AH157" s="39" t="str">
        <f t="shared" si="58"/>
        <v/>
      </c>
      <c r="AI157" s="39" t="str">
        <f t="shared" si="59"/>
        <v/>
      </c>
      <c r="AJ157" s="39" t="str">
        <f t="shared" si="60"/>
        <v/>
      </c>
      <c r="AK157" t="str">
        <f t="shared" si="61"/>
        <v/>
      </c>
      <c r="AL157" t="str">
        <f t="shared" si="62"/>
        <v/>
      </c>
    </row>
    <row r="158" spans="11:38" ht="15">
      <c r="K158" t="str">
        <f t="shared" si="42"/>
        <v/>
      </c>
      <c r="L158" t="str">
        <f t="shared" si="43"/>
        <v/>
      </c>
      <c r="M158" s="36" t="str">
        <f t="shared" si="44"/>
        <v/>
      </c>
      <c r="N158" s="37" t="str">
        <f t="shared" si="45"/>
        <v/>
      </c>
      <c r="O158" s="37" t="str">
        <f t="shared" si="46"/>
        <v/>
      </c>
      <c r="P158" s="38" t="str">
        <f t="shared" si="47"/>
        <v/>
      </c>
      <c r="Q158" s="39" t="str">
        <f t="shared" si="48"/>
        <v/>
      </c>
      <c r="R158" s="39" t="str">
        <f t="shared" si="49"/>
        <v/>
      </c>
      <c r="S158" t="str">
        <f t="shared" si="50"/>
        <v/>
      </c>
      <c r="T158" s="39" t="str">
        <f t="shared" si="51"/>
        <v/>
      </c>
      <c r="U158" t="str">
        <f t="shared" si="52"/>
        <v/>
      </c>
      <c r="V158" t="str">
        <f>IF(L158="","",IF($AO$1=1,IFERROR(MATCH(L158,'11-تشرين الثاني'!$L$2:$L$501,0),0),0))</f>
        <v/>
      </c>
      <c r="W158" t="str">
        <f t="shared" si="53"/>
        <v/>
      </c>
      <c r="X158" s="38" t="str">
        <f>IF(L158="","",IF(V158&gt;0,INDEX('11-تشرين الثاني'!$P$2:$P$501,V158),IF($AO$1=1,0,"")))</f>
        <v/>
      </c>
      <c r="Y158" s="38" t="str">
        <f t="shared" si="54"/>
        <v/>
      </c>
      <c r="Z158" s="39" t="str">
        <f>IF(L158="","",IF(V158&gt;0,INDEX('11-تشرين الثاني'!$Q$2:$Q$501,V158),IF($AO$1=1,0,"")))</f>
        <v/>
      </c>
      <c r="AA158" s="39" t="str">
        <f t="shared" si="55"/>
        <v/>
      </c>
      <c r="AB158" s="40" t="str">
        <f>IF(OR(L158="",V158=0),"",IF(AND(N(I158)&gt;0,N(INDEX('11-تشرين الثاني'!$I$2:$I$501,V158))&gt;0,INDEX('11-تشرين الثاني'!$F$2:$F$501,V158)=F158),N(I158)/N(INDEX('11-تشرين الثاني'!$I$2:$I$501,V158))-1,""))</f>
        <v/>
      </c>
      <c r="AC158" t="str">
        <f t="shared" si="56"/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7"/>
        <v/>
      </c>
      <c r="AH158" s="39" t="str">
        <f t="shared" si="58"/>
        <v/>
      </c>
      <c r="AI158" s="39" t="str">
        <f t="shared" si="59"/>
        <v/>
      </c>
      <c r="AJ158" s="39" t="str">
        <f t="shared" si="60"/>
        <v/>
      </c>
      <c r="AK158" t="str">
        <f t="shared" si="61"/>
        <v/>
      </c>
      <c r="AL158" t="str">
        <f t="shared" si="62"/>
        <v/>
      </c>
    </row>
    <row r="159" spans="11:38" ht="15">
      <c r="K159" t="str">
        <f t="shared" si="42"/>
        <v/>
      </c>
      <c r="L159" t="str">
        <f t="shared" si="43"/>
        <v/>
      </c>
      <c r="M159" s="36" t="str">
        <f t="shared" si="44"/>
        <v/>
      </c>
      <c r="N159" s="37" t="str">
        <f t="shared" si="45"/>
        <v/>
      </c>
      <c r="O159" s="37" t="str">
        <f t="shared" si="46"/>
        <v/>
      </c>
      <c r="P159" s="38" t="str">
        <f t="shared" si="47"/>
        <v/>
      </c>
      <c r="Q159" s="39" t="str">
        <f t="shared" si="48"/>
        <v/>
      </c>
      <c r="R159" s="39" t="str">
        <f t="shared" si="49"/>
        <v/>
      </c>
      <c r="S159" t="str">
        <f t="shared" si="50"/>
        <v/>
      </c>
      <c r="T159" s="39" t="str">
        <f t="shared" si="51"/>
        <v/>
      </c>
      <c r="U159" t="str">
        <f t="shared" si="52"/>
        <v/>
      </c>
      <c r="V159" t="str">
        <f>IF(L159="","",IF($AO$1=1,IFERROR(MATCH(L159,'11-تشرين الثاني'!$L$2:$L$501,0),0),0))</f>
        <v/>
      </c>
      <c r="W159" t="str">
        <f t="shared" si="53"/>
        <v/>
      </c>
      <c r="X159" s="38" t="str">
        <f>IF(L159="","",IF(V159&gt;0,INDEX('11-تشرين الثاني'!$P$2:$P$501,V159),IF($AO$1=1,0,"")))</f>
        <v/>
      </c>
      <c r="Y159" s="38" t="str">
        <f t="shared" si="54"/>
        <v/>
      </c>
      <c r="Z159" s="39" t="str">
        <f>IF(L159="","",IF(V159&gt;0,INDEX('11-تشرين الثاني'!$Q$2:$Q$501,V159),IF($AO$1=1,0,"")))</f>
        <v/>
      </c>
      <c r="AA159" s="39" t="str">
        <f t="shared" si="55"/>
        <v/>
      </c>
      <c r="AB159" s="40" t="str">
        <f>IF(OR(L159="",V159=0),"",IF(AND(N(I159)&gt;0,N(INDEX('11-تشرين الثاني'!$I$2:$I$501,V159))&gt;0,INDEX('11-تشرين الثاني'!$F$2:$F$501,V159)=F159),N(I159)/N(INDEX('11-تشرين الثاني'!$I$2:$I$501,V159))-1,""))</f>
        <v/>
      </c>
      <c r="AC159" t="str">
        <f t="shared" si="56"/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7"/>
        <v/>
      </c>
      <c r="AH159" s="39" t="str">
        <f t="shared" si="58"/>
        <v/>
      </c>
      <c r="AI159" s="39" t="str">
        <f t="shared" si="59"/>
        <v/>
      </c>
      <c r="AJ159" s="39" t="str">
        <f t="shared" si="60"/>
        <v/>
      </c>
      <c r="AK159" t="str">
        <f t="shared" si="61"/>
        <v/>
      </c>
      <c r="AL159" t="str">
        <f t="shared" si="62"/>
        <v/>
      </c>
    </row>
    <row r="160" spans="11:38" ht="15">
      <c r="K160" t="str">
        <f t="shared" si="42"/>
        <v/>
      </c>
      <c r="L160" t="str">
        <f t="shared" si="43"/>
        <v/>
      </c>
      <c r="M160" s="36" t="str">
        <f t="shared" si="44"/>
        <v/>
      </c>
      <c r="N160" s="37" t="str">
        <f t="shared" si="45"/>
        <v/>
      </c>
      <c r="O160" s="37" t="str">
        <f t="shared" si="46"/>
        <v/>
      </c>
      <c r="P160" s="38" t="str">
        <f t="shared" si="47"/>
        <v/>
      </c>
      <c r="Q160" s="39" t="str">
        <f t="shared" si="48"/>
        <v/>
      </c>
      <c r="R160" s="39" t="str">
        <f t="shared" si="49"/>
        <v/>
      </c>
      <c r="S160" t="str">
        <f t="shared" si="50"/>
        <v/>
      </c>
      <c r="T160" s="39" t="str">
        <f t="shared" si="51"/>
        <v/>
      </c>
      <c r="U160" t="str">
        <f t="shared" si="52"/>
        <v/>
      </c>
      <c r="V160" t="str">
        <f>IF(L160="","",IF($AO$1=1,IFERROR(MATCH(L160,'11-تشرين الثاني'!$L$2:$L$501,0),0),0))</f>
        <v/>
      </c>
      <c r="W160" t="str">
        <f t="shared" si="53"/>
        <v/>
      </c>
      <c r="X160" s="38" t="str">
        <f>IF(L160="","",IF(V160&gt;0,INDEX('11-تشرين الثاني'!$P$2:$P$501,V160),IF($AO$1=1,0,"")))</f>
        <v/>
      </c>
      <c r="Y160" s="38" t="str">
        <f t="shared" si="54"/>
        <v/>
      </c>
      <c r="Z160" s="39" t="str">
        <f>IF(L160="","",IF(V160&gt;0,INDEX('11-تشرين الثاني'!$Q$2:$Q$501,V160),IF($AO$1=1,0,"")))</f>
        <v/>
      </c>
      <c r="AA160" s="39" t="str">
        <f t="shared" si="55"/>
        <v/>
      </c>
      <c r="AB160" s="40" t="str">
        <f>IF(OR(L160="",V160=0),"",IF(AND(N(I160)&gt;0,N(INDEX('11-تشرين الثاني'!$I$2:$I$501,V160))&gt;0,INDEX('11-تشرين الثاني'!$F$2:$F$501,V160)=F160),N(I160)/N(INDEX('11-تشرين الثاني'!$I$2:$I$501,V160))-1,""))</f>
        <v/>
      </c>
      <c r="AC160" t="str">
        <f t="shared" si="56"/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7"/>
        <v/>
      </c>
      <c r="AH160" s="39" t="str">
        <f t="shared" si="58"/>
        <v/>
      </c>
      <c r="AI160" s="39" t="str">
        <f t="shared" si="59"/>
        <v/>
      </c>
      <c r="AJ160" s="39" t="str">
        <f t="shared" si="60"/>
        <v/>
      </c>
      <c r="AK160" t="str">
        <f t="shared" si="61"/>
        <v/>
      </c>
      <c r="AL160" t="str">
        <f t="shared" si="62"/>
        <v/>
      </c>
    </row>
    <row r="161" spans="11:38" ht="15">
      <c r="K161" t="str">
        <f t="shared" si="42"/>
        <v/>
      </c>
      <c r="L161" t="str">
        <f t="shared" si="43"/>
        <v/>
      </c>
      <c r="M161" s="36" t="str">
        <f t="shared" si="44"/>
        <v/>
      </c>
      <c r="N161" s="37" t="str">
        <f t="shared" si="45"/>
        <v/>
      </c>
      <c r="O161" s="37" t="str">
        <f t="shared" si="46"/>
        <v/>
      </c>
      <c r="P161" s="38" t="str">
        <f t="shared" si="47"/>
        <v/>
      </c>
      <c r="Q161" s="39" t="str">
        <f t="shared" si="48"/>
        <v/>
      </c>
      <c r="R161" s="39" t="str">
        <f t="shared" si="49"/>
        <v/>
      </c>
      <c r="S161" t="str">
        <f t="shared" si="50"/>
        <v/>
      </c>
      <c r="T161" s="39" t="str">
        <f t="shared" si="51"/>
        <v/>
      </c>
      <c r="U161" t="str">
        <f t="shared" si="52"/>
        <v/>
      </c>
      <c r="V161" t="str">
        <f>IF(L161="","",IF($AO$1=1,IFERROR(MATCH(L161,'11-تشرين الثاني'!$L$2:$L$501,0),0),0))</f>
        <v/>
      </c>
      <c r="W161" t="str">
        <f t="shared" si="53"/>
        <v/>
      </c>
      <c r="X161" s="38" t="str">
        <f>IF(L161="","",IF(V161&gt;0,INDEX('11-تشرين الثاني'!$P$2:$P$501,V161),IF($AO$1=1,0,"")))</f>
        <v/>
      </c>
      <c r="Y161" s="38" t="str">
        <f t="shared" si="54"/>
        <v/>
      </c>
      <c r="Z161" s="39" t="str">
        <f>IF(L161="","",IF(V161&gt;0,INDEX('11-تشرين الثاني'!$Q$2:$Q$501,V161),IF($AO$1=1,0,"")))</f>
        <v/>
      </c>
      <c r="AA161" s="39" t="str">
        <f t="shared" si="55"/>
        <v/>
      </c>
      <c r="AB161" s="40" t="str">
        <f>IF(OR(L161="",V161=0),"",IF(AND(N(I161)&gt;0,N(INDEX('11-تشرين الثاني'!$I$2:$I$501,V161))&gt;0,INDEX('11-تشرين الثاني'!$F$2:$F$501,V161)=F161),N(I161)/N(INDEX('11-تشرين الثاني'!$I$2:$I$501,V161))-1,""))</f>
        <v/>
      </c>
      <c r="AC161" t="str">
        <f t="shared" si="56"/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7"/>
        <v/>
      </c>
      <c r="AH161" s="39" t="str">
        <f t="shared" si="58"/>
        <v/>
      </c>
      <c r="AI161" s="39" t="str">
        <f t="shared" si="59"/>
        <v/>
      </c>
      <c r="AJ161" s="39" t="str">
        <f t="shared" si="60"/>
        <v/>
      </c>
      <c r="AK161" t="str">
        <f t="shared" si="61"/>
        <v/>
      </c>
      <c r="AL161" t="str">
        <f t="shared" si="62"/>
        <v/>
      </c>
    </row>
    <row r="162" spans="11:38" ht="15">
      <c r="K162" t="str">
        <f t="shared" si="42"/>
        <v/>
      </c>
      <c r="L162" t="str">
        <f t="shared" si="43"/>
        <v/>
      </c>
      <c r="M162" s="36" t="str">
        <f t="shared" si="44"/>
        <v/>
      </c>
      <c r="N162" s="37" t="str">
        <f t="shared" si="45"/>
        <v/>
      </c>
      <c r="O162" s="37" t="str">
        <f t="shared" si="46"/>
        <v/>
      </c>
      <c r="P162" s="38" t="str">
        <f t="shared" si="47"/>
        <v/>
      </c>
      <c r="Q162" s="39" t="str">
        <f t="shared" si="48"/>
        <v/>
      </c>
      <c r="R162" s="39" t="str">
        <f t="shared" si="49"/>
        <v/>
      </c>
      <c r="S162" t="str">
        <f t="shared" si="50"/>
        <v/>
      </c>
      <c r="T162" s="39" t="str">
        <f t="shared" si="51"/>
        <v/>
      </c>
      <c r="U162" t="str">
        <f t="shared" si="52"/>
        <v/>
      </c>
      <c r="V162" t="str">
        <f>IF(L162="","",IF($AO$1=1,IFERROR(MATCH(L162,'11-تشرين الثاني'!$L$2:$L$501,0),0),0))</f>
        <v/>
      </c>
      <c r="W162" t="str">
        <f t="shared" si="53"/>
        <v/>
      </c>
      <c r="X162" s="38" t="str">
        <f>IF(L162="","",IF(V162&gt;0,INDEX('11-تشرين الثاني'!$P$2:$P$501,V162),IF($AO$1=1,0,"")))</f>
        <v/>
      </c>
      <c r="Y162" s="38" t="str">
        <f t="shared" si="54"/>
        <v/>
      </c>
      <c r="Z162" s="39" t="str">
        <f>IF(L162="","",IF(V162&gt;0,INDEX('11-تشرين الثاني'!$Q$2:$Q$501,V162),IF($AO$1=1,0,"")))</f>
        <v/>
      </c>
      <c r="AA162" s="39" t="str">
        <f t="shared" si="55"/>
        <v/>
      </c>
      <c r="AB162" s="40" t="str">
        <f>IF(OR(L162="",V162=0),"",IF(AND(N(I162)&gt;0,N(INDEX('11-تشرين الثاني'!$I$2:$I$501,V162))&gt;0,INDEX('11-تشرين الثاني'!$F$2:$F$501,V162)=F162),N(I162)/N(INDEX('11-تشرين الثاني'!$I$2:$I$501,V162))-1,""))</f>
        <v/>
      </c>
      <c r="AC162" t="str">
        <f t="shared" si="56"/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7"/>
        <v/>
      </c>
      <c r="AH162" s="39" t="str">
        <f t="shared" si="58"/>
        <v/>
      </c>
      <c r="AI162" s="39" t="str">
        <f t="shared" si="59"/>
        <v/>
      </c>
      <c r="AJ162" s="39" t="str">
        <f t="shared" si="60"/>
        <v/>
      </c>
      <c r="AK162" t="str">
        <f t="shared" si="61"/>
        <v/>
      </c>
      <c r="AL162" t="str">
        <f t="shared" si="62"/>
        <v/>
      </c>
    </row>
    <row r="163" spans="11:38" ht="15">
      <c r="K163" t="str">
        <f t="shared" si="42"/>
        <v/>
      </c>
      <c r="L163" t="str">
        <f t="shared" si="43"/>
        <v/>
      </c>
      <c r="M163" s="36" t="str">
        <f t="shared" si="44"/>
        <v/>
      </c>
      <c r="N163" s="37" t="str">
        <f t="shared" si="45"/>
        <v/>
      </c>
      <c r="O163" s="37" t="str">
        <f t="shared" si="46"/>
        <v/>
      </c>
      <c r="P163" s="38" t="str">
        <f t="shared" si="47"/>
        <v/>
      </c>
      <c r="Q163" s="39" t="str">
        <f t="shared" si="48"/>
        <v/>
      </c>
      <c r="R163" s="39" t="str">
        <f t="shared" si="49"/>
        <v/>
      </c>
      <c r="S163" t="str">
        <f t="shared" si="50"/>
        <v/>
      </c>
      <c r="T163" s="39" t="str">
        <f t="shared" si="51"/>
        <v/>
      </c>
      <c r="U163" t="str">
        <f t="shared" si="52"/>
        <v/>
      </c>
      <c r="V163" t="str">
        <f>IF(L163="","",IF($AO$1=1,IFERROR(MATCH(L163,'11-تشرين الثاني'!$L$2:$L$501,0),0),0))</f>
        <v/>
      </c>
      <c r="W163" t="str">
        <f t="shared" si="53"/>
        <v/>
      </c>
      <c r="X163" s="38" t="str">
        <f>IF(L163="","",IF(V163&gt;0,INDEX('11-تشرين الثاني'!$P$2:$P$501,V163),IF($AO$1=1,0,"")))</f>
        <v/>
      </c>
      <c r="Y163" s="38" t="str">
        <f t="shared" si="54"/>
        <v/>
      </c>
      <c r="Z163" s="39" t="str">
        <f>IF(L163="","",IF(V163&gt;0,INDEX('11-تشرين الثاني'!$Q$2:$Q$501,V163),IF($AO$1=1,0,"")))</f>
        <v/>
      </c>
      <c r="AA163" s="39" t="str">
        <f t="shared" si="55"/>
        <v/>
      </c>
      <c r="AB163" s="40" t="str">
        <f>IF(OR(L163="",V163=0),"",IF(AND(N(I163)&gt;0,N(INDEX('11-تشرين الثاني'!$I$2:$I$501,V163))&gt;0,INDEX('11-تشرين الثاني'!$F$2:$F$501,V163)=F163),N(I163)/N(INDEX('11-تشرين الثاني'!$I$2:$I$501,V163))-1,""))</f>
        <v/>
      </c>
      <c r="AC163" t="str">
        <f t="shared" si="56"/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7"/>
        <v/>
      </c>
      <c r="AH163" s="39" t="str">
        <f t="shared" si="58"/>
        <v/>
      </c>
      <c r="AI163" s="39" t="str">
        <f t="shared" si="59"/>
        <v/>
      </c>
      <c r="AJ163" s="39" t="str">
        <f t="shared" si="60"/>
        <v/>
      </c>
      <c r="AK163" t="str">
        <f t="shared" si="61"/>
        <v/>
      </c>
      <c r="AL163" t="str">
        <f t="shared" si="62"/>
        <v/>
      </c>
    </row>
    <row r="164" spans="11:38" ht="15">
      <c r="K164" t="str">
        <f t="shared" si="42"/>
        <v/>
      </c>
      <c r="L164" t="str">
        <f t="shared" si="43"/>
        <v/>
      </c>
      <c r="M164" s="36" t="str">
        <f t="shared" si="44"/>
        <v/>
      </c>
      <c r="N164" s="37" t="str">
        <f t="shared" si="45"/>
        <v/>
      </c>
      <c r="O164" s="37" t="str">
        <f t="shared" si="46"/>
        <v/>
      </c>
      <c r="P164" s="38" t="str">
        <f t="shared" si="47"/>
        <v/>
      </c>
      <c r="Q164" s="39" t="str">
        <f t="shared" si="48"/>
        <v/>
      </c>
      <c r="R164" s="39" t="str">
        <f t="shared" si="49"/>
        <v/>
      </c>
      <c r="S164" t="str">
        <f t="shared" si="50"/>
        <v/>
      </c>
      <c r="T164" s="39" t="str">
        <f t="shared" si="51"/>
        <v/>
      </c>
      <c r="U164" t="str">
        <f t="shared" si="52"/>
        <v/>
      </c>
      <c r="V164" t="str">
        <f>IF(L164="","",IF($AO$1=1,IFERROR(MATCH(L164,'11-تشرين الثاني'!$L$2:$L$501,0),0),0))</f>
        <v/>
      </c>
      <c r="W164" t="str">
        <f t="shared" si="53"/>
        <v/>
      </c>
      <c r="X164" s="38" t="str">
        <f>IF(L164="","",IF(V164&gt;0,INDEX('11-تشرين الثاني'!$P$2:$P$501,V164),IF($AO$1=1,0,"")))</f>
        <v/>
      </c>
      <c r="Y164" s="38" t="str">
        <f t="shared" si="54"/>
        <v/>
      </c>
      <c r="Z164" s="39" t="str">
        <f>IF(L164="","",IF(V164&gt;0,INDEX('11-تشرين الثاني'!$Q$2:$Q$501,V164),IF($AO$1=1,0,"")))</f>
        <v/>
      </c>
      <c r="AA164" s="39" t="str">
        <f t="shared" si="55"/>
        <v/>
      </c>
      <c r="AB164" s="40" t="str">
        <f>IF(OR(L164="",V164=0),"",IF(AND(N(I164)&gt;0,N(INDEX('11-تشرين الثاني'!$I$2:$I$501,V164))&gt;0,INDEX('11-تشرين الثاني'!$F$2:$F$501,V164)=F164),N(I164)/N(INDEX('11-تشرين الثاني'!$I$2:$I$501,V164))-1,""))</f>
        <v/>
      </c>
      <c r="AC164" t="str">
        <f t="shared" si="56"/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7"/>
        <v/>
      </c>
      <c r="AH164" s="39" t="str">
        <f t="shared" si="58"/>
        <v/>
      </c>
      <c r="AI164" s="39" t="str">
        <f t="shared" si="59"/>
        <v/>
      </c>
      <c r="AJ164" s="39" t="str">
        <f t="shared" si="60"/>
        <v/>
      </c>
      <c r="AK164" t="str">
        <f t="shared" si="61"/>
        <v/>
      </c>
      <c r="AL164" t="str">
        <f t="shared" si="62"/>
        <v/>
      </c>
    </row>
    <row r="165" spans="11:38" ht="15">
      <c r="K165" t="str">
        <f t="shared" si="42"/>
        <v/>
      </c>
      <c r="L165" t="str">
        <f t="shared" si="43"/>
        <v/>
      </c>
      <c r="M165" s="36" t="str">
        <f t="shared" si="44"/>
        <v/>
      </c>
      <c r="N165" s="37" t="str">
        <f t="shared" si="45"/>
        <v/>
      </c>
      <c r="O165" s="37" t="str">
        <f t="shared" si="46"/>
        <v/>
      </c>
      <c r="P165" s="38" t="str">
        <f t="shared" si="47"/>
        <v/>
      </c>
      <c r="Q165" s="39" t="str">
        <f t="shared" si="48"/>
        <v/>
      </c>
      <c r="R165" s="39" t="str">
        <f t="shared" si="49"/>
        <v/>
      </c>
      <c r="S165" t="str">
        <f t="shared" si="50"/>
        <v/>
      </c>
      <c r="T165" s="39" t="str">
        <f t="shared" si="51"/>
        <v/>
      </c>
      <c r="U165" t="str">
        <f t="shared" si="52"/>
        <v/>
      </c>
      <c r="V165" t="str">
        <f>IF(L165="","",IF($AO$1=1,IFERROR(MATCH(L165,'11-تشرين الثاني'!$L$2:$L$501,0),0),0))</f>
        <v/>
      </c>
      <c r="W165" t="str">
        <f t="shared" si="53"/>
        <v/>
      </c>
      <c r="X165" s="38" t="str">
        <f>IF(L165="","",IF(V165&gt;0,INDEX('11-تشرين الثاني'!$P$2:$P$501,V165),IF($AO$1=1,0,"")))</f>
        <v/>
      </c>
      <c r="Y165" s="38" t="str">
        <f t="shared" si="54"/>
        <v/>
      </c>
      <c r="Z165" s="39" t="str">
        <f>IF(L165="","",IF(V165&gt;0,INDEX('11-تشرين الثاني'!$Q$2:$Q$501,V165),IF($AO$1=1,0,"")))</f>
        <v/>
      </c>
      <c r="AA165" s="39" t="str">
        <f t="shared" si="55"/>
        <v/>
      </c>
      <c r="AB165" s="40" t="str">
        <f>IF(OR(L165="",V165=0),"",IF(AND(N(I165)&gt;0,N(INDEX('11-تشرين الثاني'!$I$2:$I$501,V165))&gt;0,INDEX('11-تشرين الثاني'!$F$2:$F$501,V165)=F165),N(I165)/N(INDEX('11-تشرين الثاني'!$I$2:$I$501,V165))-1,""))</f>
        <v/>
      </c>
      <c r="AC165" t="str">
        <f t="shared" si="56"/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7"/>
        <v/>
      </c>
      <c r="AH165" s="39" t="str">
        <f t="shared" si="58"/>
        <v/>
      </c>
      <c r="AI165" s="39" t="str">
        <f t="shared" si="59"/>
        <v/>
      </c>
      <c r="AJ165" s="39" t="str">
        <f t="shared" si="60"/>
        <v/>
      </c>
      <c r="AK165" t="str">
        <f t="shared" si="61"/>
        <v/>
      </c>
      <c r="AL165" t="str">
        <f t="shared" si="62"/>
        <v/>
      </c>
    </row>
    <row r="166" spans="11:38" ht="15">
      <c r="K166" t="str">
        <f t="shared" si="42"/>
        <v/>
      </c>
      <c r="L166" t="str">
        <f t="shared" si="43"/>
        <v/>
      </c>
      <c r="M166" s="36" t="str">
        <f t="shared" si="44"/>
        <v/>
      </c>
      <c r="N166" s="37" t="str">
        <f t="shared" si="45"/>
        <v/>
      </c>
      <c r="O166" s="37" t="str">
        <f t="shared" si="46"/>
        <v/>
      </c>
      <c r="P166" s="38" t="str">
        <f t="shared" si="47"/>
        <v/>
      </c>
      <c r="Q166" s="39" t="str">
        <f t="shared" si="48"/>
        <v/>
      </c>
      <c r="R166" s="39" t="str">
        <f t="shared" si="49"/>
        <v/>
      </c>
      <c r="S166" t="str">
        <f t="shared" si="50"/>
        <v/>
      </c>
      <c r="T166" s="39" t="str">
        <f t="shared" si="51"/>
        <v/>
      </c>
      <c r="U166" t="str">
        <f t="shared" si="52"/>
        <v/>
      </c>
      <c r="V166" t="str">
        <f>IF(L166="","",IF($AO$1=1,IFERROR(MATCH(L166,'11-تشرين الثاني'!$L$2:$L$501,0),0),0))</f>
        <v/>
      </c>
      <c r="W166" t="str">
        <f t="shared" si="53"/>
        <v/>
      </c>
      <c r="X166" s="38" t="str">
        <f>IF(L166="","",IF(V166&gt;0,INDEX('11-تشرين الثاني'!$P$2:$P$501,V166),IF($AO$1=1,0,"")))</f>
        <v/>
      </c>
      <c r="Y166" s="38" t="str">
        <f t="shared" si="54"/>
        <v/>
      </c>
      <c r="Z166" s="39" t="str">
        <f>IF(L166="","",IF(V166&gt;0,INDEX('11-تشرين الثاني'!$Q$2:$Q$501,V166),IF($AO$1=1,0,"")))</f>
        <v/>
      </c>
      <c r="AA166" s="39" t="str">
        <f t="shared" si="55"/>
        <v/>
      </c>
      <c r="AB166" s="40" t="str">
        <f>IF(OR(L166="",V166=0),"",IF(AND(N(I166)&gt;0,N(INDEX('11-تشرين الثاني'!$I$2:$I$501,V166))&gt;0,INDEX('11-تشرين الثاني'!$F$2:$F$501,V166)=F166),N(I166)/N(INDEX('11-تشرين الثاني'!$I$2:$I$501,V166))-1,""))</f>
        <v/>
      </c>
      <c r="AC166" t="str">
        <f t="shared" si="56"/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7"/>
        <v/>
      </c>
      <c r="AH166" s="39" t="str">
        <f t="shared" si="58"/>
        <v/>
      </c>
      <c r="AI166" s="39" t="str">
        <f t="shared" si="59"/>
        <v/>
      </c>
      <c r="AJ166" s="39" t="str">
        <f t="shared" si="60"/>
        <v/>
      </c>
      <c r="AK166" t="str">
        <f t="shared" si="61"/>
        <v/>
      </c>
      <c r="AL166" t="str">
        <f t="shared" si="62"/>
        <v/>
      </c>
    </row>
    <row r="167" spans="11:38" ht="15">
      <c r="K167" t="str">
        <f t="shared" si="42"/>
        <v/>
      </c>
      <c r="L167" t="str">
        <f t="shared" si="43"/>
        <v/>
      </c>
      <c r="M167" s="36" t="str">
        <f t="shared" si="44"/>
        <v/>
      </c>
      <c r="N167" s="37" t="str">
        <f t="shared" si="45"/>
        <v/>
      </c>
      <c r="O167" s="37" t="str">
        <f t="shared" si="46"/>
        <v/>
      </c>
      <c r="P167" s="38" t="str">
        <f t="shared" si="47"/>
        <v/>
      </c>
      <c r="Q167" s="39" t="str">
        <f t="shared" si="48"/>
        <v/>
      </c>
      <c r="R167" s="39" t="str">
        <f t="shared" si="49"/>
        <v/>
      </c>
      <c r="S167" t="str">
        <f t="shared" si="50"/>
        <v/>
      </c>
      <c r="T167" s="39" t="str">
        <f t="shared" si="51"/>
        <v/>
      </c>
      <c r="U167" t="str">
        <f t="shared" si="52"/>
        <v/>
      </c>
      <c r="V167" t="str">
        <f>IF(L167="","",IF($AO$1=1,IFERROR(MATCH(L167,'11-تشرين الثاني'!$L$2:$L$501,0),0),0))</f>
        <v/>
      </c>
      <c r="W167" t="str">
        <f t="shared" si="53"/>
        <v/>
      </c>
      <c r="X167" s="38" t="str">
        <f>IF(L167="","",IF(V167&gt;0,INDEX('11-تشرين الثاني'!$P$2:$P$501,V167),IF($AO$1=1,0,"")))</f>
        <v/>
      </c>
      <c r="Y167" s="38" t="str">
        <f t="shared" si="54"/>
        <v/>
      </c>
      <c r="Z167" s="39" t="str">
        <f>IF(L167="","",IF(V167&gt;0,INDEX('11-تشرين الثاني'!$Q$2:$Q$501,V167),IF($AO$1=1,0,"")))</f>
        <v/>
      </c>
      <c r="AA167" s="39" t="str">
        <f t="shared" si="55"/>
        <v/>
      </c>
      <c r="AB167" s="40" t="str">
        <f>IF(OR(L167="",V167=0),"",IF(AND(N(I167)&gt;0,N(INDEX('11-تشرين الثاني'!$I$2:$I$501,V167))&gt;0,INDEX('11-تشرين الثاني'!$F$2:$F$501,V167)=F167),N(I167)/N(INDEX('11-تشرين الثاني'!$I$2:$I$501,V167))-1,""))</f>
        <v/>
      </c>
      <c r="AC167" t="str">
        <f t="shared" si="56"/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7"/>
        <v/>
      </c>
      <c r="AH167" s="39" t="str">
        <f t="shared" si="58"/>
        <v/>
      </c>
      <c r="AI167" s="39" t="str">
        <f t="shared" si="59"/>
        <v/>
      </c>
      <c r="AJ167" s="39" t="str">
        <f t="shared" si="60"/>
        <v/>
      </c>
      <c r="AK167" t="str">
        <f t="shared" si="61"/>
        <v/>
      </c>
      <c r="AL167" t="str">
        <f t="shared" si="62"/>
        <v/>
      </c>
    </row>
    <row r="168" spans="11:38" ht="15">
      <c r="K168" t="str">
        <f t="shared" si="42"/>
        <v/>
      </c>
      <c r="L168" t="str">
        <f t="shared" si="43"/>
        <v/>
      </c>
      <c r="M168" s="36" t="str">
        <f t="shared" si="44"/>
        <v/>
      </c>
      <c r="N168" s="37" t="str">
        <f t="shared" si="45"/>
        <v/>
      </c>
      <c r="O168" s="37" t="str">
        <f t="shared" si="46"/>
        <v/>
      </c>
      <c r="P168" s="38" t="str">
        <f t="shared" si="47"/>
        <v/>
      </c>
      <c r="Q168" s="39" t="str">
        <f t="shared" si="48"/>
        <v/>
      </c>
      <c r="R168" s="39" t="str">
        <f t="shared" si="49"/>
        <v/>
      </c>
      <c r="S168" t="str">
        <f t="shared" si="50"/>
        <v/>
      </c>
      <c r="T168" s="39" t="str">
        <f t="shared" si="51"/>
        <v/>
      </c>
      <c r="U168" t="str">
        <f t="shared" si="52"/>
        <v/>
      </c>
      <c r="V168" t="str">
        <f>IF(L168="","",IF($AO$1=1,IFERROR(MATCH(L168,'11-تشرين الثاني'!$L$2:$L$501,0),0),0))</f>
        <v/>
      </c>
      <c r="W168" t="str">
        <f t="shared" si="53"/>
        <v/>
      </c>
      <c r="X168" s="38" t="str">
        <f>IF(L168="","",IF(V168&gt;0,INDEX('11-تشرين الثاني'!$P$2:$P$501,V168),IF($AO$1=1,0,"")))</f>
        <v/>
      </c>
      <c r="Y168" s="38" t="str">
        <f t="shared" si="54"/>
        <v/>
      </c>
      <c r="Z168" s="39" t="str">
        <f>IF(L168="","",IF(V168&gt;0,INDEX('11-تشرين الثاني'!$Q$2:$Q$501,V168),IF($AO$1=1,0,"")))</f>
        <v/>
      </c>
      <c r="AA168" s="39" t="str">
        <f t="shared" si="55"/>
        <v/>
      </c>
      <c r="AB168" s="40" t="str">
        <f>IF(OR(L168="",V168=0),"",IF(AND(N(I168)&gt;0,N(INDEX('11-تشرين الثاني'!$I$2:$I$501,V168))&gt;0,INDEX('11-تشرين الثاني'!$F$2:$F$501,V168)=F168),N(I168)/N(INDEX('11-تشرين الثاني'!$I$2:$I$501,V168))-1,""))</f>
        <v/>
      </c>
      <c r="AC168" t="str">
        <f t="shared" si="56"/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7"/>
        <v/>
      </c>
      <c r="AH168" s="39" t="str">
        <f t="shared" si="58"/>
        <v/>
      </c>
      <c r="AI168" s="39" t="str">
        <f t="shared" si="59"/>
        <v/>
      </c>
      <c r="AJ168" s="39" t="str">
        <f t="shared" si="60"/>
        <v/>
      </c>
      <c r="AK168" t="str">
        <f t="shared" si="61"/>
        <v/>
      </c>
      <c r="AL168" t="str">
        <f t="shared" si="62"/>
        <v/>
      </c>
    </row>
    <row r="169" spans="11:38" ht="15">
      <c r="K169" t="str">
        <f t="shared" si="42"/>
        <v/>
      </c>
      <c r="L169" t="str">
        <f t="shared" si="43"/>
        <v/>
      </c>
      <c r="M169" s="36" t="str">
        <f t="shared" si="44"/>
        <v/>
      </c>
      <c r="N169" s="37" t="str">
        <f t="shared" si="45"/>
        <v/>
      </c>
      <c r="O169" s="37" t="str">
        <f t="shared" si="46"/>
        <v/>
      </c>
      <c r="P169" s="38" t="str">
        <f t="shared" si="47"/>
        <v/>
      </c>
      <c r="Q169" s="39" t="str">
        <f t="shared" si="48"/>
        <v/>
      </c>
      <c r="R169" s="39" t="str">
        <f t="shared" si="49"/>
        <v/>
      </c>
      <c r="S169" t="str">
        <f t="shared" si="50"/>
        <v/>
      </c>
      <c r="T169" s="39" t="str">
        <f t="shared" si="51"/>
        <v/>
      </c>
      <c r="U169" t="str">
        <f t="shared" si="52"/>
        <v/>
      </c>
      <c r="V169" t="str">
        <f>IF(L169="","",IF($AO$1=1,IFERROR(MATCH(L169,'11-تشرين الثاني'!$L$2:$L$501,0),0),0))</f>
        <v/>
      </c>
      <c r="W169" t="str">
        <f t="shared" si="53"/>
        <v/>
      </c>
      <c r="X169" s="38" t="str">
        <f>IF(L169="","",IF(V169&gt;0,INDEX('11-تشرين الثاني'!$P$2:$P$501,V169),IF($AO$1=1,0,"")))</f>
        <v/>
      </c>
      <c r="Y169" s="38" t="str">
        <f t="shared" si="54"/>
        <v/>
      </c>
      <c r="Z169" s="39" t="str">
        <f>IF(L169="","",IF(V169&gt;0,INDEX('11-تشرين الثاني'!$Q$2:$Q$501,V169),IF($AO$1=1,0,"")))</f>
        <v/>
      </c>
      <c r="AA169" s="39" t="str">
        <f t="shared" si="55"/>
        <v/>
      </c>
      <c r="AB169" s="40" t="str">
        <f>IF(OR(L169="",V169=0),"",IF(AND(N(I169)&gt;0,N(INDEX('11-تشرين الثاني'!$I$2:$I$501,V169))&gt;0,INDEX('11-تشرين الثاني'!$F$2:$F$501,V169)=F169),N(I169)/N(INDEX('11-تشرين الثاني'!$I$2:$I$501,V169))-1,""))</f>
        <v/>
      </c>
      <c r="AC169" t="str">
        <f t="shared" si="56"/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7"/>
        <v/>
      </c>
      <c r="AH169" s="39" t="str">
        <f t="shared" si="58"/>
        <v/>
      </c>
      <c r="AI169" s="39" t="str">
        <f t="shared" si="59"/>
        <v/>
      </c>
      <c r="AJ169" s="39" t="str">
        <f t="shared" si="60"/>
        <v/>
      </c>
      <c r="AK169" t="str">
        <f t="shared" si="61"/>
        <v/>
      </c>
      <c r="AL169" t="str">
        <f t="shared" si="62"/>
        <v/>
      </c>
    </row>
    <row r="170" spans="11:38" ht="15">
      <c r="K170" t="str">
        <f t="shared" si="42"/>
        <v/>
      </c>
      <c r="L170" t="str">
        <f t="shared" si="43"/>
        <v/>
      </c>
      <c r="M170" s="36" t="str">
        <f t="shared" si="44"/>
        <v/>
      </c>
      <c r="N170" s="37" t="str">
        <f t="shared" si="45"/>
        <v/>
      </c>
      <c r="O170" s="37" t="str">
        <f t="shared" si="46"/>
        <v/>
      </c>
      <c r="P170" s="38" t="str">
        <f t="shared" si="47"/>
        <v/>
      </c>
      <c r="Q170" s="39" t="str">
        <f t="shared" si="48"/>
        <v/>
      </c>
      <c r="R170" s="39" t="str">
        <f t="shared" si="49"/>
        <v/>
      </c>
      <c r="S170" t="str">
        <f t="shared" si="50"/>
        <v/>
      </c>
      <c r="T170" s="39" t="str">
        <f t="shared" si="51"/>
        <v/>
      </c>
      <c r="U170" t="str">
        <f t="shared" si="52"/>
        <v/>
      </c>
      <c r="V170" t="str">
        <f>IF(L170="","",IF($AO$1=1,IFERROR(MATCH(L170,'11-تشرين الثاني'!$L$2:$L$501,0),0),0))</f>
        <v/>
      </c>
      <c r="W170" t="str">
        <f t="shared" si="53"/>
        <v/>
      </c>
      <c r="X170" s="38" t="str">
        <f>IF(L170="","",IF(V170&gt;0,INDEX('11-تشرين الثاني'!$P$2:$P$501,V170),IF($AO$1=1,0,"")))</f>
        <v/>
      </c>
      <c r="Y170" s="38" t="str">
        <f t="shared" si="54"/>
        <v/>
      </c>
      <c r="Z170" s="39" t="str">
        <f>IF(L170="","",IF(V170&gt;0,INDEX('11-تشرين الثاني'!$Q$2:$Q$501,V170),IF($AO$1=1,0,"")))</f>
        <v/>
      </c>
      <c r="AA170" s="39" t="str">
        <f t="shared" si="55"/>
        <v/>
      </c>
      <c r="AB170" s="40" t="str">
        <f>IF(OR(L170="",V170=0),"",IF(AND(N(I170)&gt;0,N(INDEX('11-تشرين الثاني'!$I$2:$I$501,V170))&gt;0,INDEX('11-تشرين الثاني'!$F$2:$F$501,V170)=F170),N(I170)/N(INDEX('11-تشرين الثاني'!$I$2:$I$501,V170))-1,""))</f>
        <v/>
      </c>
      <c r="AC170" t="str">
        <f t="shared" si="56"/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7"/>
        <v/>
      </c>
      <c r="AH170" s="39" t="str">
        <f t="shared" si="58"/>
        <v/>
      </c>
      <c r="AI170" s="39" t="str">
        <f t="shared" si="59"/>
        <v/>
      </c>
      <c r="AJ170" s="39" t="str">
        <f t="shared" si="60"/>
        <v/>
      </c>
      <c r="AK170" t="str">
        <f t="shared" si="61"/>
        <v/>
      </c>
      <c r="AL170" t="str">
        <f t="shared" si="62"/>
        <v/>
      </c>
    </row>
    <row r="171" spans="11:38" ht="15">
      <c r="K171" t="str">
        <f t="shared" si="42"/>
        <v/>
      </c>
      <c r="L171" t="str">
        <f t="shared" si="43"/>
        <v/>
      </c>
      <c r="M171" s="36" t="str">
        <f t="shared" si="44"/>
        <v/>
      </c>
      <c r="N171" s="37" t="str">
        <f t="shared" si="45"/>
        <v/>
      </c>
      <c r="O171" s="37" t="str">
        <f t="shared" si="46"/>
        <v/>
      </c>
      <c r="P171" s="38" t="str">
        <f t="shared" si="47"/>
        <v/>
      </c>
      <c r="Q171" s="39" t="str">
        <f t="shared" si="48"/>
        <v/>
      </c>
      <c r="R171" s="39" t="str">
        <f t="shared" si="49"/>
        <v/>
      </c>
      <c r="S171" t="str">
        <f t="shared" si="50"/>
        <v/>
      </c>
      <c r="T171" s="39" t="str">
        <f t="shared" si="51"/>
        <v/>
      </c>
      <c r="U171" t="str">
        <f t="shared" si="52"/>
        <v/>
      </c>
      <c r="V171" t="str">
        <f>IF(L171="","",IF($AO$1=1,IFERROR(MATCH(L171,'11-تشرين الثاني'!$L$2:$L$501,0),0),0))</f>
        <v/>
      </c>
      <c r="W171" t="str">
        <f t="shared" si="53"/>
        <v/>
      </c>
      <c r="X171" s="38" t="str">
        <f>IF(L171="","",IF(V171&gt;0,INDEX('11-تشرين الثاني'!$P$2:$P$501,V171),IF($AO$1=1,0,"")))</f>
        <v/>
      </c>
      <c r="Y171" s="38" t="str">
        <f t="shared" si="54"/>
        <v/>
      </c>
      <c r="Z171" s="39" t="str">
        <f>IF(L171="","",IF(V171&gt;0,INDEX('11-تشرين الثاني'!$Q$2:$Q$501,V171),IF($AO$1=1,0,"")))</f>
        <v/>
      </c>
      <c r="AA171" s="39" t="str">
        <f t="shared" si="55"/>
        <v/>
      </c>
      <c r="AB171" s="40" t="str">
        <f>IF(OR(L171="",V171=0),"",IF(AND(N(I171)&gt;0,N(INDEX('11-تشرين الثاني'!$I$2:$I$501,V171))&gt;0,INDEX('11-تشرين الثاني'!$F$2:$F$501,V171)=F171),N(I171)/N(INDEX('11-تشرين الثاني'!$I$2:$I$501,V171))-1,""))</f>
        <v/>
      </c>
      <c r="AC171" t="str">
        <f t="shared" si="56"/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7"/>
        <v/>
      </c>
      <c r="AH171" s="39" t="str">
        <f t="shared" si="58"/>
        <v/>
      </c>
      <c r="AI171" s="39" t="str">
        <f t="shared" si="59"/>
        <v/>
      </c>
      <c r="AJ171" s="39" t="str">
        <f t="shared" si="60"/>
        <v/>
      </c>
      <c r="AK171" t="str">
        <f t="shared" si="61"/>
        <v/>
      </c>
      <c r="AL171" t="str">
        <f t="shared" si="62"/>
        <v/>
      </c>
    </row>
    <row r="172" spans="11:38" ht="15">
      <c r="K172" t="str">
        <f t="shared" si="42"/>
        <v/>
      </c>
      <c r="L172" t="str">
        <f t="shared" si="43"/>
        <v/>
      </c>
      <c r="M172" s="36" t="str">
        <f t="shared" si="44"/>
        <v/>
      </c>
      <c r="N172" s="37" t="str">
        <f t="shared" si="45"/>
        <v/>
      </c>
      <c r="O172" s="37" t="str">
        <f t="shared" si="46"/>
        <v/>
      </c>
      <c r="P172" s="38" t="str">
        <f t="shared" si="47"/>
        <v/>
      </c>
      <c r="Q172" s="39" t="str">
        <f t="shared" si="48"/>
        <v/>
      </c>
      <c r="R172" s="39" t="str">
        <f t="shared" si="49"/>
        <v/>
      </c>
      <c r="S172" t="str">
        <f t="shared" si="50"/>
        <v/>
      </c>
      <c r="T172" s="39" t="str">
        <f t="shared" si="51"/>
        <v/>
      </c>
      <c r="U172" t="str">
        <f t="shared" si="52"/>
        <v/>
      </c>
      <c r="V172" t="str">
        <f>IF(L172="","",IF($AO$1=1,IFERROR(MATCH(L172,'11-تشرين الثاني'!$L$2:$L$501,0),0),0))</f>
        <v/>
      </c>
      <c r="W172" t="str">
        <f t="shared" si="53"/>
        <v/>
      </c>
      <c r="X172" s="38" t="str">
        <f>IF(L172="","",IF(V172&gt;0,INDEX('11-تشرين الثاني'!$P$2:$P$501,V172),IF($AO$1=1,0,"")))</f>
        <v/>
      </c>
      <c r="Y172" s="38" t="str">
        <f t="shared" si="54"/>
        <v/>
      </c>
      <c r="Z172" s="39" t="str">
        <f>IF(L172="","",IF(V172&gt;0,INDEX('11-تشرين الثاني'!$Q$2:$Q$501,V172),IF($AO$1=1,0,"")))</f>
        <v/>
      </c>
      <c r="AA172" s="39" t="str">
        <f t="shared" si="55"/>
        <v/>
      </c>
      <c r="AB172" s="40" t="str">
        <f>IF(OR(L172="",V172=0),"",IF(AND(N(I172)&gt;0,N(INDEX('11-تشرين الثاني'!$I$2:$I$501,V172))&gt;0,INDEX('11-تشرين الثاني'!$F$2:$F$501,V172)=F172),N(I172)/N(INDEX('11-تشرين الثاني'!$I$2:$I$501,V172))-1,""))</f>
        <v/>
      </c>
      <c r="AC172" t="str">
        <f t="shared" si="56"/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7"/>
        <v/>
      </c>
      <c r="AH172" s="39" t="str">
        <f t="shared" si="58"/>
        <v/>
      </c>
      <c r="AI172" s="39" t="str">
        <f t="shared" si="59"/>
        <v/>
      </c>
      <c r="AJ172" s="39" t="str">
        <f t="shared" si="60"/>
        <v/>
      </c>
      <c r="AK172" t="str">
        <f t="shared" si="61"/>
        <v/>
      </c>
      <c r="AL172" t="str">
        <f t="shared" si="62"/>
        <v/>
      </c>
    </row>
    <row r="173" spans="11:38" ht="15">
      <c r="K173" t="str">
        <f t="shared" si="42"/>
        <v/>
      </c>
      <c r="L173" t="str">
        <f t="shared" si="43"/>
        <v/>
      </c>
      <c r="M173" s="36" t="str">
        <f t="shared" si="44"/>
        <v/>
      </c>
      <c r="N173" s="37" t="str">
        <f t="shared" si="45"/>
        <v/>
      </c>
      <c r="O173" s="37" t="str">
        <f t="shared" si="46"/>
        <v/>
      </c>
      <c r="P173" s="38" t="str">
        <f t="shared" si="47"/>
        <v/>
      </c>
      <c r="Q173" s="39" t="str">
        <f t="shared" si="48"/>
        <v/>
      </c>
      <c r="R173" s="39" t="str">
        <f t="shared" si="49"/>
        <v/>
      </c>
      <c r="S173" t="str">
        <f t="shared" si="50"/>
        <v/>
      </c>
      <c r="T173" s="39" t="str">
        <f t="shared" si="51"/>
        <v/>
      </c>
      <c r="U173" t="str">
        <f t="shared" si="52"/>
        <v/>
      </c>
      <c r="V173" t="str">
        <f>IF(L173="","",IF($AO$1=1,IFERROR(MATCH(L173,'11-تشرين الثاني'!$L$2:$L$501,0),0),0))</f>
        <v/>
      </c>
      <c r="W173" t="str">
        <f t="shared" si="53"/>
        <v/>
      </c>
      <c r="X173" s="38" t="str">
        <f>IF(L173="","",IF(V173&gt;0,INDEX('11-تشرين الثاني'!$P$2:$P$501,V173),IF($AO$1=1,0,"")))</f>
        <v/>
      </c>
      <c r="Y173" s="38" t="str">
        <f t="shared" si="54"/>
        <v/>
      </c>
      <c r="Z173" s="39" t="str">
        <f>IF(L173="","",IF(V173&gt;0,INDEX('11-تشرين الثاني'!$Q$2:$Q$501,V173),IF($AO$1=1,0,"")))</f>
        <v/>
      </c>
      <c r="AA173" s="39" t="str">
        <f t="shared" si="55"/>
        <v/>
      </c>
      <c r="AB173" s="40" t="str">
        <f>IF(OR(L173="",V173=0),"",IF(AND(N(I173)&gt;0,N(INDEX('11-تشرين الثاني'!$I$2:$I$501,V173))&gt;0,INDEX('11-تشرين الثاني'!$F$2:$F$501,V173)=F173),N(I173)/N(INDEX('11-تشرين الثاني'!$I$2:$I$501,V173))-1,""))</f>
        <v/>
      </c>
      <c r="AC173" t="str">
        <f t="shared" si="56"/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7"/>
        <v/>
      </c>
      <c r="AH173" s="39" t="str">
        <f t="shared" si="58"/>
        <v/>
      </c>
      <c r="AI173" s="39" t="str">
        <f t="shared" si="59"/>
        <v/>
      </c>
      <c r="AJ173" s="39" t="str">
        <f t="shared" si="60"/>
        <v/>
      </c>
      <c r="AK173" t="str">
        <f t="shared" si="61"/>
        <v/>
      </c>
      <c r="AL173" t="str">
        <f t="shared" si="62"/>
        <v/>
      </c>
    </row>
    <row r="174" spans="11:38" ht="15">
      <c r="K174" t="str">
        <f t="shared" si="42"/>
        <v/>
      </c>
      <c r="L174" t="str">
        <f t="shared" si="43"/>
        <v/>
      </c>
      <c r="M174" s="36" t="str">
        <f t="shared" si="44"/>
        <v/>
      </c>
      <c r="N174" s="37" t="str">
        <f t="shared" si="45"/>
        <v/>
      </c>
      <c r="O174" s="37" t="str">
        <f t="shared" si="46"/>
        <v/>
      </c>
      <c r="P174" s="38" t="str">
        <f t="shared" si="47"/>
        <v/>
      </c>
      <c r="Q174" s="39" t="str">
        <f t="shared" si="48"/>
        <v/>
      </c>
      <c r="R174" s="39" t="str">
        <f t="shared" si="49"/>
        <v/>
      </c>
      <c r="S174" t="str">
        <f t="shared" si="50"/>
        <v/>
      </c>
      <c r="T174" s="39" t="str">
        <f t="shared" si="51"/>
        <v/>
      </c>
      <c r="U174" t="str">
        <f t="shared" si="52"/>
        <v/>
      </c>
      <c r="V174" t="str">
        <f>IF(L174="","",IF($AO$1=1,IFERROR(MATCH(L174,'11-تشرين الثاني'!$L$2:$L$501,0),0),0))</f>
        <v/>
      </c>
      <c r="W174" t="str">
        <f t="shared" si="53"/>
        <v/>
      </c>
      <c r="X174" s="38" t="str">
        <f>IF(L174="","",IF(V174&gt;0,INDEX('11-تشرين الثاني'!$P$2:$P$501,V174),IF($AO$1=1,0,"")))</f>
        <v/>
      </c>
      <c r="Y174" s="38" t="str">
        <f t="shared" si="54"/>
        <v/>
      </c>
      <c r="Z174" s="39" t="str">
        <f>IF(L174="","",IF(V174&gt;0,INDEX('11-تشرين الثاني'!$Q$2:$Q$501,V174),IF($AO$1=1,0,"")))</f>
        <v/>
      </c>
      <c r="AA174" s="39" t="str">
        <f t="shared" si="55"/>
        <v/>
      </c>
      <c r="AB174" s="40" t="str">
        <f>IF(OR(L174="",V174=0),"",IF(AND(N(I174)&gt;0,N(INDEX('11-تشرين الثاني'!$I$2:$I$501,V174))&gt;0,INDEX('11-تشرين الثاني'!$F$2:$F$501,V174)=F174),N(I174)/N(INDEX('11-تشرين الثاني'!$I$2:$I$501,V174))-1,""))</f>
        <v/>
      </c>
      <c r="AC174" t="str">
        <f t="shared" si="56"/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7"/>
        <v/>
      </c>
      <c r="AH174" s="39" t="str">
        <f t="shared" si="58"/>
        <v/>
      </c>
      <c r="AI174" s="39" t="str">
        <f t="shared" si="59"/>
        <v/>
      </c>
      <c r="AJ174" s="39" t="str">
        <f t="shared" si="60"/>
        <v/>
      </c>
      <c r="AK174" t="str">
        <f t="shared" si="61"/>
        <v/>
      </c>
      <c r="AL174" t="str">
        <f t="shared" si="62"/>
        <v/>
      </c>
    </row>
    <row r="175" spans="11:38" ht="15">
      <c r="K175" t="str">
        <f t="shared" si="42"/>
        <v/>
      </c>
      <c r="L175" t="str">
        <f t="shared" si="43"/>
        <v/>
      </c>
      <c r="M175" s="36" t="str">
        <f t="shared" si="44"/>
        <v/>
      </c>
      <c r="N175" s="37" t="str">
        <f t="shared" si="45"/>
        <v/>
      </c>
      <c r="O175" s="37" t="str">
        <f t="shared" si="46"/>
        <v/>
      </c>
      <c r="P175" s="38" t="str">
        <f t="shared" si="47"/>
        <v/>
      </c>
      <c r="Q175" s="39" t="str">
        <f t="shared" si="48"/>
        <v/>
      </c>
      <c r="R175" s="39" t="str">
        <f t="shared" si="49"/>
        <v/>
      </c>
      <c r="S175" t="str">
        <f t="shared" si="50"/>
        <v/>
      </c>
      <c r="T175" s="39" t="str">
        <f t="shared" si="51"/>
        <v/>
      </c>
      <c r="U175" t="str">
        <f t="shared" si="52"/>
        <v/>
      </c>
      <c r="V175" t="str">
        <f>IF(L175="","",IF($AO$1=1,IFERROR(MATCH(L175,'11-تشرين الثاني'!$L$2:$L$501,0),0),0))</f>
        <v/>
      </c>
      <c r="W175" t="str">
        <f t="shared" si="53"/>
        <v/>
      </c>
      <c r="X175" s="38" t="str">
        <f>IF(L175="","",IF(V175&gt;0,INDEX('11-تشرين الثاني'!$P$2:$P$501,V175),IF($AO$1=1,0,"")))</f>
        <v/>
      </c>
      <c r="Y175" s="38" t="str">
        <f t="shared" si="54"/>
        <v/>
      </c>
      <c r="Z175" s="39" t="str">
        <f>IF(L175="","",IF(V175&gt;0,INDEX('11-تشرين الثاني'!$Q$2:$Q$501,V175),IF($AO$1=1,0,"")))</f>
        <v/>
      </c>
      <c r="AA175" s="39" t="str">
        <f t="shared" si="55"/>
        <v/>
      </c>
      <c r="AB175" s="40" t="str">
        <f>IF(OR(L175="",V175=0),"",IF(AND(N(I175)&gt;0,N(INDEX('11-تشرين الثاني'!$I$2:$I$501,V175))&gt;0,INDEX('11-تشرين الثاني'!$F$2:$F$501,V175)=F175),N(I175)/N(INDEX('11-تشرين الثاني'!$I$2:$I$501,V175))-1,""))</f>
        <v/>
      </c>
      <c r="AC175" t="str">
        <f t="shared" si="56"/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7"/>
        <v/>
      </c>
      <c r="AH175" s="39" t="str">
        <f t="shared" si="58"/>
        <v/>
      </c>
      <c r="AI175" s="39" t="str">
        <f t="shared" si="59"/>
        <v/>
      </c>
      <c r="AJ175" s="39" t="str">
        <f t="shared" si="60"/>
        <v/>
      </c>
      <c r="AK175" t="str">
        <f t="shared" si="61"/>
        <v/>
      </c>
      <c r="AL175" t="str">
        <f t="shared" si="62"/>
        <v/>
      </c>
    </row>
    <row r="176" spans="11:38" ht="15">
      <c r="K176" t="str">
        <f t="shared" si="42"/>
        <v/>
      </c>
      <c r="L176" t="str">
        <f t="shared" si="43"/>
        <v/>
      </c>
      <c r="M176" s="36" t="str">
        <f t="shared" si="44"/>
        <v/>
      </c>
      <c r="N176" s="37" t="str">
        <f t="shared" si="45"/>
        <v/>
      </c>
      <c r="O176" s="37" t="str">
        <f t="shared" si="46"/>
        <v/>
      </c>
      <c r="P176" s="38" t="str">
        <f t="shared" si="47"/>
        <v/>
      </c>
      <c r="Q176" s="39" t="str">
        <f t="shared" si="48"/>
        <v/>
      </c>
      <c r="R176" s="39" t="str">
        <f t="shared" si="49"/>
        <v/>
      </c>
      <c r="S176" t="str">
        <f t="shared" si="50"/>
        <v/>
      </c>
      <c r="T176" s="39" t="str">
        <f t="shared" si="51"/>
        <v/>
      </c>
      <c r="U176" t="str">
        <f t="shared" si="52"/>
        <v/>
      </c>
      <c r="V176" t="str">
        <f>IF(L176="","",IF($AO$1=1,IFERROR(MATCH(L176,'11-تشرين الثاني'!$L$2:$L$501,0),0),0))</f>
        <v/>
      </c>
      <c r="W176" t="str">
        <f t="shared" si="53"/>
        <v/>
      </c>
      <c r="X176" s="38" t="str">
        <f>IF(L176="","",IF(V176&gt;0,INDEX('11-تشرين الثاني'!$P$2:$P$501,V176),IF($AO$1=1,0,"")))</f>
        <v/>
      </c>
      <c r="Y176" s="38" t="str">
        <f t="shared" si="54"/>
        <v/>
      </c>
      <c r="Z176" s="39" t="str">
        <f>IF(L176="","",IF(V176&gt;0,INDEX('11-تشرين الثاني'!$Q$2:$Q$501,V176),IF($AO$1=1,0,"")))</f>
        <v/>
      </c>
      <c r="AA176" s="39" t="str">
        <f t="shared" si="55"/>
        <v/>
      </c>
      <c r="AB176" s="40" t="str">
        <f>IF(OR(L176="",V176=0),"",IF(AND(N(I176)&gt;0,N(INDEX('11-تشرين الثاني'!$I$2:$I$501,V176))&gt;0,INDEX('11-تشرين الثاني'!$F$2:$F$501,V176)=F176),N(I176)/N(INDEX('11-تشرين الثاني'!$I$2:$I$501,V176))-1,""))</f>
        <v/>
      </c>
      <c r="AC176" t="str">
        <f t="shared" si="56"/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7"/>
        <v/>
      </c>
      <c r="AH176" s="39" t="str">
        <f t="shared" si="58"/>
        <v/>
      </c>
      <c r="AI176" s="39" t="str">
        <f t="shared" si="59"/>
        <v/>
      </c>
      <c r="AJ176" s="39" t="str">
        <f t="shared" si="60"/>
        <v/>
      </c>
      <c r="AK176" t="str">
        <f t="shared" si="61"/>
        <v/>
      </c>
      <c r="AL176" t="str">
        <f t="shared" si="62"/>
        <v/>
      </c>
    </row>
    <row r="177" spans="11:38" ht="15">
      <c r="K177" t="str">
        <f t="shared" si="42"/>
        <v/>
      </c>
      <c r="L177" t="str">
        <f t="shared" si="43"/>
        <v/>
      </c>
      <c r="M177" s="36" t="str">
        <f t="shared" si="44"/>
        <v/>
      </c>
      <c r="N177" s="37" t="str">
        <f t="shared" si="45"/>
        <v/>
      </c>
      <c r="O177" s="37" t="str">
        <f t="shared" si="46"/>
        <v/>
      </c>
      <c r="P177" s="38" t="str">
        <f t="shared" si="47"/>
        <v/>
      </c>
      <c r="Q177" s="39" t="str">
        <f t="shared" si="48"/>
        <v/>
      </c>
      <c r="R177" s="39" t="str">
        <f t="shared" si="49"/>
        <v/>
      </c>
      <c r="S177" t="str">
        <f t="shared" si="50"/>
        <v/>
      </c>
      <c r="T177" s="39" t="str">
        <f t="shared" si="51"/>
        <v/>
      </c>
      <c r="U177" t="str">
        <f t="shared" si="52"/>
        <v/>
      </c>
      <c r="V177" t="str">
        <f>IF(L177="","",IF($AO$1=1,IFERROR(MATCH(L177,'11-تشرين الثاني'!$L$2:$L$501,0),0),0))</f>
        <v/>
      </c>
      <c r="W177" t="str">
        <f t="shared" si="53"/>
        <v/>
      </c>
      <c r="X177" s="38" t="str">
        <f>IF(L177="","",IF(V177&gt;0,INDEX('11-تشرين الثاني'!$P$2:$P$501,V177),IF($AO$1=1,0,"")))</f>
        <v/>
      </c>
      <c r="Y177" s="38" t="str">
        <f t="shared" si="54"/>
        <v/>
      </c>
      <c r="Z177" s="39" t="str">
        <f>IF(L177="","",IF(V177&gt;0,INDEX('11-تشرين الثاني'!$Q$2:$Q$501,V177),IF($AO$1=1,0,"")))</f>
        <v/>
      </c>
      <c r="AA177" s="39" t="str">
        <f t="shared" si="55"/>
        <v/>
      </c>
      <c r="AB177" s="40" t="str">
        <f>IF(OR(L177="",V177=0),"",IF(AND(N(I177)&gt;0,N(INDEX('11-تشرين الثاني'!$I$2:$I$501,V177))&gt;0,INDEX('11-تشرين الثاني'!$F$2:$F$501,V177)=F177),N(I177)/N(INDEX('11-تشرين الثاني'!$I$2:$I$501,V177))-1,""))</f>
        <v/>
      </c>
      <c r="AC177" t="str">
        <f t="shared" si="56"/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7"/>
        <v/>
      </c>
      <c r="AH177" s="39" t="str">
        <f t="shared" si="58"/>
        <v/>
      </c>
      <c r="AI177" s="39" t="str">
        <f t="shared" si="59"/>
        <v/>
      </c>
      <c r="AJ177" s="39" t="str">
        <f t="shared" si="60"/>
        <v/>
      </c>
      <c r="AK177" t="str">
        <f t="shared" si="61"/>
        <v/>
      </c>
      <c r="AL177" t="str">
        <f t="shared" si="62"/>
        <v/>
      </c>
    </row>
    <row r="178" spans="11:38" ht="15">
      <c r="K178" t="str">
        <f t="shared" si="42"/>
        <v/>
      </c>
      <c r="L178" t="str">
        <f t="shared" si="43"/>
        <v/>
      </c>
      <c r="M178" s="36" t="str">
        <f t="shared" si="44"/>
        <v/>
      </c>
      <c r="N178" s="37" t="str">
        <f t="shared" si="45"/>
        <v/>
      </c>
      <c r="O178" s="37" t="str">
        <f t="shared" si="46"/>
        <v/>
      </c>
      <c r="P178" s="38" t="str">
        <f t="shared" si="47"/>
        <v/>
      </c>
      <c r="Q178" s="39" t="str">
        <f t="shared" si="48"/>
        <v/>
      </c>
      <c r="R178" s="39" t="str">
        <f t="shared" si="49"/>
        <v/>
      </c>
      <c r="S178" t="str">
        <f t="shared" si="50"/>
        <v/>
      </c>
      <c r="T178" s="39" t="str">
        <f t="shared" si="51"/>
        <v/>
      </c>
      <c r="U178" t="str">
        <f t="shared" si="52"/>
        <v/>
      </c>
      <c r="V178" t="str">
        <f>IF(L178="","",IF($AO$1=1,IFERROR(MATCH(L178,'11-تشرين الثاني'!$L$2:$L$501,0),0),0))</f>
        <v/>
      </c>
      <c r="W178" t="str">
        <f t="shared" si="53"/>
        <v/>
      </c>
      <c r="X178" s="38" t="str">
        <f>IF(L178="","",IF(V178&gt;0,INDEX('11-تشرين الثاني'!$P$2:$P$501,V178),IF($AO$1=1,0,"")))</f>
        <v/>
      </c>
      <c r="Y178" s="38" t="str">
        <f t="shared" si="54"/>
        <v/>
      </c>
      <c r="Z178" s="39" t="str">
        <f>IF(L178="","",IF(V178&gt;0,INDEX('11-تشرين الثاني'!$Q$2:$Q$501,V178),IF($AO$1=1,0,"")))</f>
        <v/>
      </c>
      <c r="AA178" s="39" t="str">
        <f t="shared" si="55"/>
        <v/>
      </c>
      <c r="AB178" s="40" t="str">
        <f>IF(OR(L178="",V178=0),"",IF(AND(N(I178)&gt;0,N(INDEX('11-تشرين الثاني'!$I$2:$I$501,V178))&gt;0,INDEX('11-تشرين الثاني'!$F$2:$F$501,V178)=F178),N(I178)/N(INDEX('11-تشرين الثاني'!$I$2:$I$501,V178))-1,""))</f>
        <v/>
      </c>
      <c r="AC178" t="str">
        <f t="shared" si="56"/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7"/>
        <v/>
      </c>
      <c r="AH178" s="39" t="str">
        <f t="shared" si="58"/>
        <v/>
      </c>
      <c r="AI178" s="39" t="str">
        <f t="shared" si="59"/>
        <v/>
      </c>
      <c r="AJ178" s="39" t="str">
        <f t="shared" si="60"/>
        <v/>
      </c>
      <c r="AK178" t="str">
        <f t="shared" si="61"/>
        <v/>
      </c>
      <c r="AL178" t="str">
        <f t="shared" si="62"/>
        <v/>
      </c>
    </row>
    <row r="179" spans="11:38" ht="15">
      <c r="K179" t="str">
        <f t="shared" si="42"/>
        <v/>
      </c>
      <c r="L179" t="str">
        <f t="shared" si="43"/>
        <v/>
      </c>
      <c r="M179" s="36" t="str">
        <f t="shared" si="44"/>
        <v/>
      </c>
      <c r="N179" s="37" t="str">
        <f t="shared" si="45"/>
        <v/>
      </c>
      <c r="O179" s="37" t="str">
        <f t="shared" si="46"/>
        <v/>
      </c>
      <c r="P179" s="38" t="str">
        <f t="shared" si="47"/>
        <v/>
      </c>
      <c r="Q179" s="39" t="str">
        <f t="shared" si="48"/>
        <v/>
      </c>
      <c r="R179" s="39" t="str">
        <f t="shared" si="49"/>
        <v/>
      </c>
      <c r="S179" t="str">
        <f t="shared" si="50"/>
        <v/>
      </c>
      <c r="T179" s="39" t="str">
        <f t="shared" si="51"/>
        <v/>
      </c>
      <c r="U179" t="str">
        <f t="shared" si="52"/>
        <v/>
      </c>
      <c r="V179" t="str">
        <f>IF(L179="","",IF($AO$1=1,IFERROR(MATCH(L179,'11-تشرين الثاني'!$L$2:$L$501,0),0),0))</f>
        <v/>
      </c>
      <c r="W179" t="str">
        <f t="shared" si="53"/>
        <v/>
      </c>
      <c r="X179" s="38" t="str">
        <f>IF(L179="","",IF(V179&gt;0,INDEX('11-تشرين الثاني'!$P$2:$P$501,V179),IF($AO$1=1,0,"")))</f>
        <v/>
      </c>
      <c r="Y179" s="38" t="str">
        <f t="shared" si="54"/>
        <v/>
      </c>
      <c r="Z179" s="39" t="str">
        <f>IF(L179="","",IF(V179&gt;0,INDEX('11-تشرين الثاني'!$Q$2:$Q$501,V179),IF($AO$1=1,0,"")))</f>
        <v/>
      </c>
      <c r="AA179" s="39" t="str">
        <f t="shared" si="55"/>
        <v/>
      </c>
      <c r="AB179" s="40" t="str">
        <f>IF(OR(L179="",V179=0),"",IF(AND(N(I179)&gt;0,N(INDEX('11-تشرين الثاني'!$I$2:$I$501,V179))&gt;0,INDEX('11-تشرين الثاني'!$F$2:$F$501,V179)=F179),N(I179)/N(INDEX('11-تشرين الثاني'!$I$2:$I$501,V179))-1,""))</f>
        <v/>
      </c>
      <c r="AC179" t="str">
        <f t="shared" si="56"/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7"/>
        <v/>
      </c>
      <c r="AH179" s="39" t="str">
        <f t="shared" si="58"/>
        <v/>
      </c>
      <c r="AI179" s="39" t="str">
        <f t="shared" si="59"/>
        <v/>
      </c>
      <c r="AJ179" s="39" t="str">
        <f t="shared" si="60"/>
        <v/>
      </c>
      <c r="AK179" t="str">
        <f t="shared" si="61"/>
        <v/>
      </c>
      <c r="AL179" t="str">
        <f t="shared" si="62"/>
        <v/>
      </c>
    </row>
    <row r="180" spans="11:38" ht="15">
      <c r="K180" t="str">
        <f t="shared" si="42"/>
        <v/>
      </c>
      <c r="L180" t="str">
        <f t="shared" si="43"/>
        <v/>
      </c>
      <c r="M180" s="36" t="str">
        <f t="shared" si="44"/>
        <v/>
      </c>
      <c r="N180" s="37" t="str">
        <f t="shared" si="45"/>
        <v/>
      </c>
      <c r="O180" s="37" t="str">
        <f t="shared" si="46"/>
        <v/>
      </c>
      <c r="P180" s="38" t="str">
        <f t="shared" si="47"/>
        <v/>
      </c>
      <c r="Q180" s="39" t="str">
        <f t="shared" si="48"/>
        <v/>
      </c>
      <c r="R180" s="39" t="str">
        <f t="shared" si="49"/>
        <v/>
      </c>
      <c r="S180" t="str">
        <f t="shared" si="50"/>
        <v/>
      </c>
      <c r="T180" s="39" t="str">
        <f t="shared" si="51"/>
        <v/>
      </c>
      <c r="U180" t="str">
        <f t="shared" si="52"/>
        <v/>
      </c>
      <c r="V180" t="str">
        <f>IF(L180="","",IF($AO$1=1,IFERROR(MATCH(L180,'11-تشرين الثاني'!$L$2:$L$501,0),0),0))</f>
        <v/>
      </c>
      <c r="W180" t="str">
        <f t="shared" si="53"/>
        <v/>
      </c>
      <c r="X180" s="38" t="str">
        <f>IF(L180="","",IF(V180&gt;0,INDEX('11-تشرين الثاني'!$P$2:$P$501,V180),IF($AO$1=1,0,"")))</f>
        <v/>
      </c>
      <c r="Y180" s="38" t="str">
        <f t="shared" si="54"/>
        <v/>
      </c>
      <c r="Z180" s="39" t="str">
        <f>IF(L180="","",IF(V180&gt;0,INDEX('11-تشرين الثاني'!$Q$2:$Q$501,V180),IF($AO$1=1,0,"")))</f>
        <v/>
      </c>
      <c r="AA180" s="39" t="str">
        <f t="shared" si="55"/>
        <v/>
      </c>
      <c r="AB180" s="40" t="str">
        <f>IF(OR(L180="",V180=0),"",IF(AND(N(I180)&gt;0,N(INDEX('11-تشرين الثاني'!$I$2:$I$501,V180))&gt;0,INDEX('11-تشرين الثاني'!$F$2:$F$501,V180)=F180),N(I180)/N(INDEX('11-تشرين الثاني'!$I$2:$I$501,V180))-1,""))</f>
        <v/>
      </c>
      <c r="AC180" t="str">
        <f t="shared" si="56"/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7"/>
        <v/>
      </c>
      <c r="AH180" s="39" t="str">
        <f t="shared" si="58"/>
        <v/>
      </c>
      <c r="AI180" s="39" t="str">
        <f t="shared" si="59"/>
        <v/>
      </c>
      <c r="AJ180" s="39" t="str">
        <f t="shared" si="60"/>
        <v/>
      </c>
      <c r="AK180" t="str">
        <f t="shared" si="61"/>
        <v/>
      </c>
      <c r="AL180" t="str">
        <f t="shared" si="62"/>
        <v/>
      </c>
    </row>
    <row r="181" spans="11:38" ht="15">
      <c r="K181" t="str">
        <f t="shared" si="42"/>
        <v/>
      </c>
      <c r="L181" t="str">
        <f t="shared" si="43"/>
        <v/>
      </c>
      <c r="M181" s="36" t="str">
        <f t="shared" si="44"/>
        <v/>
      </c>
      <c r="N181" s="37" t="str">
        <f t="shared" si="45"/>
        <v/>
      </c>
      <c r="O181" s="37" t="str">
        <f t="shared" si="46"/>
        <v/>
      </c>
      <c r="P181" s="38" t="str">
        <f t="shared" si="47"/>
        <v/>
      </c>
      <c r="Q181" s="39" t="str">
        <f t="shared" si="48"/>
        <v/>
      </c>
      <c r="R181" s="39" t="str">
        <f t="shared" si="49"/>
        <v/>
      </c>
      <c r="S181" t="str">
        <f t="shared" si="50"/>
        <v/>
      </c>
      <c r="T181" s="39" t="str">
        <f t="shared" si="51"/>
        <v/>
      </c>
      <c r="U181" t="str">
        <f t="shared" si="52"/>
        <v/>
      </c>
      <c r="V181" t="str">
        <f>IF(L181="","",IF($AO$1=1,IFERROR(MATCH(L181,'11-تشرين الثاني'!$L$2:$L$501,0),0),0))</f>
        <v/>
      </c>
      <c r="W181" t="str">
        <f t="shared" si="53"/>
        <v/>
      </c>
      <c r="X181" s="38" t="str">
        <f>IF(L181="","",IF(V181&gt;0,INDEX('11-تشرين الثاني'!$P$2:$P$501,V181),IF($AO$1=1,0,"")))</f>
        <v/>
      </c>
      <c r="Y181" s="38" t="str">
        <f t="shared" si="54"/>
        <v/>
      </c>
      <c r="Z181" s="39" t="str">
        <f>IF(L181="","",IF(V181&gt;0,INDEX('11-تشرين الثاني'!$Q$2:$Q$501,V181),IF($AO$1=1,0,"")))</f>
        <v/>
      </c>
      <c r="AA181" s="39" t="str">
        <f t="shared" si="55"/>
        <v/>
      </c>
      <c r="AB181" s="40" t="str">
        <f>IF(OR(L181="",V181=0),"",IF(AND(N(I181)&gt;0,N(INDEX('11-تشرين الثاني'!$I$2:$I$501,V181))&gt;0,INDEX('11-تشرين الثاني'!$F$2:$F$501,V181)=F181),N(I181)/N(INDEX('11-تشرين الثاني'!$I$2:$I$501,V181))-1,""))</f>
        <v/>
      </c>
      <c r="AC181" t="str">
        <f t="shared" si="56"/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7"/>
        <v/>
      </c>
      <c r="AH181" s="39" t="str">
        <f t="shared" si="58"/>
        <v/>
      </c>
      <c r="AI181" s="39" t="str">
        <f t="shared" si="59"/>
        <v/>
      </c>
      <c r="AJ181" s="39" t="str">
        <f t="shared" si="60"/>
        <v/>
      </c>
      <c r="AK181" t="str">
        <f t="shared" si="61"/>
        <v/>
      </c>
      <c r="AL181" t="str">
        <f t="shared" si="62"/>
        <v/>
      </c>
    </row>
    <row r="182" spans="11:38" ht="15">
      <c r="K182" t="str">
        <f t="shared" si="42"/>
        <v/>
      </c>
      <c r="L182" t="str">
        <f t="shared" si="43"/>
        <v/>
      </c>
      <c r="M182" s="36" t="str">
        <f t="shared" si="44"/>
        <v/>
      </c>
      <c r="N182" s="37" t="str">
        <f t="shared" si="45"/>
        <v/>
      </c>
      <c r="O182" s="37" t="str">
        <f t="shared" si="46"/>
        <v/>
      </c>
      <c r="P182" s="38" t="str">
        <f t="shared" si="47"/>
        <v/>
      </c>
      <c r="Q182" s="39" t="str">
        <f t="shared" si="48"/>
        <v/>
      </c>
      <c r="R182" s="39" t="str">
        <f t="shared" si="49"/>
        <v/>
      </c>
      <c r="S182" t="str">
        <f t="shared" si="50"/>
        <v/>
      </c>
      <c r="T182" s="39" t="str">
        <f t="shared" si="51"/>
        <v/>
      </c>
      <c r="U182" t="str">
        <f t="shared" si="52"/>
        <v/>
      </c>
      <c r="V182" t="str">
        <f>IF(L182="","",IF($AO$1=1,IFERROR(MATCH(L182,'11-تشرين الثاني'!$L$2:$L$501,0),0),0))</f>
        <v/>
      </c>
      <c r="W182" t="str">
        <f t="shared" si="53"/>
        <v/>
      </c>
      <c r="X182" s="38" t="str">
        <f>IF(L182="","",IF(V182&gt;0,INDEX('11-تشرين الثاني'!$P$2:$P$501,V182),IF($AO$1=1,0,"")))</f>
        <v/>
      </c>
      <c r="Y182" s="38" t="str">
        <f t="shared" si="54"/>
        <v/>
      </c>
      <c r="Z182" s="39" t="str">
        <f>IF(L182="","",IF(V182&gt;0,INDEX('11-تشرين الثاني'!$Q$2:$Q$501,V182),IF($AO$1=1,0,"")))</f>
        <v/>
      </c>
      <c r="AA182" s="39" t="str">
        <f t="shared" si="55"/>
        <v/>
      </c>
      <c r="AB182" s="40" t="str">
        <f>IF(OR(L182="",V182=0),"",IF(AND(N(I182)&gt;0,N(INDEX('11-تشرين الثاني'!$I$2:$I$501,V182))&gt;0,INDEX('11-تشرين الثاني'!$F$2:$F$501,V182)=F182),N(I182)/N(INDEX('11-تشرين الثاني'!$I$2:$I$501,V182))-1,""))</f>
        <v/>
      </c>
      <c r="AC182" t="str">
        <f t="shared" si="56"/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7"/>
        <v/>
      </c>
      <c r="AH182" s="39" t="str">
        <f t="shared" si="58"/>
        <v/>
      </c>
      <c r="AI182" s="39" t="str">
        <f t="shared" si="59"/>
        <v/>
      </c>
      <c r="AJ182" s="39" t="str">
        <f t="shared" si="60"/>
        <v/>
      </c>
      <c r="AK182" t="str">
        <f t="shared" si="61"/>
        <v/>
      </c>
      <c r="AL182" t="str">
        <f t="shared" si="62"/>
        <v/>
      </c>
    </row>
    <row r="183" spans="11:38" ht="15">
      <c r="K183" t="str">
        <f t="shared" si="42"/>
        <v/>
      </c>
      <c r="L183" t="str">
        <f t="shared" si="43"/>
        <v/>
      </c>
      <c r="M183" s="36" t="str">
        <f t="shared" si="44"/>
        <v/>
      </c>
      <c r="N183" s="37" t="str">
        <f t="shared" si="45"/>
        <v/>
      </c>
      <c r="O183" s="37" t="str">
        <f t="shared" si="46"/>
        <v/>
      </c>
      <c r="P183" s="38" t="str">
        <f t="shared" si="47"/>
        <v/>
      </c>
      <c r="Q183" s="39" t="str">
        <f t="shared" si="48"/>
        <v/>
      </c>
      <c r="R183" s="39" t="str">
        <f t="shared" si="49"/>
        <v/>
      </c>
      <c r="S183" t="str">
        <f t="shared" si="50"/>
        <v/>
      </c>
      <c r="T183" s="39" t="str">
        <f t="shared" si="51"/>
        <v/>
      </c>
      <c r="U183" t="str">
        <f t="shared" si="52"/>
        <v/>
      </c>
      <c r="V183" t="str">
        <f>IF(L183="","",IF($AO$1=1,IFERROR(MATCH(L183,'11-تشرين الثاني'!$L$2:$L$501,0),0),0))</f>
        <v/>
      </c>
      <c r="W183" t="str">
        <f t="shared" si="53"/>
        <v/>
      </c>
      <c r="X183" s="38" t="str">
        <f>IF(L183="","",IF(V183&gt;0,INDEX('11-تشرين الثاني'!$P$2:$P$501,V183),IF($AO$1=1,0,"")))</f>
        <v/>
      </c>
      <c r="Y183" s="38" t="str">
        <f t="shared" si="54"/>
        <v/>
      </c>
      <c r="Z183" s="39" t="str">
        <f>IF(L183="","",IF(V183&gt;0,INDEX('11-تشرين الثاني'!$Q$2:$Q$501,V183),IF($AO$1=1,0,"")))</f>
        <v/>
      </c>
      <c r="AA183" s="39" t="str">
        <f t="shared" si="55"/>
        <v/>
      </c>
      <c r="AB183" s="40" t="str">
        <f>IF(OR(L183="",V183=0),"",IF(AND(N(I183)&gt;0,N(INDEX('11-تشرين الثاني'!$I$2:$I$501,V183))&gt;0,INDEX('11-تشرين الثاني'!$F$2:$F$501,V183)=F183),N(I183)/N(INDEX('11-تشرين الثاني'!$I$2:$I$501,V183))-1,""))</f>
        <v/>
      </c>
      <c r="AC183" t="str">
        <f t="shared" si="56"/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7"/>
        <v/>
      </c>
      <c r="AH183" s="39" t="str">
        <f t="shared" si="58"/>
        <v/>
      </c>
      <c r="AI183" s="39" t="str">
        <f t="shared" si="59"/>
        <v/>
      </c>
      <c r="AJ183" s="39" t="str">
        <f t="shared" si="60"/>
        <v/>
      </c>
      <c r="AK183" t="str">
        <f t="shared" si="61"/>
        <v/>
      </c>
      <c r="AL183" t="str">
        <f t="shared" si="62"/>
        <v/>
      </c>
    </row>
    <row r="184" spans="11:38" ht="15">
      <c r="K184" t="str">
        <f t="shared" si="42"/>
        <v/>
      </c>
      <c r="L184" t="str">
        <f t="shared" si="43"/>
        <v/>
      </c>
      <c r="M184" s="36" t="str">
        <f t="shared" si="44"/>
        <v/>
      </c>
      <c r="N184" s="37" t="str">
        <f t="shared" si="45"/>
        <v/>
      </c>
      <c r="O184" s="37" t="str">
        <f t="shared" si="46"/>
        <v/>
      </c>
      <c r="P184" s="38" t="str">
        <f t="shared" si="47"/>
        <v/>
      </c>
      <c r="Q184" s="39" t="str">
        <f t="shared" si="48"/>
        <v/>
      </c>
      <c r="R184" s="39" t="str">
        <f t="shared" si="49"/>
        <v/>
      </c>
      <c r="S184" t="str">
        <f t="shared" si="50"/>
        <v/>
      </c>
      <c r="T184" s="39" t="str">
        <f t="shared" si="51"/>
        <v/>
      </c>
      <c r="U184" t="str">
        <f t="shared" si="52"/>
        <v/>
      </c>
      <c r="V184" t="str">
        <f>IF(L184="","",IF($AO$1=1,IFERROR(MATCH(L184,'11-تشرين الثاني'!$L$2:$L$501,0),0),0))</f>
        <v/>
      </c>
      <c r="W184" t="str">
        <f t="shared" si="53"/>
        <v/>
      </c>
      <c r="X184" s="38" t="str">
        <f>IF(L184="","",IF(V184&gt;0,INDEX('11-تشرين الثاني'!$P$2:$P$501,V184),IF($AO$1=1,0,"")))</f>
        <v/>
      </c>
      <c r="Y184" s="38" t="str">
        <f t="shared" si="54"/>
        <v/>
      </c>
      <c r="Z184" s="39" t="str">
        <f>IF(L184="","",IF(V184&gt;0,INDEX('11-تشرين الثاني'!$Q$2:$Q$501,V184),IF($AO$1=1,0,"")))</f>
        <v/>
      </c>
      <c r="AA184" s="39" t="str">
        <f t="shared" si="55"/>
        <v/>
      </c>
      <c r="AB184" s="40" t="str">
        <f>IF(OR(L184="",V184=0),"",IF(AND(N(I184)&gt;0,N(INDEX('11-تشرين الثاني'!$I$2:$I$501,V184))&gt;0,INDEX('11-تشرين الثاني'!$F$2:$F$501,V184)=F184),N(I184)/N(INDEX('11-تشرين الثاني'!$I$2:$I$501,V184))-1,""))</f>
        <v/>
      </c>
      <c r="AC184" t="str">
        <f t="shared" si="56"/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7"/>
        <v/>
      </c>
      <c r="AH184" s="39" t="str">
        <f t="shared" si="58"/>
        <v/>
      </c>
      <c r="AI184" s="39" t="str">
        <f t="shared" si="59"/>
        <v/>
      </c>
      <c r="AJ184" s="39" t="str">
        <f t="shared" si="60"/>
        <v/>
      </c>
      <c r="AK184" t="str">
        <f t="shared" si="61"/>
        <v/>
      </c>
      <c r="AL184" t="str">
        <f t="shared" si="62"/>
        <v/>
      </c>
    </row>
    <row r="185" spans="11:38" ht="15">
      <c r="K185" t="str">
        <f t="shared" si="42"/>
        <v/>
      </c>
      <c r="L185" t="str">
        <f t="shared" si="43"/>
        <v/>
      </c>
      <c r="M185" s="36" t="str">
        <f t="shared" si="44"/>
        <v/>
      </c>
      <c r="N185" s="37" t="str">
        <f t="shared" si="45"/>
        <v/>
      </c>
      <c r="O185" s="37" t="str">
        <f t="shared" si="46"/>
        <v/>
      </c>
      <c r="P185" s="38" t="str">
        <f t="shared" si="47"/>
        <v/>
      </c>
      <c r="Q185" s="39" t="str">
        <f t="shared" si="48"/>
        <v/>
      </c>
      <c r="R185" s="39" t="str">
        <f t="shared" si="49"/>
        <v/>
      </c>
      <c r="S185" t="str">
        <f t="shared" si="50"/>
        <v/>
      </c>
      <c r="T185" s="39" t="str">
        <f t="shared" si="51"/>
        <v/>
      </c>
      <c r="U185" t="str">
        <f t="shared" si="52"/>
        <v/>
      </c>
      <c r="V185" t="str">
        <f>IF(L185="","",IF($AO$1=1,IFERROR(MATCH(L185,'11-تشرين الثاني'!$L$2:$L$501,0),0),0))</f>
        <v/>
      </c>
      <c r="W185" t="str">
        <f t="shared" si="53"/>
        <v/>
      </c>
      <c r="X185" s="38" t="str">
        <f>IF(L185="","",IF(V185&gt;0,INDEX('11-تشرين الثاني'!$P$2:$P$501,V185),IF($AO$1=1,0,"")))</f>
        <v/>
      </c>
      <c r="Y185" s="38" t="str">
        <f t="shared" si="54"/>
        <v/>
      </c>
      <c r="Z185" s="39" t="str">
        <f>IF(L185="","",IF(V185&gt;0,INDEX('11-تشرين الثاني'!$Q$2:$Q$501,V185),IF($AO$1=1,0,"")))</f>
        <v/>
      </c>
      <c r="AA185" s="39" t="str">
        <f t="shared" si="55"/>
        <v/>
      </c>
      <c r="AB185" s="40" t="str">
        <f>IF(OR(L185="",V185=0),"",IF(AND(N(I185)&gt;0,N(INDEX('11-تشرين الثاني'!$I$2:$I$501,V185))&gt;0,INDEX('11-تشرين الثاني'!$F$2:$F$501,V185)=F185),N(I185)/N(INDEX('11-تشرين الثاني'!$I$2:$I$501,V185))-1,""))</f>
        <v/>
      </c>
      <c r="AC185" t="str">
        <f t="shared" si="56"/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7"/>
        <v/>
      </c>
      <c r="AH185" s="39" t="str">
        <f t="shared" si="58"/>
        <v/>
      </c>
      <c r="AI185" s="39" t="str">
        <f t="shared" si="59"/>
        <v/>
      </c>
      <c r="AJ185" s="39" t="str">
        <f t="shared" si="60"/>
        <v/>
      </c>
      <c r="AK185" t="str">
        <f t="shared" si="61"/>
        <v/>
      </c>
      <c r="AL185" t="str">
        <f t="shared" si="62"/>
        <v/>
      </c>
    </row>
    <row r="186" spans="11:38" ht="15">
      <c r="K186" t="str">
        <f t="shared" si="42"/>
        <v/>
      </c>
      <c r="L186" t="str">
        <f t="shared" si="43"/>
        <v/>
      </c>
      <c r="M186" s="36" t="str">
        <f t="shared" si="44"/>
        <v/>
      </c>
      <c r="N186" s="37" t="str">
        <f t="shared" si="45"/>
        <v/>
      </c>
      <c r="O186" s="37" t="str">
        <f t="shared" si="46"/>
        <v/>
      </c>
      <c r="P186" s="38" t="str">
        <f t="shared" si="47"/>
        <v/>
      </c>
      <c r="Q186" s="39" t="str">
        <f t="shared" si="48"/>
        <v/>
      </c>
      <c r="R186" s="39" t="str">
        <f t="shared" si="49"/>
        <v/>
      </c>
      <c r="S186" t="str">
        <f t="shared" si="50"/>
        <v/>
      </c>
      <c r="T186" s="39" t="str">
        <f t="shared" si="51"/>
        <v/>
      </c>
      <c r="U186" t="str">
        <f t="shared" si="52"/>
        <v/>
      </c>
      <c r="V186" t="str">
        <f>IF(L186="","",IF($AO$1=1,IFERROR(MATCH(L186,'11-تشرين الثاني'!$L$2:$L$501,0),0),0))</f>
        <v/>
      </c>
      <c r="W186" t="str">
        <f t="shared" si="53"/>
        <v/>
      </c>
      <c r="X186" s="38" t="str">
        <f>IF(L186="","",IF(V186&gt;0,INDEX('11-تشرين الثاني'!$P$2:$P$501,V186),IF($AO$1=1,0,"")))</f>
        <v/>
      </c>
      <c r="Y186" s="38" t="str">
        <f t="shared" si="54"/>
        <v/>
      </c>
      <c r="Z186" s="39" t="str">
        <f>IF(L186="","",IF(V186&gt;0,INDEX('11-تشرين الثاني'!$Q$2:$Q$501,V186),IF($AO$1=1,0,"")))</f>
        <v/>
      </c>
      <c r="AA186" s="39" t="str">
        <f t="shared" si="55"/>
        <v/>
      </c>
      <c r="AB186" s="40" t="str">
        <f>IF(OR(L186="",V186=0),"",IF(AND(N(I186)&gt;0,N(INDEX('11-تشرين الثاني'!$I$2:$I$501,V186))&gt;0,INDEX('11-تشرين الثاني'!$F$2:$F$501,V186)=F186),N(I186)/N(INDEX('11-تشرين الثاني'!$I$2:$I$501,V186))-1,""))</f>
        <v/>
      </c>
      <c r="AC186" t="str">
        <f t="shared" si="56"/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7"/>
        <v/>
      </c>
      <c r="AH186" s="39" t="str">
        <f t="shared" si="58"/>
        <v/>
      </c>
      <c r="AI186" s="39" t="str">
        <f t="shared" si="59"/>
        <v/>
      </c>
      <c r="AJ186" s="39" t="str">
        <f t="shared" si="60"/>
        <v/>
      </c>
      <c r="AK186" t="str">
        <f t="shared" si="61"/>
        <v/>
      </c>
      <c r="AL186" t="str">
        <f t="shared" si="62"/>
        <v/>
      </c>
    </row>
    <row r="187" spans="11:38" ht="15">
      <c r="K187" t="str">
        <f t="shared" si="42"/>
        <v/>
      </c>
      <c r="L187" t="str">
        <f t="shared" si="43"/>
        <v/>
      </c>
      <c r="M187" s="36" t="str">
        <f t="shared" si="44"/>
        <v/>
      </c>
      <c r="N187" s="37" t="str">
        <f t="shared" si="45"/>
        <v/>
      </c>
      <c r="O187" s="37" t="str">
        <f t="shared" si="46"/>
        <v/>
      </c>
      <c r="P187" s="38" t="str">
        <f t="shared" si="47"/>
        <v/>
      </c>
      <c r="Q187" s="39" t="str">
        <f t="shared" si="48"/>
        <v/>
      </c>
      <c r="R187" s="39" t="str">
        <f t="shared" si="49"/>
        <v/>
      </c>
      <c r="S187" t="str">
        <f t="shared" si="50"/>
        <v/>
      </c>
      <c r="T187" s="39" t="str">
        <f t="shared" si="51"/>
        <v/>
      </c>
      <c r="U187" t="str">
        <f t="shared" si="52"/>
        <v/>
      </c>
      <c r="V187" t="str">
        <f>IF(L187="","",IF($AO$1=1,IFERROR(MATCH(L187,'11-تشرين الثاني'!$L$2:$L$501,0),0),0))</f>
        <v/>
      </c>
      <c r="W187" t="str">
        <f t="shared" si="53"/>
        <v/>
      </c>
      <c r="X187" s="38" t="str">
        <f>IF(L187="","",IF(V187&gt;0,INDEX('11-تشرين الثاني'!$P$2:$P$501,V187),IF($AO$1=1,0,"")))</f>
        <v/>
      </c>
      <c r="Y187" s="38" t="str">
        <f t="shared" si="54"/>
        <v/>
      </c>
      <c r="Z187" s="39" t="str">
        <f>IF(L187="","",IF(V187&gt;0,INDEX('11-تشرين الثاني'!$Q$2:$Q$501,V187),IF($AO$1=1,0,"")))</f>
        <v/>
      </c>
      <c r="AA187" s="39" t="str">
        <f t="shared" si="55"/>
        <v/>
      </c>
      <c r="AB187" s="40" t="str">
        <f>IF(OR(L187="",V187=0),"",IF(AND(N(I187)&gt;0,N(INDEX('11-تشرين الثاني'!$I$2:$I$501,V187))&gt;0,INDEX('11-تشرين الثاني'!$F$2:$F$501,V187)=F187),N(I187)/N(INDEX('11-تشرين الثاني'!$I$2:$I$501,V187))-1,""))</f>
        <v/>
      </c>
      <c r="AC187" t="str">
        <f t="shared" si="56"/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7"/>
        <v/>
      </c>
      <c r="AH187" s="39" t="str">
        <f t="shared" si="58"/>
        <v/>
      </c>
      <c r="AI187" s="39" t="str">
        <f t="shared" si="59"/>
        <v/>
      </c>
      <c r="AJ187" s="39" t="str">
        <f t="shared" si="60"/>
        <v/>
      </c>
      <c r="AK187" t="str">
        <f t="shared" si="61"/>
        <v/>
      </c>
      <c r="AL187" t="str">
        <f t="shared" si="62"/>
        <v/>
      </c>
    </row>
    <row r="188" spans="11:38" ht="15">
      <c r="K188" t="str">
        <f t="shared" si="42"/>
        <v/>
      </c>
      <c r="L188" t="str">
        <f t="shared" si="43"/>
        <v/>
      </c>
      <c r="M188" s="36" t="str">
        <f t="shared" si="44"/>
        <v/>
      </c>
      <c r="N188" s="37" t="str">
        <f t="shared" si="45"/>
        <v/>
      </c>
      <c r="O188" s="37" t="str">
        <f t="shared" si="46"/>
        <v/>
      </c>
      <c r="P188" s="38" t="str">
        <f t="shared" si="47"/>
        <v/>
      </c>
      <c r="Q188" s="39" t="str">
        <f t="shared" si="48"/>
        <v/>
      </c>
      <c r="R188" s="39" t="str">
        <f t="shared" si="49"/>
        <v/>
      </c>
      <c r="S188" t="str">
        <f t="shared" si="50"/>
        <v/>
      </c>
      <c r="T188" s="39" t="str">
        <f t="shared" si="51"/>
        <v/>
      </c>
      <c r="U188" t="str">
        <f t="shared" si="52"/>
        <v/>
      </c>
      <c r="V188" t="str">
        <f>IF(L188="","",IF($AO$1=1,IFERROR(MATCH(L188,'11-تشرين الثاني'!$L$2:$L$501,0),0),0))</f>
        <v/>
      </c>
      <c r="W188" t="str">
        <f t="shared" si="53"/>
        <v/>
      </c>
      <c r="X188" s="38" t="str">
        <f>IF(L188="","",IF(V188&gt;0,INDEX('11-تشرين الثاني'!$P$2:$P$501,V188),IF($AO$1=1,0,"")))</f>
        <v/>
      </c>
      <c r="Y188" s="38" t="str">
        <f t="shared" si="54"/>
        <v/>
      </c>
      <c r="Z188" s="39" t="str">
        <f>IF(L188="","",IF(V188&gt;0,INDEX('11-تشرين الثاني'!$Q$2:$Q$501,V188),IF($AO$1=1,0,"")))</f>
        <v/>
      </c>
      <c r="AA188" s="39" t="str">
        <f t="shared" si="55"/>
        <v/>
      </c>
      <c r="AB188" s="40" t="str">
        <f>IF(OR(L188="",V188=0),"",IF(AND(N(I188)&gt;0,N(INDEX('11-تشرين الثاني'!$I$2:$I$501,V188))&gt;0,INDEX('11-تشرين الثاني'!$F$2:$F$501,V188)=F188),N(I188)/N(INDEX('11-تشرين الثاني'!$I$2:$I$501,V188))-1,""))</f>
        <v/>
      </c>
      <c r="AC188" t="str">
        <f t="shared" si="56"/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7"/>
        <v/>
      </c>
      <c r="AH188" s="39" t="str">
        <f t="shared" si="58"/>
        <v/>
      </c>
      <c r="AI188" s="39" t="str">
        <f t="shared" si="59"/>
        <v/>
      </c>
      <c r="AJ188" s="39" t="str">
        <f t="shared" si="60"/>
        <v/>
      </c>
      <c r="AK188" t="str">
        <f t="shared" si="61"/>
        <v/>
      </c>
      <c r="AL188" t="str">
        <f t="shared" si="62"/>
        <v/>
      </c>
    </row>
    <row r="189" spans="11:38" ht="15">
      <c r="K189" t="str">
        <f t="shared" si="42"/>
        <v/>
      </c>
      <c r="L189" t="str">
        <f t="shared" si="43"/>
        <v/>
      </c>
      <c r="M189" s="36" t="str">
        <f t="shared" si="44"/>
        <v/>
      </c>
      <c r="N189" s="37" t="str">
        <f t="shared" si="45"/>
        <v/>
      </c>
      <c r="O189" s="37" t="str">
        <f t="shared" si="46"/>
        <v/>
      </c>
      <c r="P189" s="38" t="str">
        <f t="shared" si="47"/>
        <v/>
      </c>
      <c r="Q189" s="39" t="str">
        <f t="shared" si="48"/>
        <v/>
      </c>
      <c r="R189" s="39" t="str">
        <f t="shared" si="49"/>
        <v/>
      </c>
      <c r="S189" t="str">
        <f t="shared" si="50"/>
        <v/>
      </c>
      <c r="T189" s="39" t="str">
        <f t="shared" si="51"/>
        <v/>
      </c>
      <c r="U189" t="str">
        <f t="shared" si="52"/>
        <v/>
      </c>
      <c r="V189" t="str">
        <f>IF(L189="","",IF($AO$1=1,IFERROR(MATCH(L189,'11-تشرين الثاني'!$L$2:$L$501,0),0),0))</f>
        <v/>
      </c>
      <c r="W189" t="str">
        <f t="shared" si="53"/>
        <v/>
      </c>
      <c r="X189" s="38" t="str">
        <f>IF(L189="","",IF(V189&gt;0,INDEX('11-تشرين الثاني'!$P$2:$P$501,V189),IF($AO$1=1,0,"")))</f>
        <v/>
      </c>
      <c r="Y189" s="38" t="str">
        <f t="shared" si="54"/>
        <v/>
      </c>
      <c r="Z189" s="39" t="str">
        <f>IF(L189="","",IF(V189&gt;0,INDEX('11-تشرين الثاني'!$Q$2:$Q$501,V189),IF($AO$1=1,0,"")))</f>
        <v/>
      </c>
      <c r="AA189" s="39" t="str">
        <f t="shared" si="55"/>
        <v/>
      </c>
      <c r="AB189" s="40" t="str">
        <f>IF(OR(L189="",V189=0),"",IF(AND(N(I189)&gt;0,N(INDEX('11-تشرين الثاني'!$I$2:$I$501,V189))&gt;0,INDEX('11-تشرين الثاني'!$F$2:$F$501,V189)=F189),N(I189)/N(INDEX('11-تشرين الثاني'!$I$2:$I$501,V189))-1,""))</f>
        <v/>
      </c>
      <c r="AC189" t="str">
        <f t="shared" si="56"/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7"/>
        <v/>
      </c>
      <c r="AH189" s="39" t="str">
        <f t="shared" si="58"/>
        <v/>
      </c>
      <c r="AI189" s="39" t="str">
        <f t="shared" si="59"/>
        <v/>
      </c>
      <c r="AJ189" s="39" t="str">
        <f t="shared" si="60"/>
        <v/>
      </c>
      <c r="AK189" t="str">
        <f t="shared" si="61"/>
        <v/>
      </c>
      <c r="AL189" t="str">
        <f t="shared" si="62"/>
        <v/>
      </c>
    </row>
    <row r="190" spans="11:38" ht="15">
      <c r="K190" t="str">
        <f t="shared" si="42"/>
        <v/>
      </c>
      <c r="L190" t="str">
        <f t="shared" si="43"/>
        <v/>
      </c>
      <c r="M190" s="36" t="str">
        <f t="shared" si="44"/>
        <v/>
      </c>
      <c r="N190" s="37" t="str">
        <f t="shared" si="45"/>
        <v/>
      </c>
      <c r="O190" s="37" t="str">
        <f t="shared" si="46"/>
        <v/>
      </c>
      <c r="P190" s="38" t="str">
        <f t="shared" si="47"/>
        <v/>
      </c>
      <c r="Q190" s="39" t="str">
        <f t="shared" si="48"/>
        <v/>
      </c>
      <c r="R190" s="39" t="str">
        <f t="shared" si="49"/>
        <v/>
      </c>
      <c r="S190" t="str">
        <f t="shared" si="50"/>
        <v/>
      </c>
      <c r="T190" s="39" t="str">
        <f t="shared" si="51"/>
        <v/>
      </c>
      <c r="U190" t="str">
        <f t="shared" si="52"/>
        <v/>
      </c>
      <c r="V190" t="str">
        <f>IF(L190="","",IF($AO$1=1,IFERROR(MATCH(L190,'11-تشرين الثاني'!$L$2:$L$501,0),0),0))</f>
        <v/>
      </c>
      <c r="W190" t="str">
        <f t="shared" si="53"/>
        <v/>
      </c>
      <c r="X190" s="38" t="str">
        <f>IF(L190="","",IF(V190&gt;0,INDEX('11-تشرين الثاني'!$P$2:$P$501,V190),IF($AO$1=1,0,"")))</f>
        <v/>
      </c>
      <c r="Y190" s="38" t="str">
        <f t="shared" si="54"/>
        <v/>
      </c>
      <c r="Z190" s="39" t="str">
        <f>IF(L190="","",IF(V190&gt;0,INDEX('11-تشرين الثاني'!$Q$2:$Q$501,V190),IF($AO$1=1,0,"")))</f>
        <v/>
      </c>
      <c r="AA190" s="39" t="str">
        <f t="shared" si="55"/>
        <v/>
      </c>
      <c r="AB190" s="40" t="str">
        <f>IF(OR(L190="",V190=0),"",IF(AND(N(I190)&gt;0,N(INDEX('11-تشرين الثاني'!$I$2:$I$501,V190))&gt;0,INDEX('11-تشرين الثاني'!$F$2:$F$501,V190)=F190),N(I190)/N(INDEX('11-تشرين الثاني'!$I$2:$I$501,V190))-1,""))</f>
        <v/>
      </c>
      <c r="AC190" t="str">
        <f t="shared" si="56"/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7"/>
        <v/>
      </c>
      <c r="AH190" s="39" t="str">
        <f t="shared" si="58"/>
        <v/>
      </c>
      <c r="AI190" s="39" t="str">
        <f t="shared" si="59"/>
        <v/>
      </c>
      <c r="AJ190" s="39" t="str">
        <f t="shared" si="60"/>
        <v/>
      </c>
      <c r="AK190" t="str">
        <f t="shared" si="61"/>
        <v/>
      </c>
      <c r="AL190" t="str">
        <f t="shared" si="62"/>
        <v/>
      </c>
    </row>
    <row r="191" spans="11:38" ht="15">
      <c r="K191" t="str">
        <f t="shared" si="42"/>
        <v/>
      </c>
      <c r="L191" t="str">
        <f t="shared" si="43"/>
        <v/>
      </c>
      <c r="M191" s="36" t="str">
        <f t="shared" si="44"/>
        <v/>
      </c>
      <c r="N191" s="37" t="str">
        <f t="shared" si="45"/>
        <v/>
      </c>
      <c r="O191" s="37" t="str">
        <f t="shared" si="46"/>
        <v/>
      </c>
      <c r="P191" s="38" t="str">
        <f t="shared" si="47"/>
        <v/>
      </c>
      <c r="Q191" s="39" t="str">
        <f t="shared" si="48"/>
        <v/>
      </c>
      <c r="R191" s="39" t="str">
        <f t="shared" si="49"/>
        <v/>
      </c>
      <c r="S191" t="str">
        <f t="shared" si="50"/>
        <v/>
      </c>
      <c r="T191" s="39" t="str">
        <f t="shared" si="51"/>
        <v/>
      </c>
      <c r="U191" t="str">
        <f t="shared" si="52"/>
        <v/>
      </c>
      <c r="V191" t="str">
        <f>IF(L191="","",IF($AO$1=1,IFERROR(MATCH(L191,'11-تشرين الثاني'!$L$2:$L$501,0),0),0))</f>
        <v/>
      </c>
      <c r="W191" t="str">
        <f t="shared" si="53"/>
        <v/>
      </c>
      <c r="X191" s="38" t="str">
        <f>IF(L191="","",IF(V191&gt;0,INDEX('11-تشرين الثاني'!$P$2:$P$501,V191),IF($AO$1=1,0,"")))</f>
        <v/>
      </c>
      <c r="Y191" s="38" t="str">
        <f t="shared" si="54"/>
        <v/>
      </c>
      <c r="Z191" s="39" t="str">
        <f>IF(L191="","",IF(V191&gt;0,INDEX('11-تشرين الثاني'!$Q$2:$Q$501,V191),IF($AO$1=1,0,"")))</f>
        <v/>
      </c>
      <c r="AA191" s="39" t="str">
        <f t="shared" si="55"/>
        <v/>
      </c>
      <c r="AB191" s="40" t="str">
        <f>IF(OR(L191="",V191=0),"",IF(AND(N(I191)&gt;0,N(INDEX('11-تشرين الثاني'!$I$2:$I$501,V191))&gt;0,INDEX('11-تشرين الثاني'!$F$2:$F$501,V191)=F191),N(I191)/N(INDEX('11-تشرين الثاني'!$I$2:$I$501,V191))-1,""))</f>
        <v/>
      </c>
      <c r="AC191" t="str">
        <f t="shared" si="56"/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7"/>
        <v/>
      </c>
      <c r="AH191" s="39" t="str">
        <f t="shared" si="58"/>
        <v/>
      </c>
      <c r="AI191" s="39" t="str">
        <f t="shared" si="59"/>
        <v/>
      </c>
      <c r="AJ191" s="39" t="str">
        <f t="shared" si="60"/>
        <v/>
      </c>
      <c r="AK191" t="str">
        <f t="shared" si="61"/>
        <v/>
      </c>
      <c r="AL191" t="str">
        <f t="shared" si="62"/>
        <v/>
      </c>
    </row>
    <row r="192" spans="11:38" ht="15">
      <c r="K192" t="str">
        <f t="shared" si="42"/>
        <v/>
      </c>
      <c r="L192" t="str">
        <f t="shared" si="43"/>
        <v/>
      </c>
      <c r="M192" s="36" t="str">
        <f t="shared" si="44"/>
        <v/>
      </c>
      <c r="N192" s="37" t="str">
        <f t="shared" si="45"/>
        <v/>
      </c>
      <c r="O192" s="37" t="str">
        <f t="shared" si="46"/>
        <v/>
      </c>
      <c r="P192" s="38" t="str">
        <f t="shared" si="47"/>
        <v/>
      </c>
      <c r="Q192" s="39" t="str">
        <f t="shared" si="48"/>
        <v/>
      </c>
      <c r="R192" s="39" t="str">
        <f t="shared" si="49"/>
        <v/>
      </c>
      <c r="S192" t="str">
        <f t="shared" si="50"/>
        <v/>
      </c>
      <c r="T192" s="39" t="str">
        <f t="shared" si="51"/>
        <v/>
      </c>
      <c r="U192" t="str">
        <f t="shared" si="52"/>
        <v/>
      </c>
      <c r="V192" t="str">
        <f>IF(L192="","",IF($AO$1=1,IFERROR(MATCH(L192,'11-تشرين الثاني'!$L$2:$L$501,0),0),0))</f>
        <v/>
      </c>
      <c r="W192" t="str">
        <f t="shared" si="53"/>
        <v/>
      </c>
      <c r="X192" s="38" t="str">
        <f>IF(L192="","",IF(V192&gt;0,INDEX('11-تشرين الثاني'!$P$2:$P$501,V192),IF($AO$1=1,0,"")))</f>
        <v/>
      </c>
      <c r="Y192" s="38" t="str">
        <f t="shared" si="54"/>
        <v/>
      </c>
      <c r="Z192" s="39" t="str">
        <f>IF(L192="","",IF(V192&gt;0,INDEX('11-تشرين الثاني'!$Q$2:$Q$501,V192),IF($AO$1=1,0,"")))</f>
        <v/>
      </c>
      <c r="AA192" s="39" t="str">
        <f t="shared" si="55"/>
        <v/>
      </c>
      <c r="AB192" s="40" t="str">
        <f>IF(OR(L192="",V192=0),"",IF(AND(N(I192)&gt;0,N(INDEX('11-تشرين الثاني'!$I$2:$I$501,V192))&gt;0,INDEX('11-تشرين الثاني'!$F$2:$F$501,V192)=F192),N(I192)/N(INDEX('11-تشرين الثاني'!$I$2:$I$501,V192))-1,""))</f>
        <v/>
      </c>
      <c r="AC192" t="str">
        <f t="shared" si="56"/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7"/>
        <v/>
      </c>
      <c r="AH192" s="39" t="str">
        <f t="shared" si="58"/>
        <v/>
      </c>
      <c r="AI192" s="39" t="str">
        <f t="shared" si="59"/>
        <v/>
      </c>
      <c r="AJ192" s="39" t="str">
        <f t="shared" si="60"/>
        <v/>
      </c>
      <c r="AK192" t="str">
        <f t="shared" si="61"/>
        <v/>
      </c>
      <c r="AL192" t="str">
        <f t="shared" si="62"/>
        <v/>
      </c>
    </row>
    <row r="193" spans="11:38" ht="15">
      <c r="K193" t="str">
        <f t="shared" si="42"/>
        <v/>
      </c>
      <c r="L193" t="str">
        <f t="shared" si="43"/>
        <v/>
      </c>
      <c r="M193" s="36" t="str">
        <f t="shared" si="44"/>
        <v/>
      </c>
      <c r="N193" s="37" t="str">
        <f t="shared" si="45"/>
        <v/>
      </c>
      <c r="O193" s="37" t="str">
        <f t="shared" si="46"/>
        <v/>
      </c>
      <c r="P193" s="38" t="str">
        <f t="shared" si="47"/>
        <v/>
      </c>
      <c r="Q193" s="39" t="str">
        <f t="shared" si="48"/>
        <v/>
      </c>
      <c r="R193" s="39" t="str">
        <f t="shared" si="49"/>
        <v/>
      </c>
      <c r="S193" t="str">
        <f t="shared" si="50"/>
        <v/>
      </c>
      <c r="T193" s="39" t="str">
        <f t="shared" si="51"/>
        <v/>
      </c>
      <c r="U193" t="str">
        <f t="shared" si="52"/>
        <v/>
      </c>
      <c r="V193" t="str">
        <f>IF(L193="","",IF($AO$1=1,IFERROR(MATCH(L193,'11-تشرين الثاني'!$L$2:$L$501,0),0),0))</f>
        <v/>
      </c>
      <c r="W193" t="str">
        <f t="shared" si="53"/>
        <v/>
      </c>
      <c r="X193" s="38" t="str">
        <f>IF(L193="","",IF(V193&gt;0,INDEX('11-تشرين الثاني'!$P$2:$P$501,V193),IF($AO$1=1,0,"")))</f>
        <v/>
      </c>
      <c r="Y193" s="38" t="str">
        <f t="shared" si="54"/>
        <v/>
      </c>
      <c r="Z193" s="39" t="str">
        <f>IF(L193="","",IF(V193&gt;0,INDEX('11-تشرين الثاني'!$Q$2:$Q$501,V193),IF($AO$1=1,0,"")))</f>
        <v/>
      </c>
      <c r="AA193" s="39" t="str">
        <f t="shared" si="55"/>
        <v/>
      </c>
      <c r="AB193" s="40" t="str">
        <f>IF(OR(L193="",V193=0),"",IF(AND(N(I193)&gt;0,N(INDEX('11-تشرين الثاني'!$I$2:$I$501,V193))&gt;0,INDEX('11-تشرين الثاني'!$F$2:$F$501,V193)=F193),N(I193)/N(INDEX('11-تشرين الثاني'!$I$2:$I$501,V193))-1,""))</f>
        <v/>
      </c>
      <c r="AC193" t="str">
        <f t="shared" si="56"/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7"/>
        <v/>
      </c>
      <c r="AH193" s="39" t="str">
        <f t="shared" si="58"/>
        <v/>
      </c>
      <c r="AI193" s="39" t="str">
        <f t="shared" si="59"/>
        <v/>
      </c>
      <c r="AJ193" s="39" t="str">
        <f t="shared" si="60"/>
        <v/>
      </c>
      <c r="AK193" t="str">
        <f t="shared" si="61"/>
        <v/>
      </c>
      <c r="AL193" t="str">
        <f t="shared" si="62"/>
        <v/>
      </c>
    </row>
    <row r="194" spans="11:38" ht="15">
      <c r="K194" t="str">
        <f t="shared" ref="K194:K257" si="63">IF(L194="","",IF(U194&lt;&gt;"","⚠",""))</f>
        <v/>
      </c>
      <c r="L194" t="str">
        <f t="shared" ref="L194:L257" si="64">IF(A194="","",TRIM(A194))</f>
        <v/>
      </c>
      <c r="M194" s="36" t="str">
        <f t="shared" ref="M194:M257" si="65">IF(L194="","",IF(ISNUMBER(SEARCH("دولار",F194)),1,IF(ISNUMBER(SEARCH("ليرة",F194)),IF($AO$3&gt;0,1/$AO$3,0),0)))</f>
        <v/>
      </c>
      <c r="N194" s="37" t="str">
        <f t="shared" ref="N194:N257" si="66">IF(L194="","",N(I194)*M194)</f>
        <v/>
      </c>
      <c r="O194" s="37" t="str">
        <f t="shared" ref="O194:O257" si="67">IF(L194="","",M194*CHOOSE($AO$4,N(C194),N(D194),N(E194)))</f>
        <v/>
      </c>
      <c r="P194" s="38" t="str">
        <f t="shared" ref="P194:P257" si="68">IF(L194="","",MAX(N(B194),0))</f>
        <v/>
      </c>
      <c r="Q194" s="39" t="str">
        <f t="shared" ref="Q194:Q257" si="69">IF(L194="","",P194*N194)</f>
        <v/>
      </c>
      <c r="R194" s="39" t="str">
        <f t="shared" ref="R194:R257" si="70">IF(L194="","",P194*O194)</f>
        <v/>
      </c>
      <c r="S194" t="str">
        <f t="shared" ref="S194:S257" si="71">IF(L194="","",IF(AND(P194&gt;0,N194&gt;0,O194&gt;0),1,0))</f>
        <v/>
      </c>
      <c r="T194" s="39" t="str">
        <f t="shared" ref="T194:T257" si="72">IF(L194="","",S194*(R194-Q194))</f>
        <v/>
      </c>
      <c r="U194" t="str">
        <f t="shared" ref="U194:U257" si="73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IF(L194="","",IF($AO$1=1,IFERROR(MATCH(L194,'11-تشرين الثاني'!$L$2:$L$501,0),0),0))</f>
        <v/>
      </c>
      <c r="W194" t="str">
        <f t="shared" ref="W194:W257" si="74">IF(L194="","",IF(AND($AO$1=1,V194=0),"جديد",""))</f>
        <v/>
      </c>
      <c r="X194" s="38" t="str">
        <f>IF(L194="","",IF(V194&gt;0,INDEX('11-تشرين الثاني'!$P$2:$P$501,V194),IF($AO$1=1,0,"")))</f>
        <v/>
      </c>
      <c r="Y194" s="38" t="str">
        <f t="shared" ref="Y194:Y257" si="75">IF(OR(L194="",X194=""),"",P194-X194)</f>
        <v/>
      </c>
      <c r="Z194" s="39" t="str">
        <f>IF(L194="","",IF(V194&gt;0,INDEX('11-تشرين الثاني'!$Q$2:$Q$501,V194),IF($AO$1=1,0,"")))</f>
        <v/>
      </c>
      <c r="AA194" s="39" t="str">
        <f t="shared" ref="AA194:AA257" si="76">IF(OR(L194="",Z194=""),"",Q194-Z194)</f>
        <v/>
      </c>
      <c r="AB194" s="40" t="str">
        <f>IF(OR(L194="",V194=0),"",IF(AND(N(I194)&gt;0,N(INDEX('11-تشرين الثاني'!$I$2:$I$501,V194))&gt;0,INDEX('11-تشرين الثاني'!$F$2:$F$501,V194)=F194),N(I194)/N(INDEX('11-تشرين الثاني'!$I$2:$I$501,V194))-1,""))</f>
        <v/>
      </c>
      <c r="AC194" t="str">
        <f t="shared" ref="AC194:AC257" si="77">IF(L194="","","")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8">IF(AA194="","",ABS(AA194)+ROW()/1000000000)</f>
        <v/>
      </c>
      <c r="AH194" s="39" t="str">
        <f t="shared" ref="AH194:AH257" si="79">IF(L194="","",IF(AND(P194&gt;0,N194&gt;0,N(C194)&gt;0),P194*(M194*N(C194)-N194),0))</f>
        <v/>
      </c>
      <c r="AI194" s="39" t="str">
        <f t="shared" ref="AI194:AI257" si="80">IF(L194="","",IF(AND(P194&gt;0,N194&gt;0,N(D194)&gt;0),P194*(M194*N(D194)-N194),0))</f>
        <v/>
      </c>
      <c r="AJ194" s="39" t="str">
        <f t="shared" ref="AJ194:AJ257" si="81">IF(L194="","",IF(AND(P194&gt;0,N194&gt;0,N(E194)&gt;0),P194*(M194*N(E194)-N194),0))</f>
        <v/>
      </c>
      <c r="AK194" t="str">
        <f t="shared" ref="AK194:AK257" si="82">IF(L194="","",Q194+ROW()/1000000000)</f>
        <v/>
      </c>
      <c r="AL194" t="str">
        <f t="shared" ref="AL194:AL257" si="83">IF(L194="","",T194+ROW()/1000000000)</f>
        <v/>
      </c>
    </row>
    <row r="195" spans="11:38" ht="15">
      <c r="K195" t="str">
        <f t="shared" si="63"/>
        <v/>
      </c>
      <c r="L195" t="str">
        <f t="shared" si="64"/>
        <v/>
      </c>
      <c r="M195" s="36" t="str">
        <f t="shared" si="65"/>
        <v/>
      </c>
      <c r="N195" s="37" t="str">
        <f t="shared" si="66"/>
        <v/>
      </c>
      <c r="O195" s="37" t="str">
        <f t="shared" si="67"/>
        <v/>
      </c>
      <c r="P195" s="38" t="str">
        <f t="shared" si="68"/>
        <v/>
      </c>
      <c r="Q195" s="39" t="str">
        <f t="shared" si="69"/>
        <v/>
      </c>
      <c r="R195" s="39" t="str">
        <f t="shared" si="70"/>
        <v/>
      </c>
      <c r="S195" t="str">
        <f t="shared" si="71"/>
        <v/>
      </c>
      <c r="T195" s="39" t="str">
        <f t="shared" si="72"/>
        <v/>
      </c>
      <c r="U195" t="str">
        <f t="shared" si="73"/>
        <v/>
      </c>
      <c r="V195" t="str">
        <f>IF(L195="","",IF($AO$1=1,IFERROR(MATCH(L195,'11-تشرين الثاني'!$L$2:$L$501,0),0),0))</f>
        <v/>
      </c>
      <c r="W195" t="str">
        <f t="shared" si="74"/>
        <v/>
      </c>
      <c r="X195" s="38" t="str">
        <f>IF(L195="","",IF(V195&gt;0,INDEX('11-تشرين الثاني'!$P$2:$P$501,V195),IF($AO$1=1,0,"")))</f>
        <v/>
      </c>
      <c r="Y195" s="38" t="str">
        <f t="shared" si="75"/>
        <v/>
      </c>
      <c r="Z195" s="39" t="str">
        <f>IF(L195="","",IF(V195&gt;0,INDEX('11-تشرين الثاني'!$Q$2:$Q$501,V195),IF($AO$1=1,0,"")))</f>
        <v/>
      </c>
      <c r="AA195" s="39" t="str">
        <f t="shared" si="76"/>
        <v/>
      </c>
      <c r="AB195" s="40" t="str">
        <f>IF(OR(L195="",V195=0),"",IF(AND(N(I195)&gt;0,N(INDEX('11-تشرين الثاني'!$I$2:$I$501,V195))&gt;0,INDEX('11-تشرين الثاني'!$F$2:$F$501,V195)=F195),N(I195)/N(INDEX('11-تشرين الثاني'!$I$2:$I$501,V195))-1,""))</f>
        <v/>
      </c>
      <c r="AC195" t="str">
        <f t="shared" si="77"/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8"/>
        <v/>
      </c>
      <c r="AH195" s="39" t="str">
        <f t="shared" si="79"/>
        <v/>
      </c>
      <c r="AI195" s="39" t="str">
        <f t="shared" si="80"/>
        <v/>
      </c>
      <c r="AJ195" s="39" t="str">
        <f t="shared" si="81"/>
        <v/>
      </c>
      <c r="AK195" t="str">
        <f t="shared" si="82"/>
        <v/>
      </c>
      <c r="AL195" t="str">
        <f t="shared" si="83"/>
        <v/>
      </c>
    </row>
    <row r="196" spans="11:38" ht="15">
      <c r="K196" t="str">
        <f t="shared" si="63"/>
        <v/>
      </c>
      <c r="L196" t="str">
        <f t="shared" si="64"/>
        <v/>
      </c>
      <c r="M196" s="36" t="str">
        <f t="shared" si="65"/>
        <v/>
      </c>
      <c r="N196" s="37" t="str">
        <f t="shared" si="66"/>
        <v/>
      </c>
      <c r="O196" s="37" t="str">
        <f t="shared" si="67"/>
        <v/>
      </c>
      <c r="P196" s="38" t="str">
        <f t="shared" si="68"/>
        <v/>
      </c>
      <c r="Q196" s="39" t="str">
        <f t="shared" si="69"/>
        <v/>
      </c>
      <c r="R196" s="39" t="str">
        <f t="shared" si="70"/>
        <v/>
      </c>
      <c r="S196" t="str">
        <f t="shared" si="71"/>
        <v/>
      </c>
      <c r="T196" s="39" t="str">
        <f t="shared" si="72"/>
        <v/>
      </c>
      <c r="U196" t="str">
        <f t="shared" si="73"/>
        <v/>
      </c>
      <c r="V196" t="str">
        <f>IF(L196="","",IF($AO$1=1,IFERROR(MATCH(L196,'11-تشرين الثاني'!$L$2:$L$501,0),0),0))</f>
        <v/>
      </c>
      <c r="W196" t="str">
        <f t="shared" si="74"/>
        <v/>
      </c>
      <c r="X196" s="38" t="str">
        <f>IF(L196="","",IF(V196&gt;0,INDEX('11-تشرين الثاني'!$P$2:$P$501,V196),IF($AO$1=1,0,"")))</f>
        <v/>
      </c>
      <c r="Y196" s="38" t="str">
        <f t="shared" si="75"/>
        <v/>
      </c>
      <c r="Z196" s="39" t="str">
        <f>IF(L196="","",IF(V196&gt;0,INDEX('11-تشرين الثاني'!$Q$2:$Q$501,V196),IF($AO$1=1,0,"")))</f>
        <v/>
      </c>
      <c r="AA196" s="39" t="str">
        <f t="shared" si="76"/>
        <v/>
      </c>
      <c r="AB196" s="40" t="str">
        <f>IF(OR(L196="",V196=0),"",IF(AND(N(I196)&gt;0,N(INDEX('11-تشرين الثاني'!$I$2:$I$501,V196))&gt;0,INDEX('11-تشرين الثاني'!$F$2:$F$501,V196)=F196),N(I196)/N(INDEX('11-تشرين الثاني'!$I$2:$I$501,V196))-1,""))</f>
        <v/>
      </c>
      <c r="AC196" t="str">
        <f t="shared" si="77"/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8"/>
        <v/>
      </c>
      <c r="AH196" s="39" t="str">
        <f t="shared" si="79"/>
        <v/>
      </c>
      <c r="AI196" s="39" t="str">
        <f t="shared" si="80"/>
        <v/>
      </c>
      <c r="AJ196" s="39" t="str">
        <f t="shared" si="81"/>
        <v/>
      </c>
      <c r="AK196" t="str">
        <f t="shared" si="82"/>
        <v/>
      </c>
      <c r="AL196" t="str">
        <f t="shared" si="83"/>
        <v/>
      </c>
    </row>
    <row r="197" spans="11:38" ht="15">
      <c r="K197" t="str">
        <f t="shared" si="63"/>
        <v/>
      </c>
      <c r="L197" t="str">
        <f t="shared" si="64"/>
        <v/>
      </c>
      <c r="M197" s="36" t="str">
        <f t="shared" si="65"/>
        <v/>
      </c>
      <c r="N197" s="37" t="str">
        <f t="shared" si="66"/>
        <v/>
      </c>
      <c r="O197" s="37" t="str">
        <f t="shared" si="67"/>
        <v/>
      </c>
      <c r="P197" s="38" t="str">
        <f t="shared" si="68"/>
        <v/>
      </c>
      <c r="Q197" s="39" t="str">
        <f t="shared" si="69"/>
        <v/>
      </c>
      <c r="R197" s="39" t="str">
        <f t="shared" si="70"/>
        <v/>
      </c>
      <c r="S197" t="str">
        <f t="shared" si="71"/>
        <v/>
      </c>
      <c r="T197" s="39" t="str">
        <f t="shared" si="72"/>
        <v/>
      </c>
      <c r="U197" t="str">
        <f t="shared" si="73"/>
        <v/>
      </c>
      <c r="V197" t="str">
        <f>IF(L197="","",IF($AO$1=1,IFERROR(MATCH(L197,'11-تشرين الثاني'!$L$2:$L$501,0),0),0))</f>
        <v/>
      </c>
      <c r="W197" t="str">
        <f t="shared" si="74"/>
        <v/>
      </c>
      <c r="X197" s="38" t="str">
        <f>IF(L197="","",IF(V197&gt;0,INDEX('11-تشرين الثاني'!$P$2:$P$501,V197),IF($AO$1=1,0,"")))</f>
        <v/>
      </c>
      <c r="Y197" s="38" t="str">
        <f t="shared" si="75"/>
        <v/>
      </c>
      <c r="Z197" s="39" t="str">
        <f>IF(L197="","",IF(V197&gt;0,INDEX('11-تشرين الثاني'!$Q$2:$Q$501,V197),IF($AO$1=1,0,"")))</f>
        <v/>
      </c>
      <c r="AA197" s="39" t="str">
        <f t="shared" si="76"/>
        <v/>
      </c>
      <c r="AB197" s="40" t="str">
        <f>IF(OR(L197="",V197=0),"",IF(AND(N(I197)&gt;0,N(INDEX('11-تشرين الثاني'!$I$2:$I$501,V197))&gt;0,INDEX('11-تشرين الثاني'!$F$2:$F$501,V197)=F197),N(I197)/N(INDEX('11-تشرين الثاني'!$I$2:$I$501,V197))-1,""))</f>
        <v/>
      </c>
      <c r="AC197" t="str">
        <f t="shared" si="77"/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8"/>
        <v/>
      </c>
      <c r="AH197" s="39" t="str">
        <f t="shared" si="79"/>
        <v/>
      </c>
      <c r="AI197" s="39" t="str">
        <f t="shared" si="80"/>
        <v/>
      </c>
      <c r="AJ197" s="39" t="str">
        <f t="shared" si="81"/>
        <v/>
      </c>
      <c r="AK197" t="str">
        <f t="shared" si="82"/>
        <v/>
      </c>
      <c r="AL197" t="str">
        <f t="shared" si="83"/>
        <v/>
      </c>
    </row>
    <row r="198" spans="11:38" ht="15">
      <c r="K198" t="str">
        <f t="shared" si="63"/>
        <v/>
      </c>
      <c r="L198" t="str">
        <f t="shared" si="64"/>
        <v/>
      </c>
      <c r="M198" s="36" t="str">
        <f t="shared" si="65"/>
        <v/>
      </c>
      <c r="N198" s="37" t="str">
        <f t="shared" si="66"/>
        <v/>
      </c>
      <c r="O198" s="37" t="str">
        <f t="shared" si="67"/>
        <v/>
      </c>
      <c r="P198" s="38" t="str">
        <f t="shared" si="68"/>
        <v/>
      </c>
      <c r="Q198" s="39" t="str">
        <f t="shared" si="69"/>
        <v/>
      </c>
      <c r="R198" s="39" t="str">
        <f t="shared" si="70"/>
        <v/>
      </c>
      <c r="S198" t="str">
        <f t="shared" si="71"/>
        <v/>
      </c>
      <c r="T198" s="39" t="str">
        <f t="shared" si="72"/>
        <v/>
      </c>
      <c r="U198" t="str">
        <f t="shared" si="73"/>
        <v/>
      </c>
      <c r="V198" t="str">
        <f>IF(L198="","",IF($AO$1=1,IFERROR(MATCH(L198,'11-تشرين الثاني'!$L$2:$L$501,0),0),0))</f>
        <v/>
      </c>
      <c r="W198" t="str">
        <f t="shared" si="74"/>
        <v/>
      </c>
      <c r="X198" s="38" t="str">
        <f>IF(L198="","",IF(V198&gt;0,INDEX('11-تشرين الثاني'!$P$2:$P$501,V198),IF($AO$1=1,0,"")))</f>
        <v/>
      </c>
      <c r="Y198" s="38" t="str">
        <f t="shared" si="75"/>
        <v/>
      </c>
      <c r="Z198" s="39" t="str">
        <f>IF(L198="","",IF(V198&gt;0,INDEX('11-تشرين الثاني'!$Q$2:$Q$501,V198),IF($AO$1=1,0,"")))</f>
        <v/>
      </c>
      <c r="AA198" s="39" t="str">
        <f t="shared" si="76"/>
        <v/>
      </c>
      <c r="AB198" s="40" t="str">
        <f>IF(OR(L198="",V198=0),"",IF(AND(N(I198)&gt;0,N(INDEX('11-تشرين الثاني'!$I$2:$I$501,V198))&gt;0,INDEX('11-تشرين الثاني'!$F$2:$F$501,V198)=F198),N(I198)/N(INDEX('11-تشرين الثاني'!$I$2:$I$501,V198))-1,""))</f>
        <v/>
      </c>
      <c r="AC198" t="str">
        <f t="shared" si="77"/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8"/>
        <v/>
      </c>
      <c r="AH198" s="39" t="str">
        <f t="shared" si="79"/>
        <v/>
      </c>
      <c r="AI198" s="39" t="str">
        <f t="shared" si="80"/>
        <v/>
      </c>
      <c r="AJ198" s="39" t="str">
        <f t="shared" si="81"/>
        <v/>
      </c>
      <c r="AK198" t="str">
        <f t="shared" si="82"/>
        <v/>
      </c>
      <c r="AL198" t="str">
        <f t="shared" si="83"/>
        <v/>
      </c>
    </row>
    <row r="199" spans="11:38" ht="15">
      <c r="K199" t="str">
        <f t="shared" si="63"/>
        <v/>
      </c>
      <c r="L199" t="str">
        <f t="shared" si="64"/>
        <v/>
      </c>
      <c r="M199" s="36" t="str">
        <f t="shared" si="65"/>
        <v/>
      </c>
      <c r="N199" s="37" t="str">
        <f t="shared" si="66"/>
        <v/>
      </c>
      <c r="O199" s="37" t="str">
        <f t="shared" si="67"/>
        <v/>
      </c>
      <c r="P199" s="38" t="str">
        <f t="shared" si="68"/>
        <v/>
      </c>
      <c r="Q199" s="39" t="str">
        <f t="shared" si="69"/>
        <v/>
      </c>
      <c r="R199" s="39" t="str">
        <f t="shared" si="70"/>
        <v/>
      </c>
      <c r="S199" t="str">
        <f t="shared" si="71"/>
        <v/>
      </c>
      <c r="T199" s="39" t="str">
        <f t="shared" si="72"/>
        <v/>
      </c>
      <c r="U199" t="str">
        <f t="shared" si="73"/>
        <v/>
      </c>
      <c r="V199" t="str">
        <f>IF(L199="","",IF($AO$1=1,IFERROR(MATCH(L199,'11-تشرين الثاني'!$L$2:$L$501,0),0),0))</f>
        <v/>
      </c>
      <c r="W199" t="str">
        <f t="shared" si="74"/>
        <v/>
      </c>
      <c r="X199" s="38" t="str">
        <f>IF(L199="","",IF(V199&gt;0,INDEX('11-تشرين الثاني'!$P$2:$P$501,V199),IF($AO$1=1,0,"")))</f>
        <v/>
      </c>
      <c r="Y199" s="38" t="str">
        <f t="shared" si="75"/>
        <v/>
      </c>
      <c r="Z199" s="39" t="str">
        <f>IF(L199="","",IF(V199&gt;0,INDEX('11-تشرين الثاني'!$Q$2:$Q$501,V199),IF($AO$1=1,0,"")))</f>
        <v/>
      </c>
      <c r="AA199" s="39" t="str">
        <f t="shared" si="76"/>
        <v/>
      </c>
      <c r="AB199" s="40" t="str">
        <f>IF(OR(L199="",V199=0),"",IF(AND(N(I199)&gt;0,N(INDEX('11-تشرين الثاني'!$I$2:$I$501,V199))&gt;0,INDEX('11-تشرين الثاني'!$F$2:$F$501,V199)=F199),N(I199)/N(INDEX('11-تشرين الثاني'!$I$2:$I$501,V199))-1,""))</f>
        <v/>
      </c>
      <c r="AC199" t="str">
        <f t="shared" si="77"/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8"/>
        <v/>
      </c>
      <c r="AH199" s="39" t="str">
        <f t="shared" si="79"/>
        <v/>
      </c>
      <c r="AI199" s="39" t="str">
        <f t="shared" si="80"/>
        <v/>
      </c>
      <c r="AJ199" s="39" t="str">
        <f t="shared" si="81"/>
        <v/>
      </c>
      <c r="AK199" t="str">
        <f t="shared" si="82"/>
        <v/>
      </c>
      <c r="AL199" t="str">
        <f t="shared" si="83"/>
        <v/>
      </c>
    </row>
    <row r="200" spans="11:38" ht="15">
      <c r="K200" t="str">
        <f t="shared" si="63"/>
        <v/>
      </c>
      <c r="L200" t="str">
        <f t="shared" si="64"/>
        <v/>
      </c>
      <c r="M200" s="36" t="str">
        <f t="shared" si="65"/>
        <v/>
      </c>
      <c r="N200" s="37" t="str">
        <f t="shared" si="66"/>
        <v/>
      </c>
      <c r="O200" s="37" t="str">
        <f t="shared" si="67"/>
        <v/>
      </c>
      <c r="P200" s="38" t="str">
        <f t="shared" si="68"/>
        <v/>
      </c>
      <c r="Q200" s="39" t="str">
        <f t="shared" si="69"/>
        <v/>
      </c>
      <c r="R200" s="39" t="str">
        <f t="shared" si="70"/>
        <v/>
      </c>
      <c r="S200" t="str">
        <f t="shared" si="71"/>
        <v/>
      </c>
      <c r="T200" s="39" t="str">
        <f t="shared" si="72"/>
        <v/>
      </c>
      <c r="U200" t="str">
        <f t="shared" si="73"/>
        <v/>
      </c>
      <c r="V200" t="str">
        <f>IF(L200="","",IF($AO$1=1,IFERROR(MATCH(L200,'11-تشرين الثاني'!$L$2:$L$501,0),0),0))</f>
        <v/>
      </c>
      <c r="W200" t="str">
        <f t="shared" si="74"/>
        <v/>
      </c>
      <c r="X200" s="38" t="str">
        <f>IF(L200="","",IF(V200&gt;0,INDEX('11-تشرين الثاني'!$P$2:$P$501,V200),IF($AO$1=1,0,"")))</f>
        <v/>
      </c>
      <c r="Y200" s="38" t="str">
        <f t="shared" si="75"/>
        <v/>
      </c>
      <c r="Z200" s="39" t="str">
        <f>IF(L200="","",IF(V200&gt;0,INDEX('11-تشرين الثاني'!$Q$2:$Q$501,V200),IF($AO$1=1,0,"")))</f>
        <v/>
      </c>
      <c r="AA200" s="39" t="str">
        <f t="shared" si="76"/>
        <v/>
      </c>
      <c r="AB200" s="40" t="str">
        <f>IF(OR(L200="",V200=0),"",IF(AND(N(I200)&gt;0,N(INDEX('11-تشرين الثاني'!$I$2:$I$501,V200))&gt;0,INDEX('11-تشرين الثاني'!$F$2:$F$501,V200)=F200),N(I200)/N(INDEX('11-تشرين الثاني'!$I$2:$I$501,V200))-1,""))</f>
        <v/>
      </c>
      <c r="AC200" t="str">
        <f t="shared" si="77"/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8"/>
        <v/>
      </c>
      <c r="AH200" s="39" t="str">
        <f t="shared" si="79"/>
        <v/>
      </c>
      <c r="AI200" s="39" t="str">
        <f t="shared" si="80"/>
        <v/>
      </c>
      <c r="AJ200" s="39" t="str">
        <f t="shared" si="81"/>
        <v/>
      </c>
      <c r="AK200" t="str">
        <f t="shared" si="82"/>
        <v/>
      </c>
      <c r="AL200" t="str">
        <f t="shared" si="83"/>
        <v/>
      </c>
    </row>
    <row r="201" spans="11:38" ht="15">
      <c r="K201" t="str">
        <f t="shared" si="63"/>
        <v/>
      </c>
      <c r="L201" t="str">
        <f t="shared" si="64"/>
        <v/>
      </c>
      <c r="M201" s="36" t="str">
        <f t="shared" si="65"/>
        <v/>
      </c>
      <c r="N201" s="37" t="str">
        <f t="shared" si="66"/>
        <v/>
      </c>
      <c r="O201" s="37" t="str">
        <f t="shared" si="67"/>
        <v/>
      </c>
      <c r="P201" s="38" t="str">
        <f t="shared" si="68"/>
        <v/>
      </c>
      <c r="Q201" s="39" t="str">
        <f t="shared" si="69"/>
        <v/>
      </c>
      <c r="R201" s="39" t="str">
        <f t="shared" si="70"/>
        <v/>
      </c>
      <c r="S201" t="str">
        <f t="shared" si="71"/>
        <v/>
      </c>
      <c r="T201" s="39" t="str">
        <f t="shared" si="72"/>
        <v/>
      </c>
      <c r="U201" t="str">
        <f t="shared" si="73"/>
        <v/>
      </c>
      <c r="V201" t="str">
        <f>IF(L201="","",IF($AO$1=1,IFERROR(MATCH(L201,'11-تشرين الثاني'!$L$2:$L$501,0),0),0))</f>
        <v/>
      </c>
      <c r="W201" t="str">
        <f t="shared" si="74"/>
        <v/>
      </c>
      <c r="X201" s="38" t="str">
        <f>IF(L201="","",IF(V201&gt;0,INDEX('11-تشرين الثاني'!$P$2:$P$501,V201),IF($AO$1=1,0,"")))</f>
        <v/>
      </c>
      <c r="Y201" s="38" t="str">
        <f t="shared" si="75"/>
        <v/>
      </c>
      <c r="Z201" s="39" t="str">
        <f>IF(L201="","",IF(V201&gt;0,INDEX('11-تشرين الثاني'!$Q$2:$Q$501,V201),IF($AO$1=1,0,"")))</f>
        <v/>
      </c>
      <c r="AA201" s="39" t="str">
        <f t="shared" si="76"/>
        <v/>
      </c>
      <c r="AB201" s="40" t="str">
        <f>IF(OR(L201="",V201=0),"",IF(AND(N(I201)&gt;0,N(INDEX('11-تشرين الثاني'!$I$2:$I$501,V201))&gt;0,INDEX('11-تشرين الثاني'!$F$2:$F$501,V201)=F201),N(I201)/N(INDEX('11-تشرين الثاني'!$I$2:$I$501,V201))-1,""))</f>
        <v/>
      </c>
      <c r="AC201" t="str">
        <f t="shared" si="77"/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8"/>
        <v/>
      </c>
      <c r="AH201" s="39" t="str">
        <f t="shared" si="79"/>
        <v/>
      </c>
      <c r="AI201" s="39" t="str">
        <f t="shared" si="80"/>
        <v/>
      </c>
      <c r="AJ201" s="39" t="str">
        <f t="shared" si="81"/>
        <v/>
      </c>
      <c r="AK201" t="str">
        <f t="shared" si="82"/>
        <v/>
      </c>
      <c r="AL201" t="str">
        <f t="shared" si="83"/>
        <v/>
      </c>
    </row>
    <row r="202" spans="11:38" ht="15">
      <c r="K202" t="str">
        <f t="shared" si="63"/>
        <v/>
      </c>
      <c r="L202" t="str">
        <f t="shared" si="64"/>
        <v/>
      </c>
      <c r="M202" s="36" t="str">
        <f t="shared" si="65"/>
        <v/>
      </c>
      <c r="N202" s="37" t="str">
        <f t="shared" si="66"/>
        <v/>
      </c>
      <c r="O202" s="37" t="str">
        <f t="shared" si="67"/>
        <v/>
      </c>
      <c r="P202" s="38" t="str">
        <f t="shared" si="68"/>
        <v/>
      </c>
      <c r="Q202" s="39" t="str">
        <f t="shared" si="69"/>
        <v/>
      </c>
      <c r="R202" s="39" t="str">
        <f t="shared" si="70"/>
        <v/>
      </c>
      <c r="S202" t="str">
        <f t="shared" si="71"/>
        <v/>
      </c>
      <c r="T202" s="39" t="str">
        <f t="shared" si="72"/>
        <v/>
      </c>
      <c r="U202" t="str">
        <f t="shared" si="73"/>
        <v/>
      </c>
      <c r="V202" t="str">
        <f>IF(L202="","",IF($AO$1=1,IFERROR(MATCH(L202,'11-تشرين الثاني'!$L$2:$L$501,0),0),0))</f>
        <v/>
      </c>
      <c r="W202" t="str">
        <f t="shared" si="74"/>
        <v/>
      </c>
      <c r="X202" s="38" t="str">
        <f>IF(L202="","",IF(V202&gt;0,INDEX('11-تشرين الثاني'!$P$2:$P$501,V202),IF($AO$1=1,0,"")))</f>
        <v/>
      </c>
      <c r="Y202" s="38" t="str">
        <f t="shared" si="75"/>
        <v/>
      </c>
      <c r="Z202" s="39" t="str">
        <f>IF(L202="","",IF(V202&gt;0,INDEX('11-تشرين الثاني'!$Q$2:$Q$501,V202),IF($AO$1=1,0,"")))</f>
        <v/>
      </c>
      <c r="AA202" s="39" t="str">
        <f t="shared" si="76"/>
        <v/>
      </c>
      <c r="AB202" s="40" t="str">
        <f>IF(OR(L202="",V202=0),"",IF(AND(N(I202)&gt;0,N(INDEX('11-تشرين الثاني'!$I$2:$I$501,V202))&gt;0,INDEX('11-تشرين الثاني'!$F$2:$F$501,V202)=F202),N(I202)/N(INDEX('11-تشرين الثاني'!$I$2:$I$501,V202))-1,""))</f>
        <v/>
      </c>
      <c r="AC202" t="str">
        <f t="shared" si="77"/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8"/>
        <v/>
      </c>
      <c r="AH202" s="39" t="str">
        <f t="shared" si="79"/>
        <v/>
      </c>
      <c r="AI202" s="39" t="str">
        <f t="shared" si="80"/>
        <v/>
      </c>
      <c r="AJ202" s="39" t="str">
        <f t="shared" si="81"/>
        <v/>
      </c>
      <c r="AK202" t="str">
        <f t="shared" si="82"/>
        <v/>
      </c>
      <c r="AL202" t="str">
        <f t="shared" si="83"/>
        <v/>
      </c>
    </row>
    <row r="203" spans="11:38" ht="15">
      <c r="K203" t="str">
        <f t="shared" si="63"/>
        <v/>
      </c>
      <c r="L203" t="str">
        <f t="shared" si="64"/>
        <v/>
      </c>
      <c r="M203" s="36" t="str">
        <f t="shared" si="65"/>
        <v/>
      </c>
      <c r="N203" s="37" t="str">
        <f t="shared" si="66"/>
        <v/>
      </c>
      <c r="O203" s="37" t="str">
        <f t="shared" si="67"/>
        <v/>
      </c>
      <c r="P203" s="38" t="str">
        <f t="shared" si="68"/>
        <v/>
      </c>
      <c r="Q203" s="39" t="str">
        <f t="shared" si="69"/>
        <v/>
      </c>
      <c r="R203" s="39" t="str">
        <f t="shared" si="70"/>
        <v/>
      </c>
      <c r="S203" t="str">
        <f t="shared" si="71"/>
        <v/>
      </c>
      <c r="T203" s="39" t="str">
        <f t="shared" si="72"/>
        <v/>
      </c>
      <c r="U203" t="str">
        <f t="shared" si="73"/>
        <v/>
      </c>
      <c r="V203" t="str">
        <f>IF(L203="","",IF($AO$1=1,IFERROR(MATCH(L203,'11-تشرين الثاني'!$L$2:$L$501,0),0),0))</f>
        <v/>
      </c>
      <c r="W203" t="str">
        <f t="shared" si="74"/>
        <v/>
      </c>
      <c r="X203" s="38" t="str">
        <f>IF(L203="","",IF(V203&gt;0,INDEX('11-تشرين الثاني'!$P$2:$P$501,V203),IF($AO$1=1,0,"")))</f>
        <v/>
      </c>
      <c r="Y203" s="38" t="str">
        <f t="shared" si="75"/>
        <v/>
      </c>
      <c r="Z203" s="39" t="str">
        <f>IF(L203="","",IF(V203&gt;0,INDEX('11-تشرين الثاني'!$Q$2:$Q$501,V203),IF($AO$1=1,0,"")))</f>
        <v/>
      </c>
      <c r="AA203" s="39" t="str">
        <f t="shared" si="76"/>
        <v/>
      </c>
      <c r="AB203" s="40" t="str">
        <f>IF(OR(L203="",V203=0),"",IF(AND(N(I203)&gt;0,N(INDEX('11-تشرين الثاني'!$I$2:$I$501,V203))&gt;0,INDEX('11-تشرين الثاني'!$F$2:$F$501,V203)=F203),N(I203)/N(INDEX('11-تشرين الثاني'!$I$2:$I$501,V203))-1,""))</f>
        <v/>
      </c>
      <c r="AC203" t="str">
        <f t="shared" si="77"/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8"/>
        <v/>
      </c>
      <c r="AH203" s="39" t="str">
        <f t="shared" si="79"/>
        <v/>
      </c>
      <c r="AI203" s="39" t="str">
        <f t="shared" si="80"/>
        <v/>
      </c>
      <c r="AJ203" s="39" t="str">
        <f t="shared" si="81"/>
        <v/>
      </c>
      <c r="AK203" t="str">
        <f t="shared" si="82"/>
        <v/>
      </c>
      <c r="AL203" t="str">
        <f t="shared" si="83"/>
        <v/>
      </c>
    </row>
    <row r="204" spans="11:38" ht="15">
      <c r="K204" t="str">
        <f t="shared" si="63"/>
        <v/>
      </c>
      <c r="L204" t="str">
        <f t="shared" si="64"/>
        <v/>
      </c>
      <c r="M204" s="36" t="str">
        <f t="shared" si="65"/>
        <v/>
      </c>
      <c r="N204" s="37" t="str">
        <f t="shared" si="66"/>
        <v/>
      </c>
      <c r="O204" s="37" t="str">
        <f t="shared" si="67"/>
        <v/>
      </c>
      <c r="P204" s="38" t="str">
        <f t="shared" si="68"/>
        <v/>
      </c>
      <c r="Q204" s="39" t="str">
        <f t="shared" si="69"/>
        <v/>
      </c>
      <c r="R204" s="39" t="str">
        <f t="shared" si="70"/>
        <v/>
      </c>
      <c r="S204" t="str">
        <f t="shared" si="71"/>
        <v/>
      </c>
      <c r="T204" s="39" t="str">
        <f t="shared" si="72"/>
        <v/>
      </c>
      <c r="U204" t="str">
        <f t="shared" si="73"/>
        <v/>
      </c>
      <c r="V204" t="str">
        <f>IF(L204="","",IF($AO$1=1,IFERROR(MATCH(L204,'11-تشرين الثاني'!$L$2:$L$501,0),0),0))</f>
        <v/>
      </c>
      <c r="W204" t="str">
        <f t="shared" si="74"/>
        <v/>
      </c>
      <c r="X204" s="38" t="str">
        <f>IF(L204="","",IF(V204&gt;0,INDEX('11-تشرين الثاني'!$P$2:$P$501,V204),IF($AO$1=1,0,"")))</f>
        <v/>
      </c>
      <c r="Y204" s="38" t="str">
        <f t="shared" si="75"/>
        <v/>
      </c>
      <c r="Z204" s="39" t="str">
        <f>IF(L204="","",IF(V204&gt;0,INDEX('11-تشرين الثاني'!$Q$2:$Q$501,V204),IF($AO$1=1,0,"")))</f>
        <v/>
      </c>
      <c r="AA204" s="39" t="str">
        <f t="shared" si="76"/>
        <v/>
      </c>
      <c r="AB204" s="40" t="str">
        <f>IF(OR(L204="",V204=0),"",IF(AND(N(I204)&gt;0,N(INDEX('11-تشرين الثاني'!$I$2:$I$501,V204))&gt;0,INDEX('11-تشرين الثاني'!$F$2:$F$501,V204)=F204),N(I204)/N(INDEX('11-تشرين الثاني'!$I$2:$I$501,V204))-1,""))</f>
        <v/>
      </c>
      <c r="AC204" t="str">
        <f t="shared" si="77"/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8"/>
        <v/>
      </c>
      <c r="AH204" s="39" t="str">
        <f t="shared" si="79"/>
        <v/>
      </c>
      <c r="AI204" s="39" t="str">
        <f t="shared" si="80"/>
        <v/>
      </c>
      <c r="AJ204" s="39" t="str">
        <f t="shared" si="81"/>
        <v/>
      </c>
      <c r="AK204" t="str">
        <f t="shared" si="82"/>
        <v/>
      </c>
      <c r="AL204" t="str">
        <f t="shared" si="83"/>
        <v/>
      </c>
    </row>
    <row r="205" spans="11:38" ht="15">
      <c r="K205" t="str">
        <f t="shared" si="63"/>
        <v/>
      </c>
      <c r="L205" t="str">
        <f t="shared" si="64"/>
        <v/>
      </c>
      <c r="M205" s="36" t="str">
        <f t="shared" si="65"/>
        <v/>
      </c>
      <c r="N205" s="37" t="str">
        <f t="shared" si="66"/>
        <v/>
      </c>
      <c r="O205" s="37" t="str">
        <f t="shared" si="67"/>
        <v/>
      </c>
      <c r="P205" s="38" t="str">
        <f t="shared" si="68"/>
        <v/>
      </c>
      <c r="Q205" s="39" t="str">
        <f t="shared" si="69"/>
        <v/>
      </c>
      <c r="R205" s="39" t="str">
        <f t="shared" si="70"/>
        <v/>
      </c>
      <c r="S205" t="str">
        <f t="shared" si="71"/>
        <v/>
      </c>
      <c r="T205" s="39" t="str">
        <f t="shared" si="72"/>
        <v/>
      </c>
      <c r="U205" t="str">
        <f t="shared" si="73"/>
        <v/>
      </c>
      <c r="V205" t="str">
        <f>IF(L205="","",IF($AO$1=1,IFERROR(MATCH(L205,'11-تشرين الثاني'!$L$2:$L$501,0),0),0))</f>
        <v/>
      </c>
      <c r="W205" t="str">
        <f t="shared" si="74"/>
        <v/>
      </c>
      <c r="X205" s="38" t="str">
        <f>IF(L205="","",IF(V205&gt;0,INDEX('11-تشرين الثاني'!$P$2:$P$501,V205),IF($AO$1=1,0,"")))</f>
        <v/>
      </c>
      <c r="Y205" s="38" t="str">
        <f t="shared" si="75"/>
        <v/>
      </c>
      <c r="Z205" s="39" t="str">
        <f>IF(L205="","",IF(V205&gt;0,INDEX('11-تشرين الثاني'!$Q$2:$Q$501,V205),IF($AO$1=1,0,"")))</f>
        <v/>
      </c>
      <c r="AA205" s="39" t="str">
        <f t="shared" si="76"/>
        <v/>
      </c>
      <c r="AB205" s="40" t="str">
        <f>IF(OR(L205="",V205=0),"",IF(AND(N(I205)&gt;0,N(INDEX('11-تشرين الثاني'!$I$2:$I$501,V205))&gt;0,INDEX('11-تشرين الثاني'!$F$2:$F$501,V205)=F205),N(I205)/N(INDEX('11-تشرين الثاني'!$I$2:$I$501,V205))-1,""))</f>
        <v/>
      </c>
      <c r="AC205" t="str">
        <f t="shared" si="77"/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8"/>
        <v/>
      </c>
      <c r="AH205" s="39" t="str">
        <f t="shared" si="79"/>
        <v/>
      </c>
      <c r="AI205" s="39" t="str">
        <f t="shared" si="80"/>
        <v/>
      </c>
      <c r="AJ205" s="39" t="str">
        <f t="shared" si="81"/>
        <v/>
      </c>
      <c r="AK205" t="str">
        <f t="shared" si="82"/>
        <v/>
      </c>
      <c r="AL205" t="str">
        <f t="shared" si="83"/>
        <v/>
      </c>
    </row>
    <row r="206" spans="11:38" ht="15">
      <c r="K206" t="str">
        <f t="shared" si="63"/>
        <v/>
      </c>
      <c r="L206" t="str">
        <f t="shared" si="64"/>
        <v/>
      </c>
      <c r="M206" s="36" t="str">
        <f t="shared" si="65"/>
        <v/>
      </c>
      <c r="N206" s="37" t="str">
        <f t="shared" si="66"/>
        <v/>
      </c>
      <c r="O206" s="37" t="str">
        <f t="shared" si="67"/>
        <v/>
      </c>
      <c r="P206" s="38" t="str">
        <f t="shared" si="68"/>
        <v/>
      </c>
      <c r="Q206" s="39" t="str">
        <f t="shared" si="69"/>
        <v/>
      </c>
      <c r="R206" s="39" t="str">
        <f t="shared" si="70"/>
        <v/>
      </c>
      <c r="S206" t="str">
        <f t="shared" si="71"/>
        <v/>
      </c>
      <c r="T206" s="39" t="str">
        <f t="shared" si="72"/>
        <v/>
      </c>
      <c r="U206" t="str">
        <f t="shared" si="73"/>
        <v/>
      </c>
      <c r="V206" t="str">
        <f>IF(L206="","",IF($AO$1=1,IFERROR(MATCH(L206,'11-تشرين الثاني'!$L$2:$L$501,0),0),0))</f>
        <v/>
      </c>
      <c r="W206" t="str">
        <f t="shared" si="74"/>
        <v/>
      </c>
      <c r="X206" s="38" t="str">
        <f>IF(L206="","",IF(V206&gt;0,INDEX('11-تشرين الثاني'!$P$2:$P$501,V206),IF($AO$1=1,0,"")))</f>
        <v/>
      </c>
      <c r="Y206" s="38" t="str">
        <f t="shared" si="75"/>
        <v/>
      </c>
      <c r="Z206" s="39" t="str">
        <f>IF(L206="","",IF(V206&gt;0,INDEX('11-تشرين الثاني'!$Q$2:$Q$501,V206),IF($AO$1=1,0,"")))</f>
        <v/>
      </c>
      <c r="AA206" s="39" t="str">
        <f t="shared" si="76"/>
        <v/>
      </c>
      <c r="AB206" s="40" t="str">
        <f>IF(OR(L206="",V206=0),"",IF(AND(N(I206)&gt;0,N(INDEX('11-تشرين الثاني'!$I$2:$I$501,V206))&gt;0,INDEX('11-تشرين الثاني'!$F$2:$F$501,V206)=F206),N(I206)/N(INDEX('11-تشرين الثاني'!$I$2:$I$501,V206))-1,""))</f>
        <v/>
      </c>
      <c r="AC206" t="str">
        <f t="shared" si="77"/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8"/>
        <v/>
      </c>
      <c r="AH206" s="39" t="str">
        <f t="shared" si="79"/>
        <v/>
      </c>
      <c r="AI206" s="39" t="str">
        <f t="shared" si="80"/>
        <v/>
      </c>
      <c r="AJ206" s="39" t="str">
        <f t="shared" si="81"/>
        <v/>
      </c>
      <c r="AK206" t="str">
        <f t="shared" si="82"/>
        <v/>
      </c>
      <c r="AL206" t="str">
        <f t="shared" si="83"/>
        <v/>
      </c>
    </row>
    <row r="207" spans="11:38" ht="15">
      <c r="K207" t="str">
        <f t="shared" si="63"/>
        <v/>
      </c>
      <c r="L207" t="str">
        <f t="shared" si="64"/>
        <v/>
      </c>
      <c r="M207" s="36" t="str">
        <f t="shared" si="65"/>
        <v/>
      </c>
      <c r="N207" s="37" t="str">
        <f t="shared" si="66"/>
        <v/>
      </c>
      <c r="O207" s="37" t="str">
        <f t="shared" si="67"/>
        <v/>
      </c>
      <c r="P207" s="38" t="str">
        <f t="shared" si="68"/>
        <v/>
      </c>
      <c r="Q207" s="39" t="str">
        <f t="shared" si="69"/>
        <v/>
      </c>
      <c r="R207" s="39" t="str">
        <f t="shared" si="70"/>
        <v/>
      </c>
      <c r="S207" t="str">
        <f t="shared" si="71"/>
        <v/>
      </c>
      <c r="T207" s="39" t="str">
        <f t="shared" si="72"/>
        <v/>
      </c>
      <c r="U207" t="str">
        <f t="shared" si="73"/>
        <v/>
      </c>
      <c r="V207" t="str">
        <f>IF(L207="","",IF($AO$1=1,IFERROR(MATCH(L207,'11-تشرين الثاني'!$L$2:$L$501,0),0),0))</f>
        <v/>
      </c>
      <c r="W207" t="str">
        <f t="shared" si="74"/>
        <v/>
      </c>
      <c r="X207" s="38" t="str">
        <f>IF(L207="","",IF(V207&gt;0,INDEX('11-تشرين الثاني'!$P$2:$P$501,V207),IF($AO$1=1,0,"")))</f>
        <v/>
      </c>
      <c r="Y207" s="38" t="str">
        <f t="shared" si="75"/>
        <v/>
      </c>
      <c r="Z207" s="39" t="str">
        <f>IF(L207="","",IF(V207&gt;0,INDEX('11-تشرين الثاني'!$Q$2:$Q$501,V207),IF($AO$1=1,0,"")))</f>
        <v/>
      </c>
      <c r="AA207" s="39" t="str">
        <f t="shared" si="76"/>
        <v/>
      </c>
      <c r="AB207" s="40" t="str">
        <f>IF(OR(L207="",V207=0),"",IF(AND(N(I207)&gt;0,N(INDEX('11-تشرين الثاني'!$I$2:$I$501,V207))&gt;0,INDEX('11-تشرين الثاني'!$F$2:$F$501,V207)=F207),N(I207)/N(INDEX('11-تشرين الثاني'!$I$2:$I$501,V207))-1,""))</f>
        <v/>
      </c>
      <c r="AC207" t="str">
        <f t="shared" si="77"/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8"/>
        <v/>
      </c>
      <c r="AH207" s="39" t="str">
        <f t="shared" si="79"/>
        <v/>
      </c>
      <c r="AI207" s="39" t="str">
        <f t="shared" si="80"/>
        <v/>
      </c>
      <c r="AJ207" s="39" t="str">
        <f t="shared" si="81"/>
        <v/>
      </c>
      <c r="AK207" t="str">
        <f t="shared" si="82"/>
        <v/>
      </c>
      <c r="AL207" t="str">
        <f t="shared" si="83"/>
        <v/>
      </c>
    </row>
    <row r="208" spans="11:38" ht="15">
      <c r="K208" t="str">
        <f t="shared" si="63"/>
        <v/>
      </c>
      <c r="L208" t="str">
        <f t="shared" si="64"/>
        <v/>
      </c>
      <c r="M208" s="36" t="str">
        <f t="shared" si="65"/>
        <v/>
      </c>
      <c r="N208" s="37" t="str">
        <f t="shared" si="66"/>
        <v/>
      </c>
      <c r="O208" s="37" t="str">
        <f t="shared" si="67"/>
        <v/>
      </c>
      <c r="P208" s="38" t="str">
        <f t="shared" si="68"/>
        <v/>
      </c>
      <c r="Q208" s="39" t="str">
        <f t="shared" si="69"/>
        <v/>
      </c>
      <c r="R208" s="39" t="str">
        <f t="shared" si="70"/>
        <v/>
      </c>
      <c r="S208" t="str">
        <f t="shared" si="71"/>
        <v/>
      </c>
      <c r="T208" s="39" t="str">
        <f t="shared" si="72"/>
        <v/>
      </c>
      <c r="U208" t="str">
        <f t="shared" si="73"/>
        <v/>
      </c>
      <c r="V208" t="str">
        <f>IF(L208="","",IF($AO$1=1,IFERROR(MATCH(L208,'11-تشرين الثاني'!$L$2:$L$501,0),0),0))</f>
        <v/>
      </c>
      <c r="W208" t="str">
        <f t="shared" si="74"/>
        <v/>
      </c>
      <c r="X208" s="38" t="str">
        <f>IF(L208="","",IF(V208&gt;0,INDEX('11-تشرين الثاني'!$P$2:$P$501,V208),IF($AO$1=1,0,"")))</f>
        <v/>
      </c>
      <c r="Y208" s="38" t="str">
        <f t="shared" si="75"/>
        <v/>
      </c>
      <c r="Z208" s="39" t="str">
        <f>IF(L208="","",IF(V208&gt;0,INDEX('11-تشرين الثاني'!$Q$2:$Q$501,V208),IF($AO$1=1,0,"")))</f>
        <v/>
      </c>
      <c r="AA208" s="39" t="str">
        <f t="shared" si="76"/>
        <v/>
      </c>
      <c r="AB208" s="40" t="str">
        <f>IF(OR(L208="",V208=0),"",IF(AND(N(I208)&gt;0,N(INDEX('11-تشرين الثاني'!$I$2:$I$501,V208))&gt;0,INDEX('11-تشرين الثاني'!$F$2:$F$501,V208)=F208),N(I208)/N(INDEX('11-تشرين الثاني'!$I$2:$I$501,V208))-1,""))</f>
        <v/>
      </c>
      <c r="AC208" t="str">
        <f t="shared" si="77"/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8"/>
        <v/>
      </c>
      <c r="AH208" s="39" t="str">
        <f t="shared" si="79"/>
        <v/>
      </c>
      <c r="AI208" s="39" t="str">
        <f t="shared" si="80"/>
        <v/>
      </c>
      <c r="AJ208" s="39" t="str">
        <f t="shared" si="81"/>
        <v/>
      </c>
      <c r="AK208" t="str">
        <f t="shared" si="82"/>
        <v/>
      </c>
      <c r="AL208" t="str">
        <f t="shared" si="83"/>
        <v/>
      </c>
    </row>
    <row r="209" spans="11:38" ht="15">
      <c r="K209" t="str">
        <f t="shared" si="63"/>
        <v/>
      </c>
      <c r="L209" t="str">
        <f t="shared" si="64"/>
        <v/>
      </c>
      <c r="M209" s="36" t="str">
        <f t="shared" si="65"/>
        <v/>
      </c>
      <c r="N209" s="37" t="str">
        <f t="shared" si="66"/>
        <v/>
      </c>
      <c r="O209" s="37" t="str">
        <f t="shared" si="67"/>
        <v/>
      </c>
      <c r="P209" s="38" t="str">
        <f t="shared" si="68"/>
        <v/>
      </c>
      <c r="Q209" s="39" t="str">
        <f t="shared" si="69"/>
        <v/>
      </c>
      <c r="R209" s="39" t="str">
        <f t="shared" si="70"/>
        <v/>
      </c>
      <c r="S209" t="str">
        <f t="shared" si="71"/>
        <v/>
      </c>
      <c r="T209" s="39" t="str">
        <f t="shared" si="72"/>
        <v/>
      </c>
      <c r="U209" t="str">
        <f t="shared" si="73"/>
        <v/>
      </c>
      <c r="V209" t="str">
        <f>IF(L209="","",IF($AO$1=1,IFERROR(MATCH(L209,'11-تشرين الثاني'!$L$2:$L$501,0),0),0))</f>
        <v/>
      </c>
      <c r="W209" t="str">
        <f t="shared" si="74"/>
        <v/>
      </c>
      <c r="X209" s="38" t="str">
        <f>IF(L209="","",IF(V209&gt;0,INDEX('11-تشرين الثاني'!$P$2:$P$501,V209),IF($AO$1=1,0,"")))</f>
        <v/>
      </c>
      <c r="Y209" s="38" t="str">
        <f t="shared" si="75"/>
        <v/>
      </c>
      <c r="Z209" s="39" t="str">
        <f>IF(L209="","",IF(V209&gt;0,INDEX('11-تشرين الثاني'!$Q$2:$Q$501,V209),IF($AO$1=1,0,"")))</f>
        <v/>
      </c>
      <c r="AA209" s="39" t="str">
        <f t="shared" si="76"/>
        <v/>
      </c>
      <c r="AB209" s="40" t="str">
        <f>IF(OR(L209="",V209=0),"",IF(AND(N(I209)&gt;0,N(INDEX('11-تشرين الثاني'!$I$2:$I$501,V209))&gt;0,INDEX('11-تشرين الثاني'!$F$2:$F$501,V209)=F209),N(I209)/N(INDEX('11-تشرين الثاني'!$I$2:$I$501,V209))-1,""))</f>
        <v/>
      </c>
      <c r="AC209" t="str">
        <f t="shared" si="77"/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8"/>
        <v/>
      </c>
      <c r="AH209" s="39" t="str">
        <f t="shared" si="79"/>
        <v/>
      </c>
      <c r="AI209" s="39" t="str">
        <f t="shared" si="80"/>
        <v/>
      </c>
      <c r="AJ209" s="39" t="str">
        <f t="shared" si="81"/>
        <v/>
      </c>
      <c r="AK209" t="str">
        <f t="shared" si="82"/>
        <v/>
      </c>
      <c r="AL209" t="str">
        <f t="shared" si="83"/>
        <v/>
      </c>
    </row>
    <row r="210" spans="11:38" ht="15">
      <c r="K210" t="str">
        <f t="shared" si="63"/>
        <v/>
      </c>
      <c r="L210" t="str">
        <f t="shared" si="64"/>
        <v/>
      </c>
      <c r="M210" s="36" t="str">
        <f t="shared" si="65"/>
        <v/>
      </c>
      <c r="N210" s="37" t="str">
        <f t="shared" si="66"/>
        <v/>
      </c>
      <c r="O210" s="37" t="str">
        <f t="shared" si="67"/>
        <v/>
      </c>
      <c r="P210" s="38" t="str">
        <f t="shared" si="68"/>
        <v/>
      </c>
      <c r="Q210" s="39" t="str">
        <f t="shared" si="69"/>
        <v/>
      </c>
      <c r="R210" s="39" t="str">
        <f t="shared" si="70"/>
        <v/>
      </c>
      <c r="S210" t="str">
        <f t="shared" si="71"/>
        <v/>
      </c>
      <c r="T210" s="39" t="str">
        <f t="shared" si="72"/>
        <v/>
      </c>
      <c r="U210" t="str">
        <f t="shared" si="73"/>
        <v/>
      </c>
      <c r="V210" t="str">
        <f>IF(L210="","",IF($AO$1=1,IFERROR(MATCH(L210,'11-تشرين الثاني'!$L$2:$L$501,0),0),0))</f>
        <v/>
      </c>
      <c r="W210" t="str">
        <f t="shared" si="74"/>
        <v/>
      </c>
      <c r="X210" s="38" t="str">
        <f>IF(L210="","",IF(V210&gt;0,INDEX('11-تشرين الثاني'!$P$2:$P$501,V210),IF($AO$1=1,0,"")))</f>
        <v/>
      </c>
      <c r="Y210" s="38" t="str">
        <f t="shared" si="75"/>
        <v/>
      </c>
      <c r="Z210" s="39" t="str">
        <f>IF(L210="","",IF(V210&gt;0,INDEX('11-تشرين الثاني'!$Q$2:$Q$501,V210),IF($AO$1=1,0,"")))</f>
        <v/>
      </c>
      <c r="AA210" s="39" t="str">
        <f t="shared" si="76"/>
        <v/>
      </c>
      <c r="AB210" s="40" t="str">
        <f>IF(OR(L210="",V210=0),"",IF(AND(N(I210)&gt;0,N(INDEX('11-تشرين الثاني'!$I$2:$I$501,V210))&gt;0,INDEX('11-تشرين الثاني'!$F$2:$F$501,V210)=F210),N(I210)/N(INDEX('11-تشرين الثاني'!$I$2:$I$501,V210))-1,""))</f>
        <v/>
      </c>
      <c r="AC210" t="str">
        <f t="shared" si="77"/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8"/>
        <v/>
      </c>
      <c r="AH210" s="39" t="str">
        <f t="shared" si="79"/>
        <v/>
      </c>
      <c r="AI210" s="39" t="str">
        <f t="shared" si="80"/>
        <v/>
      </c>
      <c r="AJ210" s="39" t="str">
        <f t="shared" si="81"/>
        <v/>
      </c>
      <c r="AK210" t="str">
        <f t="shared" si="82"/>
        <v/>
      </c>
      <c r="AL210" t="str">
        <f t="shared" si="83"/>
        <v/>
      </c>
    </row>
    <row r="211" spans="11:38" ht="15">
      <c r="K211" t="str">
        <f t="shared" si="63"/>
        <v/>
      </c>
      <c r="L211" t="str">
        <f t="shared" si="64"/>
        <v/>
      </c>
      <c r="M211" s="36" t="str">
        <f t="shared" si="65"/>
        <v/>
      </c>
      <c r="N211" s="37" t="str">
        <f t="shared" si="66"/>
        <v/>
      </c>
      <c r="O211" s="37" t="str">
        <f t="shared" si="67"/>
        <v/>
      </c>
      <c r="P211" s="38" t="str">
        <f t="shared" si="68"/>
        <v/>
      </c>
      <c r="Q211" s="39" t="str">
        <f t="shared" si="69"/>
        <v/>
      </c>
      <c r="R211" s="39" t="str">
        <f t="shared" si="70"/>
        <v/>
      </c>
      <c r="S211" t="str">
        <f t="shared" si="71"/>
        <v/>
      </c>
      <c r="T211" s="39" t="str">
        <f t="shared" si="72"/>
        <v/>
      </c>
      <c r="U211" t="str">
        <f t="shared" si="73"/>
        <v/>
      </c>
      <c r="V211" t="str">
        <f>IF(L211="","",IF($AO$1=1,IFERROR(MATCH(L211,'11-تشرين الثاني'!$L$2:$L$501,0),0),0))</f>
        <v/>
      </c>
      <c r="W211" t="str">
        <f t="shared" si="74"/>
        <v/>
      </c>
      <c r="X211" s="38" t="str">
        <f>IF(L211="","",IF(V211&gt;0,INDEX('11-تشرين الثاني'!$P$2:$P$501,V211),IF($AO$1=1,0,"")))</f>
        <v/>
      </c>
      <c r="Y211" s="38" t="str">
        <f t="shared" si="75"/>
        <v/>
      </c>
      <c r="Z211" s="39" t="str">
        <f>IF(L211="","",IF(V211&gt;0,INDEX('11-تشرين الثاني'!$Q$2:$Q$501,V211),IF($AO$1=1,0,"")))</f>
        <v/>
      </c>
      <c r="AA211" s="39" t="str">
        <f t="shared" si="76"/>
        <v/>
      </c>
      <c r="AB211" s="40" t="str">
        <f>IF(OR(L211="",V211=0),"",IF(AND(N(I211)&gt;0,N(INDEX('11-تشرين الثاني'!$I$2:$I$501,V211))&gt;0,INDEX('11-تشرين الثاني'!$F$2:$F$501,V211)=F211),N(I211)/N(INDEX('11-تشرين الثاني'!$I$2:$I$501,V211))-1,""))</f>
        <v/>
      </c>
      <c r="AC211" t="str">
        <f t="shared" si="77"/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8"/>
        <v/>
      </c>
      <c r="AH211" s="39" t="str">
        <f t="shared" si="79"/>
        <v/>
      </c>
      <c r="AI211" s="39" t="str">
        <f t="shared" si="80"/>
        <v/>
      </c>
      <c r="AJ211" s="39" t="str">
        <f t="shared" si="81"/>
        <v/>
      </c>
      <c r="AK211" t="str">
        <f t="shared" si="82"/>
        <v/>
      </c>
      <c r="AL211" t="str">
        <f t="shared" si="83"/>
        <v/>
      </c>
    </row>
    <row r="212" spans="11:38" ht="15">
      <c r="K212" t="str">
        <f t="shared" si="63"/>
        <v/>
      </c>
      <c r="L212" t="str">
        <f t="shared" si="64"/>
        <v/>
      </c>
      <c r="M212" s="36" t="str">
        <f t="shared" si="65"/>
        <v/>
      </c>
      <c r="N212" s="37" t="str">
        <f t="shared" si="66"/>
        <v/>
      </c>
      <c r="O212" s="37" t="str">
        <f t="shared" si="67"/>
        <v/>
      </c>
      <c r="P212" s="38" t="str">
        <f t="shared" si="68"/>
        <v/>
      </c>
      <c r="Q212" s="39" t="str">
        <f t="shared" si="69"/>
        <v/>
      </c>
      <c r="R212" s="39" t="str">
        <f t="shared" si="70"/>
        <v/>
      </c>
      <c r="S212" t="str">
        <f t="shared" si="71"/>
        <v/>
      </c>
      <c r="T212" s="39" t="str">
        <f t="shared" si="72"/>
        <v/>
      </c>
      <c r="U212" t="str">
        <f t="shared" si="73"/>
        <v/>
      </c>
      <c r="V212" t="str">
        <f>IF(L212="","",IF($AO$1=1,IFERROR(MATCH(L212,'11-تشرين الثاني'!$L$2:$L$501,0),0),0))</f>
        <v/>
      </c>
      <c r="W212" t="str">
        <f t="shared" si="74"/>
        <v/>
      </c>
      <c r="X212" s="38" t="str">
        <f>IF(L212="","",IF(V212&gt;0,INDEX('11-تشرين الثاني'!$P$2:$P$501,V212),IF($AO$1=1,0,"")))</f>
        <v/>
      </c>
      <c r="Y212" s="38" t="str">
        <f t="shared" si="75"/>
        <v/>
      </c>
      <c r="Z212" s="39" t="str">
        <f>IF(L212="","",IF(V212&gt;0,INDEX('11-تشرين الثاني'!$Q$2:$Q$501,V212),IF($AO$1=1,0,"")))</f>
        <v/>
      </c>
      <c r="AA212" s="39" t="str">
        <f t="shared" si="76"/>
        <v/>
      </c>
      <c r="AB212" s="40" t="str">
        <f>IF(OR(L212="",V212=0),"",IF(AND(N(I212)&gt;0,N(INDEX('11-تشرين الثاني'!$I$2:$I$501,V212))&gt;0,INDEX('11-تشرين الثاني'!$F$2:$F$501,V212)=F212),N(I212)/N(INDEX('11-تشرين الثاني'!$I$2:$I$501,V212))-1,""))</f>
        <v/>
      </c>
      <c r="AC212" t="str">
        <f t="shared" si="77"/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8"/>
        <v/>
      </c>
      <c r="AH212" s="39" t="str">
        <f t="shared" si="79"/>
        <v/>
      </c>
      <c r="AI212" s="39" t="str">
        <f t="shared" si="80"/>
        <v/>
      </c>
      <c r="AJ212" s="39" t="str">
        <f t="shared" si="81"/>
        <v/>
      </c>
      <c r="AK212" t="str">
        <f t="shared" si="82"/>
        <v/>
      </c>
      <c r="AL212" t="str">
        <f t="shared" si="83"/>
        <v/>
      </c>
    </row>
    <row r="213" spans="11:38" ht="15">
      <c r="K213" t="str">
        <f t="shared" si="63"/>
        <v/>
      </c>
      <c r="L213" t="str">
        <f t="shared" si="64"/>
        <v/>
      </c>
      <c r="M213" s="36" t="str">
        <f t="shared" si="65"/>
        <v/>
      </c>
      <c r="N213" s="37" t="str">
        <f t="shared" si="66"/>
        <v/>
      </c>
      <c r="O213" s="37" t="str">
        <f t="shared" si="67"/>
        <v/>
      </c>
      <c r="P213" s="38" t="str">
        <f t="shared" si="68"/>
        <v/>
      </c>
      <c r="Q213" s="39" t="str">
        <f t="shared" si="69"/>
        <v/>
      </c>
      <c r="R213" s="39" t="str">
        <f t="shared" si="70"/>
        <v/>
      </c>
      <c r="S213" t="str">
        <f t="shared" si="71"/>
        <v/>
      </c>
      <c r="T213" s="39" t="str">
        <f t="shared" si="72"/>
        <v/>
      </c>
      <c r="U213" t="str">
        <f t="shared" si="73"/>
        <v/>
      </c>
      <c r="V213" t="str">
        <f>IF(L213="","",IF($AO$1=1,IFERROR(MATCH(L213,'11-تشرين الثاني'!$L$2:$L$501,0),0),0))</f>
        <v/>
      </c>
      <c r="W213" t="str">
        <f t="shared" si="74"/>
        <v/>
      </c>
      <c r="X213" s="38" t="str">
        <f>IF(L213="","",IF(V213&gt;0,INDEX('11-تشرين الثاني'!$P$2:$P$501,V213),IF($AO$1=1,0,"")))</f>
        <v/>
      </c>
      <c r="Y213" s="38" t="str">
        <f t="shared" si="75"/>
        <v/>
      </c>
      <c r="Z213" s="39" t="str">
        <f>IF(L213="","",IF(V213&gt;0,INDEX('11-تشرين الثاني'!$Q$2:$Q$501,V213),IF($AO$1=1,0,"")))</f>
        <v/>
      </c>
      <c r="AA213" s="39" t="str">
        <f t="shared" si="76"/>
        <v/>
      </c>
      <c r="AB213" s="40" t="str">
        <f>IF(OR(L213="",V213=0),"",IF(AND(N(I213)&gt;0,N(INDEX('11-تشرين الثاني'!$I$2:$I$501,V213))&gt;0,INDEX('11-تشرين الثاني'!$F$2:$F$501,V213)=F213),N(I213)/N(INDEX('11-تشرين الثاني'!$I$2:$I$501,V213))-1,""))</f>
        <v/>
      </c>
      <c r="AC213" t="str">
        <f t="shared" si="77"/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8"/>
        <v/>
      </c>
      <c r="AH213" s="39" t="str">
        <f t="shared" si="79"/>
        <v/>
      </c>
      <c r="AI213" s="39" t="str">
        <f t="shared" si="80"/>
        <v/>
      </c>
      <c r="AJ213" s="39" t="str">
        <f t="shared" si="81"/>
        <v/>
      </c>
      <c r="AK213" t="str">
        <f t="shared" si="82"/>
        <v/>
      </c>
      <c r="AL213" t="str">
        <f t="shared" si="83"/>
        <v/>
      </c>
    </row>
    <row r="214" spans="11:38" ht="15">
      <c r="K214" t="str">
        <f t="shared" si="63"/>
        <v/>
      </c>
      <c r="L214" t="str">
        <f t="shared" si="64"/>
        <v/>
      </c>
      <c r="M214" s="36" t="str">
        <f t="shared" si="65"/>
        <v/>
      </c>
      <c r="N214" s="37" t="str">
        <f t="shared" si="66"/>
        <v/>
      </c>
      <c r="O214" s="37" t="str">
        <f t="shared" si="67"/>
        <v/>
      </c>
      <c r="P214" s="38" t="str">
        <f t="shared" si="68"/>
        <v/>
      </c>
      <c r="Q214" s="39" t="str">
        <f t="shared" si="69"/>
        <v/>
      </c>
      <c r="R214" s="39" t="str">
        <f t="shared" si="70"/>
        <v/>
      </c>
      <c r="S214" t="str">
        <f t="shared" si="71"/>
        <v/>
      </c>
      <c r="T214" s="39" t="str">
        <f t="shared" si="72"/>
        <v/>
      </c>
      <c r="U214" t="str">
        <f t="shared" si="73"/>
        <v/>
      </c>
      <c r="V214" t="str">
        <f>IF(L214="","",IF($AO$1=1,IFERROR(MATCH(L214,'11-تشرين الثاني'!$L$2:$L$501,0),0),0))</f>
        <v/>
      </c>
      <c r="W214" t="str">
        <f t="shared" si="74"/>
        <v/>
      </c>
      <c r="X214" s="38" t="str">
        <f>IF(L214="","",IF(V214&gt;0,INDEX('11-تشرين الثاني'!$P$2:$P$501,V214),IF($AO$1=1,0,"")))</f>
        <v/>
      </c>
      <c r="Y214" s="38" t="str">
        <f t="shared" si="75"/>
        <v/>
      </c>
      <c r="Z214" s="39" t="str">
        <f>IF(L214="","",IF(V214&gt;0,INDEX('11-تشرين الثاني'!$Q$2:$Q$501,V214),IF($AO$1=1,0,"")))</f>
        <v/>
      </c>
      <c r="AA214" s="39" t="str">
        <f t="shared" si="76"/>
        <v/>
      </c>
      <c r="AB214" s="40" t="str">
        <f>IF(OR(L214="",V214=0),"",IF(AND(N(I214)&gt;0,N(INDEX('11-تشرين الثاني'!$I$2:$I$501,V214))&gt;0,INDEX('11-تشرين الثاني'!$F$2:$F$501,V214)=F214),N(I214)/N(INDEX('11-تشرين الثاني'!$I$2:$I$501,V214))-1,""))</f>
        <v/>
      </c>
      <c r="AC214" t="str">
        <f t="shared" si="77"/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8"/>
        <v/>
      </c>
      <c r="AH214" s="39" t="str">
        <f t="shared" si="79"/>
        <v/>
      </c>
      <c r="AI214" s="39" t="str">
        <f t="shared" si="80"/>
        <v/>
      </c>
      <c r="AJ214" s="39" t="str">
        <f t="shared" si="81"/>
        <v/>
      </c>
      <c r="AK214" t="str">
        <f t="shared" si="82"/>
        <v/>
      </c>
      <c r="AL214" t="str">
        <f t="shared" si="83"/>
        <v/>
      </c>
    </row>
    <row r="215" spans="11:38" ht="15">
      <c r="K215" t="str">
        <f t="shared" si="63"/>
        <v/>
      </c>
      <c r="L215" t="str">
        <f t="shared" si="64"/>
        <v/>
      </c>
      <c r="M215" s="36" t="str">
        <f t="shared" si="65"/>
        <v/>
      </c>
      <c r="N215" s="37" t="str">
        <f t="shared" si="66"/>
        <v/>
      </c>
      <c r="O215" s="37" t="str">
        <f t="shared" si="67"/>
        <v/>
      </c>
      <c r="P215" s="38" t="str">
        <f t="shared" si="68"/>
        <v/>
      </c>
      <c r="Q215" s="39" t="str">
        <f t="shared" si="69"/>
        <v/>
      </c>
      <c r="R215" s="39" t="str">
        <f t="shared" si="70"/>
        <v/>
      </c>
      <c r="S215" t="str">
        <f t="shared" si="71"/>
        <v/>
      </c>
      <c r="T215" s="39" t="str">
        <f t="shared" si="72"/>
        <v/>
      </c>
      <c r="U215" t="str">
        <f t="shared" si="73"/>
        <v/>
      </c>
      <c r="V215" t="str">
        <f>IF(L215="","",IF($AO$1=1,IFERROR(MATCH(L215,'11-تشرين الثاني'!$L$2:$L$501,0),0),0))</f>
        <v/>
      </c>
      <c r="W215" t="str">
        <f t="shared" si="74"/>
        <v/>
      </c>
      <c r="X215" s="38" t="str">
        <f>IF(L215="","",IF(V215&gt;0,INDEX('11-تشرين الثاني'!$P$2:$P$501,V215),IF($AO$1=1,0,"")))</f>
        <v/>
      </c>
      <c r="Y215" s="38" t="str">
        <f t="shared" si="75"/>
        <v/>
      </c>
      <c r="Z215" s="39" t="str">
        <f>IF(L215="","",IF(V215&gt;0,INDEX('11-تشرين الثاني'!$Q$2:$Q$501,V215),IF($AO$1=1,0,"")))</f>
        <v/>
      </c>
      <c r="AA215" s="39" t="str">
        <f t="shared" si="76"/>
        <v/>
      </c>
      <c r="AB215" s="40" t="str">
        <f>IF(OR(L215="",V215=0),"",IF(AND(N(I215)&gt;0,N(INDEX('11-تشرين الثاني'!$I$2:$I$501,V215))&gt;0,INDEX('11-تشرين الثاني'!$F$2:$F$501,V215)=F215),N(I215)/N(INDEX('11-تشرين الثاني'!$I$2:$I$501,V215))-1,""))</f>
        <v/>
      </c>
      <c r="AC215" t="str">
        <f t="shared" si="77"/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8"/>
        <v/>
      </c>
      <c r="AH215" s="39" t="str">
        <f t="shared" si="79"/>
        <v/>
      </c>
      <c r="AI215" s="39" t="str">
        <f t="shared" si="80"/>
        <v/>
      </c>
      <c r="AJ215" s="39" t="str">
        <f t="shared" si="81"/>
        <v/>
      </c>
      <c r="AK215" t="str">
        <f t="shared" si="82"/>
        <v/>
      </c>
      <c r="AL215" t="str">
        <f t="shared" si="83"/>
        <v/>
      </c>
    </row>
    <row r="216" spans="11:38" ht="15">
      <c r="K216" t="str">
        <f t="shared" si="63"/>
        <v/>
      </c>
      <c r="L216" t="str">
        <f t="shared" si="64"/>
        <v/>
      </c>
      <c r="M216" s="36" t="str">
        <f t="shared" si="65"/>
        <v/>
      </c>
      <c r="N216" s="37" t="str">
        <f t="shared" si="66"/>
        <v/>
      </c>
      <c r="O216" s="37" t="str">
        <f t="shared" si="67"/>
        <v/>
      </c>
      <c r="P216" s="38" t="str">
        <f t="shared" si="68"/>
        <v/>
      </c>
      <c r="Q216" s="39" t="str">
        <f t="shared" si="69"/>
        <v/>
      </c>
      <c r="R216" s="39" t="str">
        <f t="shared" si="70"/>
        <v/>
      </c>
      <c r="S216" t="str">
        <f t="shared" si="71"/>
        <v/>
      </c>
      <c r="T216" s="39" t="str">
        <f t="shared" si="72"/>
        <v/>
      </c>
      <c r="U216" t="str">
        <f t="shared" si="73"/>
        <v/>
      </c>
      <c r="V216" t="str">
        <f>IF(L216="","",IF($AO$1=1,IFERROR(MATCH(L216,'11-تشرين الثاني'!$L$2:$L$501,0),0),0))</f>
        <v/>
      </c>
      <c r="W216" t="str">
        <f t="shared" si="74"/>
        <v/>
      </c>
      <c r="X216" s="38" t="str">
        <f>IF(L216="","",IF(V216&gt;0,INDEX('11-تشرين الثاني'!$P$2:$P$501,V216),IF($AO$1=1,0,"")))</f>
        <v/>
      </c>
      <c r="Y216" s="38" t="str">
        <f t="shared" si="75"/>
        <v/>
      </c>
      <c r="Z216" s="39" t="str">
        <f>IF(L216="","",IF(V216&gt;0,INDEX('11-تشرين الثاني'!$Q$2:$Q$501,V216),IF($AO$1=1,0,"")))</f>
        <v/>
      </c>
      <c r="AA216" s="39" t="str">
        <f t="shared" si="76"/>
        <v/>
      </c>
      <c r="AB216" s="40" t="str">
        <f>IF(OR(L216="",V216=0),"",IF(AND(N(I216)&gt;0,N(INDEX('11-تشرين الثاني'!$I$2:$I$501,V216))&gt;0,INDEX('11-تشرين الثاني'!$F$2:$F$501,V216)=F216),N(I216)/N(INDEX('11-تشرين الثاني'!$I$2:$I$501,V216))-1,""))</f>
        <v/>
      </c>
      <c r="AC216" t="str">
        <f t="shared" si="77"/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8"/>
        <v/>
      </c>
      <c r="AH216" s="39" t="str">
        <f t="shared" si="79"/>
        <v/>
      </c>
      <c r="AI216" s="39" t="str">
        <f t="shared" si="80"/>
        <v/>
      </c>
      <c r="AJ216" s="39" t="str">
        <f t="shared" si="81"/>
        <v/>
      </c>
      <c r="AK216" t="str">
        <f t="shared" si="82"/>
        <v/>
      </c>
      <c r="AL216" t="str">
        <f t="shared" si="83"/>
        <v/>
      </c>
    </row>
    <row r="217" spans="11:38" ht="15">
      <c r="K217" t="str">
        <f t="shared" si="63"/>
        <v/>
      </c>
      <c r="L217" t="str">
        <f t="shared" si="64"/>
        <v/>
      </c>
      <c r="M217" s="36" t="str">
        <f t="shared" si="65"/>
        <v/>
      </c>
      <c r="N217" s="37" t="str">
        <f t="shared" si="66"/>
        <v/>
      </c>
      <c r="O217" s="37" t="str">
        <f t="shared" si="67"/>
        <v/>
      </c>
      <c r="P217" s="38" t="str">
        <f t="shared" si="68"/>
        <v/>
      </c>
      <c r="Q217" s="39" t="str">
        <f t="shared" si="69"/>
        <v/>
      </c>
      <c r="R217" s="39" t="str">
        <f t="shared" si="70"/>
        <v/>
      </c>
      <c r="S217" t="str">
        <f t="shared" si="71"/>
        <v/>
      </c>
      <c r="T217" s="39" t="str">
        <f t="shared" si="72"/>
        <v/>
      </c>
      <c r="U217" t="str">
        <f t="shared" si="73"/>
        <v/>
      </c>
      <c r="V217" t="str">
        <f>IF(L217="","",IF($AO$1=1,IFERROR(MATCH(L217,'11-تشرين الثاني'!$L$2:$L$501,0),0),0))</f>
        <v/>
      </c>
      <c r="W217" t="str">
        <f t="shared" si="74"/>
        <v/>
      </c>
      <c r="X217" s="38" t="str">
        <f>IF(L217="","",IF(V217&gt;0,INDEX('11-تشرين الثاني'!$P$2:$P$501,V217),IF($AO$1=1,0,"")))</f>
        <v/>
      </c>
      <c r="Y217" s="38" t="str">
        <f t="shared" si="75"/>
        <v/>
      </c>
      <c r="Z217" s="39" t="str">
        <f>IF(L217="","",IF(V217&gt;0,INDEX('11-تشرين الثاني'!$Q$2:$Q$501,V217),IF($AO$1=1,0,"")))</f>
        <v/>
      </c>
      <c r="AA217" s="39" t="str">
        <f t="shared" si="76"/>
        <v/>
      </c>
      <c r="AB217" s="40" t="str">
        <f>IF(OR(L217="",V217=0),"",IF(AND(N(I217)&gt;0,N(INDEX('11-تشرين الثاني'!$I$2:$I$501,V217))&gt;0,INDEX('11-تشرين الثاني'!$F$2:$F$501,V217)=F217),N(I217)/N(INDEX('11-تشرين الثاني'!$I$2:$I$501,V217))-1,""))</f>
        <v/>
      </c>
      <c r="AC217" t="str">
        <f t="shared" si="77"/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8"/>
        <v/>
      </c>
      <c r="AH217" s="39" t="str">
        <f t="shared" si="79"/>
        <v/>
      </c>
      <c r="AI217" s="39" t="str">
        <f t="shared" si="80"/>
        <v/>
      </c>
      <c r="AJ217" s="39" t="str">
        <f t="shared" si="81"/>
        <v/>
      </c>
      <c r="AK217" t="str">
        <f t="shared" si="82"/>
        <v/>
      </c>
      <c r="AL217" t="str">
        <f t="shared" si="83"/>
        <v/>
      </c>
    </row>
    <row r="218" spans="11:38" ht="15">
      <c r="K218" t="str">
        <f t="shared" si="63"/>
        <v/>
      </c>
      <c r="L218" t="str">
        <f t="shared" si="64"/>
        <v/>
      </c>
      <c r="M218" s="36" t="str">
        <f t="shared" si="65"/>
        <v/>
      </c>
      <c r="N218" s="37" t="str">
        <f t="shared" si="66"/>
        <v/>
      </c>
      <c r="O218" s="37" t="str">
        <f t="shared" si="67"/>
        <v/>
      </c>
      <c r="P218" s="38" t="str">
        <f t="shared" si="68"/>
        <v/>
      </c>
      <c r="Q218" s="39" t="str">
        <f t="shared" si="69"/>
        <v/>
      </c>
      <c r="R218" s="39" t="str">
        <f t="shared" si="70"/>
        <v/>
      </c>
      <c r="S218" t="str">
        <f t="shared" si="71"/>
        <v/>
      </c>
      <c r="T218" s="39" t="str">
        <f t="shared" si="72"/>
        <v/>
      </c>
      <c r="U218" t="str">
        <f t="shared" si="73"/>
        <v/>
      </c>
      <c r="V218" t="str">
        <f>IF(L218="","",IF($AO$1=1,IFERROR(MATCH(L218,'11-تشرين الثاني'!$L$2:$L$501,0),0),0))</f>
        <v/>
      </c>
      <c r="W218" t="str">
        <f t="shared" si="74"/>
        <v/>
      </c>
      <c r="X218" s="38" t="str">
        <f>IF(L218="","",IF(V218&gt;0,INDEX('11-تشرين الثاني'!$P$2:$P$501,V218),IF($AO$1=1,0,"")))</f>
        <v/>
      </c>
      <c r="Y218" s="38" t="str">
        <f t="shared" si="75"/>
        <v/>
      </c>
      <c r="Z218" s="39" t="str">
        <f>IF(L218="","",IF(V218&gt;0,INDEX('11-تشرين الثاني'!$Q$2:$Q$501,V218),IF($AO$1=1,0,"")))</f>
        <v/>
      </c>
      <c r="AA218" s="39" t="str">
        <f t="shared" si="76"/>
        <v/>
      </c>
      <c r="AB218" s="40" t="str">
        <f>IF(OR(L218="",V218=0),"",IF(AND(N(I218)&gt;0,N(INDEX('11-تشرين الثاني'!$I$2:$I$501,V218))&gt;0,INDEX('11-تشرين الثاني'!$F$2:$F$501,V218)=F218),N(I218)/N(INDEX('11-تشرين الثاني'!$I$2:$I$501,V218))-1,""))</f>
        <v/>
      </c>
      <c r="AC218" t="str">
        <f t="shared" si="77"/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8"/>
        <v/>
      </c>
      <c r="AH218" s="39" t="str">
        <f t="shared" si="79"/>
        <v/>
      </c>
      <c r="AI218" s="39" t="str">
        <f t="shared" si="80"/>
        <v/>
      </c>
      <c r="AJ218" s="39" t="str">
        <f t="shared" si="81"/>
        <v/>
      </c>
      <c r="AK218" t="str">
        <f t="shared" si="82"/>
        <v/>
      </c>
      <c r="AL218" t="str">
        <f t="shared" si="83"/>
        <v/>
      </c>
    </row>
    <row r="219" spans="11:38" ht="15">
      <c r="K219" t="str">
        <f t="shared" si="63"/>
        <v/>
      </c>
      <c r="L219" t="str">
        <f t="shared" si="64"/>
        <v/>
      </c>
      <c r="M219" s="36" t="str">
        <f t="shared" si="65"/>
        <v/>
      </c>
      <c r="N219" s="37" t="str">
        <f t="shared" si="66"/>
        <v/>
      </c>
      <c r="O219" s="37" t="str">
        <f t="shared" si="67"/>
        <v/>
      </c>
      <c r="P219" s="38" t="str">
        <f t="shared" si="68"/>
        <v/>
      </c>
      <c r="Q219" s="39" t="str">
        <f t="shared" si="69"/>
        <v/>
      </c>
      <c r="R219" s="39" t="str">
        <f t="shared" si="70"/>
        <v/>
      </c>
      <c r="S219" t="str">
        <f t="shared" si="71"/>
        <v/>
      </c>
      <c r="T219" s="39" t="str">
        <f t="shared" si="72"/>
        <v/>
      </c>
      <c r="U219" t="str">
        <f t="shared" si="73"/>
        <v/>
      </c>
      <c r="V219" t="str">
        <f>IF(L219="","",IF($AO$1=1,IFERROR(MATCH(L219,'11-تشرين الثاني'!$L$2:$L$501,0),0),0))</f>
        <v/>
      </c>
      <c r="W219" t="str">
        <f t="shared" si="74"/>
        <v/>
      </c>
      <c r="X219" s="38" t="str">
        <f>IF(L219="","",IF(V219&gt;0,INDEX('11-تشرين الثاني'!$P$2:$P$501,V219),IF($AO$1=1,0,"")))</f>
        <v/>
      </c>
      <c r="Y219" s="38" t="str">
        <f t="shared" si="75"/>
        <v/>
      </c>
      <c r="Z219" s="39" t="str">
        <f>IF(L219="","",IF(V219&gt;0,INDEX('11-تشرين الثاني'!$Q$2:$Q$501,V219),IF($AO$1=1,0,"")))</f>
        <v/>
      </c>
      <c r="AA219" s="39" t="str">
        <f t="shared" si="76"/>
        <v/>
      </c>
      <c r="AB219" s="40" t="str">
        <f>IF(OR(L219="",V219=0),"",IF(AND(N(I219)&gt;0,N(INDEX('11-تشرين الثاني'!$I$2:$I$501,V219))&gt;0,INDEX('11-تشرين الثاني'!$F$2:$F$501,V219)=F219),N(I219)/N(INDEX('11-تشرين الثاني'!$I$2:$I$501,V219))-1,""))</f>
        <v/>
      </c>
      <c r="AC219" t="str">
        <f t="shared" si="77"/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8"/>
        <v/>
      </c>
      <c r="AH219" s="39" t="str">
        <f t="shared" si="79"/>
        <v/>
      </c>
      <c r="AI219" s="39" t="str">
        <f t="shared" si="80"/>
        <v/>
      </c>
      <c r="AJ219" s="39" t="str">
        <f t="shared" si="81"/>
        <v/>
      </c>
      <c r="AK219" t="str">
        <f t="shared" si="82"/>
        <v/>
      </c>
      <c r="AL219" t="str">
        <f t="shared" si="83"/>
        <v/>
      </c>
    </row>
    <row r="220" spans="11:38" ht="15">
      <c r="K220" t="str">
        <f t="shared" si="63"/>
        <v/>
      </c>
      <c r="L220" t="str">
        <f t="shared" si="64"/>
        <v/>
      </c>
      <c r="M220" s="36" t="str">
        <f t="shared" si="65"/>
        <v/>
      </c>
      <c r="N220" s="37" t="str">
        <f t="shared" si="66"/>
        <v/>
      </c>
      <c r="O220" s="37" t="str">
        <f t="shared" si="67"/>
        <v/>
      </c>
      <c r="P220" s="38" t="str">
        <f t="shared" si="68"/>
        <v/>
      </c>
      <c r="Q220" s="39" t="str">
        <f t="shared" si="69"/>
        <v/>
      </c>
      <c r="R220" s="39" t="str">
        <f t="shared" si="70"/>
        <v/>
      </c>
      <c r="S220" t="str">
        <f t="shared" si="71"/>
        <v/>
      </c>
      <c r="T220" s="39" t="str">
        <f t="shared" si="72"/>
        <v/>
      </c>
      <c r="U220" t="str">
        <f t="shared" si="73"/>
        <v/>
      </c>
      <c r="V220" t="str">
        <f>IF(L220="","",IF($AO$1=1,IFERROR(MATCH(L220,'11-تشرين الثاني'!$L$2:$L$501,0),0),0))</f>
        <v/>
      </c>
      <c r="W220" t="str">
        <f t="shared" si="74"/>
        <v/>
      </c>
      <c r="X220" s="38" t="str">
        <f>IF(L220="","",IF(V220&gt;0,INDEX('11-تشرين الثاني'!$P$2:$P$501,V220),IF($AO$1=1,0,"")))</f>
        <v/>
      </c>
      <c r="Y220" s="38" t="str">
        <f t="shared" si="75"/>
        <v/>
      </c>
      <c r="Z220" s="39" t="str">
        <f>IF(L220="","",IF(V220&gt;0,INDEX('11-تشرين الثاني'!$Q$2:$Q$501,V220),IF($AO$1=1,0,"")))</f>
        <v/>
      </c>
      <c r="AA220" s="39" t="str">
        <f t="shared" si="76"/>
        <v/>
      </c>
      <c r="AB220" s="40" t="str">
        <f>IF(OR(L220="",V220=0),"",IF(AND(N(I220)&gt;0,N(INDEX('11-تشرين الثاني'!$I$2:$I$501,V220))&gt;0,INDEX('11-تشرين الثاني'!$F$2:$F$501,V220)=F220),N(I220)/N(INDEX('11-تشرين الثاني'!$I$2:$I$501,V220))-1,""))</f>
        <v/>
      </c>
      <c r="AC220" t="str">
        <f t="shared" si="77"/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8"/>
        <v/>
      </c>
      <c r="AH220" s="39" t="str">
        <f t="shared" si="79"/>
        <v/>
      </c>
      <c r="AI220" s="39" t="str">
        <f t="shared" si="80"/>
        <v/>
      </c>
      <c r="AJ220" s="39" t="str">
        <f t="shared" si="81"/>
        <v/>
      </c>
      <c r="AK220" t="str">
        <f t="shared" si="82"/>
        <v/>
      </c>
      <c r="AL220" t="str">
        <f t="shared" si="83"/>
        <v/>
      </c>
    </row>
    <row r="221" spans="11:38" ht="15">
      <c r="K221" t="str">
        <f t="shared" si="63"/>
        <v/>
      </c>
      <c r="L221" t="str">
        <f t="shared" si="64"/>
        <v/>
      </c>
      <c r="M221" s="36" t="str">
        <f t="shared" si="65"/>
        <v/>
      </c>
      <c r="N221" s="37" t="str">
        <f t="shared" si="66"/>
        <v/>
      </c>
      <c r="O221" s="37" t="str">
        <f t="shared" si="67"/>
        <v/>
      </c>
      <c r="P221" s="38" t="str">
        <f t="shared" si="68"/>
        <v/>
      </c>
      <c r="Q221" s="39" t="str">
        <f t="shared" si="69"/>
        <v/>
      </c>
      <c r="R221" s="39" t="str">
        <f t="shared" si="70"/>
        <v/>
      </c>
      <c r="S221" t="str">
        <f t="shared" si="71"/>
        <v/>
      </c>
      <c r="T221" s="39" t="str">
        <f t="shared" si="72"/>
        <v/>
      </c>
      <c r="U221" t="str">
        <f t="shared" si="73"/>
        <v/>
      </c>
      <c r="V221" t="str">
        <f>IF(L221="","",IF($AO$1=1,IFERROR(MATCH(L221,'11-تشرين الثاني'!$L$2:$L$501,0),0),0))</f>
        <v/>
      </c>
      <c r="W221" t="str">
        <f t="shared" si="74"/>
        <v/>
      </c>
      <c r="X221" s="38" t="str">
        <f>IF(L221="","",IF(V221&gt;0,INDEX('11-تشرين الثاني'!$P$2:$P$501,V221),IF($AO$1=1,0,"")))</f>
        <v/>
      </c>
      <c r="Y221" s="38" t="str">
        <f t="shared" si="75"/>
        <v/>
      </c>
      <c r="Z221" s="39" t="str">
        <f>IF(L221="","",IF(V221&gt;0,INDEX('11-تشرين الثاني'!$Q$2:$Q$501,V221),IF($AO$1=1,0,"")))</f>
        <v/>
      </c>
      <c r="AA221" s="39" t="str">
        <f t="shared" si="76"/>
        <v/>
      </c>
      <c r="AB221" s="40" t="str">
        <f>IF(OR(L221="",V221=0),"",IF(AND(N(I221)&gt;0,N(INDEX('11-تشرين الثاني'!$I$2:$I$501,V221))&gt;0,INDEX('11-تشرين الثاني'!$F$2:$F$501,V221)=F221),N(I221)/N(INDEX('11-تشرين الثاني'!$I$2:$I$501,V221))-1,""))</f>
        <v/>
      </c>
      <c r="AC221" t="str">
        <f t="shared" si="77"/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8"/>
        <v/>
      </c>
      <c r="AH221" s="39" t="str">
        <f t="shared" si="79"/>
        <v/>
      </c>
      <c r="AI221" s="39" t="str">
        <f t="shared" si="80"/>
        <v/>
      </c>
      <c r="AJ221" s="39" t="str">
        <f t="shared" si="81"/>
        <v/>
      </c>
      <c r="AK221" t="str">
        <f t="shared" si="82"/>
        <v/>
      </c>
      <c r="AL221" t="str">
        <f t="shared" si="83"/>
        <v/>
      </c>
    </row>
    <row r="222" spans="11:38" ht="15">
      <c r="K222" t="str">
        <f t="shared" si="63"/>
        <v/>
      </c>
      <c r="L222" t="str">
        <f t="shared" si="64"/>
        <v/>
      </c>
      <c r="M222" s="36" t="str">
        <f t="shared" si="65"/>
        <v/>
      </c>
      <c r="N222" s="37" t="str">
        <f t="shared" si="66"/>
        <v/>
      </c>
      <c r="O222" s="37" t="str">
        <f t="shared" si="67"/>
        <v/>
      </c>
      <c r="P222" s="38" t="str">
        <f t="shared" si="68"/>
        <v/>
      </c>
      <c r="Q222" s="39" t="str">
        <f t="shared" si="69"/>
        <v/>
      </c>
      <c r="R222" s="39" t="str">
        <f t="shared" si="70"/>
        <v/>
      </c>
      <c r="S222" t="str">
        <f t="shared" si="71"/>
        <v/>
      </c>
      <c r="T222" s="39" t="str">
        <f t="shared" si="72"/>
        <v/>
      </c>
      <c r="U222" t="str">
        <f t="shared" si="73"/>
        <v/>
      </c>
      <c r="V222" t="str">
        <f>IF(L222="","",IF($AO$1=1,IFERROR(MATCH(L222,'11-تشرين الثاني'!$L$2:$L$501,0),0),0))</f>
        <v/>
      </c>
      <c r="W222" t="str">
        <f t="shared" si="74"/>
        <v/>
      </c>
      <c r="X222" s="38" t="str">
        <f>IF(L222="","",IF(V222&gt;0,INDEX('11-تشرين الثاني'!$P$2:$P$501,V222),IF($AO$1=1,0,"")))</f>
        <v/>
      </c>
      <c r="Y222" s="38" t="str">
        <f t="shared" si="75"/>
        <v/>
      </c>
      <c r="Z222" s="39" t="str">
        <f>IF(L222="","",IF(V222&gt;0,INDEX('11-تشرين الثاني'!$Q$2:$Q$501,V222),IF($AO$1=1,0,"")))</f>
        <v/>
      </c>
      <c r="AA222" s="39" t="str">
        <f t="shared" si="76"/>
        <v/>
      </c>
      <c r="AB222" s="40" t="str">
        <f>IF(OR(L222="",V222=0),"",IF(AND(N(I222)&gt;0,N(INDEX('11-تشرين الثاني'!$I$2:$I$501,V222))&gt;0,INDEX('11-تشرين الثاني'!$F$2:$F$501,V222)=F222),N(I222)/N(INDEX('11-تشرين الثاني'!$I$2:$I$501,V222))-1,""))</f>
        <v/>
      </c>
      <c r="AC222" t="str">
        <f t="shared" si="77"/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8"/>
        <v/>
      </c>
      <c r="AH222" s="39" t="str">
        <f t="shared" si="79"/>
        <v/>
      </c>
      <c r="AI222" s="39" t="str">
        <f t="shared" si="80"/>
        <v/>
      </c>
      <c r="AJ222" s="39" t="str">
        <f t="shared" si="81"/>
        <v/>
      </c>
      <c r="AK222" t="str">
        <f t="shared" si="82"/>
        <v/>
      </c>
      <c r="AL222" t="str">
        <f t="shared" si="83"/>
        <v/>
      </c>
    </row>
    <row r="223" spans="11:38" ht="15">
      <c r="K223" t="str">
        <f t="shared" si="63"/>
        <v/>
      </c>
      <c r="L223" t="str">
        <f t="shared" si="64"/>
        <v/>
      </c>
      <c r="M223" s="36" t="str">
        <f t="shared" si="65"/>
        <v/>
      </c>
      <c r="N223" s="37" t="str">
        <f t="shared" si="66"/>
        <v/>
      </c>
      <c r="O223" s="37" t="str">
        <f t="shared" si="67"/>
        <v/>
      </c>
      <c r="P223" s="38" t="str">
        <f t="shared" si="68"/>
        <v/>
      </c>
      <c r="Q223" s="39" t="str">
        <f t="shared" si="69"/>
        <v/>
      </c>
      <c r="R223" s="39" t="str">
        <f t="shared" si="70"/>
        <v/>
      </c>
      <c r="S223" t="str">
        <f t="shared" si="71"/>
        <v/>
      </c>
      <c r="T223" s="39" t="str">
        <f t="shared" si="72"/>
        <v/>
      </c>
      <c r="U223" t="str">
        <f t="shared" si="73"/>
        <v/>
      </c>
      <c r="V223" t="str">
        <f>IF(L223="","",IF($AO$1=1,IFERROR(MATCH(L223,'11-تشرين الثاني'!$L$2:$L$501,0),0),0))</f>
        <v/>
      </c>
      <c r="W223" t="str">
        <f t="shared" si="74"/>
        <v/>
      </c>
      <c r="X223" s="38" t="str">
        <f>IF(L223="","",IF(V223&gt;0,INDEX('11-تشرين الثاني'!$P$2:$P$501,V223),IF($AO$1=1,0,"")))</f>
        <v/>
      </c>
      <c r="Y223" s="38" t="str">
        <f t="shared" si="75"/>
        <v/>
      </c>
      <c r="Z223" s="39" t="str">
        <f>IF(L223="","",IF(V223&gt;0,INDEX('11-تشرين الثاني'!$Q$2:$Q$501,V223),IF($AO$1=1,0,"")))</f>
        <v/>
      </c>
      <c r="AA223" s="39" t="str">
        <f t="shared" si="76"/>
        <v/>
      </c>
      <c r="AB223" s="40" t="str">
        <f>IF(OR(L223="",V223=0),"",IF(AND(N(I223)&gt;0,N(INDEX('11-تشرين الثاني'!$I$2:$I$501,V223))&gt;0,INDEX('11-تشرين الثاني'!$F$2:$F$501,V223)=F223),N(I223)/N(INDEX('11-تشرين الثاني'!$I$2:$I$501,V223))-1,""))</f>
        <v/>
      </c>
      <c r="AC223" t="str">
        <f t="shared" si="77"/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8"/>
        <v/>
      </c>
      <c r="AH223" s="39" t="str">
        <f t="shared" si="79"/>
        <v/>
      </c>
      <c r="AI223" s="39" t="str">
        <f t="shared" si="80"/>
        <v/>
      </c>
      <c r="AJ223" s="39" t="str">
        <f t="shared" si="81"/>
        <v/>
      </c>
      <c r="AK223" t="str">
        <f t="shared" si="82"/>
        <v/>
      </c>
      <c r="AL223" t="str">
        <f t="shared" si="83"/>
        <v/>
      </c>
    </row>
    <row r="224" spans="11:38" ht="15">
      <c r="K224" t="str">
        <f t="shared" si="63"/>
        <v/>
      </c>
      <c r="L224" t="str">
        <f t="shared" si="64"/>
        <v/>
      </c>
      <c r="M224" s="36" t="str">
        <f t="shared" si="65"/>
        <v/>
      </c>
      <c r="N224" s="37" t="str">
        <f t="shared" si="66"/>
        <v/>
      </c>
      <c r="O224" s="37" t="str">
        <f t="shared" si="67"/>
        <v/>
      </c>
      <c r="P224" s="38" t="str">
        <f t="shared" si="68"/>
        <v/>
      </c>
      <c r="Q224" s="39" t="str">
        <f t="shared" si="69"/>
        <v/>
      </c>
      <c r="R224" s="39" t="str">
        <f t="shared" si="70"/>
        <v/>
      </c>
      <c r="S224" t="str">
        <f t="shared" si="71"/>
        <v/>
      </c>
      <c r="T224" s="39" t="str">
        <f t="shared" si="72"/>
        <v/>
      </c>
      <c r="U224" t="str">
        <f t="shared" si="73"/>
        <v/>
      </c>
      <c r="V224" t="str">
        <f>IF(L224="","",IF($AO$1=1,IFERROR(MATCH(L224,'11-تشرين الثاني'!$L$2:$L$501,0),0),0))</f>
        <v/>
      </c>
      <c r="W224" t="str">
        <f t="shared" si="74"/>
        <v/>
      </c>
      <c r="X224" s="38" t="str">
        <f>IF(L224="","",IF(V224&gt;0,INDEX('11-تشرين الثاني'!$P$2:$P$501,V224),IF($AO$1=1,0,"")))</f>
        <v/>
      </c>
      <c r="Y224" s="38" t="str">
        <f t="shared" si="75"/>
        <v/>
      </c>
      <c r="Z224" s="39" t="str">
        <f>IF(L224="","",IF(V224&gt;0,INDEX('11-تشرين الثاني'!$Q$2:$Q$501,V224),IF($AO$1=1,0,"")))</f>
        <v/>
      </c>
      <c r="AA224" s="39" t="str">
        <f t="shared" si="76"/>
        <v/>
      </c>
      <c r="AB224" s="40" t="str">
        <f>IF(OR(L224="",V224=0),"",IF(AND(N(I224)&gt;0,N(INDEX('11-تشرين الثاني'!$I$2:$I$501,V224))&gt;0,INDEX('11-تشرين الثاني'!$F$2:$F$501,V224)=F224),N(I224)/N(INDEX('11-تشرين الثاني'!$I$2:$I$501,V224))-1,""))</f>
        <v/>
      </c>
      <c r="AC224" t="str">
        <f t="shared" si="77"/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8"/>
        <v/>
      </c>
      <c r="AH224" s="39" t="str">
        <f t="shared" si="79"/>
        <v/>
      </c>
      <c r="AI224" s="39" t="str">
        <f t="shared" si="80"/>
        <v/>
      </c>
      <c r="AJ224" s="39" t="str">
        <f t="shared" si="81"/>
        <v/>
      </c>
      <c r="AK224" t="str">
        <f t="shared" si="82"/>
        <v/>
      </c>
      <c r="AL224" t="str">
        <f t="shared" si="83"/>
        <v/>
      </c>
    </row>
    <row r="225" spans="11:38" ht="15">
      <c r="K225" t="str">
        <f t="shared" si="63"/>
        <v/>
      </c>
      <c r="L225" t="str">
        <f t="shared" si="64"/>
        <v/>
      </c>
      <c r="M225" s="36" t="str">
        <f t="shared" si="65"/>
        <v/>
      </c>
      <c r="N225" s="37" t="str">
        <f t="shared" si="66"/>
        <v/>
      </c>
      <c r="O225" s="37" t="str">
        <f t="shared" si="67"/>
        <v/>
      </c>
      <c r="P225" s="38" t="str">
        <f t="shared" si="68"/>
        <v/>
      </c>
      <c r="Q225" s="39" t="str">
        <f t="shared" si="69"/>
        <v/>
      </c>
      <c r="R225" s="39" t="str">
        <f t="shared" si="70"/>
        <v/>
      </c>
      <c r="S225" t="str">
        <f t="shared" si="71"/>
        <v/>
      </c>
      <c r="T225" s="39" t="str">
        <f t="shared" si="72"/>
        <v/>
      </c>
      <c r="U225" t="str">
        <f t="shared" si="73"/>
        <v/>
      </c>
      <c r="V225" t="str">
        <f>IF(L225="","",IF($AO$1=1,IFERROR(MATCH(L225,'11-تشرين الثاني'!$L$2:$L$501,0),0),0))</f>
        <v/>
      </c>
      <c r="W225" t="str">
        <f t="shared" si="74"/>
        <v/>
      </c>
      <c r="X225" s="38" t="str">
        <f>IF(L225="","",IF(V225&gt;0,INDEX('11-تشرين الثاني'!$P$2:$P$501,V225),IF($AO$1=1,0,"")))</f>
        <v/>
      </c>
      <c r="Y225" s="38" t="str">
        <f t="shared" si="75"/>
        <v/>
      </c>
      <c r="Z225" s="39" t="str">
        <f>IF(L225="","",IF(V225&gt;0,INDEX('11-تشرين الثاني'!$Q$2:$Q$501,V225),IF($AO$1=1,0,"")))</f>
        <v/>
      </c>
      <c r="AA225" s="39" t="str">
        <f t="shared" si="76"/>
        <v/>
      </c>
      <c r="AB225" s="40" t="str">
        <f>IF(OR(L225="",V225=0),"",IF(AND(N(I225)&gt;0,N(INDEX('11-تشرين الثاني'!$I$2:$I$501,V225))&gt;0,INDEX('11-تشرين الثاني'!$F$2:$F$501,V225)=F225),N(I225)/N(INDEX('11-تشرين الثاني'!$I$2:$I$501,V225))-1,""))</f>
        <v/>
      </c>
      <c r="AC225" t="str">
        <f t="shared" si="77"/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8"/>
        <v/>
      </c>
      <c r="AH225" s="39" t="str">
        <f t="shared" si="79"/>
        <v/>
      </c>
      <c r="AI225" s="39" t="str">
        <f t="shared" si="80"/>
        <v/>
      </c>
      <c r="AJ225" s="39" t="str">
        <f t="shared" si="81"/>
        <v/>
      </c>
      <c r="AK225" t="str">
        <f t="shared" si="82"/>
        <v/>
      </c>
      <c r="AL225" t="str">
        <f t="shared" si="83"/>
        <v/>
      </c>
    </row>
    <row r="226" spans="11:38" ht="15">
      <c r="K226" t="str">
        <f t="shared" si="63"/>
        <v/>
      </c>
      <c r="L226" t="str">
        <f t="shared" si="64"/>
        <v/>
      </c>
      <c r="M226" s="36" t="str">
        <f t="shared" si="65"/>
        <v/>
      </c>
      <c r="N226" s="37" t="str">
        <f t="shared" si="66"/>
        <v/>
      </c>
      <c r="O226" s="37" t="str">
        <f t="shared" si="67"/>
        <v/>
      </c>
      <c r="P226" s="38" t="str">
        <f t="shared" si="68"/>
        <v/>
      </c>
      <c r="Q226" s="39" t="str">
        <f t="shared" si="69"/>
        <v/>
      </c>
      <c r="R226" s="39" t="str">
        <f t="shared" si="70"/>
        <v/>
      </c>
      <c r="S226" t="str">
        <f t="shared" si="71"/>
        <v/>
      </c>
      <c r="T226" s="39" t="str">
        <f t="shared" si="72"/>
        <v/>
      </c>
      <c r="U226" t="str">
        <f t="shared" si="73"/>
        <v/>
      </c>
      <c r="V226" t="str">
        <f>IF(L226="","",IF($AO$1=1,IFERROR(MATCH(L226,'11-تشرين الثاني'!$L$2:$L$501,0),0),0))</f>
        <v/>
      </c>
      <c r="W226" t="str">
        <f t="shared" si="74"/>
        <v/>
      </c>
      <c r="X226" s="38" t="str">
        <f>IF(L226="","",IF(V226&gt;0,INDEX('11-تشرين الثاني'!$P$2:$P$501,V226),IF($AO$1=1,0,"")))</f>
        <v/>
      </c>
      <c r="Y226" s="38" t="str">
        <f t="shared" si="75"/>
        <v/>
      </c>
      <c r="Z226" s="39" t="str">
        <f>IF(L226="","",IF(V226&gt;0,INDEX('11-تشرين الثاني'!$Q$2:$Q$501,V226),IF($AO$1=1,0,"")))</f>
        <v/>
      </c>
      <c r="AA226" s="39" t="str">
        <f t="shared" si="76"/>
        <v/>
      </c>
      <c r="AB226" s="40" t="str">
        <f>IF(OR(L226="",V226=0),"",IF(AND(N(I226)&gt;0,N(INDEX('11-تشرين الثاني'!$I$2:$I$501,V226))&gt;0,INDEX('11-تشرين الثاني'!$F$2:$F$501,V226)=F226),N(I226)/N(INDEX('11-تشرين الثاني'!$I$2:$I$501,V226))-1,""))</f>
        <v/>
      </c>
      <c r="AC226" t="str">
        <f t="shared" si="77"/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8"/>
        <v/>
      </c>
      <c r="AH226" s="39" t="str">
        <f t="shared" si="79"/>
        <v/>
      </c>
      <c r="AI226" s="39" t="str">
        <f t="shared" si="80"/>
        <v/>
      </c>
      <c r="AJ226" s="39" t="str">
        <f t="shared" si="81"/>
        <v/>
      </c>
      <c r="AK226" t="str">
        <f t="shared" si="82"/>
        <v/>
      </c>
      <c r="AL226" t="str">
        <f t="shared" si="83"/>
        <v/>
      </c>
    </row>
    <row r="227" spans="11:38" ht="15">
      <c r="K227" t="str">
        <f t="shared" si="63"/>
        <v/>
      </c>
      <c r="L227" t="str">
        <f t="shared" si="64"/>
        <v/>
      </c>
      <c r="M227" s="36" t="str">
        <f t="shared" si="65"/>
        <v/>
      </c>
      <c r="N227" s="37" t="str">
        <f t="shared" si="66"/>
        <v/>
      </c>
      <c r="O227" s="37" t="str">
        <f t="shared" si="67"/>
        <v/>
      </c>
      <c r="P227" s="38" t="str">
        <f t="shared" si="68"/>
        <v/>
      </c>
      <c r="Q227" s="39" t="str">
        <f t="shared" si="69"/>
        <v/>
      </c>
      <c r="R227" s="39" t="str">
        <f t="shared" si="70"/>
        <v/>
      </c>
      <c r="S227" t="str">
        <f t="shared" si="71"/>
        <v/>
      </c>
      <c r="T227" s="39" t="str">
        <f t="shared" si="72"/>
        <v/>
      </c>
      <c r="U227" t="str">
        <f t="shared" si="73"/>
        <v/>
      </c>
      <c r="V227" t="str">
        <f>IF(L227="","",IF($AO$1=1,IFERROR(MATCH(L227,'11-تشرين الثاني'!$L$2:$L$501,0),0),0))</f>
        <v/>
      </c>
      <c r="W227" t="str">
        <f t="shared" si="74"/>
        <v/>
      </c>
      <c r="X227" s="38" t="str">
        <f>IF(L227="","",IF(V227&gt;0,INDEX('11-تشرين الثاني'!$P$2:$P$501,V227),IF($AO$1=1,0,"")))</f>
        <v/>
      </c>
      <c r="Y227" s="38" t="str">
        <f t="shared" si="75"/>
        <v/>
      </c>
      <c r="Z227" s="39" t="str">
        <f>IF(L227="","",IF(V227&gt;0,INDEX('11-تشرين الثاني'!$Q$2:$Q$501,V227),IF($AO$1=1,0,"")))</f>
        <v/>
      </c>
      <c r="AA227" s="39" t="str">
        <f t="shared" si="76"/>
        <v/>
      </c>
      <c r="AB227" s="40" t="str">
        <f>IF(OR(L227="",V227=0),"",IF(AND(N(I227)&gt;0,N(INDEX('11-تشرين الثاني'!$I$2:$I$501,V227))&gt;0,INDEX('11-تشرين الثاني'!$F$2:$F$501,V227)=F227),N(I227)/N(INDEX('11-تشرين الثاني'!$I$2:$I$501,V227))-1,""))</f>
        <v/>
      </c>
      <c r="AC227" t="str">
        <f t="shared" si="77"/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8"/>
        <v/>
      </c>
      <c r="AH227" s="39" t="str">
        <f t="shared" si="79"/>
        <v/>
      </c>
      <c r="AI227" s="39" t="str">
        <f t="shared" si="80"/>
        <v/>
      </c>
      <c r="AJ227" s="39" t="str">
        <f t="shared" si="81"/>
        <v/>
      </c>
      <c r="AK227" t="str">
        <f t="shared" si="82"/>
        <v/>
      </c>
      <c r="AL227" t="str">
        <f t="shared" si="83"/>
        <v/>
      </c>
    </row>
    <row r="228" spans="11:38" ht="15">
      <c r="K228" t="str">
        <f t="shared" si="63"/>
        <v/>
      </c>
      <c r="L228" t="str">
        <f t="shared" si="64"/>
        <v/>
      </c>
      <c r="M228" s="36" t="str">
        <f t="shared" si="65"/>
        <v/>
      </c>
      <c r="N228" s="37" t="str">
        <f t="shared" si="66"/>
        <v/>
      </c>
      <c r="O228" s="37" t="str">
        <f t="shared" si="67"/>
        <v/>
      </c>
      <c r="P228" s="38" t="str">
        <f t="shared" si="68"/>
        <v/>
      </c>
      <c r="Q228" s="39" t="str">
        <f t="shared" si="69"/>
        <v/>
      </c>
      <c r="R228" s="39" t="str">
        <f t="shared" si="70"/>
        <v/>
      </c>
      <c r="S228" t="str">
        <f t="shared" si="71"/>
        <v/>
      </c>
      <c r="T228" s="39" t="str">
        <f t="shared" si="72"/>
        <v/>
      </c>
      <c r="U228" t="str">
        <f t="shared" si="73"/>
        <v/>
      </c>
      <c r="V228" t="str">
        <f>IF(L228="","",IF($AO$1=1,IFERROR(MATCH(L228,'11-تشرين الثاني'!$L$2:$L$501,0),0),0))</f>
        <v/>
      </c>
      <c r="W228" t="str">
        <f t="shared" si="74"/>
        <v/>
      </c>
      <c r="X228" s="38" t="str">
        <f>IF(L228="","",IF(V228&gt;0,INDEX('11-تشرين الثاني'!$P$2:$P$501,V228),IF($AO$1=1,0,"")))</f>
        <v/>
      </c>
      <c r="Y228" s="38" t="str">
        <f t="shared" si="75"/>
        <v/>
      </c>
      <c r="Z228" s="39" t="str">
        <f>IF(L228="","",IF(V228&gt;0,INDEX('11-تشرين الثاني'!$Q$2:$Q$501,V228),IF($AO$1=1,0,"")))</f>
        <v/>
      </c>
      <c r="AA228" s="39" t="str">
        <f t="shared" si="76"/>
        <v/>
      </c>
      <c r="AB228" s="40" t="str">
        <f>IF(OR(L228="",V228=0),"",IF(AND(N(I228)&gt;0,N(INDEX('11-تشرين الثاني'!$I$2:$I$501,V228))&gt;0,INDEX('11-تشرين الثاني'!$F$2:$F$501,V228)=F228),N(I228)/N(INDEX('11-تشرين الثاني'!$I$2:$I$501,V228))-1,""))</f>
        <v/>
      </c>
      <c r="AC228" t="str">
        <f t="shared" si="77"/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8"/>
        <v/>
      </c>
      <c r="AH228" s="39" t="str">
        <f t="shared" si="79"/>
        <v/>
      </c>
      <c r="AI228" s="39" t="str">
        <f t="shared" si="80"/>
        <v/>
      </c>
      <c r="AJ228" s="39" t="str">
        <f t="shared" si="81"/>
        <v/>
      </c>
      <c r="AK228" t="str">
        <f t="shared" si="82"/>
        <v/>
      </c>
      <c r="AL228" t="str">
        <f t="shared" si="83"/>
        <v/>
      </c>
    </row>
    <row r="229" spans="11:38" ht="15">
      <c r="K229" t="str">
        <f t="shared" si="63"/>
        <v/>
      </c>
      <c r="L229" t="str">
        <f t="shared" si="64"/>
        <v/>
      </c>
      <c r="M229" s="36" t="str">
        <f t="shared" si="65"/>
        <v/>
      </c>
      <c r="N229" s="37" t="str">
        <f t="shared" si="66"/>
        <v/>
      </c>
      <c r="O229" s="37" t="str">
        <f t="shared" si="67"/>
        <v/>
      </c>
      <c r="P229" s="38" t="str">
        <f t="shared" si="68"/>
        <v/>
      </c>
      <c r="Q229" s="39" t="str">
        <f t="shared" si="69"/>
        <v/>
      </c>
      <c r="R229" s="39" t="str">
        <f t="shared" si="70"/>
        <v/>
      </c>
      <c r="S229" t="str">
        <f t="shared" si="71"/>
        <v/>
      </c>
      <c r="T229" s="39" t="str">
        <f t="shared" si="72"/>
        <v/>
      </c>
      <c r="U229" t="str">
        <f t="shared" si="73"/>
        <v/>
      </c>
      <c r="V229" t="str">
        <f>IF(L229="","",IF($AO$1=1,IFERROR(MATCH(L229,'11-تشرين الثاني'!$L$2:$L$501,0),0),0))</f>
        <v/>
      </c>
      <c r="W229" t="str">
        <f t="shared" si="74"/>
        <v/>
      </c>
      <c r="X229" s="38" t="str">
        <f>IF(L229="","",IF(V229&gt;0,INDEX('11-تشرين الثاني'!$P$2:$P$501,V229),IF($AO$1=1,0,"")))</f>
        <v/>
      </c>
      <c r="Y229" s="38" t="str">
        <f t="shared" si="75"/>
        <v/>
      </c>
      <c r="Z229" s="39" t="str">
        <f>IF(L229="","",IF(V229&gt;0,INDEX('11-تشرين الثاني'!$Q$2:$Q$501,V229),IF($AO$1=1,0,"")))</f>
        <v/>
      </c>
      <c r="AA229" s="39" t="str">
        <f t="shared" si="76"/>
        <v/>
      </c>
      <c r="AB229" s="40" t="str">
        <f>IF(OR(L229="",V229=0),"",IF(AND(N(I229)&gt;0,N(INDEX('11-تشرين الثاني'!$I$2:$I$501,V229))&gt;0,INDEX('11-تشرين الثاني'!$F$2:$F$501,V229)=F229),N(I229)/N(INDEX('11-تشرين الثاني'!$I$2:$I$501,V229))-1,""))</f>
        <v/>
      </c>
      <c r="AC229" t="str">
        <f t="shared" si="77"/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8"/>
        <v/>
      </c>
      <c r="AH229" s="39" t="str">
        <f t="shared" si="79"/>
        <v/>
      </c>
      <c r="AI229" s="39" t="str">
        <f t="shared" si="80"/>
        <v/>
      </c>
      <c r="AJ229" s="39" t="str">
        <f t="shared" si="81"/>
        <v/>
      </c>
      <c r="AK229" t="str">
        <f t="shared" si="82"/>
        <v/>
      </c>
      <c r="AL229" t="str">
        <f t="shared" si="83"/>
        <v/>
      </c>
    </row>
    <row r="230" spans="11:38" ht="15">
      <c r="K230" t="str">
        <f t="shared" si="63"/>
        <v/>
      </c>
      <c r="L230" t="str">
        <f t="shared" si="64"/>
        <v/>
      </c>
      <c r="M230" s="36" t="str">
        <f t="shared" si="65"/>
        <v/>
      </c>
      <c r="N230" s="37" t="str">
        <f t="shared" si="66"/>
        <v/>
      </c>
      <c r="O230" s="37" t="str">
        <f t="shared" si="67"/>
        <v/>
      </c>
      <c r="P230" s="38" t="str">
        <f t="shared" si="68"/>
        <v/>
      </c>
      <c r="Q230" s="39" t="str">
        <f t="shared" si="69"/>
        <v/>
      </c>
      <c r="R230" s="39" t="str">
        <f t="shared" si="70"/>
        <v/>
      </c>
      <c r="S230" t="str">
        <f t="shared" si="71"/>
        <v/>
      </c>
      <c r="T230" s="39" t="str">
        <f t="shared" si="72"/>
        <v/>
      </c>
      <c r="U230" t="str">
        <f t="shared" si="73"/>
        <v/>
      </c>
      <c r="V230" t="str">
        <f>IF(L230="","",IF($AO$1=1,IFERROR(MATCH(L230,'11-تشرين الثاني'!$L$2:$L$501,0),0),0))</f>
        <v/>
      </c>
      <c r="W230" t="str">
        <f t="shared" si="74"/>
        <v/>
      </c>
      <c r="X230" s="38" t="str">
        <f>IF(L230="","",IF(V230&gt;0,INDEX('11-تشرين الثاني'!$P$2:$P$501,V230),IF($AO$1=1,0,"")))</f>
        <v/>
      </c>
      <c r="Y230" s="38" t="str">
        <f t="shared" si="75"/>
        <v/>
      </c>
      <c r="Z230" s="39" t="str">
        <f>IF(L230="","",IF(V230&gt;0,INDEX('11-تشرين الثاني'!$Q$2:$Q$501,V230),IF($AO$1=1,0,"")))</f>
        <v/>
      </c>
      <c r="AA230" s="39" t="str">
        <f t="shared" si="76"/>
        <v/>
      </c>
      <c r="AB230" s="40" t="str">
        <f>IF(OR(L230="",V230=0),"",IF(AND(N(I230)&gt;0,N(INDEX('11-تشرين الثاني'!$I$2:$I$501,V230))&gt;0,INDEX('11-تشرين الثاني'!$F$2:$F$501,V230)=F230),N(I230)/N(INDEX('11-تشرين الثاني'!$I$2:$I$501,V230))-1,""))</f>
        <v/>
      </c>
      <c r="AC230" t="str">
        <f t="shared" si="77"/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8"/>
        <v/>
      </c>
      <c r="AH230" s="39" t="str">
        <f t="shared" si="79"/>
        <v/>
      </c>
      <c r="AI230" s="39" t="str">
        <f t="shared" si="80"/>
        <v/>
      </c>
      <c r="AJ230" s="39" t="str">
        <f t="shared" si="81"/>
        <v/>
      </c>
      <c r="AK230" t="str">
        <f t="shared" si="82"/>
        <v/>
      </c>
      <c r="AL230" t="str">
        <f t="shared" si="83"/>
        <v/>
      </c>
    </row>
    <row r="231" spans="11:38" ht="15">
      <c r="K231" t="str">
        <f t="shared" si="63"/>
        <v/>
      </c>
      <c r="L231" t="str">
        <f t="shared" si="64"/>
        <v/>
      </c>
      <c r="M231" s="36" t="str">
        <f t="shared" si="65"/>
        <v/>
      </c>
      <c r="N231" s="37" t="str">
        <f t="shared" si="66"/>
        <v/>
      </c>
      <c r="O231" s="37" t="str">
        <f t="shared" si="67"/>
        <v/>
      </c>
      <c r="P231" s="38" t="str">
        <f t="shared" si="68"/>
        <v/>
      </c>
      <c r="Q231" s="39" t="str">
        <f t="shared" si="69"/>
        <v/>
      </c>
      <c r="R231" s="39" t="str">
        <f t="shared" si="70"/>
        <v/>
      </c>
      <c r="S231" t="str">
        <f t="shared" si="71"/>
        <v/>
      </c>
      <c r="T231" s="39" t="str">
        <f t="shared" si="72"/>
        <v/>
      </c>
      <c r="U231" t="str">
        <f t="shared" si="73"/>
        <v/>
      </c>
      <c r="V231" t="str">
        <f>IF(L231="","",IF($AO$1=1,IFERROR(MATCH(L231,'11-تشرين الثاني'!$L$2:$L$501,0),0),0))</f>
        <v/>
      </c>
      <c r="W231" t="str">
        <f t="shared" si="74"/>
        <v/>
      </c>
      <c r="X231" s="38" t="str">
        <f>IF(L231="","",IF(V231&gt;0,INDEX('11-تشرين الثاني'!$P$2:$P$501,V231),IF($AO$1=1,0,"")))</f>
        <v/>
      </c>
      <c r="Y231" s="38" t="str">
        <f t="shared" si="75"/>
        <v/>
      </c>
      <c r="Z231" s="39" t="str">
        <f>IF(L231="","",IF(V231&gt;0,INDEX('11-تشرين الثاني'!$Q$2:$Q$501,V231),IF($AO$1=1,0,"")))</f>
        <v/>
      </c>
      <c r="AA231" s="39" t="str">
        <f t="shared" si="76"/>
        <v/>
      </c>
      <c r="AB231" s="40" t="str">
        <f>IF(OR(L231="",V231=0),"",IF(AND(N(I231)&gt;0,N(INDEX('11-تشرين الثاني'!$I$2:$I$501,V231))&gt;0,INDEX('11-تشرين الثاني'!$F$2:$F$501,V231)=F231),N(I231)/N(INDEX('11-تشرين الثاني'!$I$2:$I$501,V231))-1,""))</f>
        <v/>
      </c>
      <c r="AC231" t="str">
        <f t="shared" si="77"/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8"/>
        <v/>
      </c>
      <c r="AH231" s="39" t="str">
        <f t="shared" si="79"/>
        <v/>
      </c>
      <c r="AI231" s="39" t="str">
        <f t="shared" si="80"/>
        <v/>
      </c>
      <c r="AJ231" s="39" t="str">
        <f t="shared" si="81"/>
        <v/>
      </c>
      <c r="AK231" t="str">
        <f t="shared" si="82"/>
        <v/>
      </c>
      <c r="AL231" t="str">
        <f t="shared" si="83"/>
        <v/>
      </c>
    </row>
    <row r="232" spans="11:38" ht="15">
      <c r="K232" t="str">
        <f t="shared" si="63"/>
        <v/>
      </c>
      <c r="L232" t="str">
        <f t="shared" si="64"/>
        <v/>
      </c>
      <c r="M232" s="36" t="str">
        <f t="shared" si="65"/>
        <v/>
      </c>
      <c r="N232" s="37" t="str">
        <f t="shared" si="66"/>
        <v/>
      </c>
      <c r="O232" s="37" t="str">
        <f t="shared" si="67"/>
        <v/>
      </c>
      <c r="P232" s="38" t="str">
        <f t="shared" si="68"/>
        <v/>
      </c>
      <c r="Q232" s="39" t="str">
        <f t="shared" si="69"/>
        <v/>
      </c>
      <c r="R232" s="39" t="str">
        <f t="shared" si="70"/>
        <v/>
      </c>
      <c r="S232" t="str">
        <f t="shared" si="71"/>
        <v/>
      </c>
      <c r="T232" s="39" t="str">
        <f t="shared" si="72"/>
        <v/>
      </c>
      <c r="U232" t="str">
        <f t="shared" si="73"/>
        <v/>
      </c>
      <c r="V232" t="str">
        <f>IF(L232="","",IF($AO$1=1,IFERROR(MATCH(L232,'11-تشرين الثاني'!$L$2:$L$501,0),0),0))</f>
        <v/>
      </c>
      <c r="W232" t="str">
        <f t="shared" si="74"/>
        <v/>
      </c>
      <c r="X232" s="38" t="str">
        <f>IF(L232="","",IF(V232&gt;0,INDEX('11-تشرين الثاني'!$P$2:$P$501,V232),IF($AO$1=1,0,"")))</f>
        <v/>
      </c>
      <c r="Y232" s="38" t="str">
        <f t="shared" si="75"/>
        <v/>
      </c>
      <c r="Z232" s="39" t="str">
        <f>IF(L232="","",IF(V232&gt;0,INDEX('11-تشرين الثاني'!$Q$2:$Q$501,V232),IF($AO$1=1,0,"")))</f>
        <v/>
      </c>
      <c r="AA232" s="39" t="str">
        <f t="shared" si="76"/>
        <v/>
      </c>
      <c r="AB232" s="40" t="str">
        <f>IF(OR(L232="",V232=0),"",IF(AND(N(I232)&gt;0,N(INDEX('11-تشرين الثاني'!$I$2:$I$501,V232))&gt;0,INDEX('11-تشرين الثاني'!$F$2:$F$501,V232)=F232),N(I232)/N(INDEX('11-تشرين الثاني'!$I$2:$I$501,V232))-1,""))</f>
        <v/>
      </c>
      <c r="AC232" t="str">
        <f t="shared" si="77"/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8"/>
        <v/>
      </c>
      <c r="AH232" s="39" t="str">
        <f t="shared" si="79"/>
        <v/>
      </c>
      <c r="AI232" s="39" t="str">
        <f t="shared" si="80"/>
        <v/>
      </c>
      <c r="AJ232" s="39" t="str">
        <f t="shared" si="81"/>
        <v/>
      </c>
      <c r="AK232" t="str">
        <f t="shared" si="82"/>
        <v/>
      </c>
      <c r="AL232" t="str">
        <f t="shared" si="83"/>
        <v/>
      </c>
    </row>
    <row r="233" spans="11:38" ht="15">
      <c r="K233" t="str">
        <f t="shared" si="63"/>
        <v/>
      </c>
      <c r="L233" t="str">
        <f t="shared" si="64"/>
        <v/>
      </c>
      <c r="M233" s="36" t="str">
        <f t="shared" si="65"/>
        <v/>
      </c>
      <c r="N233" s="37" t="str">
        <f t="shared" si="66"/>
        <v/>
      </c>
      <c r="O233" s="37" t="str">
        <f t="shared" si="67"/>
        <v/>
      </c>
      <c r="P233" s="38" t="str">
        <f t="shared" si="68"/>
        <v/>
      </c>
      <c r="Q233" s="39" t="str">
        <f t="shared" si="69"/>
        <v/>
      </c>
      <c r="R233" s="39" t="str">
        <f t="shared" si="70"/>
        <v/>
      </c>
      <c r="S233" t="str">
        <f t="shared" si="71"/>
        <v/>
      </c>
      <c r="T233" s="39" t="str">
        <f t="shared" si="72"/>
        <v/>
      </c>
      <c r="U233" t="str">
        <f t="shared" si="73"/>
        <v/>
      </c>
      <c r="V233" t="str">
        <f>IF(L233="","",IF($AO$1=1,IFERROR(MATCH(L233,'11-تشرين الثاني'!$L$2:$L$501,0),0),0))</f>
        <v/>
      </c>
      <c r="W233" t="str">
        <f t="shared" si="74"/>
        <v/>
      </c>
      <c r="X233" s="38" t="str">
        <f>IF(L233="","",IF(V233&gt;0,INDEX('11-تشرين الثاني'!$P$2:$P$501,V233),IF($AO$1=1,0,"")))</f>
        <v/>
      </c>
      <c r="Y233" s="38" t="str">
        <f t="shared" si="75"/>
        <v/>
      </c>
      <c r="Z233" s="39" t="str">
        <f>IF(L233="","",IF(V233&gt;0,INDEX('11-تشرين الثاني'!$Q$2:$Q$501,V233),IF($AO$1=1,0,"")))</f>
        <v/>
      </c>
      <c r="AA233" s="39" t="str">
        <f t="shared" si="76"/>
        <v/>
      </c>
      <c r="AB233" s="40" t="str">
        <f>IF(OR(L233="",V233=0),"",IF(AND(N(I233)&gt;0,N(INDEX('11-تشرين الثاني'!$I$2:$I$501,V233))&gt;0,INDEX('11-تشرين الثاني'!$F$2:$F$501,V233)=F233),N(I233)/N(INDEX('11-تشرين الثاني'!$I$2:$I$501,V233))-1,""))</f>
        <v/>
      </c>
      <c r="AC233" t="str">
        <f t="shared" si="77"/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8"/>
        <v/>
      </c>
      <c r="AH233" s="39" t="str">
        <f t="shared" si="79"/>
        <v/>
      </c>
      <c r="AI233" s="39" t="str">
        <f t="shared" si="80"/>
        <v/>
      </c>
      <c r="AJ233" s="39" t="str">
        <f t="shared" si="81"/>
        <v/>
      </c>
      <c r="AK233" t="str">
        <f t="shared" si="82"/>
        <v/>
      </c>
      <c r="AL233" t="str">
        <f t="shared" si="83"/>
        <v/>
      </c>
    </row>
    <row r="234" spans="11:38" ht="15">
      <c r="K234" t="str">
        <f t="shared" si="63"/>
        <v/>
      </c>
      <c r="L234" t="str">
        <f t="shared" si="64"/>
        <v/>
      </c>
      <c r="M234" s="36" t="str">
        <f t="shared" si="65"/>
        <v/>
      </c>
      <c r="N234" s="37" t="str">
        <f t="shared" si="66"/>
        <v/>
      </c>
      <c r="O234" s="37" t="str">
        <f t="shared" si="67"/>
        <v/>
      </c>
      <c r="P234" s="38" t="str">
        <f t="shared" si="68"/>
        <v/>
      </c>
      <c r="Q234" s="39" t="str">
        <f t="shared" si="69"/>
        <v/>
      </c>
      <c r="R234" s="39" t="str">
        <f t="shared" si="70"/>
        <v/>
      </c>
      <c r="S234" t="str">
        <f t="shared" si="71"/>
        <v/>
      </c>
      <c r="T234" s="39" t="str">
        <f t="shared" si="72"/>
        <v/>
      </c>
      <c r="U234" t="str">
        <f t="shared" si="73"/>
        <v/>
      </c>
      <c r="V234" t="str">
        <f>IF(L234="","",IF($AO$1=1,IFERROR(MATCH(L234,'11-تشرين الثاني'!$L$2:$L$501,0),0),0))</f>
        <v/>
      </c>
      <c r="W234" t="str">
        <f t="shared" si="74"/>
        <v/>
      </c>
      <c r="X234" s="38" t="str">
        <f>IF(L234="","",IF(V234&gt;0,INDEX('11-تشرين الثاني'!$P$2:$P$501,V234),IF($AO$1=1,0,"")))</f>
        <v/>
      </c>
      <c r="Y234" s="38" t="str">
        <f t="shared" si="75"/>
        <v/>
      </c>
      <c r="Z234" s="39" t="str">
        <f>IF(L234="","",IF(V234&gt;0,INDEX('11-تشرين الثاني'!$Q$2:$Q$501,V234),IF($AO$1=1,0,"")))</f>
        <v/>
      </c>
      <c r="AA234" s="39" t="str">
        <f t="shared" si="76"/>
        <v/>
      </c>
      <c r="AB234" s="40" t="str">
        <f>IF(OR(L234="",V234=0),"",IF(AND(N(I234)&gt;0,N(INDEX('11-تشرين الثاني'!$I$2:$I$501,V234))&gt;0,INDEX('11-تشرين الثاني'!$F$2:$F$501,V234)=F234),N(I234)/N(INDEX('11-تشرين الثاني'!$I$2:$I$501,V234))-1,""))</f>
        <v/>
      </c>
      <c r="AC234" t="str">
        <f t="shared" si="77"/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8"/>
        <v/>
      </c>
      <c r="AH234" s="39" t="str">
        <f t="shared" si="79"/>
        <v/>
      </c>
      <c r="AI234" s="39" t="str">
        <f t="shared" si="80"/>
        <v/>
      </c>
      <c r="AJ234" s="39" t="str">
        <f t="shared" si="81"/>
        <v/>
      </c>
      <c r="AK234" t="str">
        <f t="shared" si="82"/>
        <v/>
      </c>
      <c r="AL234" t="str">
        <f t="shared" si="83"/>
        <v/>
      </c>
    </row>
    <row r="235" spans="11:38" ht="15">
      <c r="K235" t="str">
        <f t="shared" si="63"/>
        <v/>
      </c>
      <c r="L235" t="str">
        <f t="shared" si="64"/>
        <v/>
      </c>
      <c r="M235" s="36" t="str">
        <f t="shared" si="65"/>
        <v/>
      </c>
      <c r="N235" s="37" t="str">
        <f t="shared" si="66"/>
        <v/>
      </c>
      <c r="O235" s="37" t="str">
        <f t="shared" si="67"/>
        <v/>
      </c>
      <c r="P235" s="38" t="str">
        <f t="shared" si="68"/>
        <v/>
      </c>
      <c r="Q235" s="39" t="str">
        <f t="shared" si="69"/>
        <v/>
      </c>
      <c r="R235" s="39" t="str">
        <f t="shared" si="70"/>
        <v/>
      </c>
      <c r="S235" t="str">
        <f t="shared" si="71"/>
        <v/>
      </c>
      <c r="T235" s="39" t="str">
        <f t="shared" si="72"/>
        <v/>
      </c>
      <c r="U235" t="str">
        <f t="shared" si="73"/>
        <v/>
      </c>
      <c r="V235" t="str">
        <f>IF(L235="","",IF($AO$1=1,IFERROR(MATCH(L235,'11-تشرين الثاني'!$L$2:$L$501,0),0),0))</f>
        <v/>
      </c>
      <c r="W235" t="str">
        <f t="shared" si="74"/>
        <v/>
      </c>
      <c r="X235" s="38" t="str">
        <f>IF(L235="","",IF(V235&gt;0,INDEX('11-تشرين الثاني'!$P$2:$P$501,V235),IF($AO$1=1,0,"")))</f>
        <v/>
      </c>
      <c r="Y235" s="38" t="str">
        <f t="shared" si="75"/>
        <v/>
      </c>
      <c r="Z235" s="39" t="str">
        <f>IF(L235="","",IF(V235&gt;0,INDEX('11-تشرين الثاني'!$Q$2:$Q$501,V235),IF($AO$1=1,0,"")))</f>
        <v/>
      </c>
      <c r="AA235" s="39" t="str">
        <f t="shared" si="76"/>
        <v/>
      </c>
      <c r="AB235" s="40" t="str">
        <f>IF(OR(L235="",V235=0),"",IF(AND(N(I235)&gt;0,N(INDEX('11-تشرين الثاني'!$I$2:$I$501,V235))&gt;0,INDEX('11-تشرين الثاني'!$F$2:$F$501,V235)=F235),N(I235)/N(INDEX('11-تشرين الثاني'!$I$2:$I$501,V235))-1,""))</f>
        <v/>
      </c>
      <c r="AC235" t="str">
        <f t="shared" si="77"/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8"/>
        <v/>
      </c>
      <c r="AH235" s="39" t="str">
        <f t="shared" si="79"/>
        <v/>
      </c>
      <c r="AI235" s="39" t="str">
        <f t="shared" si="80"/>
        <v/>
      </c>
      <c r="AJ235" s="39" t="str">
        <f t="shared" si="81"/>
        <v/>
      </c>
      <c r="AK235" t="str">
        <f t="shared" si="82"/>
        <v/>
      </c>
      <c r="AL235" t="str">
        <f t="shared" si="83"/>
        <v/>
      </c>
    </row>
    <row r="236" spans="11:38" ht="15">
      <c r="K236" t="str">
        <f t="shared" si="63"/>
        <v/>
      </c>
      <c r="L236" t="str">
        <f t="shared" si="64"/>
        <v/>
      </c>
      <c r="M236" s="36" t="str">
        <f t="shared" si="65"/>
        <v/>
      </c>
      <c r="N236" s="37" t="str">
        <f t="shared" si="66"/>
        <v/>
      </c>
      <c r="O236" s="37" t="str">
        <f t="shared" si="67"/>
        <v/>
      </c>
      <c r="P236" s="38" t="str">
        <f t="shared" si="68"/>
        <v/>
      </c>
      <c r="Q236" s="39" t="str">
        <f t="shared" si="69"/>
        <v/>
      </c>
      <c r="R236" s="39" t="str">
        <f t="shared" si="70"/>
        <v/>
      </c>
      <c r="S236" t="str">
        <f t="shared" si="71"/>
        <v/>
      </c>
      <c r="T236" s="39" t="str">
        <f t="shared" si="72"/>
        <v/>
      </c>
      <c r="U236" t="str">
        <f t="shared" si="73"/>
        <v/>
      </c>
      <c r="V236" t="str">
        <f>IF(L236="","",IF($AO$1=1,IFERROR(MATCH(L236,'11-تشرين الثاني'!$L$2:$L$501,0),0),0))</f>
        <v/>
      </c>
      <c r="W236" t="str">
        <f t="shared" si="74"/>
        <v/>
      </c>
      <c r="X236" s="38" t="str">
        <f>IF(L236="","",IF(V236&gt;0,INDEX('11-تشرين الثاني'!$P$2:$P$501,V236),IF($AO$1=1,0,"")))</f>
        <v/>
      </c>
      <c r="Y236" s="38" t="str">
        <f t="shared" si="75"/>
        <v/>
      </c>
      <c r="Z236" s="39" t="str">
        <f>IF(L236="","",IF(V236&gt;0,INDEX('11-تشرين الثاني'!$Q$2:$Q$501,V236),IF($AO$1=1,0,"")))</f>
        <v/>
      </c>
      <c r="AA236" s="39" t="str">
        <f t="shared" si="76"/>
        <v/>
      </c>
      <c r="AB236" s="40" t="str">
        <f>IF(OR(L236="",V236=0),"",IF(AND(N(I236)&gt;0,N(INDEX('11-تشرين الثاني'!$I$2:$I$501,V236))&gt;0,INDEX('11-تشرين الثاني'!$F$2:$F$501,V236)=F236),N(I236)/N(INDEX('11-تشرين الثاني'!$I$2:$I$501,V236))-1,""))</f>
        <v/>
      </c>
      <c r="AC236" t="str">
        <f t="shared" si="77"/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8"/>
        <v/>
      </c>
      <c r="AH236" s="39" t="str">
        <f t="shared" si="79"/>
        <v/>
      </c>
      <c r="AI236" s="39" t="str">
        <f t="shared" si="80"/>
        <v/>
      </c>
      <c r="AJ236" s="39" t="str">
        <f t="shared" si="81"/>
        <v/>
      </c>
      <c r="AK236" t="str">
        <f t="shared" si="82"/>
        <v/>
      </c>
      <c r="AL236" t="str">
        <f t="shared" si="83"/>
        <v/>
      </c>
    </row>
    <row r="237" spans="11:38" ht="15">
      <c r="K237" t="str">
        <f t="shared" si="63"/>
        <v/>
      </c>
      <c r="L237" t="str">
        <f t="shared" si="64"/>
        <v/>
      </c>
      <c r="M237" s="36" t="str">
        <f t="shared" si="65"/>
        <v/>
      </c>
      <c r="N237" s="37" t="str">
        <f t="shared" si="66"/>
        <v/>
      </c>
      <c r="O237" s="37" t="str">
        <f t="shared" si="67"/>
        <v/>
      </c>
      <c r="P237" s="38" t="str">
        <f t="shared" si="68"/>
        <v/>
      </c>
      <c r="Q237" s="39" t="str">
        <f t="shared" si="69"/>
        <v/>
      </c>
      <c r="R237" s="39" t="str">
        <f t="shared" si="70"/>
        <v/>
      </c>
      <c r="S237" t="str">
        <f t="shared" si="71"/>
        <v/>
      </c>
      <c r="T237" s="39" t="str">
        <f t="shared" si="72"/>
        <v/>
      </c>
      <c r="U237" t="str">
        <f t="shared" si="73"/>
        <v/>
      </c>
      <c r="V237" t="str">
        <f>IF(L237="","",IF($AO$1=1,IFERROR(MATCH(L237,'11-تشرين الثاني'!$L$2:$L$501,0),0),0))</f>
        <v/>
      </c>
      <c r="W237" t="str">
        <f t="shared" si="74"/>
        <v/>
      </c>
      <c r="X237" s="38" t="str">
        <f>IF(L237="","",IF(V237&gt;0,INDEX('11-تشرين الثاني'!$P$2:$P$501,V237),IF($AO$1=1,0,"")))</f>
        <v/>
      </c>
      <c r="Y237" s="38" t="str">
        <f t="shared" si="75"/>
        <v/>
      </c>
      <c r="Z237" s="39" t="str">
        <f>IF(L237="","",IF(V237&gt;0,INDEX('11-تشرين الثاني'!$Q$2:$Q$501,V237),IF($AO$1=1,0,"")))</f>
        <v/>
      </c>
      <c r="AA237" s="39" t="str">
        <f t="shared" si="76"/>
        <v/>
      </c>
      <c r="AB237" s="40" t="str">
        <f>IF(OR(L237="",V237=0),"",IF(AND(N(I237)&gt;0,N(INDEX('11-تشرين الثاني'!$I$2:$I$501,V237))&gt;0,INDEX('11-تشرين الثاني'!$F$2:$F$501,V237)=F237),N(I237)/N(INDEX('11-تشرين الثاني'!$I$2:$I$501,V237))-1,""))</f>
        <v/>
      </c>
      <c r="AC237" t="str">
        <f t="shared" si="77"/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8"/>
        <v/>
      </c>
      <c r="AH237" s="39" t="str">
        <f t="shared" si="79"/>
        <v/>
      </c>
      <c r="AI237" s="39" t="str">
        <f t="shared" si="80"/>
        <v/>
      </c>
      <c r="AJ237" s="39" t="str">
        <f t="shared" si="81"/>
        <v/>
      </c>
      <c r="AK237" t="str">
        <f t="shared" si="82"/>
        <v/>
      </c>
      <c r="AL237" t="str">
        <f t="shared" si="83"/>
        <v/>
      </c>
    </row>
    <row r="238" spans="11:38" ht="15">
      <c r="K238" t="str">
        <f t="shared" si="63"/>
        <v/>
      </c>
      <c r="L238" t="str">
        <f t="shared" si="64"/>
        <v/>
      </c>
      <c r="M238" s="36" t="str">
        <f t="shared" si="65"/>
        <v/>
      </c>
      <c r="N238" s="37" t="str">
        <f t="shared" si="66"/>
        <v/>
      </c>
      <c r="O238" s="37" t="str">
        <f t="shared" si="67"/>
        <v/>
      </c>
      <c r="P238" s="38" t="str">
        <f t="shared" si="68"/>
        <v/>
      </c>
      <c r="Q238" s="39" t="str">
        <f t="shared" si="69"/>
        <v/>
      </c>
      <c r="R238" s="39" t="str">
        <f t="shared" si="70"/>
        <v/>
      </c>
      <c r="S238" t="str">
        <f t="shared" si="71"/>
        <v/>
      </c>
      <c r="T238" s="39" t="str">
        <f t="shared" si="72"/>
        <v/>
      </c>
      <c r="U238" t="str">
        <f t="shared" si="73"/>
        <v/>
      </c>
      <c r="V238" t="str">
        <f>IF(L238="","",IF($AO$1=1,IFERROR(MATCH(L238,'11-تشرين الثاني'!$L$2:$L$501,0),0),0))</f>
        <v/>
      </c>
      <c r="W238" t="str">
        <f t="shared" si="74"/>
        <v/>
      </c>
      <c r="X238" s="38" t="str">
        <f>IF(L238="","",IF(V238&gt;0,INDEX('11-تشرين الثاني'!$P$2:$P$501,V238),IF($AO$1=1,0,"")))</f>
        <v/>
      </c>
      <c r="Y238" s="38" t="str">
        <f t="shared" si="75"/>
        <v/>
      </c>
      <c r="Z238" s="39" t="str">
        <f>IF(L238="","",IF(V238&gt;0,INDEX('11-تشرين الثاني'!$Q$2:$Q$501,V238),IF($AO$1=1,0,"")))</f>
        <v/>
      </c>
      <c r="AA238" s="39" t="str">
        <f t="shared" si="76"/>
        <v/>
      </c>
      <c r="AB238" s="40" t="str">
        <f>IF(OR(L238="",V238=0),"",IF(AND(N(I238)&gt;0,N(INDEX('11-تشرين الثاني'!$I$2:$I$501,V238))&gt;0,INDEX('11-تشرين الثاني'!$F$2:$F$501,V238)=F238),N(I238)/N(INDEX('11-تشرين الثاني'!$I$2:$I$501,V238))-1,""))</f>
        <v/>
      </c>
      <c r="AC238" t="str">
        <f t="shared" si="77"/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8"/>
        <v/>
      </c>
      <c r="AH238" s="39" t="str">
        <f t="shared" si="79"/>
        <v/>
      </c>
      <c r="AI238" s="39" t="str">
        <f t="shared" si="80"/>
        <v/>
      </c>
      <c r="AJ238" s="39" t="str">
        <f t="shared" si="81"/>
        <v/>
      </c>
      <c r="AK238" t="str">
        <f t="shared" si="82"/>
        <v/>
      </c>
      <c r="AL238" t="str">
        <f t="shared" si="83"/>
        <v/>
      </c>
    </row>
    <row r="239" spans="11:38" ht="15">
      <c r="K239" t="str">
        <f t="shared" si="63"/>
        <v/>
      </c>
      <c r="L239" t="str">
        <f t="shared" si="64"/>
        <v/>
      </c>
      <c r="M239" s="36" t="str">
        <f t="shared" si="65"/>
        <v/>
      </c>
      <c r="N239" s="37" t="str">
        <f t="shared" si="66"/>
        <v/>
      </c>
      <c r="O239" s="37" t="str">
        <f t="shared" si="67"/>
        <v/>
      </c>
      <c r="P239" s="38" t="str">
        <f t="shared" si="68"/>
        <v/>
      </c>
      <c r="Q239" s="39" t="str">
        <f t="shared" si="69"/>
        <v/>
      </c>
      <c r="R239" s="39" t="str">
        <f t="shared" si="70"/>
        <v/>
      </c>
      <c r="S239" t="str">
        <f t="shared" si="71"/>
        <v/>
      </c>
      <c r="T239" s="39" t="str">
        <f t="shared" si="72"/>
        <v/>
      </c>
      <c r="U239" t="str">
        <f t="shared" si="73"/>
        <v/>
      </c>
      <c r="V239" t="str">
        <f>IF(L239="","",IF($AO$1=1,IFERROR(MATCH(L239,'11-تشرين الثاني'!$L$2:$L$501,0),0),0))</f>
        <v/>
      </c>
      <c r="W239" t="str">
        <f t="shared" si="74"/>
        <v/>
      </c>
      <c r="X239" s="38" t="str">
        <f>IF(L239="","",IF(V239&gt;0,INDEX('11-تشرين الثاني'!$P$2:$P$501,V239),IF($AO$1=1,0,"")))</f>
        <v/>
      </c>
      <c r="Y239" s="38" t="str">
        <f t="shared" si="75"/>
        <v/>
      </c>
      <c r="Z239" s="39" t="str">
        <f>IF(L239="","",IF(V239&gt;0,INDEX('11-تشرين الثاني'!$Q$2:$Q$501,V239),IF($AO$1=1,0,"")))</f>
        <v/>
      </c>
      <c r="AA239" s="39" t="str">
        <f t="shared" si="76"/>
        <v/>
      </c>
      <c r="AB239" s="40" t="str">
        <f>IF(OR(L239="",V239=0),"",IF(AND(N(I239)&gt;0,N(INDEX('11-تشرين الثاني'!$I$2:$I$501,V239))&gt;0,INDEX('11-تشرين الثاني'!$F$2:$F$501,V239)=F239),N(I239)/N(INDEX('11-تشرين الثاني'!$I$2:$I$501,V239))-1,""))</f>
        <v/>
      </c>
      <c r="AC239" t="str">
        <f t="shared" si="77"/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8"/>
        <v/>
      </c>
      <c r="AH239" s="39" t="str">
        <f t="shared" si="79"/>
        <v/>
      </c>
      <c r="AI239" s="39" t="str">
        <f t="shared" si="80"/>
        <v/>
      </c>
      <c r="AJ239" s="39" t="str">
        <f t="shared" si="81"/>
        <v/>
      </c>
      <c r="AK239" t="str">
        <f t="shared" si="82"/>
        <v/>
      </c>
      <c r="AL239" t="str">
        <f t="shared" si="83"/>
        <v/>
      </c>
    </row>
    <row r="240" spans="11:38" ht="15">
      <c r="K240" t="str">
        <f t="shared" si="63"/>
        <v/>
      </c>
      <c r="L240" t="str">
        <f t="shared" si="64"/>
        <v/>
      </c>
      <c r="M240" s="36" t="str">
        <f t="shared" si="65"/>
        <v/>
      </c>
      <c r="N240" s="37" t="str">
        <f t="shared" si="66"/>
        <v/>
      </c>
      <c r="O240" s="37" t="str">
        <f t="shared" si="67"/>
        <v/>
      </c>
      <c r="P240" s="38" t="str">
        <f t="shared" si="68"/>
        <v/>
      </c>
      <c r="Q240" s="39" t="str">
        <f t="shared" si="69"/>
        <v/>
      </c>
      <c r="R240" s="39" t="str">
        <f t="shared" si="70"/>
        <v/>
      </c>
      <c r="S240" t="str">
        <f t="shared" si="71"/>
        <v/>
      </c>
      <c r="T240" s="39" t="str">
        <f t="shared" si="72"/>
        <v/>
      </c>
      <c r="U240" t="str">
        <f t="shared" si="73"/>
        <v/>
      </c>
      <c r="V240" t="str">
        <f>IF(L240="","",IF($AO$1=1,IFERROR(MATCH(L240,'11-تشرين الثاني'!$L$2:$L$501,0),0),0))</f>
        <v/>
      </c>
      <c r="W240" t="str">
        <f t="shared" si="74"/>
        <v/>
      </c>
      <c r="X240" s="38" t="str">
        <f>IF(L240="","",IF(V240&gt;0,INDEX('11-تشرين الثاني'!$P$2:$P$501,V240),IF($AO$1=1,0,"")))</f>
        <v/>
      </c>
      <c r="Y240" s="38" t="str">
        <f t="shared" si="75"/>
        <v/>
      </c>
      <c r="Z240" s="39" t="str">
        <f>IF(L240="","",IF(V240&gt;0,INDEX('11-تشرين الثاني'!$Q$2:$Q$501,V240),IF($AO$1=1,0,"")))</f>
        <v/>
      </c>
      <c r="AA240" s="39" t="str">
        <f t="shared" si="76"/>
        <v/>
      </c>
      <c r="AB240" s="40" t="str">
        <f>IF(OR(L240="",V240=0),"",IF(AND(N(I240)&gt;0,N(INDEX('11-تشرين الثاني'!$I$2:$I$501,V240))&gt;0,INDEX('11-تشرين الثاني'!$F$2:$F$501,V240)=F240),N(I240)/N(INDEX('11-تشرين الثاني'!$I$2:$I$501,V240))-1,""))</f>
        <v/>
      </c>
      <c r="AC240" t="str">
        <f t="shared" si="77"/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8"/>
        <v/>
      </c>
      <c r="AH240" s="39" t="str">
        <f t="shared" si="79"/>
        <v/>
      </c>
      <c r="AI240" s="39" t="str">
        <f t="shared" si="80"/>
        <v/>
      </c>
      <c r="AJ240" s="39" t="str">
        <f t="shared" si="81"/>
        <v/>
      </c>
      <c r="AK240" t="str">
        <f t="shared" si="82"/>
        <v/>
      </c>
      <c r="AL240" t="str">
        <f t="shared" si="83"/>
        <v/>
      </c>
    </row>
    <row r="241" spans="11:38" ht="15">
      <c r="K241" t="str">
        <f t="shared" si="63"/>
        <v/>
      </c>
      <c r="L241" t="str">
        <f t="shared" si="64"/>
        <v/>
      </c>
      <c r="M241" s="36" t="str">
        <f t="shared" si="65"/>
        <v/>
      </c>
      <c r="N241" s="37" t="str">
        <f t="shared" si="66"/>
        <v/>
      </c>
      <c r="O241" s="37" t="str">
        <f t="shared" si="67"/>
        <v/>
      </c>
      <c r="P241" s="38" t="str">
        <f t="shared" si="68"/>
        <v/>
      </c>
      <c r="Q241" s="39" t="str">
        <f t="shared" si="69"/>
        <v/>
      </c>
      <c r="R241" s="39" t="str">
        <f t="shared" si="70"/>
        <v/>
      </c>
      <c r="S241" t="str">
        <f t="shared" si="71"/>
        <v/>
      </c>
      <c r="T241" s="39" t="str">
        <f t="shared" si="72"/>
        <v/>
      </c>
      <c r="U241" t="str">
        <f t="shared" si="73"/>
        <v/>
      </c>
      <c r="V241" t="str">
        <f>IF(L241="","",IF($AO$1=1,IFERROR(MATCH(L241,'11-تشرين الثاني'!$L$2:$L$501,0),0),0))</f>
        <v/>
      </c>
      <c r="W241" t="str">
        <f t="shared" si="74"/>
        <v/>
      </c>
      <c r="X241" s="38" t="str">
        <f>IF(L241="","",IF(V241&gt;0,INDEX('11-تشرين الثاني'!$P$2:$P$501,V241),IF($AO$1=1,0,"")))</f>
        <v/>
      </c>
      <c r="Y241" s="38" t="str">
        <f t="shared" si="75"/>
        <v/>
      </c>
      <c r="Z241" s="39" t="str">
        <f>IF(L241="","",IF(V241&gt;0,INDEX('11-تشرين الثاني'!$Q$2:$Q$501,V241),IF($AO$1=1,0,"")))</f>
        <v/>
      </c>
      <c r="AA241" s="39" t="str">
        <f t="shared" si="76"/>
        <v/>
      </c>
      <c r="AB241" s="40" t="str">
        <f>IF(OR(L241="",V241=0),"",IF(AND(N(I241)&gt;0,N(INDEX('11-تشرين الثاني'!$I$2:$I$501,V241))&gt;0,INDEX('11-تشرين الثاني'!$F$2:$F$501,V241)=F241),N(I241)/N(INDEX('11-تشرين الثاني'!$I$2:$I$501,V241))-1,""))</f>
        <v/>
      </c>
      <c r="AC241" t="str">
        <f t="shared" si="77"/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8"/>
        <v/>
      </c>
      <c r="AH241" s="39" t="str">
        <f t="shared" si="79"/>
        <v/>
      </c>
      <c r="AI241" s="39" t="str">
        <f t="shared" si="80"/>
        <v/>
      </c>
      <c r="AJ241" s="39" t="str">
        <f t="shared" si="81"/>
        <v/>
      </c>
      <c r="AK241" t="str">
        <f t="shared" si="82"/>
        <v/>
      </c>
      <c r="AL241" t="str">
        <f t="shared" si="83"/>
        <v/>
      </c>
    </row>
    <row r="242" spans="11:38" ht="15">
      <c r="K242" t="str">
        <f t="shared" si="63"/>
        <v/>
      </c>
      <c r="L242" t="str">
        <f t="shared" si="64"/>
        <v/>
      </c>
      <c r="M242" s="36" t="str">
        <f t="shared" si="65"/>
        <v/>
      </c>
      <c r="N242" s="37" t="str">
        <f t="shared" si="66"/>
        <v/>
      </c>
      <c r="O242" s="37" t="str">
        <f t="shared" si="67"/>
        <v/>
      </c>
      <c r="P242" s="38" t="str">
        <f t="shared" si="68"/>
        <v/>
      </c>
      <c r="Q242" s="39" t="str">
        <f t="shared" si="69"/>
        <v/>
      </c>
      <c r="R242" s="39" t="str">
        <f t="shared" si="70"/>
        <v/>
      </c>
      <c r="S242" t="str">
        <f t="shared" si="71"/>
        <v/>
      </c>
      <c r="T242" s="39" t="str">
        <f t="shared" si="72"/>
        <v/>
      </c>
      <c r="U242" t="str">
        <f t="shared" si="73"/>
        <v/>
      </c>
      <c r="V242" t="str">
        <f>IF(L242="","",IF($AO$1=1,IFERROR(MATCH(L242,'11-تشرين الثاني'!$L$2:$L$501,0),0),0))</f>
        <v/>
      </c>
      <c r="W242" t="str">
        <f t="shared" si="74"/>
        <v/>
      </c>
      <c r="X242" s="38" t="str">
        <f>IF(L242="","",IF(V242&gt;0,INDEX('11-تشرين الثاني'!$P$2:$P$501,V242),IF($AO$1=1,0,"")))</f>
        <v/>
      </c>
      <c r="Y242" s="38" t="str">
        <f t="shared" si="75"/>
        <v/>
      </c>
      <c r="Z242" s="39" t="str">
        <f>IF(L242="","",IF(V242&gt;0,INDEX('11-تشرين الثاني'!$Q$2:$Q$501,V242),IF($AO$1=1,0,"")))</f>
        <v/>
      </c>
      <c r="AA242" s="39" t="str">
        <f t="shared" si="76"/>
        <v/>
      </c>
      <c r="AB242" s="40" t="str">
        <f>IF(OR(L242="",V242=0),"",IF(AND(N(I242)&gt;0,N(INDEX('11-تشرين الثاني'!$I$2:$I$501,V242))&gt;0,INDEX('11-تشرين الثاني'!$F$2:$F$501,V242)=F242),N(I242)/N(INDEX('11-تشرين الثاني'!$I$2:$I$501,V242))-1,""))</f>
        <v/>
      </c>
      <c r="AC242" t="str">
        <f t="shared" si="77"/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8"/>
        <v/>
      </c>
      <c r="AH242" s="39" t="str">
        <f t="shared" si="79"/>
        <v/>
      </c>
      <c r="AI242" s="39" t="str">
        <f t="shared" si="80"/>
        <v/>
      </c>
      <c r="AJ242" s="39" t="str">
        <f t="shared" si="81"/>
        <v/>
      </c>
      <c r="AK242" t="str">
        <f t="shared" si="82"/>
        <v/>
      </c>
      <c r="AL242" t="str">
        <f t="shared" si="83"/>
        <v/>
      </c>
    </row>
    <row r="243" spans="11:38" ht="15">
      <c r="K243" t="str">
        <f t="shared" si="63"/>
        <v/>
      </c>
      <c r="L243" t="str">
        <f t="shared" si="64"/>
        <v/>
      </c>
      <c r="M243" s="36" t="str">
        <f t="shared" si="65"/>
        <v/>
      </c>
      <c r="N243" s="37" t="str">
        <f t="shared" si="66"/>
        <v/>
      </c>
      <c r="O243" s="37" t="str">
        <f t="shared" si="67"/>
        <v/>
      </c>
      <c r="P243" s="38" t="str">
        <f t="shared" si="68"/>
        <v/>
      </c>
      <c r="Q243" s="39" t="str">
        <f t="shared" si="69"/>
        <v/>
      </c>
      <c r="R243" s="39" t="str">
        <f t="shared" si="70"/>
        <v/>
      </c>
      <c r="S243" t="str">
        <f t="shared" si="71"/>
        <v/>
      </c>
      <c r="T243" s="39" t="str">
        <f t="shared" si="72"/>
        <v/>
      </c>
      <c r="U243" t="str">
        <f t="shared" si="73"/>
        <v/>
      </c>
      <c r="V243" t="str">
        <f>IF(L243="","",IF($AO$1=1,IFERROR(MATCH(L243,'11-تشرين الثاني'!$L$2:$L$501,0),0),0))</f>
        <v/>
      </c>
      <c r="W243" t="str">
        <f t="shared" si="74"/>
        <v/>
      </c>
      <c r="X243" s="38" t="str">
        <f>IF(L243="","",IF(V243&gt;0,INDEX('11-تشرين الثاني'!$P$2:$P$501,V243),IF($AO$1=1,0,"")))</f>
        <v/>
      </c>
      <c r="Y243" s="38" t="str">
        <f t="shared" si="75"/>
        <v/>
      </c>
      <c r="Z243" s="39" t="str">
        <f>IF(L243="","",IF(V243&gt;0,INDEX('11-تشرين الثاني'!$Q$2:$Q$501,V243),IF($AO$1=1,0,"")))</f>
        <v/>
      </c>
      <c r="AA243" s="39" t="str">
        <f t="shared" si="76"/>
        <v/>
      </c>
      <c r="AB243" s="40" t="str">
        <f>IF(OR(L243="",V243=0),"",IF(AND(N(I243)&gt;0,N(INDEX('11-تشرين الثاني'!$I$2:$I$501,V243))&gt;0,INDEX('11-تشرين الثاني'!$F$2:$F$501,V243)=F243),N(I243)/N(INDEX('11-تشرين الثاني'!$I$2:$I$501,V243))-1,""))</f>
        <v/>
      </c>
      <c r="AC243" t="str">
        <f t="shared" si="77"/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8"/>
        <v/>
      </c>
      <c r="AH243" s="39" t="str">
        <f t="shared" si="79"/>
        <v/>
      </c>
      <c r="AI243" s="39" t="str">
        <f t="shared" si="80"/>
        <v/>
      </c>
      <c r="AJ243" s="39" t="str">
        <f t="shared" si="81"/>
        <v/>
      </c>
      <c r="AK243" t="str">
        <f t="shared" si="82"/>
        <v/>
      </c>
      <c r="AL243" t="str">
        <f t="shared" si="83"/>
        <v/>
      </c>
    </row>
    <row r="244" spans="11:38" ht="15">
      <c r="K244" t="str">
        <f t="shared" si="63"/>
        <v/>
      </c>
      <c r="L244" t="str">
        <f t="shared" si="64"/>
        <v/>
      </c>
      <c r="M244" s="36" t="str">
        <f t="shared" si="65"/>
        <v/>
      </c>
      <c r="N244" s="37" t="str">
        <f t="shared" si="66"/>
        <v/>
      </c>
      <c r="O244" s="37" t="str">
        <f t="shared" si="67"/>
        <v/>
      </c>
      <c r="P244" s="38" t="str">
        <f t="shared" si="68"/>
        <v/>
      </c>
      <c r="Q244" s="39" t="str">
        <f t="shared" si="69"/>
        <v/>
      </c>
      <c r="R244" s="39" t="str">
        <f t="shared" si="70"/>
        <v/>
      </c>
      <c r="S244" t="str">
        <f t="shared" si="71"/>
        <v/>
      </c>
      <c r="T244" s="39" t="str">
        <f t="shared" si="72"/>
        <v/>
      </c>
      <c r="U244" t="str">
        <f t="shared" si="73"/>
        <v/>
      </c>
      <c r="V244" t="str">
        <f>IF(L244="","",IF($AO$1=1,IFERROR(MATCH(L244,'11-تشرين الثاني'!$L$2:$L$501,0),0),0))</f>
        <v/>
      </c>
      <c r="W244" t="str">
        <f t="shared" si="74"/>
        <v/>
      </c>
      <c r="X244" s="38" t="str">
        <f>IF(L244="","",IF(V244&gt;0,INDEX('11-تشرين الثاني'!$P$2:$P$501,V244),IF($AO$1=1,0,"")))</f>
        <v/>
      </c>
      <c r="Y244" s="38" t="str">
        <f t="shared" si="75"/>
        <v/>
      </c>
      <c r="Z244" s="39" t="str">
        <f>IF(L244="","",IF(V244&gt;0,INDEX('11-تشرين الثاني'!$Q$2:$Q$501,V244),IF($AO$1=1,0,"")))</f>
        <v/>
      </c>
      <c r="AA244" s="39" t="str">
        <f t="shared" si="76"/>
        <v/>
      </c>
      <c r="AB244" s="40" t="str">
        <f>IF(OR(L244="",V244=0),"",IF(AND(N(I244)&gt;0,N(INDEX('11-تشرين الثاني'!$I$2:$I$501,V244))&gt;0,INDEX('11-تشرين الثاني'!$F$2:$F$501,V244)=F244),N(I244)/N(INDEX('11-تشرين الثاني'!$I$2:$I$501,V244))-1,""))</f>
        <v/>
      </c>
      <c r="AC244" t="str">
        <f t="shared" si="77"/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8"/>
        <v/>
      </c>
      <c r="AH244" s="39" t="str">
        <f t="shared" si="79"/>
        <v/>
      </c>
      <c r="AI244" s="39" t="str">
        <f t="shared" si="80"/>
        <v/>
      </c>
      <c r="AJ244" s="39" t="str">
        <f t="shared" si="81"/>
        <v/>
      </c>
      <c r="AK244" t="str">
        <f t="shared" si="82"/>
        <v/>
      </c>
      <c r="AL244" t="str">
        <f t="shared" si="83"/>
        <v/>
      </c>
    </row>
    <row r="245" spans="11:38" ht="15">
      <c r="K245" t="str">
        <f t="shared" si="63"/>
        <v/>
      </c>
      <c r="L245" t="str">
        <f t="shared" si="64"/>
        <v/>
      </c>
      <c r="M245" s="36" t="str">
        <f t="shared" si="65"/>
        <v/>
      </c>
      <c r="N245" s="37" t="str">
        <f t="shared" si="66"/>
        <v/>
      </c>
      <c r="O245" s="37" t="str">
        <f t="shared" si="67"/>
        <v/>
      </c>
      <c r="P245" s="38" t="str">
        <f t="shared" si="68"/>
        <v/>
      </c>
      <c r="Q245" s="39" t="str">
        <f t="shared" si="69"/>
        <v/>
      </c>
      <c r="R245" s="39" t="str">
        <f t="shared" si="70"/>
        <v/>
      </c>
      <c r="S245" t="str">
        <f t="shared" si="71"/>
        <v/>
      </c>
      <c r="T245" s="39" t="str">
        <f t="shared" si="72"/>
        <v/>
      </c>
      <c r="U245" t="str">
        <f t="shared" si="73"/>
        <v/>
      </c>
      <c r="V245" t="str">
        <f>IF(L245="","",IF($AO$1=1,IFERROR(MATCH(L245,'11-تشرين الثاني'!$L$2:$L$501,0),0),0))</f>
        <v/>
      </c>
      <c r="W245" t="str">
        <f t="shared" si="74"/>
        <v/>
      </c>
      <c r="X245" s="38" t="str">
        <f>IF(L245="","",IF(V245&gt;0,INDEX('11-تشرين الثاني'!$P$2:$P$501,V245),IF($AO$1=1,0,"")))</f>
        <v/>
      </c>
      <c r="Y245" s="38" t="str">
        <f t="shared" si="75"/>
        <v/>
      </c>
      <c r="Z245" s="39" t="str">
        <f>IF(L245="","",IF(V245&gt;0,INDEX('11-تشرين الثاني'!$Q$2:$Q$501,V245),IF($AO$1=1,0,"")))</f>
        <v/>
      </c>
      <c r="AA245" s="39" t="str">
        <f t="shared" si="76"/>
        <v/>
      </c>
      <c r="AB245" s="40" t="str">
        <f>IF(OR(L245="",V245=0),"",IF(AND(N(I245)&gt;0,N(INDEX('11-تشرين الثاني'!$I$2:$I$501,V245))&gt;0,INDEX('11-تشرين الثاني'!$F$2:$F$501,V245)=F245),N(I245)/N(INDEX('11-تشرين الثاني'!$I$2:$I$501,V245))-1,""))</f>
        <v/>
      </c>
      <c r="AC245" t="str">
        <f t="shared" si="77"/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8"/>
        <v/>
      </c>
      <c r="AH245" s="39" t="str">
        <f t="shared" si="79"/>
        <v/>
      </c>
      <c r="AI245" s="39" t="str">
        <f t="shared" si="80"/>
        <v/>
      </c>
      <c r="AJ245" s="39" t="str">
        <f t="shared" si="81"/>
        <v/>
      </c>
      <c r="AK245" t="str">
        <f t="shared" si="82"/>
        <v/>
      </c>
      <c r="AL245" t="str">
        <f t="shared" si="83"/>
        <v/>
      </c>
    </row>
    <row r="246" spans="11:38" ht="15">
      <c r="K246" t="str">
        <f t="shared" si="63"/>
        <v/>
      </c>
      <c r="L246" t="str">
        <f t="shared" si="64"/>
        <v/>
      </c>
      <c r="M246" s="36" t="str">
        <f t="shared" si="65"/>
        <v/>
      </c>
      <c r="N246" s="37" t="str">
        <f t="shared" si="66"/>
        <v/>
      </c>
      <c r="O246" s="37" t="str">
        <f t="shared" si="67"/>
        <v/>
      </c>
      <c r="P246" s="38" t="str">
        <f t="shared" si="68"/>
        <v/>
      </c>
      <c r="Q246" s="39" t="str">
        <f t="shared" si="69"/>
        <v/>
      </c>
      <c r="R246" s="39" t="str">
        <f t="shared" si="70"/>
        <v/>
      </c>
      <c r="S246" t="str">
        <f t="shared" si="71"/>
        <v/>
      </c>
      <c r="T246" s="39" t="str">
        <f t="shared" si="72"/>
        <v/>
      </c>
      <c r="U246" t="str">
        <f t="shared" si="73"/>
        <v/>
      </c>
      <c r="V246" t="str">
        <f>IF(L246="","",IF($AO$1=1,IFERROR(MATCH(L246,'11-تشرين الثاني'!$L$2:$L$501,0),0),0))</f>
        <v/>
      </c>
      <c r="W246" t="str">
        <f t="shared" si="74"/>
        <v/>
      </c>
      <c r="X246" s="38" t="str">
        <f>IF(L246="","",IF(V246&gt;0,INDEX('11-تشرين الثاني'!$P$2:$P$501,V246),IF($AO$1=1,0,"")))</f>
        <v/>
      </c>
      <c r="Y246" s="38" t="str">
        <f t="shared" si="75"/>
        <v/>
      </c>
      <c r="Z246" s="39" t="str">
        <f>IF(L246="","",IF(V246&gt;0,INDEX('11-تشرين الثاني'!$Q$2:$Q$501,V246),IF($AO$1=1,0,"")))</f>
        <v/>
      </c>
      <c r="AA246" s="39" t="str">
        <f t="shared" si="76"/>
        <v/>
      </c>
      <c r="AB246" s="40" t="str">
        <f>IF(OR(L246="",V246=0),"",IF(AND(N(I246)&gt;0,N(INDEX('11-تشرين الثاني'!$I$2:$I$501,V246))&gt;0,INDEX('11-تشرين الثاني'!$F$2:$F$501,V246)=F246),N(I246)/N(INDEX('11-تشرين الثاني'!$I$2:$I$501,V246))-1,""))</f>
        <v/>
      </c>
      <c r="AC246" t="str">
        <f t="shared" si="77"/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8"/>
        <v/>
      </c>
      <c r="AH246" s="39" t="str">
        <f t="shared" si="79"/>
        <v/>
      </c>
      <c r="AI246" s="39" t="str">
        <f t="shared" si="80"/>
        <v/>
      </c>
      <c r="AJ246" s="39" t="str">
        <f t="shared" si="81"/>
        <v/>
      </c>
      <c r="AK246" t="str">
        <f t="shared" si="82"/>
        <v/>
      </c>
      <c r="AL246" t="str">
        <f t="shared" si="83"/>
        <v/>
      </c>
    </row>
    <row r="247" spans="11:38" ht="15">
      <c r="K247" t="str">
        <f t="shared" si="63"/>
        <v/>
      </c>
      <c r="L247" t="str">
        <f t="shared" si="64"/>
        <v/>
      </c>
      <c r="M247" s="36" t="str">
        <f t="shared" si="65"/>
        <v/>
      </c>
      <c r="N247" s="37" t="str">
        <f t="shared" si="66"/>
        <v/>
      </c>
      <c r="O247" s="37" t="str">
        <f t="shared" si="67"/>
        <v/>
      </c>
      <c r="P247" s="38" t="str">
        <f t="shared" si="68"/>
        <v/>
      </c>
      <c r="Q247" s="39" t="str">
        <f t="shared" si="69"/>
        <v/>
      </c>
      <c r="R247" s="39" t="str">
        <f t="shared" si="70"/>
        <v/>
      </c>
      <c r="S247" t="str">
        <f t="shared" si="71"/>
        <v/>
      </c>
      <c r="T247" s="39" t="str">
        <f t="shared" si="72"/>
        <v/>
      </c>
      <c r="U247" t="str">
        <f t="shared" si="73"/>
        <v/>
      </c>
      <c r="V247" t="str">
        <f>IF(L247="","",IF($AO$1=1,IFERROR(MATCH(L247,'11-تشرين الثاني'!$L$2:$L$501,0),0),0))</f>
        <v/>
      </c>
      <c r="W247" t="str">
        <f t="shared" si="74"/>
        <v/>
      </c>
      <c r="X247" s="38" t="str">
        <f>IF(L247="","",IF(V247&gt;0,INDEX('11-تشرين الثاني'!$P$2:$P$501,V247),IF($AO$1=1,0,"")))</f>
        <v/>
      </c>
      <c r="Y247" s="38" t="str">
        <f t="shared" si="75"/>
        <v/>
      </c>
      <c r="Z247" s="39" t="str">
        <f>IF(L247="","",IF(V247&gt;0,INDEX('11-تشرين الثاني'!$Q$2:$Q$501,V247),IF($AO$1=1,0,"")))</f>
        <v/>
      </c>
      <c r="AA247" s="39" t="str">
        <f t="shared" si="76"/>
        <v/>
      </c>
      <c r="AB247" s="40" t="str">
        <f>IF(OR(L247="",V247=0),"",IF(AND(N(I247)&gt;0,N(INDEX('11-تشرين الثاني'!$I$2:$I$501,V247))&gt;0,INDEX('11-تشرين الثاني'!$F$2:$F$501,V247)=F247),N(I247)/N(INDEX('11-تشرين الثاني'!$I$2:$I$501,V247))-1,""))</f>
        <v/>
      </c>
      <c r="AC247" t="str">
        <f t="shared" si="77"/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8"/>
        <v/>
      </c>
      <c r="AH247" s="39" t="str">
        <f t="shared" si="79"/>
        <v/>
      </c>
      <c r="AI247" s="39" t="str">
        <f t="shared" si="80"/>
        <v/>
      </c>
      <c r="AJ247" s="39" t="str">
        <f t="shared" si="81"/>
        <v/>
      </c>
      <c r="AK247" t="str">
        <f t="shared" si="82"/>
        <v/>
      </c>
      <c r="AL247" t="str">
        <f t="shared" si="83"/>
        <v/>
      </c>
    </row>
    <row r="248" spans="11:38" ht="15">
      <c r="K248" t="str">
        <f t="shared" si="63"/>
        <v/>
      </c>
      <c r="L248" t="str">
        <f t="shared" si="64"/>
        <v/>
      </c>
      <c r="M248" s="36" t="str">
        <f t="shared" si="65"/>
        <v/>
      </c>
      <c r="N248" s="37" t="str">
        <f t="shared" si="66"/>
        <v/>
      </c>
      <c r="O248" s="37" t="str">
        <f t="shared" si="67"/>
        <v/>
      </c>
      <c r="P248" s="38" t="str">
        <f t="shared" si="68"/>
        <v/>
      </c>
      <c r="Q248" s="39" t="str">
        <f t="shared" si="69"/>
        <v/>
      </c>
      <c r="R248" s="39" t="str">
        <f t="shared" si="70"/>
        <v/>
      </c>
      <c r="S248" t="str">
        <f t="shared" si="71"/>
        <v/>
      </c>
      <c r="T248" s="39" t="str">
        <f t="shared" si="72"/>
        <v/>
      </c>
      <c r="U248" t="str">
        <f t="shared" si="73"/>
        <v/>
      </c>
      <c r="V248" t="str">
        <f>IF(L248="","",IF($AO$1=1,IFERROR(MATCH(L248,'11-تشرين الثاني'!$L$2:$L$501,0),0),0))</f>
        <v/>
      </c>
      <c r="W248" t="str">
        <f t="shared" si="74"/>
        <v/>
      </c>
      <c r="X248" s="38" t="str">
        <f>IF(L248="","",IF(V248&gt;0,INDEX('11-تشرين الثاني'!$P$2:$P$501,V248),IF($AO$1=1,0,"")))</f>
        <v/>
      </c>
      <c r="Y248" s="38" t="str">
        <f t="shared" si="75"/>
        <v/>
      </c>
      <c r="Z248" s="39" t="str">
        <f>IF(L248="","",IF(V248&gt;0,INDEX('11-تشرين الثاني'!$Q$2:$Q$501,V248),IF($AO$1=1,0,"")))</f>
        <v/>
      </c>
      <c r="AA248" s="39" t="str">
        <f t="shared" si="76"/>
        <v/>
      </c>
      <c r="AB248" s="40" t="str">
        <f>IF(OR(L248="",V248=0),"",IF(AND(N(I248)&gt;0,N(INDEX('11-تشرين الثاني'!$I$2:$I$501,V248))&gt;0,INDEX('11-تشرين الثاني'!$F$2:$F$501,V248)=F248),N(I248)/N(INDEX('11-تشرين الثاني'!$I$2:$I$501,V248))-1,""))</f>
        <v/>
      </c>
      <c r="AC248" t="str">
        <f t="shared" si="77"/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8"/>
        <v/>
      </c>
      <c r="AH248" s="39" t="str">
        <f t="shared" si="79"/>
        <v/>
      </c>
      <c r="AI248" s="39" t="str">
        <f t="shared" si="80"/>
        <v/>
      </c>
      <c r="AJ248" s="39" t="str">
        <f t="shared" si="81"/>
        <v/>
      </c>
      <c r="AK248" t="str">
        <f t="shared" si="82"/>
        <v/>
      </c>
      <c r="AL248" t="str">
        <f t="shared" si="83"/>
        <v/>
      </c>
    </row>
    <row r="249" spans="11:38" ht="15">
      <c r="K249" t="str">
        <f t="shared" si="63"/>
        <v/>
      </c>
      <c r="L249" t="str">
        <f t="shared" si="64"/>
        <v/>
      </c>
      <c r="M249" s="36" t="str">
        <f t="shared" si="65"/>
        <v/>
      </c>
      <c r="N249" s="37" t="str">
        <f t="shared" si="66"/>
        <v/>
      </c>
      <c r="O249" s="37" t="str">
        <f t="shared" si="67"/>
        <v/>
      </c>
      <c r="P249" s="38" t="str">
        <f t="shared" si="68"/>
        <v/>
      </c>
      <c r="Q249" s="39" t="str">
        <f t="shared" si="69"/>
        <v/>
      </c>
      <c r="R249" s="39" t="str">
        <f t="shared" si="70"/>
        <v/>
      </c>
      <c r="S249" t="str">
        <f t="shared" si="71"/>
        <v/>
      </c>
      <c r="T249" s="39" t="str">
        <f t="shared" si="72"/>
        <v/>
      </c>
      <c r="U249" t="str">
        <f t="shared" si="73"/>
        <v/>
      </c>
      <c r="V249" t="str">
        <f>IF(L249="","",IF($AO$1=1,IFERROR(MATCH(L249,'11-تشرين الثاني'!$L$2:$L$501,0),0),0))</f>
        <v/>
      </c>
      <c r="W249" t="str">
        <f t="shared" si="74"/>
        <v/>
      </c>
      <c r="X249" s="38" t="str">
        <f>IF(L249="","",IF(V249&gt;0,INDEX('11-تشرين الثاني'!$P$2:$P$501,V249),IF($AO$1=1,0,"")))</f>
        <v/>
      </c>
      <c r="Y249" s="38" t="str">
        <f t="shared" si="75"/>
        <v/>
      </c>
      <c r="Z249" s="39" t="str">
        <f>IF(L249="","",IF(V249&gt;0,INDEX('11-تشرين الثاني'!$Q$2:$Q$501,V249),IF($AO$1=1,0,"")))</f>
        <v/>
      </c>
      <c r="AA249" s="39" t="str">
        <f t="shared" si="76"/>
        <v/>
      </c>
      <c r="AB249" s="40" t="str">
        <f>IF(OR(L249="",V249=0),"",IF(AND(N(I249)&gt;0,N(INDEX('11-تشرين الثاني'!$I$2:$I$501,V249))&gt;0,INDEX('11-تشرين الثاني'!$F$2:$F$501,V249)=F249),N(I249)/N(INDEX('11-تشرين الثاني'!$I$2:$I$501,V249))-1,""))</f>
        <v/>
      </c>
      <c r="AC249" t="str">
        <f t="shared" si="77"/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8"/>
        <v/>
      </c>
      <c r="AH249" s="39" t="str">
        <f t="shared" si="79"/>
        <v/>
      </c>
      <c r="AI249" s="39" t="str">
        <f t="shared" si="80"/>
        <v/>
      </c>
      <c r="AJ249" s="39" t="str">
        <f t="shared" si="81"/>
        <v/>
      </c>
      <c r="AK249" t="str">
        <f t="shared" si="82"/>
        <v/>
      </c>
      <c r="AL249" t="str">
        <f t="shared" si="83"/>
        <v/>
      </c>
    </row>
    <row r="250" spans="11:38" ht="15">
      <c r="K250" t="str">
        <f t="shared" si="63"/>
        <v/>
      </c>
      <c r="L250" t="str">
        <f t="shared" si="64"/>
        <v/>
      </c>
      <c r="M250" s="36" t="str">
        <f t="shared" si="65"/>
        <v/>
      </c>
      <c r="N250" s="37" t="str">
        <f t="shared" si="66"/>
        <v/>
      </c>
      <c r="O250" s="37" t="str">
        <f t="shared" si="67"/>
        <v/>
      </c>
      <c r="P250" s="38" t="str">
        <f t="shared" si="68"/>
        <v/>
      </c>
      <c r="Q250" s="39" t="str">
        <f t="shared" si="69"/>
        <v/>
      </c>
      <c r="R250" s="39" t="str">
        <f t="shared" si="70"/>
        <v/>
      </c>
      <c r="S250" t="str">
        <f t="shared" si="71"/>
        <v/>
      </c>
      <c r="T250" s="39" t="str">
        <f t="shared" si="72"/>
        <v/>
      </c>
      <c r="U250" t="str">
        <f t="shared" si="73"/>
        <v/>
      </c>
      <c r="V250" t="str">
        <f>IF(L250="","",IF($AO$1=1,IFERROR(MATCH(L250,'11-تشرين الثاني'!$L$2:$L$501,0),0),0))</f>
        <v/>
      </c>
      <c r="W250" t="str">
        <f t="shared" si="74"/>
        <v/>
      </c>
      <c r="X250" s="38" t="str">
        <f>IF(L250="","",IF(V250&gt;0,INDEX('11-تشرين الثاني'!$P$2:$P$501,V250),IF($AO$1=1,0,"")))</f>
        <v/>
      </c>
      <c r="Y250" s="38" t="str">
        <f t="shared" si="75"/>
        <v/>
      </c>
      <c r="Z250" s="39" t="str">
        <f>IF(L250="","",IF(V250&gt;0,INDEX('11-تشرين الثاني'!$Q$2:$Q$501,V250),IF($AO$1=1,0,"")))</f>
        <v/>
      </c>
      <c r="AA250" s="39" t="str">
        <f t="shared" si="76"/>
        <v/>
      </c>
      <c r="AB250" s="40" t="str">
        <f>IF(OR(L250="",V250=0),"",IF(AND(N(I250)&gt;0,N(INDEX('11-تشرين الثاني'!$I$2:$I$501,V250))&gt;0,INDEX('11-تشرين الثاني'!$F$2:$F$501,V250)=F250),N(I250)/N(INDEX('11-تشرين الثاني'!$I$2:$I$501,V250))-1,""))</f>
        <v/>
      </c>
      <c r="AC250" t="str">
        <f t="shared" si="77"/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8"/>
        <v/>
      </c>
      <c r="AH250" s="39" t="str">
        <f t="shared" si="79"/>
        <v/>
      </c>
      <c r="AI250" s="39" t="str">
        <f t="shared" si="80"/>
        <v/>
      </c>
      <c r="AJ250" s="39" t="str">
        <f t="shared" si="81"/>
        <v/>
      </c>
      <c r="AK250" t="str">
        <f t="shared" si="82"/>
        <v/>
      </c>
      <c r="AL250" t="str">
        <f t="shared" si="83"/>
        <v/>
      </c>
    </row>
    <row r="251" spans="11:38" ht="15">
      <c r="K251" t="str">
        <f t="shared" si="63"/>
        <v/>
      </c>
      <c r="L251" t="str">
        <f t="shared" si="64"/>
        <v/>
      </c>
      <c r="M251" s="36" t="str">
        <f t="shared" si="65"/>
        <v/>
      </c>
      <c r="N251" s="37" t="str">
        <f t="shared" si="66"/>
        <v/>
      </c>
      <c r="O251" s="37" t="str">
        <f t="shared" si="67"/>
        <v/>
      </c>
      <c r="P251" s="38" t="str">
        <f t="shared" si="68"/>
        <v/>
      </c>
      <c r="Q251" s="39" t="str">
        <f t="shared" si="69"/>
        <v/>
      </c>
      <c r="R251" s="39" t="str">
        <f t="shared" si="70"/>
        <v/>
      </c>
      <c r="S251" t="str">
        <f t="shared" si="71"/>
        <v/>
      </c>
      <c r="T251" s="39" t="str">
        <f t="shared" si="72"/>
        <v/>
      </c>
      <c r="U251" t="str">
        <f t="shared" si="73"/>
        <v/>
      </c>
      <c r="V251" t="str">
        <f>IF(L251="","",IF($AO$1=1,IFERROR(MATCH(L251,'11-تشرين الثاني'!$L$2:$L$501,0),0),0))</f>
        <v/>
      </c>
      <c r="W251" t="str">
        <f t="shared" si="74"/>
        <v/>
      </c>
      <c r="X251" s="38" t="str">
        <f>IF(L251="","",IF(V251&gt;0,INDEX('11-تشرين الثاني'!$P$2:$P$501,V251),IF($AO$1=1,0,"")))</f>
        <v/>
      </c>
      <c r="Y251" s="38" t="str">
        <f t="shared" si="75"/>
        <v/>
      </c>
      <c r="Z251" s="39" t="str">
        <f>IF(L251="","",IF(V251&gt;0,INDEX('11-تشرين الثاني'!$Q$2:$Q$501,V251),IF($AO$1=1,0,"")))</f>
        <v/>
      </c>
      <c r="AA251" s="39" t="str">
        <f t="shared" si="76"/>
        <v/>
      </c>
      <c r="AB251" s="40" t="str">
        <f>IF(OR(L251="",V251=0),"",IF(AND(N(I251)&gt;0,N(INDEX('11-تشرين الثاني'!$I$2:$I$501,V251))&gt;0,INDEX('11-تشرين الثاني'!$F$2:$F$501,V251)=F251),N(I251)/N(INDEX('11-تشرين الثاني'!$I$2:$I$501,V251))-1,""))</f>
        <v/>
      </c>
      <c r="AC251" t="str">
        <f t="shared" si="77"/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8"/>
        <v/>
      </c>
      <c r="AH251" s="39" t="str">
        <f t="shared" si="79"/>
        <v/>
      </c>
      <c r="AI251" s="39" t="str">
        <f t="shared" si="80"/>
        <v/>
      </c>
      <c r="AJ251" s="39" t="str">
        <f t="shared" si="81"/>
        <v/>
      </c>
      <c r="AK251" t="str">
        <f t="shared" si="82"/>
        <v/>
      </c>
      <c r="AL251" t="str">
        <f t="shared" si="83"/>
        <v/>
      </c>
    </row>
    <row r="252" spans="11:38" ht="15">
      <c r="K252" t="str">
        <f t="shared" si="63"/>
        <v/>
      </c>
      <c r="L252" t="str">
        <f t="shared" si="64"/>
        <v/>
      </c>
      <c r="M252" s="36" t="str">
        <f t="shared" si="65"/>
        <v/>
      </c>
      <c r="N252" s="37" t="str">
        <f t="shared" si="66"/>
        <v/>
      </c>
      <c r="O252" s="37" t="str">
        <f t="shared" si="67"/>
        <v/>
      </c>
      <c r="P252" s="38" t="str">
        <f t="shared" si="68"/>
        <v/>
      </c>
      <c r="Q252" s="39" t="str">
        <f t="shared" si="69"/>
        <v/>
      </c>
      <c r="R252" s="39" t="str">
        <f t="shared" si="70"/>
        <v/>
      </c>
      <c r="S252" t="str">
        <f t="shared" si="71"/>
        <v/>
      </c>
      <c r="T252" s="39" t="str">
        <f t="shared" si="72"/>
        <v/>
      </c>
      <c r="U252" t="str">
        <f t="shared" si="73"/>
        <v/>
      </c>
      <c r="V252" t="str">
        <f>IF(L252="","",IF($AO$1=1,IFERROR(MATCH(L252,'11-تشرين الثاني'!$L$2:$L$501,0),0),0))</f>
        <v/>
      </c>
      <c r="W252" t="str">
        <f t="shared" si="74"/>
        <v/>
      </c>
      <c r="X252" s="38" t="str">
        <f>IF(L252="","",IF(V252&gt;0,INDEX('11-تشرين الثاني'!$P$2:$P$501,V252),IF($AO$1=1,0,"")))</f>
        <v/>
      </c>
      <c r="Y252" s="38" t="str">
        <f t="shared" si="75"/>
        <v/>
      </c>
      <c r="Z252" s="39" t="str">
        <f>IF(L252="","",IF(V252&gt;0,INDEX('11-تشرين الثاني'!$Q$2:$Q$501,V252),IF($AO$1=1,0,"")))</f>
        <v/>
      </c>
      <c r="AA252" s="39" t="str">
        <f t="shared" si="76"/>
        <v/>
      </c>
      <c r="AB252" s="40" t="str">
        <f>IF(OR(L252="",V252=0),"",IF(AND(N(I252)&gt;0,N(INDEX('11-تشرين الثاني'!$I$2:$I$501,V252))&gt;0,INDEX('11-تشرين الثاني'!$F$2:$F$501,V252)=F252),N(I252)/N(INDEX('11-تشرين الثاني'!$I$2:$I$501,V252))-1,""))</f>
        <v/>
      </c>
      <c r="AC252" t="str">
        <f t="shared" si="77"/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8"/>
        <v/>
      </c>
      <c r="AH252" s="39" t="str">
        <f t="shared" si="79"/>
        <v/>
      </c>
      <c r="AI252" s="39" t="str">
        <f t="shared" si="80"/>
        <v/>
      </c>
      <c r="AJ252" s="39" t="str">
        <f t="shared" si="81"/>
        <v/>
      </c>
      <c r="AK252" t="str">
        <f t="shared" si="82"/>
        <v/>
      </c>
      <c r="AL252" t="str">
        <f t="shared" si="83"/>
        <v/>
      </c>
    </row>
    <row r="253" spans="11:38" ht="15">
      <c r="K253" t="str">
        <f t="shared" si="63"/>
        <v/>
      </c>
      <c r="L253" t="str">
        <f t="shared" si="64"/>
        <v/>
      </c>
      <c r="M253" s="36" t="str">
        <f t="shared" si="65"/>
        <v/>
      </c>
      <c r="N253" s="37" t="str">
        <f t="shared" si="66"/>
        <v/>
      </c>
      <c r="O253" s="37" t="str">
        <f t="shared" si="67"/>
        <v/>
      </c>
      <c r="P253" s="38" t="str">
        <f t="shared" si="68"/>
        <v/>
      </c>
      <c r="Q253" s="39" t="str">
        <f t="shared" si="69"/>
        <v/>
      </c>
      <c r="R253" s="39" t="str">
        <f t="shared" si="70"/>
        <v/>
      </c>
      <c r="S253" t="str">
        <f t="shared" si="71"/>
        <v/>
      </c>
      <c r="T253" s="39" t="str">
        <f t="shared" si="72"/>
        <v/>
      </c>
      <c r="U253" t="str">
        <f t="shared" si="73"/>
        <v/>
      </c>
      <c r="V253" t="str">
        <f>IF(L253="","",IF($AO$1=1,IFERROR(MATCH(L253,'11-تشرين الثاني'!$L$2:$L$501,0),0),0))</f>
        <v/>
      </c>
      <c r="W253" t="str">
        <f t="shared" si="74"/>
        <v/>
      </c>
      <c r="X253" s="38" t="str">
        <f>IF(L253="","",IF(V253&gt;0,INDEX('11-تشرين الثاني'!$P$2:$P$501,V253),IF($AO$1=1,0,"")))</f>
        <v/>
      </c>
      <c r="Y253" s="38" t="str">
        <f t="shared" si="75"/>
        <v/>
      </c>
      <c r="Z253" s="39" t="str">
        <f>IF(L253="","",IF(V253&gt;0,INDEX('11-تشرين الثاني'!$Q$2:$Q$501,V253),IF($AO$1=1,0,"")))</f>
        <v/>
      </c>
      <c r="AA253" s="39" t="str">
        <f t="shared" si="76"/>
        <v/>
      </c>
      <c r="AB253" s="40" t="str">
        <f>IF(OR(L253="",V253=0),"",IF(AND(N(I253)&gt;0,N(INDEX('11-تشرين الثاني'!$I$2:$I$501,V253))&gt;0,INDEX('11-تشرين الثاني'!$F$2:$F$501,V253)=F253),N(I253)/N(INDEX('11-تشرين الثاني'!$I$2:$I$501,V253))-1,""))</f>
        <v/>
      </c>
      <c r="AC253" t="str">
        <f t="shared" si="77"/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8"/>
        <v/>
      </c>
      <c r="AH253" s="39" t="str">
        <f t="shared" si="79"/>
        <v/>
      </c>
      <c r="AI253" s="39" t="str">
        <f t="shared" si="80"/>
        <v/>
      </c>
      <c r="AJ253" s="39" t="str">
        <f t="shared" si="81"/>
        <v/>
      </c>
      <c r="AK253" t="str">
        <f t="shared" si="82"/>
        <v/>
      </c>
      <c r="AL253" t="str">
        <f t="shared" si="83"/>
        <v/>
      </c>
    </row>
    <row r="254" spans="11:38" ht="15">
      <c r="K254" t="str">
        <f t="shared" si="63"/>
        <v/>
      </c>
      <c r="L254" t="str">
        <f t="shared" si="64"/>
        <v/>
      </c>
      <c r="M254" s="36" t="str">
        <f t="shared" si="65"/>
        <v/>
      </c>
      <c r="N254" s="37" t="str">
        <f t="shared" si="66"/>
        <v/>
      </c>
      <c r="O254" s="37" t="str">
        <f t="shared" si="67"/>
        <v/>
      </c>
      <c r="P254" s="38" t="str">
        <f t="shared" si="68"/>
        <v/>
      </c>
      <c r="Q254" s="39" t="str">
        <f t="shared" si="69"/>
        <v/>
      </c>
      <c r="R254" s="39" t="str">
        <f t="shared" si="70"/>
        <v/>
      </c>
      <c r="S254" t="str">
        <f t="shared" si="71"/>
        <v/>
      </c>
      <c r="T254" s="39" t="str">
        <f t="shared" si="72"/>
        <v/>
      </c>
      <c r="U254" t="str">
        <f t="shared" si="73"/>
        <v/>
      </c>
      <c r="V254" t="str">
        <f>IF(L254="","",IF($AO$1=1,IFERROR(MATCH(L254,'11-تشرين الثاني'!$L$2:$L$501,0),0),0))</f>
        <v/>
      </c>
      <c r="W254" t="str">
        <f t="shared" si="74"/>
        <v/>
      </c>
      <c r="X254" s="38" t="str">
        <f>IF(L254="","",IF(V254&gt;0,INDEX('11-تشرين الثاني'!$P$2:$P$501,V254),IF($AO$1=1,0,"")))</f>
        <v/>
      </c>
      <c r="Y254" s="38" t="str">
        <f t="shared" si="75"/>
        <v/>
      </c>
      <c r="Z254" s="39" t="str">
        <f>IF(L254="","",IF(V254&gt;0,INDEX('11-تشرين الثاني'!$Q$2:$Q$501,V254),IF($AO$1=1,0,"")))</f>
        <v/>
      </c>
      <c r="AA254" s="39" t="str">
        <f t="shared" si="76"/>
        <v/>
      </c>
      <c r="AB254" s="40" t="str">
        <f>IF(OR(L254="",V254=0),"",IF(AND(N(I254)&gt;0,N(INDEX('11-تشرين الثاني'!$I$2:$I$501,V254))&gt;0,INDEX('11-تشرين الثاني'!$F$2:$F$501,V254)=F254),N(I254)/N(INDEX('11-تشرين الثاني'!$I$2:$I$501,V254))-1,""))</f>
        <v/>
      </c>
      <c r="AC254" t="str">
        <f t="shared" si="77"/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8"/>
        <v/>
      </c>
      <c r="AH254" s="39" t="str">
        <f t="shared" si="79"/>
        <v/>
      </c>
      <c r="AI254" s="39" t="str">
        <f t="shared" si="80"/>
        <v/>
      </c>
      <c r="AJ254" s="39" t="str">
        <f t="shared" si="81"/>
        <v/>
      </c>
      <c r="AK254" t="str">
        <f t="shared" si="82"/>
        <v/>
      </c>
      <c r="AL254" t="str">
        <f t="shared" si="83"/>
        <v/>
      </c>
    </row>
    <row r="255" spans="11:38" ht="15">
      <c r="K255" t="str">
        <f t="shared" si="63"/>
        <v/>
      </c>
      <c r="L255" t="str">
        <f t="shared" si="64"/>
        <v/>
      </c>
      <c r="M255" s="36" t="str">
        <f t="shared" si="65"/>
        <v/>
      </c>
      <c r="N255" s="37" t="str">
        <f t="shared" si="66"/>
        <v/>
      </c>
      <c r="O255" s="37" t="str">
        <f t="shared" si="67"/>
        <v/>
      </c>
      <c r="P255" s="38" t="str">
        <f t="shared" si="68"/>
        <v/>
      </c>
      <c r="Q255" s="39" t="str">
        <f t="shared" si="69"/>
        <v/>
      </c>
      <c r="R255" s="39" t="str">
        <f t="shared" si="70"/>
        <v/>
      </c>
      <c r="S255" t="str">
        <f t="shared" si="71"/>
        <v/>
      </c>
      <c r="T255" s="39" t="str">
        <f t="shared" si="72"/>
        <v/>
      </c>
      <c r="U255" t="str">
        <f t="shared" si="73"/>
        <v/>
      </c>
      <c r="V255" t="str">
        <f>IF(L255="","",IF($AO$1=1,IFERROR(MATCH(L255,'11-تشرين الثاني'!$L$2:$L$501,0),0),0))</f>
        <v/>
      </c>
      <c r="W255" t="str">
        <f t="shared" si="74"/>
        <v/>
      </c>
      <c r="X255" s="38" t="str">
        <f>IF(L255="","",IF(V255&gt;0,INDEX('11-تشرين الثاني'!$P$2:$P$501,V255),IF($AO$1=1,0,"")))</f>
        <v/>
      </c>
      <c r="Y255" s="38" t="str">
        <f t="shared" si="75"/>
        <v/>
      </c>
      <c r="Z255" s="39" t="str">
        <f>IF(L255="","",IF(V255&gt;0,INDEX('11-تشرين الثاني'!$Q$2:$Q$501,V255),IF($AO$1=1,0,"")))</f>
        <v/>
      </c>
      <c r="AA255" s="39" t="str">
        <f t="shared" si="76"/>
        <v/>
      </c>
      <c r="AB255" s="40" t="str">
        <f>IF(OR(L255="",V255=0),"",IF(AND(N(I255)&gt;0,N(INDEX('11-تشرين الثاني'!$I$2:$I$501,V255))&gt;0,INDEX('11-تشرين الثاني'!$F$2:$F$501,V255)=F255),N(I255)/N(INDEX('11-تشرين الثاني'!$I$2:$I$501,V255))-1,""))</f>
        <v/>
      </c>
      <c r="AC255" t="str">
        <f t="shared" si="77"/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8"/>
        <v/>
      </c>
      <c r="AH255" s="39" t="str">
        <f t="shared" si="79"/>
        <v/>
      </c>
      <c r="AI255" s="39" t="str">
        <f t="shared" si="80"/>
        <v/>
      </c>
      <c r="AJ255" s="39" t="str">
        <f t="shared" si="81"/>
        <v/>
      </c>
      <c r="AK255" t="str">
        <f t="shared" si="82"/>
        <v/>
      </c>
      <c r="AL255" t="str">
        <f t="shared" si="83"/>
        <v/>
      </c>
    </row>
    <row r="256" spans="11:38" ht="15">
      <c r="K256" t="str">
        <f t="shared" si="63"/>
        <v/>
      </c>
      <c r="L256" t="str">
        <f t="shared" si="64"/>
        <v/>
      </c>
      <c r="M256" s="36" t="str">
        <f t="shared" si="65"/>
        <v/>
      </c>
      <c r="N256" s="37" t="str">
        <f t="shared" si="66"/>
        <v/>
      </c>
      <c r="O256" s="37" t="str">
        <f t="shared" si="67"/>
        <v/>
      </c>
      <c r="P256" s="38" t="str">
        <f t="shared" si="68"/>
        <v/>
      </c>
      <c r="Q256" s="39" t="str">
        <f t="shared" si="69"/>
        <v/>
      </c>
      <c r="R256" s="39" t="str">
        <f t="shared" si="70"/>
        <v/>
      </c>
      <c r="S256" t="str">
        <f t="shared" si="71"/>
        <v/>
      </c>
      <c r="T256" s="39" t="str">
        <f t="shared" si="72"/>
        <v/>
      </c>
      <c r="U256" t="str">
        <f t="shared" si="73"/>
        <v/>
      </c>
      <c r="V256" t="str">
        <f>IF(L256="","",IF($AO$1=1,IFERROR(MATCH(L256,'11-تشرين الثاني'!$L$2:$L$501,0),0),0))</f>
        <v/>
      </c>
      <c r="W256" t="str">
        <f t="shared" si="74"/>
        <v/>
      </c>
      <c r="X256" s="38" t="str">
        <f>IF(L256="","",IF(V256&gt;0,INDEX('11-تشرين الثاني'!$P$2:$P$501,V256),IF($AO$1=1,0,"")))</f>
        <v/>
      </c>
      <c r="Y256" s="38" t="str">
        <f t="shared" si="75"/>
        <v/>
      </c>
      <c r="Z256" s="39" t="str">
        <f>IF(L256="","",IF(V256&gt;0,INDEX('11-تشرين الثاني'!$Q$2:$Q$501,V256),IF($AO$1=1,0,"")))</f>
        <v/>
      </c>
      <c r="AA256" s="39" t="str">
        <f t="shared" si="76"/>
        <v/>
      </c>
      <c r="AB256" s="40" t="str">
        <f>IF(OR(L256="",V256=0),"",IF(AND(N(I256)&gt;0,N(INDEX('11-تشرين الثاني'!$I$2:$I$501,V256))&gt;0,INDEX('11-تشرين الثاني'!$F$2:$F$501,V256)=F256),N(I256)/N(INDEX('11-تشرين الثاني'!$I$2:$I$501,V256))-1,""))</f>
        <v/>
      </c>
      <c r="AC256" t="str">
        <f t="shared" si="77"/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8"/>
        <v/>
      </c>
      <c r="AH256" s="39" t="str">
        <f t="shared" si="79"/>
        <v/>
      </c>
      <c r="AI256" s="39" t="str">
        <f t="shared" si="80"/>
        <v/>
      </c>
      <c r="AJ256" s="39" t="str">
        <f t="shared" si="81"/>
        <v/>
      </c>
      <c r="AK256" t="str">
        <f t="shared" si="82"/>
        <v/>
      </c>
      <c r="AL256" t="str">
        <f t="shared" si="83"/>
        <v/>
      </c>
    </row>
    <row r="257" spans="11:38" ht="15">
      <c r="K257" t="str">
        <f t="shared" si="63"/>
        <v/>
      </c>
      <c r="L257" t="str">
        <f t="shared" si="64"/>
        <v/>
      </c>
      <c r="M257" s="36" t="str">
        <f t="shared" si="65"/>
        <v/>
      </c>
      <c r="N257" s="37" t="str">
        <f t="shared" si="66"/>
        <v/>
      </c>
      <c r="O257" s="37" t="str">
        <f t="shared" si="67"/>
        <v/>
      </c>
      <c r="P257" s="38" t="str">
        <f t="shared" si="68"/>
        <v/>
      </c>
      <c r="Q257" s="39" t="str">
        <f t="shared" si="69"/>
        <v/>
      </c>
      <c r="R257" s="39" t="str">
        <f t="shared" si="70"/>
        <v/>
      </c>
      <c r="S257" t="str">
        <f t="shared" si="71"/>
        <v/>
      </c>
      <c r="T257" s="39" t="str">
        <f t="shared" si="72"/>
        <v/>
      </c>
      <c r="U257" t="str">
        <f t="shared" si="73"/>
        <v/>
      </c>
      <c r="V257" t="str">
        <f>IF(L257="","",IF($AO$1=1,IFERROR(MATCH(L257,'11-تشرين الثاني'!$L$2:$L$501,0),0),0))</f>
        <v/>
      </c>
      <c r="W257" t="str">
        <f t="shared" si="74"/>
        <v/>
      </c>
      <c r="X257" s="38" t="str">
        <f>IF(L257="","",IF(V257&gt;0,INDEX('11-تشرين الثاني'!$P$2:$P$501,V257),IF($AO$1=1,0,"")))</f>
        <v/>
      </c>
      <c r="Y257" s="38" t="str">
        <f t="shared" si="75"/>
        <v/>
      </c>
      <c r="Z257" s="39" t="str">
        <f>IF(L257="","",IF(V257&gt;0,INDEX('11-تشرين الثاني'!$Q$2:$Q$501,V257),IF($AO$1=1,0,"")))</f>
        <v/>
      </c>
      <c r="AA257" s="39" t="str">
        <f t="shared" si="76"/>
        <v/>
      </c>
      <c r="AB257" s="40" t="str">
        <f>IF(OR(L257="",V257=0),"",IF(AND(N(I257)&gt;0,N(INDEX('11-تشرين الثاني'!$I$2:$I$501,V257))&gt;0,INDEX('11-تشرين الثاني'!$F$2:$F$501,V257)=F257),N(I257)/N(INDEX('11-تشرين الثاني'!$I$2:$I$501,V257))-1,""))</f>
        <v/>
      </c>
      <c r="AC257" t="str">
        <f t="shared" si="77"/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8"/>
        <v/>
      </c>
      <c r="AH257" s="39" t="str">
        <f t="shared" si="79"/>
        <v/>
      </c>
      <c r="AI257" s="39" t="str">
        <f t="shared" si="80"/>
        <v/>
      </c>
      <c r="AJ257" s="39" t="str">
        <f t="shared" si="81"/>
        <v/>
      </c>
      <c r="AK257" t="str">
        <f t="shared" si="82"/>
        <v/>
      </c>
      <c r="AL257" t="str">
        <f t="shared" si="83"/>
        <v/>
      </c>
    </row>
    <row r="258" spans="11:38" ht="15">
      <c r="K258" t="str">
        <f t="shared" ref="K258:K321" si="84">IF(L258="","",IF(U258&lt;&gt;"","⚠",""))</f>
        <v/>
      </c>
      <c r="L258" t="str">
        <f t="shared" ref="L258:L321" si="85">IF(A258="","",TRIM(A258))</f>
        <v/>
      </c>
      <c r="M258" s="36" t="str">
        <f t="shared" ref="M258:M321" si="86">IF(L258="","",IF(ISNUMBER(SEARCH("دولار",F258)),1,IF(ISNUMBER(SEARCH("ليرة",F258)),IF($AO$3&gt;0,1/$AO$3,0),0)))</f>
        <v/>
      </c>
      <c r="N258" s="37" t="str">
        <f t="shared" ref="N258:N321" si="87">IF(L258="","",N(I258)*M258)</f>
        <v/>
      </c>
      <c r="O258" s="37" t="str">
        <f t="shared" ref="O258:O321" si="88">IF(L258="","",M258*CHOOSE($AO$4,N(C258),N(D258),N(E258)))</f>
        <v/>
      </c>
      <c r="P258" s="38" t="str">
        <f t="shared" ref="P258:P321" si="89">IF(L258="","",MAX(N(B258),0))</f>
        <v/>
      </c>
      <c r="Q258" s="39" t="str">
        <f t="shared" ref="Q258:Q321" si="90">IF(L258="","",P258*N258)</f>
        <v/>
      </c>
      <c r="R258" s="39" t="str">
        <f t="shared" ref="R258:R321" si="91">IF(L258="","",P258*O258)</f>
        <v/>
      </c>
      <c r="S258" t="str">
        <f t="shared" ref="S258:S321" si="92">IF(L258="","",IF(AND(P258&gt;0,N258&gt;0,O258&gt;0),1,0))</f>
        <v/>
      </c>
      <c r="T258" s="39" t="str">
        <f t="shared" ref="T258:T321" si="93">IF(L258="","",S258*(R258-Q258))</f>
        <v/>
      </c>
      <c r="U258" t="str">
        <f t="shared" ref="U258:U321" si="94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IF(L258="","",IF($AO$1=1,IFERROR(MATCH(L258,'11-تشرين الثاني'!$L$2:$L$501,0),0),0))</f>
        <v/>
      </c>
      <c r="W258" t="str">
        <f t="shared" ref="W258:W321" si="95">IF(L258="","",IF(AND($AO$1=1,V258=0),"جديد",""))</f>
        <v/>
      </c>
      <c r="X258" s="38" t="str">
        <f>IF(L258="","",IF(V258&gt;0,INDEX('11-تشرين الثاني'!$P$2:$P$501,V258),IF($AO$1=1,0,"")))</f>
        <v/>
      </c>
      <c r="Y258" s="38" t="str">
        <f t="shared" ref="Y258:Y321" si="96">IF(OR(L258="",X258=""),"",P258-X258)</f>
        <v/>
      </c>
      <c r="Z258" s="39" t="str">
        <f>IF(L258="","",IF(V258&gt;0,INDEX('11-تشرين الثاني'!$Q$2:$Q$501,V258),IF($AO$1=1,0,"")))</f>
        <v/>
      </c>
      <c r="AA258" s="39" t="str">
        <f t="shared" ref="AA258:AA321" si="97">IF(OR(L258="",Z258=""),"",Q258-Z258)</f>
        <v/>
      </c>
      <c r="AB258" s="40" t="str">
        <f>IF(OR(L258="",V258=0),"",IF(AND(N(I258)&gt;0,N(INDEX('11-تشرين الثاني'!$I$2:$I$501,V258))&gt;0,INDEX('11-تشرين الثاني'!$F$2:$F$501,V258)=F258),N(I258)/N(INDEX('11-تشرين الثاني'!$I$2:$I$501,V258))-1,""))</f>
        <v/>
      </c>
      <c r="AC258" t="str">
        <f t="shared" ref="AC258:AC321" si="98">IF(L258="","","")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9">IF(AA258="","",ABS(AA258)+ROW()/1000000000)</f>
        <v/>
      </c>
      <c r="AH258" s="39" t="str">
        <f t="shared" ref="AH258:AH321" si="100">IF(L258="","",IF(AND(P258&gt;0,N258&gt;0,N(C258)&gt;0),P258*(M258*N(C258)-N258),0))</f>
        <v/>
      </c>
      <c r="AI258" s="39" t="str">
        <f t="shared" ref="AI258:AI321" si="101">IF(L258="","",IF(AND(P258&gt;0,N258&gt;0,N(D258)&gt;0),P258*(M258*N(D258)-N258),0))</f>
        <v/>
      </c>
      <c r="AJ258" s="39" t="str">
        <f t="shared" ref="AJ258:AJ321" si="102">IF(L258="","",IF(AND(P258&gt;0,N258&gt;0,N(E258)&gt;0),P258*(M258*N(E258)-N258),0))</f>
        <v/>
      </c>
      <c r="AK258" t="str">
        <f t="shared" ref="AK258:AK321" si="103">IF(L258="","",Q258+ROW()/1000000000)</f>
        <v/>
      </c>
      <c r="AL258" t="str">
        <f t="shared" ref="AL258:AL321" si="104">IF(L258="","",T258+ROW()/1000000000)</f>
        <v/>
      </c>
    </row>
    <row r="259" spans="11:38" ht="15">
      <c r="K259" t="str">
        <f t="shared" si="84"/>
        <v/>
      </c>
      <c r="L259" t="str">
        <f t="shared" si="85"/>
        <v/>
      </c>
      <c r="M259" s="36" t="str">
        <f t="shared" si="86"/>
        <v/>
      </c>
      <c r="N259" s="37" t="str">
        <f t="shared" si="87"/>
        <v/>
      </c>
      <c r="O259" s="37" t="str">
        <f t="shared" si="88"/>
        <v/>
      </c>
      <c r="P259" s="38" t="str">
        <f t="shared" si="89"/>
        <v/>
      </c>
      <c r="Q259" s="39" t="str">
        <f t="shared" si="90"/>
        <v/>
      </c>
      <c r="R259" s="39" t="str">
        <f t="shared" si="91"/>
        <v/>
      </c>
      <c r="S259" t="str">
        <f t="shared" si="92"/>
        <v/>
      </c>
      <c r="T259" s="39" t="str">
        <f t="shared" si="93"/>
        <v/>
      </c>
      <c r="U259" t="str">
        <f t="shared" si="94"/>
        <v/>
      </c>
      <c r="V259" t="str">
        <f>IF(L259="","",IF($AO$1=1,IFERROR(MATCH(L259,'11-تشرين الثاني'!$L$2:$L$501,0),0),0))</f>
        <v/>
      </c>
      <c r="W259" t="str">
        <f t="shared" si="95"/>
        <v/>
      </c>
      <c r="X259" s="38" t="str">
        <f>IF(L259="","",IF(V259&gt;0,INDEX('11-تشرين الثاني'!$P$2:$P$501,V259),IF($AO$1=1,0,"")))</f>
        <v/>
      </c>
      <c r="Y259" s="38" t="str">
        <f t="shared" si="96"/>
        <v/>
      </c>
      <c r="Z259" s="39" t="str">
        <f>IF(L259="","",IF(V259&gt;0,INDEX('11-تشرين الثاني'!$Q$2:$Q$501,V259),IF($AO$1=1,0,"")))</f>
        <v/>
      </c>
      <c r="AA259" s="39" t="str">
        <f t="shared" si="97"/>
        <v/>
      </c>
      <c r="AB259" s="40" t="str">
        <f>IF(OR(L259="",V259=0),"",IF(AND(N(I259)&gt;0,N(INDEX('11-تشرين الثاني'!$I$2:$I$501,V259))&gt;0,INDEX('11-تشرين الثاني'!$F$2:$F$501,V259)=F259),N(I259)/N(INDEX('11-تشرين الثاني'!$I$2:$I$501,V259))-1,""))</f>
        <v/>
      </c>
      <c r="AC259" t="str">
        <f t="shared" si="98"/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9"/>
        <v/>
      </c>
      <c r="AH259" s="39" t="str">
        <f t="shared" si="100"/>
        <v/>
      </c>
      <c r="AI259" s="39" t="str">
        <f t="shared" si="101"/>
        <v/>
      </c>
      <c r="AJ259" s="39" t="str">
        <f t="shared" si="102"/>
        <v/>
      </c>
      <c r="AK259" t="str">
        <f t="shared" si="103"/>
        <v/>
      </c>
      <c r="AL259" t="str">
        <f t="shared" si="104"/>
        <v/>
      </c>
    </row>
    <row r="260" spans="11:38" ht="15">
      <c r="K260" t="str">
        <f t="shared" si="84"/>
        <v/>
      </c>
      <c r="L260" t="str">
        <f t="shared" si="85"/>
        <v/>
      </c>
      <c r="M260" s="36" t="str">
        <f t="shared" si="86"/>
        <v/>
      </c>
      <c r="N260" s="37" t="str">
        <f t="shared" si="87"/>
        <v/>
      </c>
      <c r="O260" s="37" t="str">
        <f t="shared" si="88"/>
        <v/>
      </c>
      <c r="P260" s="38" t="str">
        <f t="shared" si="89"/>
        <v/>
      </c>
      <c r="Q260" s="39" t="str">
        <f t="shared" si="90"/>
        <v/>
      </c>
      <c r="R260" s="39" t="str">
        <f t="shared" si="91"/>
        <v/>
      </c>
      <c r="S260" t="str">
        <f t="shared" si="92"/>
        <v/>
      </c>
      <c r="T260" s="39" t="str">
        <f t="shared" si="93"/>
        <v/>
      </c>
      <c r="U260" t="str">
        <f t="shared" si="94"/>
        <v/>
      </c>
      <c r="V260" t="str">
        <f>IF(L260="","",IF($AO$1=1,IFERROR(MATCH(L260,'11-تشرين الثاني'!$L$2:$L$501,0),0),0))</f>
        <v/>
      </c>
      <c r="W260" t="str">
        <f t="shared" si="95"/>
        <v/>
      </c>
      <c r="X260" s="38" t="str">
        <f>IF(L260="","",IF(V260&gt;0,INDEX('11-تشرين الثاني'!$P$2:$P$501,V260),IF($AO$1=1,0,"")))</f>
        <v/>
      </c>
      <c r="Y260" s="38" t="str">
        <f t="shared" si="96"/>
        <v/>
      </c>
      <c r="Z260" s="39" t="str">
        <f>IF(L260="","",IF(V260&gt;0,INDEX('11-تشرين الثاني'!$Q$2:$Q$501,V260),IF($AO$1=1,0,"")))</f>
        <v/>
      </c>
      <c r="AA260" s="39" t="str">
        <f t="shared" si="97"/>
        <v/>
      </c>
      <c r="AB260" s="40" t="str">
        <f>IF(OR(L260="",V260=0),"",IF(AND(N(I260)&gt;0,N(INDEX('11-تشرين الثاني'!$I$2:$I$501,V260))&gt;0,INDEX('11-تشرين الثاني'!$F$2:$F$501,V260)=F260),N(I260)/N(INDEX('11-تشرين الثاني'!$I$2:$I$501,V260))-1,""))</f>
        <v/>
      </c>
      <c r="AC260" t="str">
        <f t="shared" si="98"/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9"/>
        <v/>
      </c>
      <c r="AH260" s="39" t="str">
        <f t="shared" si="100"/>
        <v/>
      </c>
      <c r="AI260" s="39" t="str">
        <f t="shared" si="101"/>
        <v/>
      </c>
      <c r="AJ260" s="39" t="str">
        <f t="shared" si="102"/>
        <v/>
      </c>
      <c r="AK260" t="str">
        <f t="shared" si="103"/>
        <v/>
      </c>
      <c r="AL260" t="str">
        <f t="shared" si="104"/>
        <v/>
      </c>
    </row>
    <row r="261" spans="11:38" ht="15">
      <c r="K261" t="str">
        <f t="shared" si="84"/>
        <v/>
      </c>
      <c r="L261" t="str">
        <f t="shared" si="85"/>
        <v/>
      </c>
      <c r="M261" s="36" t="str">
        <f t="shared" si="86"/>
        <v/>
      </c>
      <c r="N261" s="37" t="str">
        <f t="shared" si="87"/>
        <v/>
      </c>
      <c r="O261" s="37" t="str">
        <f t="shared" si="88"/>
        <v/>
      </c>
      <c r="P261" s="38" t="str">
        <f t="shared" si="89"/>
        <v/>
      </c>
      <c r="Q261" s="39" t="str">
        <f t="shared" si="90"/>
        <v/>
      </c>
      <c r="R261" s="39" t="str">
        <f t="shared" si="91"/>
        <v/>
      </c>
      <c r="S261" t="str">
        <f t="shared" si="92"/>
        <v/>
      </c>
      <c r="T261" s="39" t="str">
        <f t="shared" si="93"/>
        <v/>
      </c>
      <c r="U261" t="str">
        <f t="shared" si="94"/>
        <v/>
      </c>
      <c r="V261" t="str">
        <f>IF(L261="","",IF($AO$1=1,IFERROR(MATCH(L261,'11-تشرين الثاني'!$L$2:$L$501,0),0),0))</f>
        <v/>
      </c>
      <c r="W261" t="str">
        <f t="shared" si="95"/>
        <v/>
      </c>
      <c r="X261" s="38" t="str">
        <f>IF(L261="","",IF(V261&gt;0,INDEX('11-تشرين الثاني'!$P$2:$P$501,V261),IF($AO$1=1,0,"")))</f>
        <v/>
      </c>
      <c r="Y261" s="38" t="str">
        <f t="shared" si="96"/>
        <v/>
      </c>
      <c r="Z261" s="39" t="str">
        <f>IF(L261="","",IF(V261&gt;0,INDEX('11-تشرين الثاني'!$Q$2:$Q$501,V261),IF($AO$1=1,0,"")))</f>
        <v/>
      </c>
      <c r="AA261" s="39" t="str">
        <f t="shared" si="97"/>
        <v/>
      </c>
      <c r="AB261" s="40" t="str">
        <f>IF(OR(L261="",V261=0),"",IF(AND(N(I261)&gt;0,N(INDEX('11-تشرين الثاني'!$I$2:$I$501,V261))&gt;0,INDEX('11-تشرين الثاني'!$F$2:$F$501,V261)=F261),N(I261)/N(INDEX('11-تشرين الثاني'!$I$2:$I$501,V261))-1,""))</f>
        <v/>
      </c>
      <c r="AC261" t="str">
        <f t="shared" si="98"/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9"/>
        <v/>
      </c>
      <c r="AH261" s="39" t="str">
        <f t="shared" si="100"/>
        <v/>
      </c>
      <c r="AI261" s="39" t="str">
        <f t="shared" si="101"/>
        <v/>
      </c>
      <c r="AJ261" s="39" t="str">
        <f t="shared" si="102"/>
        <v/>
      </c>
      <c r="AK261" t="str">
        <f t="shared" si="103"/>
        <v/>
      </c>
      <c r="AL261" t="str">
        <f t="shared" si="104"/>
        <v/>
      </c>
    </row>
    <row r="262" spans="11:38" ht="15">
      <c r="K262" t="str">
        <f t="shared" si="84"/>
        <v/>
      </c>
      <c r="L262" t="str">
        <f t="shared" si="85"/>
        <v/>
      </c>
      <c r="M262" s="36" t="str">
        <f t="shared" si="86"/>
        <v/>
      </c>
      <c r="N262" s="37" t="str">
        <f t="shared" si="87"/>
        <v/>
      </c>
      <c r="O262" s="37" t="str">
        <f t="shared" si="88"/>
        <v/>
      </c>
      <c r="P262" s="38" t="str">
        <f t="shared" si="89"/>
        <v/>
      </c>
      <c r="Q262" s="39" t="str">
        <f t="shared" si="90"/>
        <v/>
      </c>
      <c r="R262" s="39" t="str">
        <f t="shared" si="91"/>
        <v/>
      </c>
      <c r="S262" t="str">
        <f t="shared" si="92"/>
        <v/>
      </c>
      <c r="T262" s="39" t="str">
        <f t="shared" si="93"/>
        <v/>
      </c>
      <c r="U262" t="str">
        <f t="shared" si="94"/>
        <v/>
      </c>
      <c r="V262" t="str">
        <f>IF(L262="","",IF($AO$1=1,IFERROR(MATCH(L262,'11-تشرين الثاني'!$L$2:$L$501,0),0),0))</f>
        <v/>
      </c>
      <c r="W262" t="str">
        <f t="shared" si="95"/>
        <v/>
      </c>
      <c r="X262" s="38" t="str">
        <f>IF(L262="","",IF(V262&gt;0,INDEX('11-تشرين الثاني'!$P$2:$P$501,V262),IF($AO$1=1,0,"")))</f>
        <v/>
      </c>
      <c r="Y262" s="38" t="str">
        <f t="shared" si="96"/>
        <v/>
      </c>
      <c r="Z262" s="39" t="str">
        <f>IF(L262="","",IF(V262&gt;0,INDEX('11-تشرين الثاني'!$Q$2:$Q$501,V262),IF($AO$1=1,0,"")))</f>
        <v/>
      </c>
      <c r="AA262" s="39" t="str">
        <f t="shared" si="97"/>
        <v/>
      </c>
      <c r="AB262" s="40" t="str">
        <f>IF(OR(L262="",V262=0),"",IF(AND(N(I262)&gt;0,N(INDEX('11-تشرين الثاني'!$I$2:$I$501,V262))&gt;0,INDEX('11-تشرين الثاني'!$F$2:$F$501,V262)=F262),N(I262)/N(INDEX('11-تشرين الثاني'!$I$2:$I$501,V262))-1,""))</f>
        <v/>
      </c>
      <c r="AC262" t="str">
        <f t="shared" si="98"/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9"/>
        <v/>
      </c>
      <c r="AH262" s="39" t="str">
        <f t="shared" si="100"/>
        <v/>
      </c>
      <c r="AI262" s="39" t="str">
        <f t="shared" si="101"/>
        <v/>
      </c>
      <c r="AJ262" s="39" t="str">
        <f t="shared" si="102"/>
        <v/>
      </c>
      <c r="AK262" t="str">
        <f t="shared" si="103"/>
        <v/>
      </c>
      <c r="AL262" t="str">
        <f t="shared" si="104"/>
        <v/>
      </c>
    </row>
    <row r="263" spans="11:38" ht="15">
      <c r="K263" t="str">
        <f t="shared" si="84"/>
        <v/>
      </c>
      <c r="L263" t="str">
        <f t="shared" si="85"/>
        <v/>
      </c>
      <c r="M263" s="36" t="str">
        <f t="shared" si="86"/>
        <v/>
      </c>
      <c r="N263" s="37" t="str">
        <f t="shared" si="87"/>
        <v/>
      </c>
      <c r="O263" s="37" t="str">
        <f t="shared" si="88"/>
        <v/>
      </c>
      <c r="P263" s="38" t="str">
        <f t="shared" si="89"/>
        <v/>
      </c>
      <c r="Q263" s="39" t="str">
        <f t="shared" si="90"/>
        <v/>
      </c>
      <c r="R263" s="39" t="str">
        <f t="shared" si="91"/>
        <v/>
      </c>
      <c r="S263" t="str">
        <f t="shared" si="92"/>
        <v/>
      </c>
      <c r="T263" s="39" t="str">
        <f t="shared" si="93"/>
        <v/>
      </c>
      <c r="U263" t="str">
        <f t="shared" si="94"/>
        <v/>
      </c>
      <c r="V263" t="str">
        <f>IF(L263="","",IF($AO$1=1,IFERROR(MATCH(L263,'11-تشرين الثاني'!$L$2:$L$501,0),0),0))</f>
        <v/>
      </c>
      <c r="W263" t="str">
        <f t="shared" si="95"/>
        <v/>
      </c>
      <c r="X263" s="38" t="str">
        <f>IF(L263="","",IF(V263&gt;0,INDEX('11-تشرين الثاني'!$P$2:$P$501,V263),IF($AO$1=1,0,"")))</f>
        <v/>
      </c>
      <c r="Y263" s="38" t="str">
        <f t="shared" si="96"/>
        <v/>
      </c>
      <c r="Z263" s="39" t="str">
        <f>IF(L263="","",IF(V263&gt;0,INDEX('11-تشرين الثاني'!$Q$2:$Q$501,V263),IF($AO$1=1,0,"")))</f>
        <v/>
      </c>
      <c r="AA263" s="39" t="str">
        <f t="shared" si="97"/>
        <v/>
      </c>
      <c r="AB263" s="40" t="str">
        <f>IF(OR(L263="",V263=0),"",IF(AND(N(I263)&gt;0,N(INDEX('11-تشرين الثاني'!$I$2:$I$501,V263))&gt;0,INDEX('11-تشرين الثاني'!$F$2:$F$501,V263)=F263),N(I263)/N(INDEX('11-تشرين الثاني'!$I$2:$I$501,V263))-1,""))</f>
        <v/>
      </c>
      <c r="AC263" t="str">
        <f t="shared" si="98"/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9"/>
        <v/>
      </c>
      <c r="AH263" s="39" t="str">
        <f t="shared" si="100"/>
        <v/>
      </c>
      <c r="AI263" s="39" t="str">
        <f t="shared" si="101"/>
        <v/>
      </c>
      <c r="AJ263" s="39" t="str">
        <f t="shared" si="102"/>
        <v/>
      </c>
      <c r="AK263" t="str">
        <f t="shared" si="103"/>
        <v/>
      </c>
      <c r="AL263" t="str">
        <f t="shared" si="104"/>
        <v/>
      </c>
    </row>
    <row r="264" spans="11:38" ht="15">
      <c r="K264" t="str">
        <f t="shared" si="84"/>
        <v/>
      </c>
      <c r="L264" t="str">
        <f t="shared" si="85"/>
        <v/>
      </c>
      <c r="M264" s="36" t="str">
        <f t="shared" si="86"/>
        <v/>
      </c>
      <c r="N264" s="37" t="str">
        <f t="shared" si="87"/>
        <v/>
      </c>
      <c r="O264" s="37" t="str">
        <f t="shared" si="88"/>
        <v/>
      </c>
      <c r="P264" s="38" t="str">
        <f t="shared" si="89"/>
        <v/>
      </c>
      <c r="Q264" s="39" t="str">
        <f t="shared" si="90"/>
        <v/>
      </c>
      <c r="R264" s="39" t="str">
        <f t="shared" si="91"/>
        <v/>
      </c>
      <c r="S264" t="str">
        <f t="shared" si="92"/>
        <v/>
      </c>
      <c r="T264" s="39" t="str">
        <f t="shared" si="93"/>
        <v/>
      </c>
      <c r="U264" t="str">
        <f t="shared" si="94"/>
        <v/>
      </c>
      <c r="V264" t="str">
        <f>IF(L264="","",IF($AO$1=1,IFERROR(MATCH(L264,'11-تشرين الثاني'!$L$2:$L$501,0),0),0))</f>
        <v/>
      </c>
      <c r="W264" t="str">
        <f t="shared" si="95"/>
        <v/>
      </c>
      <c r="X264" s="38" t="str">
        <f>IF(L264="","",IF(V264&gt;0,INDEX('11-تشرين الثاني'!$P$2:$P$501,V264),IF($AO$1=1,0,"")))</f>
        <v/>
      </c>
      <c r="Y264" s="38" t="str">
        <f t="shared" si="96"/>
        <v/>
      </c>
      <c r="Z264" s="39" t="str">
        <f>IF(L264="","",IF(V264&gt;0,INDEX('11-تشرين الثاني'!$Q$2:$Q$501,V264),IF($AO$1=1,0,"")))</f>
        <v/>
      </c>
      <c r="AA264" s="39" t="str">
        <f t="shared" si="97"/>
        <v/>
      </c>
      <c r="AB264" s="40" t="str">
        <f>IF(OR(L264="",V264=0),"",IF(AND(N(I264)&gt;0,N(INDEX('11-تشرين الثاني'!$I$2:$I$501,V264))&gt;0,INDEX('11-تشرين الثاني'!$F$2:$F$501,V264)=F264),N(I264)/N(INDEX('11-تشرين الثاني'!$I$2:$I$501,V264))-1,""))</f>
        <v/>
      </c>
      <c r="AC264" t="str">
        <f t="shared" si="98"/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9"/>
        <v/>
      </c>
      <c r="AH264" s="39" t="str">
        <f t="shared" si="100"/>
        <v/>
      </c>
      <c r="AI264" s="39" t="str">
        <f t="shared" si="101"/>
        <v/>
      </c>
      <c r="AJ264" s="39" t="str">
        <f t="shared" si="102"/>
        <v/>
      </c>
      <c r="AK264" t="str">
        <f t="shared" si="103"/>
        <v/>
      </c>
      <c r="AL264" t="str">
        <f t="shared" si="104"/>
        <v/>
      </c>
    </row>
    <row r="265" spans="11:38" ht="15">
      <c r="K265" t="str">
        <f t="shared" si="84"/>
        <v/>
      </c>
      <c r="L265" t="str">
        <f t="shared" si="85"/>
        <v/>
      </c>
      <c r="M265" s="36" t="str">
        <f t="shared" si="86"/>
        <v/>
      </c>
      <c r="N265" s="37" t="str">
        <f t="shared" si="87"/>
        <v/>
      </c>
      <c r="O265" s="37" t="str">
        <f t="shared" si="88"/>
        <v/>
      </c>
      <c r="P265" s="38" t="str">
        <f t="shared" si="89"/>
        <v/>
      </c>
      <c r="Q265" s="39" t="str">
        <f t="shared" si="90"/>
        <v/>
      </c>
      <c r="R265" s="39" t="str">
        <f t="shared" si="91"/>
        <v/>
      </c>
      <c r="S265" t="str">
        <f t="shared" si="92"/>
        <v/>
      </c>
      <c r="T265" s="39" t="str">
        <f t="shared" si="93"/>
        <v/>
      </c>
      <c r="U265" t="str">
        <f t="shared" si="94"/>
        <v/>
      </c>
      <c r="V265" t="str">
        <f>IF(L265="","",IF($AO$1=1,IFERROR(MATCH(L265,'11-تشرين الثاني'!$L$2:$L$501,0),0),0))</f>
        <v/>
      </c>
      <c r="W265" t="str">
        <f t="shared" si="95"/>
        <v/>
      </c>
      <c r="X265" s="38" t="str">
        <f>IF(L265="","",IF(V265&gt;0,INDEX('11-تشرين الثاني'!$P$2:$P$501,V265),IF($AO$1=1,0,"")))</f>
        <v/>
      </c>
      <c r="Y265" s="38" t="str">
        <f t="shared" si="96"/>
        <v/>
      </c>
      <c r="Z265" s="39" t="str">
        <f>IF(L265="","",IF(V265&gt;0,INDEX('11-تشرين الثاني'!$Q$2:$Q$501,V265),IF($AO$1=1,0,"")))</f>
        <v/>
      </c>
      <c r="AA265" s="39" t="str">
        <f t="shared" si="97"/>
        <v/>
      </c>
      <c r="AB265" s="40" t="str">
        <f>IF(OR(L265="",V265=0),"",IF(AND(N(I265)&gt;0,N(INDEX('11-تشرين الثاني'!$I$2:$I$501,V265))&gt;0,INDEX('11-تشرين الثاني'!$F$2:$F$501,V265)=F265),N(I265)/N(INDEX('11-تشرين الثاني'!$I$2:$I$501,V265))-1,""))</f>
        <v/>
      </c>
      <c r="AC265" t="str">
        <f t="shared" si="98"/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9"/>
        <v/>
      </c>
      <c r="AH265" s="39" t="str">
        <f t="shared" si="100"/>
        <v/>
      </c>
      <c r="AI265" s="39" t="str">
        <f t="shared" si="101"/>
        <v/>
      </c>
      <c r="AJ265" s="39" t="str">
        <f t="shared" si="102"/>
        <v/>
      </c>
      <c r="AK265" t="str">
        <f t="shared" si="103"/>
        <v/>
      </c>
      <c r="AL265" t="str">
        <f t="shared" si="104"/>
        <v/>
      </c>
    </row>
    <row r="266" spans="11:38" ht="15">
      <c r="K266" t="str">
        <f t="shared" si="84"/>
        <v/>
      </c>
      <c r="L266" t="str">
        <f t="shared" si="85"/>
        <v/>
      </c>
      <c r="M266" s="36" t="str">
        <f t="shared" si="86"/>
        <v/>
      </c>
      <c r="N266" s="37" t="str">
        <f t="shared" si="87"/>
        <v/>
      </c>
      <c r="O266" s="37" t="str">
        <f t="shared" si="88"/>
        <v/>
      </c>
      <c r="P266" s="38" t="str">
        <f t="shared" si="89"/>
        <v/>
      </c>
      <c r="Q266" s="39" t="str">
        <f t="shared" si="90"/>
        <v/>
      </c>
      <c r="R266" s="39" t="str">
        <f t="shared" si="91"/>
        <v/>
      </c>
      <c r="S266" t="str">
        <f t="shared" si="92"/>
        <v/>
      </c>
      <c r="T266" s="39" t="str">
        <f t="shared" si="93"/>
        <v/>
      </c>
      <c r="U266" t="str">
        <f t="shared" si="94"/>
        <v/>
      </c>
      <c r="V266" t="str">
        <f>IF(L266="","",IF($AO$1=1,IFERROR(MATCH(L266,'11-تشرين الثاني'!$L$2:$L$501,0),0),0))</f>
        <v/>
      </c>
      <c r="W266" t="str">
        <f t="shared" si="95"/>
        <v/>
      </c>
      <c r="X266" s="38" t="str">
        <f>IF(L266="","",IF(V266&gt;0,INDEX('11-تشرين الثاني'!$P$2:$P$501,V266),IF($AO$1=1,0,"")))</f>
        <v/>
      </c>
      <c r="Y266" s="38" t="str">
        <f t="shared" si="96"/>
        <v/>
      </c>
      <c r="Z266" s="39" t="str">
        <f>IF(L266="","",IF(V266&gt;0,INDEX('11-تشرين الثاني'!$Q$2:$Q$501,V266),IF($AO$1=1,0,"")))</f>
        <v/>
      </c>
      <c r="AA266" s="39" t="str">
        <f t="shared" si="97"/>
        <v/>
      </c>
      <c r="AB266" s="40" t="str">
        <f>IF(OR(L266="",V266=0),"",IF(AND(N(I266)&gt;0,N(INDEX('11-تشرين الثاني'!$I$2:$I$501,V266))&gt;0,INDEX('11-تشرين الثاني'!$F$2:$F$501,V266)=F266),N(I266)/N(INDEX('11-تشرين الثاني'!$I$2:$I$501,V266))-1,""))</f>
        <v/>
      </c>
      <c r="AC266" t="str">
        <f t="shared" si="98"/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9"/>
        <v/>
      </c>
      <c r="AH266" s="39" t="str">
        <f t="shared" si="100"/>
        <v/>
      </c>
      <c r="AI266" s="39" t="str">
        <f t="shared" si="101"/>
        <v/>
      </c>
      <c r="AJ266" s="39" t="str">
        <f t="shared" si="102"/>
        <v/>
      </c>
      <c r="AK266" t="str">
        <f t="shared" si="103"/>
        <v/>
      </c>
      <c r="AL266" t="str">
        <f t="shared" si="104"/>
        <v/>
      </c>
    </row>
    <row r="267" spans="11:38" ht="15">
      <c r="K267" t="str">
        <f t="shared" si="84"/>
        <v/>
      </c>
      <c r="L267" t="str">
        <f t="shared" si="85"/>
        <v/>
      </c>
      <c r="M267" s="36" t="str">
        <f t="shared" si="86"/>
        <v/>
      </c>
      <c r="N267" s="37" t="str">
        <f t="shared" si="87"/>
        <v/>
      </c>
      <c r="O267" s="37" t="str">
        <f t="shared" si="88"/>
        <v/>
      </c>
      <c r="P267" s="38" t="str">
        <f t="shared" si="89"/>
        <v/>
      </c>
      <c r="Q267" s="39" t="str">
        <f t="shared" si="90"/>
        <v/>
      </c>
      <c r="R267" s="39" t="str">
        <f t="shared" si="91"/>
        <v/>
      </c>
      <c r="S267" t="str">
        <f t="shared" si="92"/>
        <v/>
      </c>
      <c r="T267" s="39" t="str">
        <f t="shared" si="93"/>
        <v/>
      </c>
      <c r="U267" t="str">
        <f t="shared" si="94"/>
        <v/>
      </c>
      <c r="V267" t="str">
        <f>IF(L267="","",IF($AO$1=1,IFERROR(MATCH(L267,'11-تشرين الثاني'!$L$2:$L$501,0),0),0))</f>
        <v/>
      </c>
      <c r="W267" t="str">
        <f t="shared" si="95"/>
        <v/>
      </c>
      <c r="X267" s="38" t="str">
        <f>IF(L267="","",IF(V267&gt;0,INDEX('11-تشرين الثاني'!$P$2:$P$501,V267),IF($AO$1=1,0,"")))</f>
        <v/>
      </c>
      <c r="Y267" s="38" t="str">
        <f t="shared" si="96"/>
        <v/>
      </c>
      <c r="Z267" s="39" t="str">
        <f>IF(L267="","",IF(V267&gt;0,INDEX('11-تشرين الثاني'!$Q$2:$Q$501,V267),IF($AO$1=1,0,"")))</f>
        <v/>
      </c>
      <c r="AA267" s="39" t="str">
        <f t="shared" si="97"/>
        <v/>
      </c>
      <c r="AB267" s="40" t="str">
        <f>IF(OR(L267="",V267=0),"",IF(AND(N(I267)&gt;0,N(INDEX('11-تشرين الثاني'!$I$2:$I$501,V267))&gt;0,INDEX('11-تشرين الثاني'!$F$2:$F$501,V267)=F267),N(I267)/N(INDEX('11-تشرين الثاني'!$I$2:$I$501,V267))-1,""))</f>
        <v/>
      </c>
      <c r="AC267" t="str">
        <f t="shared" si="98"/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9"/>
        <v/>
      </c>
      <c r="AH267" s="39" t="str">
        <f t="shared" si="100"/>
        <v/>
      </c>
      <c r="AI267" s="39" t="str">
        <f t="shared" si="101"/>
        <v/>
      </c>
      <c r="AJ267" s="39" t="str">
        <f t="shared" si="102"/>
        <v/>
      </c>
      <c r="AK267" t="str">
        <f t="shared" si="103"/>
        <v/>
      </c>
      <c r="AL267" t="str">
        <f t="shared" si="104"/>
        <v/>
      </c>
    </row>
    <row r="268" spans="11:38" ht="15">
      <c r="K268" t="str">
        <f t="shared" si="84"/>
        <v/>
      </c>
      <c r="L268" t="str">
        <f t="shared" si="85"/>
        <v/>
      </c>
      <c r="M268" s="36" t="str">
        <f t="shared" si="86"/>
        <v/>
      </c>
      <c r="N268" s="37" t="str">
        <f t="shared" si="87"/>
        <v/>
      </c>
      <c r="O268" s="37" t="str">
        <f t="shared" si="88"/>
        <v/>
      </c>
      <c r="P268" s="38" t="str">
        <f t="shared" si="89"/>
        <v/>
      </c>
      <c r="Q268" s="39" t="str">
        <f t="shared" si="90"/>
        <v/>
      </c>
      <c r="R268" s="39" t="str">
        <f t="shared" si="91"/>
        <v/>
      </c>
      <c r="S268" t="str">
        <f t="shared" si="92"/>
        <v/>
      </c>
      <c r="T268" s="39" t="str">
        <f t="shared" si="93"/>
        <v/>
      </c>
      <c r="U268" t="str">
        <f t="shared" si="94"/>
        <v/>
      </c>
      <c r="V268" t="str">
        <f>IF(L268="","",IF($AO$1=1,IFERROR(MATCH(L268,'11-تشرين الثاني'!$L$2:$L$501,0),0),0))</f>
        <v/>
      </c>
      <c r="W268" t="str">
        <f t="shared" si="95"/>
        <v/>
      </c>
      <c r="X268" s="38" t="str">
        <f>IF(L268="","",IF(V268&gt;0,INDEX('11-تشرين الثاني'!$P$2:$P$501,V268),IF($AO$1=1,0,"")))</f>
        <v/>
      </c>
      <c r="Y268" s="38" t="str">
        <f t="shared" si="96"/>
        <v/>
      </c>
      <c r="Z268" s="39" t="str">
        <f>IF(L268="","",IF(V268&gt;0,INDEX('11-تشرين الثاني'!$Q$2:$Q$501,V268),IF($AO$1=1,0,"")))</f>
        <v/>
      </c>
      <c r="AA268" s="39" t="str">
        <f t="shared" si="97"/>
        <v/>
      </c>
      <c r="AB268" s="40" t="str">
        <f>IF(OR(L268="",V268=0),"",IF(AND(N(I268)&gt;0,N(INDEX('11-تشرين الثاني'!$I$2:$I$501,V268))&gt;0,INDEX('11-تشرين الثاني'!$F$2:$F$501,V268)=F268),N(I268)/N(INDEX('11-تشرين الثاني'!$I$2:$I$501,V268))-1,""))</f>
        <v/>
      </c>
      <c r="AC268" t="str">
        <f t="shared" si="98"/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9"/>
        <v/>
      </c>
      <c r="AH268" s="39" t="str">
        <f t="shared" si="100"/>
        <v/>
      </c>
      <c r="AI268" s="39" t="str">
        <f t="shared" si="101"/>
        <v/>
      </c>
      <c r="AJ268" s="39" t="str">
        <f t="shared" si="102"/>
        <v/>
      </c>
      <c r="AK268" t="str">
        <f t="shared" si="103"/>
        <v/>
      </c>
      <c r="AL268" t="str">
        <f t="shared" si="104"/>
        <v/>
      </c>
    </row>
    <row r="269" spans="11:38" ht="15">
      <c r="K269" t="str">
        <f t="shared" si="84"/>
        <v/>
      </c>
      <c r="L269" t="str">
        <f t="shared" si="85"/>
        <v/>
      </c>
      <c r="M269" s="36" t="str">
        <f t="shared" si="86"/>
        <v/>
      </c>
      <c r="N269" s="37" t="str">
        <f t="shared" si="87"/>
        <v/>
      </c>
      <c r="O269" s="37" t="str">
        <f t="shared" si="88"/>
        <v/>
      </c>
      <c r="P269" s="38" t="str">
        <f t="shared" si="89"/>
        <v/>
      </c>
      <c r="Q269" s="39" t="str">
        <f t="shared" si="90"/>
        <v/>
      </c>
      <c r="R269" s="39" t="str">
        <f t="shared" si="91"/>
        <v/>
      </c>
      <c r="S269" t="str">
        <f t="shared" si="92"/>
        <v/>
      </c>
      <c r="T269" s="39" t="str">
        <f t="shared" si="93"/>
        <v/>
      </c>
      <c r="U269" t="str">
        <f t="shared" si="94"/>
        <v/>
      </c>
      <c r="V269" t="str">
        <f>IF(L269="","",IF($AO$1=1,IFERROR(MATCH(L269,'11-تشرين الثاني'!$L$2:$L$501,0),0),0))</f>
        <v/>
      </c>
      <c r="W269" t="str">
        <f t="shared" si="95"/>
        <v/>
      </c>
      <c r="X269" s="38" t="str">
        <f>IF(L269="","",IF(V269&gt;0,INDEX('11-تشرين الثاني'!$P$2:$P$501,V269),IF($AO$1=1,0,"")))</f>
        <v/>
      </c>
      <c r="Y269" s="38" t="str">
        <f t="shared" si="96"/>
        <v/>
      </c>
      <c r="Z269" s="39" t="str">
        <f>IF(L269="","",IF(V269&gt;0,INDEX('11-تشرين الثاني'!$Q$2:$Q$501,V269),IF($AO$1=1,0,"")))</f>
        <v/>
      </c>
      <c r="AA269" s="39" t="str">
        <f t="shared" si="97"/>
        <v/>
      </c>
      <c r="AB269" s="40" t="str">
        <f>IF(OR(L269="",V269=0),"",IF(AND(N(I269)&gt;0,N(INDEX('11-تشرين الثاني'!$I$2:$I$501,V269))&gt;0,INDEX('11-تشرين الثاني'!$F$2:$F$501,V269)=F269),N(I269)/N(INDEX('11-تشرين الثاني'!$I$2:$I$501,V269))-1,""))</f>
        <v/>
      </c>
      <c r="AC269" t="str">
        <f t="shared" si="98"/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9"/>
        <v/>
      </c>
      <c r="AH269" s="39" t="str">
        <f t="shared" si="100"/>
        <v/>
      </c>
      <c r="AI269" s="39" t="str">
        <f t="shared" si="101"/>
        <v/>
      </c>
      <c r="AJ269" s="39" t="str">
        <f t="shared" si="102"/>
        <v/>
      </c>
      <c r="AK269" t="str">
        <f t="shared" si="103"/>
        <v/>
      </c>
      <c r="AL269" t="str">
        <f t="shared" si="104"/>
        <v/>
      </c>
    </row>
    <row r="270" spans="11:38" ht="15">
      <c r="K270" t="str">
        <f t="shared" si="84"/>
        <v/>
      </c>
      <c r="L270" t="str">
        <f t="shared" si="85"/>
        <v/>
      </c>
      <c r="M270" s="36" t="str">
        <f t="shared" si="86"/>
        <v/>
      </c>
      <c r="N270" s="37" t="str">
        <f t="shared" si="87"/>
        <v/>
      </c>
      <c r="O270" s="37" t="str">
        <f t="shared" si="88"/>
        <v/>
      </c>
      <c r="P270" s="38" t="str">
        <f t="shared" si="89"/>
        <v/>
      </c>
      <c r="Q270" s="39" t="str">
        <f t="shared" si="90"/>
        <v/>
      </c>
      <c r="R270" s="39" t="str">
        <f t="shared" si="91"/>
        <v/>
      </c>
      <c r="S270" t="str">
        <f t="shared" si="92"/>
        <v/>
      </c>
      <c r="T270" s="39" t="str">
        <f t="shared" si="93"/>
        <v/>
      </c>
      <c r="U270" t="str">
        <f t="shared" si="94"/>
        <v/>
      </c>
      <c r="V270" t="str">
        <f>IF(L270="","",IF($AO$1=1,IFERROR(MATCH(L270,'11-تشرين الثاني'!$L$2:$L$501,0),0),0))</f>
        <v/>
      </c>
      <c r="W270" t="str">
        <f t="shared" si="95"/>
        <v/>
      </c>
      <c r="X270" s="38" t="str">
        <f>IF(L270="","",IF(V270&gt;0,INDEX('11-تشرين الثاني'!$P$2:$P$501,V270),IF($AO$1=1,0,"")))</f>
        <v/>
      </c>
      <c r="Y270" s="38" t="str">
        <f t="shared" si="96"/>
        <v/>
      </c>
      <c r="Z270" s="39" t="str">
        <f>IF(L270="","",IF(V270&gt;0,INDEX('11-تشرين الثاني'!$Q$2:$Q$501,V270),IF($AO$1=1,0,"")))</f>
        <v/>
      </c>
      <c r="AA270" s="39" t="str">
        <f t="shared" si="97"/>
        <v/>
      </c>
      <c r="AB270" s="40" t="str">
        <f>IF(OR(L270="",V270=0),"",IF(AND(N(I270)&gt;0,N(INDEX('11-تشرين الثاني'!$I$2:$I$501,V270))&gt;0,INDEX('11-تشرين الثاني'!$F$2:$F$501,V270)=F270),N(I270)/N(INDEX('11-تشرين الثاني'!$I$2:$I$501,V270))-1,""))</f>
        <v/>
      </c>
      <c r="AC270" t="str">
        <f t="shared" si="98"/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9"/>
        <v/>
      </c>
      <c r="AH270" s="39" t="str">
        <f t="shared" si="100"/>
        <v/>
      </c>
      <c r="AI270" s="39" t="str">
        <f t="shared" si="101"/>
        <v/>
      </c>
      <c r="AJ270" s="39" t="str">
        <f t="shared" si="102"/>
        <v/>
      </c>
      <c r="AK270" t="str">
        <f t="shared" si="103"/>
        <v/>
      </c>
      <c r="AL270" t="str">
        <f t="shared" si="104"/>
        <v/>
      </c>
    </row>
    <row r="271" spans="11:38" ht="15">
      <c r="K271" t="str">
        <f t="shared" si="84"/>
        <v/>
      </c>
      <c r="L271" t="str">
        <f t="shared" si="85"/>
        <v/>
      </c>
      <c r="M271" s="36" t="str">
        <f t="shared" si="86"/>
        <v/>
      </c>
      <c r="N271" s="37" t="str">
        <f t="shared" si="87"/>
        <v/>
      </c>
      <c r="O271" s="37" t="str">
        <f t="shared" si="88"/>
        <v/>
      </c>
      <c r="P271" s="38" t="str">
        <f t="shared" si="89"/>
        <v/>
      </c>
      <c r="Q271" s="39" t="str">
        <f t="shared" si="90"/>
        <v/>
      </c>
      <c r="R271" s="39" t="str">
        <f t="shared" si="91"/>
        <v/>
      </c>
      <c r="S271" t="str">
        <f t="shared" si="92"/>
        <v/>
      </c>
      <c r="T271" s="39" t="str">
        <f t="shared" si="93"/>
        <v/>
      </c>
      <c r="U271" t="str">
        <f t="shared" si="94"/>
        <v/>
      </c>
      <c r="V271" t="str">
        <f>IF(L271="","",IF($AO$1=1,IFERROR(MATCH(L271,'11-تشرين الثاني'!$L$2:$L$501,0),0),0))</f>
        <v/>
      </c>
      <c r="W271" t="str">
        <f t="shared" si="95"/>
        <v/>
      </c>
      <c r="X271" s="38" t="str">
        <f>IF(L271="","",IF(V271&gt;0,INDEX('11-تشرين الثاني'!$P$2:$P$501,V271),IF($AO$1=1,0,"")))</f>
        <v/>
      </c>
      <c r="Y271" s="38" t="str">
        <f t="shared" si="96"/>
        <v/>
      </c>
      <c r="Z271" s="39" t="str">
        <f>IF(L271="","",IF(V271&gt;0,INDEX('11-تشرين الثاني'!$Q$2:$Q$501,V271),IF($AO$1=1,0,"")))</f>
        <v/>
      </c>
      <c r="AA271" s="39" t="str">
        <f t="shared" si="97"/>
        <v/>
      </c>
      <c r="AB271" s="40" t="str">
        <f>IF(OR(L271="",V271=0),"",IF(AND(N(I271)&gt;0,N(INDEX('11-تشرين الثاني'!$I$2:$I$501,V271))&gt;0,INDEX('11-تشرين الثاني'!$F$2:$F$501,V271)=F271),N(I271)/N(INDEX('11-تشرين الثاني'!$I$2:$I$501,V271))-1,""))</f>
        <v/>
      </c>
      <c r="AC271" t="str">
        <f t="shared" si="98"/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9"/>
        <v/>
      </c>
      <c r="AH271" s="39" t="str">
        <f t="shared" si="100"/>
        <v/>
      </c>
      <c r="AI271" s="39" t="str">
        <f t="shared" si="101"/>
        <v/>
      </c>
      <c r="AJ271" s="39" t="str">
        <f t="shared" si="102"/>
        <v/>
      </c>
      <c r="AK271" t="str">
        <f t="shared" si="103"/>
        <v/>
      </c>
      <c r="AL271" t="str">
        <f t="shared" si="104"/>
        <v/>
      </c>
    </row>
    <row r="272" spans="11:38" ht="15">
      <c r="K272" t="str">
        <f t="shared" si="84"/>
        <v/>
      </c>
      <c r="L272" t="str">
        <f t="shared" si="85"/>
        <v/>
      </c>
      <c r="M272" s="36" t="str">
        <f t="shared" si="86"/>
        <v/>
      </c>
      <c r="N272" s="37" t="str">
        <f t="shared" si="87"/>
        <v/>
      </c>
      <c r="O272" s="37" t="str">
        <f t="shared" si="88"/>
        <v/>
      </c>
      <c r="P272" s="38" t="str">
        <f t="shared" si="89"/>
        <v/>
      </c>
      <c r="Q272" s="39" t="str">
        <f t="shared" si="90"/>
        <v/>
      </c>
      <c r="R272" s="39" t="str">
        <f t="shared" si="91"/>
        <v/>
      </c>
      <c r="S272" t="str">
        <f t="shared" si="92"/>
        <v/>
      </c>
      <c r="T272" s="39" t="str">
        <f t="shared" si="93"/>
        <v/>
      </c>
      <c r="U272" t="str">
        <f t="shared" si="94"/>
        <v/>
      </c>
      <c r="V272" t="str">
        <f>IF(L272="","",IF($AO$1=1,IFERROR(MATCH(L272,'11-تشرين الثاني'!$L$2:$L$501,0),0),0))</f>
        <v/>
      </c>
      <c r="W272" t="str">
        <f t="shared" si="95"/>
        <v/>
      </c>
      <c r="X272" s="38" t="str">
        <f>IF(L272="","",IF(V272&gt;0,INDEX('11-تشرين الثاني'!$P$2:$P$501,V272),IF($AO$1=1,0,"")))</f>
        <v/>
      </c>
      <c r="Y272" s="38" t="str">
        <f t="shared" si="96"/>
        <v/>
      </c>
      <c r="Z272" s="39" t="str">
        <f>IF(L272="","",IF(V272&gt;0,INDEX('11-تشرين الثاني'!$Q$2:$Q$501,V272),IF($AO$1=1,0,"")))</f>
        <v/>
      </c>
      <c r="AA272" s="39" t="str">
        <f t="shared" si="97"/>
        <v/>
      </c>
      <c r="AB272" s="40" t="str">
        <f>IF(OR(L272="",V272=0),"",IF(AND(N(I272)&gt;0,N(INDEX('11-تشرين الثاني'!$I$2:$I$501,V272))&gt;0,INDEX('11-تشرين الثاني'!$F$2:$F$501,V272)=F272),N(I272)/N(INDEX('11-تشرين الثاني'!$I$2:$I$501,V272))-1,""))</f>
        <v/>
      </c>
      <c r="AC272" t="str">
        <f t="shared" si="98"/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9"/>
        <v/>
      </c>
      <c r="AH272" s="39" t="str">
        <f t="shared" si="100"/>
        <v/>
      </c>
      <c r="AI272" s="39" t="str">
        <f t="shared" si="101"/>
        <v/>
      </c>
      <c r="AJ272" s="39" t="str">
        <f t="shared" si="102"/>
        <v/>
      </c>
      <c r="AK272" t="str">
        <f t="shared" si="103"/>
        <v/>
      </c>
      <c r="AL272" t="str">
        <f t="shared" si="104"/>
        <v/>
      </c>
    </row>
    <row r="273" spans="11:38" ht="15">
      <c r="K273" t="str">
        <f t="shared" si="84"/>
        <v/>
      </c>
      <c r="L273" t="str">
        <f t="shared" si="85"/>
        <v/>
      </c>
      <c r="M273" s="36" t="str">
        <f t="shared" si="86"/>
        <v/>
      </c>
      <c r="N273" s="37" t="str">
        <f t="shared" si="87"/>
        <v/>
      </c>
      <c r="O273" s="37" t="str">
        <f t="shared" si="88"/>
        <v/>
      </c>
      <c r="P273" s="38" t="str">
        <f t="shared" si="89"/>
        <v/>
      </c>
      <c r="Q273" s="39" t="str">
        <f t="shared" si="90"/>
        <v/>
      </c>
      <c r="R273" s="39" t="str">
        <f t="shared" si="91"/>
        <v/>
      </c>
      <c r="S273" t="str">
        <f t="shared" si="92"/>
        <v/>
      </c>
      <c r="T273" s="39" t="str">
        <f t="shared" si="93"/>
        <v/>
      </c>
      <c r="U273" t="str">
        <f t="shared" si="94"/>
        <v/>
      </c>
      <c r="V273" t="str">
        <f>IF(L273="","",IF($AO$1=1,IFERROR(MATCH(L273,'11-تشرين الثاني'!$L$2:$L$501,0),0),0))</f>
        <v/>
      </c>
      <c r="W273" t="str">
        <f t="shared" si="95"/>
        <v/>
      </c>
      <c r="X273" s="38" t="str">
        <f>IF(L273="","",IF(V273&gt;0,INDEX('11-تشرين الثاني'!$P$2:$P$501,V273),IF($AO$1=1,0,"")))</f>
        <v/>
      </c>
      <c r="Y273" s="38" t="str">
        <f t="shared" si="96"/>
        <v/>
      </c>
      <c r="Z273" s="39" t="str">
        <f>IF(L273="","",IF(V273&gt;0,INDEX('11-تشرين الثاني'!$Q$2:$Q$501,V273),IF($AO$1=1,0,"")))</f>
        <v/>
      </c>
      <c r="AA273" s="39" t="str">
        <f t="shared" si="97"/>
        <v/>
      </c>
      <c r="AB273" s="40" t="str">
        <f>IF(OR(L273="",V273=0),"",IF(AND(N(I273)&gt;0,N(INDEX('11-تشرين الثاني'!$I$2:$I$501,V273))&gt;0,INDEX('11-تشرين الثاني'!$F$2:$F$501,V273)=F273),N(I273)/N(INDEX('11-تشرين الثاني'!$I$2:$I$501,V273))-1,""))</f>
        <v/>
      </c>
      <c r="AC273" t="str">
        <f t="shared" si="98"/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9"/>
        <v/>
      </c>
      <c r="AH273" s="39" t="str">
        <f t="shared" si="100"/>
        <v/>
      </c>
      <c r="AI273" s="39" t="str">
        <f t="shared" si="101"/>
        <v/>
      </c>
      <c r="AJ273" s="39" t="str">
        <f t="shared" si="102"/>
        <v/>
      </c>
      <c r="AK273" t="str">
        <f t="shared" si="103"/>
        <v/>
      </c>
      <c r="AL273" t="str">
        <f t="shared" si="104"/>
        <v/>
      </c>
    </row>
    <row r="274" spans="11:38" ht="15">
      <c r="K274" t="str">
        <f t="shared" si="84"/>
        <v/>
      </c>
      <c r="L274" t="str">
        <f t="shared" si="85"/>
        <v/>
      </c>
      <c r="M274" s="36" t="str">
        <f t="shared" si="86"/>
        <v/>
      </c>
      <c r="N274" s="37" t="str">
        <f t="shared" si="87"/>
        <v/>
      </c>
      <c r="O274" s="37" t="str">
        <f t="shared" si="88"/>
        <v/>
      </c>
      <c r="P274" s="38" t="str">
        <f t="shared" si="89"/>
        <v/>
      </c>
      <c r="Q274" s="39" t="str">
        <f t="shared" si="90"/>
        <v/>
      </c>
      <c r="R274" s="39" t="str">
        <f t="shared" si="91"/>
        <v/>
      </c>
      <c r="S274" t="str">
        <f t="shared" si="92"/>
        <v/>
      </c>
      <c r="T274" s="39" t="str">
        <f t="shared" si="93"/>
        <v/>
      </c>
      <c r="U274" t="str">
        <f t="shared" si="94"/>
        <v/>
      </c>
      <c r="V274" t="str">
        <f>IF(L274="","",IF($AO$1=1,IFERROR(MATCH(L274,'11-تشرين الثاني'!$L$2:$L$501,0),0),0))</f>
        <v/>
      </c>
      <c r="W274" t="str">
        <f t="shared" si="95"/>
        <v/>
      </c>
      <c r="X274" s="38" t="str">
        <f>IF(L274="","",IF(V274&gt;0,INDEX('11-تشرين الثاني'!$P$2:$P$501,V274),IF($AO$1=1,0,"")))</f>
        <v/>
      </c>
      <c r="Y274" s="38" t="str">
        <f t="shared" si="96"/>
        <v/>
      </c>
      <c r="Z274" s="39" t="str">
        <f>IF(L274="","",IF(V274&gt;0,INDEX('11-تشرين الثاني'!$Q$2:$Q$501,V274),IF($AO$1=1,0,"")))</f>
        <v/>
      </c>
      <c r="AA274" s="39" t="str">
        <f t="shared" si="97"/>
        <v/>
      </c>
      <c r="AB274" s="40" t="str">
        <f>IF(OR(L274="",V274=0),"",IF(AND(N(I274)&gt;0,N(INDEX('11-تشرين الثاني'!$I$2:$I$501,V274))&gt;0,INDEX('11-تشرين الثاني'!$F$2:$F$501,V274)=F274),N(I274)/N(INDEX('11-تشرين الثاني'!$I$2:$I$501,V274))-1,""))</f>
        <v/>
      </c>
      <c r="AC274" t="str">
        <f t="shared" si="98"/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9"/>
        <v/>
      </c>
      <c r="AH274" s="39" t="str">
        <f t="shared" si="100"/>
        <v/>
      </c>
      <c r="AI274" s="39" t="str">
        <f t="shared" si="101"/>
        <v/>
      </c>
      <c r="AJ274" s="39" t="str">
        <f t="shared" si="102"/>
        <v/>
      </c>
      <c r="AK274" t="str">
        <f t="shared" si="103"/>
        <v/>
      </c>
      <c r="AL274" t="str">
        <f t="shared" si="104"/>
        <v/>
      </c>
    </row>
    <row r="275" spans="11:38" ht="15">
      <c r="K275" t="str">
        <f t="shared" si="84"/>
        <v/>
      </c>
      <c r="L275" t="str">
        <f t="shared" si="85"/>
        <v/>
      </c>
      <c r="M275" s="36" t="str">
        <f t="shared" si="86"/>
        <v/>
      </c>
      <c r="N275" s="37" t="str">
        <f t="shared" si="87"/>
        <v/>
      </c>
      <c r="O275" s="37" t="str">
        <f t="shared" si="88"/>
        <v/>
      </c>
      <c r="P275" s="38" t="str">
        <f t="shared" si="89"/>
        <v/>
      </c>
      <c r="Q275" s="39" t="str">
        <f t="shared" si="90"/>
        <v/>
      </c>
      <c r="R275" s="39" t="str">
        <f t="shared" si="91"/>
        <v/>
      </c>
      <c r="S275" t="str">
        <f t="shared" si="92"/>
        <v/>
      </c>
      <c r="T275" s="39" t="str">
        <f t="shared" si="93"/>
        <v/>
      </c>
      <c r="U275" t="str">
        <f t="shared" si="94"/>
        <v/>
      </c>
      <c r="V275" t="str">
        <f>IF(L275="","",IF($AO$1=1,IFERROR(MATCH(L275,'11-تشرين الثاني'!$L$2:$L$501,0),0),0))</f>
        <v/>
      </c>
      <c r="W275" t="str">
        <f t="shared" si="95"/>
        <v/>
      </c>
      <c r="X275" s="38" t="str">
        <f>IF(L275="","",IF(V275&gt;0,INDEX('11-تشرين الثاني'!$P$2:$P$501,V275),IF($AO$1=1,0,"")))</f>
        <v/>
      </c>
      <c r="Y275" s="38" t="str">
        <f t="shared" si="96"/>
        <v/>
      </c>
      <c r="Z275" s="39" t="str">
        <f>IF(L275="","",IF(V275&gt;0,INDEX('11-تشرين الثاني'!$Q$2:$Q$501,V275),IF($AO$1=1,0,"")))</f>
        <v/>
      </c>
      <c r="AA275" s="39" t="str">
        <f t="shared" si="97"/>
        <v/>
      </c>
      <c r="AB275" s="40" t="str">
        <f>IF(OR(L275="",V275=0),"",IF(AND(N(I275)&gt;0,N(INDEX('11-تشرين الثاني'!$I$2:$I$501,V275))&gt;0,INDEX('11-تشرين الثاني'!$F$2:$F$501,V275)=F275),N(I275)/N(INDEX('11-تشرين الثاني'!$I$2:$I$501,V275))-1,""))</f>
        <v/>
      </c>
      <c r="AC275" t="str">
        <f t="shared" si="98"/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9"/>
        <v/>
      </c>
      <c r="AH275" s="39" t="str">
        <f t="shared" si="100"/>
        <v/>
      </c>
      <c r="AI275" s="39" t="str">
        <f t="shared" si="101"/>
        <v/>
      </c>
      <c r="AJ275" s="39" t="str">
        <f t="shared" si="102"/>
        <v/>
      </c>
      <c r="AK275" t="str">
        <f t="shared" si="103"/>
        <v/>
      </c>
      <c r="AL275" t="str">
        <f t="shared" si="104"/>
        <v/>
      </c>
    </row>
    <row r="276" spans="11:38" ht="15">
      <c r="K276" t="str">
        <f t="shared" si="84"/>
        <v/>
      </c>
      <c r="L276" t="str">
        <f t="shared" si="85"/>
        <v/>
      </c>
      <c r="M276" s="36" t="str">
        <f t="shared" si="86"/>
        <v/>
      </c>
      <c r="N276" s="37" t="str">
        <f t="shared" si="87"/>
        <v/>
      </c>
      <c r="O276" s="37" t="str">
        <f t="shared" si="88"/>
        <v/>
      </c>
      <c r="P276" s="38" t="str">
        <f t="shared" si="89"/>
        <v/>
      </c>
      <c r="Q276" s="39" t="str">
        <f t="shared" si="90"/>
        <v/>
      </c>
      <c r="R276" s="39" t="str">
        <f t="shared" si="91"/>
        <v/>
      </c>
      <c r="S276" t="str">
        <f t="shared" si="92"/>
        <v/>
      </c>
      <c r="T276" s="39" t="str">
        <f t="shared" si="93"/>
        <v/>
      </c>
      <c r="U276" t="str">
        <f t="shared" si="94"/>
        <v/>
      </c>
      <c r="V276" t="str">
        <f>IF(L276="","",IF($AO$1=1,IFERROR(MATCH(L276,'11-تشرين الثاني'!$L$2:$L$501,0),0),0))</f>
        <v/>
      </c>
      <c r="W276" t="str">
        <f t="shared" si="95"/>
        <v/>
      </c>
      <c r="X276" s="38" t="str">
        <f>IF(L276="","",IF(V276&gt;0,INDEX('11-تشرين الثاني'!$P$2:$P$501,V276),IF($AO$1=1,0,"")))</f>
        <v/>
      </c>
      <c r="Y276" s="38" t="str">
        <f t="shared" si="96"/>
        <v/>
      </c>
      <c r="Z276" s="39" t="str">
        <f>IF(L276="","",IF(V276&gt;0,INDEX('11-تشرين الثاني'!$Q$2:$Q$501,V276),IF($AO$1=1,0,"")))</f>
        <v/>
      </c>
      <c r="AA276" s="39" t="str">
        <f t="shared" si="97"/>
        <v/>
      </c>
      <c r="AB276" s="40" t="str">
        <f>IF(OR(L276="",V276=0),"",IF(AND(N(I276)&gt;0,N(INDEX('11-تشرين الثاني'!$I$2:$I$501,V276))&gt;0,INDEX('11-تشرين الثاني'!$F$2:$F$501,V276)=F276),N(I276)/N(INDEX('11-تشرين الثاني'!$I$2:$I$501,V276))-1,""))</f>
        <v/>
      </c>
      <c r="AC276" t="str">
        <f t="shared" si="98"/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9"/>
        <v/>
      </c>
      <c r="AH276" s="39" t="str">
        <f t="shared" si="100"/>
        <v/>
      </c>
      <c r="AI276" s="39" t="str">
        <f t="shared" si="101"/>
        <v/>
      </c>
      <c r="AJ276" s="39" t="str">
        <f t="shared" si="102"/>
        <v/>
      </c>
      <c r="AK276" t="str">
        <f t="shared" si="103"/>
        <v/>
      </c>
      <c r="AL276" t="str">
        <f t="shared" si="104"/>
        <v/>
      </c>
    </row>
    <row r="277" spans="11:38" ht="15">
      <c r="K277" t="str">
        <f t="shared" si="84"/>
        <v/>
      </c>
      <c r="L277" t="str">
        <f t="shared" si="85"/>
        <v/>
      </c>
      <c r="M277" s="36" t="str">
        <f t="shared" si="86"/>
        <v/>
      </c>
      <c r="N277" s="37" t="str">
        <f t="shared" si="87"/>
        <v/>
      </c>
      <c r="O277" s="37" t="str">
        <f t="shared" si="88"/>
        <v/>
      </c>
      <c r="P277" s="38" t="str">
        <f t="shared" si="89"/>
        <v/>
      </c>
      <c r="Q277" s="39" t="str">
        <f t="shared" si="90"/>
        <v/>
      </c>
      <c r="R277" s="39" t="str">
        <f t="shared" si="91"/>
        <v/>
      </c>
      <c r="S277" t="str">
        <f t="shared" si="92"/>
        <v/>
      </c>
      <c r="T277" s="39" t="str">
        <f t="shared" si="93"/>
        <v/>
      </c>
      <c r="U277" t="str">
        <f t="shared" si="94"/>
        <v/>
      </c>
      <c r="V277" t="str">
        <f>IF(L277="","",IF($AO$1=1,IFERROR(MATCH(L277,'11-تشرين الثاني'!$L$2:$L$501,0),0),0))</f>
        <v/>
      </c>
      <c r="W277" t="str">
        <f t="shared" si="95"/>
        <v/>
      </c>
      <c r="X277" s="38" t="str">
        <f>IF(L277="","",IF(V277&gt;0,INDEX('11-تشرين الثاني'!$P$2:$P$501,V277),IF($AO$1=1,0,"")))</f>
        <v/>
      </c>
      <c r="Y277" s="38" t="str">
        <f t="shared" si="96"/>
        <v/>
      </c>
      <c r="Z277" s="39" t="str">
        <f>IF(L277="","",IF(V277&gt;0,INDEX('11-تشرين الثاني'!$Q$2:$Q$501,V277),IF($AO$1=1,0,"")))</f>
        <v/>
      </c>
      <c r="AA277" s="39" t="str">
        <f t="shared" si="97"/>
        <v/>
      </c>
      <c r="AB277" s="40" t="str">
        <f>IF(OR(L277="",V277=0),"",IF(AND(N(I277)&gt;0,N(INDEX('11-تشرين الثاني'!$I$2:$I$501,V277))&gt;0,INDEX('11-تشرين الثاني'!$F$2:$F$501,V277)=F277),N(I277)/N(INDEX('11-تشرين الثاني'!$I$2:$I$501,V277))-1,""))</f>
        <v/>
      </c>
      <c r="AC277" t="str">
        <f t="shared" si="98"/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9"/>
        <v/>
      </c>
      <c r="AH277" s="39" t="str">
        <f t="shared" si="100"/>
        <v/>
      </c>
      <c r="AI277" s="39" t="str">
        <f t="shared" si="101"/>
        <v/>
      </c>
      <c r="AJ277" s="39" t="str">
        <f t="shared" si="102"/>
        <v/>
      </c>
      <c r="AK277" t="str">
        <f t="shared" si="103"/>
        <v/>
      </c>
      <c r="AL277" t="str">
        <f t="shared" si="104"/>
        <v/>
      </c>
    </row>
    <row r="278" spans="11:38" ht="15">
      <c r="K278" t="str">
        <f t="shared" si="84"/>
        <v/>
      </c>
      <c r="L278" t="str">
        <f t="shared" si="85"/>
        <v/>
      </c>
      <c r="M278" s="36" t="str">
        <f t="shared" si="86"/>
        <v/>
      </c>
      <c r="N278" s="37" t="str">
        <f t="shared" si="87"/>
        <v/>
      </c>
      <c r="O278" s="37" t="str">
        <f t="shared" si="88"/>
        <v/>
      </c>
      <c r="P278" s="38" t="str">
        <f t="shared" si="89"/>
        <v/>
      </c>
      <c r="Q278" s="39" t="str">
        <f t="shared" si="90"/>
        <v/>
      </c>
      <c r="R278" s="39" t="str">
        <f t="shared" si="91"/>
        <v/>
      </c>
      <c r="S278" t="str">
        <f t="shared" si="92"/>
        <v/>
      </c>
      <c r="T278" s="39" t="str">
        <f t="shared" si="93"/>
        <v/>
      </c>
      <c r="U278" t="str">
        <f t="shared" si="94"/>
        <v/>
      </c>
      <c r="V278" t="str">
        <f>IF(L278="","",IF($AO$1=1,IFERROR(MATCH(L278,'11-تشرين الثاني'!$L$2:$L$501,0),0),0))</f>
        <v/>
      </c>
      <c r="W278" t="str">
        <f t="shared" si="95"/>
        <v/>
      </c>
      <c r="X278" s="38" t="str">
        <f>IF(L278="","",IF(V278&gt;0,INDEX('11-تشرين الثاني'!$P$2:$P$501,V278),IF($AO$1=1,0,"")))</f>
        <v/>
      </c>
      <c r="Y278" s="38" t="str">
        <f t="shared" si="96"/>
        <v/>
      </c>
      <c r="Z278" s="39" t="str">
        <f>IF(L278="","",IF(V278&gt;0,INDEX('11-تشرين الثاني'!$Q$2:$Q$501,V278),IF($AO$1=1,0,"")))</f>
        <v/>
      </c>
      <c r="AA278" s="39" t="str">
        <f t="shared" si="97"/>
        <v/>
      </c>
      <c r="AB278" s="40" t="str">
        <f>IF(OR(L278="",V278=0),"",IF(AND(N(I278)&gt;0,N(INDEX('11-تشرين الثاني'!$I$2:$I$501,V278))&gt;0,INDEX('11-تشرين الثاني'!$F$2:$F$501,V278)=F278),N(I278)/N(INDEX('11-تشرين الثاني'!$I$2:$I$501,V278))-1,""))</f>
        <v/>
      </c>
      <c r="AC278" t="str">
        <f t="shared" si="98"/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9"/>
        <v/>
      </c>
      <c r="AH278" s="39" t="str">
        <f t="shared" si="100"/>
        <v/>
      </c>
      <c r="AI278" s="39" t="str">
        <f t="shared" si="101"/>
        <v/>
      </c>
      <c r="AJ278" s="39" t="str">
        <f t="shared" si="102"/>
        <v/>
      </c>
      <c r="AK278" t="str">
        <f t="shared" si="103"/>
        <v/>
      </c>
      <c r="AL278" t="str">
        <f t="shared" si="104"/>
        <v/>
      </c>
    </row>
    <row r="279" spans="11:38" ht="15">
      <c r="K279" t="str">
        <f t="shared" si="84"/>
        <v/>
      </c>
      <c r="L279" t="str">
        <f t="shared" si="85"/>
        <v/>
      </c>
      <c r="M279" s="36" t="str">
        <f t="shared" si="86"/>
        <v/>
      </c>
      <c r="N279" s="37" t="str">
        <f t="shared" si="87"/>
        <v/>
      </c>
      <c r="O279" s="37" t="str">
        <f t="shared" si="88"/>
        <v/>
      </c>
      <c r="P279" s="38" t="str">
        <f t="shared" si="89"/>
        <v/>
      </c>
      <c r="Q279" s="39" t="str">
        <f t="shared" si="90"/>
        <v/>
      </c>
      <c r="R279" s="39" t="str">
        <f t="shared" si="91"/>
        <v/>
      </c>
      <c r="S279" t="str">
        <f t="shared" si="92"/>
        <v/>
      </c>
      <c r="T279" s="39" t="str">
        <f t="shared" si="93"/>
        <v/>
      </c>
      <c r="U279" t="str">
        <f t="shared" si="94"/>
        <v/>
      </c>
      <c r="V279" t="str">
        <f>IF(L279="","",IF($AO$1=1,IFERROR(MATCH(L279,'11-تشرين الثاني'!$L$2:$L$501,0),0),0))</f>
        <v/>
      </c>
      <c r="W279" t="str">
        <f t="shared" si="95"/>
        <v/>
      </c>
      <c r="X279" s="38" t="str">
        <f>IF(L279="","",IF(V279&gt;0,INDEX('11-تشرين الثاني'!$P$2:$P$501,V279),IF($AO$1=1,0,"")))</f>
        <v/>
      </c>
      <c r="Y279" s="38" t="str">
        <f t="shared" si="96"/>
        <v/>
      </c>
      <c r="Z279" s="39" t="str">
        <f>IF(L279="","",IF(V279&gt;0,INDEX('11-تشرين الثاني'!$Q$2:$Q$501,V279),IF($AO$1=1,0,"")))</f>
        <v/>
      </c>
      <c r="AA279" s="39" t="str">
        <f t="shared" si="97"/>
        <v/>
      </c>
      <c r="AB279" s="40" t="str">
        <f>IF(OR(L279="",V279=0),"",IF(AND(N(I279)&gt;0,N(INDEX('11-تشرين الثاني'!$I$2:$I$501,V279))&gt;0,INDEX('11-تشرين الثاني'!$F$2:$F$501,V279)=F279),N(I279)/N(INDEX('11-تشرين الثاني'!$I$2:$I$501,V279))-1,""))</f>
        <v/>
      </c>
      <c r="AC279" t="str">
        <f t="shared" si="98"/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9"/>
        <v/>
      </c>
      <c r="AH279" s="39" t="str">
        <f t="shared" si="100"/>
        <v/>
      </c>
      <c r="AI279" s="39" t="str">
        <f t="shared" si="101"/>
        <v/>
      </c>
      <c r="AJ279" s="39" t="str">
        <f t="shared" si="102"/>
        <v/>
      </c>
      <c r="AK279" t="str">
        <f t="shared" si="103"/>
        <v/>
      </c>
      <c r="AL279" t="str">
        <f t="shared" si="104"/>
        <v/>
      </c>
    </row>
    <row r="280" spans="11:38" ht="15">
      <c r="K280" t="str">
        <f t="shared" si="84"/>
        <v/>
      </c>
      <c r="L280" t="str">
        <f t="shared" si="85"/>
        <v/>
      </c>
      <c r="M280" s="36" t="str">
        <f t="shared" si="86"/>
        <v/>
      </c>
      <c r="N280" s="37" t="str">
        <f t="shared" si="87"/>
        <v/>
      </c>
      <c r="O280" s="37" t="str">
        <f t="shared" si="88"/>
        <v/>
      </c>
      <c r="P280" s="38" t="str">
        <f t="shared" si="89"/>
        <v/>
      </c>
      <c r="Q280" s="39" t="str">
        <f t="shared" si="90"/>
        <v/>
      </c>
      <c r="R280" s="39" t="str">
        <f t="shared" si="91"/>
        <v/>
      </c>
      <c r="S280" t="str">
        <f t="shared" si="92"/>
        <v/>
      </c>
      <c r="T280" s="39" t="str">
        <f t="shared" si="93"/>
        <v/>
      </c>
      <c r="U280" t="str">
        <f t="shared" si="94"/>
        <v/>
      </c>
      <c r="V280" t="str">
        <f>IF(L280="","",IF($AO$1=1,IFERROR(MATCH(L280,'11-تشرين الثاني'!$L$2:$L$501,0),0),0))</f>
        <v/>
      </c>
      <c r="W280" t="str">
        <f t="shared" si="95"/>
        <v/>
      </c>
      <c r="X280" s="38" t="str">
        <f>IF(L280="","",IF(V280&gt;0,INDEX('11-تشرين الثاني'!$P$2:$P$501,V280),IF($AO$1=1,0,"")))</f>
        <v/>
      </c>
      <c r="Y280" s="38" t="str">
        <f t="shared" si="96"/>
        <v/>
      </c>
      <c r="Z280" s="39" t="str">
        <f>IF(L280="","",IF(V280&gt;0,INDEX('11-تشرين الثاني'!$Q$2:$Q$501,V280),IF($AO$1=1,0,"")))</f>
        <v/>
      </c>
      <c r="AA280" s="39" t="str">
        <f t="shared" si="97"/>
        <v/>
      </c>
      <c r="AB280" s="40" t="str">
        <f>IF(OR(L280="",V280=0),"",IF(AND(N(I280)&gt;0,N(INDEX('11-تشرين الثاني'!$I$2:$I$501,V280))&gt;0,INDEX('11-تشرين الثاني'!$F$2:$F$501,V280)=F280),N(I280)/N(INDEX('11-تشرين الثاني'!$I$2:$I$501,V280))-1,""))</f>
        <v/>
      </c>
      <c r="AC280" t="str">
        <f t="shared" si="98"/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9"/>
        <v/>
      </c>
      <c r="AH280" s="39" t="str">
        <f t="shared" si="100"/>
        <v/>
      </c>
      <c r="AI280" s="39" t="str">
        <f t="shared" si="101"/>
        <v/>
      </c>
      <c r="AJ280" s="39" t="str">
        <f t="shared" si="102"/>
        <v/>
      </c>
      <c r="AK280" t="str">
        <f t="shared" si="103"/>
        <v/>
      </c>
      <c r="AL280" t="str">
        <f t="shared" si="104"/>
        <v/>
      </c>
    </row>
    <row r="281" spans="11:38" ht="15">
      <c r="K281" t="str">
        <f t="shared" si="84"/>
        <v/>
      </c>
      <c r="L281" t="str">
        <f t="shared" si="85"/>
        <v/>
      </c>
      <c r="M281" s="36" t="str">
        <f t="shared" si="86"/>
        <v/>
      </c>
      <c r="N281" s="37" t="str">
        <f t="shared" si="87"/>
        <v/>
      </c>
      <c r="O281" s="37" t="str">
        <f t="shared" si="88"/>
        <v/>
      </c>
      <c r="P281" s="38" t="str">
        <f t="shared" si="89"/>
        <v/>
      </c>
      <c r="Q281" s="39" t="str">
        <f t="shared" si="90"/>
        <v/>
      </c>
      <c r="R281" s="39" t="str">
        <f t="shared" si="91"/>
        <v/>
      </c>
      <c r="S281" t="str">
        <f t="shared" si="92"/>
        <v/>
      </c>
      <c r="T281" s="39" t="str">
        <f t="shared" si="93"/>
        <v/>
      </c>
      <c r="U281" t="str">
        <f t="shared" si="94"/>
        <v/>
      </c>
      <c r="V281" t="str">
        <f>IF(L281="","",IF($AO$1=1,IFERROR(MATCH(L281,'11-تشرين الثاني'!$L$2:$L$501,0),0),0))</f>
        <v/>
      </c>
      <c r="W281" t="str">
        <f t="shared" si="95"/>
        <v/>
      </c>
      <c r="X281" s="38" t="str">
        <f>IF(L281="","",IF(V281&gt;0,INDEX('11-تشرين الثاني'!$P$2:$P$501,V281),IF($AO$1=1,0,"")))</f>
        <v/>
      </c>
      <c r="Y281" s="38" t="str">
        <f t="shared" si="96"/>
        <v/>
      </c>
      <c r="Z281" s="39" t="str">
        <f>IF(L281="","",IF(V281&gt;0,INDEX('11-تشرين الثاني'!$Q$2:$Q$501,V281),IF($AO$1=1,0,"")))</f>
        <v/>
      </c>
      <c r="AA281" s="39" t="str">
        <f t="shared" si="97"/>
        <v/>
      </c>
      <c r="AB281" s="40" t="str">
        <f>IF(OR(L281="",V281=0),"",IF(AND(N(I281)&gt;0,N(INDEX('11-تشرين الثاني'!$I$2:$I$501,V281))&gt;0,INDEX('11-تشرين الثاني'!$F$2:$F$501,V281)=F281),N(I281)/N(INDEX('11-تشرين الثاني'!$I$2:$I$501,V281))-1,""))</f>
        <v/>
      </c>
      <c r="AC281" t="str">
        <f t="shared" si="98"/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9"/>
        <v/>
      </c>
      <c r="AH281" s="39" t="str">
        <f t="shared" si="100"/>
        <v/>
      </c>
      <c r="AI281" s="39" t="str">
        <f t="shared" si="101"/>
        <v/>
      </c>
      <c r="AJ281" s="39" t="str">
        <f t="shared" si="102"/>
        <v/>
      </c>
      <c r="AK281" t="str">
        <f t="shared" si="103"/>
        <v/>
      </c>
      <c r="AL281" t="str">
        <f t="shared" si="104"/>
        <v/>
      </c>
    </row>
    <row r="282" spans="11:38" ht="15">
      <c r="K282" t="str">
        <f t="shared" si="84"/>
        <v/>
      </c>
      <c r="L282" t="str">
        <f t="shared" si="85"/>
        <v/>
      </c>
      <c r="M282" s="36" t="str">
        <f t="shared" si="86"/>
        <v/>
      </c>
      <c r="N282" s="37" t="str">
        <f t="shared" si="87"/>
        <v/>
      </c>
      <c r="O282" s="37" t="str">
        <f t="shared" si="88"/>
        <v/>
      </c>
      <c r="P282" s="38" t="str">
        <f t="shared" si="89"/>
        <v/>
      </c>
      <c r="Q282" s="39" t="str">
        <f t="shared" si="90"/>
        <v/>
      </c>
      <c r="R282" s="39" t="str">
        <f t="shared" si="91"/>
        <v/>
      </c>
      <c r="S282" t="str">
        <f t="shared" si="92"/>
        <v/>
      </c>
      <c r="T282" s="39" t="str">
        <f t="shared" si="93"/>
        <v/>
      </c>
      <c r="U282" t="str">
        <f t="shared" si="94"/>
        <v/>
      </c>
      <c r="V282" t="str">
        <f>IF(L282="","",IF($AO$1=1,IFERROR(MATCH(L282,'11-تشرين الثاني'!$L$2:$L$501,0),0),0))</f>
        <v/>
      </c>
      <c r="W282" t="str">
        <f t="shared" si="95"/>
        <v/>
      </c>
      <c r="X282" s="38" t="str">
        <f>IF(L282="","",IF(V282&gt;0,INDEX('11-تشرين الثاني'!$P$2:$P$501,V282),IF($AO$1=1,0,"")))</f>
        <v/>
      </c>
      <c r="Y282" s="38" t="str">
        <f t="shared" si="96"/>
        <v/>
      </c>
      <c r="Z282" s="39" t="str">
        <f>IF(L282="","",IF(V282&gt;0,INDEX('11-تشرين الثاني'!$Q$2:$Q$501,V282),IF($AO$1=1,0,"")))</f>
        <v/>
      </c>
      <c r="AA282" s="39" t="str">
        <f t="shared" si="97"/>
        <v/>
      </c>
      <c r="AB282" s="40" t="str">
        <f>IF(OR(L282="",V282=0),"",IF(AND(N(I282)&gt;0,N(INDEX('11-تشرين الثاني'!$I$2:$I$501,V282))&gt;0,INDEX('11-تشرين الثاني'!$F$2:$F$501,V282)=F282),N(I282)/N(INDEX('11-تشرين الثاني'!$I$2:$I$501,V282))-1,""))</f>
        <v/>
      </c>
      <c r="AC282" t="str">
        <f t="shared" si="98"/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9"/>
        <v/>
      </c>
      <c r="AH282" s="39" t="str">
        <f t="shared" si="100"/>
        <v/>
      </c>
      <c r="AI282" s="39" t="str">
        <f t="shared" si="101"/>
        <v/>
      </c>
      <c r="AJ282" s="39" t="str">
        <f t="shared" si="102"/>
        <v/>
      </c>
      <c r="AK282" t="str">
        <f t="shared" si="103"/>
        <v/>
      </c>
      <c r="AL282" t="str">
        <f t="shared" si="104"/>
        <v/>
      </c>
    </row>
    <row r="283" spans="11:38" ht="15">
      <c r="K283" t="str">
        <f t="shared" si="84"/>
        <v/>
      </c>
      <c r="L283" t="str">
        <f t="shared" si="85"/>
        <v/>
      </c>
      <c r="M283" s="36" t="str">
        <f t="shared" si="86"/>
        <v/>
      </c>
      <c r="N283" s="37" t="str">
        <f t="shared" si="87"/>
        <v/>
      </c>
      <c r="O283" s="37" t="str">
        <f t="shared" si="88"/>
        <v/>
      </c>
      <c r="P283" s="38" t="str">
        <f t="shared" si="89"/>
        <v/>
      </c>
      <c r="Q283" s="39" t="str">
        <f t="shared" si="90"/>
        <v/>
      </c>
      <c r="R283" s="39" t="str">
        <f t="shared" si="91"/>
        <v/>
      </c>
      <c r="S283" t="str">
        <f t="shared" si="92"/>
        <v/>
      </c>
      <c r="T283" s="39" t="str">
        <f t="shared" si="93"/>
        <v/>
      </c>
      <c r="U283" t="str">
        <f t="shared" si="94"/>
        <v/>
      </c>
      <c r="V283" t="str">
        <f>IF(L283="","",IF($AO$1=1,IFERROR(MATCH(L283,'11-تشرين الثاني'!$L$2:$L$501,0),0),0))</f>
        <v/>
      </c>
      <c r="W283" t="str">
        <f t="shared" si="95"/>
        <v/>
      </c>
      <c r="X283" s="38" t="str">
        <f>IF(L283="","",IF(V283&gt;0,INDEX('11-تشرين الثاني'!$P$2:$P$501,V283),IF($AO$1=1,0,"")))</f>
        <v/>
      </c>
      <c r="Y283" s="38" t="str">
        <f t="shared" si="96"/>
        <v/>
      </c>
      <c r="Z283" s="39" t="str">
        <f>IF(L283="","",IF(V283&gt;0,INDEX('11-تشرين الثاني'!$Q$2:$Q$501,V283),IF($AO$1=1,0,"")))</f>
        <v/>
      </c>
      <c r="AA283" s="39" t="str">
        <f t="shared" si="97"/>
        <v/>
      </c>
      <c r="AB283" s="40" t="str">
        <f>IF(OR(L283="",V283=0),"",IF(AND(N(I283)&gt;0,N(INDEX('11-تشرين الثاني'!$I$2:$I$501,V283))&gt;0,INDEX('11-تشرين الثاني'!$F$2:$F$501,V283)=F283),N(I283)/N(INDEX('11-تشرين الثاني'!$I$2:$I$501,V283))-1,""))</f>
        <v/>
      </c>
      <c r="AC283" t="str">
        <f t="shared" si="98"/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9"/>
        <v/>
      </c>
      <c r="AH283" s="39" t="str">
        <f t="shared" si="100"/>
        <v/>
      </c>
      <c r="AI283" s="39" t="str">
        <f t="shared" si="101"/>
        <v/>
      </c>
      <c r="AJ283" s="39" t="str">
        <f t="shared" si="102"/>
        <v/>
      </c>
      <c r="AK283" t="str">
        <f t="shared" si="103"/>
        <v/>
      </c>
      <c r="AL283" t="str">
        <f t="shared" si="104"/>
        <v/>
      </c>
    </row>
    <row r="284" spans="11:38" ht="15">
      <c r="K284" t="str">
        <f t="shared" si="84"/>
        <v/>
      </c>
      <c r="L284" t="str">
        <f t="shared" si="85"/>
        <v/>
      </c>
      <c r="M284" s="36" t="str">
        <f t="shared" si="86"/>
        <v/>
      </c>
      <c r="N284" s="37" t="str">
        <f t="shared" si="87"/>
        <v/>
      </c>
      <c r="O284" s="37" t="str">
        <f t="shared" si="88"/>
        <v/>
      </c>
      <c r="P284" s="38" t="str">
        <f t="shared" si="89"/>
        <v/>
      </c>
      <c r="Q284" s="39" t="str">
        <f t="shared" si="90"/>
        <v/>
      </c>
      <c r="R284" s="39" t="str">
        <f t="shared" si="91"/>
        <v/>
      </c>
      <c r="S284" t="str">
        <f t="shared" si="92"/>
        <v/>
      </c>
      <c r="T284" s="39" t="str">
        <f t="shared" si="93"/>
        <v/>
      </c>
      <c r="U284" t="str">
        <f t="shared" si="94"/>
        <v/>
      </c>
      <c r="V284" t="str">
        <f>IF(L284="","",IF($AO$1=1,IFERROR(MATCH(L284,'11-تشرين الثاني'!$L$2:$L$501,0),0),0))</f>
        <v/>
      </c>
      <c r="W284" t="str">
        <f t="shared" si="95"/>
        <v/>
      </c>
      <c r="X284" s="38" t="str">
        <f>IF(L284="","",IF(V284&gt;0,INDEX('11-تشرين الثاني'!$P$2:$P$501,V284),IF($AO$1=1,0,"")))</f>
        <v/>
      </c>
      <c r="Y284" s="38" t="str">
        <f t="shared" si="96"/>
        <v/>
      </c>
      <c r="Z284" s="39" t="str">
        <f>IF(L284="","",IF(V284&gt;0,INDEX('11-تشرين الثاني'!$Q$2:$Q$501,V284),IF($AO$1=1,0,"")))</f>
        <v/>
      </c>
      <c r="AA284" s="39" t="str">
        <f t="shared" si="97"/>
        <v/>
      </c>
      <c r="AB284" s="40" t="str">
        <f>IF(OR(L284="",V284=0),"",IF(AND(N(I284)&gt;0,N(INDEX('11-تشرين الثاني'!$I$2:$I$501,V284))&gt;0,INDEX('11-تشرين الثاني'!$F$2:$F$501,V284)=F284),N(I284)/N(INDEX('11-تشرين الثاني'!$I$2:$I$501,V284))-1,""))</f>
        <v/>
      </c>
      <c r="AC284" t="str">
        <f t="shared" si="98"/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9"/>
        <v/>
      </c>
      <c r="AH284" s="39" t="str">
        <f t="shared" si="100"/>
        <v/>
      </c>
      <c r="AI284" s="39" t="str">
        <f t="shared" si="101"/>
        <v/>
      </c>
      <c r="AJ284" s="39" t="str">
        <f t="shared" si="102"/>
        <v/>
      </c>
      <c r="AK284" t="str">
        <f t="shared" si="103"/>
        <v/>
      </c>
      <c r="AL284" t="str">
        <f t="shared" si="104"/>
        <v/>
      </c>
    </row>
    <row r="285" spans="11:38" ht="15">
      <c r="K285" t="str">
        <f t="shared" si="84"/>
        <v/>
      </c>
      <c r="L285" t="str">
        <f t="shared" si="85"/>
        <v/>
      </c>
      <c r="M285" s="36" t="str">
        <f t="shared" si="86"/>
        <v/>
      </c>
      <c r="N285" s="37" t="str">
        <f t="shared" si="87"/>
        <v/>
      </c>
      <c r="O285" s="37" t="str">
        <f t="shared" si="88"/>
        <v/>
      </c>
      <c r="P285" s="38" t="str">
        <f t="shared" si="89"/>
        <v/>
      </c>
      <c r="Q285" s="39" t="str">
        <f t="shared" si="90"/>
        <v/>
      </c>
      <c r="R285" s="39" t="str">
        <f t="shared" si="91"/>
        <v/>
      </c>
      <c r="S285" t="str">
        <f t="shared" si="92"/>
        <v/>
      </c>
      <c r="T285" s="39" t="str">
        <f t="shared" si="93"/>
        <v/>
      </c>
      <c r="U285" t="str">
        <f t="shared" si="94"/>
        <v/>
      </c>
      <c r="V285" t="str">
        <f>IF(L285="","",IF($AO$1=1,IFERROR(MATCH(L285,'11-تشرين الثاني'!$L$2:$L$501,0),0),0))</f>
        <v/>
      </c>
      <c r="W285" t="str">
        <f t="shared" si="95"/>
        <v/>
      </c>
      <c r="X285" s="38" t="str">
        <f>IF(L285="","",IF(V285&gt;0,INDEX('11-تشرين الثاني'!$P$2:$P$501,V285),IF($AO$1=1,0,"")))</f>
        <v/>
      </c>
      <c r="Y285" s="38" t="str">
        <f t="shared" si="96"/>
        <v/>
      </c>
      <c r="Z285" s="39" t="str">
        <f>IF(L285="","",IF(V285&gt;0,INDEX('11-تشرين الثاني'!$Q$2:$Q$501,V285),IF($AO$1=1,0,"")))</f>
        <v/>
      </c>
      <c r="AA285" s="39" t="str">
        <f t="shared" si="97"/>
        <v/>
      </c>
      <c r="AB285" s="40" t="str">
        <f>IF(OR(L285="",V285=0),"",IF(AND(N(I285)&gt;0,N(INDEX('11-تشرين الثاني'!$I$2:$I$501,V285))&gt;0,INDEX('11-تشرين الثاني'!$F$2:$F$501,V285)=F285),N(I285)/N(INDEX('11-تشرين الثاني'!$I$2:$I$501,V285))-1,""))</f>
        <v/>
      </c>
      <c r="AC285" t="str">
        <f t="shared" si="98"/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9"/>
        <v/>
      </c>
      <c r="AH285" s="39" t="str">
        <f t="shared" si="100"/>
        <v/>
      </c>
      <c r="AI285" s="39" t="str">
        <f t="shared" si="101"/>
        <v/>
      </c>
      <c r="AJ285" s="39" t="str">
        <f t="shared" si="102"/>
        <v/>
      </c>
      <c r="AK285" t="str">
        <f t="shared" si="103"/>
        <v/>
      </c>
      <c r="AL285" t="str">
        <f t="shared" si="104"/>
        <v/>
      </c>
    </row>
    <row r="286" spans="11:38" ht="15">
      <c r="K286" t="str">
        <f t="shared" si="84"/>
        <v/>
      </c>
      <c r="L286" t="str">
        <f t="shared" si="85"/>
        <v/>
      </c>
      <c r="M286" s="36" t="str">
        <f t="shared" si="86"/>
        <v/>
      </c>
      <c r="N286" s="37" t="str">
        <f t="shared" si="87"/>
        <v/>
      </c>
      <c r="O286" s="37" t="str">
        <f t="shared" si="88"/>
        <v/>
      </c>
      <c r="P286" s="38" t="str">
        <f t="shared" si="89"/>
        <v/>
      </c>
      <c r="Q286" s="39" t="str">
        <f t="shared" si="90"/>
        <v/>
      </c>
      <c r="R286" s="39" t="str">
        <f t="shared" si="91"/>
        <v/>
      </c>
      <c r="S286" t="str">
        <f t="shared" si="92"/>
        <v/>
      </c>
      <c r="T286" s="39" t="str">
        <f t="shared" si="93"/>
        <v/>
      </c>
      <c r="U286" t="str">
        <f t="shared" si="94"/>
        <v/>
      </c>
      <c r="V286" t="str">
        <f>IF(L286="","",IF($AO$1=1,IFERROR(MATCH(L286,'11-تشرين الثاني'!$L$2:$L$501,0),0),0))</f>
        <v/>
      </c>
      <c r="W286" t="str">
        <f t="shared" si="95"/>
        <v/>
      </c>
      <c r="X286" s="38" t="str">
        <f>IF(L286="","",IF(V286&gt;0,INDEX('11-تشرين الثاني'!$P$2:$P$501,V286),IF($AO$1=1,0,"")))</f>
        <v/>
      </c>
      <c r="Y286" s="38" t="str">
        <f t="shared" si="96"/>
        <v/>
      </c>
      <c r="Z286" s="39" t="str">
        <f>IF(L286="","",IF(V286&gt;0,INDEX('11-تشرين الثاني'!$Q$2:$Q$501,V286),IF($AO$1=1,0,"")))</f>
        <v/>
      </c>
      <c r="AA286" s="39" t="str">
        <f t="shared" si="97"/>
        <v/>
      </c>
      <c r="AB286" s="40" t="str">
        <f>IF(OR(L286="",V286=0),"",IF(AND(N(I286)&gt;0,N(INDEX('11-تشرين الثاني'!$I$2:$I$501,V286))&gt;0,INDEX('11-تشرين الثاني'!$F$2:$F$501,V286)=F286),N(I286)/N(INDEX('11-تشرين الثاني'!$I$2:$I$501,V286))-1,""))</f>
        <v/>
      </c>
      <c r="AC286" t="str">
        <f t="shared" si="98"/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9"/>
        <v/>
      </c>
      <c r="AH286" s="39" t="str">
        <f t="shared" si="100"/>
        <v/>
      </c>
      <c r="AI286" s="39" t="str">
        <f t="shared" si="101"/>
        <v/>
      </c>
      <c r="AJ286" s="39" t="str">
        <f t="shared" si="102"/>
        <v/>
      </c>
      <c r="AK286" t="str">
        <f t="shared" si="103"/>
        <v/>
      </c>
      <c r="AL286" t="str">
        <f t="shared" si="104"/>
        <v/>
      </c>
    </row>
    <row r="287" spans="11:38" ht="15">
      <c r="K287" t="str">
        <f t="shared" si="84"/>
        <v/>
      </c>
      <c r="L287" t="str">
        <f t="shared" si="85"/>
        <v/>
      </c>
      <c r="M287" s="36" t="str">
        <f t="shared" si="86"/>
        <v/>
      </c>
      <c r="N287" s="37" t="str">
        <f t="shared" si="87"/>
        <v/>
      </c>
      <c r="O287" s="37" t="str">
        <f t="shared" si="88"/>
        <v/>
      </c>
      <c r="P287" s="38" t="str">
        <f t="shared" si="89"/>
        <v/>
      </c>
      <c r="Q287" s="39" t="str">
        <f t="shared" si="90"/>
        <v/>
      </c>
      <c r="R287" s="39" t="str">
        <f t="shared" si="91"/>
        <v/>
      </c>
      <c r="S287" t="str">
        <f t="shared" si="92"/>
        <v/>
      </c>
      <c r="T287" s="39" t="str">
        <f t="shared" si="93"/>
        <v/>
      </c>
      <c r="U287" t="str">
        <f t="shared" si="94"/>
        <v/>
      </c>
      <c r="V287" t="str">
        <f>IF(L287="","",IF($AO$1=1,IFERROR(MATCH(L287,'11-تشرين الثاني'!$L$2:$L$501,0),0),0))</f>
        <v/>
      </c>
      <c r="W287" t="str">
        <f t="shared" si="95"/>
        <v/>
      </c>
      <c r="X287" s="38" t="str">
        <f>IF(L287="","",IF(V287&gt;0,INDEX('11-تشرين الثاني'!$P$2:$P$501,V287),IF($AO$1=1,0,"")))</f>
        <v/>
      </c>
      <c r="Y287" s="38" t="str">
        <f t="shared" si="96"/>
        <v/>
      </c>
      <c r="Z287" s="39" t="str">
        <f>IF(L287="","",IF(V287&gt;0,INDEX('11-تشرين الثاني'!$Q$2:$Q$501,V287),IF($AO$1=1,0,"")))</f>
        <v/>
      </c>
      <c r="AA287" s="39" t="str">
        <f t="shared" si="97"/>
        <v/>
      </c>
      <c r="AB287" s="40" t="str">
        <f>IF(OR(L287="",V287=0),"",IF(AND(N(I287)&gt;0,N(INDEX('11-تشرين الثاني'!$I$2:$I$501,V287))&gt;0,INDEX('11-تشرين الثاني'!$F$2:$F$501,V287)=F287),N(I287)/N(INDEX('11-تشرين الثاني'!$I$2:$I$501,V287))-1,""))</f>
        <v/>
      </c>
      <c r="AC287" t="str">
        <f t="shared" si="98"/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9"/>
        <v/>
      </c>
      <c r="AH287" s="39" t="str">
        <f t="shared" si="100"/>
        <v/>
      </c>
      <c r="AI287" s="39" t="str">
        <f t="shared" si="101"/>
        <v/>
      </c>
      <c r="AJ287" s="39" t="str">
        <f t="shared" si="102"/>
        <v/>
      </c>
      <c r="AK287" t="str">
        <f t="shared" si="103"/>
        <v/>
      </c>
      <c r="AL287" t="str">
        <f t="shared" si="104"/>
        <v/>
      </c>
    </row>
    <row r="288" spans="11:38" ht="15">
      <c r="K288" t="str">
        <f t="shared" si="84"/>
        <v/>
      </c>
      <c r="L288" t="str">
        <f t="shared" si="85"/>
        <v/>
      </c>
      <c r="M288" s="36" t="str">
        <f t="shared" si="86"/>
        <v/>
      </c>
      <c r="N288" s="37" t="str">
        <f t="shared" si="87"/>
        <v/>
      </c>
      <c r="O288" s="37" t="str">
        <f t="shared" si="88"/>
        <v/>
      </c>
      <c r="P288" s="38" t="str">
        <f t="shared" si="89"/>
        <v/>
      </c>
      <c r="Q288" s="39" t="str">
        <f t="shared" si="90"/>
        <v/>
      </c>
      <c r="R288" s="39" t="str">
        <f t="shared" si="91"/>
        <v/>
      </c>
      <c r="S288" t="str">
        <f t="shared" si="92"/>
        <v/>
      </c>
      <c r="T288" s="39" t="str">
        <f t="shared" si="93"/>
        <v/>
      </c>
      <c r="U288" t="str">
        <f t="shared" si="94"/>
        <v/>
      </c>
      <c r="V288" t="str">
        <f>IF(L288="","",IF($AO$1=1,IFERROR(MATCH(L288,'11-تشرين الثاني'!$L$2:$L$501,0),0),0))</f>
        <v/>
      </c>
      <c r="W288" t="str">
        <f t="shared" si="95"/>
        <v/>
      </c>
      <c r="X288" s="38" t="str">
        <f>IF(L288="","",IF(V288&gt;0,INDEX('11-تشرين الثاني'!$P$2:$P$501,V288),IF($AO$1=1,0,"")))</f>
        <v/>
      </c>
      <c r="Y288" s="38" t="str">
        <f t="shared" si="96"/>
        <v/>
      </c>
      <c r="Z288" s="39" t="str">
        <f>IF(L288="","",IF(V288&gt;0,INDEX('11-تشرين الثاني'!$Q$2:$Q$501,V288),IF($AO$1=1,0,"")))</f>
        <v/>
      </c>
      <c r="AA288" s="39" t="str">
        <f t="shared" si="97"/>
        <v/>
      </c>
      <c r="AB288" s="40" t="str">
        <f>IF(OR(L288="",V288=0),"",IF(AND(N(I288)&gt;0,N(INDEX('11-تشرين الثاني'!$I$2:$I$501,V288))&gt;0,INDEX('11-تشرين الثاني'!$F$2:$F$501,V288)=F288),N(I288)/N(INDEX('11-تشرين الثاني'!$I$2:$I$501,V288))-1,""))</f>
        <v/>
      </c>
      <c r="AC288" t="str">
        <f t="shared" si="98"/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9"/>
        <v/>
      </c>
      <c r="AH288" s="39" t="str">
        <f t="shared" si="100"/>
        <v/>
      </c>
      <c r="AI288" s="39" t="str">
        <f t="shared" si="101"/>
        <v/>
      </c>
      <c r="AJ288" s="39" t="str">
        <f t="shared" si="102"/>
        <v/>
      </c>
      <c r="AK288" t="str">
        <f t="shared" si="103"/>
        <v/>
      </c>
      <c r="AL288" t="str">
        <f t="shared" si="104"/>
        <v/>
      </c>
    </row>
    <row r="289" spans="11:38" ht="15">
      <c r="K289" t="str">
        <f t="shared" si="84"/>
        <v/>
      </c>
      <c r="L289" t="str">
        <f t="shared" si="85"/>
        <v/>
      </c>
      <c r="M289" s="36" t="str">
        <f t="shared" si="86"/>
        <v/>
      </c>
      <c r="N289" s="37" t="str">
        <f t="shared" si="87"/>
        <v/>
      </c>
      <c r="O289" s="37" t="str">
        <f t="shared" si="88"/>
        <v/>
      </c>
      <c r="P289" s="38" t="str">
        <f t="shared" si="89"/>
        <v/>
      </c>
      <c r="Q289" s="39" t="str">
        <f t="shared" si="90"/>
        <v/>
      </c>
      <c r="R289" s="39" t="str">
        <f t="shared" si="91"/>
        <v/>
      </c>
      <c r="S289" t="str">
        <f t="shared" si="92"/>
        <v/>
      </c>
      <c r="T289" s="39" t="str">
        <f t="shared" si="93"/>
        <v/>
      </c>
      <c r="U289" t="str">
        <f t="shared" si="94"/>
        <v/>
      </c>
      <c r="V289" t="str">
        <f>IF(L289="","",IF($AO$1=1,IFERROR(MATCH(L289,'11-تشرين الثاني'!$L$2:$L$501,0),0),0))</f>
        <v/>
      </c>
      <c r="W289" t="str">
        <f t="shared" si="95"/>
        <v/>
      </c>
      <c r="X289" s="38" t="str">
        <f>IF(L289="","",IF(V289&gt;0,INDEX('11-تشرين الثاني'!$P$2:$P$501,V289),IF($AO$1=1,0,"")))</f>
        <v/>
      </c>
      <c r="Y289" s="38" t="str">
        <f t="shared" si="96"/>
        <v/>
      </c>
      <c r="Z289" s="39" t="str">
        <f>IF(L289="","",IF(V289&gt;0,INDEX('11-تشرين الثاني'!$Q$2:$Q$501,V289),IF($AO$1=1,0,"")))</f>
        <v/>
      </c>
      <c r="AA289" s="39" t="str">
        <f t="shared" si="97"/>
        <v/>
      </c>
      <c r="AB289" s="40" t="str">
        <f>IF(OR(L289="",V289=0),"",IF(AND(N(I289)&gt;0,N(INDEX('11-تشرين الثاني'!$I$2:$I$501,V289))&gt;0,INDEX('11-تشرين الثاني'!$F$2:$F$501,V289)=F289),N(I289)/N(INDEX('11-تشرين الثاني'!$I$2:$I$501,V289))-1,""))</f>
        <v/>
      </c>
      <c r="AC289" t="str">
        <f t="shared" si="98"/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9"/>
        <v/>
      </c>
      <c r="AH289" s="39" t="str">
        <f t="shared" si="100"/>
        <v/>
      </c>
      <c r="AI289" s="39" t="str">
        <f t="shared" si="101"/>
        <v/>
      </c>
      <c r="AJ289" s="39" t="str">
        <f t="shared" si="102"/>
        <v/>
      </c>
      <c r="AK289" t="str">
        <f t="shared" si="103"/>
        <v/>
      </c>
      <c r="AL289" t="str">
        <f t="shared" si="104"/>
        <v/>
      </c>
    </row>
    <row r="290" spans="11:38" ht="15">
      <c r="K290" t="str">
        <f t="shared" si="84"/>
        <v/>
      </c>
      <c r="L290" t="str">
        <f t="shared" si="85"/>
        <v/>
      </c>
      <c r="M290" s="36" t="str">
        <f t="shared" si="86"/>
        <v/>
      </c>
      <c r="N290" s="37" t="str">
        <f t="shared" si="87"/>
        <v/>
      </c>
      <c r="O290" s="37" t="str">
        <f t="shared" si="88"/>
        <v/>
      </c>
      <c r="P290" s="38" t="str">
        <f t="shared" si="89"/>
        <v/>
      </c>
      <c r="Q290" s="39" t="str">
        <f t="shared" si="90"/>
        <v/>
      </c>
      <c r="R290" s="39" t="str">
        <f t="shared" si="91"/>
        <v/>
      </c>
      <c r="S290" t="str">
        <f t="shared" si="92"/>
        <v/>
      </c>
      <c r="T290" s="39" t="str">
        <f t="shared" si="93"/>
        <v/>
      </c>
      <c r="U290" t="str">
        <f t="shared" si="94"/>
        <v/>
      </c>
      <c r="V290" t="str">
        <f>IF(L290="","",IF($AO$1=1,IFERROR(MATCH(L290,'11-تشرين الثاني'!$L$2:$L$501,0),0),0))</f>
        <v/>
      </c>
      <c r="W290" t="str">
        <f t="shared" si="95"/>
        <v/>
      </c>
      <c r="X290" s="38" t="str">
        <f>IF(L290="","",IF(V290&gt;0,INDEX('11-تشرين الثاني'!$P$2:$P$501,V290),IF($AO$1=1,0,"")))</f>
        <v/>
      </c>
      <c r="Y290" s="38" t="str">
        <f t="shared" si="96"/>
        <v/>
      </c>
      <c r="Z290" s="39" t="str">
        <f>IF(L290="","",IF(V290&gt;0,INDEX('11-تشرين الثاني'!$Q$2:$Q$501,V290),IF($AO$1=1,0,"")))</f>
        <v/>
      </c>
      <c r="AA290" s="39" t="str">
        <f t="shared" si="97"/>
        <v/>
      </c>
      <c r="AB290" s="40" t="str">
        <f>IF(OR(L290="",V290=0),"",IF(AND(N(I290)&gt;0,N(INDEX('11-تشرين الثاني'!$I$2:$I$501,V290))&gt;0,INDEX('11-تشرين الثاني'!$F$2:$F$501,V290)=F290),N(I290)/N(INDEX('11-تشرين الثاني'!$I$2:$I$501,V290))-1,""))</f>
        <v/>
      </c>
      <c r="AC290" t="str">
        <f t="shared" si="98"/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9"/>
        <v/>
      </c>
      <c r="AH290" s="39" t="str">
        <f t="shared" si="100"/>
        <v/>
      </c>
      <c r="AI290" s="39" t="str">
        <f t="shared" si="101"/>
        <v/>
      </c>
      <c r="AJ290" s="39" t="str">
        <f t="shared" si="102"/>
        <v/>
      </c>
      <c r="AK290" t="str">
        <f t="shared" si="103"/>
        <v/>
      </c>
      <c r="AL290" t="str">
        <f t="shared" si="104"/>
        <v/>
      </c>
    </row>
    <row r="291" spans="11:38" ht="15">
      <c r="K291" t="str">
        <f t="shared" si="84"/>
        <v/>
      </c>
      <c r="L291" t="str">
        <f t="shared" si="85"/>
        <v/>
      </c>
      <c r="M291" s="36" t="str">
        <f t="shared" si="86"/>
        <v/>
      </c>
      <c r="N291" s="37" t="str">
        <f t="shared" si="87"/>
        <v/>
      </c>
      <c r="O291" s="37" t="str">
        <f t="shared" si="88"/>
        <v/>
      </c>
      <c r="P291" s="38" t="str">
        <f t="shared" si="89"/>
        <v/>
      </c>
      <c r="Q291" s="39" t="str">
        <f t="shared" si="90"/>
        <v/>
      </c>
      <c r="R291" s="39" t="str">
        <f t="shared" si="91"/>
        <v/>
      </c>
      <c r="S291" t="str">
        <f t="shared" si="92"/>
        <v/>
      </c>
      <c r="T291" s="39" t="str">
        <f t="shared" si="93"/>
        <v/>
      </c>
      <c r="U291" t="str">
        <f t="shared" si="94"/>
        <v/>
      </c>
      <c r="V291" t="str">
        <f>IF(L291="","",IF($AO$1=1,IFERROR(MATCH(L291,'11-تشرين الثاني'!$L$2:$L$501,0),0),0))</f>
        <v/>
      </c>
      <c r="W291" t="str">
        <f t="shared" si="95"/>
        <v/>
      </c>
      <c r="X291" s="38" t="str">
        <f>IF(L291="","",IF(V291&gt;0,INDEX('11-تشرين الثاني'!$P$2:$P$501,V291),IF($AO$1=1,0,"")))</f>
        <v/>
      </c>
      <c r="Y291" s="38" t="str">
        <f t="shared" si="96"/>
        <v/>
      </c>
      <c r="Z291" s="39" t="str">
        <f>IF(L291="","",IF(V291&gt;0,INDEX('11-تشرين الثاني'!$Q$2:$Q$501,V291),IF($AO$1=1,0,"")))</f>
        <v/>
      </c>
      <c r="AA291" s="39" t="str">
        <f t="shared" si="97"/>
        <v/>
      </c>
      <c r="AB291" s="40" t="str">
        <f>IF(OR(L291="",V291=0),"",IF(AND(N(I291)&gt;0,N(INDEX('11-تشرين الثاني'!$I$2:$I$501,V291))&gt;0,INDEX('11-تشرين الثاني'!$F$2:$F$501,V291)=F291),N(I291)/N(INDEX('11-تشرين الثاني'!$I$2:$I$501,V291))-1,""))</f>
        <v/>
      </c>
      <c r="AC291" t="str">
        <f t="shared" si="98"/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9"/>
        <v/>
      </c>
      <c r="AH291" s="39" t="str">
        <f t="shared" si="100"/>
        <v/>
      </c>
      <c r="AI291" s="39" t="str">
        <f t="shared" si="101"/>
        <v/>
      </c>
      <c r="AJ291" s="39" t="str">
        <f t="shared" si="102"/>
        <v/>
      </c>
      <c r="AK291" t="str">
        <f t="shared" si="103"/>
        <v/>
      </c>
      <c r="AL291" t="str">
        <f t="shared" si="104"/>
        <v/>
      </c>
    </row>
    <row r="292" spans="11:38" ht="15">
      <c r="K292" t="str">
        <f t="shared" si="84"/>
        <v/>
      </c>
      <c r="L292" t="str">
        <f t="shared" si="85"/>
        <v/>
      </c>
      <c r="M292" s="36" t="str">
        <f t="shared" si="86"/>
        <v/>
      </c>
      <c r="N292" s="37" t="str">
        <f t="shared" si="87"/>
        <v/>
      </c>
      <c r="O292" s="37" t="str">
        <f t="shared" si="88"/>
        <v/>
      </c>
      <c r="P292" s="38" t="str">
        <f t="shared" si="89"/>
        <v/>
      </c>
      <c r="Q292" s="39" t="str">
        <f t="shared" si="90"/>
        <v/>
      </c>
      <c r="R292" s="39" t="str">
        <f t="shared" si="91"/>
        <v/>
      </c>
      <c r="S292" t="str">
        <f t="shared" si="92"/>
        <v/>
      </c>
      <c r="T292" s="39" t="str">
        <f t="shared" si="93"/>
        <v/>
      </c>
      <c r="U292" t="str">
        <f t="shared" si="94"/>
        <v/>
      </c>
      <c r="V292" t="str">
        <f>IF(L292="","",IF($AO$1=1,IFERROR(MATCH(L292,'11-تشرين الثاني'!$L$2:$L$501,0),0),0))</f>
        <v/>
      </c>
      <c r="W292" t="str">
        <f t="shared" si="95"/>
        <v/>
      </c>
      <c r="X292" s="38" t="str">
        <f>IF(L292="","",IF(V292&gt;0,INDEX('11-تشرين الثاني'!$P$2:$P$501,V292),IF($AO$1=1,0,"")))</f>
        <v/>
      </c>
      <c r="Y292" s="38" t="str">
        <f t="shared" si="96"/>
        <v/>
      </c>
      <c r="Z292" s="39" t="str">
        <f>IF(L292="","",IF(V292&gt;0,INDEX('11-تشرين الثاني'!$Q$2:$Q$501,V292),IF($AO$1=1,0,"")))</f>
        <v/>
      </c>
      <c r="AA292" s="39" t="str">
        <f t="shared" si="97"/>
        <v/>
      </c>
      <c r="AB292" s="40" t="str">
        <f>IF(OR(L292="",V292=0),"",IF(AND(N(I292)&gt;0,N(INDEX('11-تشرين الثاني'!$I$2:$I$501,V292))&gt;0,INDEX('11-تشرين الثاني'!$F$2:$F$501,V292)=F292),N(I292)/N(INDEX('11-تشرين الثاني'!$I$2:$I$501,V292))-1,""))</f>
        <v/>
      </c>
      <c r="AC292" t="str">
        <f t="shared" si="98"/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9"/>
        <v/>
      </c>
      <c r="AH292" s="39" t="str">
        <f t="shared" si="100"/>
        <v/>
      </c>
      <c r="AI292" s="39" t="str">
        <f t="shared" si="101"/>
        <v/>
      </c>
      <c r="AJ292" s="39" t="str">
        <f t="shared" si="102"/>
        <v/>
      </c>
      <c r="AK292" t="str">
        <f t="shared" si="103"/>
        <v/>
      </c>
      <c r="AL292" t="str">
        <f t="shared" si="104"/>
        <v/>
      </c>
    </row>
    <row r="293" spans="11:38" ht="15">
      <c r="K293" t="str">
        <f t="shared" si="84"/>
        <v/>
      </c>
      <c r="L293" t="str">
        <f t="shared" si="85"/>
        <v/>
      </c>
      <c r="M293" s="36" t="str">
        <f t="shared" si="86"/>
        <v/>
      </c>
      <c r="N293" s="37" t="str">
        <f t="shared" si="87"/>
        <v/>
      </c>
      <c r="O293" s="37" t="str">
        <f t="shared" si="88"/>
        <v/>
      </c>
      <c r="P293" s="38" t="str">
        <f t="shared" si="89"/>
        <v/>
      </c>
      <c r="Q293" s="39" t="str">
        <f t="shared" si="90"/>
        <v/>
      </c>
      <c r="R293" s="39" t="str">
        <f t="shared" si="91"/>
        <v/>
      </c>
      <c r="S293" t="str">
        <f t="shared" si="92"/>
        <v/>
      </c>
      <c r="T293" s="39" t="str">
        <f t="shared" si="93"/>
        <v/>
      </c>
      <c r="U293" t="str">
        <f t="shared" si="94"/>
        <v/>
      </c>
      <c r="V293" t="str">
        <f>IF(L293="","",IF($AO$1=1,IFERROR(MATCH(L293,'11-تشرين الثاني'!$L$2:$L$501,0),0),0))</f>
        <v/>
      </c>
      <c r="W293" t="str">
        <f t="shared" si="95"/>
        <v/>
      </c>
      <c r="X293" s="38" t="str">
        <f>IF(L293="","",IF(V293&gt;0,INDEX('11-تشرين الثاني'!$P$2:$P$501,V293),IF($AO$1=1,0,"")))</f>
        <v/>
      </c>
      <c r="Y293" s="38" t="str">
        <f t="shared" si="96"/>
        <v/>
      </c>
      <c r="Z293" s="39" t="str">
        <f>IF(L293="","",IF(V293&gt;0,INDEX('11-تشرين الثاني'!$Q$2:$Q$501,V293),IF($AO$1=1,0,"")))</f>
        <v/>
      </c>
      <c r="AA293" s="39" t="str">
        <f t="shared" si="97"/>
        <v/>
      </c>
      <c r="AB293" s="40" t="str">
        <f>IF(OR(L293="",V293=0),"",IF(AND(N(I293)&gt;0,N(INDEX('11-تشرين الثاني'!$I$2:$I$501,V293))&gt;0,INDEX('11-تشرين الثاني'!$F$2:$F$501,V293)=F293),N(I293)/N(INDEX('11-تشرين الثاني'!$I$2:$I$501,V293))-1,""))</f>
        <v/>
      </c>
      <c r="AC293" t="str">
        <f t="shared" si="98"/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9"/>
        <v/>
      </c>
      <c r="AH293" s="39" t="str">
        <f t="shared" si="100"/>
        <v/>
      </c>
      <c r="AI293" s="39" t="str">
        <f t="shared" si="101"/>
        <v/>
      </c>
      <c r="AJ293" s="39" t="str">
        <f t="shared" si="102"/>
        <v/>
      </c>
      <c r="AK293" t="str">
        <f t="shared" si="103"/>
        <v/>
      </c>
      <c r="AL293" t="str">
        <f t="shared" si="104"/>
        <v/>
      </c>
    </row>
    <row r="294" spans="11:38" ht="15">
      <c r="K294" t="str">
        <f t="shared" si="84"/>
        <v/>
      </c>
      <c r="L294" t="str">
        <f t="shared" si="85"/>
        <v/>
      </c>
      <c r="M294" s="36" t="str">
        <f t="shared" si="86"/>
        <v/>
      </c>
      <c r="N294" s="37" t="str">
        <f t="shared" si="87"/>
        <v/>
      </c>
      <c r="O294" s="37" t="str">
        <f t="shared" si="88"/>
        <v/>
      </c>
      <c r="P294" s="38" t="str">
        <f t="shared" si="89"/>
        <v/>
      </c>
      <c r="Q294" s="39" t="str">
        <f t="shared" si="90"/>
        <v/>
      </c>
      <c r="R294" s="39" t="str">
        <f t="shared" si="91"/>
        <v/>
      </c>
      <c r="S294" t="str">
        <f t="shared" si="92"/>
        <v/>
      </c>
      <c r="T294" s="39" t="str">
        <f t="shared" si="93"/>
        <v/>
      </c>
      <c r="U294" t="str">
        <f t="shared" si="94"/>
        <v/>
      </c>
      <c r="V294" t="str">
        <f>IF(L294="","",IF($AO$1=1,IFERROR(MATCH(L294,'11-تشرين الثاني'!$L$2:$L$501,0),0),0))</f>
        <v/>
      </c>
      <c r="W294" t="str">
        <f t="shared" si="95"/>
        <v/>
      </c>
      <c r="X294" s="38" t="str">
        <f>IF(L294="","",IF(V294&gt;0,INDEX('11-تشرين الثاني'!$P$2:$P$501,V294),IF($AO$1=1,0,"")))</f>
        <v/>
      </c>
      <c r="Y294" s="38" t="str">
        <f t="shared" si="96"/>
        <v/>
      </c>
      <c r="Z294" s="39" t="str">
        <f>IF(L294="","",IF(V294&gt;0,INDEX('11-تشرين الثاني'!$Q$2:$Q$501,V294),IF($AO$1=1,0,"")))</f>
        <v/>
      </c>
      <c r="AA294" s="39" t="str">
        <f t="shared" si="97"/>
        <v/>
      </c>
      <c r="AB294" s="40" t="str">
        <f>IF(OR(L294="",V294=0),"",IF(AND(N(I294)&gt;0,N(INDEX('11-تشرين الثاني'!$I$2:$I$501,V294))&gt;0,INDEX('11-تشرين الثاني'!$F$2:$F$501,V294)=F294),N(I294)/N(INDEX('11-تشرين الثاني'!$I$2:$I$501,V294))-1,""))</f>
        <v/>
      </c>
      <c r="AC294" t="str">
        <f t="shared" si="98"/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9"/>
        <v/>
      </c>
      <c r="AH294" s="39" t="str">
        <f t="shared" si="100"/>
        <v/>
      </c>
      <c r="AI294" s="39" t="str">
        <f t="shared" si="101"/>
        <v/>
      </c>
      <c r="AJ294" s="39" t="str">
        <f t="shared" si="102"/>
        <v/>
      </c>
      <c r="AK294" t="str">
        <f t="shared" si="103"/>
        <v/>
      </c>
      <c r="AL294" t="str">
        <f t="shared" si="104"/>
        <v/>
      </c>
    </row>
    <row r="295" spans="11:38" ht="15">
      <c r="K295" t="str">
        <f t="shared" si="84"/>
        <v/>
      </c>
      <c r="L295" t="str">
        <f t="shared" si="85"/>
        <v/>
      </c>
      <c r="M295" s="36" t="str">
        <f t="shared" si="86"/>
        <v/>
      </c>
      <c r="N295" s="37" t="str">
        <f t="shared" si="87"/>
        <v/>
      </c>
      <c r="O295" s="37" t="str">
        <f t="shared" si="88"/>
        <v/>
      </c>
      <c r="P295" s="38" t="str">
        <f t="shared" si="89"/>
        <v/>
      </c>
      <c r="Q295" s="39" t="str">
        <f t="shared" si="90"/>
        <v/>
      </c>
      <c r="R295" s="39" t="str">
        <f t="shared" si="91"/>
        <v/>
      </c>
      <c r="S295" t="str">
        <f t="shared" si="92"/>
        <v/>
      </c>
      <c r="T295" s="39" t="str">
        <f t="shared" si="93"/>
        <v/>
      </c>
      <c r="U295" t="str">
        <f t="shared" si="94"/>
        <v/>
      </c>
      <c r="V295" t="str">
        <f>IF(L295="","",IF($AO$1=1,IFERROR(MATCH(L295,'11-تشرين الثاني'!$L$2:$L$501,0),0),0))</f>
        <v/>
      </c>
      <c r="W295" t="str">
        <f t="shared" si="95"/>
        <v/>
      </c>
      <c r="X295" s="38" t="str">
        <f>IF(L295="","",IF(V295&gt;0,INDEX('11-تشرين الثاني'!$P$2:$P$501,V295),IF($AO$1=1,0,"")))</f>
        <v/>
      </c>
      <c r="Y295" s="38" t="str">
        <f t="shared" si="96"/>
        <v/>
      </c>
      <c r="Z295" s="39" t="str">
        <f>IF(L295="","",IF(V295&gt;0,INDEX('11-تشرين الثاني'!$Q$2:$Q$501,V295),IF($AO$1=1,0,"")))</f>
        <v/>
      </c>
      <c r="AA295" s="39" t="str">
        <f t="shared" si="97"/>
        <v/>
      </c>
      <c r="AB295" s="40" t="str">
        <f>IF(OR(L295="",V295=0),"",IF(AND(N(I295)&gt;0,N(INDEX('11-تشرين الثاني'!$I$2:$I$501,V295))&gt;0,INDEX('11-تشرين الثاني'!$F$2:$F$501,V295)=F295),N(I295)/N(INDEX('11-تشرين الثاني'!$I$2:$I$501,V295))-1,""))</f>
        <v/>
      </c>
      <c r="AC295" t="str">
        <f t="shared" si="98"/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9"/>
        <v/>
      </c>
      <c r="AH295" s="39" t="str">
        <f t="shared" si="100"/>
        <v/>
      </c>
      <c r="AI295" s="39" t="str">
        <f t="shared" si="101"/>
        <v/>
      </c>
      <c r="AJ295" s="39" t="str">
        <f t="shared" si="102"/>
        <v/>
      </c>
      <c r="AK295" t="str">
        <f t="shared" si="103"/>
        <v/>
      </c>
      <c r="AL295" t="str">
        <f t="shared" si="104"/>
        <v/>
      </c>
    </row>
    <row r="296" spans="11:38" ht="15">
      <c r="K296" t="str">
        <f t="shared" si="84"/>
        <v/>
      </c>
      <c r="L296" t="str">
        <f t="shared" si="85"/>
        <v/>
      </c>
      <c r="M296" s="36" t="str">
        <f t="shared" si="86"/>
        <v/>
      </c>
      <c r="N296" s="37" t="str">
        <f t="shared" si="87"/>
        <v/>
      </c>
      <c r="O296" s="37" t="str">
        <f t="shared" si="88"/>
        <v/>
      </c>
      <c r="P296" s="38" t="str">
        <f t="shared" si="89"/>
        <v/>
      </c>
      <c r="Q296" s="39" t="str">
        <f t="shared" si="90"/>
        <v/>
      </c>
      <c r="R296" s="39" t="str">
        <f t="shared" si="91"/>
        <v/>
      </c>
      <c r="S296" t="str">
        <f t="shared" si="92"/>
        <v/>
      </c>
      <c r="T296" s="39" t="str">
        <f t="shared" si="93"/>
        <v/>
      </c>
      <c r="U296" t="str">
        <f t="shared" si="94"/>
        <v/>
      </c>
      <c r="V296" t="str">
        <f>IF(L296="","",IF($AO$1=1,IFERROR(MATCH(L296,'11-تشرين الثاني'!$L$2:$L$501,0),0),0))</f>
        <v/>
      </c>
      <c r="W296" t="str">
        <f t="shared" si="95"/>
        <v/>
      </c>
      <c r="X296" s="38" t="str">
        <f>IF(L296="","",IF(V296&gt;0,INDEX('11-تشرين الثاني'!$P$2:$P$501,V296),IF($AO$1=1,0,"")))</f>
        <v/>
      </c>
      <c r="Y296" s="38" t="str">
        <f t="shared" si="96"/>
        <v/>
      </c>
      <c r="Z296" s="39" t="str">
        <f>IF(L296="","",IF(V296&gt;0,INDEX('11-تشرين الثاني'!$Q$2:$Q$501,V296),IF($AO$1=1,0,"")))</f>
        <v/>
      </c>
      <c r="AA296" s="39" t="str">
        <f t="shared" si="97"/>
        <v/>
      </c>
      <c r="AB296" s="40" t="str">
        <f>IF(OR(L296="",V296=0),"",IF(AND(N(I296)&gt;0,N(INDEX('11-تشرين الثاني'!$I$2:$I$501,V296))&gt;0,INDEX('11-تشرين الثاني'!$F$2:$F$501,V296)=F296),N(I296)/N(INDEX('11-تشرين الثاني'!$I$2:$I$501,V296))-1,""))</f>
        <v/>
      </c>
      <c r="AC296" t="str">
        <f t="shared" si="98"/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9"/>
        <v/>
      </c>
      <c r="AH296" s="39" t="str">
        <f t="shared" si="100"/>
        <v/>
      </c>
      <c r="AI296" s="39" t="str">
        <f t="shared" si="101"/>
        <v/>
      </c>
      <c r="AJ296" s="39" t="str">
        <f t="shared" si="102"/>
        <v/>
      </c>
      <c r="AK296" t="str">
        <f t="shared" si="103"/>
        <v/>
      </c>
      <c r="AL296" t="str">
        <f t="shared" si="104"/>
        <v/>
      </c>
    </row>
    <row r="297" spans="11:38" ht="15">
      <c r="K297" t="str">
        <f t="shared" si="84"/>
        <v/>
      </c>
      <c r="L297" t="str">
        <f t="shared" si="85"/>
        <v/>
      </c>
      <c r="M297" s="36" t="str">
        <f t="shared" si="86"/>
        <v/>
      </c>
      <c r="N297" s="37" t="str">
        <f t="shared" si="87"/>
        <v/>
      </c>
      <c r="O297" s="37" t="str">
        <f t="shared" si="88"/>
        <v/>
      </c>
      <c r="P297" s="38" t="str">
        <f t="shared" si="89"/>
        <v/>
      </c>
      <c r="Q297" s="39" t="str">
        <f t="shared" si="90"/>
        <v/>
      </c>
      <c r="R297" s="39" t="str">
        <f t="shared" si="91"/>
        <v/>
      </c>
      <c r="S297" t="str">
        <f t="shared" si="92"/>
        <v/>
      </c>
      <c r="T297" s="39" t="str">
        <f t="shared" si="93"/>
        <v/>
      </c>
      <c r="U297" t="str">
        <f t="shared" si="94"/>
        <v/>
      </c>
      <c r="V297" t="str">
        <f>IF(L297="","",IF($AO$1=1,IFERROR(MATCH(L297,'11-تشرين الثاني'!$L$2:$L$501,0),0),0))</f>
        <v/>
      </c>
      <c r="W297" t="str">
        <f t="shared" si="95"/>
        <v/>
      </c>
      <c r="X297" s="38" t="str">
        <f>IF(L297="","",IF(V297&gt;0,INDEX('11-تشرين الثاني'!$P$2:$P$501,V297),IF($AO$1=1,0,"")))</f>
        <v/>
      </c>
      <c r="Y297" s="38" t="str">
        <f t="shared" si="96"/>
        <v/>
      </c>
      <c r="Z297" s="39" t="str">
        <f>IF(L297="","",IF(V297&gt;0,INDEX('11-تشرين الثاني'!$Q$2:$Q$501,V297),IF($AO$1=1,0,"")))</f>
        <v/>
      </c>
      <c r="AA297" s="39" t="str">
        <f t="shared" si="97"/>
        <v/>
      </c>
      <c r="AB297" s="40" t="str">
        <f>IF(OR(L297="",V297=0),"",IF(AND(N(I297)&gt;0,N(INDEX('11-تشرين الثاني'!$I$2:$I$501,V297))&gt;0,INDEX('11-تشرين الثاني'!$F$2:$F$501,V297)=F297),N(I297)/N(INDEX('11-تشرين الثاني'!$I$2:$I$501,V297))-1,""))</f>
        <v/>
      </c>
      <c r="AC297" t="str">
        <f t="shared" si="98"/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9"/>
        <v/>
      </c>
      <c r="AH297" s="39" t="str">
        <f t="shared" si="100"/>
        <v/>
      </c>
      <c r="AI297" s="39" t="str">
        <f t="shared" si="101"/>
        <v/>
      </c>
      <c r="AJ297" s="39" t="str">
        <f t="shared" si="102"/>
        <v/>
      </c>
      <c r="AK297" t="str">
        <f t="shared" si="103"/>
        <v/>
      </c>
      <c r="AL297" t="str">
        <f t="shared" si="104"/>
        <v/>
      </c>
    </row>
    <row r="298" spans="11:38" ht="15">
      <c r="K298" t="str">
        <f t="shared" si="84"/>
        <v/>
      </c>
      <c r="L298" t="str">
        <f t="shared" si="85"/>
        <v/>
      </c>
      <c r="M298" s="36" t="str">
        <f t="shared" si="86"/>
        <v/>
      </c>
      <c r="N298" s="37" t="str">
        <f t="shared" si="87"/>
        <v/>
      </c>
      <c r="O298" s="37" t="str">
        <f t="shared" si="88"/>
        <v/>
      </c>
      <c r="P298" s="38" t="str">
        <f t="shared" si="89"/>
        <v/>
      </c>
      <c r="Q298" s="39" t="str">
        <f t="shared" si="90"/>
        <v/>
      </c>
      <c r="R298" s="39" t="str">
        <f t="shared" si="91"/>
        <v/>
      </c>
      <c r="S298" t="str">
        <f t="shared" si="92"/>
        <v/>
      </c>
      <c r="T298" s="39" t="str">
        <f t="shared" si="93"/>
        <v/>
      </c>
      <c r="U298" t="str">
        <f t="shared" si="94"/>
        <v/>
      </c>
      <c r="V298" t="str">
        <f>IF(L298="","",IF($AO$1=1,IFERROR(MATCH(L298,'11-تشرين الثاني'!$L$2:$L$501,0),0),0))</f>
        <v/>
      </c>
      <c r="W298" t="str">
        <f t="shared" si="95"/>
        <v/>
      </c>
      <c r="X298" s="38" t="str">
        <f>IF(L298="","",IF(V298&gt;0,INDEX('11-تشرين الثاني'!$P$2:$P$501,V298),IF($AO$1=1,0,"")))</f>
        <v/>
      </c>
      <c r="Y298" s="38" t="str">
        <f t="shared" si="96"/>
        <v/>
      </c>
      <c r="Z298" s="39" t="str">
        <f>IF(L298="","",IF(V298&gt;0,INDEX('11-تشرين الثاني'!$Q$2:$Q$501,V298),IF($AO$1=1,0,"")))</f>
        <v/>
      </c>
      <c r="AA298" s="39" t="str">
        <f t="shared" si="97"/>
        <v/>
      </c>
      <c r="AB298" s="40" t="str">
        <f>IF(OR(L298="",V298=0),"",IF(AND(N(I298)&gt;0,N(INDEX('11-تشرين الثاني'!$I$2:$I$501,V298))&gt;0,INDEX('11-تشرين الثاني'!$F$2:$F$501,V298)=F298),N(I298)/N(INDEX('11-تشرين الثاني'!$I$2:$I$501,V298))-1,""))</f>
        <v/>
      </c>
      <c r="AC298" t="str">
        <f t="shared" si="98"/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9"/>
        <v/>
      </c>
      <c r="AH298" s="39" t="str">
        <f t="shared" si="100"/>
        <v/>
      </c>
      <c r="AI298" s="39" t="str">
        <f t="shared" si="101"/>
        <v/>
      </c>
      <c r="AJ298" s="39" t="str">
        <f t="shared" si="102"/>
        <v/>
      </c>
      <c r="AK298" t="str">
        <f t="shared" si="103"/>
        <v/>
      </c>
      <c r="AL298" t="str">
        <f t="shared" si="104"/>
        <v/>
      </c>
    </row>
    <row r="299" spans="11:38" ht="15">
      <c r="K299" t="str">
        <f t="shared" si="84"/>
        <v/>
      </c>
      <c r="L299" t="str">
        <f t="shared" si="85"/>
        <v/>
      </c>
      <c r="M299" s="36" t="str">
        <f t="shared" si="86"/>
        <v/>
      </c>
      <c r="N299" s="37" t="str">
        <f t="shared" si="87"/>
        <v/>
      </c>
      <c r="O299" s="37" t="str">
        <f t="shared" si="88"/>
        <v/>
      </c>
      <c r="P299" s="38" t="str">
        <f t="shared" si="89"/>
        <v/>
      </c>
      <c r="Q299" s="39" t="str">
        <f t="shared" si="90"/>
        <v/>
      </c>
      <c r="R299" s="39" t="str">
        <f t="shared" si="91"/>
        <v/>
      </c>
      <c r="S299" t="str">
        <f t="shared" si="92"/>
        <v/>
      </c>
      <c r="T299" s="39" t="str">
        <f t="shared" si="93"/>
        <v/>
      </c>
      <c r="U299" t="str">
        <f t="shared" si="94"/>
        <v/>
      </c>
      <c r="V299" t="str">
        <f>IF(L299="","",IF($AO$1=1,IFERROR(MATCH(L299,'11-تشرين الثاني'!$L$2:$L$501,0),0),0))</f>
        <v/>
      </c>
      <c r="W299" t="str">
        <f t="shared" si="95"/>
        <v/>
      </c>
      <c r="X299" s="38" t="str">
        <f>IF(L299="","",IF(V299&gt;0,INDEX('11-تشرين الثاني'!$P$2:$P$501,V299),IF($AO$1=1,0,"")))</f>
        <v/>
      </c>
      <c r="Y299" s="38" t="str">
        <f t="shared" si="96"/>
        <v/>
      </c>
      <c r="Z299" s="39" t="str">
        <f>IF(L299="","",IF(V299&gt;0,INDEX('11-تشرين الثاني'!$Q$2:$Q$501,V299),IF($AO$1=1,0,"")))</f>
        <v/>
      </c>
      <c r="AA299" s="39" t="str">
        <f t="shared" si="97"/>
        <v/>
      </c>
      <c r="AB299" s="40" t="str">
        <f>IF(OR(L299="",V299=0),"",IF(AND(N(I299)&gt;0,N(INDEX('11-تشرين الثاني'!$I$2:$I$501,V299))&gt;0,INDEX('11-تشرين الثاني'!$F$2:$F$501,V299)=F299),N(I299)/N(INDEX('11-تشرين الثاني'!$I$2:$I$501,V299))-1,""))</f>
        <v/>
      </c>
      <c r="AC299" t="str">
        <f t="shared" si="98"/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9"/>
        <v/>
      </c>
      <c r="AH299" s="39" t="str">
        <f t="shared" si="100"/>
        <v/>
      </c>
      <c r="AI299" s="39" t="str">
        <f t="shared" si="101"/>
        <v/>
      </c>
      <c r="AJ299" s="39" t="str">
        <f t="shared" si="102"/>
        <v/>
      </c>
      <c r="AK299" t="str">
        <f t="shared" si="103"/>
        <v/>
      </c>
      <c r="AL299" t="str">
        <f t="shared" si="104"/>
        <v/>
      </c>
    </row>
    <row r="300" spans="11:38" ht="15">
      <c r="K300" t="str">
        <f t="shared" si="84"/>
        <v/>
      </c>
      <c r="L300" t="str">
        <f t="shared" si="85"/>
        <v/>
      </c>
      <c r="M300" s="36" t="str">
        <f t="shared" si="86"/>
        <v/>
      </c>
      <c r="N300" s="37" t="str">
        <f t="shared" si="87"/>
        <v/>
      </c>
      <c r="O300" s="37" t="str">
        <f t="shared" si="88"/>
        <v/>
      </c>
      <c r="P300" s="38" t="str">
        <f t="shared" si="89"/>
        <v/>
      </c>
      <c r="Q300" s="39" t="str">
        <f t="shared" si="90"/>
        <v/>
      </c>
      <c r="R300" s="39" t="str">
        <f t="shared" si="91"/>
        <v/>
      </c>
      <c r="S300" t="str">
        <f t="shared" si="92"/>
        <v/>
      </c>
      <c r="T300" s="39" t="str">
        <f t="shared" si="93"/>
        <v/>
      </c>
      <c r="U300" t="str">
        <f t="shared" si="94"/>
        <v/>
      </c>
      <c r="V300" t="str">
        <f>IF(L300="","",IF($AO$1=1,IFERROR(MATCH(L300,'11-تشرين الثاني'!$L$2:$L$501,0),0),0))</f>
        <v/>
      </c>
      <c r="W300" t="str">
        <f t="shared" si="95"/>
        <v/>
      </c>
      <c r="X300" s="38" t="str">
        <f>IF(L300="","",IF(V300&gt;0,INDEX('11-تشرين الثاني'!$P$2:$P$501,V300),IF($AO$1=1,0,"")))</f>
        <v/>
      </c>
      <c r="Y300" s="38" t="str">
        <f t="shared" si="96"/>
        <v/>
      </c>
      <c r="Z300" s="39" t="str">
        <f>IF(L300="","",IF(V300&gt;0,INDEX('11-تشرين الثاني'!$Q$2:$Q$501,V300),IF($AO$1=1,0,"")))</f>
        <v/>
      </c>
      <c r="AA300" s="39" t="str">
        <f t="shared" si="97"/>
        <v/>
      </c>
      <c r="AB300" s="40" t="str">
        <f>IF(OR(L300="",V300=0),"",IF(AND(N(I300)&gt;0,N(INDEX('11-تشرين الثاني'!$I$2:$I$501,V300))&gt;0,INDEX('11-تشرين الثاني'!$F$2:$F$501,V300)=F300),N(I300)/N(INDEX('11-تشرين الثاني'!$I$2:$I$501,V300))-1,""))</f>
        <v/>
      </c>
      <c r="AC300" t="str">
        <f t="shared" si="98"/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9"/>
        <v/>
      </c>
      <c r="AH300" s="39" t="str">
        <f t="shared" si="100"/>
        <v/>
      </c>
      <c r="AI300" s="39" t="str">
        <f t="shared" si="101"/>
        <v/>
      </c>
      <c r="AJ300" s="39" t="str">
        <f t="shared" si="102"/>
        <v/>
      </c>
      <c r="AK300" t="str">
        <f t="shared" si="103"/>
        <v/>
      </c>
      <c r="AL300" t="str">
        <f t="shared" si="104"/>
        <v/>
      </c>
    </row>
    <row r="301" spans="11:38" ht="15">
      <c r="K301" t="str">
        <f t="shared" si="84"/>
        <v/>
      </c>
      <c r="L301" t="str">
        <f t="shared" si="85"/>
        <v/>
      </c>
      <c r="M301" s="36" t="str">
        <f t="shared" si="86"/>
        <v/>
      </c>
      <c r="N301" s="37" t="str">
        <f t="shared" si="87"/>
        <v/>
      </c>
      <c r="O301" s="37" t="str">
        <f t="shared" si="88"/>
        <v/>
      </c>
      <c r="P301" s="38" t="str">
        <f t="shared" si="89"/>
        <v/>
      </c>
      <c r="Q301" s="39" t="str">
        <f t="shared" si="90"/>
        <v/>
      </c>
      <c r="R301" s="39" t="str">
        <f t="shared" si="91"/>
        <v/>
      </c>
      <c r="S301" t="str">
        <f t="shared" si="92"/>
        <v/>
      </c>
      <c r="T301" s="39" t="str">
        <f t="shared" si="93"/>
        <v/>
      </c>
      <c r="U301" t="str">
        <f t="shared" si="94"/>
        <v/>
      </c>
      <c r="V301" t="str">
        <f>IF(L301="","",IF($AO$1=1,IFERROR(MATCH(L301,'11-تشرين الثاني'!$L$2:$L$501,0),0),0))</f>
        <v/>
      </c>
      <c r="W301" t="str">
        <f t="shared" si="95"/>
        <v/>
      </c>
      <c r="X301" s="38" t="str">
        <f>IF(L301="","",IF(V301&gt;0,INDEX('11-تشرين الثاني'!$P$2:$P$501,V301),IF($AO$1=1,0,"")))</f>
        <v/>
      </c>
      <c r="Y301" s="38" t="str">
        <f t="shared" si="96"/>
        <v/>
      </c>
      <c r="Z301" s="39" t="str">
        <f>IF(L301="","",IF(V301&gt;0,INDEX('11-تشرين الثاني'!$Q$2:$Q$501,V301),IF($AO$1=1,0,"")))</f>
        <v/>
      </c>
      <c r="AA301" s="39" t="str">
        <f t="shared" si="97"/>
        <v/>
      </c>
      <c r="AB301" s="40" t="str">
        <f>IF(OR(L301="",V301=0),"",IF(AND(N(I301)&gt;0,N(INDEX('11-تشرين الثاني'!$I$2:$I$501,V301))&gt;0,INDEX('11-تشرين الثاني'!$F$2:$F$501,V301)=F301),N(I301)/N(INDEX('11-تشرين الثاني'!$I$2:$I$501,V301))-1,""))</f>
        <v/>
      </c>
      <c r="AC301" t="str">
        <f t="shared" si="98"/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9"/>
        <v/>
      </c>
      <c r="AH301" s="39" t="str">
        <f t="shared" si="100"/>
        <v/>
      </c>
      <c r="AI301" s="39" t="str">
        <f t="shared" si="101"/>
        <v/>
      </c>
      <c r="AJ301" s="39" t="str">
        <f t="shared" si="102"/>
        <v/>
      </c>
      <c r="AK301" t="str">
        <f t="shared" si="103"/>
        <v/>
      </c>
      <c r="AL301" t="str">
        <f t="shared" si="104"/>
        <v/>
      </c>
    </row>
    <row r="302" spans="11:38" ht="15">
      <c r="K302" t="str">
        <f t="shared" si="84"/>
        <v/>
      </c>
      <c r="L302" t="str">
        <f t="shared" si="85"/>
        <v/>
      </c>
      <c r="M302" s="36" t="str">
        <f t="shared" si="86"/>
        <v/>
      </c>
      <c r="N302" s="37" t="str">
        <f t="shared" si="87"/>
        <v/>
      </c>
      <c r="O302" s="37" t="str">
        <f t="shared" si="88"/>
        <v/>
      </c>
      <c r="P302" s="38" t="str">
        <f t="shared" si="89"/>
        <v/>
      </c>
      <c r="Q302" s="39" t="str">
        <f t="shared" si="90"/>
        <v/>
      </c>
      <c r="R302" s="39" t="str">
        <f t="shared" si="91"/>
        <v/>
      </c>
      <c r="S302" t="str">
        <f t="shared" si="92"/>
        <v/>
      </c>
      <c r="T302" s="39" t="str">
        <f t="shared" si="93"/>
        <v/>
      </c>
      <c r="U302" t="str">
        <f t="shared" si="94"/>
        <v/>
      </c>
      <c r="V302" t="str">
        <f>IF(L302="","",IF($AO$1=1,IFERROR(MATCH(L302,'11-تشرين الثاني'!$L$2:$L$501,0),0),0))</f>
        <v/>
      </c>
      <c r="W302" t="str">
        <f t="shared" si="95"/>
        <v/>
      </c>
      <c r="X302" s="38" t="str">
        <f>IF(L302="","",IF(V302&gt;0,INDEX('11-تشرين الثاني'!$P$2:$P$501,V302),IF($AO$1=1,0,"")))</f>
        <v/>
      </c>
      <c r="Y302" s="38" t="str">
        <f t="shared" si="96"/>
        <v/>
      </c>
      <c r="Z302" s="39" t="str">
        <f>IF(L302="","",IF(V302&gt;0,INDEX('11-تشرين الثاني'!$Q$2:$Q$501,V302),IF($AO$1=1,0,"")))</f>
        <v/>
      </c>
      <c r="AA302" s="39" t="str">
        <f t="shared" si="97"/>
        <v/>
      </c>
      <c r="AB302" s="40" t="str">
        <f>IF(OR(L302="",V302=0),"",IF(AND(N(I302)&gt;0,N(INDEX('11-تشرين الثاني'!$I$2:$I$501,V302))&gt;0,INDEX('11-تشرين الثاني'!$F$2:$F$501,V302)=F302),N(I302)/N(INDEX('11-تشرين الثاني'!$I$2:$I$501,V302))-1,""))</f>
        <v/>
      </c>
      <c r="AC302" t="str">
        <f t="shared" si="98"/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9"/>
        <v/>
      </c>
      <c r="AH302" s="39" t="str">
        <f t="shared" si="100"/>
        <v/>
      </c>
      <c r="AI302" s="39" t="str">
        <f t="shared" si="101"/>
        <v/>
      </c>
      <c r="AJ302" s="39" t="str">
        <f t="shared" si="102"/>
        <v/>
      </c>
      <c r="AK302" t="str">
        <f t="shared" si="103"/>
        <v/>
      </c>
      <c r="AL302" t="str">
        <f t="shared" si="104"/>
        <v/>
      </c>
    </row>
    <row r="303" spans="11:38" ht="15">
      <c r="K303" t="str">
        <f t="shared" si="84"/>
        <v/>
      </c>
      <c r="L303" t="str">
        <f t="shared" si="85"/>
        <v/>
      </c>
      <c r="M303" s="36" t="str">
        <f t="shared" si="86"/>
        <v/>
      </c>
      <c r="N303" s="37" t="str">
        <f t="shared" si="87"/>
        <v/>
      </c>
      <c r="O303" s="37" t="str">
        <f t="shared" si="88"/>
        <v/>
      </c>
      <c r="P303" s="38" t="str">
        <f t="shared" si="89"/>
        <v/>
      </c>
      <c r="Q303" s="39" t="str">
        <f t="shared" si="90"/>
        <v/>
      </c>
      <c r="R303" s="39" t="str">
        <f t="shared" si="91"/>
        <v/>
      </c>
      <c r="S303" t="str">
        <f t="shared" si="92"/>
        <v/>
      </c>
      <c r="T303" s="39" t="str">
        <f t="shared" si="93"/>
        <v/>
      </c>
      <c r="U303" t="str">
        <f t="shared" si="94"/>
        <v/>
      </c>
      <c r="V303" t="str">
        <f>IF(L303="","",IF($AO$1=1,IFERROR(MATCH(L303,'11-تشرين الثاني'!$L$2:$L$501,0),0),0))</f>
        <v/>
      </c>
      <c r="W303" t="str">
        <f t="shared" si="95"/>
        <v/>
      </c>
      <c r="X303" s="38" t="str">
        <f>IF(L303="","",IF(V303&gt;0,INDEX('11-تشرين الثاني'!$P$2:$P$501,V303),IF($AO$1=1,0,"")))</f>
        <v/>
      </c>
      <c r="Y303" s="38" t="str">
        <f t="shared" si="96"/>
        <v/>
      </c>
      <c r="Z303" s="39" t="str">
        <f>IF(L303="","",IF(V303&gt;0,INDEX('11-تشرين الثاني'!$Q$2:$Q$501,V303),IF($AO$1=1,0,"")))</f>
        <v/>
      </c>
      <c r="AA303" s="39" t="str">
        <f t="shared" si="97"/>
        <v/>
      </c>
      <c r="AB303" s="40" t="str">
        <f>IF(OR(L303="",V303=0),"",IF(AND(N(I303)&gt;0,N(INDEX('11-تشرين الثاني'!$I$2:$I$501,V303))&gt;0,INDEX('11-تشرين الثاني'!$F$2:$F$501,V303)=F303),N(I303)/N(INDEX('11-تشرين الثاني'!$I$2:$I$501,V303))-1,""))</f>
        <v/>
      </c>
      <c r="AC303" t="str">
        <f t="shared" si="98"/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9"/>
        <v/>
      </c>
      <c r="AH303" s="39" t="str">
        <f t="shared" si="100"/>
        <v/>
      </c>
      <c r="AI303" s="39" t="str">
        <f t="shared" si="101"/>
        <v/>
      </c>
      <c r="AJ303" s="39" t="str">
        <f t="shared" si="102"/>
        <v/>
      </c>
      <c r="AK303" t="str">
        <f t="shared" si="103"/>
        <v/>
      </c>
      <c r="AL303" t="str">
        <f t="shared" si="104"/>
        <v/>
      </c>
    </row>
    <row r="304" spans="11:38" ht="15">
      <c r="K304" t="str">
        <f t="shared" si="84"/>
        <v/>
      </c>
      <c r="L304" t="str">
        <f t="shared" si="85"/>
        <v/>
      </c>
      <c r="M304" s="36" t="str">
        <f t="shared" si="86"/>
        <v/>
      </c>
      <c r="N304" s="37" t="str">
        <f t="shared" si="87"/>
        <v/>
      </c>
      <c r="O304" s="37" t="str">
        <f t="shared" si="88"/>
        <v/>
      </c>
      <c r="P304" s="38" t="str">
        <f t="shared" si="89"/>
        <v/>
      </c>
      <c r="Q304" s="39" t="str">
        <f t="shared" si="90"/>
        <v/>
      </c>
      <c r="R304" s="39" t="str">
        <f t="shared" si="91"/>
        <v/>
      </c>
      <c r="S304" t="str">
        <f t="shared" si="92"/>
        <v/>
      </c>
      <c r="T304" s="39" t="str">
        <f t="shared" si="93"/>
        <v/>
      </c>
      <c r="U304" t="str">
        <f t="shared" si="94"/>
        <v/>
      </c>
      <c r="V304" t="str">
        <f>IF(L304="","",IF($AO$1=1,IFERROR(MATCH(L304,'11-تشرين الثاني'!$L$2:$L$501,0),0),0))</f>
        <v/>
      </c>
      <c r="W304" t="str">
        <f t="shared" si="95"/>
        <v/>
      </c>
      <c r="X304" s="38" t="str">
        <f>IF(L304="","",IF(V304&gt;0,INDEX('11-تشرين الثاني'!$P$2:$P$501,V304),IF($AO$1=1,0,"")))</f>
        <v/>
      </c>
      <c r="Y304" s="38" t="str">
        <f t="shared" si="96"/>
        <v/>
      </c>
      <c r="Z304" s="39" t="str">
        <f>IF(L304="","",IF(V304&gt;0,INDEX('11-تشرين الثاني'!$Q$2:$Q$501,V304),IF($AO$1=1,0,"")))</f>
        <v/>
      </c>
      <c r="AA304" s="39" t="str">
        <f t="shared" si="97"/>
        <v/>
      </c>
      <c r="AB304" s="40" t="str">
        <f>IF(OR(L304="",V304=0),"",IF(AND(N(I304)&gt;0,N(INDEX('11-تشرين الثاني'!$I$2:$I$501,V304))&gt;0,INDEX('11-تشرين الثاني'!$F$2:$F$501,V304)=F304),N(I304)/N(INDEX('11-تشرين الثاني'!$I$2:$I$501,V304))-1,""))</f>
        <v/>
      </c>
      <c r="AC304" t="str">
        <f t="shared" si="98"/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9"/>
        <v/>
      </c>
      <c r="AH304" s="39" t="str">
        <f t="shared" si="100"/>
        <v/>
      </c>
      <c r="AI304" s="39" t="str">
        <f t="shared" si="101"/>
        <v/>
      </c>
      <c r="AJ304" s="39" t="str">
        <f t="shared" si="102"/>
        <v/>
      </c>
      <c r="AK304" t="str">
        <f t="shared" si="103"/>
        <v/>
      </c>
      <c r="AL304" t="str">
        <f t="shared" si="104"/>
        <v/>
      </c>
    </row>
    <row r="305" spans="11:38" ht="15">
      <c r="K305" t="str">
        <f t="shared" si="84"/>
        <v/>
      </c>
      <c r="L305" t="str">
        <f t="shared" si="85"/>
        <v/>
      </c>
      <c r="M305" s="36" t="str">
        <f t="shared" si="86"/>
        <v/>
      </c>
      <c r="N305" s="37" t="str">
        <f t="shared" si="87"/>
        <v/>
      </c>
      <c r="O305" s="37" t="str">
        <f t="shared" si="88"/>
        <v/>
      </c>
      <c r="P305" s="38" t="str">
        <f t="shared" si="89"/>
        <v/>
      </c>
      <c r="Q305" s="39" t="str">
        <f t="shared" si="90"/>
        <v/>
      </c>
      <c r="R305" s="39" t="str">
        <f t="shared" si="91"/>
        <v/>
      </c>
      <c r="S305" t="str">
        <f t="shared" si="92"/>
        <v/>
      </c>
      <c r="T305" s="39" t="str">
        <f t="shared" si="93"/>
        <v/>
      </c>
      <c r="U305" t="str">
        <f t="shared" si="94"/>
        <v/>
      </c>
      <c r="V305" t="str">
        <f>IF(L305="","",IF($AO$1=1,IFERROR(MATCH(L305,'11-تشرين الثاني'!$L$2:$L$501,0),0),0))</f>
        <v/>
      </c>
      <c r="W305" t="str">
        <f t="shared" si="95"/>
        <v/>
      </c>
      <c r="X305" s="38" t="str">
        <f>IF(L305="","",IF(V305&gt;0,INDEX('11-تشرين الثاني'!$P$2:$P$501,V305),IF($AO$1=1,0,"")))</f>
        <v/>
      </c>
      <c r="Y305" s="38" t="str">
        <f t="shared" si="96"/>
        <v/>
      </c>
      <c r="Z305" s="39" t="str">
        <f>IF(L305="","",IF(V305&gt;0,INDEX('11-تشرين الثاني'!$Q$2:$Q$501,V305),IF($AO$1=1,0,"")))</f>
        <v/>
      </c>
      <c r="AA305" s="39" t="str">
        <f t="shared" si="97"/>
        <v/>
      </c>
      <c r="AB305" s="40" t="str">
        <f>IF(OR(L305="",V305=0),"",IF(AND(N(I305)&gt;0,N(INDEX('11-تشرين الثاني'!$I$2:$I$501,V305))&gt;0,INDEX('11-تشرين الثاني'!$F$2:$F$501,V305)=F305),N(I305)/N(INDEX('11-تشرين الثاني'!$I$2:$I$501,V305))-1,""))</f>
        <v/>
      </c>
      <c r="AC305" t="str">
        <f t="shared" si="98"/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9"/>
        <v/>
      </c>
      <c r="AH305" s="39" t="str">
        <f t="shared" si="100"/>
        <v/>
      </c>
      <c r="AI305" s="39" t="str">
        <f t="shared" si="101"/>
        <v/>
      </c>
      <c r="AJ305" s="39" t="str">
        <f t="shared" si="102"/>
        <v/>
      </c>
      <c r="AK305" t="str">
        <f t="shared" si="103"/>
        <v/>
      </c>
      <c r="AL305" t="str">
        <f t="shared" si="104"/>
        <v/>
      </c>
    </row>
    <row r="306" spans="11:38" ht="15">
      <c r="K306" t="str">
        <f t="shared" si="84"/>
        <v/>
      </c>
      <c r="L306" t="str">
        <f t="shared" si="85"/>
        <v/>
      </c>
      <c r="M306" s="36" t="str">
        <f t="shared" si="86"/>
        <v/>
      </c>
      <c r="N306" s="37" t="str">
        <f t="shared" si="87"/>
        <v/>
      </c>
      <c r="O306" s="37" t="str">
        <f t="shared" si="88"/>
        <v/>
      </c>
      <c r="P306" s="38" t="str">
        <f t="shared" si="89"/>
        <v/>
      </c>
      <c r="Q306" s="39" t="str">
        <f t="shared" si="90"/>
        <v/>
      </c>
      <c r="R306" s="39" t="str">
        <f t="shared" si="91"/>
        <v/>
      </c>
      <c r="S306" t="str">
        <f t="shared" si="92"/>
        <v/>
      </c>
      <c r="T306" s="39" t="str">
        <f t="shared" si="93"/>
        <v/>
      </c>
      <c r="U306" t="str">
        <f t="shared" si="94"/>
        <v/>
      </c>
      <c r="V306" t="str">
        <f>IF(L306="","",IF($AO$1=1,IFERROR(MATCH(L306,'11-تشرين الثاني'!$L$2:$L$501,0),0),0))</f>
        <v/>
      </c>
      <c r="W306" t="str">
        <f t="shared" si="95"/>
        <v/>
      </c>
      <c r="X306" s="38" t="str">
        <f>IF(L306="","",IF(V306&gt;0,INDEX('11-تشرين الثاني'!$P$2:$P$501,V306),IF($AO$1=1,0,"")))</f>
        <v/>
      </c>
      <c r="Y306" s="38" t="str">
        <f t="shared" si="96"/>
        <v/>
      </c>
      <c r="Z306" s="39" t="str">
        <f>IF(L306="","",IF(V306&gt;0,INDEX('11-تشرين الثاني'!$Q$2:$Q$501,V306),IF($AO$1=1,0,"")))</f>
        <v/>
      </c>
      <c r="AA306" s="39" t="str">
        <f t="shared" si="97"/>
        <v/>
      </c>
      <c r="AB306" s="40" t="str">
        <f>IF(OR(L306="",V306=0),"",IF(AND(N(I306)&gt;0,N(INDEX('11-تشرين الثاني'!$I$2:$I$501,V306))&gt;0,INDEX('11-تشرين الثاني'!$F$2:$F$501,V306)=F306),N(I306)/N(INDEX('11-تشرين الثاني'!$I$2:$I$501,V306))-1,""))</f>
        <v/>
      </c>
      <c r="AC306" t="str">
        <f t="shared" si="98"/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9"/>
        <v/>
      </c>
      <c r="AH306" s="39" t="str">
        <f t="shared" si="100"/>
        <v/>
      </c>
      <c r="AI306" s="39" t="str">
        <f t="shared" si="101"/>
        <v/>
      </c>
      <c r="AJ306" s="39" t="str">
        <f t="shared" si="102"/>
        <v/>
      </c>
      <c r="AK306" t="str">
        <f t="shared" si="103"/>
        <v/>
      </c>
      <c r="AL306" t="str">
        <f t="shared" si="104"/>
        <v/>
      </c>
    </row>
    <row r="307" spans="11:38" ht="15">
      <c r="K307" t="str">
        <f t="shared" si="84"/>
        <v/>
      </c>
      <c r="L307" t="str">
        <f t="shared" si="85"/>
        <v/>
      </c>
      <c r="M307" s="36" t="str">
        <f t="shared" si="86"/>
        <v/>
      </c>
      <c r="N307" s="37" t="str">
        <f t="shared" si="87"/>
        <v/>
      </c>
      <c r="O307" s="37" t="str">
        <f t="shared" si="88"/>
        <v/>
      </c>
      <c r="P307" s="38" t="str">
        <f t="shared" si="89"/>
        <v/>
      </c>
      <c r="Q307" s="39" t="str">
        <f t="shared" si="90"/>
        <v/>
      </c>
      <c r="R307" s="39" t="str">
        <f t="shared" si="91"/>
        <v/>
      </c>
      <c r="S307" t="str">
        <f t="shared" si="92"/>
        <v/>
      </c>
      <c r="T307" s="39" t="str">
        <f t="shared" si="93"/>
        <v/>
      </c>
      <c r="U307" t="str">
        <f t="shared" si="94"/>
        <v/>
      </c>
      <c r="V307" t="str">
        <f>IF(L307="","",IF($AO$1=1,IFERROR(MATCH(L307,'11-تشرين الثاني'!$L$2:$L$501,0),0),0))</f>
        <v/>
      </c>
      <c r="W307" t="str">
        <f t="shared" si="95"/>
        <v/>
      </c>
      <c r="X307" s="38" t="str">
        <f>IF(L307="","",IF(V307&gt;0,INDEX('11-تشرين الثاني'!$P$2:$P$501,V307),IF($AO$1=1,0,"")))</f>
        <v/>
      </c>
      <c r="Y307" s="38" t="str">
        <f t="shared" si="96"/>
        <v/>
      </c>
      <c r="Z307" s="39" t="str">
        <f>IF(L307="","",IF(V307&gt;0,INDEX('11-تشرين الثاني'!$Q$2:$Q$501,V307),IF($AO$1=1,0,"")))</f>
        <v/>
      </c>
      <c r="AA307" s="39" t="str">
        <f t="shared" si="97"/>
        <v/>
      </c>
      <c r="AB307" s="40" t="str">
        <f>IF(OR(L307="",V307=0),"",IF(AND(N(I307)&gt;0,N(INDEX('11-تشرين الثاني'!$I$2:$I$501,V307))&gt;0,INDEX('11-تشرين الثاني'!$F$2:$F$501,V307)=F307),N(I307)/N(INDEX('11-تشرين الثاني'!$I$2:$I$501,V307))-1,""))</f>
        <v/>
      </c>
      <c r="AC307" t="str">
        <f t="shared" si="98"/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9"/>
        <v/>
      </c>
      <c r="AH307" s="39" t="str">
        <f t="shared" si="100"/>
        <v/>
      </c>
      <c r="AI307" s="39" t="str">
        <f t="shared" si="101"/>
        <v/>
      </c>
      <c r="AJ307" s="39" t="str">
        <f t="shared" si="102"/>
        <v/>
      </c>
      <c r="AK307" t="str">
        <f t="shared" si="103"/>
        <v/>
      </c>
      <c r="AL307" t="str">
        <f t="shared" si="104"/>
        <v/>
      </c>
    </row>
    <row r="308" spans="11:38" ht="15">
      <c r="K308" t="str">
        <f t="shared" si="84"/>
        <v/>
      </c>
      <c r="L308" t="str">
        <f t="shared" si="85"/>
        <v/>
      </c>
      <c r="M308" s="36" t="str">
        <f t="shared" si="86"/>
        <v/>
      </c>
      <c r="N308" s="37" t="str">
        <f t="shared" si="87"/>
        <v/>
      </c>
      <c r="O308" s="37" t="str">
        <f t="shared" si="88"/>
        <v/>
      </c>
      <c r="P308" s="38" t="str">
        <f t="shared" si="89"/>
        <v/>
      </c>
      <c r="Q308" s="39" t="str">
        <f t="shared" si="90"/>
        <v/>
      </c>
      <c r="R308" s="39" t="str">
        <f t="shared" si="91"/>
        <v/>
      </c>
      <c r="S308" t="str">
        <f t="shared" si="92"/>
        <v/>
      </c>
      <c r="T308" s="39" t="str">
        <f t="shared" si="93"/>
        <v/>
      </c>
      <c r="U308" t="str">
        <f t="shared" si="94"/>
        <v/>
      </c>
      <c r="V308" t="str">
        <f>IF(L308="","",IF($AO$1=1,IFERROR(MATCH(L308,'11-تشرين الثاني'!$L$2:$L$501,0),0),0))</f>
        <v/>
      </c>
      <c r="W308" t="str">
        <f t="shared" si="95"/>
        <v/>
      </c>
      <c r="X308" s="38" t="str">
        <f>IF(L308="","",IF(V308&gt;0,INDEX('11-تشرين الثاني'!$P$2:$P$501,V308),IF($AO$1=1,0,"")))</f>
        <v/>
      </c>
      <c r="Y308" s="38" t="str">
        <f t="shared" si="96"/>
        <v/>
      </c>
      <c r="Z308" s="39" t="str">
        <f>IF(L308="","",IF(V308&gt;0,INDEX('11-تشرين الثاني'!$Q$2:$Q$501,V308),IF($AO$1=1,0,"")))</f>
        <v/>
      </c>
      <c r="AA308" s="39" t="str">
        <f t="shared" si="97"/>
        <v/>
      </c>
      <c r="AB308" s="40" t="str">
        <f>IF(OR(L308="",V308=0),"",IF(AND(N(I308)&gt;0,N(INDEX('11-تشرين الثاني'!$I$2:$I$501,V308))&gt;0,INDEX('11-تشرين الثاني'!$F$2:$F$501,V308)=F308),N(I308)/N(INDEX('11-تشرين الثاني'!$I$2:$I$501,V308))-1,""))</f>
        <v/>
      </c>
      <c r="AC308" t="str">
        <f t="shared" si="98"/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9"/>
        <v/>
      </c>
      <c r="AH308" s="39" t="str">
        <f t="shared" si="100"/>
        <v/>
      </c>
      <c r="AI308" s="39" t="str">
        <f t="shared" si="101"/>
        <v/>
      </c>
      <c r="AJ308" s="39" t="str">
        <f t="shared" si="102"/>
        <v/>
      </c>
      <c r="AK308" t="str">
        <f t="shared" si="103"/>
        <v/>
      </c>
      <c r="AL308" t="str">
        <f t="shared" si="104"/>
        <v/>
      </c>
    </row>
    <row r="309" spans="11:38" ht="15">
      <c r="K309" t="str">
        <f t="shared" si="84"/>
        <v/>
      </c>
      <c r="L309" t="str">
        <f t="shared" si="85"/>
        <v/>
      </c>
      <c r="M309" s="36" t="str">
        <f t="shared" si="86"/>
        <v/>
      </c>
      <c r="N309" s="37" t="str">
        <f t="shared" si="87"/>
        <v/>
      </c>
      <c r="O309" s="37" t="str">
        <f t="shared" si="88"/>
        <v/>
      </c>
      <c r="P309" s="38" t="str">
        <f t="shared" si="89"/>
        <v/>
      </c>
      <c r="Q309" s="39" t="str">
        <f t="shared" si="90"/>
        <v/>
      </c>
      <c r="R309" s="39" t="str">
        <f t="shared" si="91"/>
        <v/>
      </c>
      <c r="S309" t="str">
        <f t="shared" si="92"/>
        <v/>
      </c>
      <c r="T309" s="39" t="str">
        <f t="shared" si="93"/>
        <v/>
      </c>
      <c r="U309" t="str">
        <f t="shared" si="94"/>
        <v/>
      </c>
      <c r="V309" t="str">
        <f>IF(L309="","",IF($AO$1=1,IFERROR(MATCH(L309,'11-تشرين الثاني'!$L$2:$L$501,0),0),0))</f>
        <v/>
      </c>
      <c r="W309" t="str">
        <f t="shared" si="95"/>
        <v/>
      </c>
      <c r="X309" s="38" t="str">
        <f>IF(L309="","",IF(V309&gt;0,INDEX('11-تشرين الثاني'!$P$2:$P$501,V309),IF($AO$1=1,0,"")))</f>
        <v/>
      </c>
      <c r="Y309" s="38" t="str">
        <f t="shared" si="96"/>
        <v/>
      </c>
      <c r="Z309" s="39" t="str">
        <f>IF(L309="","",IF(V309&gt;0,INDEX('11-تشرين الثاني'!$Q$2:$Q$501,V309),IF($AO$1=1,0,"")))</f>
        <v/>
      </c>
      <c r="AA309" s="39" t="str">
        <f t="shared" si="97"/>
        <v/>
      </c>
      <c r="AB309" s="40" t="str">
        <f>IF(OR(L309="",V309=0),"",IF(AND(N(I309)&gt;0,N(INDEX('11-تشرين الثاني'!$I$2:$I$501,V309))&gt;0,INDEX('11-تشرين الثاني'!$F$2:$F$501,V309)=F309),N(I309)/N(INDEX('11-تشرين الثاني'!$I$2:$I$501,V309))-1,""))</f>
        <v/>
      </c>
      <c r="AC309" t="str">
        <f t="shared" si="98"/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9"/>
        <v/>
      </c>
      <c r="AH309" s="39" t="str">
        <f t="shared" si="100"/>
        <v/>
      </c>
      <c r="AI309" s="39" t="str">
        <f t="shared" si="101"/>
        <v/>
      </c>
      <c r="AJ309" s="39" t="str">
        <f t="shared" si="102"/>
        <v/>
      </c>
      <c r="AK309" t="str">
        <f t="shared" si="103"/>
        <v/>
      </c>
      <c r="AL309" t="str">
        <f t="shared" si="104"/>
        <v/>
      </c>
    </row>
    <row r="310" spans="11:38" ht="15">
      <c r="K310" t="str">
        <f t="shared" si="84"/>
        <v/>
      </c>
      <c r="L310" t="str">
        <f t="shared" si="85"/>
        <v/>
      </c>
      <c r="M310" s="36" t="str">
        <f t="shared" si="86"/>
        <v/>
      </c>
      <c r="N310" s="37" t="str">
        <f t="shared" si="87"/>
        <v/>
      </c>
      <c r="O310" s="37" t="str">
        <f t="shared" si="88"/>
        <v/>
      </c>
      <c r="P310" s="38" t="str">
        <f t="shared" si="89"/>
        <v/>
      </c>
      <c r="Q310" s="39" t="str">
        <f t="shared" si="90"/>
        <v/>
      </c>
      <c r="R310" s="39" t="str">
        <f t="shared" si="91"/>
        <v/>
      </c>
      <c r="S310" t="str">
        <f t="shared" si="92"/>
        <v/>
      </c>
      <c r="T310" s="39" t="str">
        <f t="shared" si="93"/>
        <v/>
      </c>
      <c r="U310" t="str">
        <f t="shared" si="94"/>
        <v/>
      </c>
      <c r="V310" t="str">
        <f>IF(L310="","",IF($AO$1=1,IFERROR(MATCH(L310,'11-تشرين الثاني'!$L$2:$L$501,0),0),0))</f>
        <v/>
      </c>
      <c r="W310" t="str">
        <f t="shared" si="95"/>
        <v/>
      </c>
      <c r="X310" s="38" t="str">
        <f>IF(L310="","",IF(V310&gt;0,INDEX('11-تشرين الثاني'!$P$2:$P$501,V310),IF($AO$1=1,0,"")))</f>
        <v/>
      </c>
      <c r="Y310" s="38" t="str">
        <f t="shared" si="96"/>
        <v/>
      </c>
      <c r="Z310" s="39" t="str">
        <f>IF(L310="","",IF(V310&gt;0,INDEX('11-تشرين الثاني'!$Q$2:$Q$501,V310),IF($AO$1=1,0,"")))</f>
        <v/>
      </c>
      <c r="AA310" s="39" t="str">
        <f t="shared" si="97"/>
        <v/>
      </c>
      <c r="AB310" s="40" t="str">
        <f>IF(OR(L310="",V310=0),"",IF(AND(N(I310)&gt;0,N(INDEX('11-تشرين الثاني'!$I$2:$I$501,V310))&gt;0,INDEX('11-تشرين الثاني'!$F$2:$F$501,V310)=F310),N(I310)/N(INDEX('11-تشرين الثاني'!$I$2:$I$501,V310))-1,""))</f>
        <v/>
      </c>
      <c r="AC310" t="str">
        <f t="shared" si="98"/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9"/>
        <v/>
      </c>
      <c r="AH310" s="39" t="str">
        <f t="shared" si="100"/>
        <v/>
      </c>
      <c r="AI310" s="39" t="str">
        <f t="shared" si="101"/>
        <v/>
      </c>
      <c r="AJ310" s="39" t="str">
        <f t="shared" si="102"/>
        <v/>
      </c>
      <c r="AK310" t="str">
        <f t="shared" si="103"/>
        <v/>
      </c>
      <c r="AL310" t="str">
        <f t="shared" si="104"/>
        <v/>
      </c>
    </row>
    <row r="311" spans="11:38" ht="15">
      <c r="K311" t="str">
        <f t="shared" si="84"/>
        <v/>
      </c>
      <c r="L311" t="str">
        <f t="shared" si="85"/>
        <v/>
      </c>
      <c r="M311" s="36" t="str">
        <f t="shared" si="86"/>
        <v/>
      </c>
      <c r="N311" s="37" t="str">
        <f t="shared" si="87"/>
        <v/>
      </c>
      <c r="O311" s="37" t="str">
        <f t="shared" si="88"/>
        <v/>
      </c>
      <c r="P311" s="38" t="str">
        <f t="shared" si="89"/>
        <v/>
      </c>
      <c r="Q311" s="39" t="str">
        <f t="shared" si="90"/>
        <v/>
      </c>
      <c r="R311" s="39" t="str">
        <f t="shared" si="91"/>
        <v/>
      </c>
      <c r="S311" t="str">
        <f t="shared" si="92"/>
        <v/>
      </c>
      <c r="T311" s="39" t="str">
        <f t="shared" si="93"/>
        <v/>
      </c>
      <c r="U311" t="str">
        <f t="shared" si="94"/>
        <v/>
      </c>
      <c r="V311" t="str">
        <f>IF(L311="","",IF($AO$1=1,IFERROR(MATCH(L311,'11-تشرين الثاني'!$L$2:$L$501,0),0),0))</f>
        <v/>
      </c>
      <c r="W311" t="str">
        <f t="shared" si="95"/>
        <v/>
      </c>
      <c r="X311" s="38" t="str">
        <f>IF(L311="","",IF(V311&gt;0,INDEX('11-تشرين الثاني'!$P$2:$P$501,V311),IF($AO$1=1,0,"")))</f>
        <v/>
      </c>
      <c r="Y311" s="38" t="str">
        <f t="shared" si="96"/>
        <v/>
      </c>
      <c r="Z311" s="39" t="str">
        <f>IF(L311="","",IF(V311&gt;0,INDEX('11-تشرين الثاني'!$Q$2:$Q$501,V311),IF($AO$1=1,0,"")))</f>
        <v/>
      </c>
      <c r="AA311" s="39" t="str">
        <f t="shared" si="97"/>
        <v/>
      </c>
      <c r="AB311" s="40" t="str">
        <f>IF(OR(L311="",V311=0),"",IF(AND(N(I311)&gt;0,N(INDEX('11-تشرين الثاني'!$I$2:$I$501,V311))&gt;0,INDEX('11-تشرين الثاني'!$F$2:$F$501,V311)=F311),N(I311)/N(INDEX('11-تشرين الثاني'!$I$2:$I$501,V311))-1,""))</f>
        <v/>
      </c>
      <c r="AC311" t="str">
        <f t="shared" si="98"/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9"/>
        <v/>
      </c>
      <c r="AH311" s="39" t="str">
        <f t="shared" si="100"/>
        <v/>
      </c>
      <c r="AI311" s="39" t="str">
        <f t="shared" si="101"/>
        <v/>
      </c>
      <c r="AJ311" s="39" t="str">
        <f t="shared" si="102"/>
        <v/>
      </c>
      <c r="AK311" t="str">
        <f t="shared" si="103"/>
        <v/>
      </c>
      <c r="AL311" t="str">
        <f t="shared" si="104"/>
        <v/>
      </c>
    </row>
    <row r="312" spans="11:38" ht="15">
      <c r="K312" t="str">
        <f t="shared" si="84"/>
        <v/>
      </c>
      <c r="L312" t="str">
        <f t="shared" si="85"/>
        <v/>
      </c>
      <c r="M312" s="36" t="str">
        <f t="shared" si="86"/>
        <v/>
      </c>
      <c r="N312" s="37" t="str">
        <f t="shared" si="87"/>
        <v/>
      </c>
      <c r="O312" s="37" t="str">
        <f t="shared" si="88"/>
        <v/>
      </c>
      <c r="P312" s="38" t="str">
        <f t="shared" si="89"/>
        <v/>
      </c>
      <c r="Q312" s="39" t="str">
        <f t="shared" si="90"/>
        <v/>
      </c>
      <c r="R312" s="39" t="str">
        <f t="shared" si="91"/>
        <v/>
      </c>
      <c r="S312" t="str">
        <f t="shared" si="92"/>
        <v/>
      </c>
      <c r="T312" s="39" t="str">
        <f t="shared" si="93"/>
        <v/>
      </c>
      <c r="U312" t="str">
        <f t="shared" si="94"/>
        <v/>
      </c>
      <c r="V312" t="str">
        <f>IF(L312="","",IF($AO$1=1,IFERROR(MATCH(L312,'11-تشرين الثاني'!$L$2:$L$501,0),0),0))</f>
        <v/>
      </c>
      <c r="W312" t="str">
        <f t="shared" si="95"/>
        <v/>
      </c>
      <c r="X312" s="38" t="str">
        <f>IF(L312="","",IF(V312&gt;0,INDEX('11-تشرين الثاني'!$P$2:$P$501,V312),IF($AO$1=1,0,"")))</f>
        <v/>
      </c>
      <c r="Y312" s="38" t="str">
        <f t="shared" si="96"/>
        <v/>
      </c>
      <c r="Z312" s="39" t="str">
        <f>IF(L312="","",IF(V312&gt;0,INDEX('11-تشرين الثاني'!$Q$2:$Q$501,V312),IF($AO$1=1,0,"")))</f>
        <v/>
      </c>
      <c r="AA312" s="39" t="str">
        <f t="shared" si="97"/>
        <v/>
      </c>
      <c r="AB312" s="40" t="str">
        <f>IF(OR(L312="",V312=0),"",IF(AND(N(I312)&gt;0,N(INDEX('11-تشرين الثاني'!$I$2:$I$501,V312))&gt;0,INDEX('11-تشرين الثاني'!$F$2:$F$501,V312)=F312),N(I312)/N(INDEX('11-تشرين الثاني'!$I$2:$I$501,V312))-1,""))</f>
        <v/>
      </c>
      <c r="AC312" t="str">
        <f t="shared" si="98"/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9"/>
        <v/>
      </c>
      <c r="AH312" s="39" t="str">
        <f t="shared" si="100"/>
        <v/>
      </c>
      <c r="AI312" s="39" t="str">
        <f t="shared" si="101"/>
        <v/>
      </c>
      <c r="AJ312" s="39" t="str">
        <f t="shared" si="102"/>
        <v/>
      </c>
      <c r="AK312" t="str">
        <f t="shared" si="103"/>
        <v/>
      </c>
      <c r="AL312" t="str">
        <f t="shared" si="104"/>
        <v/>
      </c>
    </row>
    <row r="313" spans="11:38" ht="15">
      <c r="K313" t="str">
        <f t="shared" si="84"/>
        <v/>
      </c>
      <c r="L313" t="str">
        <f t="shared" si="85"/>
        <v/>
      </c>
      <c r="M313" s="36" t="str">
        <f t="shared" si="86"/>
        <v/>
      </c>
      <c r="N313" s="37" t="str">
        <f t="shared" si="87"/>
        <v/>
      </c>
      <c r="O313" s="37" t="str">
        <f t="shared" si="88"/>
        <v/>
      </c>
      <c r="P313" s="38" t="str">
        <f t="shared" si="89"/>
        <v/>
      </c>
      <c r="Q313" s="39" t="str">
        <f t="shared" si="90"/>
        <v/>
      </c>
      <c r="R313" s="39" t="str">
        <f t="shared" si="91"/>
        <v/>
      </c>
      <c r="S313" t="str">
        <f t="shared" si="92"/>
        <v/>
      </c>
      <c r="T313" s="39" t="str">
        <f t="shared" si="93"/>
        <v/>
      </c>
      <c r="U313" t="str">
        <f t="shared" si="94"/>
        <v/>
      </c>
      <c r="V313" t="str">
        <f>IF(L313="","",IF($AO$1=1,IFERROR(MATCH(L313,'11-تشرين الثاني'!$L$2:$L$501,0),0),0))</f>
        <v/>
      </c>
      <c r="W313" t="str">
        <f t="shared" si="95"/>
        <v/>
      </c>
      <c r="X313" s="38" t="str">
        <f>IF(L313="","",IF(V313&gt;0,INDEX('11-تشرين الثاني'!$P$2:$P$501,V313),IF($AO$1=1,0,"")))</f>
        <v/>
      </c>
      <c r="Y313" s="38" t="str">
        <f t="shared" si="96"/>
        <v/>
      </c>
      <c r="Z313" s="39" t="str">
        <f>IF(L313="","",IF(V313&gt;0,INDEX('11-تشرين الثاني'!$Q$2:$Q$501,V313),IF($AO$1=1,0,"")))</f>
        <v/>
      </c>
      <c r="AA313" s="39" t="str">
        <f t="shared" si="97"/>
        <v/>
      </c>
      <c r="AB313" s="40" t="str">
        <f>IF(OR(L313="",V313=0),"",IF(AND(N(I313)&gt;0,N(INDEX('11-تشرين الثاني'!$I$2:$I$501,V313))&gt;0,INDEX('11-تشرين الثاني'!$F$2:$F$501,V313)=F313),N(I313)/N(INDEX('11-تشرين الثاني'!$I$2:$I$501,V313))-1,""))</f>
        <v/>
      </c>
      <c r="AC313" t="str">
        <f t="shared" si="98"/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9"/>
        <v/>
      </c>
      <c r="AH313" s="39" t="str">
        <f t="shared" si="100"/>
        <v/>
      </c>
      <c r="AI313" s="39" t="str">
        <f t="shared" si="101"/>
        <v/>
      </c>
      <c r="AJ313" s="39" t="str">
        <f t="shared" si="102"/>
        <v/>
      </c>
      <c r="AK313" t="str">
        <f t="shared" si="103"/>
        <v/>
      </c>
      <c r="AL313" t="str">
        <f t="shared" si="104"/>
        <v/>
      </c>
    </row>
    <row r="314" spans="11:38" ht="15">
      <c r="K314" t="str">
        <f t="shared" si="84"/>
        <v/>
      </c>
      <c r="L314" t="str">
        <f t="shared" si="85"/>
        <v/>
      </c>
      <c r="M314" s="36" t="str">
        <f t="shared" si="86"/>
        <v/>
      </c>
      <c r="N314" s="37" t="str">
        <f t="shared" si="87"/>
        <v/>
      </c>
      <c r="O314" s="37" t="str">
        <f t="shared" si="88"/>
        <v/>
      </c>
      <c r="P314" s="38" t="str">
        <f t="shared" si="89"/>
        <v/>
      </c>
      <c r="Q314" s="39" t="str">
        <f t="shared" si="90"/>
        <v/>
      </c>
      <c r="R314" s="39" t="str">
        <f t="shared" si="91"/>
        <v/>
      </c>
      <c r="S314" t="str">
        <f t="shared" si="92"/>
        <v/>
      </c>
      <c r="T314" s="39" t="str">
        <f t="shared" si="93"/>
        <v/>
      </c>
      <c r="U314" t="str">
        <f t="shared" si="94"/>
        <v/>
      </c>
      <c r="V314" t="str">
        <f>IF(L314="","",IF($AO$1=1,IFERROR(MATCH(L314,'11-تشرين الثاني'!$L$2:$L$501,0),0),0))</f>
        <v/>
      </c>
      <c r="W314" t="str">
        <f t="shared" si="95"/>
        <v/>
      </c>
      <c r="X314" s="38" t="str">
        <f>IF(L314="","",IF(V314&gt;0,INDEX('11-تشرين الثاني'!$P$2:$P$501,V314),IF($AO$1=1,0,"")))</f>
        <v/>
      </c>
      <c r="Y314" s="38" t="str">
        <f t="shared" si="96"/>
        <v/>
      </c>
      <c r="Z314" s="39" t="str">
        <f>IF(L314="","",IF(V314&gt;0,INDEX('11-تشرين الثاني'!$Q$2:$Q$501,V314),IF($AO$1=1,0,"")))</f>
        <v/>
      </c>
      <c r="AA314" s="39" t="str">
        <f t="shared" si="97"/>
        <v/>
      </c>
      <c r="AB314" s="40" t="str">
        <f>IF(OR(L314="",V314=0),"",IF(AND(N(I314)&gt;0,N(INDEX('11-تشرين الثاني'!$I$2:$I$501,V314))&gt;0,INDEX('11-تشرين الثاني'!$F$2:$F$501,V314)=F314),N(I314)/N(INDEX('11-تشرين الثاني'!$I$2:$I$501,V314))-1,""))</f>
        <v/>
      </c>
      <c r="AC314" t="str">
        <f t="shared" si="98"/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9"/>
        <v/>
      </c>
      <c r="AH314" s="39" t="str">
        <f t="shared" si="100"/>
        <v/>
      </c>
      <c r="AI314" s="39" t="str">
        <f t="shared" si="101"/>
        <v/>
      </c>
      <c r="AJ314" s="39" t="str">
        <f t="shared" si="102"/>
        <v/>
      </c>
      <c r="AK314" t="str">
        <f t="shared" si="103"/>
        <v/>
      </c>
      <c r="AL314" t="str">
        <f t="shared" si="104"/>
        <v/>
      </c>
    </row>
    <row r="315" spans="11:38" ht="15">
      <c r="K315" t="str">
        <f t="shared" si="84"/>
        <v/>
      </c>
      <c r="L315" t="str">
        <f t="shared" si="85"/>
        <v/>
      </c>
      <c r="M315" s="36" t="str">
        <f t="shared" si="86"/>
        <v/>
      </c>
      <c r="N315" s="37" t="str">
        <f t="shared" si="87"/>
        <v/>
      </c>
      <c r="O315" s="37" t="str">
        <f t="shared" si="88"/>
        <v/>
      </c>
      <c r="P315" s="38" t="str">
        <f t="shared" si="89"/>
        <v/>
      </c>
      <c r="Q315" s="39" t="str">
        <f t="shared" si="90"/>
        <v/>
      </c>
      <c r="R315" s="39" t="str">
        <f t="shared" si="91"/>
        <v/>
      </c>
      <c r="S315" t="str">
        <f t="shared" si="92"/>
        <v/>
      </c>
      <c r="T315" s="39" t="str">
        <f t="shared" si="93"/>
        <v/>
      </c>
      <c r="U315" t="str">
        <f t="shared" si="94"/>
        <v/>
      </c>
      <c r="V315" t="str">
        <f>IF(L315="","",IF($AO$1=1,IFERROR(MATCH(L315,'11-تشرين الثاني'!$L$2:$L$501,0),0),0))</f>
        <v/>
      </c>
      <c r="W315" t="str">
        <f t="shared" si="95"/>
        <v/>
      </c>
      <c r="X315" s="38" t="str">
        <f>IF(L315="","",IF(V315&gt;0,INDEX('11-تشرين الثاني'!$P$2:$P$501,V315),IF($AO$1=1,0,"")))</f>
        <v/>
      </c>
      <c r="Y315" s="38" t="str">
        <f t="shared" si="96"/>
        <v/>
      </c>
      <c r="Z315" s="39" t="str">
        <f>IF(L315="","",IF(V315&gt;0,INDEX('11-تشرين الثاني'!$Q$2:$Q$501,V315),IF($AO$1=1,0,"")))</f>
        <v/>
      </c>
      <c r="AA315" s="39" t="str">
        <f t="shared" si="97"/>
        <v/>
      </c>
      <c r="AB315" s="40" t="str">
        <f>IF(OR(L315="",V315=0),"",IF(AND(N(I315)&gt;0,N(INDEX('11-تشرين الثاني'!$I$2:$I$501,V315))&gt;0,INDEX('11-تشرين الثاني'!$F$2:$F$501,V315)=F315),N(I315)/N(INDEX('11-تشرين الثاني'!$I$2:$I$501,V315))-1,""))</f>
        <v/>
      </c>
      <c r="AC315" t="str">
        <f t="shared" si="98"/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9"/>
        <v/>
      </c>
      <c r="AH315" s="39" t="str">
        <f t="shared" si="100"/>
        <v/>
      </c>
      <c r="AI315" s="39" t="str">
        <f t="shared" si="101"/>
        <v/>
      </c>
      <c r="AJ315" s="39" t="str">
        <f t="shared" si="102"/>
        <v/>
      </c>
      <c r="AK315" t="str">
        <f t="shared" si="103"/>
        <v/>
      </c>
      <c r="AL315" t="str">
        <f t="shared" si="104"/>
        <v/>
      </c>
    </row>
    <row r="316" spans="11:38" ht="15">
      <c r="K316" t="str">
        <f t="shared" si="84"/>
        <v/>
      </c>
      <c r="L316" t="str">
        <f t="shared" si="85"/>
        <v/>
      </c>
      <c r="M316" s="36" t="str">
        <f t="shared" si="86"/>
        <v/>
      </c>
      <c r="N316" s="37" t="str">
        <f t="shared" si="87"/>
        <v/>
      </c>
      <c r="O316" s="37" t="str">
        <f t="shared" si="88"/>
        <v/>
      </c>
      <c r="P316" s="38" t="str">
        <f t="shared" si="89"/>
        <v/>
      </c>
      <c r="Q316" s="39" t="str">
        <f t="shared" si="90"/>
        <v/>
      </c>
      <c r="R316" s="39" t="str">
        <f t="shared" si="91"/>
        <v/>
      </c>
      <c r="S316" t="str">
        <f t="shared" si="92"/>
        <v/>
      </c>
      <c r="T316" s="39" t="str">
        <f t="shared" si="93"/>
        <v/>
      </c>
      <c r="U316" t="str">
        <f t="shared" si="94"/>
        <v/>
      </c>
      <c r="V316" t="str">
        <f>IF(L316="","",IF($AO$1=1,IFERROR(MATCH(L316,'11-تشرين الثاني'!$L$2:$L$501,0),0),0))</f>
        <v/>
      </c>
      <c r="W316" t="str">
        <f t="shared" si="95"/>
        <v/>
      </c>
      <c r="X316" s="38" t="str">
        <f>IF(L316="","",IF(V316&gt;0,INDEX('11-تشرين الثاني'!$P$2:$P$501,V316),IF($AO$1=1,0,"")))</f>
        <v/>
      </c>
      <c r="Y316" s="38" t="str">
        <f t="shared" si="96"/>
        <v/>
      </c>
      <c r="Z316" s="39" t="str">
        <f>IF(L316="","",IF(V316&gt;0,INDEX('11-تشرين الثاني'!$Q$2:$Q$501,V316),IF($AO$1=1,0,"")))</f>
        <v/>
      </c>
      <c r="AA316" s="39" t="str">
        <f t="shared" si="97"/>
        <v/>
      </c>
      <c r="AB316" s="40" t="str">
        <f>IF(OR(L316="",V316=0),"",IF(AND(N(I316)&gt;0,N(INDEX('11-تشرين الثاني'!$I$2:$I$501,V316))&gt;0,INDEX('11-تشرين الثاني'!$F$2:$F$501,V316)=F316),N(I316)/N(INDEX('11-تشرين الثاني'!$I$2:$I$501,V316))-1,""))</f>
        <v/>
      </c>
      <c r="AC316" t="str">
        <f t="shared" si="98"/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9"/>
        <v/>
      </c>
      <c r="AH316" s="39" t="str">
        <f t="shared" si="100"/>
        <v/>
      </c>
      <c r="AI316" s="39" t="str">
        <f t="shared" si="101"/>
        <v/>
      </c>
      <c r="AJ316" s="39" t="str">
        <f t="shared" si="102"/>
        <v/>
      </c>
      <c r="AK316" t="str">
        <f t="shared" si="103"/>
        <v/>
      </c>
      <c r="AL316" t="str">
        <f t="shared" si="104"/>
        <v/>
      </c>
    </row>
    <row r="317" spans="11:38" ht="15">
      <c r="K317" t="str">
        <f t="shared" si="84"/>
        <v/>
      </c>
      <c r="L317" t="str">
        <f t="shared" si="85"/>
        <v/>
      </c>
      <c r="M317" s="36" t="str">
        <f t="shared" si="86"/>
        <v/>
      </c>
      <c r="N317" s="37" t="str">
        <f t="shared" si="87"/>
        <v/>
      </c>
      <c r="O317" s="37" t="str">
        <f t="shared" si="88"/>
        <v/>
      </c>
      <c r="P317" s="38" t="str">
        <f t="shared" si="89"/>
        <v/>
      </c>
      <c r="Q317" s="39" t="str">
        <f t="shared" si="90"/>
        <v/>
      </c>
      <c r="R317" s="39" t="str">
        <f t="shared" si="91"/>
        <v/>
      </c>
      <c r="S317" t="str">
        <f t="shared" si="92"/>
        <v/>
      </c>
      <c r="T317" s="39" t="str">
        <f t="shared" si="93"/>
        <v/>
      </c>
      <c r="U317" t="str">
        <f t="shared" si="94"/>
        <v/>
      </c>
      <c r="V317" t="str">
        <f>IF(L317="","",IF($AO$1=1,IFERROR(MATCH(L317,'11-تشرين الثاني'!$L$2:$L$501,0),0),0))</f>
        <v/>
      </c>
      <c r="W317" t="str">
        <f t="shared" si="95"/>
        <v/>
      </c>
      <c r="X317" s="38" t="str">
        <f>IF(L317="","",IF(V317&gt;0,INDEX('11-تشرين الثاني'!$P$2:$P$501,V317),IF($AO$1=1,0,"")))</f>
        <v/>
      </c>
      <c r="Y317" s="38" t="str">
        <f t="shared" si="96"/>
        <v/>
      </c>
      <c r="Z317" s="39" t="str">
        <f>IF(L317="","",IF(V317&gt;0,INDEX('11-تشرين الثاني'!$Q$2:$Q$501,V317),IF($AO$1=1,0,"")))</f>
        <v/>
      </c>
      <c r="AA317" s="39" t="str">
        <f t="shared" si="97"/>
        <v/>
      </c>
      <c r="AB317" s="40" t="str">
        <f>IF(OR(L317="",V317=0),"",IF(AND(N(I317)&gt;0,N(INDEX('11-تشرين الثاني'!$I$2:$I$501,V317))&gt;0,INDEX('11-تشرين الثاني'!$F$2:$F$501,V317)=F317),N(I317)/N(INDEX('11-تشرين الثاني'!$I$2:$I$501,V317))-1,""))</f>
        <v/>
      </c>
      <c r="AC317" t="str">
        <f t="shared" si="98"/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9"/>
        <v/>
      </c>
      <c r="AH317" s="39" t="str">
        <f t="shared" si="100"/>
        <v/>
      </c>
      <c r="AI317" s="39" t="str">
        <f t="shared" si="101"/>
        <v/>
      </c>
      <c r="AJ317" s="39" t="str">
        <f t="shared" si="102"/>
        <v/>
      </c>
      <c r="AK317" t="str">
        <f t="shared" si="103"/>
        <v/>
      </c>
      <c r="AL317" t="str">
        <f t="shared" si="104"/>
        <v/>
      </c>
    </row>
    <row r="318" spans="11:38" ht="15">
      <c r="K318" t="str">
        <f t="shared" si="84"/>
        <v/>
      </c>
      <c r="L318" t="str">
        <f t="shared" si="85"/>
        <v/>
      </c>
      <c r="M318" s="36" t="str">
        <f t="shared" si="86"/>
        <v/>
      </c>
      <c r="N318" s="37" t="str">
        <f t="shared" si="87"/>
        <v/>
      </c>
      <c r="O318" s="37" t="str">
        <f t="shared" si="88"/>
        <v/>
      </c>
      <c r="P318" s="38" t="str">
        <f t="shared" si="89"/>
        <v/>
      </c>
      <c r="Q318" s="39" t="str">
        <f t="shared" si="90"/>
        <v/>
      </c>
      <c r="R318" s="39" t="str">
        <f t="shared" si="91"/>
        <v/>
      </c>
      <c r="S318" t="str">
        <f t="shared" si="92"/>
        <v/>
      </c>
      <c r="T318" s="39" t="str">
        <f t="shared" si="93"/>
        <v/>
      </c>
      <c r="U318" t="str">
        <f t="shared" si="94"/>
        <v/>
      </c>
      <c r="V318" t="str">
        <f>IF(L318="","",IF($AO$1=1,IFERROR(MATCH(L318,'11-تشرين الثاني'!$L$2:$L$501,0),0),0))</f>
        <v/>
      </c>
      <c r="W318" t="str">
        <f t="shared" si="95"/>
        <v/>
      </c>
      <c r="X318" s="38" t="str">
        <f>IF(L318="","",IF(V318&gt;0,INDEX('11-تشرين الثاني'!$P$2:$P$501,V318),IF($AO$1=1,0,"")))</f>
        <v/>
      </c>
      <c r="Y318" s="38" t="str">
        <f t="shared" si="96"/>
        <v/>
      </c>
      <c r="Z318" s="39" t="str">
        <f>IF(L318="","",IF(V318&gt;0,INDEX('11-تشرين الثاني'!$Q$2:$Q$501,V318),IF($AO$1=1,0,"")))</f>
        <v/>
      </c>
      <c r="AA318" s="39" t="str">
        <f t="shared" si="97"/>
        <v/>
      </c>
      <c r="AB318" s="40" t="str">
        <f>IF(OR(L318="",V318=0),"",IF(AND(N(I318)&gt;0,N(INDEX('11-تشرين الثاني'!$I$2:$I$501,V318))&gt;0,INDEX('11-تشرين الثاني'!$F$2:$F$501,V318)=F318),N(I318)/N(INDEX('11-تشرين الثاني'!$I$2:$I$501,V318))-1,""))</f>
        <v/>
      </c>
      <c r="AC318" t="str">
        <f t="shared" si="98"/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9"/>
        <v/>
      </c>
      <c r="AH318" s="39" t="str">
        <f t="shared" si="100"/>
        <v/>
      </c>
      <c r="AI318" s="39" t="str">
        <f t="shared" si="101"/>
        <v/>
      </c>
      <c r="AJ318" s="39" t="str">
        <f t="shared" si="102"/>
        <v/>
      </c>
      <c r="AK318" t="str">
        <f t="shared" si="103"/>
        <v/>
      </c>
      <c r="AL318" t="str">
        <f t="shared" si="104"/>
        <v/>
      </c>
    </row>
    <row r="319" spans="11:38" ht="15">
      <c r="K319" t="str">
        <f t="shared" si="84"/>
        <v/>
      </c>
      <c r="L319" t="str">
        <f t="shared" si="85"/>
        <v/>
      </c>
      <c r="M319" s="36" t="str">
        <f t="shared" si="86"/>
        <v/>
      </c>
      <c r="N319" s="37" t="str">
        <f t="shared" si="87"/>
        <v/>
      </c>
      <c r="O319" s="37" t="str">
        <f t="shared" si="88"/>
        <v/>
      </c>
      <c r="P319" s="38" t="str">
        <f t="shared" si="89"/>
        <v/>
      </c>
      <c r="Q319" s="39" t="str">
        <f t="shared" si="90"/>
        <v/>
      </c>
      <c r="R319" s="39" t="str">
        <f t="shared" si="91"/>
        <v/>
      </c>
      <c r="S319" t="str">
        <f t="shared" si="92"/>
        <v/>
      </c>
      <c r="T319" s="39" t="str">
        <f t="shared" si="93"/>
        <v/>
      </c>
      <c r="U319" t="str">
        <f t="shared" si="94"/>
        <v/>
      </c>
      <c r="V319" t="str">
        <f>IF(L319="","",IF($AO$1=1,IFERROR(MATCH(L319,'11-تشرين الثاني'!$L$2:$L$501,0),0),0))</f>
        <v/>
      </c>
      <c r="W319" t="str">
        <f t="shared" si="95"/>
        <v/>
      </c>
      <c r="X319" s="38" t="str">
        <f>IF(L319="","",IF(V319&gt;0,INDEX('11-تشرين الثاني'!$P$2:$P$501,V319),IF($AO$1=1,0,"")))</f>
        <v/>
      </c>
      <c r="Y319" s="38" t="str">
        <f t="shared" si="96"/>
        <v/>
      </c>
      <c r="Z319" s="39" t="str">
        <f>IF(L319="","",IF(V319&gt;0,INDEX('11-تشرين الثاني'!$Q$2:$Q$501,V319),IF($AO$1=1,0,"")))</f>
        <v/>
      </c>
      <c r="AA319" s="39" t="str">
        <f t="shared" si="97"/>
        <v/>
      </c>
      <c r="AB319" s="40" t="str">
        <f>IF(OR(L319="",V319=0),"",IF(AND(N(I319)&gt;0,N(INDEX('11-تشرين الثاني'!$I$2:$I$501,V319))&gt;0,INDEX('11-تشرين الثاني'!$F$2:$F$501,V319)=F319),N(I319)/N(INDEX('11-تشرين الثاني'!$I$2:$I$501,V319))-1,""))</f>
        <v/>
      </c>
      <c r="AC319" t="str">
        <f t="shared" si="98"/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9"/>
        <v/>
      </c>
      <c r="AH319" s="39" t="str">
        <f t="shared" si="100"/>
        <v/>
      </c>
      <c r="AI319" s="39" t="str">
        <f t="shared" si="101"/>
        <v/>
      </c>
      <c r="AJ319" s="39" t="str">
        <f t="shared" si="102"/>
        <v/>
      </c>
      <c r="AK319" t="str">
        <f t="shared" si="103"/>
        <v/>
      </c>
      <c r="AL319" t="str">
        <f t="shared" si="104"/>
        <v/>
      </c>
    </row>
    <row r="320" spans="11:38" ht="15">
      <c r="K320" t="str">
        <f t="shared" si="84"/>
        <v/>
      </c>
      <c r="L320" t="str">
        <f t="shared" si="85"/>
        <v/>
      </c>
      <c r="M320" s="36" t="str">
        <f t="shared" si="86"/>
        <v/>
      </c>
      <c r="N320" s="37" t="str">
        <f t="shared" si="87"/>
        <v/>
      </c>
      <c r="O320" s="37" t="str">
        <f t="shared" si="88"/>
        <v/>
      </c>
      <c r="P320" s="38" t="str">
        <f t="shared" si="89"/>
        <v/>
      </c>
      <c r="Q320" s="39" t="str">
        <f t="shared" si="90"/>
        <v/>
      </c>
      <c r="R320" s="39" t="str">
        <f t="shared" si="91"/>
        <v/>
      </c>
      <c r="S320" t="str">
        <f t="shared" si="92"/>
        <v/>
      </c>
      <c r="T320" s="39" t="str">
        <f t="shared" si="93"/>
        <v/>
      </c>
      <c r="U320" t="str">
        <f t="shared" si="94"/>
        <v/>
      </c>
      <c r="V320" t="str">
        <f>IF(L320="","",IF($AO$1=1,IFERROR(MATCH(L320,'11-تشرين الثاني'!$L$2:$L$501,0),0),0))</f>
        <v/>
      </c>
      <c r="W320" t="str">
        <f t="shared" si="95"/>
        <v/>
      </c>
      <c r="X320" s="38" t="str">
        <f>IF(L320="","",IF(V320&gt;0,INDEX('11-تشرين الثاني'!$P$2:$P$501,V320),IF($AO$1=1,0,"")))</f>
        <v/>
      </c>
      <c r="Y320" s="38" t="str">
        <f t="shared" si="96"/>
        <v/>
      </c>
      <c r="Z320" s="39" t="str">
        <f>IF(L320="","",IF(V320&gt;0,INDEX('11-تشرين الثاني'!$Q$2:$Q$501,V320),IF($AO$1=1,0,"")))</f>
        <v/>
      </c>
      <c r="AA320" s="39" t="str">
        <f t="shared" si="97"/>
        <v/>
      </c>
      <c r="AB320" s="40" t="str">
        <f>IF(OR(L320="",V320=0),"",IF(AND(N(I320)&gt;0,N(INDEX('11-تشرين الثاني'!$I$2:$I$501,V320))&gt;0,INDEX('11-تشرين الثاني'!$F$2:$F$501,V320)=F320),N(I320)/N(INDEX('11-تشرين الثاني'!$I$2:$I$501,V320))-1,""))</f>
        <v/>
      </c>
      <c r="AC320" t="str">
        <f t="shared" si="98"/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9"/>
        <v/>
      </c>
      <c r="AH320" s="39" t="str">
        <f t="shared" si="100"/>
        <v/>
      </c>
      <c r="AI320" s="39" t="str">
        <f t="shared" si="101"/>
        <v/>
      </c>
      <c r="AJ320" s="39" t="str">
        <f t="shared" si="102"/>
        <v/>
      </c>
      <c r="AK320" t="str">
        <f t="shared" si="103"/>
        <v/>
      </c>
      <c r="AL320" t="str">
        <f t="shared" si="104"/>
        <v/>
      </c>
    </row>
    <row r="321" spans="11:38" ht="15">
      <c r="K321" t="str">
        <f t="shared" si="84"/>
        <v/>
      </c>
      <c r="L321" t="str">
        <f t="shared" si="85"/>
        <v/>
      </c>
      <c r="M321" s="36" t="str">
        <f t="shared" si="86"/>
        <v/>
      </c>
      <c r="N321" s="37" t="str">
        <f t="shared" si="87"/>
        <v/>
      </c>
      <c r="O321" s="37" t="str">
        <f t="shared" si="88"/>
        <v/>
      </c>
      <c r="P321" s="38" t="str">
        <f t="shared" si="89"/>
        <v/>
      </c>
      <c r="Q321" s="39" t="str">
        <f t="shared" si="90"/>
        <v/>
      </c>
      <c r="R321" s="39" t="str">
        <f t="shared" si="91"/>
        <v/>
      </c>
      <c r="S321" t="str">
        <f t="shared" si="92"/>
        <v/>
      </c>
      <c r="T321" s="39" t="str">
        <f t="shared" si="93"/>
        <v/>
      </c>
      <c r="U321" t="str">
        <f t="shared" si="94"/>
        <v/>
      </c>
      <c r="V321" t="str">
        <f>IF(L321="","",IF($AO$1=1,IFERROR(MATCH(L321,'11-تشرين الثاني'!$L$2:$L$501,0),0),0))</f>
        <v/>
      </c>
      <c r="W321" t="str">
        <f t="shared" si="95"/>
        <v/>
      </c>
      <c r="X321" s="38" t="str">
        <f>IF(L321="","",IF(V321&gt;0,INDEX('11-تشرين الثاني'!$P$2:$P$501,V321),IF($AO$1=1,0,"")))</f>
        <v/>
      </c>
      <c r="Y321" s="38" t="str">
        <f t="shared" si="96"/>
        <v/>
      </c>
      <c r="Z321" s="39" t="str">
        <f>IF(L321="","",IF(V321&gt;0,INDEX('11-تشرين الثاني'!$Q$2:$Q$501,V321),IF($AO$1=1,0,"")))</f>
        <v/>
      </c>
      <c r="AA321" s="39" t="str">
        <f t="shared" si="97"/>
        <v/>
      </c>
      <c r="AB321" s="40" t="str">
        <f>IF(OR(L321="",V321=0),"",IF(AND(N(I321)&gt;0,N(INDEX('11-تشرين الثاني'!$I$2:$I$501,V321))&gt;0,INDEX('11-تشرين الثاني'!$F$2:$F$501,V321)=F321),N(I321)/N(INDEX('11-تشرين الثاني'!$I$2:$I$501,V321))-1,""))</f>
        <v/>
      </c>
      <c r="AC321" t="str">
        <f t="shared" si="98"/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9"/>
        <v/>
      </c>
      <c r="AH321" s="39" t="str">
        <f t="shared" si="100"/>
        <v/>
      </c>
      <c r="AI321" s="39" t="str">
        <f t="shared" si="101"/>
        <v/>
      </c>
      <c r="AJ321" s="39" t="str">
        <f t="shared" si="102"/>
        <v/>
      </c>
      <c r="AK321" t="str">
        <f t="shared" si="103"/>
        <v/>
      </c>
      <c r="AL321" t="str">
        <f t="shared" si="104"/>
        <v/>
      </c>
    </row>
    <row r="322" spans="11:38" ht="15">
      <c r="K322" t="str">
        <f t="shared" ref="K322:K385" si="105">IF(L322="","",IF(U322&lt;&gt;"","⚠",""))</f>
        <v/>
      </c>
      <c r="L322" t="str">
        <f t="shared" ref="L322:L385" si="106">IF(A322="","",TRIM(A322))</f>
        <v/>
      </c>
      <c r="M322" s="36" t="str">
        <f t="shared" ref="M322:M385" si="107">IF(L322="","",IF(ISNUMBER(SEARCH("دولار",F322)),1,IF(ISNUMBER(SEARCH("ليرة",F322)),IF($AO$3&gt;0,1/$AO$3,0),0)))</f>
        <v/>
      </c>
      <c r="N322" s="37" t="str">
        <f t="shared" ref="N322:N385" si="108">IF(L322="","",N(I322)*M322)</f>
        <v/>
      </c>
      <c r="O322" s="37" t="str">
        <f t="shared" ref="O322:O385" si="109">IF(L322="","",M322*CHOOSE($AO$4,N(C322),N(D322),N(E322)))</f>
        <v/>
      </c>
      <c r="P322" s="38" t="str">
        <f t="shared" ref="P322:P385" si="110">IF(L322="","",MAX(N(B322),0))</f>
        <v/>
      </c>
      <c r="Q322" s="39" t="str">
        <f t="shared" ref="Q322:Q385" si="111">IF(L322="","",P322*N322)</f>
        <v/>
      </c>
      <c r="R322" s="39" t="str">
        <f t="shared" ref="R322:R385" si="112">IF(L322="","",P322*O322)</f>
        <v/>
      </c>
      <c r="S322" t="str">
        <f t="shared" ref="S322:S385" si="113">IF(L322="","",IF(AND(P322&gt;0,N322&gt;0,O322&gt;0),1,0))</f>
        <v/>
      </c>
      <c r="T322" s="39" t="str">
        <f t="shared" ref="T322:T385" si="114">IF(L322="","",S322*(R322-Q322))</f>
        <v/>
      </c>
      <c r="U322" t="str">
        <f t="shared" ref="U322:U385" si="115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IF(L322="","",IF($AO$1=1,IFERROR(MATCH(L322,'11-تشرين الثاني'!$L$2:$L$501,0),0),0))</f>
        <v/>
      </c>
      <c r="W322" t="str">
        <f t="shared" ref="W322:W385" si="116">IF(L322="","",IF(AND($AO$1=1,V322=0),"جديد",""))</f>
        <v/>
      </c>
      <c r="X322" s="38" t="str">
        <f>IF(L322="","",IF(V322&gt;0,INDEX('11-تشرين الثاني'!$P$2:$P$501,V322),IF($AO$1=1,0,"")))</f>
        <v/>
      </c>
      <c r="Y322" s="38" t="str">
        <f t="shared" ref="Y322:Y385" si="117">IF(OR(L322="",X322=""),"",P322-X322)</f>
        <v/>
      </c>
      <c r="Z322" s="39" t="str">
        <f>IF(L322="","",IF(V322&gt;0,INDEX('11-تشرين الثاني'!$Q$2:$Q$501,V322),IF($AO$1=1,0,"")))</f>
        <v/>
      </c>
      <c r="AA322" s="39" t="str">
        <f t="shared" ref="AA322:AA385" si="118">IF(OR(L322="",Z322=""),"",Q322-Z322)</f>
        <v/>
      </c>
      <c r="AB322" s="40" t="str">
        <f>IF(OR(L322="",V322=0),"",IF(AND(N(I322)&gt;0,N(INDEX('11-تشرين الثاني'!$I$2:$I$501,V322))&gt;0,INDEX('11-تشرين الثاني'!$F$2:$F$501,V322)=F322),N(I322)/N(INDEX('11-تشرين الثاني'!$I$2:$I$501,V322))-1,""))</f>
        <v/>
      </c>
      <c r="AC322" t="str">
        <f t="shared" ref="AC322:AC385" si="119">IF(L322="","","")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20">IF(AA322="","",ABS(AA322)+ROW()/1000000000)</f>
        <v/>
      </c>
      <c r="AH322" s="39" t="str">
        <f t="shared" ref="AH322:AH385" si="121">IF(L322="","",IF(AND(P322&gt;0,N322&gt;0,N(C322)&gt;0),P322*(M322*N(C322)-N322),0))</f>
        <v/>
      </c>
      <c r="AI322" s="39" t="str">
        <f t="shared" ref="AI322:AI385" si="122">IF(L322="","",IF(AND(P322&gt;0,N322&gt;0,N(D322)&gt;0),P322*(M322*N(D322)-N322),0))</f>
        <v/>
      </c>
      <c r="AJ322" s="39" t="str">
        <f t="shared" ref="AJ322:AJ385" si="123">IF(L322="","",IF(AND(P322&gt;0,N322&gt;0,N(E322)&gt;0),P322*(M322*N(E322)-N322),0))</f>
        <v/>
      </c>
      <c r="AK322" t="str">
        <f t="shared" ref="AK322:AK385" si="124">IF(L322="","",Q322+ROW()/1000000000)</f>
        <v/>
      </c>
      <c r="AL322" t="str">
        <f t="shared" ref="AL322:AL385" si="125">IF(L322="","",T322+ROW()/1000000000)</f>
        <v/>
      </c>
    </row>
    <row r="323" spans="11:38" ht="15">
      <c r="K323" t="str">
        <f t="shared" si="105"/>
        <v/>
      </c>
      <c r="L323" t="str">
        <f t="shared" si="106"/>
        <v/>
      </c>
      <c r="M323" s="36" t="str">
        <f t="shared" si="107"/>
        <v/>
      </c>
      <c r="N323" s="37" t="str">
        <f t="shared" si="108"/>
        <v/>
      </c>
      <c r="O323" s="37" t="str">
        <f t="shared" si="109"/>
        <v/>
      </c>
      <c r="P323" s="38" t="str">
        <f t="shared" si="110"/>
        <v/>
      </c>
      <c r="Q323" s="39" t="str">
        <f t="shared" si="111"/>
        <v/>
      </c>
      <c r="R323" s="39" t="str">
        <f t="shared" si="112"/>
        <v/>
      </c>
      <c r="S323" t="str">
        <f t="shared" si="113"/>
        <v/>
      </c>
      <c r="T323" s="39" t="str">
        <f t="shared" si="114"/>
        <v/>
      </c>
      <c r="U323" t="str">
        <f t="shared" si="115"/>
        <v/>
      </c>
      <c r="V323" t="str">
        <f>IF(L323="","",IF($AO$1=1,IFERROR(MATCH(L323,'11-تشرين الثاني'!$L$2:$L$501,0),0),0))</f>
        <v/>
      </c>
      <c r="W323" t="str">
        <f t="shared" si="116"/>
        <v/>
      </c>
      <c r="X323" s="38" t="str">
        <f>IF(L323="","",IF(V323&gt;0,INDEX('11-تشرين الثاني'!$P$2:$P$501,V323),IF($AO$1=1,0,"")))</f>
        <v/>
      </c>
      <c r="Y323" s="38" t="str">
        <f t="shared" si="117"/>
        <v/>
      </c>
      <c r="Z323" s="39" t="str">
        <f>IF(L323="","",IF(V323&gt;0,INDEX('11-تشرين الثاني'!$Q$2:$Q$501,V323),IF($AO$1=1,0,"")))</f>
        <v/>
      </c>
      <c r="AA323" s="39" t="str">
        <f t="shared" si="118"/>
        <v/>
      </c>
      <c r="AB323" s="40" t="str">
        <f>IF(OR(L323="",V323=0),"",IF(AND(N(I323)&gt;0,N(INDEX('11-تشرين الثاني'!$I$2:$I$501,V323))&gt;0,INDEX('11-تشرين الثاني'!$F$2:$F$501,V323)=F323),N(I323)/N(INDEX('11-تشرين الثاني'!$I$2:$I$501,V323))-1,""))</f>
        <v/>
      </c>
      <c r="AC323" t="str">
        <f t="shared" si="119"/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20"/>
        <v/>
      </c>
      <c r="AH323" s="39" t="str">
        <f t="shared" si="121"/>
        <v/>
      </c>
      <c r="AI323" s="39" t="str">
        <f t="shared" si="122"/>
        <v/>
      </c>
      <c r="AJ323" s="39" t="str">
        <f t="shared" si="123"/>
        <v/>
      </c>
      <c r="AK323" t="str">
        <f t="shared" si="124"/>
        <v/>
      </c>
      <c r="AL323" t="str">
        <f t="shared" si="125"/>
        <v/>
      </c>
    </row>
    <row r="324" spans="11:38" ht="15">
      <c r="K324" t="str">
        <f t="shared" si="105"/>
        <v/>
      </c>
      <c r="L324" t="str">
        <f t="shared" si="106"/>
        <v/>
      </c>
      <c r="M324" s="36" t="str">
        <f t="shared" si="107"/>
        <v/>
      </c>
      <c r="N324" s="37" t="str">
        <f t="shared" si="108"/>
        <v/>
      </c>
      <c r="O324" s="37" t="str">
        <f t="shared" si="109"/>
        <v/>
      </c>
      <c r="P324" s="38" t="str">
        <f t="shared" si="110"/>
        <v/>
      </c>
      <c r="Q324" s="39" t="str">
        <f t="shared" si="111"/>
        <v/>
      </c>
      <c r="R324" s="39" t="str">
        <f t="shared" si="112"/>
        <v/>
      </c>
      <c r="S324" t="str">
        <f t="shared" si="113"/>
        <v/>
      </c>
      <c r="T324" s="39" t="str">
        <f t="shared" si="114"/>
        <v/>
      </c>
      <c r="U324" t="str">
        <f t="shared" si="115"/>
        <v/>
      </c>
      <c r="V324" t="str">
        <f>IF(L324="","",IF($AO$1=1,IFERROR(MATCH(L324,'11-تشرين الثاني'!$L$2:$L$501,0),0),0))</f>
        <v/>
      </c>
      <c r="W324" t="str">
        <f t="shared" si="116"/>
        <v/>
      </c>
      <c r="X324" s="38" t="str">
        <f>IF(L324="","",IF(V324&gt;0,INDEX('11-تشرين الثاني'!$P$2:$P$501,V324),IF($AO$1=1,0,"")))</f>
        <v/>
      </c>
      <c r="Y324" s="38" t="str">
        <f t="shared" si="117"/>
        <v/>
      </c>
      <c r="Z324" s="39" t="str">
        <f>IF(L324="","",IF(V324&gt;0,INDEX('11-تشرين الثاني'!$Q$2:$Q$501,V324),IF($AO$1=1,0,"")))</f>
        <v/>
      </c>
      <c r="AA324" s="39" t="str">
        <f t="shared" si="118"/>
        <v/>
      </c>
      <c r="AB324" s="40" t="str">
        <f>IF(OR(L324="",V324=0),"",IF(AND(N(I324)&gt;0,N(INDEX('11-تشرين الثاني'!$I$2:$I$501,V324))&gt;0,INDEX('11-تشرين الثاني'!$F$2:$F$501,V324)=F324),N(I324)/N(INDEX('11-تشرين الثاني'!$I$2:$I$501,V324))-1,""))</f>
        <v/>
      </c>
      <c r="AC324" t="str">
        <f t="shared" si="119"/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20"/>
        <v/>
      </c>
      <c r="AH324" s="39" t="str">
        <f t="shared" si="121"/>
        <v/>
      </c>
      <c r="AI324" s="39" t="str">
        <f t="shared" si="122"/>
        <v/>
      </c>
      <c r="AJ324" s="39" t="str">
        <f t="shared" si="123"/>
        <v/>
      </c>
      <c r="AK324" t="str">
        <f t="shared" si="124"/>
        <v/>
      </c>
      <c r="AL324" t="str">
        <f t="shared" si="125"/>
        <v/>
      </c>
    </row>
    <row r="325" spans="11:38" ht="15">
      <c r="K325" t="str">
        <f t="shared" si="105"/>
        <v/>
      </c>
      <c r="L325" t="str">
        <f t="shared" si="106"/>
        <v/>
      </c>
      <c r="M325" s="36" t="str">
        <f t="shared" si="107"/>
        <v/>
      </c>
      <c r="N325" s="37" t="str">
        <f t="shared" si="108"/>
        <v/>
      </c>
      <c r="O325" s="37" t="str">
        <f t="shared" si="109"/>
        <v/>
      </c>
      <c r="P325" s="38" t="str">
        <f t="shared" si="110"/>
        <v/>
      </c>
      <c r="Q325" s="39" t="str">
        <f t="shared" si="111"/>
        <v/>
      </c>
      <c r="R325" s="39" t="str">
        <f t="shared" si="112"/>
        <v/>
      </c>
      <c r="S325" t="str">
        <f t="shared" si="113"/>
        <v/>
      </c>
      <c r="T325" s="39" t="str">
        <f t="shared" si="114"/>
        <v/>
      </c>
      <c r="U325" t="str">
        <f t="shared" si="115"/>
        <v/>
      </c>
      <c r="V325" t="str">
        <f>IF(L325="","",IF($AO$1=1,IFERROR(MATCH(L325,'11-تشرين الثاني'!$L$2:$L$501,0),0),0))</f>
        <v/>
      </c>
      <c r="W325" t="str">
        <f t="shared" si="116"/>
        <v/>
      </c>
      <c r="X325" s="38" t="str">
        <f>IF(L325="","",IF(V325&gt;0,INDEX('11-تشرين الثاني'!$P$2:$P$501,V325),IF($AO$1=1,0,"")))</f>
        <v/>
      </c>
      <c r="Y325" s="38" t="str">
        <f t="shared" si="117"/>
        <v/>
      </c>
      <c r="Z325" s="39" t="str">
        <f>IF(L325="","",IF(V325&gt;0,INDEX('11-تشرين الثاني'!$Q$2:$Q$501,V325),IF($AO$1=1,0,"")))</f>
        <v/>
      </c>
      <c r="AA325" s="39" t="str">
        <f t="shared" si="118"/>
        <v/>
      </c>
      <c r="AB325" s="40" t="str">
        <f>IF(OR(L325="",V325=0),"",IF(AND(N(I325)&gt;0,N(INDEX('11-تشرين الثاني'!$I$2:$I$501,V325))&gt;0,INDEX('11-تشرين الثاني'!$F$2:$F$501,V325)=F325),N(I325)/N(INDEX('11-تشرين الثاني'!$I$2:$I$501,V325))-1,""))</f>
        <v/>
      </c>
      <c r="AC325" t="str">
        <f t="shared" si="119"/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20"/>
        <v/>
      </c>
      <c r="AH325" s="39" t="str">
        <f t="shared" si="121"/>
        <v/>
      </c>
      <c r="AI325" s="39" t="str">
        <f t="shared" si="122"/>
        <v/>
      </c>
      <c r="AJ325" s="39" t="str">
        <f t="shared" si="123"/>
        <v/>
      </c>
      <c r="AK325" t="str">
        <f t="shared" si="124"/>
        <v/>
      </c>
      <c r="AL325" t="str">
        <f t="shared" si="125"/>
        <v/>
      </c>
    </row>
    <row r="326" spans="11:38" ht="15">
      <c r="K326" t="str">
        <f t="shared" si="105"/>
        <v/>
      </c>
      <c r="L326" t="str">
        <f t="shared" si="106"/>
        <v/>
      </c>
      <c r="M326" s="36" t="str">
        <f t="shared" si="107"/>
        <v/>
      </c>
      <c r="N326" s="37" t="str">
        <f t="shared" si="108"/>
        <v/>
      </c>
      <c r="O326" s="37" t="str">
        <f t="shared" si="109"/>
        <v/>
      </c>
      <c r="P326" s="38" t="str">
        <f t="shared" si="110"/>
        <v/>
      </c>
      <c r="Q326" s="39" t="str">
        <f t="shared" si="111"/>
        <v/>
      </c>
      <c r="R326" s="39" t="str">
        <f t="shared" si="112"/>
        <v/>
      </c>
      <c r="S326" t="str">
        <f t="shared" si="113"/>
        <v/>
      </c>
      <c r="T326" s="39" t="str">
        <f t="shared" si="114"/>
        <v/>
      </c>
      <c r="U326" t="str">
        <f t="shared" si="115"/>
        <v/>
      </c>
      <c r="V326" t="str">
        <f>IF(L326="","",IF($AO$1=1,IFERROR(MATCH(L326,'11-تشرين الثاني'!$L$2:$L$501,0),0),0))</f>
        <v/>
      </c>
      <c r="W326" t="str">
        <f t="shared" si="116"/>
        <v/>
      </c>
      <c r="X326" s="38" t="str">
        <f>IF(L326="","",IF(V326&gt;0,INDEX('11-تشرين الثاني'!$P$2:$P$501,V326),IF($AO$1=1,0,"")))</f>
        <v/>
      </c>
      <c r="Y326" s="38" t="str">
        <f t="shared" si="117"/>
        <v/>
      </c>
      <c r="Z326" s="39" t="str">
        <f>IF(L326="","",IF(V326&gt;0,INDEX('11-تشرين الثاني'!$Q$2:$Q$501,V326),IF($AO$1=1,0,"")))</f>
        <v/>
      </c>
      <c r="AA326" s="39" t="str">
        <f t="shared" si="118"/>
        <v/>
      </c>
      <c r="AB326" s="40" t="str">
        <f>IF(OR(L326="",V326=0),"",IF(AND(N(I326)&gt;0,N(INDEX('11-تشرين الثاني'!$I$2:$I$501,V326))&gt;0,INDEX('11-تشرين الثاني'!$F$2:$F$501,V326)=F326),N(I326)/N(INDEX('11-تشرين الثاني'!$I$2:$I$501,V326))-1,""))</f>
        <v/>
      </c>
      <c r="AC326" t="str">
        <f t="shared" si="119"/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20"/>
        <v/>
      </c>
      <c r="AH326" s="39" t="str">
        <f t="shared" si="121"/>
        <v/>
      </c>
      <c r="AI326" s="39" t="str">
        <f t="shared" si="122"/>
        <v/>
      </c>
      <c r="AJ326" s="39" t="str">
        <f t="shared" si="123"/>
        <v/>
      </c>
      <c r="AK326" t="str">
        <f t="shared" si="124"/>
        <v/>
      </c>
      <c r="AL326" t="str">
        <f t="shared" si="125"/>
        <v/>
      </c>
    </row>
    <row r="327" spans="11:38" ht="15">
      <c r="K327" t="str">
        <f t="shared" si="105"/>
        <v/>
      </c>
      <c r="L327" t="str">
        <f t="shared" si="106"/>
        <v/>
      </c>
      <c r="M327" s="36" t="str">
        <f t="shared" si="107"/>
        <v/>
      </c>
      <c r="N327" s="37" t="str">
        <f t="shared" si="108"/>
        <v/>
      </c>
      <c r="O327" s="37" t="str">
        <f t="shared" si="109"/>
        <v/>
      </c>
      <c r="P327" s="38" t="str">
        <f t="shared" si="110"/>
        <v/>
      </c>
      <c r="Q327" s="39" t="str">
        <f t="shared" si="111"/>
        <v/>
      </c>
      <c r="R327" s="39" t="str">
        <f t="shared" si="112"/>
        <v/>
      </c>
      <c r="S327" t="str">
        <f t="shared" si="113"/>
        <v/>
      </c>
      <c r="T327" s="39" t="str">
        <f t="shared" si="114"/>
        <v/>
      </c>
      <c r="U327" t="str">
        <f t="shared" si="115"/>
        <v/>
      </c>
      <c r="V327" t="str">
        <f>IF(L327="","",IF($AO$1=1,IFERROR(MATCH(L327,'11-تشرين الثاني'!$L$2:$L$501,0),0),0))</f>
        <v/>
      </c>
      <c r="W327" t="str">
        <f t="shared" si="116"/>
        <v/>
      </c>
      <c r="X327" s="38" t="str">
        <f>IF(L327="","",IF(V327&gt;0,INDEX('11-تشرين الثاني'!$P$2:$P$501,V327),IF($AO$1=1,0,"")))</f>
        <v/>
      </c>
      <c r="Y327" s="38" t="str">
        <f t="shared" si="117"/>
        <v/>
      </c>
      <c r="Z327" s="39" t="str">
        <f>IF(L327="","",IF(V327&gt;0,INDEX('11-تشرين الثاني'!$Q$2:$Q$501,V327),IF($AO$1=1,0,"")))</f>
        <v/>
      </c>
      <c r="AA327" s="39" t="str">
        <f t="shared" si="118"/>
        <v/>
      </c>
      <c r="AB327" s="40" t="str">
        <f>IF(OR(L327="",V327=0),"",IF(AND(N(I327)&gt;0,N(INDEX('11-تشرين الثاني'!$I$2:$I$501,V327))&gt;0,INDEX('11-تشرين الثاني'!$F$2:$F$501,V327)=F327),N(I327)/N(INDEX('11-تشرين الثاني'!$I$2:$I$501,V327))-1,""))</f>
        <v/>
      </c>
      <c r="AC327" t="str">
        <f t="shared" si="119"/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20"/>
        <v/>
      </c>
      <c r="AH327" s="39" t="str">
        <f t="shared" si="121"/>
        <v/>
      </c>
      <c r="AI327" s="39" t="str">
        <f t="shared" si="122"/>
        <v/>
      </c>
      <c r="AJ327" s="39" t="str">
        <f t="shared" si="123"/>
        <v/>
      </c>
      <c r="AK327" t="str">
        <f t="shared" si="124"/>
        <v/>
      </c>
      <c r="AL327" t="str">
        <f t="shared" si="125"/>
        <v/>
      </c>
    </row>
    <row r="328" spans="11:38" ht="15">
      <c r="K328" t="str">
        <f t="shared" si="105"/>
        <v/>
      </c>
      <c r="L328" t="str">
        <f t="shared" si="106"/>
        <v/>
      </c>
      <c r="M328" s="36" t="str">
        <f t="shared" si="107"/>
        <v/>
      </c>
      <c r="N328" s="37" t="str">
        <f t="shared" si="108"/>
        <v/>
      </c>
      <c r="O328" s="37" t="str">
        <f t="shared" si="109"/>
        <v/>
      </c>
      <c r="P328" s="38" t="str">
        <f t="shared" si="110"/>
        <v/>
      </c>
      <c r="Q328" s="39" t="str">
        <f t="shared" si="111"/>
        <v/>
      </c>
      <c r="R328" s="39" t="str">
        <f t="shared" si="112"/>
        <v/>
      </c>
      <c r="S328" t="str">
        <f t="shared" si="113"/>
        <v/>
      </c>
      <c r="T328" s="39" t="str">
        <f t="shared" si="114"/>
        <v/>
      </c>
      <c r="U328" t="str">
        <f t="shared" si="115"/>
        <v/>
      </c>
      <c r="V328" t="str">
        <f>IF(L328="","",IF($AO$1=1,IFERROR(MATCH(L328,'11-تشرين الثاني'!$L$2:$L$501,0),0),0))</f>
        <v/>
      </c>
      <c r="W328" t="str">
        <f t="shared" si="116"/>
        <v/>
      </c>
      <c r="X328" s="38" t="str">
        <f>IF(L328="","",IF(V328&gt;0,INDEX('11-تشرين الثاني'!$P$2:$P$501,V328),IF($AO$1=1,0,"")))</f>
        <v/>
      </c>
      <c r="Y328" s="38" t="str">
        <f t="shared" si="117"/>
        <v/>
      </c>
      <c r="Z328" s="39" t="str">
        <f>IF(L328="","",IF(V328&gt;0,INDEX('11-تشرين الثاني'!$Q$2:$Q$501,V328),IF($AO$1=1,0,"")))</f>
        <v/>
      </c>
      <c r="AA328" s="39" t="str">
        <f t="shared" si="118"/>
        <v/>
      </c>
      <c r="AB328" s="40" t="str">
        <f>IF(OR(L328="",V328=0),"",IF(AND(N(I328)&gt;0,N(INDEX('11-تشرين الثاني'!$I$2:$I$501,V328))&gt;0,INDEX('11-تشرين الثاني'!$F$2:$F$501,V328)=F328),N(I328)/N(INDEX('11-تشرين الثاني'!$I$2:$I$501,V328))-1,""))</f>
        <v/>
      </c>
      <c r="AC328" t="str">
        <f t="shared" si="119"/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20"/>
        <v/>
      </c>
      <c r="AH328" s="39" t="str">
        <f t="shared" si="121"/>
        <v/>
      </c>
      <c r="AI328" s="39" t="str">
        <f t="shared" si="122"/>
        <v/>
      </c>
      <c r="AJ328" s="39" t="str">
        <f t="shared" si="123"/>
        <v/>
      </c>
      <c r="AK328" t="str">
        <f t="shared" si="124"/>
        <v/>
      </c>
      <c r="AL328" t="str">
        <f t="shared" si="125"/>
        <v/>
      </c>
    </row>
    <row r="329" spans="11:38" ht="15">
      <c r="K329" t="str">
        <f t="shared" si="105"/>
        <v/>
      </c>
      <c r="L329" t="str">
        <f t="shared" si="106"/>
        <v/>
      </c>
      <c r="M329" s="36" t="str">
        <f t="shared" si="107"/>
        <v/>
      </c>
      <c r="N329" s="37" t="str">
        <f t="shared" si="108"/>
        <v/>
      </c>
      <c r="O329" s="37" t="str">
        <f t="shared" si="109"/>
        <v/>
      </c>
      <c r="P329" s="38" t="str">
        <f t="shared" si="110"/>
        <v/>
      </c>
      <c r="Q329" s="39" t="str">
        <f t="shared" si="111"/>
        <v/>
      </c>
      <c r="R329" s="39" t="str">
        <f t="shared" si="112"/>
        <v/>
      </c>
      <c r="S329" t="str">
        <f t="shared" si="113"/>
        <v/>
      </c>
      <c r="T329" s="39" t="str">
        <f t="shared" si="114"/>
        <v/>
      </c>
      <c r="U329" t="str">
        <f t="shared" si="115"/>
        <v/>
      </c>
      <c r="V329" t="str">
        <f>IF(L329="","",IF($AO$1=1,IFERROR(MATCH(L329,'11-تشرين الثاني'!$L$2:$L$501,0),0),0))</f>
        <v/>
      </c>
      <c r="W329" t="str">
        <f t="shared" si="116"/>
        <v/>
      </c>
      <c r="X329" s="38" t="str">
        <f>IF(L329="","",IF(V329&gt;0,INDEX('11-تشرين الثاني'!$P$2:$P$501,V329),IF($AO$1=1,0,"")))</f>
        <v/>
      </c>
      <c r="Y329" s="38" t="str">
        <f t="shared" si="117"/>
        <v/>
      </c>
      <c r="Z329" s="39" t="str">
        <f>IF(L329="","",IF(V329&gt;0,INDEX('11-تشرين الثاني'!$Q$2:$Q$501,V329),IF($AO$1=1,0,"")))</f>
        <v/>
      </c>
      <c r="AA329" s="39" t="str">
        <f t="shared" si="118"/>
        <v/>
      </c>
      <c r="AB329" s="40" t="str">
        <f>IF(OR(L329="",V329=0),"",IF(AND(N(I329)&gt;0,N(INDEX('11-تشرين الثاني'!$I$2:$I$501,V329))&gt;0,INDEX('11-تشرين الثاني'!$F$2:$F$501,V329)=F329),N(I329)/N(INDEX('11-تشرين الثاني'!$I$2:$I$501,V329))-1,""))</f>
        <v/>
      </c>
      <c r="AC329" t="str">
        <f t="shared" si="119"/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20"/>
        <v/>
      </c>
      <c r="AH329" s="39" t="str">
        <f t="shared" si="121"/>
        <v/>
      </c>
      <c r="AI329" s="39" t="str">
        <f t="shared" si="122"/>
        <v/>
      </c>
      <c r="AJ329" s="39" t="str">
        <f t="shared" si="123"/>
        <v/>
      </c>
      <c r="AK329" t="str">
        <f t="shared" si="124"/>
        <v/>
      </c>
      <c r="AL329" t="str">
        <f t="shared" si="125"/>
        <v/>
      </c>
    </row>
    <row r="330" spans="11:38" ht="15">
      <c r="K330" t="str">
        <f t="shared" si="105"/>
        <v/>
      </c>
      <c r="L330" t="str">
        <f t="shared" si="106"/>
        <v/>
      </c>
      <c r="M330" s="36" t="str">
        <f t="shared" si="107"/>
        <v/>
      </c>
      <c r="N330" s="37" t="str">
        <f t="shared" si="108"/>
        <v/>
      </c>
      <c r="O330" s="37" t="str">
        <f t="shared" si="109"/>
        <v/>
      </c>
      <c r="P330" s="38" t="str">
        <f t="shared" si="110"/>
        <v/>
      </c>
      <c r="Q330" s="39" t="str">
        <f t="shared" si="111"/>
        <v/>
      </c>
      <c r="R330" s="39" t="str">
        <f t="shared" si="112"/>
        <v/>
      </c>
      <c r="S330" t="str">
        <f t="shared" si="113"/>
        <v/>
      </c>
      <c r="T330" s="39" t="str">
        <f t="shared" si="114"/>
        <v/>
      </c>
      <c r="U330" t="str">
        <f t="shared" si="115"/>
        <v/>
      </c>
      <c r="V330" t="str">
        <f>IF(L330="","",IF($AO$1=1,IFERROR(MATCH(L330,'11-تشرين الثاني'!$L$2:$L$501,0),0),0))</f>
        <v/>
      </c>
      <c r="W330" t="str">
        <f t="shared" si="116"/>
        <v/>
      </c>
      <c r="X330" s="38" t="str">
        <f>IF(L330="","",IF(V330&gt;0,INDEX('11-تشرين الثاني'!$P$2:$P$501,V330),IF($AO$1=1,0,"")))</f>
        <v/>
      </c>
      <c r="Y330" s="38" t="str">
        <f t="shared" si="117"/>
        <v/>
      </c>
      <c r="Z330" s="39" t="str">
        <f>IF(L330="","",IF(V330&gt;0,INDEX('11-تشرين الثاني'!$Q$2:$Q$501,V330),IF($AO$1=1,0,"")))</f>
        <v/>
      </c>
      <c r="AA330" s="39" t="str">
        <f t="shared" si="118"/>
        <v/>
      </c>
      <c r="AB330" s="40" t="str">
        <f>IF(OR(L330="",V330=0),"",IF(AND(N(I330)&gt;0,N(INDEX('11-تشرين الثاني'!$I$2:$I$501,V330))&gt;0,INDEX('11-تشرين الثاني'!$F$2:$F$501,V330)=F330),N(I330)/N(INDEX('11-تشرين الثاني'!$I$2:$I$501,V330))-1,""))</f>
        <v/>
      </c>
      <c r="AC330" t="str">
        <f t="shared" si="119"/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20"/>
        <v/>
      </c>
      <c r="AH330" s="39" t="str">
        <f t="shared" si="121"/>
        <v/>
      </c>
      <c r="AI330" s="39" t="str">
        <f t="shared" si="122"/>
        <v/>
      </c>
      <c r="AJ330" s="39" t="str">
        <f t="shared" si="123"/>
        <v/>
      </c>
      <c r="AK330" t="str">
        <f t="shared" si="124"/>
        <v/>
      </c>
      <c r="AL330" t="str">
        <f t="shared" si="125"/>
        <v/>
      </c>
    </row>
    <row r="331" spans="11:38" ht="15">
      <c r="K331" t="str">
        <f t="shared" si="105"/>
        <v/>
      </c>
      <c r="L331" t="str">
        <f t="shared" si="106"/>
        <v/>
      </c>
      <c r="M331" s="36" t="str">
        <f t="shared" si="107"/>
        <v/>
      </c>
      <c r="N331" s="37" t="str">
        <f t="shared" si="108"/>
        <v/>
      </c>
      <c r="O331" s="37" t="str">
        <f t="shared" si="109"/>
        <v/>
      </c>
      <c r="P331" s="38" t="str">
        <f t="shared" si="110"/>
        <v/>
      </c>
      <c r="Q331" s="39" t="str">
        <f t="shared" si="111"/>
        <v/>
      </c>
      <c r="R331" s="39" t="str">
        <f t="shared" si="112"/>
        <v/>
      </c>
      <c r="S331" t="str">
        <f t="shared" si="113"/>
        <v/>
      </c>
      <c r="T331" s="39" t="str">
        <f t="shared" si="114"/>
        <v/>
      </c>
      <c r="U331" t="str">
        <f t="shared" si="115"/>
        <v/>
      </c>
      <c r="V331" t="str">
        <f>IF(L331="","",IF($AO$1=1,IFERROR(MATCH(L331,'11-تشرين الثاني'!$L$2:$L$501,0),0),0))</f>
        <v/>
      </c>
      <c r="W331" t="str">
        <f t="shared" si="116"/>
        <v/>
      </c>
      <c r="X331" s="38" t="str">
        <f>IF(L331="","",IF(V331&gt;0,INDEX('11-تشرين الثاني'!$P$2:$P$501,V331),IF($AO$1=1,0,"")))</f>
        <v/>
      </c>
      <c r="Y331" s="38" t="str">
        <f t="shared" si="117"/>
        <v/>
      </c>
      <c r="Z331" s="39" t="str">
        <f>IF(L331="","",IF(V331&gt;0,INDEX('11-تشرين الثاني'!$Q$2:$Q$501,V331),IF($AO$1=1,0,"")))</f>
        <v/>
      </c>
      <c r="AA331" s="39" t="str">
        <f t="shared" si="118"/>
        <v/>
      </c>
      <c r="AB331" s="40" t="str">
        <f>IF(OR(L331="",V331=0),"",IF(AND(N(I331)&gt;0,N(INDEX('11-تشرين الثاني'!$I$2:$I$501,V331))&gt;0,INDEX('11-تشرين الثاني'!$F$2:$F$501,V331)=F331),N(I331)/N(INDEX('11-تشرين الثاني'!$I$2:$I$501,V331))-1,""))</f>
        <v/>
      </c>
      <c r="AC331" t="str">
        <f t="shared" si="119"/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20"/>
        <v/>
      </c>
      <c r="AH331" s="39" t="str">
        <f t="shared" si="121"/>
        <v/>
      </c>
      <c r="AI331" s="39" t="str">
        <f t="shared" si="122"/>
        <v/>
      </c>
      <c r="AJ331" s="39" t="str">
        <f t="shared" si="123"/>
        <v/>
      </c>
      <c r="AK331" t="str">
        <f t="shared" si="124"/>
        <v/>
      </c>
      <c r="AL331" t="str">
        <f t="shared" si="125"/>
        <v/>
      </c>
    </row>
    <row r="332" spans="11:38" ht="15">
      <c r="K332" t="str">
        <f t="shared" si="105"/>
        <v/>
      </c>
      <c r="L332" t="str">
        <f t="shared" si="106"/>
        <v/>
      </c>
      <c r="M332" s="36" t="str">
        <f t="shared" si="107"/>
        <v/>
      </c>
      <c r="N332" s="37" t="str">
        <f t="shared" si="108"/>
        <v/>
      </c>
      <c r="O332" s="37" t="str">
        <f t="shared" si="109"/>
        <v/>
      </c>
      <c r="P332" s="38" t="str">
        <f t="shared" si="110"/>
        <v/>
      </c>
      <c r="Q332" s="39" t="str">
        <f t="shared" si="111"/>
        <v/>
      </c>
      <c r="R332" s="39" t="str">
        <f t="shared" si="112"/>
        <v/>
      </c>
      <c r="S332" t="str">
        <f t="shared" si="113"/>
        <v/>
      </c>
      <c r="T332" s="39" t="str">
        <f t="shared" si="114"/>
        <v/>
      </c>
      <c r="U332" t="str">
        <f t="shared" si="115"/>
        <v/>
      </c>
      <c r="V332" t="str">
        <f>IF(L332="","",IF($AO$1=1,IFERROR(MATCH(L332,'11-تشرين الثاني'!$L$2:$L$501,0),0),0))</f>
        <v/>
      </c>
      <c r="W332" t="str">
        <f t="shared" si="116"/>
        <v/>
      </c>
      <c r="X332" s="38" t="str">
        <f>IF(L332="","",IF(V332&gt;0,INDEX('11-تشرين الثاني'!$P$2:$P$501,V332),IF($AO$1=1,0,"")))</f>
        <v/>
      </c>
      <c r="Y332" s="38" t="str">
        <f t="shared" si="117"/>
        <v/>
      </c>
      <c r="Z332" s="39" t="str">
        <f>IF(L332="","",IF(V332&gt;0,INDEX('11-تشرين الثاني'!$Q$2:$Q$501,V332),IF($AO$1=1,0,"")))</f>
        <v/>
      </c>
      <c r="AA332" s="39" t="str">
        <f t="shared" si="118"/>
        <v/>
      </c>
      <c r="AB332" s="40" t="str">
        <f>IF(OR(L332="",V332=0),"",IF(AND(N(I332)&gt;0,N(INDEX('11-تشرين الثاني'!$I$2:$I$501,V332))&gt;0,INDEX('11-تشرين الثاني'!$F$2:$F$501,V332)=F332),N(I332)/N(INDEX('11-تشرين الثاني'!$I$2:$I$501,V332))-1,""))</f>
        <v/>
      </c>
      <c r="AC332" t="str">
        <f t="shared" si="119"/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20"/>
        <v/>
      </c>
      <c r="AH332" s="39" t="str">
        <f t="shared" si="121"/>
        <v/>
      </c>
      <c r="AI332" s="39" t="str">
        <f t="shared" si="122"/>
        <v/>
      </c>
      <c r="AJ332" s="39" t="str">
        <f t="shared" si="123"/>
        <v/>
      </c>
      <c r="AK332" t="str">
        <f t="shared" si="124"/>
        <v/>
      </c>
      <c r="AL332" t="str">
        <f t="shared" si="125"/>
        <v/>
      </c>
    </row>
    <row r="333" spans="11:38" ht="15">
      <c r="K333" t="str">
        <f t="shared" si="105"/>
        <v/>
      </c>
      <c r="L333" t="str">
        <f t="shared" si="106"/>
        <v/>
      </c>
      <c r="M333" s="36" t="str">
        <f t="shared" si="107"/>
        <v/>
      </c>
      <c r="N333" s="37" t="str">
        <f t="shared" si="108"/>
        <v/>
      </c>
      <c r="O333" s="37" t="str">
        <f t="shared" si="109"/>
        <v/>
      </c>
      <c r="P333" s="38" t="str">
        <f t="shared" si="110"/>
        <v/>
      </c>
      <c r="Q333" s="39" t="str">
        <f t="shared" si="111"/>
        <v/>
      </c>
      <c r="R333" s="39" t="str">
        <f t="shared" si="112"/>
        <v/>
      </c>
      <c r="S333" t="str">
        <f t="shared" si="113"/>
        <v/>
      </c>
      <c r="T333" s="39" t="str">
        <f t="shared" si="114"/>
        <v/>
      </c>
      <c r="U333" t="str">
        <f t="shared" si="115"/>
        <v/>
      </c>
      <c r="V333" t="str">
        <f>IF(L333="","",IF($AO$1=1,IFERROR(MATCH(L333,'11-تشرين الثاني'!$L$2:$L$501,0),0),0))</f>
        <v/>
      </c>
      <c r="W333" t="str">
        <f t="shared" si="116"/>
        <v/>
      </c>
      <c r="X333" s="38" t="str">
        <f>IF(L333="","",IF(V333&gt;0,INDEX('11-تشرين الثاني'!$P$2:$P$501,V333),IF($AO$1=1,0,"")))</f>
        <v/>
      </c>
      <c r="Y333" s="38" t="str">
        <f t="shared" si="117"/>
        <v/>
      </c>
      <c r="Z333" s="39" t="str">
        <f>IF(L333="","",IF(V333&gt;0,INDEX('11-تشرين الثاني'!$Q$2:$Q$501,V333),IF($AO$1=1,0,"")))</f>
        <v/>
      </c>
      <c r="AA333" s="39" t="str">
        <f t="shared" si="118"/>
        <v/>
      </c>
      <c r="AB333" s="40" t="str">
        <f>IF(OR(L333="",V333=0),"",IF(AND(N(I333)&gt;0,N(INDEX('11-تشرين الثاني'!$I$2:$I$501,V333))&gt;0,INDEX('11-تشرين الثاني'!$F$2:$F$501,V333)=F333),N(I333)/N(INDEX('11-تشرين الثاني'!$I$2:$I$501,V333))-1,""))</f>
        <v/>
      </c>
      <c r="AC333" t="str">
        <f t="shared" si="119"/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20"/>
        <v/>
      </c>
      <c r="AH333" s="39" t="str">
        <f t="shared" si="121"/>
        <v/>
      </c>
      <c r="AI333" s="39" t="str">
        <f t="shared" si="122"/>
        <v/>
      </c>
      <c r="AJ333" s="39" t="str">
        <f t="shared" si="123"/>
        <v/>
      </c>
      <c r="AK333" t="str">
        <f t="shared" si="124"/>
        <v/>
      </c>
      <c r="AL333" t="str">
        <f t="shared" si="125"/>
        <v/>
      </c>
    </row>
    <row r="334" spans="11:38" ht="15">
      <c r="K334" t="str">
        <f t="shared" si="105"/>
        <v/>
      </c>
      <c r="L334" t="str">
        <f t="shared" si="106"/>
        <v/>
      </c>
      <c r="M334" s="36" t="str">
        <f t="shared" si="107"/>
        <v/>
      </c>
      <c r="N334" s="37" t="str">
        <f t="shared" si="108"/>
        <v/>
      </c>
      <c r="O334" s="37" t="str">
        <f t="shared" si="109"/>
        <v/>
      </c>
      <c r="P334" s="38" t="str">
        <f t="shared" si="110"/>
        <v/>
      </c>
      <c r="Q334" s="39" t="str">
        <f t="shared" si="111"/>
        <v/>
      </c>
      <c r="R334" s="39" t="str">
        <f t="shared" si="112"/>
        <v/>
      </c>
      <c r="S334" t="str">
        <f t="shared" si="113"/>
        <v/>
      </c>
      <c r="T334" s="39" t="str">
        <f t="shared" si="114"/>
        <v/>
      </c>
      <c r="U334" t="str">
        <f t="shared" si="115"/>
        <v/>
      </c>
      <c r="V334" t="str">
        <f>IF(L334="","",IF($AO$1=1,IFERROR(MATCH(L334,'11-تشرين الثاني'!$L$2:$L$501,0),0),0))</f>
        <v/>
      </c>
      <c r="W334" t="str">
        <f t="shared" si="116"/>
        <v/>
      </c>
      <c r="X334" s="38" t="str">
        <f>IF(L334="","",IF(V334&gt;0,INDEX('11-تشرين الثاني'!$P$2:$P$501,V334),IF($AO$1=1,0,"")))</f>
        <v/>
      </c>
      <c r="Y334" s="38" t="str">
        <f t="shared" si="117"/>
        <v/>
      </c>
      <c r="Z334" s="39" t="str">
        <f>IF(L334="","",IF(V334&gt;0,INDEX('11-تشرين الثاني'!$Q$2:$Q$501,V334),IF($AO$1=1,0,"")))</f>
        <v/>
      </c>
      <c r="AA334" s="39" t="str">
        <f t="shared" si="118"/>
        <v/>
      </c>
      <c r="AB334" s="40" t="str">
        <f>IF(OR(L334="",V334=0),"",IF(AND(N(I334)&gt;0,N(INDEX('11-تشرين الثاني'!$I$2:$I$501,V334))&gt;0,INDEX('11-تشرين الثاني'!$F$2:$F$501,V334)=F334),N(I334)/N(INDEX('11-تشرين الثاني'!$I$2:$I$501,V334))-1,""))</f>
        <v/>
      </c>
      <c r="AC334" t="str">
        <f t="shared" si="119"/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20"/>
        <v/>
      </c>
      <c r="AH334" s="39" t="str">
        <f t="shared" si="121"/>
        <v/>
      </c>
      <c r="AI334" s="39" t="str">
        <f t="shared" si="122"/>
        <v/>
      </c>
      <c r="AJ334" s="39" t="str">
        <f t="shared" si="123"/>
        <v/>
      </c>
      <c r="AK334" t="str">
        <f t="shared" si="124"/>
        <v/>
      </c>
      <c r="AL334" t="str">
        <f t="shared" si="125"/>
        <v/>
      </c>
    </row>
    <row r="335" spans="11:38" ht="15">
      <c r="K335" t="str">
        <f t="shared" si="105"/>
        <v/>
      </c>
      <c r="L335" t="str">
        <f t="shared" si="106"/>
        <v/>
      </c>
      <c r="M335" s="36" t="str">
        <f t="shared" si="107"/>
        <v/>
      </c>
      <c r="N335" s="37" t="str">
        <f t="shared" si="108"/>
        <v/>
      </c>
      <c r="O335" s="37" t="str">
        <f t="shared" si="109"/>
        <v/>
      </c>
      <c r="P335" s="38" t="str">
        <f t="shared" si="110"/>
        <v/>
      </c>
      <c r="Q335" s="39" t="str">
        <f t="shared" si="111"/>
        <v/>
      </c>
      <c r="R335" s="39" t="str">
        <f t="shared" si="112"/>
        <v/>
      </c>
      <c r="S335" t="str">
        <f t="shared" si="113"/>
        <v/>
      </c>
      <c r="T335" s="39" t="str">
        <f t="shared" si="114"/>
        <v/>
      </c>
      <c r="U335" t="str">
        <f t="shared" si="115"/>
        <v/>
      </c>
      <c r="V335" t="str">
        <f>IF(L335="","",IF($AO$1=1,IFERROR(MATCH(L335,'11-تشرين الثاني'!$L$2:$L$501,0),0),0))</f>
        <v/>
      </c>
      <c r="W335" t="str">
        <f t="shared" si="116"/>
        <v/>
      </c>
      <c r="X335" s="38" t="str">
        <f>IF(L335="","",IF(V335&gt;0,INDEX('11-تشرين الثاني'!$P$2:$P$501,V335),IF($AO$1=1,0,"")))</f>
        <v/>
      </c>
      <c r="Y335" s="38" t="str">
        <f t="shared" si="117"/>
        <v/>
      </c>
      <c r="Z335" s="39" t="str">
        <f>IF(L335="","",IF(V335&gt;0,INDEX('11-تشرين الثاني'!$Q$2:$Q$501,V335),IF($AO$1=1,0,"")))</f>
        <v/>
      </c>
      <c r="AA335" s="39" t="str">
        <f t="shared" si="118"/>
        <v/>
      </c>
      <c r="AB335" s="40" t="str">
        <f>IF(OR(L335="",V335=0),"",IF(AND(N(I335)&gt;0,N(INDEX('11-تشرين الثاني'!$I$2:$I$501,V335))&gt;0,INDEX('11-تشرين الثاني'!$F$2:$F$501,V335)=F335),N(I335)/N(INDEX('11-تشرين الثاني'!$I$2:$I$501,V335))-1,""))</f>
        <v/>
      </c>
      <c r="AC335" t="str">
        <f t="shared" si="119"/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20"/>
        <v/>
      </c>
      <c r="AH335" s="39" t="str">
        <f t="shared" si="121"/>
        <v/>
      </c>
      <c r="AI335" s="39" t="str">
        <f t="shared" si="122"/>
        <v/>
      </c>
      <c r="AJ335" s="39" t="str">
        <f t="shared" si="123"/>
        <v/>
      </c>
      <c r="AK335" t="str">
        <f t="shared" si="124"/>
        <v/>
      </c>
      <c r="AL335" t="str">
        <f t="shared" si="125"/>
        <v/>
      </c>
    </row>
    <row r="336" spans="11:38" ht="15">
      <c r="K336" t="str">
        <f t="shared" si="105"/>
        <v/>
      </c>
      <c r="L336" t="str">
        <f t="shared" si="106"/>
        <v/>
      </c>
      <c r="M336" s="36" t="str">
        <f t="shared" si="107"/>
        <v/>
      </c>
      <c r="N336" s="37" t="str">
        <f t="shared" si="108"/>
        <v/>
      </c>
      <c r="O336" s="37" t="str">
        <f t="shared" si="109"/>
        <v/>
      </c>
      <c r="P336" s="38" t="str">
        <f t="shared" si="110"/>
        <v/>
      </c>
      <c r="Q336" s="39" t="str">
        <f t="shared" si="111"/>
        <v/>
      </c>
      <c r="R336" s="39" t="str">
        <f t="shared" si="112"/>
        <v/>
      </c>
      <c r="S336" t="str">
        <f t="shared" si="113"/>
        <v/>
      </c>
      <c r="T336" s="39" t="str">
        <f t="shared" si="114"/>
        <v/>
      </c>
      <c r="U336" t="str">
        <f t="shared" si="115"/>
        <v/>
      </c>
      <c r="V336" t="str">
        <f>IF(L336="","",IF($AO$1=1,IFERROR(MATCH(L336,'11-تشرين الثاني'!$L$2:$L$501,0),0),0))</f>
        <v/>
      </c>
      <c r="W336" t="str">
        <f t="shared" si="116"/>
        <v/>
      </c>
      <c r="X336" s="38" t="str">
        <f>IF(L336="","",IF(V336&gt;0,INDEX('11-تشرين الثاني'!$P$2:$P$501,V336),IF($AO$1=1,0,"")))</f>
        <v/>
      </c>
      <c r="Y336" s="38" t="str">
        <f t="shared" si="117"/>
        <v/>
      </c>
      <c r="Z336" s="39" t="str">
        <f>IF(L336="","",IF(V336&gt;0,INDEX('11-تشرين الثاني'!$Q$2:$Q$501,V336),IF($AO$1=1,0,"")))</f>
        <v/>
      </c>
      <c r="AA336" s="39" t="str">
        <f t="shared" si="118"/>
        <v/>
      </c>
      <c r="AB336" s="40" t="str">
        <f>IF(OR(L336="",V336=0),"",IF(AND(N(I336)&gt;0,N(INDEX('11-تشرين الثاني'!$I$2:$I$501,V336))&gt;0,INDEX('11-تشرين الثاني'!$F$2:$F$501,V336)=F336),N(I336)/N(INDEX('11-تشرين الثاني'!$I$2:$I$501,V336))-1,""))</f>
        <v/>
      </c>
      <c r="AC336" t="str">
        <f t="shared" si="119"/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20"/>
        <v/>
      </c>
      <c r="AH336" s="39" t="str">
        <f t="shared" si="121"/>
        <v/>
      </c>
      <c r="AI336" s="39" t="str">
        <f t="shared" si="122"/>
        <v/>
      </c>
      <c r="AJ336" s="39" t="str">
        <f t="shared" si="123"/>
        <v/>
      </c>
      <c r="AK336" t="str">
        <f t="shared" si="124"/>
        <v/>
      </c>
      <c r="AL336" t="str">
        <f t="shared" si="125"/>
        <v/>
      </c>
    </row>
    <row r="337" spans="11:38" ht="15">
      <c r="K337" t="str">
        <f t="shared" si="105"/>
        <v/>
      </c>
      <c r="L337" t="str">
        <f t="shared" si="106"/>
        <v/>
      </c>
      <c r="M337" s="36" t="str">
        <f t="shared" si="107"/>
        <v/>
      </c>
      <c r="N337" s="37" t="str">
        <f t="shared" si="108"/>
        <v/>
      </c>
      <c r="O337" s="37" t="str">
        <f t="shared" si="109"/>
        <v/>
      </c>
      <c r="P337" s="38" t="str">
        <f t="shared" si="110"/>
        <v/>
      </c>
      <c r="Q337" s="39" t="str">
        <f t="shared" si="111"/>
        <v/>
      </c>
      <c r="R337" s="39" t="str">
        <f t="shared" si="112"/>
        <v/>
      </c>
      <c r="S337" t="str">
        <f t="shared" si="113"/>
        <v/>
      </c>
      <c r="T337" s="39" t="str">
        <f t="shared" si="114"/>
        <v/>
      </c>
      <c r="U337" t="str">
        <f t="shared" si="115"/>
        <v/>
      </c>
      <c r="V337" t="str">
        <f>IF(L337="","",IF($AO$1=1,IFERROR(MATCH(L337,'11-تشرين الثاني'!$L$2:$L$501,0),0),0))</f>
        <v/>
      </c>
      <c r="W337" t="str">
        <f t="shared" si="116"/>
        <v/>
      </c>
      <c r="X337" s="38" t="str">
        <f>IF(L337="","",IF(V337&gt;0,INDEX('11-تشرين الثاني'!$P$2:$P$501,V337),IF($AO$1=1,0,"")))</f>
        <v/>
      </c>
      <c r="Y337" s="38" t="str">
        <f t="shared" si="117"/>
        <v/>
      </c>
      <c r="Z337" s="39" t="str">
        <f>IF(L337="","",IF(V337&gt;0,INDEX('11-تشرين الثاني'!$Q$2:$Q$501,V337),IF($AO$1=1,0,"")))</f>
        <v/>
      </c>
      <c r="AA337" s="39" t="str">
        <f t="shared" si="118"/>
        <v/>
      </c>
      <c r="AB337" s="40" t="str">
        <f>IF(OR(L337="",V337=0),"",IF(AND(N(I337)&gt;0,N(INDEX('11-تشرين الثاني'!$I$2:$I$501,V337))&gt;0,INDEX('11-تشرين الثاني'!$F$2:$F$501,V337)=F337),N(I337)/N(INDEX('11-تشرين الثاني'!$I$2:$I$501,V337))-1,""))</f>
        <v/>
      </c>
      <c r="AC337" t="str">
        <f t="shared" si="119"/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20"/>
        <v/>
      </c>
      <c r="AH337" s="39" t="str">
        <f t="shared" si="121"/>
        <v/>
      </c>
      <c r="AI337" s="39" t="str">
        <f t="shared" si="122"/>
        <v/>
      </c>
      <c r="AJ337" s="39" t="str">
        <f t="shared" si="123"/>
        <v/>
      </c>
      <c r="AK337" t="str">
        <f t="shared" si="124"/>
        <v/>
      </c>
      <c r="AL337" t="str">
        <f t="shared" si="125"/>
        <v/>
      </c>
    </row>
    <row r="338" spans="11:38" ht="15">
      <c r="K338" t="str">
        <f t="shared" si="105"/>
        <v/>
      </c>
      <c r="L338" t="str">
        <f t="shared" si="106"/>
        <v/>
      </c>
      <c r="M338" s="36" t="str">
        <f t="shared" si="107"/>
        <v/>
      </c>
      <c r="N338" s="37" t="str">
        <f t="shared" si="108"/>
        <v/>
      </c>
      <c r="O338" s="37" t="str">
        <f t="shared" si="109"/>
        <v/>
      </c>
      <c r="P338" s="38" t="str">
        <f t="shared" si="110"/>
        <v/>
      </c>
      <c r="Q338" s="39" t="str">
        <f t="shared" si="111"/>
        <v/>
      </c>
      <c r="R338" s="39" t="str">
        <f t="shared" si="112"/>
        <v/>
      </c>
      <c r="S338" t="str">
        <f t="shared" si="113"/>
        <v/>
      </c>
      <c r="T338" s="39" t="str">
        <f t="shared" si="114"/>
        <v/>
      </c>
      <c r="U338" t="str">
        <f t="shared" si="115"/>
        <v/>
      </c>
      <c r="V338" t="str">
        <f>IF(L338="","",IF($AO$1=1,IFERROR(MATCH(L338,'11-تشرين الثاني'!$L$2:$L$501,0),0),0))</f>
        <v/>
      </c>
      <c r="W338" t="str">
        <f t="shared" si="116"/>
        <v/>
      </c>
      <c r="X338" s="38" t="str">
        <f>IF(L338="","",IF(V338&gt;0,INDEX('11-تشرين الثاني'!$P$2:$P$501,V338),IF($AO$1=1,0,"")))</f>
        <v/>
      </c>
      <c r="Y338" s="38" t="str">
        <f t="shared" si="117"/>
        <v/>
      </c>
      <c r="Z338" s="39" t="str">
        <f>IF(L338="","",IF(V338&gt;0,INDEX('11-تشرين الثاني'!$Q$2:$Q$501,V338),IF($AO$1=1,0,"")))</f>
        <v/>
      </c>
      <c r="AA338" s="39" t="str">
        <f t="shared" si="118"/>
        <v/>
      </c>
      <c r="AB338" s="40" t="str">
        <f>IF(OR(L338="",V338=0),"",IF(AND(N(I338)&gt;0,N(INDEX('11-تشرين الثاني'!$I$2:$I$501,V338))&gt;0,INDEX('11-تشرين الثاني'!$F$2:$F$501,V338)=F338),N(I338)/N(INDEX('11-تشرين الثاني'!$I$2:$I$501,V338))-1,""))</f>
        <v/>
      </c>
      <c r="AC338" t="str">
        <f t="shared" si="119"/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20"/>
        <v/>
      </c>
      <c r="AH338" s="39" t="str">
        <f t="shared" si="121"/>
        <v/>
      </c>
      <c r="AI338" s="39" t="str">
        <f t="shared" si="122"/>
        <v/>
      </c>
      <c r="AJ338" s="39" t="str">
        <f t="shared" si="123"/>
        <v/>
      </c>
      <c r="AK338" t="str">
        <f t="shared" si="124"/>
        <v/>
      </c>
      <c r="AL338" t="str">
        <f t="shared" si="125"/>
        <v/>
      </c>
    </row>
    <row r="339" spans="11:38" ht="15">
      <c r="K339" t="str">
        <f t="shared" si="105"/>
        <v/>
      </c>
      <c r="L339" t="str">
        <f t="shared" si="106"/>
        <v/>
      </c>
      <c r="M339" s="36" t="str">
        <f t="shared" si="107"/>
        <v/>
      </c>
      <c r="N339" s="37" t="str">
        <f t="shared" si="108"/>
        <v/>
      </c>
      <c r="O339" s="37" t="str">
        <f t="shared" si="109"/>
        <v/>
      </c>
      <c r="P339" s="38" t="str">
        <f t="shared" si="110"/>
        <v/>
      </c>
      <c r="Q339" s="39" t="str">
        <f t="shared" si="111"/>
        <v/>
      </c>
      <c r="R339" s="39" t="str">
        <f t="shared" si="112"/>
        <v/>
      </c>
      <c r="S339" t="str">
        <f t="shared" si="113"/>
        <v/>
      </c>
      <c r="T339" s="39" t="str">
        <f t="shared" si="114"/>
        <v/>
      </c>
      <c r="U339" t="str">
        <f t="shared" si="115"/>
        <v/>
      </c>
      <c r="V339" t="str">
        <f>IF(L339="","",IF($AO$1=1,IFERROR(MATCH(L339,'11-تشرين الثاني'!$L$2:$L$501,0),0),0))</f>
        <v/>
      </c>
      <c r="W339" t="str">
        <f t="shared" si="116"/>
        <v/>
      </c>
      <c r="X339" s="38" t="str">
        <f>IF(L339="","",IF(V339&gt;0,INDEX('11-تشرين الثاني'!$P$2:$P$501,V339),IF($AO$1=1,0,"")))</f>
        <v/>
      </c>
      <c r="Y339" s="38" t="str">
        <f t="shared" si="117"/>
        <v/>
      </c>
      <c r="Z339" s="39" t="str">
        <f>IF(L339="","",IF(V339&gt;0,INDEX('11-تشرين الثاني'!$Q$2:$Q$501,V339),IF($AO$1=1,0,"")))</f>
        <v/>
      </c>
      <c r="AA339" s="39" t="str">
        <f t="shared" si="118"/>
        <v/>
      </c>
      <c r="AB339" s="40" t="str">
        <f>IF(OR(L339="",V339=0),"",IF(AND(N(I339)&gt;0,N(INDEX('11-تشرين الثاني'!$I$2:$I$501,V339))&gt;0,INDEX('11-تشرين الثاني'!$F$2:$F$501,V339)=F339),N(I339)/N(INDEX('11-تشرين الثاني'!$I$2:$I$501,V339))-1,""))</f>
        <v/>
      </c>
      <c r="AC339" t="str">
        <f t="shared" si="119"/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20"/>
        <v/>
      </c>
      <c r="AH339" s="39" t="str">
        <f t="shared" si="121"/>
        <v/>
      </c>
      <c r="AI339" s="39" t="str">
        <f t="shared" si="122"/>
        <v/>
      </c>
      <c r="AJ339" s="39" t="str">
        <f t="shared" si="123"/>
        <v/>
      </c>
      <c r="AK339" t="str">
        <f t="shared" si="124"/>
        <v/>
      </c>
      <c r="AL339" t="str">
        <f t="shared" si="125"/>
        <v/>
      </c>
    </row>
    <row r="340" spans="11:38" ht="15">
      <c r="K340" t="str">
        <f t="shared" si="105"/>
        <v/>
      </c>
      <c r="L340" t="str">
        <f t="shared" si="106"/>
        <v/>
      </c>
      <c r="M340" s="36" t="str">
        <f t="shared" si="107"/>
        <v/>
      </c>
      <c r="N340" s="37" t="str">
        <f t="shared" si="108"/>
        <v/>
      </c>
      <c r="O340" s="37" t="str">
        <f t="shared" si="109"/>
        <v/>
      </c>
      <c r="P340" s="38" t="str">
        <f t="shared" si="110"/>
        <v/>
      </c>
      <c r="Q340" s="39" t="str">
        <f t="shared" si="111"/>
        <v/>
      </c>
      <c r="R340" s="39" t="str">
        <f t="shared" si="112"/>
        <v/>
      </c>
      <c r="S340" t="str">
        <f t="shared" si="113"/>
        <v/>
      </c>
      <c r="T340" s="39" t="str">
        <f t="shared" si="114"/>
        <v/>
      </c>
      <c r="U340" t="str">
        <f t="shared" si="115"/>
        <v/>
      </c>
      <c r="V340" t="str">
        <f>IF(L340="","",IF($AO$1=1,IFERROR(MATCH(L340,'11-تشرين الثاني'!$L$2:$L$501,0),0),0))</f>
        <v/>
      </c>
      <c r="W340" t="str">
        <f t="shared" si="116"/>
        <v/>
      </c>
      <c r="X340" s="38" t="str">
        <f>IF(L340="","",IF(V340&gt;0,INDEX('11-تشرين الثاني'!$P$2:$P$501,V340),IF($AO$1=1,0,"")))</f>
        <v/>
      </c>
      <c r="Y340" s="38" t="str">
        <f t="shared" si="117"/>
        <v/>
      </c>
      <c r="Z340" s="39" t="str">
        <f>IF(L340="","",IF(V340&gt;0,INDEX('11-تشرين الثاني'!$Q$2:$Q$501,V340),IF($AO$1=1,0,"")))</f>
        <v/>
      </c>
      <c r="AA340" s="39" t="str">
        <f t="shared" si="118"/>
        <v/>
      </c>
      <c r="AB340" s="40" t="str">
        <f>IF(OR(L340="",V340=0),"",IF(AND(N(I340)&gt;0,N(INDEX('11-تشرين الثاني'!$I$2:$I$501,V340))&gt;0,INDEX('11-تشرين الثاني'!$F$2:$F$501,V340)=F340),N(I340)/N(INDEX('11-تشرين الثاني'!$I$2:$I$501,V340))-1,""))</f>
        <v/>
      </c>
      <c r="AC340" t="str">
        <f t="shared" si="119"/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20"/>
        <v/>
      </c>
      <c r="AH340" s="39" t="str">
        <f t="shared" si="121"/>
        <v/>
      </c>
      <c r="AI340" s="39" t="str">
        <f t="shared" si="122"/>
        <v/>
      </c>
      <c r="AJ340" s="39" t="str">
        <f t="shared" si="123"/>
        <v/>
      </c>
      <c r="AK340" t="str">
        <f t="shared" si="124"/>
        <v/>
      </c>
      <c r="AL340" t="str">
        <f t="shared" si="125"/>
        <v/>
      </c>
    </row>
    <row r="341" spans="11:38" ht="15">
      <c r="K341" t="str">
        <f t="shared" si="105"/>
        <v/>
      </c>
      <c r="L341" t="str">
        <f t="shared" si="106"/>
        <v/>
      </c>
      <c r="M341" s="36" t="str">
        <f t="shared" si="107"/>
        <v/>
      </c>
      <c r="N341" s="37" t="str">
        <f t="shared" si="108"/>
        <v/>
      </c>
      <c r="O341" s="37" t="str">
        <f t="shared" si="109"/>
        <v/>
      </c>
      <c r="P341" s="38" t="str">
        <f t="shared" si="110"/>
        <v/>
      </c>
      <c r="Q341" s="39" t="str">
        <f t="shared" si="111"/>
        <v/>
      </c>
      <c r="R341" s="39" t="str">
        <f t="shared" si="112"/>
        <v/>
      </c>
      <c r="S341" t="str">
        <f t="shared" si="113"/>
        <v/>
      </c>
      <c r="T341" s="39" t="str">
        <f t="shared" si="114"/>
        <v/>
      </c>
      <c r="U341" t="str">
        <f t="shared" si="115"/>
        <v/>
      </c>
      <c r="V341" t="str">
        <f>IF(L341="","",IF($AO$1=1,IFERROR(MATCH(L341,'11-تشرين الثاني'!$L$2:$L$501,0),0),0))</f>
        <v/>
      </c>
      <c r="W341" t="str">
        <f t="shared" si="116"/>
        <v/>
      </c>
      <c r="X341" s="38" t="str">
        <f>IF(L341="","",IF(V341&gt;0,INDEX('11-تشرين الثاني'!$P$2:$P$501,V341),IF($AO$1=1,0,"")))</f>
        <v/>
      </c>
      <c r="Y341" s="38" t="str">
        <f t="shared" si="117"/>
        <v/>
      </c>
      <c r="Z341" s="39" t="str">
        <f>IF(L341="","",IF(V341&gt;0,INDEX('11-تشرين الثاني'!$Q$2:$Q$501,V341),IF($AO$1=1,0,"")))</f>
        <v/>
      </c>
      <c r="AA341" s="39" t="str">
        <f t="shared" si="118"/>
        <v/>
      </c>
      <c r="AB341" s="40" t="str">
        <f>IF(OR(L341="",V341=0),"",IF(AND(N(I341)&gt;0,N(INDEX('11-تشرين الثاني'!$I$2:$I$501,V341))&gt;0,INDEX('11-تشرين الثاني'!$F$2:$F$501,V341)=F341),N(I341)/N(INDEX('11-تشرين الثاني'!$I$2:$I$501,V341))-1,""))</f>
        <v/>
      </c>
      <c r="AC341" t="str">
        <f t="shared" si="119"/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20"/>
        <v/>
      </c>
      <c r="AH341" s="39" t="str">
        <f t="shared" si="121"/>
        <v/>
      </c>
      <c r="AI341" s="39" t="str">
        <f t="shared" si="122"/>
        <v/>
      </c>
      <c r="AJ341" s="39" t="str">
        <f t="shared" si="123"/>
        <v/>
      </c>
      <c r="AK341" t="str">
        <f t="shared" si="124"/>
        <v/>
      </c>
      <c r="AL341" t="str">
        <f t="shared" si="125"/>
        <v/>
      </c>
    </row>
    <row r="342" spans="11:38" ht="15">
      <c r="K342" t="str">
        <f t="shared" si="105"/>
        <v/>
      </c>
      <c r="L342" t="str">
        <f t="shared" si="106"/>
        <v/>
      </c>
      <c r="M342" s="36" t="str">
        <f t="shared" si="107"/>
        <v/>
      </c>
      <c r="N342" s="37" t="str">
        <f t="shared" si="108"/>
        <v/>
      </c>
      <c r="O342" s="37" t="str">
        <f t="shared" si="109"/>
        <v/>
      </c>
      <c r="P342" s="38" t="str">
        <f t="shared" si="110"/>
        <v/>
      </c>
      <c r="Q342" s="39" t="str">
        <f t="shared" si="111"/>
        <v/>
      </c>
      <c r="R342" s="39" t="str">
        <f t="shared" si="112"/>
        <v/>
      </c>
      <c r="S342" t="str">
        <f t="shared" si="113"/>
        <v/>
      </c>
      <c r="T342" s="39" t="str">
        <f t="shared" si="114"/>
        <v/>
      </c>
      <c r="U342" t="str">
        <f t="shared" si="115"/>
        <v/>
      </c>
      <c r="V342" t="str">
        <f>IF(L342="","",IF($AO$1=1,IFERROR(MATCH(L342,'11-تشرين الثاني'!$L$2:$L$501,0),0),0))</f>
        <v/>
      </c>
      <c r="W342" t="str">
        <f t="shared" si="116"/>
        <v/>
      </c>
      <c r="X342" s="38" t="str">
        <f>IF(L342="","",IF(V342&gt;0,INDEX('11-تشرين الثاني'!$P$2:$P$501,V342),IF($AO$1=1,0,"")))</f>
        <v/>
      </c>
      <c r="Y342" s="38" t="str">
        <f t="shared" si="117"/>
        <v/>
      </c>
      <c r="Z342" s="39" t="str">
        <f>IF(L342="","",IF(V342&gt;0,INDEX('11-تشرين الثاني'!$Q$2:$Q$501,V342),IF($AO$1=1,0,"")))</f>
        <v/>
      </c>
      <c r="AA342" s="39" t="str">
        <f t="shared" si="118"/>
        <v/>
      </c>
      <c r="AB342" s="40" t="str">
        <f>IF(OR(L342="",V342=0),"",IF(AND(N(I342)&gt;0,N(INDEX('11-تشرين الثاني'!$I$2:$I$501,V342))&gt;0,INDEX('11-تشرين الثاني'!$F$2:$F$501,V342)=F342),N(I342)/N(INDEX('11-تشرين الثاني'!$I$2:$I$501,V342))-1,""))</f>
        <v/>
      </c>
      <c r="AC342" t="str">
        <f t="shared" si="119"/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20"/>
        <v/>
      </c>
      <c r="AH342" s="39" t="str">
        <f t="shared" si="121"/>
        <v/>
      </c>
      <c r="AI342" s="39" t="str">
        <f t="shared" si="122"/>
        <v/>
      </c>
      <c r="AJ342" s="39" t="str">
        <f t="shared" si="123"/>
        <v/>
      </c>
      <c r="AK342" t="str">
        <f t="shared" si="124"/>
        <v/>
      </c>
      <c r="AL342" t="str">
        <f t="shared" si="125"/>
        <v/>
      </c>
    </row>
    <row r="343" spans="11:38" ht="15">
      <c r="K343" t="str">
        <f t="shared" si="105"/>
        <v/>
      </c>
      <c r="L343" t="str">
        <f t="shared" si="106"/>
        <v/>
      </c>
      <c r="M343" s="36" t="str">
        <f t="shared" si="107"/>
        <v/>
      </c>
      <c r="N343" s="37" t="str">
        <f t="shared" si="108"/>
        <v/>
      </c>
      <c r="O343" s="37" t="str">
        <f t="shared" si="109"/>
        <v/>
      </c>
      <c r="P343" s="38" t="str">
        <f t="shared" si="110"/>
        <v/>
      </c>
      <c r="Q343" s="39" t="str">
        <f t="shared" si="111"/>
        <v/>
      </c>
      <c r="R343" s="39" t="str">
        <f t="shared" si="112"/>
        <v/>
      </c>
      <c r="S343" t="str">
        <f t="shared" si="113"/>
        <v/>
      </c>
      <c r="T343" s="39" t="str">
        <f t="shared" si="114"/>
        <v/>
      </c>
      <c r="U343" t="str">
        <f t="shared" si="115"/>
        <v/>
      </c>
      <c r="V343" t="str">
        <f>IF(L343="","",IF($AO$1=1,IFERROR(MATCH(L343,'11-تشرين الثاني'!$L$2:$L$501,0),0),0))</f>
        <v/>
      </c>
      <c r="W343" t="str">
        <f t="shared" si="116"/>
        <v/>
      </c>
      <c r="X343" s="38" t="str">
        <f>IF(L343="","",IF(V343&gt;0,INDEX('11-تشرين الثاني'!$P$2:$P$501,V343),IF($AO$1=1,0,"")))</f>
        <v/>
      </c>
      <c r="Y343" s="38" t="str">
        <f t="shared" si="117"/>
        <v/>
      </c>
      <c r="Z343" s="39" t="str">
        <f>IF(L343="","",IF(V343&gt;0,INDEX('11-تشرين الثاني'!$Q$2:$Q$501,V343),IF($AO$1=1,0,"")))</f>
        <v/>
      </c>
      <c r="AA343" s="39" t="str">
        <f t="shared" si="118"/>
        <v/>
      </c>
      <c r="AB343" s="40" t="str">
        <f>IF(OR(L343="",V343=0),"",IF(AND(N(I343)&gt;0,N(INDEX('11-تشرين الثاني'!$I$2:$I$501,V343))&gt;0,INDEX('11-تشرين الثاني'!$F$2:$F$501,V343)=F343),N(I343)/N(INDEX('11-تشرين الثاني'!$I$2:$I$501,V343))-1,""))</f>
        <v/>
      </c>
      <c r="AC343" t="str">
        <f t="shared" si="119"/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20"/>
        <v/>
      </c>
      <c r="AH343" s="39" t="str">
        <f t="shared" si="121"/>
        <v/>
      </c>
      <c r="AI343" s="39" t="str">
        <f t="shared" si="122"/>
        <v/>
      </c>
      <c r="AJ343" s="39" t="str">
        <f t="shared" si="123"/>
        <v/>
      </c>
      <c r="AK343" t="str">
        <f t="shared" si="124"/>
        <v/>
      </c>
      <c r="AL343" t="str">
        <f t="shared" si="125"/>
        <v/>
      </c>
    </row>
    <row r="344" spans="11:38" ht="15">
      <c r="K344" t="str">
        <f t="shared" si="105"/>
        <v/>
      </c>
      <c r="L344" t="str">
        <f t="shared" si="106"/>
        <v/>
      </c>
      <c r="M344" s="36" t="str">
        <f t="shared" si="107"/>
        <v/>
      </c>
      <c r="N344" s="37" t="str">
        <f t="shared" si="108"/>
        <v/>
      </c>
      <c r="O344" s="37" t="str">
        <f t="shared" si="109"/>
        <v/>
      </c>
      <c r="P344" s="38" t="str">
        <f t="shared" si="110"/>
        <v/>
      </c>
      <c r="Q344" s="39" t="str">
        <f t="shared" si="111"/>
        <v/>
      </c>
      <c r="R344" s="39" t="str">
        <f t="shared" si="112"/>
        <v/>
      </c>
      <c r="S344" t="str">
        <f t="shared" si="113"/>
        <v/>
      </c>
      <c r="T344" s="39" t="str">
        <f t="shared" si="114"/>
        <v/>
      </c>
      <c r="U344" t="str">
        <f t="shared" si="115"/>
        <v/>
      </c>
      <c r="V344" t="str">
        <f>IF(L344="","",IF($AO$1=1,IFERROR(MATCH(L344,'11-تشرين الثاني'!$L$2:$L$501,0),0),0))</f>
        <v/>
      </c>
      <c r="W344" t="str">
        <f t="shared" si="116"/>
        <v/>
      </c>
      <c r="X344" s="38" t="str">
        <f>IF(L344="","",IF(V344&gt;0,INDEX('11-تشرين الثاني'!$P$2:$P$501,V344),IF($AO$1=1,0,"")))</f>
        <v/>
      </c>
      <c r="Y344" s="38" t="str">
        <f t="shared" si="117"/>
        <v/>
      </c>
      <c r="Z344" s="39" t="str">
        <f>IF(L344="","",IF(V344&gt;0,INDEX('11-تشرين الثاني'!$Q$2:$Q$501,V344),IF($AO$1=1,0,"")))</f>
        <v/>
      </c>
      <c r="AA344" s="39" t="str">
        <f t="shared" si="118"/>
        <v/>
      </c>
      <c r="AB344" s="40" t="str">
        <f>IF(OR(L344="",V344=0),"",IF(AND(N(I344)&gt;0,N(INDEX('11-تشرين الثاني'!$I$2:$I$501,V344))&gt;0,INDEX('11-تشرين الثاني'!$F$2:$F$501,V344)=F344),N(I344)/N(INDEX('11-تشرين الثاني'!$I$2:$I$501,V344))-1,""))</f>
        <v/>
      </c>
      <c r="AC344" t="str">
        <f t="shared" si="119"/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20"/>
        <v/>
      </c>
      <c r="AH344" s="39" t="str">
        <f t="shared" si="121"/>
        <v/>
      </c>
      <c r="AI344" s="39" t="str">
        <f t="shared" si="122"/>
        <v/>
      </c>
      <c r="AJ344" s="39" t="str">
        <f t="shared" si="123"/>
        <v/>
      </c>
      <c r="AK344" t="str">
        <f t="shared" si="124"/>
        <v/>
      </c>
      <c r="AL344" t="str">
        <f t="shared" si="125"/>
        <v/>
      </c>
    </row>
    <row r="345" spans="11:38" ht="15">
      <c r="K345" t="str">
        <f t="shared" si="105"/>
        <v/>
      </c>
      <c r="L345" t="str">
        <f t="shared" si="106"/>
        <v/>
      </c>
      <c r="M345" s="36" t="str">
        <f t="shared" si="107"/>
        <v/>
      </c>
      <c r="N345" s="37" t="str">
        <f t="shared" si="108"/>
        <v/>
      </c>
      <c r="O345" s="37" t="str">
        <f t="shared" si="109"/>
        <v/>
      </c>
      <c r="P345" s="38" t="str">
        <f t="shared" si="110"/>
        <v/>
      </c>
      <c r="Q345" s="39" t="str">
        <f t="shared" si="111"/>
        <v/>
      </c>
      <c r="R345" s="39" t="str">
        <f t="shared" si="112"/>
        <v/>
      </c>
      <c r="S345" t="str">
        <f t="shared" si="113"/>
        <v/>
      </c>
      <c r="T345" s="39" t="str">
        <f t="shared" si="114"/>
        <v/>
      </c>
      <c r="U345" t="str">
        <f t="shared" si="115"/>
        <v/>
      </c>
      <c r="V345" t="str">
        <f>IF(L345="","",IF($AO$1=1,IFERROR(MATCH(L345,'11-تشرين الثاني'!$L$2:$L$501,0),0),0))</f>
        <v/>
      </c>
      <c r="W345" t="str">
        <f t="shared" si="116"/>
        <v/>
      </c>
      <c r="X345" s="38" t="str">
        <f>IF(L345="","",IF(V345&gt;0,INDEX('11-تشرين الثاني'!$P$2:$P$501,V345),IF($AO$1=1,0,"")))</f>
        <v/>
      </c>
      <c r="Y345" s="38" t="str">
        <f t="shared" si="117"/>
        <v/>
      </c>
      <c r="Z345" s="39" t="str">
        <f>IF(L345="","",IF(V345&gt;0,INDEX('11-تشرين الثاني'!$Q$2:$Q$501,V345),IF($AO$1=1,0,"")))</f>
        <v/>
      </c>
      <c r="AA345" s="39" t="str">
        <f t="shared" si="118"/>
        <v/>
      </c>
      <c r="AB345" s="40" t="str">
        <f>IF(OR(L345="",V345=0),"",IF(AND(N(I345)&gt;0,N(INDEX('11-تشرين الثاني'!$I$2:$I$501,V345))&gt;0,INDEX('11-تشرين الثاني'!$F$2:$F$501,V345)=F345),N(I345)/N(INDEX('11-تشرين الثاني'!$I$2:$I$501,V345))-1,""))</f>
        <v/>
      </c>
      <c r="AC345" t="str">
        <f t="shared" si="119"/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20"/>
        <v/>
      </c>
      <c r="AH345" s="39" t="str">
        <f t="shared" si="121"/>
        <v/>
      </c>
      <c r="AI345" s="39" t="str">
        <f t="shared" si="122"/>
        <v/>
      </c>
      <c r="AJ345" s="39" t="str">
        <f t="shared" si="123"/>
        <v/>
      </c>
      <c r="AK345" t="str">
        <f t="shared" si="124"/>
        <v/>
      </c>
      <c r="AL345" t="str">
        <f t="shared" si="125"/>
        <v/>
      </c>
    </row>
    <row r="346" spans="11:38" ht="15">
      <c r="K346" t="str">
        <f t="shared" si="105"/>
        <v/>
      </c>
      <c r="L346" t="str">
        <f t="shared" si="106"/>
        <v/>
      </c>
      <c r="M346" s="36" t="str">
        <f t="shared" si="107"/>
        <v/>
      </c>
      <c r="N346" s="37" t="str">
        <f t="shared" si="108"/>
        <v/>
      </c>
      <c r="O346" s="37" t="str">
        <f t="shared" si="109"/>
        <v/>
      </c>
      <c r="P346" s="38" t="str">
        <f t="shared" si="110"/>
        <v/>
      </c>
      <c r="Q346" s="39" t="str">
        <f t="shared" si="111"/>
        <v/>
      </c>
      <c r="R346" s="39" t="str">
        <f t="shared" si="112"/>
        <v/>
      </c>
      <c r="S346" t="str">
        <f t="shared" si="113"/>
        <v/>
      </c>
      <c r="T346" s="39" t="str">
        <f t="shared" si="114"/>
        <v/>
      </c>
      <c r="U346" t="str">
        <f t="shared" si="115"/>
        <v/>
      </c>
      <c r="V346" t="str">
        <f>IF(L346="","",IF($AO$1=1,IFERROR(MATCH(L346,'11-تشرين الثاني'!$L$2:$L$501,0),0),0))</f>
        <v/>
      </c>
      <c r="W346" t="str">
        <f t="shared" si="116"/>
        <v/>
      </c>
      <c r="X346" s="38" t="str">
        <f>IF(L346="","",IF(V346&gt;0,INDEX('11-تشرين الثاني'!$P$2:$P$501,V346),IF($AO$1=1,0,"")))</f>
        <v/>
      </c>
      <c r="Y346" s="38" t="str">
        <f t="shared" si="117"/>
        <v/>
      </c>
      <c r="Z346" s="39" t="str">
        <f>IF(L346="","",IF(V346&gt;0,INDEX('11-تشرين الثاني'!$Q$2:$Q$501,V346),IF($AO$1=1,0,"")))</f>
        <v/>
      </c>
      <c r="AA346" s="39" t="str">
        <f t="shared" si="118"/>
        <v/>
      </c>
      <c r="AB346" s="40" t="str">
        <f>IF(OR(L346="",V346=0),"",IF(AND(N(I346)&gt;0,N(INDEX('11-تشرين الثاني'!$I$2:$I$501,V346))&gt;0,INDEX('11-تشرين الثاني'!$F$2:$F$501,V346)=F346),N(I346)/N(INDEX('11-تشرين الثاني'!$I$2:$I$501,V346))-1,""))</f>
        <v/>
      </c>
      <c r="AC346" t="str">
        <f t="shared" si="119"/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20"/>
        <v/>
      </c>
      <c r="AH346" s="39" t="str">
        <f t="shared" si="121"/>
        <v/>
      </c>
      <c r="AI346" s="39" t="str">
        <f t="shared" si="122"/>
        <v/>
      </c>
      <c r="AJ346" s="39" t="str">
        <f t="shared" si="123"/>
        <v/>
      </c>
      <c r="AK346" t="str">
        <f t="shared" si="124"/>
        <v/>
      </c>
      <c r="AL346" t="str">
        <f t="shared" si="125"/>
        <v/>
      </c>
    </row>
    <row r="347" spans="11:38" ht="15">
      <c r="K347" t="str">
        <f t="shared" si="105"/>
        <v/>
      </c>
      <c r="L347" t="str">
        <f t="shared" si="106"/>
        <v/>
      </c>
      <c r="M347" s="36" t="str">
        <f t="shared" si="107"/>
        <v/>
      </c>
      <c r="N347" s="37" t="str">
        <f t="shared" si="108"/>
        <v/>
      </c>
      <c r="O347" s="37" t="str">
        <f t="shared" si="109"/>
        <v/>
      </c>
      <c r="P347" s="38" t="str">
        <f t="shared" si="110"/>
        <v/>
      </c>
      <c r="Q347" s="39" t="str">
        <f t="shared" si="111"/>
        <v/>
      </c>
      <c r="R347" s="39" t="str">
        <f t="shared" si="112"/>
        <v/>
      </c>
      <c r="S347" t="str">
        <f t="shared" si="113"/>
        <v/>
      </c>
      <c r="T347" s="39" t="str">
        <f t="shared" si="114"/>
        <v/>
      </c>
      <c r="U347" t="str">
        <f t="shared" si="115"/>
        <v/>
      </c>
      <c r="V347" t="str">
        <f>IF(L347="","",IF($AO$1=1,IFERROR(MATCH(L347,'11-تشرين الثاني'!$L$2:$L$501,0),0),0))</f>
        <v/>
      </c>
      <c r="W347" t="str">
        <f t="shared" si="116"/>
        <v/>
      </c>
      <c r="X347" s="38" t="str">
        <f>IF(L347="","",IF(V347&gt;0,INDEX('11-تشرين الثاني'!$P$2:$P$501,V347),IF($AO$1=1,0,"")))</f>
        <v/>
      </c>
      <c r="Y347" s="38" t="str">
        <f t="shared" si="117"/>
        <v/>
      </c>
      <c r="Z347" s="39" t="str">
        <f>IF(L347="","",IF(V347&gt;0,INDEX('11-تشرين الثاني'!$Q$2:$Q$501,V347),IF($AO$1=1,0,"")))</f>
        <v/>
      </c>
      <c r="AA347" s="39" t="str">
        <f t="shared" si="118"/>
        <v/>
      </c>
      <c r="AB347" s="40" t="str">
        <f>IF(OR(L347="",V347=0),"",IF(AND(N(I347)&gt;0,N(INDEX('11-تشرين الثاني'!$I$2:$I$501,V347))&gt;0,INDEX('11-تشرين الثاني'!$F$2:$F$501,V347)=F347),N(I347)/N(INDEX('11-تشرين الثاني'!$I$2:$I$501,V347))-1,""))</f>
        <v/>
      </c>
      <c r="AC347" t="str">
        <f t="shared" si="119"/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20"/>
        <v/>
      </c>
      <c r="AH347" s="39" t="str">
        <f t="shared" si="121"/>
        <v/>
      </c>
      <c r="AI347" s="39" t="str">
        <f t="shared" si="122"/>
        <v/>
      </c>
      <c r="AJ347" s="39" t="str">
        <f t="shared" si="123"/>
        <v/>
      </c>
      <c r="AK347" t="str">
        <f t="shared" si="124"/>
        <v/>
      </c>
      <c r="AL347" t="str">
        <f t="shared" si="125"/>
        <v/>
      </c>
    </row>
    <row r="348" spans="11:38" ht="15">
      <c r="K348" t="str">
        <f t="shared" si="105"/>
        <v/>
      </c>
      <c r="L348" t="str">
        <f t="shared" si="106"/>
        <v/>
      </c>
      <c r="M348" s="36" t="str">
        <f t="shared" si="107"/>
        <v/>
      </c>
      <c r="N348" s="37" t="str">
        <f t="shared" si="108"/>
        <v/>
      </c>
      <c r="O348" s="37" t="str">
        <f t="shared" si="109"/>
        <v/>
      </c>
      <c r="P348" s="38" t="str">
        <f t="shared" si="110"/>
        <v/>
      </c>
      <c r="Q348" s="39" t="str">
        <f t="shared" si="111"/>
        <v/>
      </c>
      <c r="R348" s="39" t="str">
        <f t="shared" si="112"/>
        <v/>
      </c>
      <c r="S348" t="str">
        <f t="shared" si="113"/>
        <v/>
      </c>
      <c r="T348" s="39" t="str">
        <f t="shared" si="114"/>
        <v/>
      </c>
      <c r="U348" t="str">
        <f t="shared" si="115"/>
        <v/>
      </c>
      <c r="V348" t="str">
        <f>IF(L348="","",IF($AO$1=1,IFERROR(MATCH(L348,'11-تشرين الثاني'!$L$2:$L$501,0),0),0))</f>
        <v/>
      </c>
      <c r="W348" t="str">
        <f t="shared" si="116"/>
        <v/>
      </c>
      <c r="X348" s="38" t="str">
        <f>IF(L348="","",IF(V348&gt;0,INDEX('11-تشرين الثاني'!$P$2:$P$501,V348),IF($AO$1=1,0,"")))</f>
        <v/>
      </c>
      <c r="Y348" s="38" t="str">
        <f t="shared" si="117"/>
        <v/>
      </c>
      <c r="Z348" s="39" t="str">
        <f>IF(L348="","",IF(V348&gt;0,INDEX('11-تشرين الثاني'!$Q$2:$Q$501,V348),IF($AO$1=1,0,"")))</f>
        <v/>
      </c>
      <c r="AA348" s="39" t="str">
        <f t="shared" si="118"/>
        <v/>
      </c>
      <c r="AB348" s="40" t="str">
        <f>IF(OR(L348="",V348=0),"",IF(AND(N(I348)&gt;0,N(INDEX('11-تشرين الثاني'!$I$2:$I$501,V348))&gt;0,INDEX('11-تشرين الثاني'!$F$2:$F$501,V348)=F348),N(I348)/N(INDEX('11-تشرين الثاني'!$I$2:$I$501,V348))-1,""))</f>
        <v/>
      </c>
      <c r="AC348" t="str">
        <f t="shared" si="119"/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20"/>
        <v/>
      </c>
      <c r="AH348" s="39" t="str">
        <f t="shared" si="121"/>
        <v/>
      </c>
      <c r="AI348" s="39" t="str">
        <f t="shared" si="122"/>
        <v/>
      </c>
      <c r="AJ348" s="39" t="str">
        <f t="shared" si="123"/>
        <v/>
      </c>
      <c r="AK348" t="str">
        <f t="shared" si="124"/>
        <v/>
      </c>
      <c r="AL348" t="str">
        <f t="shared" si="125"/>
        <v/>
      </c>
    </row>
    <row r="349" spans="11:38" ht="15">
      <c r="K349" t="str">
        <f t="shared" si="105"/>
        <v/>
      </c>
      <c r="L349" t="str">
        <f t="shared" si="106"/>
        <v/>
      </c>
      <c r="M349" s="36" t="str">
        <f t="shared" si="107"/>
        <v/>
      </c>
      <c r="N349" s="37" t="str">
        <f t="shared" si="108"/>
        <v/>
      </c>
      <c r="O349" s="37" t="str">
        <f t="shared" si="109"/>
        <v/>
      </c>
      <c r="P349" s="38" t="str">
        <f t="shared" si="110"/>
        <v/>
      </c>
      <c r="Q349" s="39" t="str">
        <f t="shared" si="111"/>
        <v/>
      </c>
      <c r="R349" s="39" t="str">
        <f t="shared" si="112"/>
        <v/>
      </c>
      <c r="S349" t="str">
        <f t="shared" si="113"/>
        <v/>
      </c>
      <c r="T349" s="39" t="str">
        <f t="shared" si="114"/>
        <v/>
      </c>
      <c r="U349" t="str">
        <f t="shared" si="115"/>
        <v/>
      </c>
      <c r="V349" t="str">
        <f>IF(L349="","",IF($AO$1=1,IFERROR(MATCH(L349,'11-تشرين الثاني'!$L$2:$L$501,0),0),0))</f>
        <v/>
      </c>
      <c r="W349" t="str">
        <f t="shared" si="116"/>
        <v/>
      </c>
      <c r="X349" s="38" t="str">
        <f>IF(L349="","",IF(V349&gt;0,INDEX('11-تشرين الثاني'!$P$2:$P$501,V349),IF($AO$1=1,0,"")))</f>
        <v/>
      </c>
      <c r="Y349" s="38" t="str">
        <f t="shared" si="117"/>
        <v/>
      </c>
      <c r="Z349" s="39" t="str">
        <f>IF(L349="","",IF(V349&gt;0,INDEX('11-تشرين الثاني'!$Q$2:$Q$501,V349),IF($AO$1=1,0,"")))</f>
        <v/>
      </c>
      <c r="AA349" s="39" t="str">
        <f t="shared" si="118"/>
        <v/>
      </c>
      <c r="AB349" s="40" t="str">
        <f>IF(OR(L349="",V349=0),"",IF(AND(N(I349)&gt;0,N(INDEX('11-تشرين الثاني'!$I$2:$I$501,V349))&gt;0,INDEX('11-تشرين الثاني'!$F$2:$F$501,V349)=F349),N(I349)/N(INDEX('11-تشرين الثاني'!$I$2:$I$501,V349))-1,""))</f>
        <v/>
      </c>
      <c r="AC349" t="str">
        <f t="shared" si="119"/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20"/>
        <v/>
      </c>
      <c r="AH349" s="39" t="str">
        <f t="shared" si="121"/>
        <v/>
      </c>
      <c r="AI349" s="39" t="str">
        <f t="shared" si="122"/>
        <v/>
      </c>
      <c r="AJ349" s="39" t="str">
        <f t="shared" si="123"/>
        <v/>
      </c>
      <c r="AK349" t="str">
        <f t="shared" si="124"/>
        <v/>
      </c>
      <c r="AL349" t="str">
        <f t="shared" si="125"/>
        <v/>
      </c>
    </row>
    <row r="350" spans="11:38" ht="15">
      <c r="K350" t="str">
        <f t="shared" si="105"/>
        <v/>
      </c>
      <c r="L350" t="str">
        <f t="shared" si="106"/>
        <v/>
      </c>
      <c r="M350" s="36" t="str">
        <f t="shared" si="107"/>
        <v/>
      </c>
      <c r="N350" s="37" t="str">
        <f t="shared" si="108"/>
        <v/>
      </c>
      <c r="O350" s="37" t="str">
        <f t="shared" si="109"/>
        <v/>
      </c>
      <c r="P350" s="38" t="str">
        <f t="shared" si="110"/>
        <v/>
      </c>
      <c r="Q350" s="39" t="str">
        <f t="shared" si="111"/>
        <v/>
      </c>
      <c r="R350" s="39" t="str">
        <f t="shared" si="112"/>
        <v/>
      </c>
      <c r="S350" t="str">
        <f t="shared" si="113"/>
        <v/>
      </c>
      <c r="T350" s="39" t="str">
        <f t="shared" si="114"/>
        <v/>
      </c>
      <c r="U350" t="str">
        <f t="shared" si="115"/>
        <v/>
      </c>
      <c r="V350" t="str">
        <f>IF(L350="","",IF($AO$1=1,IFERROR(MATCH(L350,'11-تشرين الثاني'!$L$2:$L$501,0),0),0))</f>
        <v/>
      </c>
      <c r="W350" t="str">
        <f t="shared" si="116"/>
        <v/>
      </c>
      <c r="X350" s="38" t="str">
        <f>IF(L350="","",IF(V350&gt;0,INDEX('11-تشرين الثاني'!$P$2:$P$501,V350),IF($AO$1=1,0,"")))</f>
        <v/>
      </c>
      <c r="Y350" s="38" t="str">
        <f t="shared" si="117"/>
        <v/>
      </c>
      <c r="Z350" s="39" t="str">
        <f>IF(L350="","",IF(V350&gt;0,INDEX('11-تشرين الثاني'!$Q$2:$Q$501,V350),IF($AO$1=1,0,"")))</f>
        <v/>
      </c>
      <c r="AA350" s="39" t="str">
        <f t="shared" si="118"/>
        <v/>
      </c>
      <c r="AB350" s="40" t="str">
        <f>IF(OR(L350="",V350=0),"",IF(AND(N(I350)&gt;0,N(INDEX('11-تشرين الثاني'!$I$2:$I$501,V350))&gt;0,INDEX('11-تشرين الثاني'!$F$2:$F$501,V350)=F350),N(I350)/N(INDEX('11-تشرين الثاني'!$I$2:$I$501,V350))-1,""))</f>
        <v/>
      </c>
      <c r="AC350" t="str">
        <f t="shared" si="119"/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20"/>
        <v/>
      </c>
      <c r="AH350" s="39" t="str">
        <f t="shared" si="121"/>
        <v/>
      </c>
      <c r="AI350" s="39" t="str">
        <f t="shared" si="122"/>
        <v/>
      </c>
      <c r="AJ350" s="39" t="str">
        <f t="shared" si="123"/>
        <v/>
      </c>
      <c r="AK350" t="str">
        <f t="shared" si="124"/>
        <v/>
      </c>
      <c r="AL350" t="str">
        <f t="shared" si="125"/>
        <v/>
      </c>
    </row>
    <row r="351" spans="11:38" ht="15">
      <c r="K351" t="str">
        <f t="shared" si="105"/>
        <v/>
      </c>
      <c r="L351" t="str">
        <f t="shared" si="106"/>
        <v/>
      </c>
      <c r="M351" s="36" t="str">
        <f t="shared" si="107"/>
        <v/>
      </c>
      <c r="N351" s="37" t="str">
        <f t="shared" si="108"/>
        <v/>
      </c>
      <c r="O351" s="37" t="str">
        <f t="shared" si="109"/>
        <v/>
      </c>
      <c r="P351" s="38" t="str">
        <f t="shared" si="110"/>
        <v/>
      </c>
      <c r="Q351" s="39" t="str">
        <f t="shared" si="111"/>
        <v/>
      </c>
      <c r="R351" s="39" t="str">
        <f t="shared" si="112"/>
        <v/>
      </c>
      <c r="S351" t="str">
        <f t="shared" si="113"/>
        <v/>
      </c>
      <c r="T351" s="39" t="str">
        <f t="shared" si="114"/>
        <v/>
      </c>
      <c r="U351" t="str">
        <f t="shared" si="115"/>
        <v/>
      </c>
      <c r="V351" t="str">
        <f>IF(L351="","",IF($AO$1=1,IFERROR(MATCH(L351,'11-تشرين الثاني'!$L$2:$L$501,0),0),0))</f>
        <v/>
      </c>
      <c r="W351" t="str">
        <f t="shared" si="116"/>
        <v/>
      </c>
      <c r="X351" s="38" t="str">
        <f>IF(L351="","",IF(V351&gt;0,INDEX('11-تشرين الثاني'!$P$2:$P$501,V351),IF($AO$1=1,0,"")))</f>
        <v/>
      </c>
      <c r="Y351" s="38" t="str">
        <f t="shared" si="117"/>
        <v/>
      </c>
      <c r="Z351" s="39" t="str">
        <f>IF(L351="","",IF(V351&gt;0,INDEX('11-تشرين الثاني'!$Q$2:$Q$501,V351),IF($AO$1=1,0,"")))</f>
        <v/>
      </c>
      <c r="AA351" s="39" t="str">
        <f t="shared" si="118"/>
        <v/>
      </c>
      <c r="AB351" s="40" t="str">
        <f>IF(OR(L351="",V351=0),"",IF(AND(N(I351)&gt;0,N(INDEX('11-تشرين الثاني'!$I$2:$I$501,V351))&gt;0,INDEX('11-تشرين الثاني'!$F$2:$F$501,V351)=F351),N(I351)/N(INDEX('11-تشرين الثاني'!$I$2:$I$501,V351))-1,""))</f>
        <v/>
      </c>
      <c r="AC351" t="str">
        <f t="shared" si="119"/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20"/>
        <v/>
      </c>
      <c r="AH351" s="39" t="str">
        <f t="shared" si="121"/>
        <v/>
      </c>
      <c r="AI351" s="39" t="str">
        <f t="shared" si="122"/>
        <v/>
      </c>
      <c r="AJ351" s="39" t="str">
        <f t="shared" si="123"/>
        <v/>
      </c>
      <c r="AK351" t="str">
        <f t="shared" si="124"/>
        <v/>
      </c>
      <c r="AL351" t="str">
        <f t="shared" si="125"/>
        <v/>
      </c>
    </row>
    <row r="352" spans="11:38" ht="15">
      <c r="K352" t="str">
        <f t="shared" si="105"/>
        <v/>
      </c>
      <c r="L352" t="str">
        <f t="shared" si="106"/>
        <v/>
      </c>
      <c r="M352" s="36" t="str">
        <f t="shared" si="107"/>
        <v/>
      </c>
      <c r="N352" s="37" t="str">
        <f t="shared" si="108"/>
        <v/>
      </c>
      <c r="O352" s="37" t="str">
        <f t="shared" si="109"/>
        <v/>
      </c>
      <c r="P352" s="38" t="str">
        <f t="shared" si="110"/>
        <v/>
      </c>
      <c r="Q352" s="39" t="str">
        <f t="shared" si="111"/>
        <v/>
      </c>
      <c r="R352" s="39" t="str">
        <f t="shared" si="112"/>
        <v/>
      </c>
      <c r="S352" t="str">
        <f t="shared" si="113"/>
        <v/>
      </c>
      <c r="T352" s="39" t="str">
        <f t="shared" si="114"/>
        <v/>
      </c>
      <c r="U352" t="str">
        <f t="shared" si="115"/>
        <v/>
      </c>
      <c r="V352" t="str">
        <f>IF(L352="","",IF($AO$1=1,IFERROR(MATCH(L352,'11-تشرين الثاني'!$L$2:$L$501,0),0),0))</f>
        <v/>
      </c>
      <c r="W352" t="str">
        <f t="shared" si="116"/>
        <v/>
      </c>
      <c r="X352" s="38" t="str">
        <f>IF(L352="","",IF(V352&gt;0,INDEX('11-تشرين الثاني'!$P$2:$P$501,V352),IF($AO$1=1,0,"")))</f>
        <v/>
      </c>
      <c r="Y352" s="38" t="str">
        <f t="shared" si="117"/>
        <v/>
      </c>
      <c r="Z352" s="39" t="str">
        <f>IF(L352="","",IF(V352&gt;0,INDEX('11-تشرين الثاني'!$Q$2:$Q$501,V352),IF($AO$1=1,0,"")))</f>
        <v/>
      </c>
      <c r="AA352" s="39" t="str">
        <f t="shared" si="118"/>
        <v/>
      </c>
      <c r="AB352" s="40" t="str">
        <f>IF(OR(L352="",V352=0),"",IF(AND(N(I352)&gt;0,N(INDEX('11-تشرين الثاني'!$I$2:$I$501,V352))&gt;0,INDEX('11-تشرين الثاني'!$F$2:$F$501,V352)=F352),N(I352)/N(INDEX('11-تشرين الثاني'!$I$2:$I$501,V352))-1,""))</f>
        <v/>
      </c>
      <c r="AC352" t="str">
        <f t="shared" si="119"/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20"/>
        <v/>
      </c>
      <c r="AH352" s="39" t="str">
        <f t="shared" si="121"/>
        <v/>
      </c>
      <c r="AI352" s="39" t="str">
        <f t="shared" si="122"/>
        <v/>
      </c>
      <c r="AJ352" s="39" t="str">
        <f t="shared" si="123"/>
        <v/>
      </c>
      <c r="AK352" t="str">
        <f t="shared" si="124"/>
        <v/>
      </c>
      <c r="AL352" t="str">
        <f t="shared" si="125"/>
        <v/>
      </c>
    </row>
    <row r="353" spans="11:38" ht="15">
      <c r="K353" t="str">
        <f t="shared" si="105"/>
        <v/>
      </c>
      <c r="L353" t="str">
        <f t="shared" si="106"/>
        <v/>
      </c>
      <c r="M353" s="36" t="str">
        <f t="shared" si="107"/>
        <v/>
      </c>
      <c r="N353" s="37" t="str">
        <f t="shared" si="108"/>
        <v/>
      </c>
      <c r="O353" s="37" t="str">
        <f t="shared" si="109"/>
        <v/>
      </c>
      <c r="P353" s="38" t="str">
        <f t="shared" si="110"/>
        <v/>
      </c>
      <c r="Q353" s="39" t="str">
        <f t="shared" si="111"/>
        <v/>
      </c>
      <c r="R353" s="39" t="str">
        <f t="shared" si="112"/>
        <v/>
      </c>
      <c r="S353" t="str">
        <f t="shared" si="113"/>
        <v/>
      </c>
      <c r="T353" s="39" t="str">
        <f t="shared" si="114"/>
        <v/>
      </c>
      <c r="U353" t="str">
        <f t="shared" si="115"/>
        <v/>
      </c>
      <c r="V353" t="str">
        <f>IF(L353="","",IF($AO$1=1,IFERROR(MATCH(L353,'11-تشرين الثاني'!$L$2:$L$501,0),0),0))</f>
        <v/>
      </c>
      <c r="W353" t="str">
        <f t="shared" si="116"/>
        <v/>
      </c>
      <c r="X353" s="38" t="str">
        <f>IF(L353="","",IF(V353&gt;0,INDEX('11-تشرين الثاني'!$P$2:$P$501,V353),IF($AO$1=1,0,"")))</f>
        <v/>
      </c>
      <c r="Y353" s="38" t="str">
        <f t="shared" si="117"/>
        <v/>
      </c>
      <c r="Z353" s="39" t="str">
        <f>IF(L353="","",IF(V353&gt;0,INDEX('11-تشرين الثاني'!$Q$2:$Q$501,V353),IF($AO$1=1,0,"")))</f>
        <v/>
      </c>
      <c r="AA353" s="39" t="str">
        <f t="shared" si="118"/>
        <v/>
      </c>
      <c r="AB353" s="40" t="str">
        <f>IF(OR(L353="",V353=0),"",IF(AND(N(I353)&gt;0,N(INDEX('11-تشرين الثاني'!$I$2:$I$501,V353))&gt;0,INDEX('11-تشرين الثاني'!$F$2:$F$501,V353)=F353),N(I353)/N(INDEX('11-تشرين الثاني'!$I$2:$I$501,V353))-1,""))</f>
        <v/>
      </c>
      <c r="AC353" t="str">
        <f t="shared" si="119"/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20"/>
        <v/>
      </c>
      <c r="AH353" s="39" t="str">
        <f t="shared" si="121"/>
        <v/>
      </c>
      <c r="AI353" s="39" t="str">
        <f t="shared" si="122"/>
        <v/>
      </c>
      <c r="AJ353" s="39" t="str">
        <f t="shared" si="123"/>
        <v/>
      </c>
      <c r="AK353" t="str">
        <f t="shared" si="124"/>
        <v/>
      </c>
      <c r="AL353" t="str">
        <f t="shared" si="125"/>
        <v/>
      </c>
    </row>
    <row r="354" spans="11:38" ht="15">
      <c r="K354" t="str">
        <f t="shared" si="105"/>
        <v/>
      </c>
      <c r="L354" t="str">
        <f t="shared" si="106"/>
        <v/>
      </c>
      <c r="M354" s="36" t="str">
        <f t="shared" si="107"/>
        <v/>
      </c>
      <c r="N354" s="37" t="str">
        <f t="shared" si="108"/>
        <v/>
      </c>
      <c r="O354" s="37" t="str">
        <f t="shared" si="109"/>
        <v/>
      </c>
      <c r="P354" s="38" t="str">
        <f t="shared" si="110"/>
        <v/>
      </c>
      <c r="Q354" s="39" t="str">
        <f t="shared" si="111"/>
        <v/>
      </c>
      <c r="R354" s="39" t="str">
        <f t="shared" si="112"/>
        <v/>
      </c>
      <c r="S354" t="str">
        <f t="shared" si="113"/>
        <v/>
      </c>
      <c r="T354" s="39" t="str">
        <f t="shared" si="114"/>
        <v/>
      </c>
      <c r="U354" t="str">
        <f t="shared" si="115"/>
        <v/>
      </c>
      <c r="V354" t="str">
        <f>IF(L354="","",IF($AO$1=1,IFERROR(MATCH(L354,'11-تشرين الثاني'!$L$2:$L$501,0),0),0))</f>
        <v/>
      </c>
      <c r="W354" t="str">
        <f t="shared" si="116"/>
        <v/>
      </c>
      <c r="X354" s="38" t="str">
        <f>IF(L354="","",IF(V354&gt;0,INDEX('11-تشرين الثاني'!$P$2:$P$501,V354),IF($AO$1=1,0,"")))</f>
        <v/>
      </c>
      <c r="Y354" s="38" t="str">
        <f t="shared" si="117"/>
        <v/>
      </c>
      <c r="Z354" s="39" t="str">
        <f>IF(L354="","",IF(V354&gt;0,INDEX('11-تشرين الثاني'!$Q$2:$Q$501,V354),IF($AO$1=1,0,"")))</f>
        <v/>
      </c>
      <c r="AA354" s="39" t="str">
        <f t="shared" si="118"/>
        <v/>
      </c>
      <c r="AB354" s="40" t="str">
        <f>IF(OR(L354="",V354=0),"",IF(AND(N(I354)&gt;0,N(INDEX('11-تشرين الثاني'!$I$2:$I$501,V354))&gt;0,INDEX('11-تشرين الثاني'!$F$2:$F$501,V354)=F354),N(I354)/N(INDEX('11-تشرين الثاني'!$I$2:$I$501,V354))-1,""))</f>
        <v/>
      </c>
      <c r="AC354" t="str">
        <f t="shared" si="119"/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20"/>
        <v/>
      </c>
      <c r="AH354" s="39" t="str">
        <f t="shared" si="121"/>
        <v/>
      </c>
      <c r="AI354" s="39" t="str">
        <f t="shared" si="122"/>
        <v/>
      </c>
      <c r="AJ354" s="39" t="str">
        <f t="shared" si="123"/>
        <v/>
      </c>
      <c r="AK354" t="str">
        <f t="shared" si="124"/>
        <v/>
      </c>
      <c r="AL354" t="str">
        <f t="shared" si="125"/>
        <v/>
      </c>
    </row>
    <row r="355" spans="11:38" ht="15">
      <c r="K355" t="str">
        <f t="shared" si="105"/>
        <v/>
      </c>
      <c r="L355" t="str">
        <f t="shared" si="106"/>
        <v/>
      </c>
      <c r="M355" s="36" t="str">
        <f t="shared" si="107"/>
        <v/>
      </c>
      <c r="N355" s="37" t="str">
        <f t="shared" si="108"/>
        <v/>
      </c>
      <c r="O355" s="37" t="str">
        <f t="shared" si="109"/>
        <v/>
      </c>
      <c r="P355" s="38" t="str">
        <f t="shared" si="110"/>
        <v/>
      </c>
      <c r="Q355" s="39" t="str">
        <f t="shared" si="111"/>
        <v/>
      </c>
      <c r="R355" s="39" t="str">
        <f t="shared" si="112"/>
        <v/>
      </c>
      <c r="S355" t="str">
        <f t="shared" si="113"/>
        <v/>
      </c>
      <c r="T355" s="39" t="str">
        <f t="shared" si="114"/>
        <v/>
      </c>
      <c r="U355" t="str">
        <f t="shared" si="115"/>
        <v/>
      </c>
      <c r="V355" t="str">
        <f>IF(L355="","",IF($AO$1=1,IFERROR(MATCH(L355,'11-تشرين الثاني'!$L$2:$L$501,0),0),0))</f>
        <v/>
      </c>
      <c r="W355" t="str">
        <f t="shared" si="116"/>
        <v/>
      </c>
      <c r="X355" s="38" t="str">
        <f>IF(L355="","",IF(V355&gt;0,INDEX('11-تشرين الثاني'!$P$2:$P$501,V355),IF($AO$1=1,0,"")))</f>
        <v/>
      </c>
      <c r="Y355" s="38" t="str">
        <f t="shared" si="117"/>
        <v/>
      </c>
      <c r="Z355" s="39" t="str">
        <f>IF(L355="","",IF(V355&gt;0,INDEX('11-تشرين الثاني'!$Q$2:$Q$501,V355),IF($AO$1=1,0,"")))</f>
        <v/>
      </c>
      <c r="AA355" s="39" t="str">
        <f t="shared" si="118"/>
        <v/>
      </c>
      <c r="AB355" s="40" t="str">
        <f>IF(OR(L355="",V355=0),"",IF(AND(N(I355)&gt;0,N(INDEX('11-تشرين الثاني'!$I$2:$I$501,V355))&gt;0,INDEX('11-تشرين الثاني'!$F$2:$F$501,V355)=F355),N(I355)/N(INDEX('11-تشرين الثاني'!$I$2:$I$501,V355))-1,""))</f>
        <v/>
      </c>
      <c r="AC355" t="str">
        <f t="shared" si="119"/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20"/>
        <v/>
      </c>
      <c r="AH355" s="39" t="str">
        <f t="shared" si="121"/>
        <v/>
      </c>
      <c r="AI355" s="39" t="str">
        <f t="shared" si="122"/>
        <v/>
      </c>
      <c r="AJ355" s="39" t="str">
        <f t="shared" si="123"/>
        <v/>
      </c>
      <c r="AK355" t="str">
        <f t="shared" si="124"/>
        <v/>
      </c>
      <c r="AL355" t="str">
        <f t="shared" si="125"/>
        <v/>
      </c>
    </row>
    <row r="356" spans="11:38" ht="15">
      <c r="K356" t="str">
        <f t="shared" si="105"/>
        <v/>
      </c>
      <c r="L356" t="str">
        <f t="shared" si="106"/>
        <v/>
      </c>
      <c r="M356" s="36" t="str">
        <f t="shared" si="107"/>
        <v/>
      </c>
      <c r="N356" s="37" t="str">
        <f t="shared" si="108"/>
        <v/>
      </c>
      <c r="O356" s="37" t="str">
        <f t="shared" si="109"/>
        <v/>
      </c>
      <c r="P356" s="38" t="str">
        <f t="shared" si="110"/>
        <v/>
      </c>
      <c r="Q356" s="39" t="str">
        <f t="shared" si="111"/>
        <v/>
      </c>
      <c r="R356" s="39" t="str">
        <f t="shared" si="112"/>
        <v/>
      </c>
      <c r="S356" t="str">
        <f t="shared" si="113"/>
        <v/>
      </c>
      <c r="T356" s="39" t="str">
        <f t="shared" si="114"/>
        <v/>
      </c>
      <c r="U356" t="str">
        <f t="shared" si="115"/>
        <v/>
      </c>
      <c r="V356" t="str">
        <f>IF(L356="","",IF($AO$1=1,IFERROR(MATCH(L356,'11-تشرين الثاني'!$L$2:$L$501,0),0),0))</f>
        <v/>
      </c>
      <c r="W356" t="str">
        <f t="shared" si="116"/>
        <v/>
      </c>
      <c r="X356" s="38" t="str">
        <f>IF(L356="","",IF(V356&gt;0,INDEX('11-تشرين الثاني'!$P$2:$P$501,V356),IF($AO$1=1,0,"")))</f>
        <v/>
      </c>
      <c r="Y356" s="38" t="str">
        <f t="shared" si="117"/>
        <v/>
      </c>
      <c r="Z356" s="39" t="str">
        <f>IF(L356="","",IF(V356&gt;0,INDEX('11-تشرين الثاني'!$Q$2:$Q$501,V356),IF($AO$1=1,0,"")))</f>
        <v/>
      </c>
      <c r="AA356" s="39" t="str">
        <f t="shared" si="118"/>
        <v/>
      </c>
      <c r="AB356" s="40" t="str">
        <f>IF(OR(L356="",V356=0),"",IF(AND(N(I356)&gt;0,N(INDEX('11-تشرين الثاني'!$I$2:$I$501,V356))&gt;0,INDEX('11-تشرين الثاني'!$F$2:$F$501,V356)=F356),N(I356)/N(INDEX('11-تشرين الثاني'!$I$2:$I$501,V356))-1,""))</f>
        <v/>
      </c>
      <c r="AC356" t="str">
        <f t="shared" si="119"/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20"/>
        <v/>
      </c>
      <c r="AH356" s="39" t="str">
        <f t="shared" si="121"/>
        <v/>
      </c>
      <c r="AI356" s="39" t="str">
        <f t="shared" si="122"/>
        <v/>
      </c>
      <c r="AJ356" s="39" t="str">
        <f t="shared" si="123"/>
        <v/>
      </c>
      <c r="AK356" t="str">
        <f t="shared" si="124"/>
        <v/>
      </c>
      <c r="AL356" t="str">
        <f t="shared" si="125"/>
        <v/>
      </c>
    </row>
    <row r="357" spans="11:38" ht="15">
      <c r="K357" t="str">
        <f t="shared" si="105"/>
        <v/>
      </c>
      <c r="L357" t="str">
        <f t="shared" si="106"/>
        <v/>
      </c>
      <c r="M357" s="36" t="str">
        <f t="shared" si="107"/>
        <v/>
      </c>
      <c r="N357" s="37" t="str">
        <f t="shared" si="108"/>
        <v/>
      </c>
      <c r="O357" s="37" t="str">
        <f t="shared" si="109"/>
        <v/>
      </c>
      <c r="P357" s="38" t="str">
        <f t="shared" si="110"/>
        <v/>
      </c>
      <c r="Q357" s="39" t="str">
        <f t="shared" si="111"/>
        <v/>
      </c>
      <c r="R357" s="39" t="str">
        <f t="shared" si="112"/>
        <v/>
      </c>
      <c r="S357" t="str">
        <f t="shared" si="113"/>
        <v/>
      </c>
      <c r="T357" s="39" t="str">
        <f t="shared" si="114"/>
        <v/>
      </c>
      <c r="U357" t="str">
        <f t="shared" si="115"/>
        <v/>
      </c>
      <c r="V357" t="str">
        <f>IF(L357="","",IF($AO$1=1,IFERROR(MATCH(L357,'11-تشرين الثاني'!$L$2:$L$501,0),0),0))</f>
        <v/>
      </c>
      <c r="W357" t="str">
        <f t="shared" si="116"/>
        <v/>
      </c>
      <c r="X357" s="38" t="str">
        <f>IF(L357="","",IF(V357&gt;0,INDEX('11-تشرين الثاني'!$P$2:$P$501,V357),IF($AO$1=1,0,"")))</f>
        <v/>
      </c>
      <c r="Y357" s="38" t="str">
        <f t="shared" si="117"/>
        <v/>
      </c>
      <c r="Z357" s="39" t="str">
        <f>IF(L357="","",IF(V357&gt;0,INDEX('11-تشرين الثاني'!$Q$2:$Q$501,V357),IF($AO$1=1,0,"")))</f>
        <v/>
      </c>
      <c r="AA357" s="39" t="str">
        <f t="shared" si="118"/>
        <v/>
      </c>
      <c r="AB357" s="40" t="str">
        <f>IF(OR(L357="",V357=0),"",IF(AND(N(I357)&gt;0,N(INDEX('11-تشرين الثاني'!$I$2:$I$501,V357))&gt;0,INDEX('11-تشرين الثاني'!$F$2:$F$501,V357)=F357),N(I357)/N(INDEX('11-تشرين الثاني'!$I$2:$I$501,V357))-1,""))</f>
        <v/>
      </c>
      <c r="AC357" t="str">
        <f t="shared" si="119"/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20"/>
        <v/>
      </c>
      <c r="AH357" s="39" t="str">
        <f t="shared" si="121"/>
        <v/>
      </c>
      <c r="AI357" s="39" t="str">
        <f t="shared" si="122"/>
        <v/>
      </c>
      <c r="AJ357" s="39" t="str">
        <f t="shared" si="123"/>
        <v/>
      </c>
      <c r="AK357" t="str">
        <f t="shared" si="124"/>
        <v/>
      </c>
      <c r="AL357" t="str">
        <f t="shared" si="125"/>
        <v/>
      </c>
    </row>
    <row r="358" spans="11:38" ht="15">
      <c r="K358" t="str">
        <f t="shared" si="105"/>
        <v/>
      </c>
      <c r="L358" t="str">
        <f t="shared" si="106"/>
        <v/>
      </c>
      <c r="M358" s="36" t="str">
        <f t="shared" si="107"/>
        <v/>
      </c>
      <c r="N358" s="37" t="str">
        <f t="shared" si="108"/>
        <v/>
      </c>
      <c r="O358" s="37" t="str">
        <f t="shared" si="109"/>
        <v/>
      </c>
      <c r="P358" s="38" t="str">
        <f t="shared" si="110"/>
        <v/>
      </c>
      <c r="Q358" s="39" t="str">
        <f t="shared" si="111"/>
        <v/>
      </c>
      <c r="R358" s="39" t="str">
        <f t="shared" si="112"/>
        <v/>
      </c>
      <c r="S358" t="str">
        <f t="shared" si="113"/>
        <v/>
      </c>
      <c r="T358" s="39" t="str">
        <f t="shared" si="114"/>
        <v/>
      </c>
      <c r="U358" t="str">
        <f t="shared" si="115"/>
        <v/>
      </c>
      <c r="V358" t="str">
        <f>IF(L358="","",IF($AO$1=1,IFERROR(MATCH(L358,'11-تشرين الثاني'!$L$2:$L$501,0),0),0))</f>
        <v/>
      </c>
      <c r="W358" t="str">
        <f t="shared" si="116"/>
        <v/>
      </c>
      <c r="X358" s="38" t="str">
        <f>IF(L358="","",IF(V358&gt;0,INDEX('11-تشرين الثاني'!$P$2:$P$501,V358),IF($AO$1=1,0,"")))</f>
        <v/>
      </c>
      <c r="Y358" s="38" t="str">
        <f t="shared" si="117"/>
        <v/>
      </c>
      <c r="Z358" s="39" t="str">
        <f>IF(L358="","",IF(V358&gt;0,INDEX('11-تشرين الثاني'!$Q$2:$Q$501,V358),IF($AO$1=1,0,"")))</f>
        <v/>
      </c>
      <c r="AA358" s="39" t="str">
        <f t="shared" si="118"/>
        <v/>
      </c>
      <c r="AB358" s="40" t="str">
        <f>IF(OR(L358="",V358=0),"",IF(AND(N(I358)&gt;0,N(INDEX('11-تشرين الثاني'!$I$2:$I$501,V358))&gt;0,INDEX('11-تشرين الثاني'!$F$2:$F$501,V358)=F358),N(I358)/N(INDEX('11-تشرين الثاني'!$I$2:$I$501,V358))-1,""))</f>
        <v/>
      </c>
      <c r="AC358" t="str">
        <f t="shared" si="119"/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20"/>
        <v/>
      </c>
      <c r="AH358" s="39" t="str">
        <f t="shared" si="121"/>
        <v/>
      </c>
      <c r="AI358" s="39" t="str">
        <f t="shared" si="122"/>
        <v/>
      </c>
      <c r="AJ358" s="39" t="str">
        <f t="shared" si="123"/>
        <v/>
      </c>
      <c r="AK358" t="str">
        <f t="shared" si="124"/>
        <v/>
      </c>
      <c r="AL358" t="str">
        <f t="shared" si="125"/>
        <v/>
      </c>
    </row>
    <row r="359" spans="11:38" ht="15">
      <c r="K359" t="str">
        <f t="shared" si="105"/>
        <v/>
      </c>
      <c r="L359" t="str">
        <f t="shared" si="106"/>
        <v/>
      </c>
      <c r="M359" s="36" t="str">
        <f t="shared" si="107"/>
        <v/>
      </c>
      <c r="N359" s="37" t="str">
        <f t="shared" si="108"/>
        <v/>
      </c>
      <c r="O359" s="37" t="str">
        <f t="shared" si="109"/>
        <v/>
      </c>
      <c r="P359" s="38" t="str">
        <f t="shared" si="110"/>
        <v/>
      </c>
      <c r="Q359" s="39" t="str">
        <f t="shared" si="111"/>
        <v/>
      </c>
      <c r="R359" s="39" t="str">
        <f t="shared" si="112"/>
        <v/>
      </c>
      <c r="S359" t="str">
        <f t="shared" si="113"/>
        <v/>
      </c>
      <c r="T359" s="39" t="str">
        <f t="shared" si="114"/>
        <v/>
      </c>
      <c r="U359" t="str">
        <f t="shared" si="115"/>
        <v/>
      </c>
      <c r="V359" t="str">
        <f>IF(L359="","",IF($AO$1=1,IFERROR(MATCH(L359,'11-تشرين الثاني'!$L$2:$L$501,0),0),0))</f>
        <v/>
      </c>
      <c r="W359" t="str">
        <f t="shared" si="116"/>
        <v/>
      </c>
      <c r="X359" s="38" t="str">
        <f>IF(L359="","",IF(V359&gt;0,INDEX('11-تشرين الثاني'!$P$2:$P$501,V359),IF($AO$1=1,0,"")))</f>
        <v/>
      </c>
      <c r="Y359" s="38" t="str">
        <f t="shared" si="117"/>
        <v/>
      </c>
      <c r="Z359" s="39" t="str">
        <f>IF(L359="","",IF(V359&gt;0,INDEX('11-تشرين الثاني'!$Q$2:$Q$501,V359),IF($AO$1=1,0,"")))</f>
        <v/>
      </c>
      <c r="AA359" s="39" t="str">
        <f t="shared" si="118"/>
        <v/>
      </c>
      <c r="AB359" s="40" t="str">
        <f>IF(OR(L359="",V359=0),"",IF(AND(N(I359)&gt;0,N(INDEX('11-تشرين الثاني'!$I$2:$I$501,V359))&gt;0,INDEX('11-تشرين الثاني'!$F$2:$F$501,V359)=F359),N(I359)/N(INDEX('11-تشرين الثاني'!$I$2:$I$501,V359))-1,""))</f>
        <v/>
      </c>
      <c r="AC359" t="str">
        <f t="shared" si="119"/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20"/>
        <v/>
      </c>
      <c r="AH359" s="39" t="str">
        <f t="shared" si="121"/>
        <v/>
      </c>
      <c r="AI359" s="39" t="str">
        <f t="shared" si="122"/>
        <v/>
      </c>
      <c r="AJ359" s="39" t="str">
        <f t="shared" si="123"/>
        <v/>
      </c>
      <c r="AK359" t="str">
        <f t="shared" si="124"/>
        <v/>
      </c>
      <c r="AL359" t="str">
        <f t="shared" si="125"/>
        <v/>
      </c>
    </row>
    <row r="360" spans="11:38" ht="15">
      <c r="K360" t="str">
        <f t="shared" si="105"/>
        <v/>
      </c>
      <c r="L360" t="str">
        <f t="shared" si="106"/>
        <v/>
      </c>
      <c r="M360" s="36" t="str">
        <f t="shared" si="107"/>
        <v/>
      </c>
      <c r="N360" s="37" t="str">
        <f t="shared" si="108"/>
        <v/>
      </c>
      <c r="O360" s="37" t="str">
        <f t="shared" si="109"/>
        <v/>
      </c>
      <c r="P360" s="38" t="str">
        <f t="shared" si="110"/>
        <v/>
      </c>
      <c r="Q360" s="39" t="str">
        <f t="shared" si="111"/>
        <v/>
      </c>
      <c r="R360" s="39" t="str">
        <f t="shared" si="112"/>
        <v/>
      </c>
      <c r="S360" t="str">
        <f t="shared" si="113"/>
        <v/>
      </c>
      <c r="T360" s="39" t="str">
        <f t="shared" si="114"/>
        <v/>
      </c>
      <c r="U360" t="str">
        <f t="shared" si="115"/>
        <v/>
      </c>
      <c r="V360" t="str">
        <f>IF(L360="","",IF($AO$1=1,IFERROR(MATCH(L360,'11-تشرين الثاني'!$L$2:$L$501,0),0),0))</f>
        <v/>
      </c>
      <c r="W360" t="str">
        <f t="shared" si="116"/>
        <v/>
      </c>
      <c r="X360" s="38" t="str">
        <f>IF(L360="","",IF(V360&gt;0,INDEX('11-تشرين الثاني'!$P$2:$P$501,V360),IF($AO$1=1,0,"")))</f>
        <v/>
      </c>
      <c r="Y360" s="38" t="str">
        <f t="shared" si="117"/>
        <v/>
      </c>
      <c r="Z360" s="39" t="str">
        <f>IF(L360="","",IF(V360&gt;0,INDEX('11-تشرين الثاني'!$Q$2:$Q$501,V360),IF($AO$1=1,0,"")))</f>
        <v/>
      </c>
      <c r="AA360" s="39" t="str">
        <f t="shared" si="118"/>
        <v/>
      </c>
      <c r="AB360" s="40" t="str">
        <f>IF(OR(L360="",V360=0),"",IF(AND(N(I360)&gt;0,N(INDEX('11-تشرين الثاني'!$I$2:$I$501,V360))&gt;0,INDEX('11-تشرين الثاني'!$F$2:$F$501,V360)=F360),N(I360)/N(INDEX('11-تشرين الثاني'!$I$2:$I$501,V360))-1,""))</f>
        <v/>
      </c>
      <c r="AC360" t="str">
        <f t="shared" si="119"/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20"/>
        <v/>
      </c>
      <c r="AH360" s="39" t="str">
        <f t="shared" si="121"/>
        <v/>
      </c>
      <c r="AI360" s="39" t="str">
        <f t="shared" si="122"/>
        <v/>
      </c>
      <c r="AJ360" s="39" t="str">
        <f t="shared" si="123"/>
        <v/>
      </c>
      <c r="AK360" t="str">
        <f t="shared" si="124"/>
        <v/>
      </c>
      <c r="AL360" t="str">
        <f t="shared" si="125"/>
        <v/>
      </c>
    </row>
    <row r="361" spans="11:38" ht="15">
      <c r="K361" t="str">
        <f t="shared" si="105"/>
        <v/>
      </c>
      <c r="L361" t="str">
        <f t="shared" si="106"/>
        <v/>
      </c>
      <c r="M361" s="36" t="str">
        <f t="shared" si="107"/>
        <v/>
      </c>
      <c r="N361" s="37" t="str">
        <f t="shared" si="108"/>
        <v/>
      </c>
      <c r="O361" s="37" t="str">
        <f t="shared" si="109"/>
        <v/>
      </c>
      <c r="P361" s="38" t="str">
        <f t="shared" si="110"/>
        <v/>
      </c>
      <c r="Q361" s="39" t="str">
        <f t="shared" si="111"/>
        <v/>
      </c>
      <c r="R361" s="39" t="str">
        <f t="shared" si="112"/>
        <v/>
      </c>
      <c r="S361" t="str">
        <f t="shared" si="113"/>
        <v/>
      </c>
      <c r="T361" s="39" t="str">
        <f t="shared" si="114"/>
        <v/>
      </c>
      <c r="U361" t="str">
        <f t="shared" si="115"/>
        <v/>
      </c>
      <c r="V361" t="str">
        <f>IF(L361="","",IF($AO$1=1,IFERROR(MATCH(L361,'11-تشرين الثاني'!$L$2:$L$501,0),0),0))</f>
        <v/>
      </c>
      <c r="W361" t="str">
        <f t="shared" si="116"/>
        <v/>
      </c>
      <c r="X361" s="38" t="str">
        <f>IF(L361="","",IF(V361&gt;0,INDEX('11-تشرين الثاني'!$P$2:$P$501,V361),IF($AO$1=1,0,"")))</f>
        <v/>
      </c>
      <c r="Y361" s="38" t="str">
        <f t="shared" si="117"/>
        <v/>
      </c>
      <c r="Z361" s="39" t="str">
        <f>IF(L361="","",IF(V361&gt;0,INDEX('11-تشرين الثاني'!$Q$2:$Q$501,V361),IF($AO$1=1,0,"")))</f>
        <v/>
      </c>
      <c r="AA361" s="39" t="str">
        <f t="shared" si="118"/>
        <v/>
      </c>
      <c r="AB361" s="40" t="str">
        <f>IF(OR(L361="",V361=0),"",IF(AND(N(I361)&gt;0,N(INDEX('11-تشرين الثاني'!$I$2:$I$501,V361))&gt;0,INDEX('11-تشرين الثاني'!$F$2:$F$501,V361)=F361),N(I361)/N(INDEX('11-تشرين الثاني'!$I$2:$I$501,V361))-1,""))</f>
        <v/>
      </c>
      <c r="AC361" t="str">
        <f t="shared" si="119"/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20"/>
        <v/>
      </c>
      <c r="AH361" s="39" t="str">
        <f t="shared" si="121"/>
        <v/>
      </c>
      <c r="AI361" s="39" t="str">
        <f t="shared" si="122"/>
        <v/>
      </c>
      <c r="AJ361" s="39" t="str">
        <f t="shared" si="123"/>
        <v/>
      </c>
      <c r="AK361" t="str">
        <f t="shared" si="124"/>
        <v/>
      </c>
      <c r="AL361" t="str">
        <f t="shared" si="125"/>
        <v/>
      </c>
    </row>
    <row r="362" spans="11:38" ht="15">
      <c r="K362" t="str">
        <f t="shared" si="105"/>
        <v/>
      </c>
      <c r="L362" t="str">
        <f t="shared" si="106"/>
        <v/>
      </c>
      <c r="M362" s="36" t="str">
        <f t="shared" si="107"/>
        <v/>
      </c>
      <c r="N362" s="37" t="str">
        <f t="shared" si="108"/>
        <v/>
      </c>
      <c r="O362" s="37" t="str">
        <f t="shared" si="109"/>
        <v/>
      </c>
      <c r="P362" s="38" t="str">
        <f t="shared" si="110"/>
        <v/>
      </c>
      <c r="Q362" s="39" t="str">
        <f t="shared" si="111"/>
        <v/>
      </c>
      <c r="R362" s="39" t="str">
        <f t="shared" si="112"/>
        <v/>
      </c>
      <c r="S362" t="str">
        <f t="shared" si="113"/>
        <v/>
      </c>
      <c r="T362" s="39" t="str">
        <f t="shared" si="114"/>
        <v/>
      </c>
      <c r="U362" t="str">
        <f t="shared" si="115"/>
        <v/>
      </c>
      <c r="V362" t="str">
        <f>IF(L362="","",IF($AO$1=1,IFERROR(MATCH(L362,'11-تشرين الثاني'!$L$2:$L$501,0),0),0))</f>
        <v/>
      </c>
      <c r="W362" t="str">
        <f t="shared" si="116"/>
        <v/>
      </c>
      <c r="X362" s="38" t="str">
        <f>IF(L362="","",IF(V362&gt;0,INDEX('11-تشرين الثاني'!$P$2:$P$501,V362),IF($AO$1=1,0,"")))</f>
        <v/>
      </c>
      <c r="Y362" s="38" t="str">
        <f t="shared" si="117"/>
        <v/>
      </c>
      <c r="Z362" s="39" t="str">
        <f>IF(L362="","",IF(V362&gt;0,INDEX('11-تشرين الثاني'!$Q$2:$Q$501,V362),IF($AO$1=1,0,"")))</f>
        <v/>
      </c>
      <c r="AA362" s="39" t="str">
        <f t="shared" si="118"/>
        <v/>
      </c>
      <c r="AB362" s="40" t="str">
        <f>IF(OR(L362="",V362=0),"",IF(AND(N(I362)&gt;0,N(INDEX('11-تشرين الثاني'!$I$2:$I$501,V362))&gt;0,INDEX('11-تشرين الثاني'!$F$2:$F$501,V362)=F362),N(I362)/N(INDEX('11-تشرين الثاني'!$I$2:$I$501,V362))-1,""))</f>
        <v/>
      </c>
      <c r="AC362" t="str">
        <f t="shared" si="119"/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20"/>
        <v/>
      </c>
      <c r="AH362" s="39" t="str">
        <f t="shared" si="121"/>
        <v/>
      </c>
      <c r="AI362" s="39" t="str">
        <f t="shared" si="122"/>
        <v/>
      </c>
      <c r="AJ362" s="39" t="str">
        <f t="shared" si="123"/>
        <v/>
      </c>
      <c r="AK362" t="str">
        <f t="shared" si="124"/>
        <v/>
      </c>
      <c r="AL362" t="str">
        <f t="shared" si="125"/>
        <v/>
      </c>
    </row>
    <row r="363" spans="11:38" ht="15">
      <c r="K363" t="str">
        <f t="shared" si="105"/>
        <v/>
      </c>
      <c r="L363" t="str">
        <f t="shared" si="106"/>
        <v/>
      </c>
      <c r="M363" s="36" t="str">
        <f t="shared" si="107"/>
        <v/>
      </c>
      <c r="N363" s="37" t="str">
        <f t="shared" si="108"/>
        <v/>
      </c>
      <c r="O363" s="37" t="str">
        <f t="shared" si="109"/>
        <v/>
      </c>
      <c r="P363" s="38" t="str">
        <f t="shared" si="110"/>
        <v/>
      </c>
      <c r="Q363" s="39" t="str">
        <f t="shared" si="111"/>
        <v/>
      </c>
      <c r="R363" s="39" t="str">
        <f t="shared" si="112"/>
        <v/>
      </c>
      <c r="S363" t="str">
        <f t="shared" si="113"/>
        <v/>
      </c>
      <c r="T363" s="39" t="str">
        <f t="shared" si="114"/>
        <v/>
      </c>
      <c r="U363" t="str">
        <f t="shared" si="115"/>
        <v/>
      </c>
      <c r="V363" t="str">
        <f>IF(L363="","",IF($AO$1=1,IFERROR(MATCH(L363,'11-تشرين الثاني'!$L$2:$L$501,0),0),0))</f>
        <v/>
      </c>
      <c r="W363" t="str">
        <f t="shared" si="116"/>
        <v/>
      </c>
      <c r="X363" s="38" t="str">
        <f>IF(L363="","",IF(V363&gt;0,INDEX('11-تشرين الثاني'!$P$2:$P$501,V363),IF($AO$1=1,0,"")))</f>
        <v/>
      </c>
      <c r="Y363" s="38" t="str">
        <f t="shared" si="117"/>
        <v/>
      </c>
      <c r="Z363" s="39" t="str">
        <f>IF(L363="","",IF(V363&gt;0,INDEX('11-تشرين الثاني'!$Q$2:$Q$501,V363),IF($AO$1=1,0,"")))</f>
        <v/>
      </c>
      <c r="AA363" s="39" t="str">
        <f t="shared" si="118"/>
        <v/>
      </c>
      <c r="AB363" s="40" t="str">
        <f>IF(OR(L363="",V363=0),"",IF(AND(N(I363)&gt;0,N(INDEX('11-تشرين الثاني'!$I$2:$I$501,V363))&gt;0,INDEX('11-تشرين الثاني'!$F$2:$F$501,V363)=F363),N(I363)/N(INDEX('11-تشرين الثاني'!$I$2:$I$501,V363))-1,""))</f>
        <v/>
      </c>
      <c r="AC363" t="str">
        <f t="shared" si="119"/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20"/>
        <v/>
      </c>
      <c r="AH363" s="39" t="str">
        <f t="shared" si="121"/>
        <v/>
      </c>
      <c r="AI363" s="39" t="str">
        <f t="shared" si="122"/>
        <v/>
      </c>
      <c r="AJ363" s="39" t="str">
        <f t="shared" si="123"/>
        <v/>
      </c>
      <c r="AK363" t="str">
        <f t="shared" si="124"/>
        <v/>
      </c>
      <c r="AL363" t="str">
        <f t="shared" si="125"/>
        <v/>
      </c>
    </row>
    <row r="364" spans="11:38" ht="15">
      <c r="K364" t="str">
        <f t="shared" si="105"/>
        <v/>
      </c>
      <c r="L364" t="str">
        <f t="shared" si="106"/>
        <v/>
      </c>
      <c r="M364" s="36" t="str">
        <f t="shared" si="107"/>
        <v/>
      </c>
      <c r="N364" s="37" t="str">
        <f t="shared" si="108"/>
        <v/>
      </c>
      <c r="O364" s="37" t="str">
        <f t="shared" si="109"/>
        <v/>
      </c>
      <c r="P364" s="38" t="str">
        <f t="shared" si="110"/>
        <v/>
      </c>
      <c r="Q364" s="39" t="str">
        <f t="shared" si="111"/>
        <v/>
      </c>
      <c r="R364" s="39" t="str">
        <f t="shared" si="112"/>
        <v/>
      </c>
      <c r="S364" t="str">
        <f t="shared" si="113"/>
        <v/>
      </c>
      <c r="T364" s="39" t="str">
        <f t="shared" si="114"/>
        <v/>
      </c>
      <c r="U364" t="str">
        <f t="shared" si="115"/>
        <v/>
      </c>
      <c r="V364" t="str">
        <f>IF(L364="","",IF($AO$1=1,IFERROR(MATCH(L364,'11-تشرين الثاني'!$L$2:$L$501,0),0),0))</f>
        <v/>
      </c>
      <c r="W364" t="str">
        <f t="shared" si="116"/>
        <v/>
      </c>
      <c r="X364" s="38" t="str">
        <f>IF(L364="","",IF(V364&gt;0,INDEX('11-تشرين الثاني'!$P$2:$P$501,V364),IF($AO$1=1,0,"")))</f>
        <v/>
      </c>
      <c r="Y364" s="38" t="str">
        <f t="shared" si="117"/>
        <v/>
      </c>
      <c r="Z364" s="39" t="str">
        <f>IF(L364="","",IF(V364&gt;0,INDEX('11-تشرين الثاني'!$Q$2:$Q$501,V364),IF($AO$1=1,0,"")))</f>
        <v/>
      </c>
      <c r="AA364" s="39" t="str">
        <f t="shared" si="118"/>
        <v/>
      </c>
      <c r="AB364" s="40" t="str">
        <f>IF(OR(L364="",V364=0),"",IF(AND(N(I364)&gt;0,N(INDEX('11-تشرين الثاني'!$I$2:$I$501,V364))&gt;0,INDEX('11-تشرين الثاني'!$F$2:$F$501,V364)=F364),N(I364)/N(INDEX('11-تشرين الثاني'!$I$2:$I$501,V364))-1,""))</f>
        <v/>
      </c>
      <c r="AC364" t="str">
        <f t="shared" si="119"/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20"/>
        <v/>
      </c>
      <c r="AH364" s="39" t="str">
        <f t="shared" si="121"/>
        <v/>
      </c>
      <c r="AI364" s="39" t="str">
        <f t="shared" si="122"/>
        <v/>
      </c>
      <c r="AJ364" s="39" t="str">
        <f t="shared" si="123"/>
        <v/>
      </c>
      <c r="AK364" t="str">
        <f t="shared" si="124"/>
        <v/>
      </c>
      <c r="AL364" t="str">
        <f t="shared" si="125"/>
        <v/>
      </c>
    </row>
    <row r="365" spans="11:38" ht="15">
      <c r="K365" t="str">
        <f t="shared" si="105"/>
        <v/>
      </c>
      <c r="L365" t="str">
        <f t="shared" si="106"/>
        <v/>
      </c>
      <c r="M365" s="36" t="str">
        <f t="shared" si="107"/>
        <v/>
      </c>
      <c r="N365" s="37" t="str">
        <f t="shared" si="108"/>
        <v/>
      </c>
      <c r="O365" s="37" t="str">
        <f t="shared" si="109"/>
        <v/>
      </c>
      <c r="P365" s="38" t="str">
        <f t="shared" si="110"/>
        <v/>
      </c>
      <c r="Q365" s="39" t="str">
        <f t="shared" si="111"/>
        <v/>
      </c>
      <c r="R365" s="39" t="str">
        <f t="shared" si="112"/>
        <v/>
      </c>
      <c r="S365" t="str">
        <f t="shared" si="113"/>
        <v/>
      </c>
      <c r="T365" s="39" t="str">
        <f t="shared" si="114"/>
        <v/>
      </c>
      <c r="U365" t="str">
        <f t="shared" si="115"/>
        <v/>
      </c>
      <c r="V365" t="str">
        <f>IF(L365="","",IF($AO$1=1,IFERROR(MATCH(L365,'11-تشرين الثاني'!$L$2:$L$501,0),0),0))</f>
        <v/>
      </c>
      <c r="W365" t="str">
        <f t="shared" si="116"/>
        <v/>
      </c>
      <c r="X365" s="38" t="str">
        <f>IF(L365="","",IF(V365&gt;0,INDEX('11-تشرين الثاني'!$P$2:$P$501,V365),IF($AO$1=1,0,"")))</f>
        <v/>
      </c>
      <c r="Y365" s="38" t="str">
        <f t="shared" si="117"/>
        <v/>
      </c>
      <c r="Z365" s="39" t="str">
        <f>IF(L365="","",IF(V365&gt;0,INDEX('11-تشرين الثاني'!$Q$2:$Q$501,V365),IF($AO$1=1,0,"")))</f>
        <v/>
      </c>
      <c r="AA365" s="39" t="str">
        <f t="shared" si="118"/>
        <v/>
      </c>
      <c r="AB365" s="40" t="str">
        <f>IF(OR(L365="",V365=0),"",IF(AND(N(I365)&gt;0,N(INDEX('11-تشرين الثاني'!$I$2:$I$501,V365))&gt;0,INDEX('11-تشرين الثاني'!$F$2:$F$501,V365)=F365),N(I365)/N(INDEX('11-تشرين الثاني'!$I$2:$I$501,V365))-1,""))</f>
        <v/>
      </c>
      <c r="AC365" t="str">
        <f t="shared" si="119"/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20"/>
        <v/>
      </c>
      <c r="AH365" s="39" t="str">
        <f t="shared" si="121"/>
        <v/>
      </c>
      <c r="AI365" s="39" t="str">
        <f t="shared" si="122"/>
        <v/>
      </c>
      <c r="AJ365" s="39" t="str">
        <f t="shared" si="123"/>
        <v/>
      </c>
      <c r="AK365" t="str">
        <f t="shared" si="124"/>
        <v/>
      </c>
      <c r="AL365" t="str">
        <f t="shared" si="125"/>
        <v/>
      </c>
    </row>
    <row r="366" spans="11:38" ht="15">
      <c r="K366" t="str">
        <f t="shared" si="105"/>
        <v/>
      </c>
      <c r="L366" t="str">
        <f t="shared" si="106"/>
        <v/>
      </c>
      <c r="M366" s="36" t="str">
        <f t="shared" si="107"/>
        <v/>
      </c>
      <c r="N366" s="37" t="str">
        <f t="shared" si="108"/>
        <v/>
      </c>
      <c r="O366" s="37" t="str">
        <f t="shared" si="109"/>
        <v/>
      </c>
      <c r="P366" s="38" t="str">
        <f t="shared" si="110"/>
        <v/>
      </c>
      <c r="Q366" s="39" t="str">
        <f t="shared" si="111"/>
        <v/>
      </c>
      <c r="R366" s="39" t="str">
        <f t="shared" si="112"/>
        <v/>
      </c>
      <c r="S366" t="str">
        <f t="shared" si="113"/>
        <v/>
      </c>
      <c r="T366" s="39" t="str">
        <f t="shared" si="114"/>
        <v/>
      </c>
      <c r="U366" t="str">
        <f t="shared" si="115"/>
        <v/>
      </c>
      <c r="V366" t="str">
        <f>IF(L366="","",IF($AO$1=1,IFERROR(MATCH(L366,'11-تشرين الثاني'!$L$2:$L$501,0),0),0))</f>
        <v/>
      </c>
      <c r="W366" t="str">
        <f t="shared" si="116"/>
        <v/>
      </c>
      <c r="X366" s="38" t="str">
        <f>IF(L366="","",IF(V366&gt;0,INDEX('11-تشرين الثاني'!$P$2:$P$501,V366),IF($AO$1=1,0,"")))</f>
        <v/>
      </c>
      <c r="Y366" s="38" t="str">
        <f t="shared" si="117"/>
        <v/>
      </c>
      <c r="Z366" s="39" t="str">
        <f>IF(L366="","",IF(V366&gt;0,INDEX('11-تشرين الثاني'!$Q$2:$Q$501,V366),IF($AO$1=1,0,"")))</f>
        <v/>
      </c>
      <c r="AA366" s="39" t="str">
        <f t="shared" si="118"/>
        <v/>
      </c>
      <c r="AB366" s="40" t="str">
        <f>IF(OR(L366="",V366=0),"",IF(AND(N(I366)&gt;0,N(INDEX('11-تشرين الثاني'!$I$2:$I$501,V366))&gt;0,INDEX('11-تشرين الثاني'!$F$2:$F$501,V366)=F366),N(I366)/N(INDEX('11-تشرين الثاني'!$I$2:$I$501,V366))-1,""))</f>
        <v/>
      </c>
      <c r="AC366" t="str">
        <f t="shared" si="119"/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20"/>
        <v/>
      </c>
      <c r="AH366" s="39" t="str">
        <f t="shared" si="121"/>
        <v/>
      </c>
      <c r="AI366" s="39" t="str">
        <f t="shared" si="122"/>
        <v/>
      </c>
      <c r="AJ366" s="39" t="str">
        <f t="shared" si="123"/>
        <v/>
      </c>
      <c r="AK366" t="str">
        <f t="shared" si="124"/>
        <v/>
      </c>
      <c r="AL366" t="str">
        <f t="shared" si="125"/>
        <v/>
      </c>
    </row>
    <row r="367" spans="11:38" ht="15">
      <c r="K367" t="str">
        <f t="shared" si="105"/>
        <v/>
      </c>
      <c r="L367" t="str">
        <f t="shared" si="106"/>
        <v/>
      </c>
      <c r="M367" s="36" t="str">
        <f t="shared" si="107"/>
        <v/>
      </c>
      <c r="N367" s="37" t="str">
        <f t="shared" si="108"/>
        <v/>
      </c>
      <c r="O367" s="37" t="str">
        <f t="shared" si="109"/>
        <v/>
      </c>
      <c r="P367" s="38" t="str">
        <f t="shared" si="110"/>
        <v/>
      </c>
      <c r="Q367" s="39" t="str">
        <f t="shared" si="111"/>
        <v/>
      </c>
      <c r="R367" s="39" t="str">
        <f t="shared" si="112"/>
        <v/>
      </c>
      <c r="S367" t="str">
        <f t="shared" si="113"/>
        <v/>
      </c>
      <c r="T367" s="39" t="str">
        <f t="shared" si="114"/>
        <v/>
      </c>
      <c r="U367" t="str">
        <f t="shared" si="115"/>
        <v/>
      </c>
      <c r="V367" t="str">
        <f>IF(L367="","",IF($AO$1=1,IFERROR(MATCH(L367,'11-تشرين الثاني'!$L$2:$L$501,0),0),0))</f>
        <v/>
      </c>
      <c r="W367" t="str">
        <f t="shared" si="116"/>
        <v/>
      </c>
      <c r="X367" s="38" t="str">
        <f>IF(L367="","",IF(V367&gt;0,INDEX('11-تشرين الثاني'!$P$2:$P$501,V367),IF($AO$1=1,0,"")))</f>
        <v/>
      </c>
      <c r="Y367" s="38" t="str">
        <f t="shared" si="117"/>
        <v/>
      </c>
      <c r="Z367" s="39" t="str">
        <f>IF(L367="","",IF(V367&gt;0,INDEX('11-تشرين الثاني'!$Q$2:$Q$501,V367),IF($AO$1=1,0,"")))</f>
        <v/>
      </c>
      <c r="AA367" s="39" t="str">
        <f t="shared" si="118"/>
        <v/>
      </c>
      <c r="AB367" s="40" t="str">
        <f>IF(OR(L367="",V367=0),"",IF(AND(N(I367)&gt;0,N(INDEX('11-تشرين الثاني'!$I$2:$I$501,V367))&gt;0,INDEX('11-تشرين الثاني'!$F$2:$F$501,V367)=F367),N(I367)/N(INDEX('11-تشرين الثاني'!$I$2:$I$501,V367))-1,""))</f>
        <v/>
      </c>
      <c r="AC367" t="str">
        <f t="shared" si="119"/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20"/>
        <v/>
      </c>
      <c r="AH367" s="39" t="str">
        <f t="shared" si="121"/>
        <v/>
      </c>
      <c r="AI367" s="39" t="str">
        <f t="shared" si="122"/>
        <v/>
      </c>
      <c r="AJ367" s="39" t="str">
        <f t="shared" si="123"/>
        <v/>
      </c>
      <c r="AK367" t="str">
        <f t="shared" si="124"/>
        <v/>
      </c>
      <c r="AL367" t="str">
        <f t="shared" si="125"/>
        <v/>
      </c>
    </row>
    <row r="368" spans="11:38" ht="15">
      <c r="K368" t="str">
        <f t="shared" si="105"/>
        <v/>
      </c>
      <c r="L368" t="str">
        <f t="shared" si="106"/>
        <v/>
      </c>
      <c r="M368" s="36" t="str">
        <f t="shared" si="107"/>
        <v/>
      </c>
      <c r="N368" s="37" t="str">
        <f t="shared" si="108"/>
        <v/>
      </c>
      <c r="O368" s="37" t="str">
        <f t="shared" si="109"/>
        <v/>
      </c>
      <c r="P368" s="38" t="str">
        <f t="shared" si="110"/>
        <v/>
      </c>
      <c r="Q368" s="39" t="str">
        <f t="shared" si="111"/>
        <v/>
      </c>
      <c r="R368" s="39" t="str">
        <f t="shared" si="112"/>
        <v/>
      </c>
      <c r="S368" t="str">
        <f t="shared" si="113"/>
        <v/>
      </c>
      <c r="T368" s="39" t="str">
        <f t="shared" si="114"/>
        <v/>
      </c>
      <c r="U368" t="str">
        <f t="shared" si="115"/>
        <v/>
      </c>
      <c r="V368" t="str">
        <f>IF(L368="","",IF($AO$1=1,IFERROR(MATCH(L368,'11-تشرين الثاني'!$L$2:$L$501,0),0),0))</f>
        <v/>
      </c>
      <c r="W368" t="str">
        <f t="shared" si="116"/>
        <v/>
      </c>
      <c r="X368" s="38" t="str">
        <f>IF(L368="","",IF(V368&gt;0,INDEX('11-تشرين الثاني'!$P$2:$P$501,V368),IF($AO$1=1,0,"")))</f>
        <v/>
      </c>
      <c r="Y368" s="38" t="str">
        <f t="shared" si="117"/>
        <v/>
      </c>
      <c r="Z368" s="39" t="str">
        <f>IF(L368="","",IF(V368&gt;0,INDEX('11-تشرين الثاني'!$Q$2:$Q$501,V368),IF($AO$1=1,0,"")))</f>
        <v/>
      </c>
      <c r="AA368" s="39" t="str">
        <f t="shared" si="118"/>
        <v/>
      </c>
      <c r="AB368" s="40" t="str">
        <f>IF(OR(L368="",V368=0),"",IF(AND(N(I368)&gt;0,N(INDEX('11-تشرين الثاني'!$I$2:$I$501,V368))&gt;0,INDEX('11-تشرين الثاني'!$F$2:$F$501,V368)=F368),N(I368)/N(INDEX('11-تشرين الثاني'!$I$2:$I$501,V368))-1,""))</f>
        <v/>
      </c>
      <c r="AC368" t="str">
        <f t="shared" si="119"/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20"/>
        <v/>
      </c>
      <c r="AH368" s="39" t="str">
        <f t="shared" si="121"/>
        <v/>
      </c>
      <c r="AI368" s="39" t="str">
        <f t="shared" si="122"/>
        <v/>
      </c>
      <c r="AJ368" s="39" t="str">
        <f t="shared" si="123"/>
        <v/>
      </c>
      <c r="AK368" t="str">
        <f t="shared" si="124"/>
        <v/>
      </c>
      <c r="AL368" t="str">
        <f t="shared" si="125"/>
        <v/>
      </c>
    </row>
    <row r="369" spans="11:38" ht="15">
      <c r="K369" t="str">
        <f t="shared" si="105"/>
        <v/>
      </c>
      <c r="L369" t="str">
        <f t="shared" si="106"/>
        <v/>
      </c>
      <c r="M369" s="36" t="str">
        <f t="shared" si="107"/>
        <v/>
      </c>
      <c r="N369" s="37" t="str">
        <f t="shared" si="108"/>
        <v/>
      </c>
      <c r="O369" s="37" t="str">
        <f t="shared" si="109"/>
        <v/>
      </c>
      <c r="P369" s="38" t="str">
        <f t="shared" si="110"/>
        <v/>
      </c>
      <c r="Q369" s="39" t="str">
        <f t="shared" si="111"/>
        <v/>
      </c>
      <c r="R369" s="39" t="str">
        <f t="shared" si="112"/>
        <v/>
      </c>
      <c r="S369" t="str">
        <f t="shared" si="113"/>
        <v/>
      </c>
      <c r="T369" s="39" t="str">
        <f t="shared" si="114"/>
        <v/>
      </c>
      <c r="U369" t="str">
        <f t="shared" si="115"/>
        <v/>
      </c>
      <c r="V369" t="str">
        <f>IF(L369="","",IF($AO$1=1,IFERROR(MATCH(L369,'11-تشرين الثاني'!$L$2:$L$501,0),0),0))</f>
        <v/>
      </c>
      <c r="W369" t="str">
        <f t="shared" si="116"/>
        <v/>
      </c>
      <c r="X369" s="38" t="str">
        <f>IF(L369="","",IF(V369&gt;0,INDEX('11-تشرين الثاني'!$P$2:$P$501,V369),IF($AO$1=1,0,"")))</f>
        <v/>
      </c>
      <c r="Y369" s="38" t="str">
        <f t="shared" si="117"/>
        <v/>
      </c>
      <c r="Z369" s="39" t="str">
        <f>IF(L369="","",IF(V369&gt;0,INDEX('11-تشرين الثاني'!$Q$2:$Q$501,V369),IF($AO$1=1,0,"")))</f>
        <v/>
      </c>
      <c r="AA369" s="39" t="str">
        <f t="shared" si="118"/>
        <v/>
      </c>
      <c r="AB369" s="40" t="str">
        <f>IF(OR(L369="",V369=0),"",IF(AND(N(I369)&gt;0,N(INDEX('11-تشرين الثاني'!$I$2:$I$501,V369))&gt;0,INDEX('11-تشرين الثاني'!$F$2:$F$501,V369)=F369),N(I369)/N(INDEX('11-تشرين الثاني'!$I$2:$I$501,V369))-1,""))</f>
        <v/>
      </c>
      <c r="AC369" t="str">
        <f t="shared" si="119"/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20"/>
        <v/>
      </c>
      <c r="AH369" s="39" t="str">
        <f t="shared" si="121"/>
        <v/>
      </c>
      <c r="AI369" s="39" t="str">
        <f t="shared" si="122"/>
        <v/>
      </c>
      <c r="AJ369" s="39" t="str">
        <f t="shared" si="123"/>
        <v/>
      </c>
      <c r="AK369" t="str">
        <f t="shared" si="124"/>
        <v/>
      </c>
      <c r="AL369" t="str">
        <f t="shared" si="125"/>
        <v/>
      </c>
    </row>
    <row r="370" spans="11:38" ht="15">
      <c r="K370" t="str">
        <f t="shared" si="105"/>
        <v/>
      </c>
      <c r="L370" t="str">
        <f t="shared" si="106"/>
        <v/>
      </c>
      <c r="M370" s="36" t="str">
        <f t="shared" si="107"/>
        <v/>
      </c>
      <c r="N370" s="37" t="str">
        <f t="shared" si="108"/>
        <v/>
      </c>
      <c r="O370" s="37" t="str">
        <f t="shared" si="109"/>
        <v/>
      </c>
      <c r="P370" s="38" t="str">
        <f t="shared" si="110"/>
        <v/>
      </c>
      <c r="Q370" s="39" t="str">
        <f t="shared" si="111"/>
        <v/>
      </c>
      <c r="R370" s="39" t="str">
        <f t="shared" si="112"/>
        <v/>
      </c>
      <c r="S370" t="str">
        <f t="shared" si="113"/>
        <v/>
      </c>
      <c r="T370" s="39" t="str">
        <f t="shared" si="114"/>
        <v/>
      </c>
      <c r="U370" t="str">
        <f t="shared" si="115"/>
        <v/>
      </c>
      <c r="V370" t="str">
        <f>IF(L370="","",IF($AO$1=1,IFERROR(MATCH(L370,'11-تشرين الثاني'!$L$2:$L$501,0),0),0))</f>
        <v/>
      </c>
      <c r="W370" t="str">
        <f t="shared" si="116"/>
        <v/>
      </c>
      <c r="X370" s="38" t="str">
        <f>IF(L370="","",IF(V370&gt;0,INDEX('11-تشرين الثاني'!$P$2:$P$501,V370),IF($AO$1=1,0,"")))</f>
        <v/>
      </c>
      <c r="Y370" s="38" t="str">
        <f t="shared" si="117"/>
        <v/>
      </c>
      <c r="Z370" s="39" t="str">
        <f>IF(L370="","",IF(V370&gt;0,INDEX('11-تشرين الثاني'!$Q$2:$Q$501,V370),IF($AO$1=1,0,"")))</f>
        <v/>
      </c>
      <c r="AA370" s="39" t="str">
        <f t="shared" si="118"/>
        <v/>
      </c>
      <c r="AB370" s="40" t="str">
        <f>IF(OR(L370="",V370=0),"",IF(AND(N(I370)&gt;0,N(INDEX('11-تشرين الثاني'!$I$2:$I$501,V370))&gt;0,INDEX('11-تشرين الثاني'!$F$2:$F$501,V370)=F370),N(I370)/N(INDEX('11-تشرين الثاني'!$I$2:$I$501,V370))-1,""))</f>
        <v/>
      </c>
      <c r="AC370" t="str">
        <f t="shared" si="119"/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20"/>
        <v/>
      </c>
      <c r="AH370" s="39" t="str">
        <f t="shared" si="121"/>
        <v/>
      </c>
      <c r="AI370" s="39" t="str">
        <f t="shared" si="122"/>
        <v/>
      </c>
      <c r="AJ370" s="39" t="str">
        <f t="shared" si="123"/>
        <v/>
      </c>
      <c r="AK370" t="str">
        <f t="shared" si="124"/>
        <v/>
      </c>
      <c r="AL370" t="str">
        <f t="shared" si="125"/>
        <v/>
      </c>
    </row>
    <row r="371" spans="11:38" ht="15">
      <c r="K371" t="str">
        <f t="shared" si="105"/>
        <v/>
      </c>
      <c r="L371" t="str">
        <f t="shared" si="106"/>
        <v/>
      </c>
      <c r="M371" s="36" t="str">
        <f t="shared" si="107"/>
        <v/>
      </c>
      <c r="N371" s="37" t="str">
        <f t="shared" si="108"/>
        <v/>
      </c>
      <c r="O371" s="37" t="str">
        <f t="shared" si="109"/>
        <v/>
      </c>
      <c r="P371" s="38" t="str">
        <f t="shared" si="110"/>
        <v/>
      </c>
      <c r="Q371" s="39" t="str">
        <f t="shared" si="111"/>
        <v/>
      </c>
      <c r="R371" s="39" t="str">
        <f t="shared" si="112"/>
        <v/>
      </c>
      <c r="S371" t="str">
        <f t="shared" si="113"/>
        <v/>
      </c>
      <c r="T371" s="39" t="str">
        <f t="shared" si="114"/>
        <v/>
      </c>
      <c r="U371" t="str">
        <f t="shared" si="115"/>
        <v/>
      </c>
      <c r="V371" t="str">
        <f>IF(L371="","",IF($AO$1=1,IFERROR(MATCH(L371,'11-تشرين الثاني'!$L$2:$L$501,0),0),0))</f>
        <v/>
      </c>
      <c r="W371" t="str">
        <f t="shared" si="116"/>
        <v/>
      </c>
      <c r="X371" s="38" t="str">
        <f>IF(L371="","",IF(V371&gt;0,INDEX('11-تشرين الثاني'!$P$2:$P$501,V371),IF($AO$1=1,0,"")))</f>
        <v/>
      </c>
      <c r="Y371" s="38" t="str">
        <f t="shared" si="117"/>
        <v/>
      </c>
      <c r="Z371" s="39" t="str">
        <f>IF(L371="","",IF(V371&gt;0,INDEX('11-تشرين الثاني'!$Q$2:$Q$501,V371),IF($AO$1=1,0,"")))</f>
        <v/>
      </c>
      <c r="AA371" s="39" t="str">
        <f t="shared" si="118"/>
        <v/>
      </c>
      <c r="AB371" s="40" t="str">
        <f>IF(OR(L371="",V371=0),"",IF(AND(N(I371)&gt;0,N(INDEX('11-تشرين الثاني'!$I$2:$I$501,V371))&gt;0,INDEX('11-تشرين الثاني'!$F$2:$F$501,V371)=F371),N(I371)/N(INDEX('11-تشرين الثاني'!$I$2:$I$501,V371))-1,""))</f>
        <v/>
      </c>
      <c r="AC371" t="str">
        <f t="shared" si="119"/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20"/>
        <v/>
      </c>
      <c r="AH371" s="39" t="str">
        <f t="shared" si="121"/>
        <v/>
      </c>
      <c r="AI371" s="39" t="str">
        <f t="shared" si="122"/>
        <v/>
      </c>
      <c r="AJ371" s="39" t="str">
        <f t="shared" si="123"/>
        <v/>
      </c>
      <c r="AK371" t="str">
        <f t="shared" si="124"/>
        <v/>
      </c>
      <c r="AL371" t="str">
        <f t="shared" si="125"/>
        <v/>
      </c>
    </row>
    <row r="372" spans="11:38" ht="15">
      <c r="K372" t="str">
        <f t="shared" si="105"/>
        <v/>
      </c>
      <c r="L372" t="str">
        <f t="shared" si="106"/>
        <v/>
      </c>
      <c r="M372" s="36" t="str">
        <f t="shared" si="107"/>
        <v/>
      </c>
      <c r="N372" s="37" t="str">
        <f t="shared" si="108"/>
        <v/>
      </c>
      <c r="O372" s="37" t="str">
        <f t="shared" si="109"/>
        <v/>
      </c>
      <c r="P372" s="38" t="str">
        <f t="shared" si="110"/>
        <v/>
      </c>
      <c r="Q372" s="39" t="str">
        <f t="shared" si="111"/>
        <v/>
      </c>
      <c r="R372" s="39" t="str">
        <f t="shared" si="112"/>
        <v/>
      </c>
      <c r="S372" t="str">
        <f t="shared" si="113"/>
        <v/>
      </c>
      <c r="T372" s="39" t="str">
        <f t="shared" si="114"/>
        <v/>
      </c>
      <c r="U372" t="str">
        <f t="shared" si="115"/>
        <v/>
      </c>
      <c r="V372" t="str">
        <f>IF(L372="","",IF($AO$1=1,IFERROR(MATCH(L372,'11-تشرين الثاني'!$L$2:$L$501,0),0),0))</f>
        <v/>
      </c>
      <c r="W372" t="str">
        <f t="shared" si="116"/>
        <v/>
      </c>
      <c r="X372" s="38" t="str">
        <f>IF(L372="","",IF(V372&gt;0,INDEX('11-تشرين الثاني'!$P$2:$P$501,V372),IF($AO$1=1,0,"")))</f>
        <v/>
      </c>
      <c r="Y372" s="38" t="str">
        <f t="shared" si="117"/>
        <v/>
      </c>
      <c r="Z372" s="39" t="str">
        <f>IF(L372="","",IF(V372&gt;0,INDEX('11-تشرين الثاني'!$Q$2:$Q$501,V372),IF($AO$1=1,0,"")))</f>
        <v/>
      </c>
      <c r="AA372" s="39" t="str">
        <f t="shared" si="118"/>
        <v/>
      </c>
      <c r="AB372" s="40" t="str">
        <f>IF(OR(L372="",V372=0),"",IF(AND(N(I372)&gt;0,N(INDEX('11-تشرين الثاني'!$I$2:$I$501,V372))&gt;0,INDEX('11-تشرين الثاني'!$F$2:$F$501,V372)=F372),N(I372)/N(INDEX('11-تشرين الثاني'!$I$2:$I$501,V372))-1,""))</f>
        <v/>
      </c>
      <c r="AC372" t="str">
        <f t="shared" si="119"/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20"/>
        <v/>
      </c>
      <c r="AH372" s="39" t="str">
        <f t="shared" si="121"/>
        <v/>
      </c>
      <c r="AI372" s="39" t="str">
        <f t="shared" si="122"/>
        <v/>
      </c>
      <c r="AJ372" s="39" t="str">
        <f t="shared" si="123"/>
        <v/>
      </c>
      <c r="AK372" t="str">
        <f t="shared" si="124"/>
        <v/>
      </c>
      <c r="AL372" t="str">
        <f t="shared" si="125"/>
        <v/>
      </c>
    </row>
    <row r="373" spans="11:38" ht="15">
      <c r="K373" t="str">
        <f t="shared" si="105"/>
        <v/>
      </c>
      <c r="L373" t="str">
        <f t="shared" si="106"/>
        <v/>
      </c>
      <c r="M373" s="36" t="str">
        <f t="shared" si="107"/>
        <v/>
      </c>
      <c r="N373" s="37" t="str">
        <f t="shared" si="108"/>
        <v/>
      </c>
      <c r="O373" s="37" t="str">
        <f t="shared" si="109"/>
        <v/>
      </c>
      <c r="P373" s="38" t="str">
        <f t="shared" si="110"/>
        <v/>
      </c>
      <c r="Q373" s="39" t="str">
        <f t="shared" si="111"/>
        <v/>
      </c>
      <c r="R373" s="39" t="str">
        <f t="shared" si="112"/>
        <v/>
      </c>
      <c r="S373" t="str">
        <f t="shared" si="113"/>
        <v/>
      </c>
      <c r="T373" s="39" t="str">
        <f t="shared" si="114"/>
        <v/>
      </c>
      <c r="U373" t="str">
        <f t="shared" si="115"/>
        <v/>
      </c>
      <c r="V373" t="str">
        <f>IF(L373="","",IF($AO$1=1,IFERROR(MATCH(L373,'11-تشرين الثاني'!$L$2:$L$501,0),0),0))</f>
        <v/>
      </c>
      <c r="W373" t="str">
        <f t="shared" si="116"/>
        <v/>
      </c>
      <c r="X373" s="38" t="str">
        <f>IF(L373="","",IF(V373&gt;0,INDEX('11-تشرين الثاني'!$P$2:$P$501,V373),IF($AO$1=1,0,"")))</f>
        <v/>
      </c>
      <c r="Y373" s="38" t="str">
        <f t="shared" si="117"/>
        <v/>
      </c>
      <c r="Z373" s="39" t="str">
        <f>IF(L373="","",IF(V373&gt;0,INDEX('11-تشرين الثاني'!$Q$2:$Q$501,V373),IF($AO$1=1,0,"")))</f>
        <v/>
      </c>
      <c r="AA373" s="39" t="str">
        <f t="shared" si="118"/>
        <v/>
      </c>
      <c r="AB373" s="40" t="str">
        <f>IF(OR(L373="",V373=0),"",IF(AND(N(I373)&gt;0,N(INDEX('11-تشرين الثاني'!$I$2:$I$501,V373))&gt;0,INDEX('11-تشرين الثاني'!$F$2:$F$501,V373)=F373),N(I373)/N(INDEX('11-تشرين الثاني'!$I$2:$I$501,V373))-1,""))</f>
        <v/>
      </c>
      <c r="AC373" t="str">
        <f t="shared" si="119"/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20"/>
        <v/>
      </c>
      <c r="AH373" s="39" t="str">
        <f t="shared" si="121"/>
        <v/>
      </c>
      <c r="AI373" s="39" t="str">
        <f t="shared" si="122"/>
        <v/>
      </c>
      <c r="AJ373" s="39" t="str">
        <f t="shared" si="123"/>
        <v/>
      </c>
      <c r="AK373" t="str">
        <f t="shared" si="124"/>
        <v/>
      </c>
      <c r="AL373" t="str">
        <f t="shared" si="125"/>
        <v/>
      </c>
    </row>
    <row r="374" spans="11:38" ht="15">
      <c r="K374" t="str">
        <f t="shared" si="105"/>
        <v/>
      </c>
      <c r="L374" t="str">
        <f t="shared" si="106"/>
        <v/>
      </c>
      <c r="M374" s="36" t="str">
        <f t="shared" si="107"/>
        <v/>
      </c>
      <c r="N374" s="37" t="str">
        <f t="shared" si="108"/>
        <v/>
      </c>
      <c r="O374" s="37" t="str">
        <f t="shared" si="109"/>
        <v/>
      </c>
      <c r="P374" s="38" t="str">
        <f t="shared" si="110"/>
        <v/>
      </c>
      <c r="Q374" s="39" t="str">
        <f t="shared" si="111"/>
        <v/>
      </c>
      <c r="R374" s="39" t="str">
        <f t="shared" si="112"/>
        <v/>
      </c>
      <c r="S374" t="str">
        <f t="shared" si="113"/>
        <v/>
      </c>
      <c r="T374" s="39" t="str">
        <f t="shared" si="114"/>
        <v/>
      </c>
      <c r="U374" t="str">
        <f t="shared" si="115"/>
        <v/>
      </c>
      <c r="V374" t="str">
        <f>IF(L374="","",IF($AO$1=1,IFERROR(MATCH(L374,'11-تشرين الثاني'!$L$2:$L$501,0),0),0))</f>
        <v/>
      </c>
      <c r="W374" t="str">
        <f t="shared" si="116"/>
        <v/>
      </c>
      <c r="X374" s="38" t="str">
        <f>IF(L374="","",IF(V374&gt;0,INDEX('11-تشرين الثاني'!$P$2:$P$501,V374),IF($AO$1=1,0,"")))</f>
        <v/>
      </c>
      <c r="Y374" s="38" t="str">
        <f t="shared" si="117"/>
        <v/>
      </c>
      <c r="Z374" s="39" t="str">
        <f>IF(L374="","",IF(V374&gt;0,INDEX('11-تشرين الثاني'!$Q$2:$Q$501,V374),IF($AO$1=1,0,"")))</f>
        <v/>
      </c>
      <c r="AA374" s="39" t="str">
        <f t="shared" si="118"/>
        <v/>
      </c>
      <c r="AB374" s="40" t="str">
        <f>IF(OR(L374="",V374=0),"",IF(AND(N(I374)&gt;0,N(INDEX('11-تشرين الثاني'!$I$2:$I$501,V374))&gt;0,INDEX('11-تشرين الثاني'!$F$2:$F$501,V374)=F374),N(I374)/N(INDEX('11-تشرين الثاني'!$I$2:$I$501,V374))-1,""))</f>
        <v/>
      </c>
      <c r="AC374" t="str">
        <f t="shared" si="119"/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20"/>
        <v/>
      </c>
      <c r="AH374" s="39" t="str">
        <f t="shared" si="121"/>
        <v/>
      </c>
      <c r="AI374" s="39" t="str">
        <f t="shared" si="122"/>
        <v/>
      </c>
      <c r="AJ374" s="39" t="str">
        <f t="shared" si="123"/>
        <v/>
      </c>
      <c r="AK374" t="str">
        <f t="shared" si="124"/>
        <v/>
      </c>
      <c r="AL374" t="str">
        <f t="shared" si="125"/>
        <v/>
      </c>
    </row>
    <row r="375" spans="11:38" ht="15">
      <c r="K375" t="str">
        <f t="shared" si="105"/>
        <v/>
      </c>
      <c r="L375" t="str">
        <f t="shared" si="106"/>
        <v/>
      </c>
      <c r="M375" s="36" t="str">
        <f t="shared" si="107"/>
        <v/>
      </c>
      <c r="N375" s="37" t="str">
        <f t="shared" si="108"/>
        <v/>
      </c>
      <c r="O375" s="37" t="str">
        <f t="shared" si="109"/>
        <v/>
      </c>
      <c r="P375" s="38" t="str">
        <f t="shared" si="110"/>
        <v/>
      </c>
      <c r="Q375" s="39" t="str">
        <f t="shared" si="111"/>
        <v/>
      </c>
      <c r="R375" s="39" t="str">
        <f t="shared" si="112"/>
        <v/>
      </c>
      <c r="S375" t="str">
        <f t="shared" si="113"/>
        <v/>
      </c>
      <c r="T375" s="39" t="str">
        <f t="shared" si="114"/>
        <v/>
      </c>
      <c r="U375" t="str">
        <f t="shared" si="115"/>
        <v/>
      </c>
      <c r="V375" t="str">
        <f>IF(L375="","",IF($AO$1=1,IFERROR(MATCH(L375,'11-تشرين الثاني'!$L$2:$L$501,0),0),0))</f>
        <v/>
      </c>
      <c r="W375" t="str">
        <f t="shared" si="116"/>
        <v/>
      </c>
      <c r="X375" s="38" t="str">
        <f>IF(L375="","",IF(V375&gt;0,INDEX('11-تشرين الثاني'!$P$2:$P$501,V375),IF($AO$1=1,0,"")))</f>
        <v/>
      </c>
      <c r="Y375" s="38" t="str">
        <f t="shared" si="117"/>
        <v/>
      </c>
      <c r="Z375" s="39" t="str">
        <f>IF(L375="","",IF(V375&gt;0,INDEX('11-تشرين الثاني'!$Q$2:$Q$501,V375),IF($AO$1=1,0,"")))</f>
        <v/>
      </c>
      <c r="AA375" s="39" t="str">
        <f t="shared" si="118"/>
        <v/>
      </c>
      <c r="AB375" s="40" t="str">
        <f>IF(OR(L375="",V375=0),"",IF(AND(N(I375)&gt;0,N(INDEX('11-تشرين الثاني'!$I$2:$I$501,V375))&gt;0,INDEX('11-تشرين الثاني'!$F$2:$F$501,V375)=F375),N(I375)/N(INDEX('11-تشرين الثاني'!$I$2:$I$501,V375))-1,""))</f>
        <v/>
      </c>
      <c r="AC375" t="str">
        <f t="shared" si="119"/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20"/>
        <v/>
      </c>
      <c r="AH375" s="39" t="str">
        <f t="shared" si="121"/>
        <v/>
      </c>
      <c r="AI375" s="39" t="str">
        <f t="shared" si="122"/>
        <v/>
      </c>
      <c r="AJ375" s="39" t="str">
        <f t="shared" si="123"/>
        <v/>
      </c>
      <c r="AK375" t="str">
        <f t="shared" si="124"/>
        <v/>
      </c>
      <c r="AL375" t="str">
        <f t="shared" si="125"/>
        <v/>
      </c>
    </row>
    <row r="376" spans="11:38" ht="15">
      <c r="K376" t="str">
        <f t="shared" si="105"/>
        <v/>
      </c>
      <c r="L376" t="str">
        <f t="shared" si="106"/>
        <v/>
      </c>
      <c r="M376" s="36" t="str">
        <f t="shared" si="107"/>
        <v/>
      </c>
      <c r="N376" s="37" t="str">
        <f t="shared" si="108"/>
        <v/>
      </c>
      <c r="O376" s="37" t="str">
        <f t="shared" si="109"/>
        <v/>
      </c>
      <c r="P376" s="38" t="str">
        <f t="shared" si="110"/>
        <v/>
      </c>
      <c r="Q376" s="39" t="str">
        <f t="shared" si="111"/>
        <v/>
      </c>
      <c r="R376" s="39" t="str">
        <f t="shared" si="112"/>
        <v/>
      </c>
      <c r="S376" t="str">
        <f t="shared" si="113"/>
        <v/>
      </c>
      <c r="T376" s="39" t="str">
        <f t="shared" si="114"/>
        <v/>
      </c>
      <c r="U376" t="str">
        <f t="shared" si="115"/>
        <v/>
      </c>
      <c r="V376" t="str">
        <f>IF(L376="","",IF($AO$1=1,IFERROR(MATCH(L376,'11-تشرين الثاني'!$L$2:$L$501,0),0),0))</f>
        <v/>
      </c>
      <c r="W376" t="str">
        <f t="shared" si="116"/>
        <v/>
      </c>
      <c r="X376" s="38" t="str">
        <f>IF(L376="","",IF(V376&gt;0,INDEX('11-تشرين الثاني'!$P$2:$P$501,V376),IF($AO$1=1,0,"")))</f>
        <v/>
      </c>
      <c r="Y376" s="38" t="str">
        <f t="shared" si="117"/>
        <v/>
      </c>
      <c r="Z376" s="39" t="str">
        <f>IF(L376="","",IF(V376&gt;0,INDEX('11-تشرين الثاني'!$Q$2:$Q$501,V376),IF($AO$1=1,0,"")))</f>
        <v/>
      </c>
      <c r="AA376" s="39" t="str">
        <f t="shared" si="118"/>
        <v/>
      </c>
      <c r="AB376" s="40" t="str">
        <f>IF(OR(L376="",V376=0),"",IF(AND(N(I376)&gt;0,N(INDEX('11-تشرين الثاني'!$I$2:$I$501,V376))&gt;0,INDEX('11-تشرين الثاني'!$F$2:$F$501,V376)=F376),N(I376)/N(INDEX('11-تشرين الثاني'!$I$2:$I$501,V376))-1,""))</f>
        <v/>
      </c>
      <c r="AC376" t="str">
        <f t="shared" si="119"/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20"/>
        <v/>
      </c>
      <c r="AH376" s="39" t="str">
        <f t="shared" si="121"/>
        <v/>
      </c>
      <c r="AI376" s="39" t="str">
        <f t="shared" si="122"/>
        <v/>
      </c>
      <c r="AJ376" s="39" t="str">
        <f t="shared" si="123"/>
        <v/>
      </c>
      <c r="AK376" t="str">
        <f t="shared" si="124"/>
        <v/>
      </c>
      <c r="AL376" t="str">
        <f t="shared" si="125"/>
        <v/>
      </c>
    </row>
    <row r="377" spans="11:38" ht="15">
      <c r="K377" t="str">
        <f t="shared" si="105"/>
        <v/>
      </c>
      <c r="L377" t="str">
        <f t="shared" si="106"/>
        <v/>
      </c>
      <c r="M377" s="36" t="str">
        <f t="shared" si="107"/>
        <v/>
      </c>
      <c r="N377" s="37" t="str">
        <f t="shared" si="108"/>
        <v/>
      </c>
      <c r="O377" s="37" t="str">
        <f t="shared" si="109"/>
        <v/>
      </c>
      <c r="P377" s="38" t="str">
        <f t="shared" si="110"/>
        <v/>
      </c>
      <c r="Q377" s="39" t="str">
        <f t="shared" si="111"/>
        <v/>
      </c>
      <c r="R377" s="39" t="str">
        <f t="shared" si="112"/>
        <v/>
      </c>
      <c r="S377" t="str">
        <f t="shared" si="113"/>
        <v/>
      </c>
      <c r="T377" s="39" t="str">
        <f t="shared" si="114"/>
        <v/>
      </c>
      <c r="U377" t="str">
        <f t="shared" si="115"/>
        <v/>
      </c>
      <c r="V377" t="str">
        <f>IF(L377="","",IF($AO$1=1,IFERROR(MATCH(L377,'11-تشرين الثاني'!$L$2:$L$501,0),0),0))</f>
        <v/>
      </c>
      <c r="W377" t="str">
        <f t="shared" si="116"/>
        <v/>
      </c>
      <c r="X377" s="38" t="str">
        <f>IF(L377="","",IF(V377&gt;0,INDEX('11-تشرين الثاني'!$P$2:$P$501,V377),IF($AO$1=1,0,"")))</f>
        <v/>
      </c>
      <c r="Y377" s="38" t="str">
        <f t="shared" si="117"/>
        <v/>
      </c>
      <c r="Z377" s="39" t="str">
        <f>IF(L377="","",IF(V377&gt;0,INDEX('11-تشرين الثاني'!$Q$2:$Q$501,V377),IF($AO$1=1,0,"")))</f>
        <v/>
      </c>
      <c r="AA377" s="39" t="str">
        <f t="shared" si="118"/>
        <v/>
      </c>
      <c r="AB377" s="40" t="str">
        <f>IF(OR(L377="",V377=0),"",IF(AND(N(I377)&gt;0,N(INDEX('11-تشرين الثاني'!$I$2:$I$501,V377))&gt;0,INDEX('11-تشرين الثاني'!$F$2:$F$501,V377)=F377),N(I377)/N(INDEX('11-تشرين الثاني'!$I$2:$I$501,V377))-1,""))</f>
        <v/>
      </c>
      <c r="AC377" t="str">
        <f t="shared" si="119"/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20"/>
        <v/>
      </c>
      <c r="AH377" s="39" t="str">
        <f t="shared" si="121"/>
        <v/>
      </c>
      <c r="AI377" s="39" t="str">
        <f t="shared" si="122"/>
        <v/>
      </c>
      <c r="AJ377" s="39" t="str">
        <f t="shared" si="123"/>
        <v/>
      </c>
      <c r="AK377" t="str">
        <f t="shared" si="124"/>
        <v/>
      </c>
      <c r="AL377" t="str">
        <f t="shared" si="125"/>
        <v/>
      </c>
    </row>
    <row r="378" spans="11:38" ht="15">
      <c r="K378" t="str">
        <f t="shared" si="105"/>
        <v/>
      </c>
      <c r="L378" t="str">
        <f t="shared" si="106"/>
        <v/>
      </c>
      <c r="M378" s="36" t="str">
        <f t="shared" si="107"/>
        <v/>
      </c>
      <c r="N378" s="37" t="str">
        <f t="shared" si="108"/>
        <v/>
      </c>
      <c r="O378" s="37" t="str">
        <f t="shared" si="109"/>
        <v/>
      </c>
      <c r="P378" s="38" t="str">
        <f t="shared" si="110"/>
        <v/>
      </c>
      <c r="Q378" s="39" t="str">
        <f t="shared" si="111"/>
        <v/>
      </c>
      <c r="R378" s="39" t="str">
        <f t="shared" si="112"/>
        <v/>
      </c>
      <c r="S378" t="str">
        <f t="shared" si="113"/>
        <v/>
      </c>
      <c r="T378" s="39" t="str">
        <f t="shared" si="114"/>
        <v/>
      </c>
      <c r="U378" t="str">
        <f t="shared" si="115"/>
        <v/>
      </c>
      <c r="V378" t="str">
        <f>IF(L378="","",IF($AO$1=1,IFERROR(MATCH(L378,'11-تشرين الثاني'!$L$2:$L$501,0),0),0))</f>
        <v/>
      </c>
      <c r="W378" t="str">
        <f t="shared" si="116"/>
        <v/>
      </c>
      <c r="X378" s="38" t="str">
        <f>IF(L378="","",IF(V378&gt;0,INDEX('11-تشرين الثاني'!$P$2:$P$501,V378),IF($AO$1=1,0,"")))</f>
        <v/>
      </c>
      <c r="Y378" s="38" t="str">
        <f t="shared" si="117"/>
        <v/>
      </c>
      <c r="Z378" s="39" t="str">
        <f>IF(L378="","",IF(V378&gt;0,INDEX('11-تشرين الثاني'!$Q$2:$Q$501,V378),IF($AO$1=1,0,"")))</f>
        <v/>
      </c>
      <c r="AA378" s="39" t="str">
        <f t="shared" si="118"/>
        <v/>
      </c>
      <c r="AB378" s="40" t="str">
        <f>IF(OR(L378="",V378=0),"",IF(AND(N(I378)&gt;0,N(INDEX('11-تشرين الثاني'!$I$2:$I$501,V378))&gt;0,INDEX('11-تشرين الثاني'!$F$2:$F$501,V378)=F378),N(I378)/N(INDEX('11-تشرين الثاني'!$I$2:$I$501,V378))-1,""))</f>
        <v/>
      </c>
      <c r="AC378" t="str">
        <f t="shared" si="119"/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20"/>
        <v/>
      </c>
      <c r="AH378" s="39" t="str">
        <f t="shared" si="121"/>
        <v/>
      </c>
      <c r="AI378" s="39" t="str">
        <f t="shared" si="122"/>
        <v/>
      </c>
      <c r="AJ378" s="39" t="str">
        <f t="shared" si="123"/>
        <v/>
      </c>
      <c r="AK378" t="str">
        <f t="shared" si="124"/>
        <v/>
      </c>
      <c r="AL378" t="str">
        <f t="shared" si="125"/>
        <v/>
      </c>
    </row>
    <row r="379" spans="11:38" ht="15">
      <c r="K379" t="str">
        <f t="shared" si="105"/>
        <v/>
      </c>
      <c r="L379" t="str">
        <f t="shared" si="106"/>
        <v/>
      </c>
      <c r="M379" s="36" t="str">
        <f t="shared" si="107"/>
        <v/>
      </c>
      <c r="N379" s="37" t="str">
        <f t="shared" si="108"/>
        <v/>
      </c>
      <c r="O379" s="37" t="str">
        <f t="shared" si="109"/>
        <v/>
      </c>
      <c r="P379" s="38" t="str">
        <f t="shared" si="110"/>
        <v/>
      </c>
      <c r="Q379" s="39" t="str">
        <f t="shared" si="111"/>
        <v/>
      </c>
      <c r="R379" s="39" t="str">
        <f t="shared" si="112"/>
        <v/>
      </c>
      <c r="S379" t="str">
        <f t="shared" si="113"/>
        <v/>
      </c>
      <c r="T379" s="39" t="str">
        <f t="shared" si="114"/>
        <v/>
      </c>
      <c r="U379" t="str">
        <f t="shared" si="115"/>
        <v/>
      </c>
      <c r="V379" t="str">
        <f>IF(L379="","",IF($AO$1=1,IFERROR(MATCH(L379,'11-تشرين الثاني'!$L$2:$L$501,0),0),0))</f>
        <v/>
      </c>
      <c r="W379" t="str">
        <f t="shared" si="116"/>
        <v/>
      </c>
      <c r="X379" s="38" t="str">
        <f>IF(L379="","",IF(V379&gt;0,INDEX('11-تشرين الثاني'!$P$2:$P$501,V379),IF($AO$1=1,0,"")))</f>
        <v/>
      </c>
      <c r="Y379" s="38" t="str">
        <f t="shared" si="117"/>
        <v/>
      </c>
      <c r="Z379" s="39" t="str">
        <f>IF(L379="","",IF(V379&gt;0,INDEX('11-تشرين الثاني'!$Q$2:$Q$501,V379),IF($AO$1=1,0,"")))</f>
        <v/>
      </c>
      <c r="AA379" s="39" t="str">
        <f t="shared" si="118"/>
        <v/>
      </c>
      <c r="AB379" s="40" t="str">
        <f>IF(OR(L379="",V379=0),"",IF(AND(N(I379)&gt;0,N(INDEX('11-تشرين الثاني'!$I$2:$I$501,V379))&gt;0,INDEX('11-تشرين الثاني'!$F$2:$F$501,V379)=F379),N(I379)/N(INDEX('11-تشرين الثاني'!$I$2:$I$501,V379))-1,""))</f>
        <v/>
      </c>
      <c r="AC379" t="str">
        <f t="shared" si="119"/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20"/>
        <v/>
      </c>
      <c r="AH379" s="39" t="str">
        <f t="shared" si="121"/>
        <v/>
      </c>
      <c r="AI379" s="39" t="str">
        <f t="shared" si="122"/>
        <v/>
      </c>
      <c r="AJ379" s="39" t="str">
        <f t="shared" si="123"/>
        <v/>
      </c>
      <c r="AK379" t="str">
        <f t="shared" si="124"/>
        <v/>
      </c>
      <c r="AL379" t="str">
        <f t="shared" si="125"/>
        <v/>
      </c>
    </row>
    <row r="380" spans="11:38" ht="15">
      <c r="K380" t="str">
        <f t="shared" si="105"/>
        <v/>
      </c>
      <c r="L380" t="str">
        <f t="shared" si="106"/>
        <v/>
      </c>
      <c r="M380" s="36" t="str">
        <f t="shared" si="107"/>
        <v/>
      </c>
      <c r="N380" s="37" t="str">
        <f t="shared" si="108"/>
        <v/>
      </c>
      <c r="O380" s="37" t="str">
        <f t="shared" si="109"/>
        <v/>
      </c>
      <c r="P380" s="38" t="str">
        <f t="shared" si="110"/>
        <v/>
      </c>
      <c r="Q380" s="39" t="str">
        <f t="shared" si="111"/>
        <v/>
      </c>
      <c r="R380" s="39" t="str">
        <f t="shared" si="112"/>
        <v/>
      </c>
      <c r="S380" t="str">
        <f t="shared" si="113"/>
        <v/>
      </c>
      <c r="T380" s="39" t="str">
        <f t="shared" si="114"/>
        <v/>
      </c>
      <c r="U380" t="str">
        <f t="shared" si="115"/>
        <v/>
      </c>
      <c r="V380" t="str">
        <f>IF(L380="","",IF($AO$1=1,IFERROR(MATCH(L380,'11-تشرين الثاني'!$L$2:$L$501,0),0),0))</f>
        <v/>
      </c>
      <c r="W380" t="str">
        <f t="shared" si="116"/>
        <v/>
      </c>
      <c r="X380" s="38" t="str">
        <f>IF(L380="","",IF(V380&gt;0,INDEX('11-تشرين الثاني'!$P$2:$P$501,V380),IF($AO$1=1,0,"")))</f>
        <v/>
      </c>
      <c r="Y380" s="38" t="str">
        <f t="shared" si="117"/>
        <v/>
      </c>
      <c r="Z380" s="39" t="str">
        <f>IF(L380="","",IF(V380&gt;0,INDEX('11-تشرين الثاني'!$Q$2:$Q$501,V380),IF($AO$1=1,0,"")))</f>
        <v/>
      </c>
      <c r="AA380" s="39" t="str">
        <f t="shared" si="118"/>
        <v/>
      </c>
      <c r="AB380" s="40" t="str">
        <f>IF(OR(L380="",V380=0),"",IF(AND(N(I380)&gt;0,N(INDEX('11-تشرين الثاني'!$I$2:$I$501,V380))&gt;0,INDEX('11-تشرين الثاني'!$F$2:$F$501,V380)=F380),N(I380)/N(INDEX('11-تشرين الثاني'!$I$2:$I$501,V380))-1,""))</f>
        <v/>
      </c>
      <c r="AC380" t="str">
        <f t="shared" si="119"/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20"/>
        <v/>
      </c>
      <c r="AH380" s="39" t="str">
        <f t="shared" si="121"/>
        <v/>
      </c>
      <c r="AI380" s="39" t="str">
        <f t="shared" si="122"/>
        <v/>
      </c>
      <c r="AJ380" s="39" t="str">
        <f t="shared" si="123"/>
        <v/>
      </c>
      <c r="AK380" t="str">
        <f t="shared" si="124"/>
        <v/>
      </c>
      <c r="AL380" t="str">
        <f t="shared" si="125"/>
        <v/>
      </c>
    </row>
    <row r="381" spans="11:38" ht="15">
      <c r="K381" t="str">
        <f t="shared" si="105"/>
        <v/>
      </c>
      <c r="L381" t="str">
        <f t="shared" si="106"/>
        <v/>
      </c>
      <c r="M381" s="36" t="str">
        <f t="shared" si="107"/>
        <v/>
      </c>
      <c r="N381" s="37" t="str">
        <f t="shared" si="108"/>
        <v/>
      </c>
      <c r="O381" s="37" t="str">
        <f t="shared" si="109"/>
        <v/>
      </c>
      <c r="P381" s="38" t="str">
        <f t="shared" si="110"/>
        <v/>
      </c>
      <c r="Q381" s="39" t="str">
        <f t="shared" si="111"/>
        <v/>
      </c>
      <c r="R381" s="39" t="str">
        <f t="shared" si="112"/>
        <v/>
      </c>
      <c r="S381" t="str">
        <f t="shared" si="113"/>
        <v/>
      </c>
      <c r="T381" s="39" t="str">
        <f t="shared" si="114"/>
        <v/>
      </c>
      <c r="U381" t="str">
        <f t="shared" si="115"/>
        <v/>
      </c>
      <c r="V381" t="str">
        <f>IF(L381="","",IF($AO$1=1,IFERROR(MATCH(L381,'11-تشرين الثاني'!$L$2:$L$501,0),0),0))</f>
        <v/>
      </c>
      <c r="W381" t="str">
        <f t="shared" si="116"/>
        <v/>
      </c>
      <c r="X381" s="38" t="str">
        <f>IF(L381="","",IF(V381&gt;0,INDEX('11-تشرين الثاني'!$P$2:$P$501,V381),IF($AO$1=1,0,"")))</f>
        <v/>
      </c>
      <c r="Y381" s="38" t="str">
        <f t="shared" si="117"/>
        <v/>
      </c>
      <c r="Z381" s="39" t="str">
        <f>IF(L381="","",IF(V381&gt;0,INDEX('11-تشرين الثاني'!$Q$2:$Q$501,V381),IF($AO$1=1,0,"")))</f>
        <v/>
      </c>
      <c r="AA381" s="39" t="str">
        <f t="shared" si="118"/>
        <v/>
      </c>
      <c r="AB381" s="40" t="str">
        <f>IF(OR(L381="",V381=0),"",IF(AND(N(I381)&gt;0,N(INDEX('11-تشرين الثاني'!$I$2:$I$501,V381))&gt;0,INDEX('11-تشرين الثاني'!$F$2:$F$501,V381)=F381),N(I381)/N(INDEX('11-تشرين الثاني'!$I$2:$I$501,V381))-1,""))</f>
        <v/>
      </c>
      <c r="AC381" t="str">
        <f t="shared" si="119"/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20"/>
        <v/>
      </c>
      <c r="AH381" s="39" t="str">
        <f t="shared" si="121"/>
        <v/>
      </c>
      <c r="AI381" s="39" t="str">
        <f t="shared" si="122"/>
        <v/>
      </c>
      <c r="AJ381" s="39" t="str">
        <f t="shared" si="123"/>
        <v/>
      </c>
      <c r="AK381" t="str">
        <f t="shared" si="124"/>
        <v/>
      </c>
      <c r="AL381" t="str">
        <f t="shared" si="125"/>
        <v/>
      </c>
    </row>
    <row r="382" spans="11:38" ht="15">
      <c r="K382" t="str">
        <f t="shared" si="105"/>
        <v/>
      </c>
      <c r="L382" t="str">
        <f t="shared" si="106"/>
        <v/>
      </c>
      <c r="M382" s="36" t="str">
        <f t="shared" si="107"/>
        <v/>
      </c>
      <c r="N382" s="37" t="str">
        <f t="shared" si="108"/>
        <v/>
      </c>
      <c r="O382" s="37" t="str">
        <f t="shared" si="109"/>
        <v/>
      </c>
      <c r="P382" s="38" t="str">
        <f t="shared" si="110"/>
        <v/>
      </c>
      <c r="Q382" s="39" t="str">
        <f t="shared" si="111"/>
        <v/>
      </c>
      <c r="R382" s="39" t="str">
        <f t="shared" si="112"/>
        <v/>
      </c>
      <c r="S382" t="str">
        <f t="shared" si="113"/>
        <v/>
      </c>
      <c r="T382" s="39" t="str">
        <f t="shared" si="114"/>
        <v/>
      </c>
      <c r="U382" t="str">
        <f t="shared" si="115"/>
        <v/>
      </c>
      <c r="V382" t="str">
        <f>IF(L382="","",IF($AO$1=1,IFERROR(MATCH(L382,'11-تشرين الثاني'!$L$2:$L$501,0),0),0))</f>
        <v/>
      </c>
      <c r="W382" t="str">
        <f t="shared" si="116"/>
        <v/>
      </c>
      <c r="X382" s="38" t="str">
        <f>IF(L382="","",IF(V382&gt;0,INDEX('11-تشرين الثاني'!$P$2:$P$501,V382),IF($AO$1=1,0,"")))</f>
        <v/>
      </c>
      <c r="Y382" s="38" t="str">
        <f t="shared" si="117"/>
        <v/>
      </c>
      <c r="Z382" s="39" t="str">
        <f>IF(L382="","",IF(V382&gt;0,INDEX('11-تشرين الثاني'!$Q$2:$Q$501,V382),IF($AO$1=1,0,"")))</f>
        <v/>
      </c>
      <c r="AA382" s="39" t="str">
        <f t="shared" si="118"/>
        <v/>
      </c>
      <c r="AB382" s="40" t="str">
        <f>IF(OR(L382="",V382=0),"",IF(AND(N(I382)&gt;0,N(INDEX('11-تشرين الثاني'!$I$2:$I$501,V382))&gt;0,INDEX('11-تشرين الثاني'!$F$2:$F$501,V382)=F382),N(I382)/N(INDEX('11-تشرين الثاني'!$I$2:$I$501,V382))-1,""))</f>
        <v/>
      </c>
      <c r="AC382" t="str">
        <f t="shared" si="119"/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20"/>
        <v/>
      </c>
      <c r="AH382" s="39" t="str">
        <f t="shared" si="121"/>
        <v/>
      </c>
      <c r="AI382" s="39" t="str">
        <f t="shared" si="122"/>
        <v/>
      </c>
      <c r="AJ382" s="39" t="str">
        <f t="shared" si="123"/>
        <v/>
      </c>
      <c r="AK382" t="str">
        <f t="shared" si="124"/>
        <v/>
      </c>
      <c r="AL382" t="str">
        <f t="shared" si="125"/>
        <v/>
      </c>
    </row>
    <row r="383" spans="11:38" ht="15">
      <c r="K383" t="str">
        <f t="shared" si="105"/>
        <v/>
      </c>
      <c r="L383" t="str">
        <f t="shared" si="106"/>
        <v/>
      </c>
      <c r="M383" s="36" t="str">
        <f t="shared" si="107"/>
        <v/>
      </c>
      <c r="N383" s="37" t="str">
        <f t="shared" si="108"/>
        <v/>
      </c>
      <c r="O383" s="37" t="str">
        <f t="shared" si="109"/>
        <v/>
      </c>
      <c r="P383" s="38" t="str">
        <f t="shared" si="110"/>
        <v/>
      </c>
      <c r="Q383" s="39" t="str">
        <f t="shared" si="111"/>
        <v/>
      </c>
      <c r="R383" s="39" t="str">
        <f t="shared" si="112"/>
        <v/>
      </c>
      <c r="S383" t="str">
        <f t="shared" si="113"/>
        <v/>
      </c>
      <c r="T383" s="39" t="str">
        <f t="shared" si="114"/>
        <v/>
      </c>
      <c r="U383" t="str">
        <f t="shared" si="115"/>
        <v/>
      </c>
      <c r="V383" t="str">
        <f>IF(L383="","",IF($AO$1=1,IFERROR(MATCH(L383,'11-تشرين الثاني'!$L$2:$L$501,0),0),0))</f>
        <v/>
      </c>
      <c r="W383" t="str">
        <f t="shared" si="116"/>
        <v/>
      </c>
      <c r="X383" s="38" t="str">
        <f>IF(L383="","",IF(V383&gt;0,INDEX('11-تشرين الثاني'!$P$2:$P$501,V383),IF($AO$1=1,0,"")))</f>
        <v/>
      </c>
      <c r="Y383" s="38" t="str">
        <f t="shared" si="117"/>
        <v/>
      </c>
      <c r="Z383" s="39" t="str">
        <f>IF(L383="","",IF(V383&gt;0,INDEX('11-تشرين الثاني'!$Q$2:$Q$501,V383),IF($AO$1=1,0,"")))</f>
        <v/>
      </c>
      <c r="AA383" s="39" t="str">
        <f t="shared" si="118"/>
        <v/>
      </c>
      <c r="AB383" s="40" t="str">
        <f>IF(OR(L383="",V383=0),"",IF(AND(N(I383)&gt;0,N(INDEX('11-تشرين الثاني'!$I$2:$I$501,V383))&gt;0,INDEX('11-تشرين الثاني'!$F$2:$F$501,V383)=F383),N(I383)/N(INDEX('11-تشرين الثاني'!$I$2:$I$501,V383))-1,""))</f>
        <v/>
      </c>
      <c r="AC383" t="str">
        <f t="shared" si="119"/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20"/>
        <v/>
      </c>
      <c r="AH383" s="39" t="str">
        <f t="shared" si="121"/>
        <v/>
      </c>
      <c r="AI383" s="39" t="str">
        <f t="shared" si="122"/>
        <v/>
      </c>
      <c r="AJ383" s="39" t="str">
        <f t="shared" si="123"/>
        <v/>
      </c>
      <c r="AK383" t="str">
        <f t="shared" si="124"/>
        <v/>
      </c>
      <c r="AL383" t="str">
        <f t="shared" si="125"/>
        <v/>
      </c>
    </row>
    <row r="384" spans="11:38" ht="15">
      <c r="K384" t="str">
        <f t="shared" si="105"/>
        <v/>
      </c>
      <c r="L384" t="str">
        <f t="shared" si="106"/>
        <v/>
      </c>
      <c r="M384" s="36" t="str">
        <f t="shared" si="107"/>
        <v/>
      </c>
      <c r="N384" s="37" t="str">
        <f t="shared" si="108"/>
        <v/>
      </c>
      <c r="O384" s="37" t="str">
        <f t="shared" si="109"/>
        <v/>
      </c>
      <c r="P384" s="38" t="str">
        <f t="shared" si="110"/>
        <v/>
      </c>
      <c r="Q384" s="39" t="str">
        <f t="shared" si="111"/>
        <v/>
      </c>
      <c r="R384" s="39" t="str">
        <f t="shared" si="112"/>
        <v/>
      </c>
      <c r="S384" t="str">
        <f t="shared" si="113"/>
        <v/>
      </c>
      <c r="T384" s="39" t="str">
        <f t="shared" si="114"/>
        <v/>
      </c>
      <c r="U384" t="str">
        <f t="shared" si="115"/>
        <v/>
      </c>
      <c r="V384" t="str">
        <f>IF(L384="","",IF($AO$1=1,IFERROR(MATCH(L384,'11-تشرين الثاني'!$L$2:$L$501,0),0),0))</f>
        <v/>
      </c>
      <c r="W384" t="str">
        <f t="shared" si="116"/>
        <v/>
      </c>
      <c r="X384" s="38" t="str">
        <f>IF(L384="","",IF(V384&gt;0,INDEX('11-تشرين الثاني'!$P$2:$P$501,V384),IF($AO$1=1,0,"")))</f>
        <v/>
      </c>
      <c r="Y384" s="38" t="str">
        <f t="shared" si="117"/>
        <v/>
      </c>
      <c r="Z384" s="39" t="str">
        <f>IF(L384="","",IF(V384&gt;0,INDEX('11-تشرين الثاني'!$Q$2:$Q$501,V384),IF($AO$1=1,0,"")))</f>
        <v/>
      </c>
      <c r="AA384" s="39" t="str">
        <f t="shared" si="118"/>
        <v/>
      </c>
      <c r="AB384" s="40" t="str">
        <f>IF(OR(L384="",V384=0),"",IF(AND(N(I384)&gt;0,N(INDEX('11-تشرين الثاني'!$I$2:$I$501,V384))&gt;0,INDEX('11-تشرين الثاني'!$F$2:$F$501,V384)=F384),N(I384)/N(INDEX('11-تشرين الثاني'!$I$2:$I$501,V384))-1,""))</f>
        <v/>
      </c>
      <c r="AC384" t="str">
        <f t="shared" si="119"/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20"/>
        <v/>
      </c>
      <c r="AH384" s="39" t="str">
        <f t="shared" si="121"/>
        <v/>
      </c>
      <c r="AI384" s="39" t="str">
        <f t="shared" si="122"/>
        <v/>
      </c>
      <c r="AJ384" s="39" t="str">
        <f t="shared" si="123"/>
        <v/>
      </c>
      <c r="AK384" t="str">
        <f t="shared" si="124"/>
        <v/>
      </c>
      <c r="AL384" t="str">
        <f t="shared" si="125"/>
        <v/>
      </c>
    </row>
    <row r="385" spans="11:38" ht="15">
      <c r="K385" t="str">
        <f t="shared" si="105"/>
        <v/>
      </c>
      <c r="L385" t="str">
        <f t="shared" si="106"/>
        <v/>
      </c>
      <c r="M385" s="36" t="str">
        <f t="shared" si="107"/>
        <v/>
      </c>
      <c r="N385" s="37" t="str">
        <f t="shared" si="108"/>
        <v/>
      </c>
      <c r="O385" s="37" t="str">
        <f t="shared" si="109"/>
        <v/>
      </c>
      <c r="P385" s="38" t="str">
        <f t="shared" si="110"/>
        <v/>
      </c>
      <c r="Q385" s="39" t="str">
        <f t="shared" si="111"/>
        <v/>
      </c>
      <c r="R385" s="39" t="str">
        <f t="shared" si="112"/>
        <v/>
      </c>
      <c r="S385" t="str">
        <f t="shared" si="113"/>
        <v/>
      </c>
      <c r="T385" s="39" t="str">
        <f t="shared" si="114"/>
        <v/>
      </c>
      <c r="U385" t="str">
        <f t="shared" si="115"/>
        <v/>
      </c>
      <c r="V385" t="str">
        <f>IF(L385="","",IF($AO$1=1,IFERROR(MATCH(L385,'11-تشرين الثاني'!$L$2:$L$501,0),0),0))</f>
        <v/>
      </c>
      <c r="W385" t="str">
        <f t="shared" si="116"/>
        <v/>
      </c>
      <c r="X385" s="38" t="str">
        <f>IF(L385="","",IF(V385&gt;0,INDEX('11-تشرين الثاني'!$P$2:$P$501,V385),IF($AO$1=1,0,"")))</f>
        <v/>
      </c>
      <c r="Y385" s="38" t="str">
        <f t="shared" si="117"/>
        <v/>
      </c>
      <c r="Z385" s="39" t="str">
        <f>IF(L385="","",IF(V385&gt;0,INDEX('11-تشرين الثاني'!$Q$2:$Q$501,V385),IF($AO$1=1,0,"")))</f>
        <v/>
      </c>
      <c r="AA385" s="39" t="str">
        <f t="shared" si="118"/>
        <v/>
      </c>
      <c r="AB385" s="40" t="str">
        <f>IF(OR(L385="",V385=0),"",IF(AND(N(I385)&gt;0,N(INDEX('11-تشرين الثاني'!$I$2:$I$501,V385))&gt;0,INDEX('11-تشرين الثاني'!$F$2:$F$501,V385)=F385),N(I385)/N(INDEX('11-تشرين الثاني'!$I$2:$I$501,V385))-1,""))</f>
        <v/>
      </c>
      <c r="AC385" t="str">
        <f t="shared" si="119"/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20"/>
        <v/>
      </c>
      <c r="AH385" s="39" t="str">
        <f t="shared" si="121"/>
        <v/>
      </c>
      <c r="AI385" s="39" t="str">
        <f t="shared" si="122"/>
        <v/>
      </c>
      <c r="AJ385" s="39" t="str">
        <f t="shared" si="123"/>
        <v/>
      </c>
      <c r="AK385" t="str">
        <f t="shared" si="124"/>
        <v/>
      </c>
      <c r="AL385" t="str">
        <f t="shared" si="125"/>
        <v/>
      </c>
    </row>
    <row r="386" spans="11:38" ht="15">
      <c r="K386" t="str">
        <f t="shared" ref="K386:K449" si="126">IF(L386="","",IF(U386&lt;&gt;"","⚠",""))</f>
        <v/>
      </c>
      <c r="L386" t="str">
        <f t="shared" ref="L386:L449" si="127">IF(A386="","",TRIM(A386))</f>
        <v/>
      </c>
      <c r="M386" s="36" t="str">
        <f t="shared" ref="M386:M449" si="128">IF(L386="","",IF(ISNUMBER(SEARCH("دولار",F386)),1,IF(ISNUMBER(SEARCH("ليرة",F386)),IF($AO$3&gt;0,1/$AO$3,0),0)))</f>
        <v/>
      </c>
      <c r="N386" s="37" t="str">
        <f t="shared" ref="N386:N449" si="129">IF(L386="","",N(I386)*M386)</f>
        <v/>
      </c>
      <c r="O386" s="37" t="str">
        <f t="shared" ref="O386:O449" si="130">IF(L386="","",M386*CHOOSE($AO$4,N(C386),N(D386),N(E386)))</f>
        <v/>
      </c>
      <c r="P386" s="38" t="str">
        <f t="shared" ref="P386:P449" si="131">IF(L386="","",MAX(N(B386),0))</f>
        <v/>
      </c>
      <c r="Q386" s="39" t="str">
        <f t="shared" ref="Q386:Q449" si="132">IF(L386="","",P386*N386)</f>
        <v/>
      </c>
      <c r="R386" s="39" t="str">
        <f t="shared" ref="R386:R449" si="133">IF(L386="","",P386*O386)</f>
        <v/>
      </c>
      <c r="S386" t="str">
        <f t="shared" ref="S386:S449" si="134">IF(L386="","",IF(AND(P386&gt;0,N386&gt;0,O386&gt;0),1,0))</f>
        <v/>
      </c>
      <c r="T386" s="39" t="str">
        <f t="shared" ref="T386:T449" si="135">IF(L386="","",S386*(R386-Q386))</f>
        <v/>
      </c>
      <c r="U386" t="str">
        <f t="shared" ref="U386:U449" si="136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IF(L386="","",IF($AO$1=1,IFERROR(MATCH(L386,'11-تشرين الثاني'!$L$2:$L$501,0),0),0))</f>
        <v/>
      </c>
      <c r="W386" t="str">
        <f t="shared" ref="W386:W449" si="137">IF(L386="","",IF(AND($AO$1=1,V386=0),"جديد",""))</f>
        <v/>
      </c>
      <c r="X386" s="38" t="str">
        <f>IF(L386="","",IF(V386&gt;0,INDEX('11-تشرين الثاني'!$P$2:$P$501,V386),IF($AO$1=1,0,"")))</f>
        <v/>
      </c>
      <c r="Y386" s="38" t="str">
        <f t="shared" ref="Y386:Y449" si="138">IF(OR(L386="",X386=""),"",P386-X386)</f>
        <v/>
      </c>
      <c r="Z386" s="39" t="str">
        <f>IF(L386="","",IF(V386&gt;0,INDEX('11-تشرين الثاني'!$Q$2:$Q$501,V386),IF($AO$1=1,0,"")))</f>
        <v/>
      </c>
      <c r="AA386" s="39" t="str">
        <f t="shared" ref="AA386:AA449" si="139">IF(OR(L386="",Z386=""),"",Q386-Z386)</f>
        <v/>
      </c>
      <c r="AB386" s="40" t="str">
        <f>IF(OR(L386="",V386=0),"",IF(AND(N(I386)&gt;0,N(INDEX('11-تشرين الثاني'!$I$2:$I$501,V386))&gt;0,INDEX('11-تشرين الثاني'!$F$2:$F$501,V386)=F386),N(I386)/N(INDEX('11-تشرين الثاني'!$I$2:$I$501,V386))-1,""))</f>
        <v/>
      </c>
      <c r="AC386" t="str">
        <f t="shared" ref="AC386:AC449" si="140">IF(L386="","","")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41">IF(AA386="","",ABS(AA386)+ROW()/1000000000)</f>
        <v/>
      </c>
      <c r="AH386" s="39" t="str">
        <f t="shared" ref="AH386:AH449" si="142">IF(L386="","",IF(AND(P386&gt;0,N386&gt;0,N(C386)&gt;0),P386*(M386*N(C386)-N386),0))</f>
        <v/>
      </c>
      <c r="AI386" s="39" t="str">
        <f t="shared" ref="AI386:AI449" si="143">IF(L386="","",IF(AND(P386&gt;0,N386&gt;0,N(D386)&gt;0),P386*(M386*N(D386)-N386),0))</f>
        <v/>
      </c>
      <c r="AJ386" s="39" t="str">
        <f t="shared" ref="AJ386:AJ449" si="144">IF(L386="","",IF(AND(P386&gt;0,N386&gt;0,N(E386)&gt;0),P386*(M386*N(E386)-N386),0))</f>
        <v/>
      </c>
      <c r="AK386" t="str">
        <f t="shared" ref="AK386:AK449" si="145">IF(L386="","",Q386+ROW()/1000000000)</f>
        <v/>
      </c>
      <c r="AL386" t="str">
        <f t="shared" ref="AL386:AL449" si="146">IF(L386="","",T386+ROW()/1000000000)</f>
        <v/>
      </c>
    </row>
    <row r="387" spans="11:38" ht="15">
      <c r="K387" t="str">
        <f t="shared" si="126"/>
        <v/>
      </c>
      <c r="L387" t="str">
        <f t="shared" si="127"/>
        <v/>
      </c>
      <c r="M387" s="36" t="str">
        <f t="shared" si="128"/>
        <v/>
      </c>
      <c r="N387" s="37" t="str">
        <f t="shared" si="129"/>
        <v/>
      </c>
      <c r="O387" s="37" t="str">
        <f t="shared" si="130"/>
        <v/>
      </c>
      <c r="P387" s="38" t="str">
        <f t="shared" si="131"/>
        <v/>
      </c>
      <c r="Q387" s="39" t="str">
        <f t="shared" si="132"/>
        <v/>
      </c>
      <c r="R387" s="39" t="str">
        <f t="shared" si="133"/>
        <v/>
      </c>
      <c r="S387" t="str">
        <f t="shared" si="134"/>
        <v/>
      </c>
      <c r="T387" s="39" t="str">
        <f t="shared" si="135"/>
        <v/>
      </c>
      <c r="U387" t="str">
        <f t="shared" si="136"/>
        <v/>
      </c>
      <c r="V387" t="str">
        <f>IF(L387="","",IF($AO$1=1,IFERROR(MATCH(L387,'11-تشرين الثاني'!$L$2:$L$501,0),0),0))</f>
        <v/>
      </c>
      <c r="W387" t="str">
        <f t="shared" si="137"/>
        <v/>
      </c>
      <c r="X387" s="38" t="str">
        <f>IF(L387="","",IF(V387&gt;0,INDEX('11-تشرين الثاني'!$P$2:$P$501,V387),IF($AO$1=1,0,"")))</f>
        <v/>
      </c>
      <c r="Y387" s="38" t="str">
        <f t="shared" si="138"/>
        <v/>
      </c>
      <c r="Z387" s="39" t="str">
        <f>IF(L387="","",IF(V387&gt;0,INDEX('11-تشرين الثاني'!$Q$2:$Q$501,V387),IF($AO$1=1,0,"")))</f>
        <v/>
      </c>
      <c r="AA387" s="39" t="str">
        <f t="shared" si="139"/>
        <v/>
      </c>
      <c r="AB387" s="40" t="str">
        <f>IF(OR(L387="",V387=0),"",IF(AND(N(I387)&gt;0,N(INDEX('11-تشرين الثاني'!$I$2:$I$501,V387))&gt;0,INDEX('11-تشرين الثاني'!$F$2:$F$501,V387)=F387),N(I387)/N(INDEX('11-تشرين الثاني'!$I$2:$I$501,V387))-1,""))</f>
        <v/>
      </c>
      <c r="AC387" t="str">
        <f t="shared" si="140"/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41"/>
        <v/>
      </c>
      <c r="AH387" s="39" t="str">
        <f t="shared" si="142"/>
        <v/>
      </c>
      <c r="AI387" s="39" t="str">
        <f t="shared" si="143"/>
        <v/>
      </c>
      <c r="AJ387" s="39" t="str">
        <f t="shared" si="144"/>
        <v/>
      </c>
      <c r="AK387" t="str">
        <f t="shared" si="145"/>
        <v/>
      </c>
      <c r="AL387" t="str">
        <f t="shared" si="146"/>
        <v/>
      </c>
    </row>
    <row r="388" spans="11:38" ht="15">
      <c r="K388" t="str">
        <f t="shared" si="126"/>
        <v/>
      </c>
      <c r="L388" t="str">
        <f t="shared" si="127"/>
        <v/>
      </c>
      <c r="M388" s="36" t="str">
        <f t="shared" si="128"/>
        <v/>
      </c>
      <c r="N388" s="37" t="str">
        <f t="shared" si="129"/>
        <v/>
      </c>
      <c r="O388" s="37" t="str">
        <f t="shared" si="130"/>
        <v/>
      </c>
      <c r="P388" s="38" t="str">
        <f t="shared" si="131"/>
        <v/>
      </c>
      <c r="Q388" s="39" t="str">
        <f t="shared" si="132"/>
        <v/>
      </c>
      <c r="R388" s="39" t="str">
        <f t="shared" si="133"/>
        <v/>
      </c>
      <c r="S388" t="str">
        <f t="shared" si="134"/>
        <v/>
      </c>
      <c r="T388" s="39" t="str">
        <f t="shared" si="135"/>
        <v/>
      </c>
      <c r="U388" t="str">
        <f t="shared" si="136"/>
        <v/>
      </c>
      <c r="V388" t="str">
        <f>IF(L388="","",IF($AO$1=1,IFERROR(MATCH(L388,'11-تشرين الثاني'!$L$2:$L$501,0),0),0))</f>
        <v/>
      </c>
      <c r="W388" t="str">
        <f t="shared" si="137"/>
        <v/>
      </c>
      <c r="X388" s="38" t="str">
        <f>IF(L388="","",IF(V388&gt;0,INDEX('11-تشرين الثاني'!$P$2:$P$501,V388),IF($AO$1=1,0,"")))</f>
        <v/>
      </c>
      <c r="Y388" s="38" t="str">
        <f t="shared" si="138"/>
        <v/>
      </c>
      <c r="Z388" s="39" t="str">
        <f>IF(L388="","",IF(V388&gt;0,INDEX('11-تشرين الثاني'!$Q$2:$Q$501,V388),IF($AO$1=1,0,"")))</f>
        <v/>
      </c>
      <c r="AA388" s="39" t="str">
        <f t="shared" si="139"/>
        <v/>
      </c>
      <c r="AB388" s="40" t="str">
        <f>IF(OR(L388="",V388=0),"",IF(AND(N(I388)&gt;0,N(INDEX('11-تشرين الثاني'!$I$2:$I$501,V388))&gt;0,INDEX('11-تشرين الثاني'!$F$2:$F$501,V388)=F388),N(I388)/N(INDEX('11-تشرين الثاني'!$I$2:$I$501,V388))-1,""))</f>
        <v/>
      </c>
      <c r="AC388" t="str">
        <f t="shared" si="140"/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41"/>
        <v/>
      </c>
      <c r="AH388" s="39" t="str">
        <f t="shared" si="142"/>
        <v/>
      </c>
      <c r="AI388" s="39" t="str">
        <f t="shared" si="143"/>
        <v/>
      </c>
      <c r="AJ388" s="39" t="str">
        <f t="shared" si="144"/>
        <v/>
      </c>
      <c r="AK388" t="str">
        <f t="shared" si="145"/>
        <v/>
      </c>
      <c r="AL388" t="str">
        <f t="shared" si="146"/>
        <v/>
      </c>
    </row>
    <row r="389" spans="11:38" ht="15">
      <c r="K389" t="str">
        <f t="shared" si="126"/>
        <v/>
      </c>
      <c r="L389" t="str">
        <f t="shared" si="127"/>
        <v/>
      </c>
      <c r="M389" s="36" t="str">
        <f t="shared" si="128"/>
        <v/>
      </c>
      <c r="N389" s="37" t="str">
        <f t="shared" si="129"/>
        <v/>
      </c>
      <c r="O389" s="37" t="str">
        <f t="shared" si="130"/>
        <v/>
      </c>
      <c r="P389" s="38" t="str">
        <f t="shared" si="131"/>
        <v/>
      </c>
      <c r="Q389" s="39" t="str">
        <f t="shared" si="132"/>
        <v/>
      </c>
      <c r="R389" s="39" t="str">
        <f t="shared" si="133"/>
        <v/>
      </c>
      <c r="S389" t="str">
        <f t="shared" si="134"/>
        <v/>
      </c>
      <c r="T389" s="39" t="str">
        <f t="shared" si="135"/>
        <v/>
      </c>
      <c r="U389" t="str">
        <f t="shared" si="136"/>
        <v/>
      </c>
      <c r="V389" t="str">
        <f>IF(L389="","",IF($AO$1=1,IFERROR(MATCH(L389,'11-تشرين الثاني'!$L$2:$L$501,0),0),0))</f>
        <v/>
      </c>
      <c r="W389" t="str">
        <f t="shared" si="137"/>
        <v/>
      </c>
      <c r="X389" s="38" t="str">
        <f>IF(L389="","",IF(V389&gt;0,INDEX('11-تشرين الثاني'!$P$2:$P$501,V389),IF($AO$1=1,0,"")))</f>
        <v/>
      </c>
      <c r="Y389" s="38" t="str">
        <f t="shared" si="138"/>
        <v/>
      </c>
      <c r="Z389" s="39" t="str">
        <f>IF(L389="","",IF(V389&gt;0,INDEX('11-تشرين الثاني'!$Q$2:$Q$501,V389),IF($AO$1=1,0,"")))</f>
        <v/>
      </c>
      <c r="AA389" s="39" t="str">
        <f t="shared" si="139"/>
        <v/>
      </c>
      <c r="AB389" s="40" t="str">
        <f>IF(OR(L389="",V389=0),"",IF(AND(N(I389)&gt;0,N(INDEX('11-تشرين الثاني'!$I$2:$I$501,V389))&gt;0,INDEX('11-تشرين الثاني'!$F$2:$F$501,V389)=F389),N(I389)/N(INDEX('11-تشرين الثاني'!$I$2:$I$501,V389))-1,""))</f>
        <v/>
      </c>
      <c r="AC389" t="str">
        <f t="shared" si="140"/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41"/>
        <v/>
      </c>
      <c r="AH389" s="39" t="str">
        <f t="shared" si="142"/>
        <v/>
      </c>
      <c r="AI389" s="39" t="str">
        <f t="shared" si="143"/>
        <v/>
      </c>
      <c r="AJ389" s="39" t="str">
        <f t="shared" si="144"/>
        <v/>
      </c>
      <c r="AK389" t="str">
        <f t="shared" si="145"/>
        <v/>
      </c>
      <c r="AL389" t="str">
        <f t="shared" si="146"/>
        <v/>
      </c>
    </row>
    <row r="390" spans="11:38" ht="15">
      <c r="K390" t="str">
        <f t="shared" si="126"/>
        <v/>
      </c>
      <c r="L390" t="str">
        <f t="shared" si="127"/>
        <v/>
      </c>
      <c r="M390" s="36" t="str">
        <f t="shared" si="128"/>
        <v/>
      </c>
      <c r="N390" s="37" t="str">
        <f t="shared" si="129"/>
        <v/>
      </c>
      <c r="O390" s="37" t="str">
        <f t="shared" si="130"/>
        <v/>
      </c>
      <c r="P390" s="38" t="str">
        <f t="shared" si="131"/>
        <v/>
      </c>
      <c r="Q390" s="39" t="str">
        <f t="shared" si="132"/>
        <v/>
      </c>
      <c r="R390" s="39" t="str">
        <f t="shared" si="133"/>
        <v/>
      </c>
      <c r="S390" t="str">
        <f t="shared" si="134"/>
        <v/>
      </c>
      <c r="T390" s="39" t="str">
        <f t="shared" si="135"/>
        <v/>
      </c>
      <c r="U390" t="str">
        <f t="shared" si="136"/>
        <v/>
      </c>
      <c r="V390" t="str">
        <f>IF(L390="","",IF($AO$1=1,IFERROR(MATCH(L390,'11-تشرين الثاني'!$L$2:$L$501,0),0),0))</f>
        <v/>
      </c>
      <c r="W390" t="str">
        <f t="shared" si="137"/>
        <v/>
      </c>
      <c r="X390" s="38" t="str">
        <f>IF(L390="","",IF(V390&gt;0,INDEX('11-تشرين الثاني'!$P$2:$P$501,V390),IF($AO$1=1,0,"")))</f>
        <v/>
      </c>
      <c r="Y390" s="38" t="str">
        <f t="shared" si="138"/>
        <v/>
      </c>
      <c r="Z390" s="39" t="str">
        <f>IF(L390="","",IF(V390&gt;0,INDEX('11-تشرين الثاني'!$Q$2:$Q$501,V390),IF($AO$1=1,0,"")))</f>
        <v/>
      </c>
      <c r="AA390" s="39" t="str">
        <f t="shared" si="139"/>
        <v/>
      </c>
      <c r="AB390" s="40" t="str">
        <f>IF(OR(L390="",V390=0),"",IF(AND(N(I390)&gt;0,N(INDEX('11-تشرين الثاني'!$I$2:$I$501,V390))&gt;0,INDEX('11-تشرين الثاني'!$F$2:$F$501,V390)=F390),N(I390)/N(INDEX('11-تشرين الثاني'!$I$2:$I$501,V390))-1,""))</f>
        <v/>
      </c>
      <c r="AC390" t="str">
        <f t="shared" si="140"/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41"/>
        <v/>
      </c>
      <c r="AH390" s="39" t="str">
        <f t="shared" si="142"/>
        <v/>
      </c>
      <c r="AI390" s="39" t="str">
        <f t="shared" si="143"/>
        <v/>
      </c>
      <c r="AJ390" s="39" t="str">
        <f t="shared" si="144"/>
        <v/>
      </c>
      <c r="AK390" t="str">
        <f t="shared" si="145"/>
        <v/>
      </c>
      <c r="AL390" t="str">
        <f t="shared" si="146"/>
        <v/>
      </c>
    </row>
    <row r="391" spans="11:38" ht="15">
      <c r="K391" t="str">
        <f t="shared" si="126"/>
        <v/>
      </c>
      <c r="L391" t="str">
        <f t="shared" si="127"/>
        <v/>
      </c>
      <c r="M391" s="36" t="str">
        <f t="shared" si="128"/>
        <v/>
      </c>
      <c r="N391" s="37" t="str">
        <f t="shared" si="129"/>
        <v/>
      </c>
      <c r="O391" s="37" t="str">
        <f t="shared" si="130"/>
        <v/>
      </c>
      <c r="P391" s="38" t="str">
        <f t="shared" si="131"/>
        <v/>
      </c>
      <c r="Q391" s="39" t="str">
        <f t="shared" si="132"/>
        <v/>
      </c>
      <c r="R391" s="39" t="str">
        <f t="shared" si="133"/>
        <v/>
      </c>
      <c r="S391" t="str">
        <f t="shared" si="134"/>
        <v/>
      </c>
      <c r="T391" s="39" t="str">
        <f t="shared" si="135"/>
        <v/>
      </c>
      <c r="U391" t="str">
        <f t="shared" si="136"/>
        <v/>
      </c>
      <c r="V391" t="str">
        <f>IF(L391="","",IF($AO$1=1,IFERROR(MATCH(L391,'11-تشرين الثاني'!$L$2:$L$501,0),0),0))</f>
        <v/>
      </c>
      <c r="W391" t="str">
        <f t="shared" si="137"/>
        <v/>
      </c>
      <c r="X391" s="38" t="str">
        <f>IF(L391="","",IF(V391&gt;0,INDEX('11-تشرين الثاني'!$P$2:$P$501,V391),IF($AO$1=1,0,"")))</f>
        <v/>
      </c>
      <c r="Y391" s="38" t="str">
        <f t="shared" si="138"/>
        <v/>
      </c>
      <c r="Z391" s="39" t="str">
        <f>IF(L391="","",IF(V391&gt;0,INDEX('11-تشرين الثاني'!$Q$2:$Q$501,V391),IF($AO$1=1,0,"")))</f>
        <v/>
      </c>
      <c r="AA391" s="39" t="str">
        <f t="shared" si="139"/>
        <v/>
      </c>
      <c r="AB391" s="40" t="str">
        <f>IF(OR(L391="",V391=0),"",IF(AND(N(I391)&gt;0,N(INDEX('11-تشرين الثاني'!$I$2:$I$501,V391))&gt;0,INDEX('11-تشرين الثاني'!$F$2:$F$501,V391)=F391),N(I391)/N(INDEX('11-تشرين الثاني'!$I$2:$I$501,V391))-1,""))</f>
        <v/>
      </c>
      <c r="AC391" t="str">
        <f t="shared" si="140"/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41"/>
        <v/>
      </c>
      <c r="AH391" s="39" t="str">
        <f t="shared" si="142"/>
        <v/>
      </c>
      <c r="AI391" s="39" t="str">
        <f t="shared" si="143"/>
        <v/>
      </c>
      <c r="AJ391" s="39" t="str">
        <f t="shared" si="144"/>
        <v/>
      </c>
      <c r="AK391" t="str">
        <f t="shared" si="145"/>
        <v/>
      </c>
      <c r="AL391" t="str">
        <f t="shared" si="146"/>
        <v/>
      </c>
    </row>
    <row r="392" spans="11:38" ht="15">
      <c r="K392" t="str">
        <f t="shared" si="126"/>
        <v/>
      </c>
      <c r="L392" t="str">
        <f t="shared" si="127"/>
        <v/>
      </c>
      <c r="M392" s="36" t="str">
        <f t="shared" si="128"/>
        <v/>
      </c>
      <c r="N392" s="37" t="str">
        <f t="shared" si="129"/>
        <v/>
      </c>
      <c r="O392" s="37" t="str">
        <f t="shared" si="130"/>
        <v/>
      </c>
      <c r="P392" s="38" t="str">
        <f t="shared" si="131"/>
        <v/>
      </c>
      <c r="Q392" s="39" t="str">
        <f t="shared" si="132"/>
        <v/>
      </c>
      <c r="R392" s="39" t="str">
        <f t="shared" si="133"/>
        <v/>
      </c>
      <c r="S392" t="str">
        <f t="shared" si="134"/>
        <v/>
      </c>
      <c r="T392" s="39" t="str">
        <f t="shared" si="135"/>
        <v/>
      </c>
      <c r="U392" t="str">
        <f t="shared" si="136"/>
        <v/>
      </c>
      <c r="V392" t="str">
        <f>IF(L392="","",IF($AO$1=1,IFERROR(MATCH(L392,'11-تشرين الثاني'!$L$2:$L$501,0),0),0))</f>
        <v/>
      </c>
      <c r="W392" t="str">
        <f t="shared" si="137"/>
        <v/>
      </c>
      <c r="X392" s="38" t="str">
        <f>IF(L392="","",IF(V392&gt;0,INDEX('11-تشرين الثاني'!$P$2:$P$501,V392),IF($AO$1=1,0,"")))</f>
        <v/>
      </c>
      <c r="Y392" s="38" t="str">
        <f t="shared" si="138"/>
        <v/>
      </c>
      <c r="Z392" s="39" t="str">
        <f>IF(L392="","",IF(V392&gt;0,INDEX('11-تشرين الثاني'!$Q$2:$Q$501,V392),IF($AO$1=1,0,"")))</f>
        <v/>
      </c>
      <c r="AA392" s="39" t="str">
        <f t="shared" si="139"/>
        <v/>
      </c>
      <c r="AB392" s="40" t="str">
        <f>IF(OR(L392="",V392=0),"",IF(AND(N(I392)&gt;0,N(INDEX('11-تشرين الثاني'!$I$2:$I$501,V392))&gt;0,INDEX('11-تشرين الثاني'!$F$2:$F$501,V392)=F392),N(I392)/N(INDEX('11-تشرين الثاني'!$I$2:$I$501,V392))-1,""))</f>
        <v/>
      </c>
      <c r="AC392" t="str">
        <f t="shared" si="140"/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41"/>
        <v/>
      </c>
      <c r="AH392" s="39" t="str">
        <f t="shared" si="142"/>
        <v/>
      </c>
      <c r="AI392" s="39" t="str">
        <f t="shared" si="143"/>
        <v/>
      </c>
      <c r="AJ392" s="39" t="str">
        <f t="shared" si="144"/>
        <v/>
      </c>
      <c r="AK392" t="str">
        <f t="shared" si="145"/>
        <v/>
      </c>
      <c r="AL392" t="str">
        <f t="shared" si="146"/>
        <v/>
      </c>
    </row>
    <row r="393" spans="11:38" ht="15">
      <c r="K393" t="str">
        <f t="shared" si="126"/>
        <v/>
      </c>
      <c r="L393" t="str">
        <f t="shared" si="127"/>
        <v/>
      </c>
      <c r="M393" s="36" t="str">
        <f t="shared" si="128"/>
        <v/>
      </c>
      <c r="N393" s="37" t="str">
        <f t="shared" si="129"/>
        <v/>
      </c>
      <c r="O393" s="37" t="str">
        <f t="shared" si="130"/>
        <v/>
      </c>
      <c r="P393" s="38" t="str">
        <f t="shared" si="131"/>
        <v/>
      </c>
      <c r="Q393" s="39" t="str">
        <f t="shared" si="132"/>
        <v/>
      </c>
      <c r="R393" s="39" t="str">
        <f t="shared" si="133"/>
        <v/>
      </c>
      <c r="S393" t="str">
        <f t="shared" si="134"/>
        <v/>
      </c>
      <c r="T393" s="39" t="str">
        <f t="shared" si="135"/>
        <v/>
      </c>
      <c r="U393" t="str">
        <f t="shared" si="136"/>
        <v/>
      </c>
      <c r="V393" t="str">
        <f>IF(L393="","",IF($AO$1=1,IFERROR(MATCH(L393,'11-تشرين الثاني'!$L$2:$L$501,0),0),0))</f>
        <v/>
      </c>
      <c r="W393" t="str">
        <f t="shared" si="137"/>
        <v/>
      </c>
      <c r="X393" s="38" t="str">
        <f>IF(L393="","",IF(V393&gt;0,INDEX('11-تشرين الثاني'!$P$2:$P$501,V393),IF($AO$1=1,0,"")))</f>
        <v/>
      </c>
      <c r="Y393" s="38" t="str">
        <f t="shared" si="138"/>
        <v/>
      </c>
      <c r="Z393" s="39" t="str">
        <f>IF(L393="","",IF(V393&gt;0,INDEX('11-تشرين الثاني'!$Q$2:$Q$501,V393),IF($AO$1=1,0,"")))</f>
        <v/>
      </c>
      <c r="AA393" s="39" t="str">
        <f t="shared" si="139"/>
        <v/>
      </c>
      <c r="AB393" s="40" t="str">
        <f>IF(OR(L393="",V393=0),"",IF(AND(N(I393)&gt;0,N(INDEX('11-تشرين الثاني'!$I$2:$I$501,V393))&gt;0,INDEX('11-تشرين الثاني'!$F$2:$F$501,V393)=F393),N(I393)/N(INDEX('11-تشرين الثاني'!$I$2:$I$501,V393))-1,""))</f>
        <v/>
      </c>
      <c r="AC393" t="str">
        <f t="shared" si="140"/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41"/>
        <v/>
      </c>
      <c r="AH393" s="39" t="str">
        <f t="shared" si="142"/>
        <v/>
      </c>
      <c r="AI393" s="39" t="str">
        <f t="shared" si="143"/>
        <v/>
      </c>
      <c r="AJ393" s="39" t="str">
        <f t="shared" si="144"/>
        <v/>
      </c>
      <c r="AK393" t="str">
        <f t="shared" si="145"/>
        <v/>
      </c>
      <c r="AL393" t="str">
        <f t="shared" si="146"/>
        <v/>
      </c>
    </row>
    <row r="394" spans="11:38" ht="15">
      <c r="K394" t="str">
        <f t="shared" si="126"/>
        <v/>
      </c>
      <c r="L394" t="str">
        <f t="shared" si="127"/>
        <v/>
      </c>
      <c r="M394" s="36" t="str">
        <f t="shared" si="128"/>
        <v/>
      </c>
      <c r="N394" s="37" t="str">
        <f t="shared" si="129"/>
        <v/>
      </c>
      <c r="O394" s="37" t="str">
        <f t="shared" si="130"/>
        <v/>
      </c>
      <c r="P394" s="38" t="str">
        <f t="shared" si="131"/>
        <v/>
      </c>
      <c r="Q394" s="39" t="str">
        <f t="shared" si="132"/>
        <v/>
      </c>
      <c r="R394" s="39" t="str">
        <f t="shared" si="133"/>
        <v/>
      </c>
      <c r="S394" t="str">
        <f t="shared" si="134"/>
        <v/>
      </c>
      <c r="T394" s="39" t="str">
        <f t="shared" si="135"/>
        <v/>
      </c>
      <c r="U394" t="str">
        <f t="shared" si="136"/>
        <v/>
      </c>
      <c r="V394" t="str">
        <f>IF(L394="","",IF($AO$1=1,IFERROR(MATCH(L394,'11-تشرين الثاني'!$L$2:$L$501,0),0),0))</f>
        <v/>
      </c>
      <c r="W394" t="str">
        <f t="shared" si="137"/>
        <v/>
      </c>
      <c r="X394" s="38" t="str">
        <f>IF(L394="","",IF(V394&gt;0,INDEX('11-تشرين الثاني'!$P$2:$P$501,V394),IF($AO$1=1,0,"")))</f>
        <v/>
      </c>
      <c r="Y394" s="38" t="str">
        <f t="shared" si="138"/>
        <v/>
      </c>
      <c r="Z394" s="39" t="str">
        <f>IF(L394="","",IF(V394&gt;0,INDEX('11-تشرين الثاني'!$Q$2:$Q$501,V394),IF($AO$1=1,0,"")))</f>
        <v/>
      </c>
      <c r="AA394" s="39" t="str">
        <f t="shared" si="139"/>
        <v/>
      </c>
      <c r="AB394" s="40" t="str">
        <f>IF(OR(L394="",V394=0),"",IF(AND(N(I394)&gt;0,N(INDEX('11-تشرين الثاني'!$I$2:$I$501,V394))&gt;0,INDEX('11-تشرين الثاني'!$F$2:$F$501,V394)=F394),N(I394)/N(INDEX('11-تشرين الثاني'!$I$2:$I$501,V394))-1,""))</f>
        <v/>
      </c>
      <c r="AC394" t="str">
        <f t="shared" si="140"/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41"/>
        <v/>
      </c>
      <c r="AH394" s="39" t="str">
        <f t="shared" si="142"/>
        <v/>
      </c>
      <c r="AI394" s="39" t="str">
        <f t="shared" si="143"/>
        <v/>
      </c>
      <c r="AJ394" s="39" t="str">
        <f t="shared" si="144"/>
        <v/>
      </c>
      <c r="AK394" t="str">
        <f t="shared" si="145"/>
        <v/>
      </c>
      <c r="AL394" t="str">
        <f t="shared" si="146"/>
        <v/>
      </c>
    </row>
    <row r="395" spans="11:38" ht="15">
      <c r="K395" t="str">
        <f t="shared" si="126"/>
        <v/>
      </c>
      <c r="L395" t="str">
        <f t="shared" si="127"/>
        <v/>
      </c>
      <c r="M395" s="36" t="str">
        <f t="shared" si="128"/>
        <v/>
      </c>
      <c r="N395" s="37" t="str">
        <f t="shared" si="129"/>
        <v/>
      </c>
      <c r="O395" s="37" t="str">
        <f t="shared" si="130"/>
        <v/>
      </c>
      <c r="P395" s="38" t="str">
        <f t="shared" si="131"/>
        <v/>
      </c>
      <c r="Q395" s="39" t="str">
        <f t="shared" si="132"/>
        <v/>
      </c>
      <c r="R395" s="39" t="str">
        <f t="shared" si="133"/>
        <v/>
      </c>
      <c r="S395" t="str">
        <f t="shared" si="134"/>
        <v/>
      </c>
      <c r="T395" s="39" t="str">
        <f t="shared" si="135"/>
        <v/>
      </c>
      <c r="U395" t="str">
        <f t="shared" si="136"/>
        <v/>
      </c>
      <c r="V395" t="str">
        <f>IF(L395="","",IF($AO$1=1,IFERROR(MATCH(L395,'11-تشرين الثاني'!$L$2:$L$501,0),0),0))</f>
        <v/>
      </c>
      <c r="W395" t="str">
        <f t="shared" si="137"/>
        <v/>
      </c>
      <c r="X395" s="38" t="str">
        <f>IF(L395="","",IF(V395&gt;0,INDEX('11-تشرين الثاني'!$P$2:$P$501,V395),IF($AO$1=1,0,"")))</f>
        <v/>
      </c>
      <c r="Y395" s="38" t="str">
        <f t="shared" si="138"/>
        <v/>
      </c>
      <c r="Z395" s="39" t="str">
        <f>IF(L395="","",IF(V395&gt;0,INDEX('11-تشرين الثاني'!$Q$2:$Q$501,V395),IF($AO$1=1,0,"")))</f>
        <v/>
      </c>
      <c r="AA395" s="39" t="str">
        <f t="shared" si="139"/>
        <v/>
      </c>
      <c r="AB395" s="40" t="str">
        <f>IF(OR(L395="",V395=0),"",IF(AND(N(I395)&gt;0,N(INDEX('11-تشرين الثاني'!$I$2:$I$501,V395))&gt;0,INDEX('11-تشرين الثاني'!$F$2:$F$501,V395)=F395),N(I395)/N(INDEX('11-تشرين الثاني'!$I$2:$I$501,V395))-1,""))</f>
        <v/>
      </c>
      <c r="AC395" t="str">
        <f t="shared" si="140"/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41"/>
        <v/>
      </c>
      <c r="AH395" s="39" t="str">
        <f t="shared" si="142"/>
        <v/>
      </c>
      <c r="AI395" s="39" t="str">
        <f t="shared" si="143"/>
        <v/>
      </c>
      <c r="AJ395" s="39" t="str">
        <f t="shared" si="144"/>
        <v/>
      </c>
      <c r="AK395" t="str">
        <f t="shared" si="145"/>
        <v/>
      </c>
      <c r="AL395" t="str">
        <f t="shared" si="146"/>
        <v/>
      </c>
    </row>
    <row r="396" spans="11:38" ht="15">
      <c r="K396" t="str">
        <f t="shared" si="126"/>
        <v/>
      </c>
      <c r="L396" t="str">
        <f t="shared" si="127"/>
        <v/>
      </c>
      <c r="M396" s="36" t="str">
        <f t="shared" si="128"/>
        <v/>
      </c>
      <c r="N396" s="37" t="str">
        <f t="shared" si="129"/>
        <v/>
      </c>
      <c r="O396" s="37" t="str">
        <f t="shared" si="130"/>
        <v/>
      </c>
      <c r="P396" s="38" t="str">
        <f t="shared" si="131"/>
        <v/>
      </c>
      <c r="Q396" s="39" t="str">
        <f t="shared" si="132"/>
        <v/>
      </c>
      <c r="R396" s="39" t="str">
        <f t="shared" si="133"/>
        <v/>
      </c>
      <c r="S396" t="str">
        <f t="shared" si="134"/>
        <v/>
      </c>
      <c r="T396" s="39" t="str">
        <f t="shared" si="135"/>
        <v/>
      </c>
      <c r="U396" t="str">
        <f t="shared" si="136"/>
        <v/>
      </c>
      <c r="V396" t="str">
        <f>IF(L396="","",IF($AO$1=1,IFERROR(MATCH(L396,'11-تشرين الثاني'!$L$2:$L$501,0),0),0))</f>
        <v/>
      </c>
      <c r="W396" t="str">
        <f t="shared" si="137"/>
        <v/>
      </c>
      <c r="X396" s="38" t="str">
        <f>IF(L396="","",IF(V396&gt;0,INDEX('11-تشرين الثاني'!$P$2:$P$501,V396),IF($AO$1=1,0,"")))</f>
        <v/>
      </c>
      <c r="Y396" s="38" t="str">
        <f t="shared" si="138"/>
        <v/>
      </c>
      <c r="Z396" s="39" t="str">
        <f>IF(L396="","",IF(V396&gt;0,INDEX('11-تشرين الثاني'!$Q$2:$Q$501,V396),IF($AO$1=1,0,"")))</f>
        <v/>
      </c>
      <c r="AA396" s="39" t="str">
        <f t="shared" si="139"/>
        <v/>
      </c>
      <c r="AB396" s="40" t="str">
        <f>IF(OR(L396="",V396=0),"",IF(AND(N(I396)&gt;0,N(INDEX('11-تشرين الثاني'!$I$2:$I$501,V396))&gt;0,INDEX('11-تشرين الثاني'!$F$2:$F$501,V396)=F396),N(I396)/N(INDEX('11-تشرين الثاني'!$I$2:$I$501,V396))-1,""))</f>
        <v/>
      </c>
      <c r="AC396" t="str">
        <f t="shared" si="140"/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41"/>
        <v/>
      </c>
      <c r="AH396" s="39" t="str">
        <f t="shared" si="142"/>
        <v/>
      </c>
      <c r="AI396" s="39" t="str">
        <f t="shared" si="143"/>
        <v/>
      </c>
      <c r="AJ396" s="39" t="str">
        <f t="shared" si="144"/>
        <v/>
      </c>
      <c r="AK396" t="str">
        <f t="shared" si="145"/>
        <v/>
      </c>
      <c r="AL396" t="str">
        <f t="shared" si="146"/>
        <v/>
      </c>
    </row>
    <row r="397" spans="11:38" ht="15">
      <c r="K397" t="str">
        <f t="shared" si="126"/>
        <v/>
      </c>
      <c r="L397" t="str">
        <f t="shared" si="127"/>
        <v/>
      </c>
      <c r="M397" s="36" t="str">
        <f t="shared" si="128"/>
        <v/>
      </c>
      <c r="N397" s="37" t="str">
        <f t="shared" si="129"/>
        <v/>
      </c>
      <c r="O397" s="37" t="str">
        <f t="shared" si="130"/>
        <v/>
      </c>
      <c r="P397" s="38" t="str">
        <f t="shared" si="131"/>
        <v/>
      </c>
      <c r="Q397" s="39" t="str">
        <f t="shared" si="132"/>
        <v/>
      </c>
      <c r="R397" s="39" t="str">
        <f t="shared" si="133"/>
        <v/>
      </c>
      <c r="S397" t="str">
        <f t="shared" si="134"/>
        <v/>
      </c>
      <c r="T397" s="39" t="str">
        <f t="shared" si="135"/>
        <v/>
      </c>
      <c r="U397" t="str">
        <f t="shared" si="136"/>
        <v/>
      </c>
      <c r="V397" t="str">
        <f>IF(L397="","",IF($AO$1=1,IFERROR(MATCH(L397,'11-تشرين الثاني'!$L$2:$L$501,0),0),0))</f>
        <v/>
      </c>
      <c r="W397" t="str">
        <f t="shared" si="137"/>
        <v/>
      </c>
      <c r="X397" s="38" t="str">
        <f>IF(L397="","",IF(V397&gt;0,INDEX('11-تشرين الثاني'!$P$2:$P$501,V397),IF($AO$1=1,0,"")))</f>
        <v/>
      </c>
      <c r="Y397" s="38" t="str">
        <f t="shared" si="138"/>
        <v/>
      </c>
      <c r="Z397" s="39" t="str">
        <f>IF(L397="","",IF(V397&gt;0,INDEX('11-تشرين الثاني'!$Q$2:$Q$501,V397),IF($AO$1=1,0,"")))</f>
        <v/>
      </c>
      <c r="AA397" s="39" t="str">
        <f t="shared" si="139"/>
        <v/>
      </c>
      <c r="AB397" s="40" t="str">
        <f>IF(OR(L397="",V397=0),"",IF(AND(N(I397)&gt;0,N(INDEX('11-تشرين الثاني'!$I$2:$I$501,V397))&gt;0,INDEX('11-تشرين الثاني'!$F$2:$F$501,V397)=F397),N(I397)/N(INDEX('11-تشرين الثاني'!$I$2:$I$501,V397))-1,""))</f>
        <v/>
      </c>
      <c r="AC397" t="str">
        <f t="shared" si="140"/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41"/>
        <v/>
      </c>
      <c r="AH397" s="39" t="str">
        <f t="shared" si="142"/>
        <v/>
      </c>
      <c r="AI397" s="39" t="str">
        <f t="shared" si="143"/>
        <v/>
      </c>
      <c r="AJ397" s="39" t="str">
        <f t="shared" si="144"/>
        <v/>
      </c>
      <c r="AK397" t="str">
        <f t="shared" si="145"/>
        <v/>
      </c>
      <c r="AL397" t="str">
        <f t="shared" si="146"/>
        <v/>
      </c>
    </row>
    <row r="398" spans="11:38" ht="15">
      <c r="K398" t="str">
        <f t="shared" si="126"/>
        <v/>
      </c>
      <c r="L398" t="str">
        <f t="shared" si="127"/>
        <v/>
      </c>
      <c r="M398" s="36" t="str">
        <f t="shared" si="128"/>
        <v/>
      </c>
      <c r="N398" s="37" t="str">
        <f t="shared" si="129"/>
        <v/>
      </c>
      <c r="O398" s="37" t="str">
        <f t="shared" si="130"/>
        <v/>
      </c>
      <c r="P398" s="38" t="str">
        <f t="shared" si="131"/>
        <v/>
      </c>
      <c r="Q398" s="39" t="str">
        <f t="shared" si="132"/>
        <v/>
      </c>
      <c r="R398" s="39" t="str">
        <f t="shared" si="133"/>
        <v/>
      </c>
      <c r="S398" t="str">
        <f t="shared" si="134"/>
        <v/>
      </c>
      <c r="T398" s="39" t="str">
        <f t="shared" si="135"/>
        <v/>
      </c>
      <c r="U398" t="str">
        <f t="shared" si="136"/>
        <v/>
      </c>
      <c r="V398" t="str">
        <f>IF(L398="","",IF($AO$1=1,IFERROR(MATCH(L398,'11-تشرين الثاني'!$L$2:$L$501,0),0),0))</f>
        <v/>
      </c>
      <c r="W398" t="str">
        <f t="shared" si="137"/>
        <v/>
      </c>
      <c r="X398" s="38" t="str">
        <f>IF(L398="","",IF(V398&gt;0,INDEX('11-تشرين الثاني'!$P$2:$P$501,V398),IF($AO$1=1,0,"")))</f>
        <v/>
      </c>
      <c r="Y398" s="38" t="str">
        <f t="shared" si="138"/>
        <v/>
      </c>
      <c r="Z398" s="39" t="str">
        <f>IF(L398="","",IF(V398&gt;0,INDEX('11-تشرين الثاني'!$Q$2:$Q$501,V398),IF($AO$1=1,0,"")))</f>
        <v/>
      </c>
      <c r="AA398" s="39" t="str">
        <f t="shared" si="139"/>
        <v/>
      </c>
      <c r="AB398" s="40" t="str">
        <f>IF(OR(L398="",V398=0),"",IF(AND(N(I398)&gt;0,N(INDEX('11-تشرين الثاني'!$I$2:$I$501,V398))&gt;0,INDEX('11-تشرين الثاني'!$F$2:$F$501,V398)=F398),N(I398)/N(INDEX('11-تشرين الثاني'!$I$2:$I$501,V398))-1,""))</f>
        <v/>
      </c>
      <c r="AC398" t="str">
        <f t="shared" si="140"/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41"/>
        <v/>
      </c>
      <c r="AH398" s="39" t="str">
        <f t="shared" si="142"/>
        <v/>
      </c>
      <c r="AI398" s="39" t="str">
        <f t="shared" si="143"/>
        <v/>
      </c>
      <c r="AJ398" s="39" t="str">
        <f t="shared" si="144"/>
        <v/>
      </c>
      <c r="AK398" t="str">
        <f t="shared" si="145"/>
        <v/>
      </c>
      <c r="AL398" t="str">
        <f t="shared" si="146"/>
        <v/>
      </c>
    </row>
    <row r="399" spans="11:38" ht="15">
      <c r="K399" t="str">
        <f t="shared" si="126"/>
        <v/>
      </c>
      <c r="L399" t="str">
        <f t="shared" si="127"/>
        <v/>
      </c>
      <c r="M399" s="36" t="str">
        <f t="shared" si="128"/>
        <v/>
      </c>
      <c r="N399" s="37" t="str">
        <f t="shared" si="129"/>
        <v/>
      </c>
      <c r="O399" s="37" t="str">
        <f t="shared" si="130"/>
        <v/>
      </c>
      <c r="P399" s="38" t="str">
        <f t="shared" si="131"/>
        <v/>
      </c>
      <c r="Q399" s="39" t="str">
        <f t="shared" si="132"/>
        <v/>
      </c>
      <c r="R399" s="39" t="str">
        <f t="shared" si="133"/>
        <v/>
      </c>
      <c r="S399" t="str">
        <f t="shared" si="134"/>
        <v/>
      </c>
      <c r="T399" s="39" t="str">
        <f t="shared" si="135"/>
        <v/>
      </c>
      <c r="U399" t="str">
        <f t="shared" si="136"/>
        <v/>
      </c>
      <c r="V399" t="str">
        <f>IF(L399="","",IF($AO$1=1,IFERROR(MATCH(L399,'11-تشرين الثاني'!$L$2:$L$501,0),0),0))</f>
        <v/>
      </c>
      <c r="W399" t="str">
        <f t="shared" si="137"/>
        <v/>
      </c>
      <c r="X399" s="38" t="str">
        <f>IF(L399="","",IF(V399&gt;0,INDEX('11-تشرين الثاني'!$P$2:$P$501,V399),IF($AO$1=1,0,"")))</f>
        <v/>
      </c>
      <c r="Y399" s="38" t="str">
        <f t="shared" si="138"/>
        <v/>
      </c>
      <c r="Z399" s="39" t="str">
        <f>IF(L399="","",IF(V399&gt;0,INDEX('11-تشرين الثاني'!$Q$2:$Q$501,V399),IF($AO$1=1,0,"")))</f>
        <v/>
      </c>
      <c r="AA399" s="39" t="str">
        <f t="shared" si="139"/>
        <v/>
      </c>
      <c r="AB399" s="40" t="str">
        <f>IF(OR(L399="",V399=0),"",IF(AND(N(I399)&gt;0,N(INDEX('11-تشرين الثاني'!$I$2:$I$501,V399))&gt;0,INDEX('11-تشرين الثاني'!$F$2:$F$501,V399)=F399),N(I399)/N(INDEX('11-تشرين الثاني'!$I$2:$I$501,V399))-1,""))</f>
        <v/>
      </c>
      <c r="AC399" t="str">
        <f t="shared" si="140"/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41"/>
        <v/>
      </c>
      <c r="AH399" s="39" t="str">
        <f t="shared" si="142"/>
        <v/>
      </c>
      <c r="AI399" s="39" t="str">
        <f t="shared" si="143"/>
        <v/>
      </c>
      <c r="AJ399" s="39" t="str">
        <f t="shared" si="144"/>
        <v/>
      </c>
      <c r="AK399" t="str">
        <f t="shared" si="145"/>
        <v/>
      </c>
      <c r="AL399" t="str">
        <f t="shared" si="146"/>
        <v/>
      </c>
    </row>
    <row r="400" spans="11:38" ht="15">
      <c r="K400" t="str">
        <f t="shared" si="126"/>
        <v/>
      </c>
      <c r="L400" t="str">
        <f t="shared" si="127"/>
        <v/>
      </c>
      <c r="M400" s="36" t="str">
        <f t="shared" si="128"/>
        <v/>
      </c>
      <c r="N400" s="37" t="str">
        <f t="shared" si="129"/>
        <v/>
      </c>
      <c r="O400" s="37" t="str">
        <f t="shared" si="130"/>
        <v/>
      </c>
      <c r="P400" s="38" t="str">
        <f t="shared" si="131"/>
        <v/>
      </c>
      <c r="Q400" s="39" t="str">
        <f t="shared" si="132"/>
        <v/>
      </c>
      <c r="R400" s="39" t="str">
        <f t="shared" si="133"/>
        <v/>
      </c>
      <c r="S400" t="str">
        <f t="shared" si="134"/>
        <v/>
      </c>
      <c r="T400" s="39" t="str">
        <f t="shared" si="135"/>
        <v/>
      </c>
      <c r="U400" t="str">
        <f t="shared" si="136"/>
        <v/>
      </c>
      <c r="V400" t="str">
        <f>IF(L400="","",IF($AO$1=1,IFERROR(MATCH(L400,'11-تشرين الثاني'!$L$2:$L$501,0),0),0))</f>
        <v/>
      </c>
      <c r="W400" t="str">
        <f t="shared" si="137"/>
        <v/>
      </c>
      <c r="X400" s="38" t="str">
        <f>IF(L400="","",IF(V400&gt;0,INDEX('11-تشرين الثاني'!$P$2:$P$501,V400),IF($AO$1=1,0,"")))</f>
        <v/>
      </c>
      <c r="Y400" s="38" t="str">
        <f t="shared" si="138"/>
        <v/>
      </c>
      <c r="Z400" s="39" t="str">
        <f>IF(L400="","",IF(V400&gt;0,INDEX('11-تشرين الثاني'!$Q$2:$Q$501,V400),IF($AO$1=1,0,"")))</f>
        <v/>
      </c>
      <c r="AA400" s="39" t="str">
        <f t="shared" si="139"/>
        <v/>
      </c>
      <c r="AB400" s="40" t="str">
        <f>IF(OR(L400="",V400=0),"",IF(AND(N(I400)&gt;0,N(INDEX('11-تشرين الثاني'!$I$2:$I$501,V400))&gt;0,INDEX('11-تشرين الثاني'!$F$2:$F$501,V400)=F400),N(I400)/N(INDEX('11-تشرين الثاني'!$I$2:$I$501,V400))-1,""))</f>
        <v/>
      </c>
      <c r="AC400" t="str">
        <f t="shared" si="140"/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41"/>
        <v/>
      </c>
      <c r="AH400" s="39" t="str">
        <f t="shared" si="142"/>
        <v/>
      </c>
      <c r="AI400" s="39" t="str">
        <f t="shared" si="143"/>
        <v/>
      </c>
      <c r="AJ400" s="39" t="str">
        <f t="shared" si="144"/>
        <v/>
      </c>
      <c r="AK400" t="str">
        <f t="shared" si="145"/>
        <v/>
      </c>
      <c r="AL400" t="str">
        <f t="shared" si="146"/>
        <v/>
      </c>
    </row>
    <row r="401" spans="11:38" ht="15">
      <c r="K401" t="str">
        <f t="shared" si="126"/>
        <v/>
      </c>
      <c r="L401" t="str">
        <f t="shared" si="127"/>
        <v/>
      </c>
      <c r="M401" s="36" t="str">
        <f t="shared" si="128"/>
        <v/>
      </c>
      <c r="N401" s="37" t="str">
        <f t="shared" si="129"/>
        <v/>
      </c>
      <c r="O401" s="37" t="str">
        <f t="shared" si="130"/>
        <v/>
      </c>
      <c r="P401" s="38" t="str">
        <f t="shared" si="131"/>
        <v/>
      </c>
      <c r="Q401" s="39" t="str">
        <f t="shared" si="132"/>
        <v/>
      </c>
      <c r="R401" s="39" t="str">
        <f t="shared" si="133"/>
        <v/>
      </c>
      <c r="S401" t="str">
        <f t="shared" si="134"/>
        <v/>
      </c>
      <c r="T401" s="39" t="str">
        <f t="shared" si="135"/>
        <v/>
      </c>
      <c r="U401" t="str">
        <f t="shared" si="136"/>
        <v/>
      </c>
      <c r="V401" t="str">
        <f>IF(L401="","",IF($AO$1=1,IFERROR(MATCH(L401,'11-تشرين الثاني'!$L$2:$L$501,0),0),0))</f>
        <v/>
      </c>
      <c r="W401" t="str">
        <f t="shared" si="137"/>
        <v/>
      </c>
      <c r="X401" s="38" t="str">
        <f>IF(L401="","",IF(V401&gt;0,INDEX('11-تشرين الثاني'!$P$2:$P$501,V401),IF($AO$1=1,0,"")))</f>
        <v/>
      </c>
      <c r="Y401" s="38" t="str">
        <f t="shared" si="138"/>
        <v/>
      </c>
      <c r="Z401" s="39" t="str">
        <f>IF(L401="","",IF(V401&gt;0,INDEX('11-تشرين الثاني'!$Q$2:$Q$501,V401),IF($AO$1=1,0,"")))</f>
        <v/>
      </c>
      <c r="AA401" s="39" t="str">
        <f t="shared" si="139"/>
        <v/>
      </c>
      <c r="AB401" s="40" t="str">
        <f>IF(OR(L401="",V401=0),"",IF(AND(N(I401)&gt;0,N(INDEX('11-تشرين الثاني'!$I$2:$I$501,V401))&gt;0,INDEX('11-تشرين الثاني'!$F$2:$F$501,V401)=F401),N(I401)/N(INDEX('11-تشرين الثاني'!$I$2:$I$501,V401))-1,""))</f>
        <v/>
      </c>
      <c r="AC401" t="str">
        <f t="shared" si="140"/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41"/>
        <v/>
      </c>
      <c r="AH401" s="39" t="str">
        <f t="shared" si="142"/>
        <v/>
      </c>
      <c r="AI401" s="39" t="str">
        <f t="shared" si="143"/>
        <v/>
      </c>
      <c r="AJ401" s="39" t="str">
        <f t="shared" si="144"/>
        <v/>
      </c>
      <c r="AK401" t="str">
        <f t="shared" si="145"/>
        <v/>
      </c>
      <c r="AL401" t="str">
        <f t="shared" si="146"/>
        <v/>
      </c>
    </row>
    <row r="402" spans="11:38" ht="15">
      <c r="K402" t="str">
        <f t="shared" si="126"/>
        <v/>
      </c>
      <c r="L402" t="str">
        <f t="shared" si="127"/>
        <v/>
      </c>
      <c r="M402" s="36" t="str">
        <f t="shared" si="128"/>
        <v/>
      </c>
      <c r="N402" s="37" t="str">
        <f t="shared" si="129"/>
        <v/>
      </c>
      <c r="O402" s="37" t="str">
        <f t="shared" si="130"/>
        <v/>
      </c>
      <c r="P402" s="38" t="str">
        <f t="shared" si="131"/>
        <v/>
      </c>
      <c r="Q402" s="39" t="str">
        <f t="shared" si="132"/>
        <v/>
      </c>
      <c r="R402" s="39" t="str">
        <f t="shared" si="133"/>
        <v/>
      </c>
      <c r="S402" t="str">
        <f t="shared" si="134"/>
        <v/>
      </c>
      <c r="T402" s="39" t="str">
        <f t="shared" si="135"/>
        <v/>
      </c>
      <c r="U402" t="str">
        <f t="shared" si="136"/>
        <v/>
      </c>
      <c r="V402" t="str">
        <f>IF(L402="","",IF($AO$1=1,IFERROR(MATCH(L402,'11-تشرين الثاني'!$L$2:$L$501,0),0),0))</f>
        <v/>
      </c>
      <c r="W402" t="str">
        <f t="shared" si="137"/>
        <v/>
      </c>
      <c r="X402" s="38" t="str">
        <f>IF(L402="","",IF(V402&gt;0,INDEX('11-تشرين الثاني'!$P$2:$P$501,V402),IF($AO$1=1,0,"")))</f>
        <v/>
      </c>
      <c r="Y402" s="38" t="str">
        <f t="shared" si="138"/>
        <v/>
      </c>
      <c r="Z402" s="39" t="str">
        <f>IF(L402="","",IF(V402&gt;0,INDEX('11-تشرين الثاني'!$Q$2:$Q$501,V402),IF($AO$1=1,0,"")))</f>
        <v/>
      </c>
      <c r="AA402" s="39" t="str">
        <f t="shared" si="139"/>
        <v/>
      </c>
      <c r="AB402" s="40" t="str">
        <f>IF(OR(L402="",V402=0),"",IF(AND(N(I402)&gt;0,N(INDEX('11-تشرين الثاني'!$I$2:$I$501,V402))&gt;0,INDEX('11-تشرين الثاني'!$F$2:$F$501,V402)=F402),N(I402)/N(INDEX('11-تشرين الثاني'!$I$2:$I$501,V402))-1,""))</f>
        <v/>
      </c>
      <c r="AC402" t="str">
        <f t="shared" si="140"/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41"/>
        <v/>
      </c>
      <c r="AH402" s="39" t="str">
        <f t="shared" si="142"/>
        <v/>
      </c>
      <c r="AI402" s="39" t="str">
        <f t="shared" si="143"/>
        <v/>
      </c>
      <c r="AJ402" s="39" t="str">
        <f t="shared" si="144"/>
        <v/>
      </c>
      <c r="AK402" t="str">
        <f t="shared" si="145"/>
        <v/>
      </c>
      <c r="AL402" t="str">
        <f t="shared" si="146"/>
        <v/>
      </c>
    </row>
    <row r="403" spans="11:38" ht="15">
      <c r="K403" t="str">
        <f t="shared" si="126"/>
        <v/>
      </c>
      <c r="L403" t="str">
        <f t="shared" si="127"/>
        <v/>
      </c>
      <c r="M403" s="36" t="str">
        <f t="shared" si="128"/>
        <v/>
      </c>
      <c r="N403" s="37" t="str">
        <f t="shared" si="129"/>
        <v/>
      </c>
      <c r="O403" s="37" t="str">
        <f t="shared" si="130"/>
        <v/>
      </c>
      <c r="P403" s="38" t="str">
        <f t="shared" si="131"/>
        <v/>
      </c>
      <c r="Q403" s="39" t="str">
        <f t="shared" si="132"/>
        <v/>
      </c>
      <c r="R403" s="39" t="str">
        <f t="shared" si="133"/>
        <v/>
      </c>
      <c r="S403" t="str">
        <f t="shared" si="134"/>
        <v/>
      </c>
      <c r="T403" s="39" t="str">
        <f t="shared" si="135"/>
        <v/>
      </c>
      <c r="U403" t="str">
        <f t="shared" si="136"/>
        <v/>
      </c>
      <c r="V403" t="str">
        <f>IF(L403="","",IF($AO$1=1,IFERROR(MATCH(L403,'11-تشرين الثاني'!$L$2:$L$501,0),0),0))</f>
        <v/>
      </c>
      <c r="W403" t="str">
        <f t="shared" si="137"/>
        <v/>
      </c>
      <c r="X403" s="38" t="str">
        <f>IF(L403="","",IF(V403&gt;0,INDEX('11-تشرين الثاني'!$P$2:$P$501,V403),IF($AO$1=1,0,"")))</f>
        <v/>
      </c>
      <c r="Y403" s="38" t="str">
        <f t="shared" si="138"/>
        <v/>
      </c>
      <c r="Z403" s="39" t="str">
        <f>IF(L403="","",IF(V403&gt;0,INDEX('11-تشرين الثاني'!$Q$2:$Q$501,V403),IF($AO$1=1,0,"")))</f>
        <v/>
      </c>
      <c r="AA403" s="39" t="str">
        <f t="shared" si="139"/>
        <v/>
      </c>
      <c r="AB403" s="40" t="str">
        <f>IF(OR(L403="",V403=0),"",IF(AND(N(I403)&gt;0,N(INDEX('11-تشرين الثاني'!$I$2:$I$501,V403))&gt;0,INDEX('11-تشرين الثاني'!$F$2:$F$501,V403)=F403),N(I403)/N(INDEX('11-تشرين الثاني'!$I$2:$I$501,V403))-1,""))</f>
        <v/>
      </c>
      <c r="AC403" t="str">
        <f t="shared" si="140"/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41"/>
        <v/>
      </c>
      <c r="AH403" s="39" t="str">
        <f t="shared" si="142"/>
        <v/>
      </c>
      <c r="AI403" s="39" t="str">
        <f t="shared" si="143"/>
        <v/>
      </c>
      <c r="AJ403" s="39" t="str">
        <f t="shared" si="144"/>
        <v/>
      </c>
      <c r="AK403" t="str">
        <f t="shared" si="145"/>
        <v/>
      </c>
      <c r="AL403" t="str">
        <f t="shared" si="146"/>
        <v/>
      </c>
    </row>
    <row r="404" spans="11:38" ht="15">
      <c r="K404" t="str">
        <f t="shared" si="126"/>
        <v/>
      </c>
      <c r="L404" t="str">
        <f t="shared" si="127"/>
        <v/>
      </c>
      <c r="M404" s="36" t="str">
        <f t="shared" si="128"/>
        <v/>
      </c>
      <c r="N404" s="37" t="str">
        <f t="shared" si="129"/>
        <v/>
      </c>
      <c r="O404" s="37" t="str">
        <f t="shared" si="130"/>
        <v/>
      </c>
      <c r="P404" s="38" t="str">
        <f t="shared" si="131"/>
        <v/>
      </c>
      <c r="Q404" s="39" t="str">
        <f t="shared" si="132"/>
        <v/>
      </c>
      <c r="R404" s="39" t="str">
        <f t="shared" si="133"/>
        <v/>
      </c>
      <c r="S404" t="str">
        <f t="shared" si="134"/>
        <v/>
      </c>
      <c r="T404" s="39" t="str">
        <f t="shared" si="135"/>
        <v/>
      </c>
      <c r="U404" t="str">
        <f t="shared" si="136"/>
        <v/>
      </c>
      <c r="V404" t="str">
        <f>IF(L404="","",IF($AO$1=1,IFERROR(MATCH(L404,'11-تشرين الثاني'!$L$2:$L$501,0),0),0))</f>
        <v/>
      </c>
      <c r="W404" t="str">
        <f t="shared" si="137"/>
        <v/>
      </c>
      <c r="X404" s="38" t="str">
        <f>IF(L404="","",IF(V404&gt;0,INDEX('11-تشرين الثاني'!$P$2:$P$501,V404),IF($AO$1=1,0,"")))</f>
        <v/>
      </c>
      <c r="Y404" s="38" t="str">
        <f t="shared" si="138"/>
        <v/>
      </c>
      <c r="Z404" s="39" t="str">
        <f>IF(L404="","",IF(V404&gt;0,INDEX('11-تشرين الثاني'!$Q$2:$Q$501,V404),IF($AO$1=1,0,"")))</f>
        <v/>
      </c>
      <c r="AA404" s="39" t="str">
        <f t="shared" si="139"/>
        <v/>
      </c>
      <c r="AB404" s="40" t="str">
        <f>IF(OR(L404="",V404=0),"",IF(AND(N(I404)&gt;0,N(INDEX('11-تشرين الثاني'!$I$2:$I$501,V404))&gt;0,INDEX('11-تشرين الثاني'!$F$2:$F$501,V404)=F404),N(I404)/N(INDEX('11-تشرين الثاني'!$I$2:$I$501,V404))-1,""))</f>
        <v/>
      </c>
      <c r="AC404" t="str">
        <f t="shared" si="140"/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41"/>
        <v/>
      </c>
      <c r="AH404" s="39" t="str">
        <f t="shared" si="142"/>
        <v/>
      </c>
      <c r="AI404" s="39" t="str">
        <f t="shared" si="143"/>
        <v/>
      </c>
      <c r="AJ404" s="39" t="str">
        <f t="shared" si="144"/>
        <v/>
      </c>
      <c r="AK404" t="str">
        <f t="shared" si="145"/>
        <v/>
      </c>
      <c r="AL404" t="str">
        <f t="shared" si="146"/>
        <v/>
      </c>
    </row>
    <row r="405" spans="11:38" ht="15">
      <c r="K405" t="str">
        <f t="shared" si="126"/>
        <v/>
      </c>
      <c r="L405" t="str">
        <f t="shared" si="127"/>
        <v/>
      </c>
      <c r="M405" s="36" t="str">
        <f t="shared" si="128"/>
        <v/>
      </c>
      <c r="N405" s="37" t="str">
        <f t="shared" si="129"/>
        <v/>
      </c>
      <c r="O405" s="37" t="str">
        <f t="shared" si="130"/>
        <v/>
      </c>
      <c r="P405" s="38" t="str">
        <f t="shared" si="131"/>
        <v/>
      </c>
      <c r="Q405" s="39" t="str">
        <f t="shared" si="132"/>
        <v/>
      </c>
      <c r="R405" s="39" t="str">
        <f t="shared" si="133"/>
        <v/>
      </c>
      <c r="S405" t="str">
        <f t="shared" si="134"/>
        <v/>
      </c>
      <c r="T405" s="39" t="str">
        <f t="shared" si="135"/>
        <v/>
      </c>
      <c r="U405" t="str">
        <f t="shared" si="136"/>
        <v/>
      </c>
      <c r="V405" t="str">
        <f>IF(L405="","",IF($AO$1=1,IFERROR(MATCH(L405,'11-تشرين الثاني'!$L$2:$L$501,0),0),0))</f>
        <v/>
      </c>
      <c r="W405" t="str">
        <f t="shared" si="137"/>
        <v/>
      </c>
      <c r="X405" s="38" t="str">
        <f>IF(L405="","",IF(V405&gt;0,INDEX('11-تشرين الثاني'!$P$2:$P$501,V405),IF($AO$1=1,0,"")))</f>
        <v/>
      </c>
      <c r="Y405" s="38" t="str">
        <f t="shared" si="138"/>
        <v/>
      </c>
      <c r="Z405" s="39" t="str">
        <f>IF(L405="","",IF(V405&gt;0,INDEX('11-تشرين الثاني'!$Q$2:$Q$501,V405),IF($AO$1=1,0,"")))</f>
        <v/>
      </c>
      <c r="AA405" s="39" t="str">
        <f t="shared" si="139"/>
        <v/>
      </c>
      <c r="AB405" s="40" t="str">
        <f>IF(OR(L405="",V405=0),"",IF(AND(N(I405)&gt;0,N(INDEX('11-تشرين الثاني'!$I$2:$I$501,V405))&gt;0,INDEX('11-تشرين الثاني'!$F$2:$F$501,V405)=F405),N(I405)/N(INDEX('11-تشرين الثاني'!$I$2:$I$501,V405))-1,""))</f>
        <v/>
      </c>
      <c r="AC405" t="str">
        <f t="shared" si="140"/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41"/>
        <v/>
      </c>
      <c r="AH405" s="39" t="str">
        <f t="shared" si="142"/>
        <v/>
      </c>
      <c r="AI405" s="39" t="str">
        <f t="shared" si="143"/>
        <v/>
      </c>
      <c r="AJ405" s="39" t="str">
        <f t="shared" si="144"/>
        <v/>
      </c>
      <c r="AK405" t="str">
        <f t="shared" si="145"/>
        <v/>
      </c>
      <c r="AL405" t="str">
        <f t="shared" si="146"/>
        <v/>
      </c>
    </row>
    <row r="406" spans="11:38" ht="15">
      <c r="K406" t="str">
        <f t="shared" si="126"/>
        <v/>
      </c>
      <c r="L406" t="str">
        <f t="shared" si="127"/>
        <v/>
      </c>
      <c r="M406" s="36" t="str">
        <f t="shared" si="128"/>
        <v/>
      </c>
      <c r="N406" s="37" t="str">
        <f t="shared" si="129"/>
        <v/>
      </c>
      <c r="O406" s="37" t="str">
        <f t="shared" si="130"/>
        <v/>
      </c>
      <c r="P406" s="38" t="str">
        <f t="shared" si="131"/>
        <v/>
      </c>
      <c r="Q406" s="39" t="str">
        <f t="shared" si="132"/>
        <v/>
      </c>
      <c r="R406" s="39" t="str">
        <f t="shared" si="133"/>
        <v/>
      </c>
      <c r="S406" t="str">
        <f t="shared" si="134"/>
        <v/>
      </c>
      <c r="T406" s="39" t="str">
        <f t="shared" si="135"/>
        <v/>
      </c>
      <c r="U406" t="str">
        <f t="shared" si="136"/>
        <v/>
      </c>
      <c r="V406" t="str">
        <f>IF(L406="","",IF($AO$1=1,IFERROR(MATCH(L406,'11-تشرين الثاني'!$L$2:$L$501,0),0),0))</f>
        <v/>
      </c>
      <c r="W406" t="str">
        <f t="shared" si="137"/>
        <v/>
      </c>
      <c r="X406" s="38" t="str">
        <f>IF(L406="","",IF(V406&gt;0,INDEX('11-تشرين الثاني'!$P$2:$P$501,V406),IF($AO$1=1,0,"")))</f>
        <v/>
      </c>
      <c r="Y406" s="38" t="str">
        <f t="shared" si="138"/>
        <v/>
      </c>
      <c r="Z406" s="39" t="str">
        <f>IF(L406="","",IF(V406&gt;0,INDEX('11-تشرين الثاني'!$Q$2:$Q$501,V406),IF($AO$1=1,0,"")))</f>
        <v/>
      </c>
      <c r="AA406" s="39" t="str">
        <f t="shared" si="139"/>
        <v/>
      </c>
      <c r="AB406" s="40" t="str">
        <f>IF(OR(L406="",V406=0),"",IF(AND(N(I406)&gt;0,N(INDEX('11-تشرين الثاني'!$I$2:$I$501,V406))&gt;0,INDEX('11-تشرين الثاني'!$F$2:$F$501,V406)=F406),N(I406)/N(INDEX('11-تشرين الثاني'!$I$2:$I$501,V406))-1,""))</f>
        <v/>
      </c>
      <c r="AC406" t="str">
        <f t="shared" si="140"/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41"/>
        <v/>
      </c>
      <c r="AH406" s="39" t="str">
        <f t="shared" si="142"/>
        <v/>
      </c>
      <c r="AI406" s="39" t="str">
        <f t="shared" si="143"/>
        <v/>
      </c>
      <c r="AJ406" s="39" t="str">
        <f t="shared" si="144"/>
        <v/>
      </c>
      <c r="AK406" t="str">
        <f t="shared" si="145"/>
        <v/>
      </c>
      <c r="AL406" t="str">
        <f t="shared" si="146"/>
        <v/>
      </c>
    </row>
    <row r="407" spans="11:38" ht="15">
      <c r="K407" t="str">
        <f t="shared" si="126"/>
        <v/>
      </c>
      <c r="L407" t="str">
        <f t="shared" si="127"/>
        <v/>
      </c>
      <c r="M407" s="36" t="str">
        <f t="shared" si="128"/>
        <v/>
      </c>
      <c r="N407" s="37" t="str">
        <f t="shared" si="129"/>
        <v/>
      </c>
      <c r="O407" s="37" t="str">
        <f t="shared" si="130"/>
        <v/>
      </c>
      <c r="P407" s="38" t="str">
        <f t="shared" si="131"/>
        <v/>
      </c>
      <c r="Q407" s="39" t="str">
        <f t="shared" si="132"/>
        <v/>
      </c>
      <c r="R407" s="39" t="str">
        <f t="shared" si="133"/>
        <v/>
      </c>
      <c r="S407" t="str">
        <f t="shared" si="134"/>
        <v/>
      </c>
      <c r="T407" s="39" t="str">
        <f t="shared" si="135"/>
        <v/>
      </c>
      <c r="U407" t="str">
        <f t="shared" si="136"/>
        <v/>
      </c>
      <c r="V407" t="str">
        <f>IF(L407="","",IF($AO$1=1,IFERROR(MATCH(L407,'11-تشرين الثاني'!$L$2:$L$501,0),0),0))</f>
        <v/>
      </c>
      <c r="W407" t="str">
        <f t="shared" si="137"/>
        <v/>
      </c>
      <c r="X407" s="38" t="str">
        <f>IF(L407="","",IF(V407&gt;0,INDEX('11-تشرين الثاني'!$P$2:$P$501,V407),IF($AO$1=1,0,"")))</f>
        <v/>
      </c>
      <c r="Y407" s="38" t="str">
        <f t="shared" si="138"/>
        <v/>
      </c>
      <c r="Z407" s="39" t="str">
        <f>IF(L407="","",IF(V407&gt;0,INDEX('11-تشرين الثاني'!$Q$2:$Q$501,V407),IF($AO$1=1,0,"")))</f>
        <v/>
      </c>
      <c r="AA407" s="39" t="str">
        <f t="shared" si="139"/>
        <v/>
      </c>
      <c r="AB407" s="40" t="str">
        <f>IF(OR(L407="",V407=0),"",IF(AND(N(I407)&gt;0,N(INDEX('11-تشرين الثاني'!$I$2:$I$501,V407))&gt;0,INDEX('11-تشرين الثاني'!$F$2:$F$501,V407)=F407),N(I407)/N(INDEX('11-تشرين الثاني'!$I$2:$I$501,V407))-1,""))</f>
        <v/>
      </c>
      <c r="AC407" t="str">
        <f t="shared" si="140"/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41"/>
        <v/>
      </c>
      <c r="AH407" s="39" t="str">
        <f t="shared" si="142"/>
        <v/>
      </c>
      <c r="AI407" s="39" t="str">
        <f t="shared" si="143"/>
        <v/>
      </c>
      <c r="AJ407" s="39" t="str">
        <f t="shared" si="144"/>
        <v/>
      </c>
      <c r="AK407" t="str">
        <f t="shared" si="145"/>
        <v/>
      </c>
      <c r="AL407" t="str">
        <f t="shared" si="146"/>
        <v/>
      </c>
    </row>
    <row r="408" spans="11:38" ht="15">
      <c r="K408" t="str">
        <f t="shared" si="126"/>
        <v/>
      </c>
      <c r="L408" t="str">
        <f t="shared" si="127"/>
        <v/>
      </c>
      <c r="M408" s="36" t="str">
        <f t="shared" si="128"/>
        <v/>
      </c>
      <c r="N408" s="37" t="str">
        <f t="shared" si="129"/>
        <v/>
      </c>
      <c r="O408" s="37" t="str">
        <f t="shared" si="130"/>
        <v/>
      </c>
      <c r="P408" s="38" t="str">
        <f t="shared" si="131"/>
        <v/>
      </c>
      <c r="Q408" s="39" t="str">
        <f t="shared" si="132"/>
        <v/>
      </c>
      <c r="R408" s="39" t="str">
        <f t="shared" si="133"/>
        <v/>
      </c>
      <c r="S408" t="str">
        <f t="shared" si="134"/>
        <v/>
      </c>
      <c r="T408" s="39" t="str">
        <f t="shared" si="135"/>
        <v/>
      </c>
      <c r="U408" t="str">
        <f t="shared" si="136"/>
        <v/>
      </c>
      <c r="V408" t="str">
        <f>IF(L408="","",IF($AO$1=1,IFERROR(MATCH(L408,'11-تشرين الثاني'!$L$2:$L$501,0),0),0))</f>
        <v/>
      </c>
      <c r="W408" t="str">
        <f t="shared" si="137"/>
        <v/>
      </c>
      <c r="X408" s="38" t="str">
        <f>IF(L408="","",IF(V408&gt;0,INDEX('11-تشرين الثاني'!$P$2:$P$501,V408),IF($AO$1=1,0,"")))</f>
        <v/>
      </c>
      <c r="Y408" s="38" t="str">
        <f t="shared" si="138"/>
        <v/>
      </c>
      <c r="Z408" s="39" t="str">
        <f>IF(L408="","",IF(V408&gt;0,INDEX('11-تشرين الثاني'!$Q$2:$Q$501,V408),IF($AO$1=1,0,"")))</f>
        <v/>
      </c>
      <c r="AA408" s="39" t="str">
        <f t="shared" si="139"/>
        <v/>
      </c>
      <c r="AB408" s="40" t="str">
        <f>IF(OR(L408="",V408=0),"",IF(AND(N(I408)&gt;0,N(INDEX('11-تشرين الثاني'!$I$2:$I$501,V408))&gt;0,INDEX('11-تشرين الثاني'!$F$2:$F$501,V408)=F408),N(I408)/N(INDEX('11-تشرين الثاني'!$I$2:$I$501,V408))-1,""))</f>
        <v/>
      </c>
      <c r="AC408" t="str">
        <f t="shared" si="140"/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41"/>
        <v/>
      </c>
      <c r="AH408" s="39" t="str">
        <f t="shared" si="142"/>
        <v/>
      </c>
      <c r="AI408" s="39" t="str">
        <f t="shared" si="143"/>
        <v/>
      </c>
      <c r="AJ408" s="39" t="str">
        <f t="shared" si="144"/>
        <v/>
      </c>
      <c r="AK408" t="str">
        <f t="shared" si="145"/>
        <v/>
      </c>
      <c r="AL408" t="str">
        <f t="shared" si="146"/>
        <v/>
      </c>
    </row>
    <row r="409" spans="11:38" ht="15">
      <c r="K409" t="str">
        <f t="shared" si="126"/>
        <v/>
      </c>
      <c r="L409" t="str">
        <f t="shared" si="127"/>
        <v/>
      </c>
      <c r="M409" s="36" t="str">
        <f t="shared" si="128"/>
        <v/>
      </c>
      <c r="N409" s="37" t="str">
        <f t="shared" si="129"/>
        <v/>
      </c>
      <c r="O409" s="37" t="str">
        <f t="shared" si="130"/>
        <v/>
      </c>
      <c r="P409" s="38" t="str">
        <f t="shared" si="131"/>
        <v/>
      </c>
      <c r="Q409" s="39" t="str">
        <f t="shared" si="132"/>
        <v/>
      </c>
      <c r="R409" s="39" t="str">
        <f t="shared" si="133"/>
        <v/>
      </c>
      <c r="S409" t="str">
        <f t="shared" si="134"/>
        <v/>
      </c>
      <c r="T409" s="39" t="str">
        <f t="shared" si="135"/>
        <v/>
      </c>
      <c r="U409" t="str">
        <f t="shared" si="136"/>
        <v/>
      </c>
      <c r="V409" t="str">
        <f>IF(L409="","",IF($AO$1=1,IFERROR(MATCH(L409,'11-تشرين الثاني'!$L$2:$L$501,0),0),0))</f>
        <v/>
      </c>
      <c r="W409" t="str">
        <f t="shared" si="137"/>
        <v/>
      </c>
      <c r="X409" s="38" t="str">
        <f>IF(L409="","",IF(V409&gt;0,INDEX('11-تشرين الثاني'!$P$2:$P$501,V409),IF($AO$1=1,0,"")))</f>
        <v/>
      </c>
      <c r="Y409" s="38" t="str">
        <f t="shared" si="138"/>
        <v/>
      </c>
      <c r="Z409" s="39" t="str">
        <f>IF(L409="","",IF(V409&gt;0,INDEX('11-تشرين الثاني'!$Q$2:$Q$501,V409),IF($AO$1=1,0,"")))</f>
        <v/>
      </c>
      <c r="AA409" s="39" t="str">
        <f t="shared" si="139"/>
        <v/>
      </c>
      <c r="AB409" s="40" t="str">
        <f>IF(OR(L409="",V409=0),"",IF(AND(N(I409)&gt;0,N(INDEX('11-تشرين الثاني'!$I$2:$I$501,V409))&gt;0,INDEX('11-تشرين الثاني'!$F$2:$F$501,V409)=F409),N(I409)/N(INDEX('11-تشرين الثاني'!$I$2:$I$501,V409))-1,""))</f>
        <v/>
      </c>
      <c r="AC409" t="str">
        <f t="shared" si="140"/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41"/>
        <v/>
      </c>
      <c r="AH409" s="39" t="str">
        <f t="shared" si="142"/>
        <v/>
      </c>
      <c r="AI409" s="39" t="str">
        <f t="shared" si="143"/>
        <v/>
      </c>
      <c r="AJ409" s="39" t="str">
        <f t="shared" si="144"/>
        <v/>
      </c>
      <c r="AK409" t="str">
        <f t="shared" si="145"/>
        <v/>
      </c>
      <c r="AL409" t="str">
        <f t="shared" si="146"/>
        <v/>
      </c>
    </row>
    <row r="410" spans="11:38" ht="15">
      <c r="K410" t="str">
        <f t="shared" si="126"/>
        <v/>
      </c>
      <c r="L410" t="str">
        <f t="shared" si="127"/>
        <v/>
      </c>
      <c r="M410" s="36" t="str">
        <f t="shared" si="128"/>
        <v/>
      </c>
      <c r="N410" s="37" t="str">
        <f t="shared" si="129"/>
        <v/>
      </c>
      <c r="O410" s="37" t="str">
        <f t="shared" si="130"/>
        <v/>
      </c>
      <c r="P410" s="38" t="str">
        <f t="shared" si="131"/>
        <v/>
      </c>
      <c r="Q410" s="39" t="str">
        <f t="shared" si="132"/>
        <v/>
      </c>
      <c r="R410" s="39" t="str">
        <f t="shared" si="133"/>
        <v/>
      </c>
      <c r="S410" t="str">
        <f t="shared" si="134"/>
        <v/>
      </c>
      <c r="T410" s="39" t="str">
        <f t="shared" si="135"/>
        <v/>
      </c>
      <c r="U410" t="str">
        <f t="shared" si="136"/>
        <v/>
      </c>
      <c r="V410" t="str">
        <f>IF(L410="","",IF($AO$1=1,IFERROR(MATCH(L410,'11-تشرين الثاني'!$L$2:$L$501,0),0),0))</f>
        <v/>
      </c>
      <c r="W410" t="str">
        <f t="shared" si="137"/>
        <v/>
      </c>
      <c r="X410" s="38" t="str">
        <f>IF(L410="","",IF(V410&gt;0,INDEX('11-تشرين الثاني'!$P$2:$P$501,V410),IF($AO$1=1,0,"")))</f>
        <v/>
      </c>
      <c r="Y410" s="38" t="str">
        <f t="shared" si="138"/>
        <v/>
      </c>
      <c r="Z410" s="39" t="str">
        <f>IF(L410="","",IF(V410&gt;0,INDEX('11-تشرين الثاني'!$Q$2:$Q$501,V410),IF($AO$1=1,0,"")))</f>
        <v/>
      </c>
      <c r="AA410" s="39" t="str">
        <f t="shared" si="139"/>
        <v/>
      </c>
      <c r="AB410" s="40" t="str">
        <f>IF(OR(L410="",V410=0),"",IF(AND(N(I410)&gt;0,N(INDEX('11-تشرين الثاني'!$I$2:$I$501,V410))&gt;0,INDEX('11-تشرين الثاني'!$F$2:$F$501,V410)=F410),N(I410)/N(INDEX('11-تشرين الثاني'!$I$2:$I$501,V410))-1,""))</f>
        <v/>
      </c>
      <c r="AC410" t="str">
        <f t="shared" si="140"/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41"/>
        <v/>
      </c>
      <c r="AH410" s="39" t="str">
        <f t="shared" si="142"/>
        <v/>
      </c>
      <c r="AI410" s="39" t="str">
        <f t="shared" si="143"/>
        <v/>
      </c>
      <c r="AJ410" s="39" t="str">
        <f t="shared" si="144"/>
        <v/>
      </c>
      <c r="AK410" t="str">
        <f t="shared" si="145"/>
        <v/>
      </c>
      <c r="AL410" t="str">
        <f t="shared" si="146"/>
        <v/>
      </c>
    </row>
    <row r="411" spans="11:38" ht="15">
      <c r="K411" t="str">
        <f t="shared" si="126"/>
        <v/>
      </c>
      <c r="L411" t="str">
        <f t="shared" si="127"/>
        <v/>
      </c>
      <c r="M411" s="36" t="str">
        <f t="shared" si="128"/>
        <v/>
      </c>
      <c r="N411" s="37" t="str">
        <f t="shared" si="129"/>
        <v/>
      </c>
      <c r="O411" s="37" t="str">
        <f t="shared" si="130"/>
        <v/>
      </c>
      <c r="P411" s="38" t="str">
        <f t="shared" si="131"/>
        <v/>
      </c>
      <c r="Q411" s="39" t="str">
        <f t="shared" si="132"/>
        <v/>
      </c>
      <c r="R411" s="39" t="str">
        <f t="shared" si="133"/>
        <v/>
      </c>
      <c r="S411" t="str">
        <f t="shared" si="134"/>
        <v/>
      </c>
      <c r="T411" s="39" t="str">
        <f t="shared" si="135"/>
        <v/>
      </c>
      <c r="U411" t="str">
        <f t="shared" si="136"/>
        <v/>
      </c>
      <c r="V411" t="str">
        <f>IF(L411="","",IF($AO$1=1,IFERROR(MATCH(L411,'11-تشرين الثاني'!$L$2:$L$501,0),0),0))</f>
        <v/>
      </c>
      <c r="W411" t="str">
        <f t="shared" si="137"/>
        <v/>
      </c>
      <c r="X411" s="38" t="str">
        <f>IF(L411="","",IF(V411&gt;0,INDEX('11-تشرين الثاني'!$P$2:$P$501,V411),IF($AO$1=1,0,"")))</f>
        <v/>
      </c>
      <c r="Y411" s="38" t="str">
        <f t="shared" si="138"/>
        <v/>
      </c>
      <c r="Z411" s="39" t="str">
        <f>IF(L411="","",IF(V411&gt;0,INDEX('11-تشرين الثاني'!$Q$2:$Q$501,V411),IF($AO$1=1,0,"")))</f>
        <v/>
      </c>
      <c r="AA411" s="39" t="str">
        <f t="shared" si="139"/>
        <v/>
      </c>
      <c r="AB411" s="40" t="str">
        <f>IF(OR(L411="",V411=0),"",IF(AND(N(I411)&gt;0,N(INDEX('11-تشرين الثاني'!$I$2:$I$501,V411))&gt;0,INDEX('11-تشرين الثاني'!$F$2:$F$501,V411)=F411),N(I411)/N(INDEX('11-تشرين الثاني'!$I$2:$I$501,V411))-1,""))</f>
        <v/>
      </c>
      <c r="AC411" t="str">
        <f t="shared" si="140"/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41"/>
        <v/>
      </c>
      <c r="AH411" s="39" t="str">
        <f t="shared" si="142"/>
        <v/>
      </c>
      <c r="AI411" s="39" t="str">
        <f t="shared" si="143"/>
        <v/>
      </c>
      <c r="AJ411" s="39" t="str">
        <f t="shared" si="144"/>
        <v/>
      </c>
      <c r="AK411" t="str">
        <f t="shared" si="145"/>
        <v/>
      </c>
      <c r="AL411" t="str">
        <f t="shared" si="146"/>
        <v/>
      </c>
    </row>
    <row r="412" spans="11:38" ht="15">
      <c r="K412" t="str">
        <f t="shared" si="126"/>
        <v/>
      </c>
      <c r="L412" t="str">
        <f t="shared" si="127"/>
        <v/>
      </c>
      <c r="M412" s="36" t="str">
        <f t="shared" si="128"/>
        <v/>
      </c>
      <c r="N412" s="37" t="str">
        <f t="shared" si="129"/>
        <v/>
      </c>
      <c r="O412" s="37" t="str">
        <f t="shared" si="130"/>
        <v/>
      </c>
      <c r="P412" s="38" t="str">
        <f t="shared" si="131"/>
        <v/>
      </c>
      <c r="Q412" s="39" t="str">
        <f t="shared" si="132"/>
        <v/>
      </c>
      <c r="R412" s="39" t="str">
        <f t="shared" si="133"/>
        <v/>
      </c>
      <c r="S412" t="str">
        <f t="shared" si="134"/>
        <v/>
      </c>
      <c r="T412" s="39" t="str">
        <f t="shared" si="135"/>
        <v/>
      </c>
      <c r="U412" t="str">
        <f t="shared" si="136"/>
        <v/>
      </c>
      <c r="V412" t="str">
        <f>IF(L412="","",IF($AO$1=1,IFERROR(MATCH(L412,'11-تشرين الثاني'!$L$2:$L$501,0),0),0))</f>
        <v/>
      </c>
      <c r="W412" t="str">
        <f t="shared" si="137"/>
        <v/>
      </c>
      <c r="X412" s="38" t="str">
        <f>IF(L412="","",IF(V412&gt;0,INDEX('11-تشرين الثاني'!$P$2:$P$501,V412),IF($AO$1=1,0,"")))</f>
        <v/>
      </c>
      <c r="Y412" s="38" t="str">
        <f t="shared" si="138"/>
        <v/>
      </c>
      <c r="Z412" s="39" t="str">
        <f>IF(L412="","",IF(V412&gt;0,INDEX('11-تشرين الثاني'!$Q$2:$Q$501,V412),IF($AO$1=1,0,"")))</f>
        <v/>
      </c>
      <c r="AA412" s="39" t="str">
        <f t="shared" si="139"/>
        <v/>
      </c>
      <c r="AB412" s="40" t="str">
        <f>IF(OR(L412="",V412=0),"",IF(AND(N(I412)&gt;0,N(INDEX('11-تشرين الثاني'!$I$2:$I$501,V412))&gt;0,INDEX('11-تشرين الثاني'!$F$2:$F$501,V412)=F412),N(I412)/N(INDEX('11-تشرين الثاني'!$I$2:$I$501,V412))-1,""))</f>
        <v/>
      </c>
      <c r="AC412" t="str">
        <f t="shared" si="140"/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41"/>
        <v/>
      </c>
      <c r="AH412" s="39" t="str">
        <f t="shared" si="142"/>
        <v/>
      </c>
      <c r="AI412" s="39" t="str">
        <f t="shared" si="143"/>
        <v/>
      </c>
      <c r="AJ412" s="39" t="str">
        <f t="shared" si="144"/>
        <v/>
      </c>
      <c r="AK412" t="str">
        <f t="shared" si="145"/>
        <v/>
      </c>
      <c r="AL412" t="str">
        <f t="shared" si="146"/>
        <v/>
      </c>
    </row>
    <row r="413" spans="11:38" ht="15">
      <c r="K413" t="str">
        <f t="shared" si="126"/>
        <v/>
      </c>
      <c r="L413" t="str">
        <f t="shared" si="127"/>
        <v/>
      </c>
      <c r="M413" s="36" t="str">
        <f t="shared" si="128"/>
        <v/>
      </c>
      <c r="N413" s="37" t="str">
        <f t="shared" si="129"/>
        <v/>
      </c>
      <c r="O413" s="37" t="str">
        <f t="shared" si="130"/>
        <v/>
      </c>
      <c r="P413" s="38" t="str">
        <f t="shared" si="131"/>
        <v/>
      </c>
      <c r="Q413" s="39" t="str">
        <f t="shared" si="132"/>
        <v/>
      </c>
      <c r="R413" s="39" t="str">
        <f t="shared" si="133"/>
        <v/>
      </c>
      <c r="S413" t="str">
        <f t="shared" si="134"/>
        <v/>
      </c>
      <c r="T413" s="39" t="str">
        <f t="shared" si="135"/>
        <v/>
      </c>
      <c r="U413" t="str">
        <f t="shared" si="136"/>
        <v/>
      </c>
      <c r="V413" t="str">
        <f>IF(L413="","",IF($AO$1=1,IFERROR(MATCH(L413,'11-تشرين الثاني'!$L$2:$L$501,0),0),0))</f>
        <v/>
      </c>
      <c r="W413" t="str">
        <f t="shared" si="137"/>
        <v/>
      </c>
      <c r="X413" s="38" t="str">
        <f>IF(L413="","",IF(V413&gt;0,INDEX('11-تشرين الثاني'!$P$2:$P$501,V413),IF($AO$1=1,0,"")))</f>
        <v/>
      </c>
      <c r="Y413" s="38" t="str">
        <f t="shared" si="138"/>
        <v/>
      </c>
      <c r="Z413" s="39" t="str">
        <f>IF(L413="","",IF(V413&gt;0,INDEX('11-تشرين الثاني'!$Q$2:$Q$501,V413),IF($AO$1=1,0,"")))</f>
        <v/>
      </c>
      <c r="AA413" s="39" t="str">
        <f t="shared" si="139"/>
        <v/>
      </c>
      <c r="AB413" s="40" t="str">
        <f>IF(OR(L413="",V413=0),"",IF(AND(N(I413)&gt;0,N(INDEX('11-تشرين الثاني'!$I$2:$I$501,V413))&gt;0,INDEX('11-تشرين الثاني'!$F$2:$F$501,V413)=F413),N(I413)/N(INDEX('11-تشرين الثاني'!$I$2:$I$501,V413))-1,""))</f>
        <v/>
      </c>
      <c r="AC413" t="str">
        <f t="shared" si="140"/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41"/>
        <v/>
      </c>
      <c r="AH413" s="39" t="str">
        <f t="shared" si="142"/>
        <v/>
      </c>
      <c r="AI413" s="39" t="str">
        <f t="shared" si="143"/>
        <v/>
      </c>
      <c r="AJ413" s="39" t="str">
        <f t="shared" si="144"/>
        <v/>
      </c>
      <c r="AK413" t="str">
        <f t="shared" si="145"/>
        <v/>
      </c>
      <c r="AL413" t="str">
        <f t="shared" si="146"/>
        <v/>
      </c>
    </row>
    <row r="414" spans="11:38" ht="15">
      <c r="K414" t="str">
        <f t="shared" si="126"/>
        <v/>
      </c>
      <c r="L414" t="str">
        <f t="shared" si="127"/>
        <v/>
      </c>
      <c r="M414" s="36" t="str">
        <f t="shared" si="128"/>
        <v/>
      </c>
      <c r="N414" s="37" t="str">
        <f t="shared" si="129"/>
        <v/>
      </c>
      <c r="O414" s="37" t="str">
        <f t="shared" si="130"/>
        <v/>
      </c>
      <c r="P414" s="38" t="str">
        <f t="shared" si="131"/>
        <v/>
      </c>
      <c r="Q414" s="39" t="str">
        <f t="shared" si="132"/>
        <v/>
      </c>
      <c r="R414" s="39" t="str">
        <f t="shared" si="133"/>
        <v/>
      </c>
      <c r="S414" t="str">
        <f t="shared" si="134"/>
        <v/>
      </c>
      <c r="T414" s="39" t="str">
        <f t="shared" si="135"/>
        <v/>
      </c>
      <c r="U414" t="str">
        <f t="shared" si="136"/>
        <v/>
      </c>
      <c r="V414" t="str">
        <f>IF(L414="","",IF($AO$1=1,IFERROR(MATCH(L414,'11-تشرين الثاني'!$L$2:$L$501,0),0),0))</f>
        <v/>
      </c>
      <c r="W414" t="str">
        <f t="shared" si="137"/>
        <v/>
      </c>
      <c r="X414" s="38" t="str">
        <f>IF(L414="","",IF(V414&gt;0,INDEX('11-تشرين الثاني'!$P$2:$P$501,V414),IF($AO$1=1,0,"")))</f>
        <v/>
      </c>
      <c r="Y414" s="38" t="str">
        <f t="shared" si="138"/>
        <v/>
      </c>
      <c r="Z414" s="39" t="str">
        <f>IF(L414="","",IF(V414&gt;0,INDEX('11-تشرين الثاني'!$Q$2:$Q$501,V414),IF($AO$1=1,0,"")))</f>
        <v/>
      </c>
      <c r="AA414" s="39" t="str">
        <f t="shared" si="139"/>
        <v/>
      </c>
      <c r="AB414" s="40" t="str">
        <f>IF(OR(L414="",V414=0),"",IF(AND(N(I414)&gt;0,N(INDEX('11-تشرين الثاني'!$I$2:$I$501,V414))&gt;0,INDEX('11-تشرين الثاني'!$F$2:$F$501,V414)=F414),N(I414)/N(INDEX('11-تشرين الثاني'!$I$2:$I$501,V414))-1,""))</f>
        <v/>
      </c>
      <c r="AC414" t="str">
        <f t="shared" si="140"/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41"/>
        <v/>
      </c>
      <c r="AH414" s="39" t="str">
        <f t="shared" si="142"/>
        <v/>
      </c>
      <c r="AI414" s="39" t="str">
        <f t="shared" si="143"/>
        <v/>
      </c>
      <c r="AJ414" s="39" t="str">
        <f t="shared" si="144"/>
        <v/>
      </c>
      <c r="AK414" t="str">
        <f t="shared" si="145"/>
        <v/>
      </c>
      <c r="AL414" t="str">
        <f t="shared" si="146"/>
        <v/>
      </c>
    </row>
    <row r="415" spans="11:38" ht="15">
      <c r="K415" t="str">
        <f t="shared" si="126"/>
        <v/>
      </c>
      <c r="L415" t="str">
        <f t="shared" si="127"/>
        <v/>
      </c>
      <c r="M415" s="36" t="str">
        <f t="shared" si="128"/>
        <v/>
      </c>
      <c r="N415" s="37" t="str">
        <f t="shared" si="129"/>
        <v/>
      </c>
      <c r="O415" s="37" t="str">
        <f t="shared" si="130"/>
        <v/>
      </c>
      <c r="P415" s="38" t="str">
        <f t="shared" si="131"/>
        <v/>
      </c>
      <c r="Q415" s="39" t="str">
        <f t="shared" si="132"/>
        <v/>
      </c>
      <c r="R415" s="39" t="str">
        <f t="shared" si="133"/>
        <v/>
      </c>
      <c r="S415" t="str">
        <f t="shared" si="134"/>
        <v/>
      </c>
      <c r="T415" s="39" t="str">
        <f t="shared" si="135"/>
        <v/>
      </c>
      <c r="U415" t="str">
        <f t="shared" si="136"/>
        <v/>
      </c>
      <c r="V415" t="str">
        <f>IF(L415="","",IF($AO$1=1,IFERROR(MATCH(L415,'11-تشرين الثاني'!$L$2:$L$501,0),0),0))</f>
        <v/>
      </c>
      <c r="W415" t="str">
        <f t="shared" si="137"/>
        <v/>
      </c>
      <c r="X415" s="38" t="str">
        <f>IF(L415="","",IF(V415&gt;0,INDEX('11-تشرين الثاني'!$P$2:$P$501,V415),IF($AO$1=1,0,"")))</f>
        <v/>
      </c>
      <c r="Y415" s="38" t="str">
        <f t="shared" si="138"/>
        <v/>
      </c>
      <c r="Z415" s="39" t="str">
        <f>IF(L415="","",IF(V415&gt;0,INDEX('11-تشرين الثاني'!$Q$2:$Q$501,V415),IF($AO$1=1,0,"")))</f>
        <v/>
      </c>
      <c r="AA415" s="39" t="str">
        <f t="shared" si="139"/>
        <v/>
      </c>
      <c r="AB415" s="40" t="str">
        <f>IF(OR(L415="",V415=0),"",IF(AND(N(I415)&gt;0,N(INDEX('11-تشرين الثاني'!$I$2:$I$501,V415))&gt;0,INDEX('11-تشرين الثاني'!$F$2:$F$501,V415)=F415),N(I415)/N(INDEX('11-تشرين الثاني'!$I$2:$I$501,V415))-1,""))</f>
        <v/>
      </c>
      <c r="AC415" t="str">
        <f t="shared" si="140"/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41"/>
        <v/>
      </c>
      <c r="AH415" s="39" t="str">
        <f t="shared" si="142"/>
        <v/>
      </c>
      <c r="AI415" s="39" t="str">
        <f t="shared" si="143"/>
        <v/>
      </c>
      <c r="AJ415" s="39" t="str">
        <f t="shared" si="144"/>
        <v/>
      </c>
      <c r="AK415" t="str">
        <f t="shared" si="145"/>
        <v/>
      </c>
      <c r="AL415" t="str">
        <f t="shared" si="146"/>
        <v/>
      </c>
    </row>
    <row r="416" spans="11:38" ht="15">
      <c r="K416" t="str">
        <f t="shared" si="126"/>
        <v/>
      </c>
      <c r="L416" t="str">
        <f t="shared" si="127"/>
        <v/>
      </c>
      <c r="M416" s="36" t="str">
        <f t="shared" si="128"/>
        <v/>
      </c>
      <c r="N416" s="37" t="str">
        <f t="shared" si="129"/>
        <v/>
      </c>
      <c r="O416" s="37" t="str">
        <f t="shared" si="130"/>
        <v/>
      </c>
      <c r="P416" s="38" t="str">
        <f t="shared" si="131"/>
        <v/>
      </c>
      <c r="Q416" s="39" t="str">
        <f t="shared" si="132"/>
        <v/>
      </c>
      <c r="R416" s="39" t="str">
        <f t="shared" si="133"/>
        <v/>
      </c>
      <c r="S416" t="str">
        <f t="shared" si="134"/>
        <v/>
      </c>
      <c r="T416" s="39" t="str">
        <f t="shared" si="135"/>
        <v/>
      </c>
      <c r="U416" t="str">
        <f t="shared" si="136"/>
        <v/>
      </c>
      <c r="V416" t="str">
        <f>IF(L416="","",IF($AO$1=1,IFERROR(MATCH(L416,'11-تشرين الثاني'!$L$2:$L$501,0),0),0))</f>
        <v/>
      </c>
      <c r="W416" t="str">
        <f t="shared" si="137"/>
        <v/>
      </c>
      <c r="X416" s="38" t="str">
        <f>IF(L416="","",IF(V416&gt;0,INDEX('11-تشرين الثاني'!$P$2:$P$501,V416),IF($AO$1=1,0,"")))</f>
        <v/>
      </c>
      <c r="Y416" s="38" t="str">
        <f t="shared" si="138"/>
        <v/>
      </c>
      <c r="Z416" s="39" t="str">
        <f>IF(L416="","",IF(V416&gt;0,INDEX('11-تشرين الثاني'!$Q$2:$Q$501,V416),IF($AO$1=1,0,"")))</f>
        <v/>
      </c>
      <c r="AA416" s="39" t="str">
        <f t="shared" si="139"/>
        <v/>
      </c>
      <c r="AB416" s="40" t="str">
        <f>IF(OR(L416="",V416=0),"",IF(AND(N(I416)&gt;0,N(INDEX('11-تشرين الثاني'!$I$2:$I$501,V416))&gt;0,INDEX('11-تشرين الثاني'!$F$2:$F$501,V416)=F416),N(I416)/N(INDEX('11-تشرين الثاني'!$I$2:$I$501,V416))-1,""))</f>
        <v/>
      </c>
      <c r="AC416" t="str">
        <f t="shared" si="140"/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41"/>
        <v/>
      </c>
      <c r="AH416" s="39" t="str">
        <f t="shared" si="142"/>
        <v/>
      </c>
      <c r="AI416" s="39" t="str">
        <f t="shared" si="143"/>
        <v/>
      </c>
      <c r="AJ416" s="39" t="str">
        <f t="shared" si="144"/>
        <v/>
      </c>
      <c r="AK416" t="str">
        <f t="shared" si="145"/>
        <v/>
      </c>
      <c r="AL416" t="str">
        <f t="shared" si="146"/>
        <v/>
      </c>
    </row>
    <row r="417" spans="11:38" ht="15">
      <c r="K417" t="str">
        <f t="shared" si="126"/>
        <v/>
      </c>
      <c r="L417" t="str">
        <f t="shared" si="127"/>
        <v/>
      </c>
      <c r="M417" s="36" t="str">
        <f t="shared" si="128"/>
        <v/>
      </c>
      <c r="N417" s="37" t="str">
        <f t="shared" si="129"/>
        <v/>
      </c>
      <c r="O417" s="37" t="str">
        <f t="shared" si="130"/>
        <v/>
      </c>
      <c r="P417" s="38" t="str">
        <f t="shared" si="131"/>
        <v/>
      </c>
      <c r="Q417" s="39" t="str">
        <f t="shared" si="132"/>
        <v/>
      </c>
      <c r="R417" s="39" t="str">
        <f t="shared" si="133"/>
        <v/>
      </c>
      <c r="S417" t="str">
        <f t="shared" si="134"/>
        <v/>
      </c>
      <c r="T417" s="39" t="str">
        <f t="shared" si="135"/>
        <v/>
      </c>
      <c r="U417" t="str">
        <f t="shared" si="136"/>
        <v/>
      </c>
      <c r="V417" t="str">
        <f>IF(L417="","",IF($AO$1=1,IFERROR(MATCH(L417,'11-تشرين الثاني'!$L$2:$L$501,0),0),0))</f>
        <v/>
      </c>
      <c r="W417" t="str">
        <f t="shared" si="137"/>
        <v/>
      </c>
      <c r="X417" s="38" t="str">
        <f>IF(L417="","",IF(V417&gt;0,INDEX('11-تشرين الثاني'!$P$2:$P$501,V417),IF($AO$1=1,0,"")))</f>
        <v/>
      </c>
      <c r="Y417" s="38" t="str">
        <f t="shared" si="138"/>
        <v/>
      </c>
      <c r="Z417" s="39" t="str">
        <f>IF(L417="","",IF(V417&gt;0,INDEX('11-تشرين الثاني'!$Q$2:$Q$501,V417),IF($AO$1=1,0,"")))</f>
        <v/>
      </c>
      <c r="AA417" s="39" t="str">
        <f t="shared" si="139"/>
        <v/>
      </c>
      <c r="AB417" s="40" t="str">
        <f>IF(OR(L417="",V417=0),"",IF(AND(N(I417)&gt;0,N(INDEX('11-تشرين الثاني'!$I$2:$I$501,V417))&gt;0,INDEX('11-تشرين الثاني'!$F$2:$F$501,V417)=F417),N(I417)/N(INDEX('11-تشرين الثاني'!$I$2:$I$501,V417))-1,""))</f>
        <v/>
      </c>
      <c r="AC417" t="str">
        <f t="shared" si="140"/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41"/>
        <v/>
      </c>
      <c r="AH417" s="39" t="str">
        <f t="shared" si="142"/>
        <v/>
      </c>
      <c r="AI417" s="39" t="str">
        <f t="shared" si="143"/>
        <v/>
      </c>
      <c r="AJ417" s="39" t="str">
        <f t="shared" si="144"/>
        <v/>
      </c>
      <c r="AK417" t="str">
        <f t="shared" si="145"/>
        <v/>
      </c>
      <c r="AL417" t="str">
        <f t="shared" si="146"/>
        <v/>
      </c>
    </row>
    <row r="418" spans="11:38" ht="15">
      <c r="K418" t="str">
        <f t="shared" si="126"/>
        <v/>
      </c>
      <c r="L418" t="str">
        <f t="shared" si="127"/>
        <v/>
      </c>
      <c r="M418" s="36" t="str">
        <f t="shared" si="128"/>
        <v/>
      </c>
      <c r="N418" s="37" t="str">
        <f t="shared" si="129"/>
        <v/>
      </c>
      <c r="O418" s="37" t="str">
        <f t="shared" si="130"/>
        <v/>
      </c>
      <c r="P418" s="38" t="str">
        <f t="shared" si="131"/>
        <v/>
      </c>
      <c r="Q418" s="39" t="str">
        <f t="shared" si="132"/>
        <v/>
      </c>
      <c r="R418" s="39" t="str">
        <f t="shared" si="133"/>
        <v/>
      </c>
      <c r="S418" t="str">
        <f t="shared" si="134"/>
        <v/>
      </c>
      <c r="T418" s="39" t="str">
        <f t="shared" si="135"/>
        <v/>
      </c>
      <c r="U418" t="str">
        <f t="shared" si="136"/>
        <v/>
      </c>
      <c r="V418" t="str">
        <f>IF(L418="","",IF($AO$1=1,IFERROR(MATCH(L418,'11-تشرين الثاني'!$L$2:$L$501,0),0),0))</f>
        <v/>
      </c>
      <c r="W418" t="str">
        <f t="shared" si="137"/>
        <v/>
      </c>
      <c r="X418" s="38" t="str">
        <f>IF(L418="","",IF(V418&gt;0,INDEX('11-تشرين الثاني'!$P$2:$P$501,V418),IF($AO$1=1,0,"")))</f>
        <v/>
      </c>
      <c r="Y418" s="38" t="str">
        <f t="shared" si="138"/>
        <v/>
      </c>
      <c r="Z418" s="39" t="str">
        <f>IF(L418="","",IF(V418&gt;0,INDEX('11-تشرين الثاني'!$Q$2:$Q$501,V418),IF($AO$1=1,0,"")))</f>
        <v/>
      </c>
      <c r="AA418" s="39" t="str">
        <f t="shared" si="139"/>
        <v/>
      </c>
      <c r="AB418" s="40" t="str">
        <f>IF(OR(L418="",V418=0),"",IF(AND(N(I418)&gt;0,N(INDEX('11-تشرين الثاني'!$I$2:$I$501,V418))&gt;0,INDEX('11-تشرين الثاني'!$F$2:$F$501,V418)=F418),N(I418)/N(INDEX('11-تشرين الثاني'!$I$2:$I$501,V418))-1,""))</f>
        <v/>
      </c>
      <c r="AC418" t="str">
        <f t="shared" si="140"/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41"/>
        <v/>
      </c>
      <c r="AH418" s="39" t="str">
        <f t="shared" si="142"/>
        <v/>
      </c>
      <c r="AI418" s="39" t="str">
        <f t="shared" si="143"/>
        <v/>
      </c>
      <c r="AJ418" s="39" t="str">
        <f t="shared" si="144"/>
        <v/>
      </c>
      <c r="AK418" t="str">
        <f t="shared" si="145"/>
        <v/>
      </c>
      <c r="AL418" t="str">
        <f t="shared" si="146"/>
        <v/>
      </c>
    </row>
    <row r="419" spans="11:38" ht="15">
      <c r="K419" t="str">
        <f t="shared" si="126"/>
        <v/>
      </c>
      <c r="L419" t="str">
        <f t="shared" si="127"/>
        <v/>
      </c>
      <c r="M419" s="36" t="str">
        <f t="shared" si="128"/>
        <v/>
      </c>
      <c r="N419" s="37" t="str">
        <f t="shared" si="129"/>
        <v/>
      </c>
      <c r="O419" s="37" t="str">
        <f t="shared" si="130"/>
        <v/>
      </c>
      <c r="P419" s="38" t="str">
        <f t="shared" si="131"/>
        <v/>
      </c>
      <c r="Q419" s="39" t="str">
        <f t="shared" si="132"/>
        <v/>
      </c>
      <c r="R419" s="39" t="str">
        <f t="shared" si="133"/>
        <v/>
      </c>
      <c r="S419" t="str">
        <f t="shared" si="134"/>
        <v/>
      </c>
      <c r="T419" s="39" t="str">
        <f t="shared" si="135"/>
        <v/>
      </c>
      <c r="U419" t="str">
        <f t="shared" si="136"/>
        <v/>
      </c>
      <c r="V419" t="str">
        <f>IF(L419="","",IF($AO$1=1,IFERROR(MATCH(L419,'11-تشرين الثاني'!$L$2:$L$501,0),0),0))</f>
        <v/>
      </c>
      <c r="W419" t="str">
        <f t="shared" si="137"/>
        <v/>
      </c>
      <c r="X419" s="38" t="str">
        <f>IF(L419="","",IF(V419&gt;0,INDEX('11-تشرين الثاني'!$P$2:$P$501,V419),IF($AO$1=1,0,"")))</f>
        <v/>
      </c>
      <c r="Y419" s="38" t="str">
        <f t="shared" si="138"/>
        <v/>
      </c>
      <c r="Z419" s="39" t="str">
        <f>IF(L419="","",IF(V419&gt;0,INDEX('11-تشرين الثاني'!$Q$2:$Q$501,V419),IF($AO$1=1,0,"")))</f>
        <v/>
      </c>
      <c r="AA419" s="39" t="str">
        <f t="shared" si="139"/>
        <v/>
      </c>
      <c r="AB419" s="40" t="str">
        <f>IF(OR(L419="",V419=0),"",IF(AND(N(I419)&gt;0,N(INDEX('11-تشرين الثاني'!$I$2:$I$501,V419))&gt;0,INDEX('11-تشرين الثاني'!$F$2:$F$501,V419)=F419),N(I419)/N(INDEX('11-تشرين الثاني'!$I$2:$I$501,V419))-1,""))</f>
        <v/>
      </c>
      <c r="AC419" t="str">
        <f t="shared" si="140"/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41"/>
        <v/>
      </c>
      <c r="AH419" s="39" t="str">
        <f t="shared" si="142"/>
        <v/>
      </c>
      <c r="AI419" s="39" t="str">
        <f t="shared" si="143"/>
        <v/>
      </c>
      <c r="AJ419" s="39" t="str">
        <f t="shared" si="144"/>
        <v/>
      </c>
      <c r="AK419" t="str">
        <f t="shared" si="145"/>
        <v/>
      </c>
      <c r="AL419" t="str">
        <f t="shared" si="146"/>
        <v/>
      </c>
    </row>
    <row r="420" spans="11:38" ht="15">
      <c r="K420" t="str">
        <f t="shared" si="126"/>
        <v/>
      </c>
      <c r="L420" t="str">
        <f t="shared" si="127"/>
        <v/>
      </c>
      <c r="M420" s="36" t="str">
        <f t="shared" si="128"/>
        <v/>
      </c>
      <c r="N420" s="37" t="str">
        <f t="shared" si="129"/>
        <v/>
      </c>
      <c r="O420" s="37" t="str">
        <f t="shared" si="130"/>
        <v/>
      </c>
      <c r="P420" s="38" t="str">
        <f t="shared" si="131"/>
        <v/>
      </c>
      <c r="Q420" s="39" t="str">
        <f t="shared" si="132"/>
        <v/>
      </c>
      <c r="R420" s="39" t="str">
        <f t="shared" si="133"/>
        <v/>
      </c>
      <c r="S420" t="str">
        <f t="shared" si="134"/>
        <v/>
      </c>
      <c r="T420" s="39" t="str">
        <f t="shared" si="135"/>
        <v/>
      </c>
      <c r="U420" t="str">
        <f t="shared" si="136"/>
        <v/>
      </c>
      <c r="V420" t="str">
        <f>IF(L420="","",IF($AO$1=1,IFERROR(MATCH(L420,'11-تشرين الثاني'!$L$2:$L$501,0),0),0))</f>
        <v/>
      </c>
      <c r="W420" t="str">
        <f t="shared" si="137"/>
        <v/>
      </c>
      <c r="X420" s="38" t="str">
        <f>IF(L420="","",IF(V420&gt;0,INDEX('11-تشرين الثاني'!$P$2:$P$501,V420),IF($AO$1=1,0,"")))</f>
        <v/>
      </c>
      <c r="Y420" s="38" t="str">
        <f t="shared" si="138"/>
        <v/>
      </c>
      <c r="Z420" s="39" t="str">
        <f>IF(L420="","",IF(V420&gt;0,INDEX('11-تشرين الثاني'!$Q$2:$Q$501,V420),IF($AO$1=1,0,"")))</f>
        <v/>
      </c>
      <c r="AA420" s="39" t="str">
        <f t="shared" si="139"/>
        <v/>
      </c>
      <c r="AB420" s="40" t="str">
        <f>IF(OR(L420="",V420=0),"",IF(AND(N(I420)&gt;0,N(INDEX('11-تشرين الثاني'!$I$2:$I$501,V420))&gt;0,INDEX('11-تشرين الثاني'!$F$2:$F$501,V420)=F420),N(I420)/N(INDEX('11-تشرين الثاني'!$I$2:$I$501,V420))-1,""))</f>
        <v/>
      </c>
      <c r="AC420" t="str">
        <f t="shared" si="140"/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41"/>
        <v/>
      </c>
      <c r="AH420" s="39" t="str">
        <f t="shared" si="142"/>
        <v/>
      </c>
      <c r="AI420" s="39" t="str">
        <f t="shared" si="143"/>
        <v/>
      </c>
      <c r="AJ420" s="39" t="str">
        <f t="shared" si="144"/>
        <v/>
      </c>
      <c r="AK420" t="str">
        <f t="shared" si="145"/>
        <v/>
      </c>
      <c r="AL420" t="str">
        <f t="shared" si="146"/>
        <v/>
      </c>
    </row>
    <row r="421" spans="11:38" ht="15">
      <c r="K421" t="str">
        <f t="shared" si="126"/>
        <v/>
      </c>
      <c r="L421" t="str">
        <f t="shared" si="127"/>
        <v/>
      </c>
      <c r="M421" s="36" t="str">
        <f t="shared" si="128"/>
        <v/>
      </c>
      <c r="N421" s="37" t="str">
        <f t="shared" si="129"/>
        <v/>
      </c>
      <c r="O421" s="37" t="str">
        <f t="shared" si="130"/>
        <v/>
      </c>
      <c r="P421" s="38" t="str">
        <f t="shared" si="131"/>
        <v/>
      </c>
      <c r="Q421" s="39" t="str">
        <f t="shared" si="132"/>
        <v/>
      </c>
      <c r="R421" s="39" t="str">
        <f t="shared" si="133"/>
        <v/>
      </c>
      <c r="S421" t="str">
        <f t="shared" si="134"/>
        <v/>
      </c>
      <c r="T421" s="39" t="str">
        <f t="shared" si="135"/>
        <v/>
      </c>
      <c r="U421" t="str">
        <f t="shared" si="136"/>
        <v/>
      </c>
      <c r="V421" t="str">
        <f>IF(L421="","",IF($AO$1=1,IFERROR(MATCH(L421,'11-تشرين الثاني'!$L$2:$L$501,0),0),0))</f>
        <v/>
      </c>
      <c r="W421" t="str">
        <f t="shared" si="137"/>
        <v/>
      </c>
      <c r="X421" s="38" t="str">
        <f>IF(L421="","",IF(V421&gt;0,INDEX('11-تشرين الثاني'!$P$2:$P$501,V421),IF($AO$1=1,0,"")))</f>
        <v/>
      </c>
      <c r="Y421" s="38" t="str">
        <f t="shared" si="138"/>
        <v/>
      </c>
      <c r="Z421" s="39" t="str">
        <f>IF(L421="","",IF(V421&gt;0,INDEX('11-تشرين الثاني'!$Q$2:$Q$501,V421),IF($AO$1=1,0,"")))</f>
        <v/>
      </c>
      <c r="AA421" s="39" t="str">
        <f t="shared" si="139"/>
        <v/>
      </c>
      <c r="AB421" s="40" t="str">
        <f>IF(OR(L421="",V421=0),"",IF(AND(N(I421)&gt;0,N(INDEX('11-تشرين الثاني'!$I$2:$I$501,V421))&gt;0,INDEX('11-تشرين الثاني'!$F$2:$F$501,V421)=F421),N(I421)/N(INDEX('11-تشرين الثاني'!$I$2:$I$501,V421))-1,""))</f>
        <v/>
      </c>
      <c r="AC421" t="str">
        <f t="shared" si="140"/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41"/>
        <v/>
      </c>
      <c r="AH421" s="39" t="str">
        <f t="shared" si="142"/>
        <v/>
      </c>
      <c r="AI421" s="39" t="str">
        <f t="shared" si="143"/>
        <v/>
      </c>
      <c r="AJ421" s="39" t="str">
        <f t="shared" si="144"/>
        <v/>
      </c>
      <c r="AK421" t="str">
        <f t="shared" si="145"/>
        <v/>
      </c>
      <c r="AL421" t="str">
        <f t="shared" si="146"/>
        <v/>
      </c>
    </row>
    <row r="422" spans="11:38" ht="15">
      <c r="K422" t="str">
        <f t="shared" si="126"/>
        <v/>
      </c>
      <c r="L422" t="str">
        <f t="shared" si="127"/>
        <v/>
      </c>
      <c r="M422" s="36" t="str">
        <f t="shared" si="128"/>
        <v/>
      </c>
      <c r="N422" s="37" t="str">
        <f t="shared" si="129"/>
        <v/>
      </c>
      <c r="O422" s="37" t="str">
        <f t="shared" si="130"/>
        <v/>
      </c>
      <c r="P422" s="38" t="str">
        <f t="shared" si="131"/>
        <v/>
      </c>
      <c r="Q422" s="39" t="str">
        <f t="shared" si="132"/>
        <v/>
      </c>
      <c r="R422" s="39" t="str">
        <f t="shared" si="133"/>
        <v/>
      </c>
      <c r="S422" t="str">
        <f t="shared" si="134"/>
        <v/>
      </c>
      <c r="T422" s="39" t="str">
        <f t="shared" si="135"/>
        <v/>
      </c>
      <c r="U422" t="str">
        <f t="shared" si="136"/>
        <v/>
      </c>
      <c r="V422" t="str">
        <f>IF(L422="","",IF($AO$1=1,IFERROR(MATCH(L422,'11-تشرين الثاني'!$L$2:$L$501,0),0),0))</f>
        <v/>
      </c>
      <c r="W422" t="str">
        <f t="shared" si="137"/>
        <v/>
      </c>
      <c r="X422" s="38" t="str">
        <f>IF(L422="","",IF(V422&gt;0,INDEX('11-تشرين الثاني'!$P$2:$P$501,V422),IF($AO$1=1,0,"")))</f>
        <v/>
      </c>
      <c r="Y422" s="38" t="str">
        <f t="shared" si="138"/>
        <v/>
      </c>
      <c r="Z422" s="39" t="str">
        <f>IF(L422="","",IF(V422&gt;0,INDEX('11-تشرين الثاني'!$Q$2:$Q$501,V422),IF($AO$1=1,0,"")))</f>
        <v/>
      </c>
      <c r="AA422" s="39" t="str">
        <f t="shared" si="139"/>
        <v/>
      </c>
      <c r="AB422" s="40" t="str">
        <f>IF(OR(L422="",V422=0),"",IF(AND(N(I422)&gt;0,N(INDEX('11-تشرين الثاني'!$I$2:$I$501,V422))&gt;0,INDEX('11-تشرين الثاني'!$F$2:$F$501,V422)=F422),N(I422)/N(INDEX('11-تشرين الثاني'!$I$2:$I$501,V422))-1,""))</f>
        <v/>
      </c>
      <c r="AC422" t="str">
        <f t="shared" si="140"/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41"/>
        <v/>
      </c>
      <c r="AH422" s="39" t="str">
        <f t="shared" si="142"/>
        <v/>
      </c>
      <c r="AI422" s="39" t="str">
        <f t="shared" si="143"/>
        <v/>
      </c>
      <c r="AJ422" s="39" t="str">
        <f t="shared" si="144"/>
        <v/>
      </c>
      <c r="AK422" t="str">
        <f t="shared" si="145"/>
        <v/>
      </c>
      <c r="AL422" t="str">
        <f t="shared" si="146"/>
        <v/>
      </c>
    </row>
    <row r="423" spans="11:38" ht="15">
      <c r="K423" t="str">
        <f t="shared" si="126"/>
        <v/>
      </c>
      <c r="L423" t="str">
        <f t="shared" si="127"/>
        <v/>
      </c>
      <c r="M423" s="36" t="str">
        <f t="shared" si="128"/>
        <v/>
      </c>
      <c r="N423" s="37" t="str">
        <f t="shared" si="129"/>
        <v/>
      </c>
      <c r="O423" s="37" t="str">
        <f t="shared" si="130"/>
        <v/>
      </c>
      <c r="P423" s="38" t="str">
        <f t="shared" si="131"/>
        <v/>
      </c>
      <c r="Q423" s="39" t="str">
        <f t="shared" si="132"/>
        <v/>
      </c>
      <c r="R423" s="39" t="str">
        <f t="shared" si="133"/>
        <v/>
      </c>
      <c r="S423" t="str">
        <f t="shared" si="134"/>
        <v/>
      </c>
      <c r="T423" s="39" t="str">
        <f t="shared" si="135"/>
        <v/>
      </c>
      <c r="U423" t="str">
        <f t="shared" si="136"/>
        <v/>
      </c>
      <c r="V423" t="str">
        <f>IF(L423="","",IF($AO$1=1,IFERROR(MATCH(L423,'11-تشرين الثاني'!$L$2:$L$501,0),0),0))</f>
        <v/>
      </c>
      <c r="W423" t="str">
        <f t="shared" si="137"/>
        <v/>
      </c>
      <c r="X423" s="38" t="str">
        <f>IF(L423="","",IF(V423&gt;0,INDEX('11-تشرين الثاني'!$P$2:$P$501,V423),IF($AO$1=1,0,"")))</f>
        <v/>
      </c>
      <c r="Y423" s="38" t="str">
        <f t="shared" si="138"/>
        <v/>
      </c>
      <c r="Z423" s="39" t="str">
        <f>IF(L423="","",IF(V423&gt;0,INDEX('11-تشرين الثاني'!$Q$2:$Q$501,V423),IF($AO$1=1,0,"")))</f>
        <v/>
      </c>
      <c r="AA423" s="39" t="str">
        <f t="shared" si="139"/>
        <v/>
      </c>
      <c r="AB423" s="40" t="str">
        <f>IF(OR(L423="",V423=0),"",IF(AND(N(I423)&gt;0,N(INDEX('11-تشرين الثاني'!$I$2:$I$501,V423))&gt;0,INDEX('11-تشرين الثاني'!$F$2:$F$501,V423)=F423),N(I423)/N(INDEX('11-تشرين الثاني'!$I$2:$I$501,V423))-1,""))</f>
        <v/>
      </c>
      <c r="AC423" t="str">
        <f t="shared" si="140"/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41"/>
        <v/>
      </c>
      <c r="AH423" s="39" t="str">
        <f t="shared" si="142"/>
        <v/>
      </c>
      <c r="AI423" s="39" t="str">
        <f t="shared" si="143"/>
        <v/>
      </c>
      <c r="AJ423" s="39" t="str">
        <f t="shared" si="144"/>
        <v/>
      </c>
      <c r="AK423" t="str">
        <f t="shared" si="145"/>
        <v/>
      </c>
      <c r="AL423" t="str">
        <f t="shared" si="146"/>
        <v/>
      </c>
    </row>
    <row r="424" spans="11:38" ht="15">
      <c r="K424" t="str">
        <f t="shared" si="126"/>
        <v/>
      </c>
      <c r="L424" t="str">
        <f t="shared" si="127"/>
        <v/>
      </c>
      <c r="M424" s="36" t="str">
        <f t="shared" si="128"/>
        <v/>
      </c>
      <c r="N424" s="37" t="str">
        <f t="shared" si="129"/>
        <v/>
      </c>
      <c r="O424" s="37" t="str">
        <f t="shared" si="130"/>
        <v/>
      </c>
      <c r="P424" s="38" t="str">
        <f t="shared" si="131"/>
        <v/>
      </c>
      <c r="Q424" s="39" t="str">
        <f t="shared" si="132"/>
        <v/>
      </c>
      <c r="R424" s="39" t="str">
        <f t="shared" si="133"/>
        <v/>
      </c>
      <c r="S424" t="str">
        <f t="shared" si="134"/>
        <v/>
      </c>
      <c r="T424" s="39" t="str">
        <f t="shared" si="135"/>
        <v/>
      </c>
      <c r="U424" t="str">
        <f t="shared" si="136"/>
        <v/>
      </c>
      <c r="V424" t="str">
        <f>IF(L424="","",IF($AO$1=1,IFERROR(MATCH(L424,'11-تشرين الثاني'!$L$2:$L$501,0),0),0))</f>
        <v/>
      </c>
      <c r="W424" t="str">
        <f t="shared" si="137"/>
        <v/>
      </c>
      <c r="X424" s="38" t="str">
        <f>IF(L424="","",IF(V424&gt;0,INDEX('11-تشرين الثاني'!$P$2:$P$501,V424),IF($AO$1=1,0,"")))</f>
        <v/>
      </c>
      <c r="Y424" s="38" t="str">
        <f t="shared" si="138"/>
        <v/>
      </c>
      <c r="Z424" s="39" t="str">
        <f>IF(L424="","",IF(V424&gt;0,INDEX('11-تشرين الثاني'!$Q$2:$Q$501,V424),IF($AO$1=1,0,"")))</f>
        <v/>
      </c>
      <c r="AA424" s="39" t="str">
        <f t="shared" si="139"/>
        <v/>
      </c>
      <c r="AB424" s="40" t="str">
        <f>IF(OR(L424="",V424=0),"",IF(AND(N(I424)&gt;0,N(INDEX('11-تشرين الثاني'!$I$2:$I$501,V424))&gt;0,INDEX('11-تشرين الثاني'!$F$2:$F$501,V424)=F424),N(I424)/N(INDEX('11-تشرين الثاني'!$I$2:$I$501,V424))-1,""))</f>
        <v/>
      </c>
      <c r="AC424" t="str">
        <f t="shared" si="140"/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41"/>
        <v/>
      </c>
      <c r="AH424" s="39" t="str">
        <f t="shared" si="142"/>
        <v/>
      </c>
      <c r="AI424" s="39" t="str">
        <f t="shared" si="143"/>
        <v/>
      </c>
      <c r="AJ424" s="39" t="str">
        <f t="shared" si="144"/>
        <v/>
      </c>
      <c r="AK424" t="str">
        <f t="shared" si="145"/>
        <v/>
      </c>
      <c r="AL424" t="str">
        <f t="shared" si="146"/>
        <v/>
      </c>
    </row>
    <row r="425" spans="11:38" ht="15">
      <c r="K425" t="str">
        <f t="shared" si="126"/>
        <v/>
      </c>
      <c r="L425" t="str">
        <f t="shared" si="127"/>
        <v/>
      </c>
      <c r="M425" s="36" t="str">
        <f t="shared" si="128"/>
        <v/>
      </c>
      <c r="N425" s="37" t="str">
        <f t="shared" si="129"/>
        <v/>
      </c>
      <c r="O425" s="37" t="str">
        <f t="shared" si="130"/>
        <v/>
      </c>
      <c r="P425" s="38" t="str">
        <f t="shared" si="131"/>
        <v/>
      </c>
      <c r="Q425" s="39" t="str">
        <f t="shared" si="132"/>
        <v/>
      </c>
      <c r="R425" s="39" t="str">
        <f t="shared" si="133"/>
        <v/>
      </c>
      <c r="S425" t="str">
        <f t="shared" si="134"/>
        <v/>
      </c>
      <c r="T425" s="39" t="str">
        <f t="shared" si="135"/>
        <v/>
      </c>
      <c r="U425" t="str">
        <f t="shared" si="136"/>
        <v/>
      </c>
      <c r="V425" t="str">
        <f>IF(L425="","",IF($AO$1=1,IFERROR(MATCH(L425,'11-تشرين الثاني'!$L$2:$L$501,0),0),0))</f>
        <v/>
      </c>
      <c r="W425" t="str">
        <f t="shared" si="137"/>
        <v/>
      </c>
      <c r="X425" s="38" t="str">
        <f>IF(L425="","",IF(V425&gt;0,INDEX('11-تشرين الثاني'!$P$2:$P$501,V425),IF($AO$1=1,0,"")))</f>
        <v/>
      </c>
      <c r="Y425" s="38" t="str">
        <f t="shared" si="138"/>
        <v/>
      </c>
      <c r="Z425" s="39" t="str">
        <f>IF(L425="","",IF(V425&gt;0,INDEX('11-تشرين الثاني'!$Q$2:$Q$501,V425),IF($AO$1=1,0,"")))</f>
        <v/>
      </c>
      <c r="AA425" s="39" t="str">
        <f t="shared" si="139"/>
        <v/>
      </c>
      <c r="AB425" s="40" t="str">
        <f>IF(OR(L425="",V425=0),"",IF(AND(N(I425)&gt;0,N(INDEX('11-تشرين الثاني'!$I$2:$I$501,V425))&gt;0,INDEX('11-تشرين الثاني'!$F$2:$F$501,V425)=F425),N(I425)/N(INDEX('11-تشرين الثاني'!$I$2:$I$501,V425))-1,""))</f>
        <v/>
      </c>
      <c r="AC425" t="str">
        <f t="shared" si="140"/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41"/>
        <v/>
      </c>
      <c r="AH425" s="39" t="str">
        <f t="shared" si="142"/>
        <v/>
      </c>
      <c r="AI425" s="39" t="str">
        <f t="shared" si="143"/>
        <v/>
      </c>
      <c r="AJ425" s="39" t="str">
        <f t="shared" si="144"/>
        <v/>
      </c>
      <c r="AK425" t="str">
        <f t="shared" si="145"/>
        <v/>
      </c>
      <c r="AL425" t="str">
        <f t="shared" si="146"/>
        <v/>
      </c>
    </row>
    <row r="426" spans="11:38" ht="15">
      <c r="K426" t="str">
        <f t="shared" si="126"/>
        <v/>
      </c>
      <c r="L426" t="str">
        <f t="shared" si="127"/>
        <v/>
      </c>
      <c r="M426" s="36" t="str">
        <f t="shared" si="128"/>
        <v/>
      </c>
      <c r="N426" s="37" t="str">
        <f t="shared" si="129"/>
        <v/>
      </c>
      <c r="O426" s="37" t="str">
        <f t="shared" si="130"/>
        <v/>
      </c>
      <c r="P426" s="38" t="str">
        <f t="shared" si="131"/>
        <v/>
      </c>
      <c r="Q426" s="39" t="str">
        <f t="shared" si="132"/>
        <v/>
      </c>
      <c r="R426" s="39" t="str">
        <f t="shared" si="133"/>
        <v/>
      </c>
      <c r="S426" t="str">
        <f t="shared" si="134"/>
        <v/>
      </c>
      <c r="T426" s="39" t="str">
        <f t="shared" si="135"/>
        <v/>
      </c>
      <c r="U426" t="str">
        <f t="shared" si="136"/>
        <v/>
      </c>
      <c r="V426" t="str">
        <f>IF(L426="","",IF($AO$1=1,IFERROR(MATCH(L426,'11-تشرين الثاني'!$L$2:$L$501,0),0),0))</f>
        <v/>
      </c>
      <c r="W426" t="str">
        <f t="shared" si="137"/>
        <v/>
      </c>
      <c r="X426" s="38" t="str">
        <f>IF(L426="","",IF(V426&gt;0,INDEX('11-تشرين الثاني'!$P$2:$P$501,V426),IF($AO$1=1,0,"")))</f>
        <v/>
      </c>
      <c r="Y426" s="38" t="str">
        <f t="shared" si="138"/>
        <v/>
      </c>
      <c r="Z426" s="39" t="str">
        <f>IF(L426="","",IF(V426&gt;0,INDEX('11-تشرين الثاني'!$Q$2:$Q$501,V426),IF($AO$1=1,0,"")))</f>
        <v/>
      </c>
      <c r="AA426" s="39" t="str">
        <f t="shared" si="139"/>
        <v/>
      </c>
      <c r="AB426" s="40" t="str">
        <f>IF(OR(L426="",V426=0),"",IF(AND(N(I426)&gt;0,N(INDEX('11-تشرين الثاني'!$I$2:$I$501,V426))&gt;0,INDEX('11-تشرين الثاني'!$F$2:$F$501,V426)=F426),N(I426)/N(INDEX('11-تشرين الثاني'!$I$2:$I$501,V426))-1,""))</f>
        <v/>
      </c>
      <c r="AC426" t="str">
        <f t="shared" si="140"/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41"/>
        <v/>
      </c>
      <c r="AH426" s="39" t="str">
        <f t="shared" si="142"/>
        <v/>
      </c>
      <c r="AI426" s="39" t="str">
        <f t="shared" si="143"/>
        <v/>
      </c>
      <c r="AJ426" s="39" t="str">
        <f t="shared" si="144"/>
        <v/>
      </c>
      <c r="AK426" t="str">
        <f t="shared" si="145"/>
        <v/>
      </c>
      <c r="AL426" t="str">
        <f t="shared" si="146"/>
        <v/>
      </c>
    </row>
    <row r="427" spans="11:38" ht="15">
      <c r="K427" t="str">
        <f t="shared" si="126"/>
        <v/>
      </c>
      <c r="L427" t="str">
        <f t="shared" si="127"/>
        <v/>
      </c>
      <c r="M427" s="36" t="str">
        <f t="shared" si="128"/>
        <v/>
      </c>
      <c r="N427" s="37" t="str">
        <f t="shared" si="129"/>
        <v/>
      </c>
      <c r="O427" s="37" t="str">
        <f t="shared" si="130"/>
        <v/>
      </c>
      <c r="P427" s="38" t="str">
        <f t="shared" si="131"/>
        <v/>
      </c>
      <c r="Q427" s="39" t="str">
        <f t="shared" si="132"/>
        <v/>
      </c>
      <c r="R427" s="39" t="str">
        <f t="shared" si="133"/>
        <v/>
      </c>
      <c r="S427" t="str">
        <f t="shared" si="134"/>
        <v/>
      </c>
      <c r="T427" s="39" t="str">
        <f t="shared" si="135"/>
        <v/>
      </c>
      <c r="U427" t="str">
        <f t="shared" si="136"/>
        <v/>
      </c>
      <c r="V427" t="str">
        <f>IF(L427="","",IF($AO$1=1,IFERROR(MATCH(L427,'11-تشرين الثاني'!$L$2:$L$501,0),0),0))</f>
        <v/>
      </c>
      <c r="W427" t="str">
        <f t="shared" si="137"/>
        <v/>
      </c>
      <c r="X427" s="38" t="str">
        <f>IF(L427="","",IF(V427&gt;0,INDEX('11-تشرين الثاني'!$P$2:$P$501,V427),IF($AO$1=1,0,"")))</f>
        <v/>
      </c>
      <c r="Y427" s="38" t="str">
        <f t="shared" si="138"/>
        <v/>
      </c>
      <c r="Z427" s="39" t="str">
        <f>IF(L427="","",IF(V427&gt;0,INDEX('11-تشرين الثاني'!$Q$2:$Q$501,V427),IF($AO$1=1,0,"")))</f>
        <v/>
      </c>
      <c r="AA427" s="39" t="str">
        <f t="shared" si="139"/>
        <v/>
      </c>
      <c r="AB427" s="40" t="str">
        <f>IF(OR(L427="",V427=0),"",IF(AND(N(I427)&gt;0,N(INDEX('11-تشرين الثاني'!$I$2:$I$501,V427))&gt;0,INDEX('11-تشرين الثاني'!$F$2:$F$501,V427)=F427),N(I427)/N(INDEX('11-تشرين الثاني'!$I$2:$I$501,V427))-1,""))</f>
        <v/>
      </c>
      <c r="AC427" t="str">
        <f t="shared" si="140"/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41"/>
        <v/>
      </c>
      <c r="AH427" s="39" t="str">
        <f t="shared" si="142"/>
        <v/>
      </c>
      <c r="AI427" s="39" t="str">
        <f t="shared" si="143"/>
        <v/>
      </c>
      <c r="AJ427" s="39" t="str">
        <f t="shared" si="144"/>
        <v/>
      </c>
      <c r="AK427" t="str">
        <f t="shared" si="145"/>
        <v/>
      </c>
      <c r="AL427" t="str">
        <f t="shared" si="146"/>
        <v/>
      </c>
    </row>
    <row r="428" spans="11:38" ht="15">
      <c r="K428" t="str">
        <f t="shared" si="126"/>
        <v/>
      </c>
      <c r="L428" t="str">
        <f t="shared" si="127"/>
        <v/>
      </c>
      <c r="M428" s="36" t="str">
        <f t="shared" si="128"/>
        <v/>
      </c>
      <c r="N428" s="37" t="str">
        <f t="shared" si="129"/>
        <v/>
      </c>
      <c r="O428" s="37" t="str">
        <f t="shared" si="130"/>
        <v/>
      </c>
      <c r="P428" s="38" t="str">
        <f t="shared" si="131"/>
        <v/>
      </c>
      <c r="Q428" s="39" t="str">
        <f t="shared" si="132"/>
        <v/>
      </c>
      <c r="R428" s="39" t="str">
        <f t="shared" si="133"/>
        <v/>
      </c>
      <c r="S428" t="str">
        <f t="shared" si="134"/>
        <v/>
      </c>
      <c r="T428" s="39" t="str">
        <f t="shared" si="135"/>
        <v/>
      </c>
      <c r="U428" t="str">
        <f t="shared" si="136"/>
        <v/>
      </c>
      <c r="V428" t="str">
        <f>IF(L428="","",IF($AO$1=1,IFERROR(MATCH(L428,'11-تشرين الثاني'!$L$2:$L$501,0),0),0))</f>
        <v/>
      </c>
      <c r="W428" t="str">
        <f t="shared" si="137"/>
        <v/>
      </c>
      <c r="X428" s="38" t="str">
        <f>IF(L428="","",IF(V428&gt;0,INDEX('11-تشرين الثاني'!$P$2:$P$501,V428),IF($AO$1=1,0,"")))</f>
        <v/>
      </c>
      <c r="Y428" s="38" t="str">
        <f t="shared" si="138"/>
        <v/>
      </c>
      <c r="Z428" s="39" t="str">
        <f>IF(L428="","",IF(V428&gt;0,INDEX('11-تشرين الثاني'!$Q$2:$Q$501,V428),IF($AO$1=1,0,"")))</f>
        <v/>
      </c>
      <c r="AA428" s="39" t="str">
        <f t="shared" si="139"/>
        <v/>
      </c>
      <c r="AB428" s="40" t="str">
        <f>IF(OR(L428="",V428=0),"",IF(AND(N(I428)&gt;0,N(INDEX('11-تشرين الثاني'!$I$2:$I$501,V428))&gt;0,INDEX('11-تشرين الثاني'!$F$2:$F$501,V428)=F428),N(I428)/N(INDEX('11-تشرين الثاني'!$I$2:$I$501,V428))-1,""))</f>
        <v/>
      </c>
      <c r="AC428" t="str">
        <f t="shared" si="140"/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41"/>
        <v/>
      </c>
      <c r="AH428" s="39" t="str">
        <f t="shared" si="142"/>
        <v/>
      </c>
      <c r="AI428" s="39" t="str">
        <f t="shared" si="143"/>
        <v/>
      </c>
      <c r="AJ428" s="39" t="str">
        <f t="shared" si="144"/>
        <v/>
      </c>
      <c r="AK428" t="str">
        <f t="shared" si="145"/>
        <v/>
      </c>
      <c r="AL428" t="str">
        <f t="shared" si="146"/>
        <v/>
      </c>
    </row>
    <row r="429" spans="11:38" ht="15">
      <c r="K429" t="str">
        <f t="shared" si="126"/>
        <v/>
      </c>
      <c r="L429" t="str">
        <f t="shared" si="127"/>
        <v/>
      </c>
      <c r="M429" s="36" t="str">
        <f t="shared" si="128"/>
        <v/>
      </c>
      <c r="N429" s="37" t="str">
        <f t="shared" si="129"/>
        <v/>
      </c>
      <c r="O429" s="37" t="str">
        <f t="shared" si="130"/>
        <v/>
      </c>
      <c r="P429" s="38" t="str">
        <f t="shared" si="131"/>
        <v/>
      </c>
      <c r="Q429" s="39" t="str">
        <f t="shared" si="132"/>
        <v/>
      </c>
      <c r="R429" s="39" t="str">
        <f t="shared" si="133"/>
        <v/>
      </c>
      <c r="S429" t="str">
        <f t="shared" si="134"/>
        <v/>
      </c>
      <c r="T429" s="39" t="str">
        <f t="shared" si="135"/>
        <v/>
      </c>
      <c r="U429" t="str">
        <f t="shared" si="136"/>
        <v/>
      </c>
      <c r="V429" t="str">
        <f>IF(L429="","",IF($AO$1=1,IFERROR(MATCH(L429,'11-تشرين الثاني'!$L$2:$L$501,0),0),0))</f>
        <v/>
      </c>
      <c r="W429" t="str">
        <f t="shared" si="137"/>
        <v/>
      </c>
      <c r="X429" s="38" t="str">
        <f>IF(L429="","",IF(V429&gt;0,INDEX('11-تشرين الثاني'!$P$2:$P$501,V429),IF($AO$1=1,0,"")))</f>
        <v/>
      </c>
      <c r="Y429" s="38" t="str">
        <f t="shared" si="138"/>
        <v/>
      </c>
      <c r="Z429" s="39" t="str">
        <f>IF(L429="","",IF(V429&gt;0,INDEX('11-تشرين الثاني'!$Q$2:$Q$501,V429),IF($AO$1=1,0,"")))</f>
        <v/>
      </c>
      <c r="AA429" s="39" t="str">
        <f t="shared" si="139"/>
        <v/>
      </c>
      <c r="AB429" s="40" t="str">
        <f>IF(OR(L429="",V429=0),"",IF(AND(N(I429)&gt;0,N(INDEX('11-تشرين الثاني'!$I$2:$I$501,V429))&gt;0,INDEX('11-تشرين الثاني'!$F$2:$F$501,V429)=F429),N(I429)/N(INDEX('11-تشرين الثاني'!$I$2:$I$501,V429))-1,""))</f>
        <v/>
      </c>
      <c r="AC429" t="str">
        <f t="shared" si="140"/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41"/>
        <v/>
      </c>
      <c r="AH429" s="39" t="str">
        <f t="shared" si="142"/>
        <v/>
      </c>
      <c r="AI429" s="39" t="str">
        <f t="shared" si="143"/>
        <v/>
      </c>
      <c r="AJ429" s="39" t="str">
        <f t="shared" si="144"/>
        <v/>
      </c>
      <c r="AK429" t="str">
        <f t="shared" si="145"/>
        <v/>
      </c>
      <c r="AL429" t="str">
        <f t="shared" si="146"/>
        <v/>
      </c>
    </row>
    <row r="430" spans="11:38" ht="15">
      <c r="K430" t="str">
        <f t="shared" si="126"/>
        <v/>
      </c>
      <c r="L430" t="str">
        <f t="shared" si="127"/>
        <v/>
      </c>
      <c r="M430" s="36" t="str">
        <f t="shared" si="128"/>
        <v/>
      </c>
      <c r="N430" s="37" t="str">
        <f t="shared" si="129"/>
        <v/>
      </c>
      <c r="O430" s="37" t="str">
        <f t="shared" si="130"/>
        <v/>
      </c>
      <c r="P430" s="38" t="str">
        <f t="shared" si="131"/>
        <v/>
      </c>
      <c r="Q430" s="39" t="str">
        <f t="shared" si="132"/>
        <v/>
      </c>
      <c r="R430" s="39" t="str">
        <f t="shared" si="133"/>
        <v/>
      </c>
      <c r="S430" t="str">
        <f t="shared" si="134"/>
        <v/>
      </c>
      <c r="T430" s="39" t="str">
        <f t="shared" si="135"/>
        <v/>
      </c>
      <c r="U430" t="str">
        <f t="shared" si="136"/>
        <v/>
      </c>
      <c r="V430" t="str">
        <f>IF(L430="","",IF($AO$1=1,IFERROR(MATCH(L430,'11-تشرين الثاني'!$L$2:$L$501,0),0),0))</f>
        <v/>
      </c>
      <c r="W430" t="str">
        <f t="shared" si="137"/>
        <v/>
      </c>
      <c r="X430" s="38" t="str">
        <f>IF(L430="","",IF(V430&gt;0,INDEX('11-تشرين الثاني'!$P$2:$P$501,V430),IF($AO$1=1,0,"")))</f>
        <v/>
      </c>
      <c r="Y430" s="38" t="str">
        <f t="shared" si="138"/>
        <v/>
      </c>
      <c r="Z430" s="39" t="str">
        <f>IF(L430="","",IF(V430&gt;0,INDEX('11-تشرين الثاني'!$Q$2:$Q$501,V430),IF($AO$1=1,0,"")))</f>
        <v/>
      </c>
      <c r="AA430" s="39" t="str">
        <f t="shared" si="139"/>
        <v/>
      </c>
      <c r="AB430" s="40" t="str">
        <f>IF(OR(L430="",V430=0),"",IF(AND(N(I430)&gt;0,N(INDEX('11-تشرين الثاني'!$I$2:$I$501,V430))&gt;0,INDEX('11-تشرين الثاني'!$F$2:$F$501,V430)=F430),N(I430)/N(INDEX('11-تشرين الثاني'!$I$2:$I$501,V430))-1,""))</f>
        <v/>
      </c>
      <c r="AC430" t="str">
        <f t="shared" si="140"/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41"/>
        <v/>
      </c>
      <c r="AH430" s="39" t="str">
        <f t="shared" si="142"/>
        <v/>
      </c>
      <c r="AI430" s="39" t="str">
        <f t="shared" si="143"/>
        <v/>
      </c>
      <c r="AJ430" s="39" t="str">
        <f t="shared" si="144"/>
        <v/>
      </c>
      <c r="AK430" t="str">
        <f t="shared" si="145"/>
        <v/>
      </c>
      <c r="AL430" t="str">
        <f t="shared" si="146"/>
        <v/>
      </c>
    </row>
    <row r="431" spans="11:38" ht="15">
      <c r="K431" t="str">
        <f t="shared" si="126"/>
        <v/>
      </c>
      <c r="L431" t="str">
        <f t="shared" si="127"/>
        <v/>
      </c>
      <c r="M431" s="36" t="str">
        <f t="shared" si="128"/>
        <v/>
      </c>
      <c r="N431" s="37" t="str">
        <f t="shared" si="129"/>
        <v/>
      </c>
      <c r="O431" s="37" t="str">
        <f t="shared" si="130"/>
        <v/>
      </c>
      <c r="P431" s="38" t="str">
        <f t="shared" si="131"/>
        <v/>
      </c>
      <c r="Q431" s="39" t="str">
        <f t="shared" si="132"/>
        <v/>
      </c>
      <c r="R431" s="39" t="str">
        <f t="shared" si="133"/>
        <v/>
      </c>
      <c r="S431" t="str">
        <f t="shared" si="134"/>
        <v/>
      </c>
      <c r="T431" s="39" t="str">
        <f t="shared" si="135"/>
        <v/>
      </c>
      <c r="U431" t="str">
        <f t="shared" si="136"/>
        <v/>
      </c>
      <c r="V431" t="str">
        <f>IF(L431="","",IF($AO$1=1,IFERROR(MATCH(L431,'11-تشرين الثاني'!$L$2:$L$501,0),0),0))</f>
        <v/>
      </c>
      <c r="W431" t="str">
        <f t="shared" si="137"/>
        <v/>
      </c>
      <c r="X431" s="38" t="str">
        <f>IF(L431="","",IF(V431&gt;0,INDEX('11-تشرين الثاني'!$P$2:$P$501,V431),IF($AO$1=1,0,"")))</f>
        <v/>
      </c>
      <c r="Y431" s="38" t="str">
        <f t="shared" si="138"/>
        <v/>
      </c>
      <c r="Z431" s="39" t="str">
        <f>IF(L431="","",IF(V431&gt;0,INDEX('11-تشرين الثاني'!$Q$2:$Q$501,V431),IF($AO$1=1,0,"")))</f>
        <v/>
      </c>
      <c r="AA431" s="39" t="str">
        <f t="shared" si="139"/>
        <v/>
      </c>
      <c r="AB431" s="40" t="str">
        <f>IF(OR(L431="",V431=0),"",IF(AND(N(I431)&gt;0,N(INDEX('11-تشرين الثاني'!$I$2:$I$501,V431))&gt;0,INDEX('11-تشرين الثاني'!$F$2:$F$501,V431)=F431),N(I431)/N(INDEX('11-تشرين الثاني'!$I$2:$I$501,V431))-1,""))</f>
        <v/>
      </c>
      <c r="AC431" t="str">
        <f t="shared" si="140"/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41"/>
        <v/>
      </c>
      <c r="AH431" s="39" t="str">
        <f t="shared" si="142"/>
        <v/>
      </c>
      <c r="AI431" s="39" t="str">
        <f t="shared" si="143"/>
        <v/>
      </c>
      <c r="AJ431" s="39" t="str">
        <f t="shared" si="144"/>
        <v/>
      </c>
      <c r="AK431" t="str">
        <f t="shared" si="145"/>
        <v/>
      </c>
      <c r="AL431" t="str">
        <f t="shared" si="146"/>
        <v/>
      </c>
    </row>
    <row r="432" spans="11:38" ht="15">
      <c r="K432" t="str">
        <f t="shared" si="126"/>
        <v/>
      </c>
      <c r="L432" t="str">
        <f t="shared" si="127"/>
        <v/>
      </c>
      <c r="M432" s="36" t="str">
        <f t="shared" si="128"/>
        <v/>
      </c>
      <c r="N432" s="37" t="str">
        <f t="shared" si="129"/>
        <v/>
      </c>
      <c r="O432" s="37" t="str">
        <f t="shared" si="130"/>
        <v/>
      </c>
      <c r="P432" s="38" t="str">
        <f t="shared" si="131"/>
        <v/>
      </c>
      <c r="Q432" s="39" t="str">
        <f t="shared" si="132"/>
        <v/>
      </c>
      <c r="R432" s="39" t="str">
        <f t="shared" si="133"/>
        <v/>
      </c>
      <c r="S432" t="str">
        <f t="shared" si="134"/>
        <v/>
      </c>
      <c r="T432" s="39" t="str">
        <f t="shared" si="135"/>
        <v/>
      </c>
      <c r="U432" t="str">
        <f t="shared" si="136"/>
        <v/>
      </c>
      <c r="V432" t="str">
        <f>IF(L432="","",IF($AO$1=1,IFERROR(MATCH(L432,'11-تشرين الثاني'!$L$2:$L$501,0),0),0))</f>
        <v/>
      </c>
      <c r="W432" t="str">
        <f t="shared" si="137"/>
        <v/>
      </c>
      <c r="X432" s="38" t="str">
        <f>IF(L432="","",IF(V432&gt;0,INDEX('11-تشرين الثاني'!$P$2:$P$501,V432),IF($AO$1=1,0,"")))</f>
        <v/>
      </c>
      <c r="Y432" s="38" t="str">
        <f t="shared" si="138"/>
        <v/>
      </c>
      <c r="Z432" s="39" t="str">
        <f>IF(L432="","",IF(V432&gt;0,INDEX('11-تشرين الثاني'!$Q$2:$Q$501,V432),IF($AO$1=1,0,"")))</f>
        <v/>
      </c>
      <c r="AA432" s="39" t="str">
        <f t="shared" si="139"/>
        <v/>
      </c>
      <c r="AB432" s="40" t="str">
        <f>IF(OR(L432="",V432=0),"",IF(AND(N(I432)&gt;0,N(INDEX('11-تشرين الثاني'!$I$2:$I$501,V432))&gt;0,INDEX('11-تشرين الثاني'!$F$2:$F$501,V432)=F432),N(I432)/N(INDEX('11-تشرين الثاني'!$I$2:$I$501,V432))-1,""))</f>
        <v/>
      </c>
      <c r="AC432" t="str">
        <f t="shared" si="140"/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41"/>
        <v/>
      </c>
      <c r="AH432" s="39" t="str">
        <f t="shared" si="142"/>
        <v/>
      </c>
      <c r="AI432" s="39" t="str">
        <f t="shared" si="143"/>
        <v/>
      </c>
      <c r="AJ432" s="39" t="str">
        <f t="shared" si="144"/>
        <v/>
      </c>
      <c r="AK432" t="str">
        <f t="shared" si="145"/>
        <v/>
      </c>
      <c r="AL432" t="str">
        <f t="shared" si="146"/>
        <v/>
      </c>
    </row>
    <row r="433" spans="11:38" ht="15">
      <c r="K433" t="str">
        <f t="shared" si="126"/>
        <v/>
      </c>
      <c r="L433" t="str">
        <f t="shared" si="127"/>
        <v/>
      </c>
      <c r="M433" s="36" t="str">
        <f t="shared" si="128"/>
        <v/>
      </c>
      <c r="N433" s="37" t="str">
        <f t="shared" si="129"/>
        <v/>
      </c>
      <c r="O433" s="37" t="str">
        <f t="shared" si="130"/>
        <v/>
      </c>
      <c r="P433" s="38" t="str">
        <f t="shared" si="131"/>
        <v/>
      </c>
      <c r="Q433" s="39" t="str">
        <f t="shared" si="132"/>
        <v/>
      </c>
      <c r="R433" s="39" t="str">
        <f t="shared" si="133"/>
        <v/>
      </c>
      <c r="S433" t="str">
        <f t="shared" si="134"/>
        <v/>
      </c>
      <c r="T433" s="39" t="str">
        <f t="shared" si="135"/>
        <v/>
      </c>
      <c r="U433" t="str">
        <f t="shared" si="136"/>
        <v/>
      </c>
      <c r="V433" t="str">
        <f>IF(L433="","",IF($AO$1=1,IFERROR(MATCH(L433,'11-تشرين الثاني'!$L$2:$L$501,0),0),0))</f>
        <v/>
      </c>
      <c r="W433" t="str">
        <f t="shared" si="137"/>
        <v/>
      </c>
      <c r="X433" s="38" t="str">
        <f>IF(L433="","",IF(V433&gt;0,INDEX('11-تشرين الثاني'!$P$2:$P$501,V433),IF($AO$1=1,0,"")))</f>
        <v/>
      </c>
      <c r="Y433" s="38" t="str">
        <f t="shared" si="138"/>
        <v/>
      </c>
      <c r="Z433" s="39" t="str">
        <f>IF(L433="","",IF(V433&gt;0,INDEX('11-تشرين الثاني'!$Q$2:$Q$501,V433),IF($AO$1=1,0,"")))</f>
        <v/>
      </c>
      <c r="AA433" s="39" t="str">
        <f t="shared" si="139"/>
        <v/>
      </c>
      <c r="AB433" s="40" t="str">
        <f>IF(OR(L433="",V433=0),"",IF(AND(N(I433)&gt;0,N(INDEX('11-تشرين الثاني'!$I$2:$I$501,V433))&gt;0,INDEX('11-تشرين الثاني'!$F$2:$F$501,V433)=F433),N(I433)/N(INDEX('11-تشرين الثاني'!$I$2:$I$501,V433))-1,""))</f>
        <v/>
      </c>
      <c r="AC433" t="str">
        <f t="shared" si="140"/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41"/>
        <v/>
      </c>
      <c r="AH433" s="39" t="str">
        <f t="shared" si="142"/>
        <v/>
      </c>
      <c r="AI433" s="39" t="str">
        <f t="shared" si="143"/>
        <v/>
      </c>
      <c r="AJ433" s="39" t="str">
        <f t="shared" si="144"/>
        <v/>
      </c>
      <c r="AK433" t="str">
        <f t="shared" si="145"/>
        <v/>
      </c>
      <c r="AL433" t="str">
        <f t="shared" si="146"/>
        <v/>
      </c>
    </row>
    <row r="434" spans="11:38" ht="15">
      <c r="K434" t="str">
        <f t="shared" si="126"/>
        <v/>
      </c>
      <c r="L434" t="str">
        <f t="shared" si="127"/>
        <v/>
      </c>
      <c r="M434" s="36" t="str">
        <f t="shared" si="128"/>
        <v/>
      </c>
      <c r="N434" s="37" t="str">
        <f t="shared" si="129"/>
        <v/>
      </c>
      <c r="O434" s="37" t="str">
        <f t="shared" si="130"/>
        <v/>
      </c>
      <c r="P434" s="38" t="str">
        <f t="shared" si="131"/>
        <v/>
      </c>
      <c r="Q434" s="39" t="str">
        <f t="shared" si="132"/>
        <v/>
      </c>
      <c r="R434" s="39" t="str">
        <f t="shared" si="133"/>
        <v/>
      </c>
      <c r="S434" t="str">
        <f t="shared" si="134"/>
        <v/>
      </c>
      <c r="T434" s="39" t="str">
        <f t="shared" si="135"/>
        <v/>
      </c>
      <c r="U434" t="str">
        <f t="shared" si="136"/>
        <v/>
      </c>
      <c r="V434" t="str">
        <f>IF(L434="","",IF($AO$1=1,IFERROR(MATCH(L434,'11-تشرين الثاني'!$L$2:$L$501,0),0),0))</f>
        <v/>
      </c>
      <c r="W434" t="str">
        <f t="shared" si="137"/>
        <v/>
      </c>
      <c r="X434" s="38" t="str">
        <f>IF(L434="","",IF(V434&gt;0,INDEX('11-تشرين الثاني'!$P$2:$P$501,V434),IF($AO$1=1,0,"")))</f>
        <v/>
      </c>
      <c r="Y434" s="38" t="str">
        <f t="shared" si="138"/>
        <v/>
      </c>
      <c r="Z434" s="39" t="str">
        <f>IF(L434="","",IF(V434&gt;0,INDEX('11-تشرين الثاني'!$Q$2:$Q$501,V434),IF($AO$1=1,0,"")))</f>
        <v/>
      </c>
      <c r="AA434" s="39" t="str">
        <f t="shared" si="139"/>
        <v/>
      </c>
      <c r="AB434" s="40" t="str">
        <f>IF(OR(L434="",V434=0),"",IF(AND(N(I434)&gt;0,N(INDEX('11-تشرين الثاني'!$I$2:$I$501,V434))&gt;0,INDEX('11-تشرين الثاني'!$F$2:$F$501,V434)=F434),N(I434)/N(INDEX('11-تشرين الثاني'!$I$2:$I$501,V434))-1,""))</f>
        <v/>
      </c>
      <c r="AC434" t="str">
        <f t="shared" si="140"/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41"/>
        <v/>
      </c>
      <c r="AH434" s="39" t="str">
        <f t="shared" si="142"/>
        <v/>
      </c>
      <c r="AI434" s="39" t="str">
        <f t="shared" si="143"/>
        <v/>
      </c>
      <c r="AJ434" s="39" t="str">
        <f t="shared" si="144"/>
        <v/>
      </c>
      <c r="AK434" t="str">
        <f t="shared" si="145"/>
        <v/>
      </c>
      <c r="AL434" t="str">
        <f t="shared" si="146"/>
        <v/>
      </c>
    </row>
    <row r="435" spans="11:38" ht="15">
      <c r="K435" t="str">
        <f t="shared" si="126"/>
        <v/>
      </c>
      <c r="L435" t="str">
        <f t="shared" si="127"/>
        <v/>
      </c>
      <c r="M435" s="36" t="str">
        <f t="shared" si="128"/>
        <v/>
      </c>
      <c r="N435" s="37" t="str">
        <f t="shared" si="129"/>
        <v/>
      </c>
      <c r="O435" s="37" t="str">
        <f t="shared" si="130"/>
        <v/>
      </c>
      <c r="P435" s="38" t="str">
        <f t="shared" si="131"/>
        <v/>
      </c>
      <c r="Q435" s="39" t="str">
        <f t="shared" si="132"/>
        <v/>
      </c>
      <c r="R435" s="39" t="str">
        <f t="shared" si="133"/>
        <v/>
      </c>
      <c r="S435" t="str">
        <f t="shared" si="134"/>
        <v/>
      </c>
      <c r="T435" s="39" t="str">
        <f t="shared" si="135"/>
        <v/>
      </c>
      <c r="U435" t="str">
        <f t="shared" si="136"/>
        <v/>
      </c>
      <c r="V435" t="str">
        <f>IF(L435="","",IF($AO$1=1,IFERROR(MATCH(L435,'11-تشرين الثاني'!$L$2:$L$501,0),0),0))</f>
        <v/>
      </c>
      <c r="W435" t="str">
        <f t="shared" si="137"/>
        <v/>
      </c>
      <c r="X435" s="38" t="str">
        <f>IF(L435="","",IF(V435&gt;0,INDEX('11-تشرين الثاني'!$P$2:$P$501,V435),IF($AO$1=1,0,"")))</f>
        <v/>
      </c>
      <c r="Y435" s="38" t="str">
        <f t="shared" si="138"/>
        <v/>
      </c>
      <c r="Z435" s="39" t="str">
        <f>IF(L435="","",IF(V435&gt;0,INDEX('11-تشرين الثاني'!$Q$2:$Q$501,V435),IF($AO$1=1,0,"")))</f>
        <v/>
      </c>
      <c r="AA435" s="39" t="str">
        <f t="shared" si="139"/>
        <v/>
      </c>
      <c r="AB435" s="40" t="str">
        <f>IF(OR(L435="",V435=0),"",IF(AND(N(I435)&gt;0,N(INDEX('11-تشرين الثاني'!$I$2:$I$501,V435))&gt;0,INDEX('11-تشرين الثاني'!$F$2:$F$501,V435)=F435),N(I435)/N(INDEX('11-تشرين الثاني'!$I$2:$I$501,V435))-1,""))</f>
        <v/>
      </c>
      <c r="AC435" t="str">
        <f t="shared" si="140"/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41"/>
        <v/>
      </c>
      <c r="AH435" s="39" t="str">
        <f t="shared" si="142"/>
        <v/>
      </c>
      <c r="AI435" s="39" t="str">
        <f t="shared" si="143"/>
        <v/>
      </c>
      <c r="AJ435" s="39" t="str">
        <f t="shared" si="144"/>
        <v/>
      </c>
      <c r="AK435" t="str">
        <f t="shared" si="145"/>
        <v/>
      </c>
      <c r="AL435" t="str">
        <f t="shared" si="146"/>
        <v/>
      </c>
    </row>
    <row r="436" spans="11:38" ht="15">
      <c r="K436" t="str">
        <f t="shared" si="126"/>
        <v/>
      </c>
      <c r="L436" t="str">
        <f t="shared" si="127"/>
        <v/>
      </c>
      <c r="M436" s="36" t="str">
        <f t="shared" si="128"/>
        <v/>
      </c>
      <c r="N436" s="37" t="str">
        <f t="shared" si="129"/>
        <v/>
      </c>
      <c r="O436" s="37" t="str">
        <f t="shared" si="130"/>
        <v/>
      </c>
      <c r="P436" s="38" t="str">
        <f t="shared" si="131"/>
        <v/>
      </c>
      <c r="Q436" s="39" t="str">
        <f t="shared" si="132"/>
        <v/>
      </c>
      <c r="R436" s="39" t="str">
        <f t="shared" si="133"/>
        <v/>
      </c>
      <c r="S436" t="str">
        <f t="shared" si="134"/>
        <v/>
      </c>
      <c r="T436" s="39" t="str">
        <f t="shared" si="135"/>
        <v/>
      </c>
      <c r="U436" t="str">
        <f t="shared" si="136"/>
        <v/>
      </c>
      <c r="V436" t="str">
        <f>IF(L436="","",IF($AO$1=1,IFERROR(MATCH(L436,'11-تشرين الثاني'!$L$2:$L$501,0),0),0))</f>
        <v/>
      </c>
      <c r="W436" t="str">
        <f t="shared" si="137"/>
        <v/>
      </c>
      <c r="X436" s="38" t="str">
        <f>IF(L436="","",IF(V436&gt;0,INDEX('11-تشرين الثاني'!$P$2:$P$501,V436),IF($AO$1=1,0,"")))</f>
        <v/>
      </c>
      <c r="Y436" s="38" t="str">
        <f t="shared" si="138"/>
        <v/>
      </c>
      <c r="Z436" s="39" t="str">
        <f>IF(L436="","",IF(V436&gt;0,INDEX('11-تشرين الثاني'!$Q$2:$Q$501,V436),IF($AO$1=1,0,"")))</f>
        <v/>
      </c>
      <c r="AA436" s="39" t="str">
        <f t="shared" si="139"/>
        <v/>
      </c>
      <c r="AB436" s="40" t="str">
        <f>IF(OR(L436="",V436=0),"",IF(AND(N(I436)&gt;0,N(INDEX('11-تشرين الثاني'!$I$2:$I$501,V436))&gt;0,INDEX('11-تشرين الثاني'!$F$2:$F$501,V436)=F436),N(I436)/N(INDEX('11-تشرين الثاني'!$I$2:$I$501,V436))-1,""))</f>
        <v/>
      </c>
      <c r="AC436" t="str">
        <f t="shared" si="140"/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41"/>
        <v/>
      </c>
      <c r="AH436" s="39" t="str">
        <f t="shared" si="142"/>
        <v/>
      </c>
      <c r="AI436" s="39" t="str">
        <f t="shared" si="143"/>
        <v/>
      </c>
      <c r="AJ436" s="39" t="str">
        <f t="shared" si="144"/>
        <v/>
      </c>
      <c r="AK436" t="str">
        <f t="shared" si="145"/>
        <v/>
      </c>
      <c r="AL436" t="str">
        <f t="shared" si="146"/>
        <v/>
      </c>
    </row>
    <row r="437" spans="11:38" ht="15">
      <c r="K437" t="str">
        <f t="shared" si="126"/>
        <v/>
      </c>
      <c r="L437" t="str">
        <f t="shared" si="127"/>
        <v/>
      </c>
      <c r="M437" s="36" t="str">
        <f t="shared" si="128"/>
        <v/>
      </c>
      <c r="N437" s="37" t="str">
        <f t="shared" si="129"/>
        <v/>
      </c>
      <c r="O437" s="37" t="str">
        <f t="shared" si="130"/>
        <v/>
      </c>
      <c r="P437" s="38" t="str">
        <f t="shared" si="131"/>
        <v/>
      </c>
      <c r="Q437" s="39" t="str">
        <f t="shared" si="132"/>
        <v/>
      </c>
      <c r="R437" s="39" t="str">
        <f t="shared" si="133"/>
        <v/>
      </c>
      <c r="S437" t="str">
        <f t="shared" si="134"/>
        <v/>
      </c>
      <c r="T437" s="39" t="str">
        <f t="shared" si="135"/>
        <v/>
      </c>
      <c r="U437" t="str">
        <f t="shared" si="136"/>
        <v/>
      </c>
      <c r="V437" t="str">
        <f>IF(L437="","",IF($AO$1=1,IFERROR(MATCH(L437,'11-تشرين الثاني'!$L$2:$L$501,0),0),0))</f>
        <v/>
      </c>
      <c r="W437" t="str">
        <f t="shared" si="137"/>
        <v/>
      </c>
      <c r="X437" s="38" t="str">
        <f>IF(L437="","",IF(V437&gt;0,INDEX('11-تشرين الثاني'!$P$2:$P$501,V437),IF($AO$1=1,0,"")))</f>
        <v/>
      </c>
      <c r="Y437" s="38" t="str">
        <f t="shared" si="138"/>
        <v/>
      </c>
      <c r="Z437" s="39" t="str">
        <f>IF(L437="","",IF(V437&gt;0,INDEX('11-تشرين الثاني'!$Q$2:$Q$501,V437),IF($AO$1=1,0,"")))</f>
        <v/>
      </c>
      <c r="AA437" s="39" t="str">
        <f t="shared" si="139"/>
        <v/>
      </c>
      <c r="AB437" s="40" t="str">
        <f>IF(OR(L437="",V437=0),"",IF(AND(N(I437)&gt;0,N(INDEX('11-تشرين الثاني'!$I$2:$I$501,V437))&gt;0,INDEX('11-تشرين الثاني'!$F$2:$F$501,V437)=F437),N(I437)/N(INDEX('11-تشرين الثاني'!$I$2:$I$501,V437))-1,""))</f>
        <v/>
      </c>
      <c r="AC437" t="str">
        <f t="shared" si="140"/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41"/>
        <v/>
      </c>
      <c r="AH437" s="39" t="str">
        <f t="shared" si="142"/>
        <v/>
      </c>
      <c r="AI437" s="39" t="str">
        <f t="shared" si="143"/>
        <v/>
      </c>
      <c r="AJ437" s="39" t="str">
        <f t="shared" si="144"/>
        <v/>
      </c>
      <c r="AK437" t="str">
        <f t="shared" si="145"/>
        <v/>
      </c>
      <c r="AL437" t="str">
        <f t="shared" si="146"/>
        <v/>
      </c>
    </row>
    <row r="438" spans="11:38" ht="15">
      <c r="K438" t="str">
        <f t="shared" si="126"/>
        <v/>
      </c>
      <c r="L438" t="str">
        <f t="shared" si="127"/>
        <v/>
      </c>
      <c r="M438" s="36" t="str">
        <f t="shared" si="128"/>
        <v/>
      </c>
      <c r="N438" s="37" t="str">
        <f t="shared" si="129"/>
        <v/>
      </c>
      <c r="O438" s="37" t="str">
        <f t="shared" si="130"/>
        <v/>
      </c>
      <c r="P438" s="38" t="str">
        <f t="shared" si="131"/>
        <v/>
      </c>
      <c r="Q438" s="39" t="str">
        <f t="shared" si="132"/>
        <v/>
      </c>
      <c r="R438" s="39" t="str">
        <f t="shared" si="133"/>
        <v/>
      </c>
      <c r="S438" t="str">
        <f t="shared" si="134"/>
        <v/>
      </c>
      <c r="T438" s="39" t="str">
        <f t="shared" si="135"/>
        <v/>
      </c>
      <c r="U438" t="str">
        <f t="shared" si="136"/>
        <v/>
      </c>
      <c r="V438" t="str">
        <f>IF(L438="","",IF($AO$1=1,IFERROR(MATCH(L438,'11-تشرين الثاني'!$L$2:$L$501,0),0),0))</f>
        <v/>
      </c>
      <c r="W438" t="str">
        <f t="shared" si="137"/>
        <v/>
      </c>
      <c r="X438" s="38" t="str">
        <f>IF(L438="","",IF(V438&gt;0,INDEX('11-تشرين الثاني'!$P$2:$P$501,V438),IF($AO$1=1,0,"")))</f>
        <v/>
      </c>
      <c r="Y438" s="38" t="str">
        <f t="shared" si="138"/>
        <v/>
      </c>
      <c r="Z438" s="39" t="str">
        <f>IF(L438="","",IF(V438&gt;0,INDEX('11-تشرين الثاني'!$Q$2:$Q$501,V438),IF($AO$1=1,0,"")))</f>
        <v/>
      </c>
      <c r="AA438" s="39" t="str">
        <f t="shared" si="139"/>
        <v/>
      </c>
      <c r="AB438" s="40" t="str">
        <f>IF(OR(L438="",V438=0),"",IF(AND(N(I438)&gt;0,N(INDEX('11-تشرين الثاني'!$I$2:$I$501,V438))&gt;0,INDEX('11-تشرين الثاني'!$F$2:$F$501,V438)=F438),N(I438)/N(INDEX('11-تشرين الثاني'!$I$2:$I$501,V438))-1,""))</f>
        <v/>
      </c>
      <c r="AC438" t="str">
        <f t="shared" si="140"/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41"/>
        <v/>
      </c>
      <c r="AH438" s="39" t="str">
        <f t="shared" si="142"/>
        <v/>
      </c>
      <c r="AI438" s="39" t="str">
        <f t="shared" si="143"/>
        <v/>
      </c>
      <c r="AJ438" s="39" t="str">
        <f t="shared" si="144"/>
        <v/>
      </c>
      <c r="AK438" t="str">
        <f t="shared" si="145"/>
        <v/>
      </c>
      <c r="AL438" t="str">
        <f t="shared" si="146"/>
        <v/>
      </c>
    </row>
    <row r="439" spans="11:38" ht="15">
      <c r="K439" t="str">
        <f t="shared" si="126"/>
        <v/>
      </c>
      <c r="L439" t="str">
        <f t="shared" si="127"/>
        <v/>
      </c>
      <c r="M439" s="36" t="str">
        <f t="shared" si="128"/>
        <v/>
      </c>
      <c r="N439" s="37" t="str">
        <f t="shared" si="129"/>
        <v/>
      </c>
      <c r="O439" s="37" t="str">
        <f t="shared" si="130"/>
        <v/>
      </c>
      <c r="P439" s="38" t="str">
        <f t="shared" si="131"/>
        <v/>
      </c>
      <c r="Q439" s="39" t="str">
        <f t="shared" si="132"/>
        <v/>
      </c>
      <c r="R439" s="39" t="str">
        <f t="shared" si="133"/>
        <v/>
      </c>
      <c r="S439" t="str">
        <f t="shared" si="134"/>
        <v/>
      </c>
      <c r="T439" s="39" t="str">
        <f t="shared" si="135"/>
        <v/>
      </c>
      <c r="U439" t="str">
        <f t="shared" si="136"/>
        <v/>
      </c>
      <c r="V439" t="str">
        <f>IF(L439="","",IF($AO$1=1,IFERROR(MATCH(L439,'11-تشرين الثاني'!$L$2:$L$501,0),0),0))</f>
        <v/>
      </c>
      <c r="W439" t="str">
        <f t="shared" si="137"/>
        <v/>
      </c>
      <c r="X439" s="38" t="str">
        <f>IF(L439="","",IF(V439&gt;0,INDEX('11-تشرين الثاني'!$P$2:$P$501,V439),IF($AO$1=1,0,"")))</f>
        <v/>
      </c>
      <c r="Y439" s="38" t="str">
        <f t="shared" si="138"/>
        <v/>
      </c>
      <c r="Z439" s="39" t="str">
        <f>IF(L439="","",IF(V439&gt;0,INDEX('11-تشرين الثاني'!$Q$2:$Q$501,V439),IF($AO$1=1,0,"")))</f>
        <v/>
      </c>
      <c r="AA439" s="39" t="str">
        <f t="shared" si="139"/>
        <v/>
      </c>
      <c r="AB439" s="40" t="str">
        <f>IF(OR(L439="",V439=0),"",IF(AND(N(I439)&gt;0,N(INDEX('11-تشرين الثاني'!$I$2:$I$501,V439))&gt;0,INDEX('11-تشرين الثاني'!$F$2:$F$501,V439)=F439),N(I439)/N(INDEX('11-تشرين الثاني'!$I$2:$I$501,V439))-1,""))</f>
        <v/>
      </c>
      <c r="AC439" t="str">
        <f t="shared" si="140"/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41"/>
        <v/>
      </c>
      <c r="AH439" s="39" t="str">
        <f t="shared" si="142"/>
        <v/>
      </c>
      <c r="AI439" s="39" t="str">
        <f t="shared" si="143"/>
        <v/>
      </c>
      <c r="AJ439" s="39" t="str">
        <f t="shared" si="144"/>
        <v/>
      </c>
      <c r="AK439" t="str">
        <f t="shared" si="145"/>
        <v/>
      </c>
      <c r="AL439" t="str">
        <f t="shared" si="146"/>
        <v/>
      </c>
    </row>
    <row r="440" spans="11:38" ht="15">
      <c r="K440" t="str">
        <f t="shared" si="126"/>
        <v/>
      </c>
      <c r="L440" t="str">
        <f t="shared" si="127"/>
        <v/>
      </c>
      <c r="M440" s="36" t="str">
        <f t="shared" si="128"/>
        <v/>
      </c>
      <c r="N440" s="37" t="str">
        <f t="shared" si="129"/>
        <v/>
      </c>
      <c r="O440" s="37" t="str">
        <f t="shared" si="130"/>
        <v/>
      </c>
      <c r="P440" s="38" t="str">
        <f t="shared" si="131"/>
        <v/>
      </c>
      <c r="Q440" s="39" t="str">
        <f t="shared" si="132"/>
        <v/>
      </c>
      <c r="R440" s="39" t="str">
        <f t="shared" si="133"/>
        <v/>
      </c>
      <c r="S440" t="str">
        <f t="shared" si="134"/>
        <v/>
      </c>
      <c r="T440" s="39" t="str">
        <f t="shared" si="135"/>
        <v/>
      </c>
      <c r="U440" t="str">
        <f t="shared" si="136"/>
        <v/>
      </c>
      <c r="V440" t="str">
        <f>IF(L440="","",IF($AO$1=1,IFERROR(MATCH(L440,'11-تشرين الثاني'!$L$2:$L$501,0),0),0))</f>
        <v/>
      </c>
      <c r="W440" t="str">
        <f t="shared" si="137"/>
        <v/>
      </c>
      <c r="X440" s="38" t="str">
        <f>IF(L440="","",IF(V440&gt;0,INDEX('11-تشرين الثاني'!$P$2:$P$501,V440),IF($AO$1=1,0,"")))</f>
        <v/>
      </c>
      <c r="Y440" s="38" t="str">
        <f t="shared" si="138"/>
        <v/>
      </c>
      <c r="Z440" s="39" t="str">
        <f>IF(L440="","",IF(V440&gt;0,INDEX('11-تشرين الثاني'!$Q$2:$Q$501,V440),IF($AO$1=1,0,"")))</f>
        <v/>
      </c>
      <c r="AA440" s="39" t="str">
        <f t="shared" si="139"/>
        <v/>
      </c>
      <c r="AB440" s="40" t="str">
        <f>IF(OR(L440="",V440=0),"",IF(AND(N(I440)&gt;0,N(INDEX('11-تشرين الثاني'!$I$2:$I$501,V440))&gt;0,INDEX('11-تشرين الثاني'!$F$2:$F$501,V440)=F440),N(I440)/N(INDEX('11-تشرين الثاني'!$I$2:$I$501,V440))-1,""))</f>
        <v/>
      </c>
      <c r="AC440" t="str">
        <f t="shared" si="140"/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41"/>
        <v/>
      </c>
      <c r="AH440" s="39" t="str">
        <f t="shared" si="142"/>
        <v/>
      </c>
      <c r="AI440" s="39" t="str">
        <f t="shared" si="143"/>
        <v/>
      </c>
      <c r="AJ440" s="39" t="str">
        <f t="shared" si="144"/>
        <v/>
      </c>
      <c r="AK440" t="str">
        <f t="shared" si="145"/>
        <v/>
      </c>
      <c r="AL440" t="str">
        <f t="shared" si="146"/>
        <v/>
      </c>
    </row>
    <row r="441" spans="11:38" ht="15">
      <c r="K441" t="str">
        <f t="shared" si="126"/>
        <v/>
      </c>
      <c r="L441" t="str">
        <f t="shared" si="127"/>
        <v/>
      </c>
      <c r="M441" s="36" t="str">
        <f t="shared" si="128"/>
        <v/>
      </c>
      <c r="N441" s="37" t="str">
        <f t="shared" si="129"/>
        <v/>
      </c>
      <c r="O441" s="37" t="str">
        <f t="shared" si="130"/>
        <v/>
      </c>
      <c r="P441" s="38" t="str">
        <f t="shared" si="131"/>
        <v/>
      </c>
      <c r="Q441" s="39" t="str">
        <f t="shared" si="132"/>
        <v/>
      </c>
      <c r="R441" s="39" t="str">
        <f t="shared" si="133"/>
        <v/>
      </c>
      <c r="S441" t="str">
        <f t="shared" si="134"/>
        <v/>
      </c>
      <c r="T441" s="39" t="str">
        <f t="shared" si="135"/>
        <v/>
      </c>
      <c r="U441" t="str">
        <f t="shared" si="136"/>
        <v/>
      </c>
      <c r="V441" t="str">
        <f>IF(L441="","",IF($AO$1=1,IFERROR(MATCH(L441,'11-تشرين الثاني'!$L$2:$L$501,0),0),0))</f>
        <v/>
      </c>
      <c r="W441" t="str">
        <f t="shared" si="137"/>
        <v/>
      </c>
      <c r="X441" s="38" t="str">
        <f>IF(L441="","",IF(V441&gt;0,INDEX('11-تشرين الثاني'!$P$2:$P$501,V441),IF($AO$1=1,0,"")))</f>
        <v/>
      </c>
      <c r="Y441" s="38" t="str">
        <f t="shared" si="138"/>
        <v/>
      </c>
      <c r="Z441" s="39" t="str">
        <f>IF(L441="","",IF(V441&gt;0,INDEX('11-تشرين الثاني'!$Q$2:$Q$501,V441),IF($AO$1=1,0,"")))</f>
        <v/>
      </c>
      <c r="AA441" s="39" t="str">
        <f t="shared" si="139"/>
        <v/>
      </c>
      <c r="AB441" s="40" t="str">
        <f>IF(OR(L441="",V441=0),"",IF(AND(N(I441)&gt;0,N(INDEX('11-تشرين الثاني'!$I$2:$I$501,V441))&gt;0,INDEX('11-تشرين الثاني'!$F$2:$F$501,V441)=F441),N(I441)/N(INDEX('11-تشرين الثاني'!$I$2:$I$501,V441))-1,""))</f>
        <v/>
      </c>
      <c r="AC441" t="str">
        <f t="shared" si="140"/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41"/>
        <v/>
      </c>
      <c r="AH441" s="39" t="str">
        <f t="shared" si="142"/>
        <v/>
      </c>
      <c r="AI441" s="39" t="str">
        <f t="shared" si="143"/>
        <v/>
      </c>
      <c r="AJ441" s="39" t="str">
        <f t="shared" si="144"/>
        <v/>
      </c>
      <c r="AK441" t="str">
        <f t="shared" si="145"/>
        <v/>
      </c>
      <c r="AL441" t="str">
        <f t="shared" si="146"/>
        <v/>
      </c>
    </row>
    <row r="442" spans="11:38" ht="15">
      <c r="K442" t="str">
        <f t="shared" si="126"/>
        <v/>
      </c>
      <c r="L442" t="str">
        <f t="shared" si="127"/>
        <v/>
      </c>
      <c r="M442" s="36" t="str">
        <f t="shared" si="128"/>
        <v/>
      </c>
      <c r="N442" s="37" t="str">
        <f t="shared" si="129"/>
        <v/>
      </c>
      <c r="O442" s="37" t="str">
        <f t="shared" si="130"/>
        <v/>
      </c>
      <c r="P442" s="38" t="str">
        <f t="shared" si="131"/>
        <v/>
      </c>
      <c r="Q442" s="39" t="str">
        <f t="shared" si="132"/>
        <v/>
      </c>
      <c r="R442" s="39" t="str">
        <f t="shared" si="133"/>
        <v/>
      </c>
      <c r="S442" t="str">
        <f t="shared" si="134"/>
        <v/>
      </c>
      <c r="T442" s="39" t="str">
        <f t="shared" si="135"/>
        <v/>
      </c>
      <c r="U442" t="str">
        <f t="shared" si="136"/>
        <v/>
      </c>
      <c r="V442" t="str">
        <f>IF(L442="","",IF($AO$1=1,IFERROR(MATCH(L442,'11-تشرين الثاني'!$L$2:$L$501,0),0),0))</f>
        <v/>
      </c>
      <c r="W442" t="str">
        <f t="shared" si="137"/>
        <v/>
      </c>
      <c r="X442" s="38" t="str">
        <f>IF(L442="","",IF(V442&gt;0,INDEX('11-تشرين الثاني'!$P$2:$P$501,V442),IF($AO$1=1,0,"")))</f>
        <v/>
      </c>
      <c r="Y442" s="38" t="str">
        <f t="shared" si="138"/>
        <v/>
      </c>
      <c r="Z442" s="39" t="str">
        <f>IF(L442="","",IF(V442&gt;0,INDEX('11-تشرين الثاني'!$Q$2:$Q$501,V442),IF($AO$1=1,0,"")))</f>
        <v/>
      </c>
      <c r="AA442" s="39" t="str">
        <f t="shared" si="139"/>
        <v/>
      </c>
      <c r="AB442" s="40" t="str">
        <f>IF(OR(L442="",V442=0),"",IF(AND(N(I442)&gt;0,N(INDEX('11-تشرين الثاني'!$I$2:$I$501,V442))&gt;0,INDEX('11-تشرين الثاني'!$F$2:$F$501,V442)=F442),N(I442)/N(INDEX('11-تشرين الثاني'!$I$2:$I$501,V442))-1,""))</f>
        <v/>
      </c>
      <c r="AC442" t="str">
        <f t="shared" si="140"/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41"/>
        <v/>
      </c>
      <c r="AH442" s="39" t="str">
        <f t="shared" si="142"/>
        <v/>
      </c>
      <c r="AI442" s="39" t="str">
        <f t="shared" si="143"/>
        <v/>
      </c>
      <c r="AJ442" s="39" t="str">
        <f t="shared" si="144"/>
        <v/>
      </c>
      <c r="AK442" t="str">
        <f t="shared" si="145"/>
        <v/>
      </c>
      <c r="AL442" t="str">
        <f t="shared" si="146"/>
        <v/>
      </c>
    </row>
    <row r="443" spans="11:38" ht="15">
      <c r="K443" t="str">
        <f t="shared" si="126"/>
        <v/>
      </c>
      <c r="L443" t="str">
        <f t="shared" si="127"/>
        <v/>
      </c>
      <c r="M443" s="36" t="str">
        <f t="shared" si="128"/>
        <v/>
      </c>
      <c r="N443" s="37" t="str">
        <f t="shared" si="129"/>
        <v/>
      </c>
      <c r="O443" s="37" t="str">
        <f t="shared" si="130"/>
        <v/>
      </c>
      <c r="P443" s="38" t="str">
        <f t="shared" si="131"/>
        <v/>
      </c>
      <c r="Q443" s="39" t="str">
        <f t="shared" si="132"/>
        <v/>
      </c>
      <c r="R443" s="39" t="str">
        <f t="shared" si="133"/>
        <v/>
      </c>
      <c r="S443" t="str">
        <f t="shared" si="134"/>
        <v/>
      </c>
      <c r="T443" s="39" t="str">
        <f t="shared" si="135"/>
        <v/>
      </c>
      <c r="U443" t="str">
        <f t="shared" si="136"/>
        <v/>
      </c>
      <c r="V443" t="str">
        <f>IF(L443="","",IF($AO$1=1,IFERROR(MATCH(L443,'11-تشرين الثاني'!$L$2:$L$501,0),0),0))</f>
        <v/>
      </c>
      <c r="W443" t="str">
        <f t="shared" si="137"/>
        <v/>
      </c>
      <c r="X443" s="38" t="str">
        <f>IF(L443="","",IF(V443&gt;0,INDEX('11-تشرين الثاني'!$P$2:$P$501,V443),IF($AO$1=1,0,"")))</f>
        <v/>
      </c>
      <c r="Y443" s="38" t="str">
        <f t="shared" si="138"/>
        <v/>
      </c>
      <c r="Z443" s="39" t="str">
        <f>IF(L443="","",IF(V443&gt;0,INDEX('11-تشرين الثاني'!$Q$2:$Q$501,V443),IF($AO$1=1,0,"")))</f>
        <v/>
      </c>
      <c r="AA443" s="39" t="str">
        <f t="shared" si="139"/>
        <v/>
      </c>
      <c r="AB443" s="40" t="str">
        <f>IF(OR(L443="",V443=0),"",IF(AND(N(I443)&gt;0,N(INDEX('11-تشرين الثاني'!$I$2:$I$501,V443))&gt;0,INDEX('11-تشرين الثاني'!$F$2:$F$501,V443)=F443),N(I443)/N(INDEX('11-تشرين الثاني'!$I$2:$I$501,V443))-1,""))</f>
        <v/>
      </c>
      <c r="AC443" t="str">
        <f t="shared" si="140"/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41"/>
        <v/>
      </c>
      <c r="AH443" s="39" t="str">
        <f t="shared" si="142"/>
        <v/>
      </c>
      <c r="AI443" s="39" t="str">
        <f t="shared" si="143"/>
        <v/>
      </c>
      <c r="AJ443" s="39" t="str">
        <f t="shared" si="144"/>
        <v/>
      </c>
      <c r="AK443" t="str">
        <f t="shared" si="145"/>
        <v/>
      </c>
      <c r="AL443" t="str">
        <f t="shared" si="146"/>
        <v/>
      </c>
    </row>
    <row r="444" spans="11:38" ht="15">
      <c r="K444" t="str">
        <f t="shared" si="126"/>
        <v/>
      </c>
      <c r="L444" t="str">
        <f t="shared" si="127"/>
        <v/>
      </c>
      <c r="M444" s="36" t="str">
        <f t="shared" si="128"/>
        <v/>
      </c>
      <c r="N444" s="37" t="str">
        <f t="shared" si="129"/>
        <v/>
      </c>
      <c r="O444" s="37" t="str">
        <f t="shared" si="130"/>
        <v/>
      </c>
      <c r="P444" s="38" t="str">
        <f t="shared" si="131"/>
        <v/>
      </c>
      <c r="Q444" s="39" t="str">
        <f t="shared" si="132"/>
        <v/>
      </c>
      <c r="R444" s="39" t="str">
        <f t="shared" si="133"/>
        <v/>
      </c>
      <c r="S444" t="str">
        <f t="shared" si="134"/>
        <v/>
      </c>
      <c r="T444" s="39" t="str">
        <f t="shared" si="135"/>
        <v/>
      </c>
      <c r="U444" t="str">
        <f t="shared" si="136"/>
        <v/>
      </c>
      <c r="V444" t="str">
        <f>IF(L444="","",IF($AO$1=1,IFERROR(MATCH(L444,'11-تشرين الثاني'!$L$2:$L$501,0),0),0))</f>
        <v/>
      </c>
      <c r="W444" t="str">
        <f t="shared" si="137"/>
        <v/>
      </c>
      <c r="X444" s="38" t="str">
        <f>IF(L444="","",IF(V444&gt;0,INDEX('11-تشرين الثاني'!$P$2:$P$501,V444),IF($AO$1=1,0,"")))</f>
        <v/>
      </c>
      <c r="Y444" s="38" t="str">
        <f t="shared" si="138"/>
        <v/>
      </c>
      <c r="Z444" s="39" t="str">
        <f>IF(L444="","",IF(V444&gt;0,INDEX('11-تشرين الثاني'!$Q$2:$Q$501,V444),IF($AO$1=1,0,"")))</f>
        <v/>
      </c>
      <c r="AA444" s="39" t="str">
        <f t="shared" si="139"/>
        <v/>
      </c>
      <c r="AB444" s="40" t="str">
        <f>IF(OR(L444="",V444=0),"",IF(AND(N(I444)&gt;0,N(INDEX('11-تشرين الثاني'!$I$2:$I$501,V444))&gt;0,INDEX('11-تشرين الثاني'!$F$2:$F$501,V444)=F444),N(I444)/N(INDEX('11-تشرين الثاني'!$I$2:$I$501,V444))-1,""))</f>
        <v/>
      </c>
      <c r="AC444" t="str">
        <f t="shared" si="140"/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41"/>
        <v/>
      </c>
      <c r="AH444" s="39" t="str">
        <f t="shared" si="142"/>
        <v/>
      </c>
      <c r="AI444" s="39" t="str">
        <f t="shared" si="143"/>
        <v/>
      </c>
      <c r="AJ444" s="39" t="str">
        <f t="shared" si="144"/>
        <v/>
      </c>
      <c r="AK444" t="str">
        <f t="shared" si="145"/>
        <v/>
      </c>
      <c r="AL444" t="str">
        <f t="shared" si="146"/>
        <v/>
      </c>
    </row>
    <row r="445" spans="11:38" ht="15">
      <c r="K445" t="str">
        <f t="shared" si="126"/>
        <v/>
      </c>
      <c r="L445" t="str">
        <f t="shared" si="127"/>
        <v/>
      </c>
      <c r="M445" s="36" t="str">
        <f t="shared" si="128"/>
        <v/>
      </c>
      <c r="N445" s="37" t="str">
        <f t="shared" si="129"/>
        <v/>
      </c>
      <c r="O445" s="37" t="str">
        <f t="shared" si="130"/>
        <v/>
      </c>
      <c r="P445" s="38" t="str">
        <f t="shared" si="131"/>
        <v/>
      </c>
      <c r="Q445" s="39" t="str">
        <f t="shared" si="132"/>
        <v/>
      </c>
      <c r="R445" s="39" t="str">
        <f t="shared" si="133"/>
        <v/>
      </c>
      <c r="S445" t="str">
        <f t="shared" si="134"/>
        <v/>
      </c>
      <c r="T445" s="39" t="str">
        <f t="shared" si="135"/>
        <v/>
      </c>
      <c r="U445" t="str">
        <f t="shared" si="136"/>
        <v/>
      </c>
      <c r="V445" t="str">
        <f>IF(L445="","",IF($AO$1=1,IFERROR(MATCH(L445,'11-تشرين الثاني'!$L$2:$L$501,0),0),0))</f>
        <v/>
      </c>
      <c r="W445" t="str">
        <f t="shared" si="137"/>
        <v/>
      </c>
      <c r="X445" s="38" t="str">
        <f>IF(L445="","",IF(V445&gt;0,INDEX('11-تشرين الثاني'!$P$2:$P$501,V445),IF($AO$1=1,0,"")))</f>
        <v/>
      </c>
      <c r="Y445" s="38" t="str">
        <f t="shared" si="138"/>
        <v/>
      </c>
      <c r="Z445" s="39" t="str">
        <f>IF(L445="","",IF(V445&gt;0,INDEX('11-تشرين الثاني'!$Q$2:$Q$501,V445),IF($AO$1=1,0,"")))</f>
        <v/>
      </c>
      <c r="AA445" s="39" t="str">
        <f t="shared" si="139"/>
        <v/>
      </c>
      <c r="AB445" s="40" t="str">
        <f>IF(OR(L445="",V445=0),"",IF(AND(N(I445)&gt;0,N(INDEX('11-تشرين الثاني'!$I$2:$I$501,V445))&gt;0,INDEX('11-تشرين الثاني'!$F$2:$F$501,V445)=F445),N(I445)/N(INDEX('11-تشرين الثاني'!$I$2:$I$501,V445))-1,""))</f>
        <v/>
      </c>
      <c r="AC445" t="str">
        <f t="shared" si="140"/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41"/>
        <v/>
      </c>
      <c r="AH445" s="39" t="str">
        <f t="shared" si="142"/>
        <v/>
      </c>
      <c r="AI445" s="39" t="str">
        <f t="shared" si="143"/>
        <v/>
      </c>
      <c r="AJ445" s="39" t="str">
        <f t="shared" si="144"/>
        <v/>
      </c>
      <c r="AK445" t="str">
        <f t="shared" si="145"/>
        <v/>
      </c>
      <c r="AL445" t="str">
        <f t="shared" si="146"/>
        <v/>
      </c>
    </row>
    <row r="446" spans="11:38" ht="15">
      <c r="K446" t="str">
        <f t="shared" si="126"/>
        <v/>
      </c>
      <c r="L446" t="str">
        <f t="shared" si="127"/>
        <v/>
      </c>
      <c r="M446" s="36" t="str">
        <f t="shared" si="128"/>
        <v/>
      </c>
      <c r="N446" s="37" t="str">
        <f t="shared" si="129"/>
        <v/>
      </c>
      <c r="O446" s="37" t="str">
        <f t="shared" si="130"/>
        <v/>
      </c>
      <c r="P446" s="38" t="str">
        <f t="shared" si="131"/>
        <v/>
      </c>
      <c r="Q446" s="39" t="str">
        <f t="shared" si="132"/>
        <v/>
      </c>
      <c r="R446" s="39" t="str">
        <f t="shared" si="133"/>
        <v/>
      </c>
      <c r="S446" t="str">
        <f t="shared" si="134"/>
        <v/>
      </c>
      <c r="T446" s="39" t="str">
        <f t="shared" si="135"/>
        <v/>
      </c>
      <c r="U446" t="str">
        <f t="shared" si="136"/>
        <v/>
      </c>
      <c r="V446" t="str">
        <f>IF(L446="","",IF($AO$1=1,IFERROR(MATCH(L446,'11-تشرين الثاني'!$L$2:$L$501,0),0),0))</f>
        <v/>
      </c>
      <c r="W446" t="str">
        <f t="shared" si="137"/>
        <v/>
      </c>
      <c r="X446" s="38" t="str">
        <f>IF(L446="","",IF(V446&gt;0,INDEX('11-تشرين الثاني'!$P$2:$P$501,V446),IF($AO$1=1,0,"")))</f>
        <v/>
      </c>
      <c r="Y446" s="38" t="str">
        <f t="shared" si="138"/>
        <v/>
      </c>
      <c r="Z446" s="39" t="str">
        <f>IF(L446="","",IF(V446&gt;0,INDEX('11-تشرين الثاني'!$Q$2:$Q$501,V446),IF($AO$1=1,0,"")))</f>
        <v/>
      </c>
      <c r="AA446" s="39" t="str">
        <f t="shared" si="139"/>
        <v/>
      </c>
      <c r="AB446" s="40" t="str">
        <f>IF(OR(L446="",V446=0),"",IF(AND(N(I446)&gt;0,N(INDEX('11-تشرين الثاني'!$I$2:$I$501,V446))&gt;0,INDEX('11-تشرين الثاني'!$F$2:$F$501,V446)=F446),N(I446)/N(INDEX('11-تشرين الثاني'!$I$2:$I$501,V446))-1,""))</f>
        <v/>
      </c>
      <c r="AC446" t="str">
        <f t="shared" si="140"/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41"/>
        <v/>
      </c>
      <c r="AH446" s="39" t="str">
        <f t="shared" si="142"/>
        <v/>
      </c>
      <c r="AI446" s="39" t="str">
        <f t="shared" si="143"/>
        <v/>
      </c>
      <c r="AJ446" s="39" t="str">
        <f t="shared" si="144"/>
        <v/>
      </c>
      <c r="AK446" t="str">
        <f t="shared" si="145"/>
        <v/>
      </c>
      <c r="AL446" t="str">
        <f t="shared" si="146"/>
        <v/>
      </c>
    </row>
    <row r="447" spans="11:38" ht="15">
      <c r="K447" t="str">
        <f t="shared" si="126"/>
        <v/>
      </c>
      <c r="L447" t="str">
        <f t="shared" si="127"/>
        <v/>
      </c>
      <c r="M447" s="36" t="str">
        <f t="shared" si="128"/>
        <v/>
      </c>
      <c r="N447" s="37" t="str">
        <f t="shared" si="129"/>
        <v/>
      </c>
      <c r="O447" s="37" t="str">
        <f t="shared" si="130"/>
        <v/>
      </c>
      <c r="P447" s="38" t="str">
        <f t="shared" si="131"/>
        <v/>
      </c>
      <c r="Q447" s="39" t="str">
        <f t="shared" si="132"/>
        <v/>
      </c>
      <c r="R447" s="39" t="str">
        <f t="shared" si="133"/>
        <v/>
      </c>
      <c r="S447" t="str">
        <f t="shared" si="134"/>
        <v/>
      </c>
      <c r="T447" s="39" t="str">
        <f t="shared" si="135"/>
        <v/>
      </c>
      <c r="U447" t="str">
        <f t="shared" si="136"/>
        <v/>
      </c>
      <c r="V447" t="str">
        <f>IF(L447="","",IF($AO$1=1,IFERROR(MATCH(L447,'11-تشرين الثاني'!$L$2:$L$501,0),0),0))</f>
        <v/>
      </c>
      <c r="W447" t="str">
        <f t="shared" si="137"/>
        <v/>
      </c>
      <c r="X447" s="38" t="str">
        <f>IF(L447="","",IF(V447&gt;0,INDEX('11-تشرين الثاني'!$P$2:$P$501,V447),IF($AO$1=1,0,"")))</f>
        <v/>
      </c>
      <c r="Y447" s="38" t="str">
        <f t="shared" si="138"/>
        <v/>
      </c>
      <c r="Z447" s="39" t="str">
        <f>IF(L447="","",IF(V447&gt;0,INDEX('11-تشرين الثاني'!$Q$2:$Q$501,V447),IF($AO$1=1,0,"")))</f>
        <v/>
      </c>
      <c r="AA447" s="39" t="str">
        <f t="shared" si="139"/>
        <v/>
      </c>
      <c r="AB447" s="40" t="str">
        <f>IF(OR(L447="",V447=0),"",IF(AND(N(I447)&gt;0,N(INDEX('11-تشرين الثاني'!$I$2:$I$501,V447))&gt;0,INDEX('11-تشرين الثاني'!$F$2:$F$501,V447)=F447),N(I447)/N(INDEX('11-تشرين الثاني'!$I$2:$I$501,V447))-1,""))</f>
        <v/>
      </c>
      <c r="AC447" t="str">
        <f t="shared" si="140"/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41"/>
        <v/>
      </c>
      <c r="AH447" s="39" t="str">
        <f t="shared" si="142"/>
        <v/>
      </c>
      <c r="AI447" s="39" t="str">
        <f t="shared" si="143"/>
        <v/>
      </c>
      <c r="AJ447" s="39" t="str">
        <f t="shared" si="144"/>
        <v/>
      </c>
      <c r="AK447" t="str">
        <f t="shared" si="145"/>
        <v/>
      </c>
      <c r="AL447" t="str">
        <f t="shared" si="146"/>
        <v/>
      </c>
    </row>
    <row r="448" spans="11:38" ht="15">
      <c r="K448" t="str">
        <f t="shared" si="126"/>
        <v/>
      </c>
      <c r="L448" t="str">
        <f t="shared" si="127"/>
        <v/>
      </c>
      <c r="M448" s="36" t="str">
        <f t="shared" si="128"/>
        <v/>
      </c>
      <c r="N448" s="37" t="str">
        <f t="shared" si="129"/>
        <v/>
      </c>
      <c r="O448" s="37" t="str">
        <f t="shared" si="130"/>
        <v/>
      </c>
      <c r="P448" s="38" t="str">
        <f t="shared" si="131"/>
        <v/>
      </c>
      <c r="Q448" s="39" t="str">
        <f t="shared" si="132"/>
        <v/>
      </c>
      <c r="R448" s="39" t="str">
        <f t="shared" si="133"/>
        <v/>
      </c>
      <c r="S448" t="str">
        <f t="shared" si="134"/>
        <v/>
      </c>
      <c r="T448" s="39" t="str">
        <f t="shared" si="135"/>
        <v/>
      </c>
      <c r="U448" t="str">
        <f t="shared" si="136"/>
        <v/>
      </c>
      <c r="V448" t="str">
        <f>IF(L448="","",IF($AO$1=1,IFERROR(MATCH(L448,'11-تشرين الثاني'!$L$2:$L$501,0),0),0))</f>
        <v/>
      </c>
      <c r="W448" t="str">
        <f t="shared" si="137"/>
        <v/>
      </c>
      <c r="X448" s="38" t="str">
        <f>IF(L448="","",IF(V448&gt;0,INDEX('11-تشرين الثاني'!$P$2:$P$501,V448),IF($AO$1=1,0,"")))</f>
        <v/>
      </c>
      <c r="Y448" s="38" t="str">
        <f t="shared" si="138"/>
        <v/>
      </c>
      <c r="Z448" s="39" t="str">
        <f>IF(L448="","",IF(V448&gt;0,INDEX('11-تشرين الثاني'!$Q$2:$Q$501,V448),IF($AO$1=1,0,"")))</f>
        <v/>
      </c>
      <c r="AA448" s="39" t="str">
        <f t="shared" si="139"/>
        <v/>
      </c>
      <c r="AB448" s="40" t="str">
        <f>IF(OR(L448="",V448=0),"",IF(AND(N(I448)&gt;0,N(INDEX('11-تشرين الثاني'!$I$2:$I$501,V448))&gt;0,INDEX('11-تشرين الثاني'!$F$2:$F$501,V448)=F448),N(I448)/N(INDEX('11-تشرين الثاني'!$I$2:$I$501,V448))-1,""))</f>
        <v/>
      </c>
      <c r="AC448" t="str">
        <f t="shared" si="140"/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41"/>
        <v/>
      </c>
      <c r="AH448" s="39" t="str">
        <f t="shared" si="142"/>
        <v/>
      </c>
      <c r="AI448" s="39" t="str">
        <f t="shared" si="143"/>
        <v/>
      </c>
      <c r="AJ448" s="39" t="str">
        <f t="shared" si="144"/>
        <v/>
      </c>
      <c r="AK448" t="str">
        <f t="shared" si="145"/>
        <v/>
      </c>
      <c r="AL448" t="str">
        <f t="shared" si="146"/>
        <v/>
      </c>
    </row>
    <row r="449" spans="11:38" ht="15">
      <c r="K449" t="str">
        <f t="shared" si="126"/>
        <v/>
      </c>
      <c r="L449" t="str">
        <f t="shared" si="127"/>
        <v/>
      </c>
      <c r="M449" s="36" t="str">
        <f t="shared" si="128"/>
        <v/>
      </c>
      <c r="N449" s="37" t="str">
        <f t="shared" si="129"/>
        <v/>
      </c>
      <c r="O449" s="37" t="str">
        <f t="shared" si="130"/>
        <v/>
      </c>
      <c r="P449" s="38" t="str">
        <f t="shared" si="131"/>
        <v/>
      </c>
      <c r="Q449" s="39" t="str">
        <f t="shared" si="132"/>
        <v/>
      </c>
      <c r="R449" s="39" t="str">
        <f t="shared" si="133"/>
        <v/>
      </c>
      <c r="S449" t="str">
        <f t="shared" si="134"/>
        <v/>
      </c>
      <c r="T449" s="39" t="str">
        <f t="shared" si="135"/>
        <v/>
      </c>
      <c r="U449" t="str">
        <f t="shared" si="136"/>
        <v/>
      </c>
      <c r="V449" t="str">
        <f>IF(L449="","",IF($AO$1=1,IFERROR(MATCH(L449,'11-تشرين الثاني'!$L$2:$L$501,0),0),0))</f>
        <v/>
      </c>
      <c r="W449" t="str">
        <f t="shared" si="137"/>
        <v/>
      </c>
      <c r="X449" s="38" t="str">
        <f>IF(L449="","",IF(V449&gt;0,INDEX('11-تشرين الثاني'!$P$2:$P$501,V449),IF($AO$1=1,0,"")))</f>
        <v/>
      </c>
      <c r="Y449" s="38" t="str">
        <f t="shared" si="138"/>
        <v/>
      </c>
      <c r="Z449" s="39" t="str">
        <f>IF(L449="","",IF(V449&gt;0,INDEX('11-تشرين الثاني'!$Q$2:$Q$501,V449),IF($AO$1=1,0,"")))</f>
        <v/>
      </c>
      <c r="AA449" s="39" t="str">
        <f t="shared" si="139"/>
        <v/>
      </c>
      <c r="AB449" s="40" t="str">
        <f>IF(OR(L449="",V449=0),"",IF(AND(N(I449)&gt;0,N(INDEX('11-تشرين الثاني'!$I$2:$I$501,V449))&gt;0,INDEX('11-تشرين الثاني'!$F$2:$F$501,V449)=F449),N(I449)/N(INDEX('11-تشرين الثاني'!$I$2:$I$501,V449))-1,""))</f>
        <v/>
      </c>
      <c r="AC449" t="str">
        <f t="shared" si="140"/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41"/>
        <v/>
      </c>
      <c r="AH449" s="39" t="str">
        <f t="shared" si="142"/>
        <v/>
      </c>
      <c r="AI449" s="39" t="str">
        <f t="shared" si="143"/>
        <v/>
      </c>
      <c r="AJ449" s="39" t="str">
        <f t="shared" si="144"/>
        <v/>
      </c>
      <c r="AK449" t="str">
        <f t="shared" si="145"/>
        <v/>
      </c>
      <c r="AL449" t="str">
        <f t="shared" si="146"/>
        <v/>
      </c>
    </row>
    <row r="450" spans="11:38" ht="15">
      <c r="K450" t="str">
        <f t="shared" ref="K450:K501" si="147">IF(L450="","",IF(U450&lt;&gt;"","⚠",""))</f>
        <v/>
      </c>
      <c r="L450" t="str">
        <f t="shared" ref="L450:L501" si="148">IF(A450="","",TRIM(A450))</f>
        <v/>
      </c>
      <c r="M450" s="36" t="str">
        <f t="shared" ref="M450:M501" si="149">IF(L450="","",IF(ISNUMBER(SEARCH("دولار",F450)),1,IF(ISNUMBER(SEARCH("ليرة",F450)),IF($AO$3&gt;0,1/$AO$3,0),0)))</f>
        <v/>
      </c>
      <c r="N450" s="37" t="str">
        <f t="shared" ref="N450:N501" si="150">IF(L450="","",N(I450)*M450)</f>
        <v/>
      </c>
      <c r="O450" s="37" t="str">
        <f t="shared" ref="O450:O501" si="151">IF(L450="","",M450*CHOOSE($AO$4,N(C450),N(D450),N(E450)))</f>
        <v/>
      </c>
      <c r="P450" s="38" t="str">
        <f t="shared" ref="P450:P501" si="152">IF(L450="","",MAX(N(B450),0))</f>
        <v/>
      </c>
      <c r="Q450" s="39" t="str">
        <f t="shared" ref="Q450:Q501" si="153">IF(L450="","",P450*N450)</f>
        <v/>
      </c>
      <c r="R450" s="39" t="str">
        <f t="shared" ref="R450:R501" si="154">IF(L450="","",P450*O450)</f>
        <v/>
      </c>
      <c r="S450" t="str">
        <f t="shared" ref="S450:S501" si="155">IF(L450="","",IF(AND(P450&gt;0,N450&gt;0,O450&gt;0),1,0))</f>
        <v/>
      </c>
      <c r="T450" s="39" t="str">
        <f t="shared" ref="T450:T501" si="156">IF(L450="","",S450*(R450-Q450))</f>
        <v/>
      </c>
      <c r="U450" t="str">
        <f t="shared" ref="U450:U501" si="157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IF(L450="","",IF($AO$1=1,IFERROR(MATCH(L450,'11-تشرين الثاني'!$L$2:$L$501,0),0),0))</f>
        <v/>
      </c>
      <c r="W450" t="str">
        <f t="shared" ref="W450:W501" si="158">IF(L450="","",IF(AND($AO$1=1,V450=0),"جديد",""))</f>
        <v/>
      </c>
      <c r="X450" s="38" t="str">
        <f>IF(L450="","",IF(V450&gt;0,INDEX('11-تشرين الثاني'!$P$2:$P$501,V450),IF($AO$1=1,0,"")))</f>
        <v/>
      </c>
      <c r="Y450" s="38" t="str">
        <f t="shared" ref="Y450:Y501" si="159">IF(OR(L450="",X450=""),"",P450-X450)</f>
        <v/>
      </c>
      <c r="Z450" s="39" t="str">
        <f>IF(L450="","",IF(V450&gt;0,INDEX('11-تشرين الثاني'!$Q$2:$Q$501,V450),IF($AO$1=1,0,"")))</f>
        <v/>
      </c>
      <c r="AA450" s="39" t="str">
        <f t="shared" ref="AA450:AA501" si="160">IF(OR(L450="",Z450=""),"",Q450-Z450)</f>
        <v/>
      </c>
      <c r="AB450" s="40" t="str">
        <f>IF(OR(L450="",V450=0),"",IF(AND(N(I450)&gt;0,N(INDEX('11-تشرين الثاني'!$I$2:$I$501,V450))&gt;0,INDEX('11-تشرين الثاني'!$F$2:$F$501,V450)=F450),N(I450)/N(INDEX('11-تشرين الثاني'!$I$2:$I$501,V450))-1,""))</f>
        <v/>
      </c>
      <c r="AC450" t="str">
        <f t="shared" ref="AC450:AC501" si="161">IF(L450="","","")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62">IF(AA450="","",ABS(AA450)+ROW()/1000000000)</f>
        <v/>
      </c>
      <c r="AH450" s="39" t="str">
        <f t="shared" ref="AH450:AH501" si="163">IF(L450="","",IF(AND(P450&gt;0,N450&gt;0,N(C450)&gt;0),P450*(M450*N(C450)-N450),0))</f>
        <v/>
      </c>
      <c r="AI450" s="39" t="str">
        <f t="shared" ref="AI450:AI501" si="164">IF(L450="","",IF(AND(P450&gt;0,N450&gt;0,N(D450)&gt;0),P450*(M450*N(D450)-N450),0))</f>
        <v/>
      </c>
      <c r="AJ450" s="39" t="str">
        <f t="shared" ref="AJ450:AJ501" si="165">IF(L450="","",IF(AND(P450&gt;0,N450&gt;0,N(E450)&gt;0),P450*(M450*N(E450)-N450),0))</f>
        <v/>
      </c>
      <c r="AK450" t="str">
        <f t="shared" ref="AK450:AK501" si="166">IF(L450="","",Q450+ROW()/1000000000)</f>
        <v/>
      </c>
      <c r="AL450" t="str">
        <f t="shared" ref="AL450:AL501" si="167">IF(L450="","",T450+ROW()/1000000000)</f>
        <v/>
      </c>
    </row>
    <row r="451" spans="11:38" ht="15">
      <c r="K451" t="str">
        <f t="shared" si="147"/>
        <v/>
      </c>
      <c r="L451" t="str">
        <f t="shared" si="148"/>
        <v/>
      </c>
      <c r="M451" s="36" t="str">
        <f t="shared" si="149"/>
        <v/>
      </c>
      <c r="N451" s="37" t="str">
        <f t="shared" si="150"/>
        <v/>
      </c>
      <c r="O451" s="37" t="str">
        <f t="shared" si="151"/>
        <v/>
      </c>
      <c r="P451" s="38" t="str">
        <f t="shared" si="152"/>
        <v/>
      </c>
      <c r="Q451" s="39" t="str">
        <f t="shared" si="153"/>
        <v/>
      </c>
      <c r="R451" s="39" t="str">
        <f t="shared" si="154"/>
        <v/>
      </c>
      <c r="S451" t="str">
        <f t="shared" si="155"/>
        <v/>
      </c>
      <c r="T451" s="39" t="str">
        <f t="shared" si="156"/>
        <v/>
      </c>
      <c r="U451" t="str">
        <f t="shared" si="157"/>
        <v/>
      </c>
      <c r="V451" t="str">
        <f>IF(L451="","",IF($AO$1=1,IFERROR(MATCH(L451,'11-تشرين الثاني'!$L$2:$L$501,0),0),0))</f>
        <v/>
      </c>
      <c r="W451" t="str">
        <f t="shared" si="158"/>
        <v/>
      </c>
      <c r="X451" s="38" t="str">
        <f>IF(L451="","",IF(V451&gt;0,INDEX('11-تشرين الثاني'!$P$2:$P$501,V451),IF($AO$1=1,0,"")))</f>
        <v/>
      </c>
      <c r="Y451" s="38" t="str">
        <f t="shared" si="159"/>
        <v/>
      </c>
      <c r="Z451" s="39" t="str">
        <f>IF(L451="","",IF(V451&gt;0,INDEX('11-تشرين الثاني'!$Q$2:$Q$501,V451),IF($AO$1=1,0,"")))</f>
        <v/>
      </c>
      <c r="AA451" s="39" t="str">
        <f t="shared" si="160"/>
        <v/>
      </c>
      <c r="AB451" s="40" t="str">
        <f>IF(OR(L451="",V451=0),"",IF(AND(N(I451)&gt;0,N(INDEX('11-تشرين الثاني'!$I$2:$I$501,V451))&gt;0,INDEX('11-تشرين الثاني'!$F$2:$F$501,V451)=F451),N(I451)/N(INDEX('11-تشرين الثاني'!$I$2:$I$501,V451))-1,""))</f>
        <v/>
      </c>
      <c r="AC451" t="str">
        <f t="shared" si="161"/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62"/>
        <v/>
      </c>
      <c r="AH451" s="39" t="str">
        <f t="shared" si="163"/>
        <v/>
      </c>
      <c r="AI451" s="39" t="str">
        <f t="shared" si="164"/>
        <v/>
      </c>
      <c r="AJ451" s="39" t="str">
        <f t="shared" si="165"/>
        <v/>
      </c>
      <c r="AK451" t="str">
        <f t="shared" si="166"/>
        <v/>
      </c>
      <c r="AL451" t="str">
        <f t="shared" si="167"/>
        <v/>
      </c>
    </row>
    <row r="452" spans="11:38" ht="15">
      <c r="K452" t="str">
        <f t="shared" si="147"/>
        <v/>
      </c>
      <c r="L452" t="str">
        <f t="shared" si="148"/>
        <v/>
      </c>
      <c r="M452" s="36" t="str">
        <f t="shared" si="149"/>
        <v/>
      </c>
      <c r="N452" s="37" t="str">
        <f t="shared" si="150"/>
        <v/>
      </c>
      <c r="O452" s="37" t="str">
        <f t="shared" si="151"/>
        <v/>
      </c>
      <c r="P452" s="38" t="str">
        <f t="shared" si="152"/>
        <v/>
      </c>
      <c r="Q452" s="39" t="str">
        <f t="shared" si="153"/>
        <v/>
      </c>
      <c r="R452" s="39" t="str">
        <f t="shared" si="154"/>
        <v/>
      </c>
      <c r="S452" t="str">
        <f t="shared" si="155"/>
        <v/>
      </c>
      <c r="T452" s="39" t="str">
        <f t="shared" si="156"/>
        <v/>
      </c>
      <c r="U452" t="str">
        <f t="shared" si="157"/>
        <v/>
      </c>
      <c r="V452" t="str">
        <f>IF(L452="","",IF($AO$1=1,IFERROR(MATCH(L452,'11-تشرين الثاني'!$L$2:$L$501,0),0),0))</f>
        <v/>
      </c>
      <c r="W452" t="str">
        <f t="shared" si="158"/>
        <v/>
      </c>
      <c r="X452" s="38" t="str">
        <f>IF(L452="","",IF(V452&gt;0,INDEX('11-تشرين الثاني'!$P$2:$P$501,V452),IF($AO$1=1,0,"")))</f>
        <v/>
      </c>
      <c r="Y452" s="38" t="str">
        <f t="shared" si="159"/>
        <v/>
      </c>
      <c r="Z452" s="39" t="str">
        <f>IF(L452="","",IF(V452&gt;0,INDEX('11-تشرين الثاني'!$Q$2:$Q$501,V452),IF($AO$1=1,0,"")))</f>
        <v/>
      </c>
      <c r="AA452" s="39" t="str">
        <f t="shared" si="160"/>
        <v/>
      </c>
      <c r="AB452" s="40" t="str">
        <f>IF(OR(L452="",V452=0),"",IF(AND(N(I452)&gt;0,N(INDEX('11-تشرين الثاني'!$I$2:$I$501,V452))&gt;0,INDEX('11-تشرين الثاني'!$F$2:$F$501,V452)=F452),N(I452)/N(INDEX('11-تشرين الثاني'!$I$2:$I$501,V452))-1,""))</f>
        <v/>
      </c>
      <c r="AC452" t="str">
        <f t="shared" si="161"/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62"/>
        <v/>
      </c>
      <c r="AH452" s="39" t="str">
        <f t="shared" si="163"/>
        <v/>
      </c>
      <c r="AI452" s="39" t="str">
        <f t="shared" si="164"/>
        <v/>
      </c>
      <c r="AJ452" s="39" t="str">
        <f t="shared" si="165"/>
        <v/>
      </c>
      <c r="AK452" t="str">
        <f t="shared" si="166"/>
        <v/>
      </c>
      <c r="AL452" t="str">
        <f t="shared" si="167"/>
        <v/>
      </c>
    </row>
    <row r="453" spans="11:38" ht="15">
      <c r="K453" t="str">
        <f t="shared" si="147"/>
        <v/>
      </c>
      <c r="L453" t="str">
        <f t="shared" si="148"/>
        <v/>
      </c>
      <c r="M453" s="36" t="str">
        <f t="shared" si="149"/>
        <v/>
      </c>
      <c r="N453" s="37" t="str">
        <f t="shared" si="150"/>
        <v/>
      </c>
      <c r="O453" s="37" t="str">
        <f t="shared" si="151"/>
        <v/>
      </c>
      <c r="P453" s="38" t="str">
        <f t="shared" si="152"/>
        <v/>
      </c>
      <c r="Q453" s="39" t="str">
        <f t="shared" si="153"/>
        <v/>
      </c>
      <c r="R453" s="39" t="str">
        <f t="shared" si="154"/>
        <v/>
      </c>
      <c r="S453" t="str">
        <f t="shared" si="155"/>
        <v/>
      </c>
      <c r="T453" s="39" t="str">
        <f t="shared" si="156"/>
        <v/>
      </c>
      <c r="U453" t="str">
        <f t="shared" si="157"/>
        <v/>
      </c>
      <c r="V453" t="str">
        <f>IF(L453="","",IF($AO$1=1,IFERROR(MATCH(L453,'11-تشرين الثاني'!$L$2:$L$501,0),0),0))</f>
        <v/>
      </c>
      <c r="W453" t="str">
        <f t="shared" si="158"/>
        <v/>
      </c>
      <c r="X453" s="38" t="str">
        <f>IF(L453="","",IF(V453&gt;0,INDEX('11-تشرين الثاني'!$P$2:$P$501,V453),IF($AO$1=1,0,"")))</f>
        <v/>
      </c>
      <c r="Y453" s="38" t="str">
        <f t="shared" si="159"/>
        <v/>
      </c>
      <c r="Z453" s="39" t="str">
        <f>IF(L453="","",IF(V453&gt;0,INDEX('11-تشرين الثاني'!$Q$2:$Q$501,V453),IF($AO$1=1,0,"")))</f>
        <v/>
      </c>
      <c r="AA453" s="39" t="str">
        <f t="shared" si="160"/>
        <v/>
      </c>
      <c r="AB453" s="40" t="str">
        <f>IF(OR(L453="",V453=0),"",IF(AND(N(I453)&gt;0,N(INDEX('11-تشرين الثاني'!$I$2:$I$501,V453))&gt;0,INDEX('11-تشرين الثاني'!$F$2:$F$501,V453)=F453),N(I453)/N(INDEX('11-تشرين الثاني'!$I$2:$I$501,V453))-1,""))</f>
        <v/>
      </c>
      <c r="AC453" t="str">
        <f t="shared" si="161"/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62"/>
        <v/>
      </c>
      <c r="AH453" s="39" t="str">
        <f t="shared" si="163"/>
        <v/>
      </c>
      <c r="AI453" s="39" t="str">
        <f t="shared" si="164"/>
        <v/>
      </c>
      <c r="AJ453" s="39" t="str">
        <f t="shared" si="165"/>
        <v/>
      </c>
      <c r="AK453" t="str">
        <f t="shared" si="166"/>
        <v/>
      </c>
      <c r="AL453" t="str">
        <f t="shared" si="167"/>
        <v/>
      </c>
    </row>
    <row r="454" spans="11:38" ht="15">
      <c r="K454" t="str">
        <f t="shared" si="147"/>
        <v/>
      </c>
      <c r="L454" t="str">
        <f t="shared" si="148"/>
        <v/>
      </c>
      <c r="M454" s="36" t="str">
        <f t="shared" si="149"/>
        <v/>
      </c>
      <c r="N454" s="37" t="str">
        <f t="shared" si="150"/>
        <v/>
      </c>
      <c r="O454" s="37" t="str">
        <f t="shared" si="151"/>
        <v/>
      </c>
      <c r="P454" s="38" t="str">
        <f t="shared" si="152"/>
        <v/>
      </c>
      <c r="Q454" s="39" t="str">
        <f t="shared" si="153"/>
        <v/>
      </c>
      <c r="R454" s="39" t="str">
        <f t="shared" si="154"/>
        <v/>
      </c>
      <c r="S454" t="str">
        <f t="shared" si="155"/>
        <v/>
      </c>
      <c r="T454" s="39" t="str">
        <f t="shared" si="156"/>
        <v/>
      </c>
      <c r="U454" t="str">
        <f t="shared" si="157"/>
        <v/>
      </c>
      <c r="V454" t="str">
        <f>IF(L454="","",IF($AO$1=1,IFERROR(MATCH(L454,'11-تشرين الثاني'!$L$2:$L$501,0),0),0))</f>
        <v/>
      </c>
      <c r="W454" t="str">
        <f t="shared" si="158"/>
        <v/>
      </c>
      <c r="X454" s="38" t="str">
        <f>IF(L454="","",IF(V454&gt;0,INDEX('11-تشرين الثاني'!$P$2:$P$501,V454),IF($AO$1=1,0,"")))</f>
        <v/>
      </c>
      <c r="Y454" s="38" t="str">
        <f t="shared" si="159"/>
        <v/>
      </c>
      <c r="Z454" s="39" t="str">
        <f>IF(L454="","",IF(V454&gt;0,INDEX('11-تشرين الثاني'!$Q$2:$Q$501,V454),IF($AO$1=1,0,"")))</f>
        <v/>
      </c>
      <c r="AA454" s="39" t="str">
        <f t="shared" si="160"/>
        <v/>
      </c>
      <c r="AB454" s="40" t="str">
        <f>IF(OR(L454="",V454=0),"",IF(AND(N(I454)&gt;0,N(INDEX('11-تشرين الثاني'!$I$2:$I$501,V454))&gt;0,INDEX('11-تشرين الثاني'!$F$2:$F$501,V454)=F454),N(I454)/N(INDEX('11-تشرين الثاني'!$I$2:$I$501,V454))-1,""))</f>
        <v/>
      </c>
      <c r="AC454" t="str">
        <f t="shared" si="161"/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62"/>
        <v/>
      </c>
      <c r="AH454" s="39" t="str">
        <f t="shared" si="163"/>
        <v/>
      </c>
      <c r="AI454" s="39" t="str">
        <f t="shared" si="164"/>
        <v/>
      </c>
      <c r="AJ454" s="39" t="str">
        <f t="shared" si="165"/>
        <v/>
      </c>
      <c r="AK454" t="str">
        <f t="shared" si="166"/>
        <v/>
      </c>
      <c r="AL454" t="str">
        <f t="shared" si="167"/>
        <v/>
      </c>
    </row>
    <row r="455" spans="11:38" ht="15">
      <c r="K455" t="str">
        <f t="shared" si="147"/>
        <v/>
      </c>
      <c r="L455" t="str">
        <f t="shared" si="148"/>
        <v/>
      </c>
      <c r="M455" s="36" t="str">
        <f t="shared" si="149"/>
        <v/>
      </c>
      <c r="N455" s="37" t="str">
        <f t="shared" si="150"/>
        <v/>
      </c>
      <c r="O455" s="37" t="str">
        <f t="shared" si="151"/>
        <v/>
      </c>
      <c r="P455" s="38" t="str">
        <f t="shared" si="152"/>
        <v/>
      </c>
      <c r="Q455" s="39" t="str">
        <f t="shared" si="153"/>
        <v/>
      </c>
      <c r="R455" s="39" t="str">
        <f t="shared" si="154"/>
        <v/>
      </c>
      <c r="S455" t="str">
        <f t="shared" si="155"/>
        <v/>
      </c>
      <c r="T455" s="39" t="str">
        <f t="shared" si="156"/>
        <v/>
      </c>
      <c r="U455" t="str">
        <f t="shared" si="157"/>
        <v/>
      </c>
      <c r="V455" t="str">
        <f>IF(L455="","",IF($AO$1=1,IFERROR(MATCH(L455,'11-تشرين الثاني'!$L$2:$L$501,0),0),0))</f>
        <v/>
      </c>
      <c r="W455" t="str">
        <f t="shared" si="158"/>
        <v/>
      </c>
      <c r="X455" s="38" t="str">
        <f>IF(L455="","",IF(V455&gt;0,INDEX('11-تشرين الثاني'!$P$2:$P$501,V455),IF($AO$1=1,0,"")))</f>
        <v/>
      </c>
      <c r="Y455" s="38" t="str">
        <f t="shared" si="159"/>
        <v/>
      </c>
      <c r="Z455" s="39" t="str">
        <f>IF(L455="","",IF(V455&gt;0,INDEX('11-تشرين الثاني'!$Q$2:$Q$501,V455),IF($AO$1=1,0,"")))</f>
        <v/>
      </c>
      <c r="AA455" s="39" t="str">
        <f t="shared" si="160"/>
        <v/>
      </c>
      <c r="AB455" s="40" t="str">
        <f>IF(OR(L455="",V455=0),"",IF(AND(N(I455)&gt;0,N(INDEX('11-تشرين الثاني'!$I$2:$I$501,V455))&gt;0,INDEX('11-تشرين الثاني'!$F$2:$F$501,V455)=F455),N(I455)/N(INDEX('11-تشرين الثاني'!$I$2:$I$501,V455))-1,""))</f>
        <v/>
      </c>
      <c r="AC455" t="str">
        <f t="shared" si="161"/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62"/>
        <v/>
      </c>
      <c r="AH455" s="39" t="str">
        <f t="shared" si="163"/>
        <v/>
      </c>
      <c r="AI455" s="39" t="str">
        <f t="shared" si="164"/>
        <v/>
      </c>
      <c r="AJ455" s="39" t="str">
        <f t="shared" si="165"/>
        <v/>
      </c>
      <c r="AK455" t="str">
        <f t="shared" si="166"/>
        <v/>
      </c>
      <c r="AL455" t="str">
        <f t="shared" si="167"/>
        <v/>
      </c>
    </row>
    <row r="456" spans="11:38" ht="15">
      <c r="K456" t="str">
        <f t="shared" si="147"/>
        <v/>
      </c>
      <c r="L456" t="str">
        <f t="shared" si="148"/>
        <v/>
      </c>
      <c r="M456" s="36" t="str">
        <f t="shared" si="149"/>
        <v/>
      </c>
      <c r="N456" s="37" t="str">
        <f t="shared" si="150"/>
        <v/>
      </c>
      <c r="O456" s="37" t="str">
        <f t="shared" si="151"/>
        <v/>
      </c>
      <c r="P456" s="38" t="str">
        <f t="shared" si="152"/>
        <v/>
      </c>
      <c r="Q456" s="39" t="str">
        <f t="shared" si="153"/>
        <v/>
      </c>
      <c r="R456" s="39" t="str">
        <f t="shared" si="154"/>
        <v/>
      </c>
      <c r="S456" t="str">
        <f t="shared" si="155"/>
        <v/>
      </c>
      <c r="T456" s="39" t="str">
        <f t="shared" si="156"/>
        <v/>
      </c>
      <c r="U456" t="str">
        <f t="shared" si="157"/>
        <v/>
      </c>
      <c r="V456" t="str">
        <f>IF(L456="","",IF($AO$1=1,IFERROR(MATCH(L456,'11-تشرين الثاني'!$L$2:$L$501,0),0),0))</f>
        <v/>
      </c>
      <c r="W456" t="str">
        <f t="shared" si="158"/>
        <v/>
      </c>
      <c r="X456" s="38" t="str">
        <f>IF(L456="","",IF(V456&gt;0,INDEX('11-تشرين الثاني'!$P$2:$P$501,V456),IF($AO$1=1,0,"")))</f>
        <v/>
      </c>
      <c r="Y456" s="38" t="str">
        <f t="shared" si="159"/>
        <v/>
      </c>
      <c r="Z456" s="39" t="str">
        <f>IF(L456="","",IF(V456&gt;0,INDEX('11-تشرين الثاني'!$Q$2:$Q$501,V456),IF($AO$1=1,0,"")))</f>
        <v/>
      </c>
      <c r="AA456" s="39" t="str">
        <f t="shared" si="160"/>
        <v/>
      </c>
      <c r="AB456" s="40" t="str">
        <f>IF(OR(L456="",V456=0),"",IF(AND(N(I456)&gt;0,N(INDEX('11-تشرين الثاني'!$I$2:$I$501,V456))&gt;0,INDEX('11-تشرين الثاني'!$F$2:$F$501,V456)=F456),N(I456)/N(INDEX('11-تشرين الثاني'!$I$2:$I$501,V456))-1,""))</f>
        <v/>
      </c>
      <c r="AC456" t="str">
        <f t="shared" si="161"/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62"/>
        <v/>
      </c>
      <c r="AH456" s="39" t="str">
        <f t="shared" si="163"/>
        <v/>
      </c>
      <c r="AI456" s="39" t="str">
        <f t="shared" si="164"/>
        <v/>
      </c>
      <c r="AJ456" s="39" t="str">
        <f t="shared" si="165"/>
        <v/>
      </c>
      <c r="AK456" t="str">
        <f t="shared" si="166"/>
        <v/>
      </c>
      <c r="AL456" t="str">
        <f t="shared" si="167"/>
        <v/>
      </c>
    </row>
    <row r="457" spans="11:38" ht="15">
      <c r="K457" t="str">
        <f t="shared" si="147"/>
        <v/>
      </c>
      <c r="L457" t="str">
        <f t="shared" si="148"/>
        <v/>
      </c>
      <c r="M457" s="36" t="str">
        <f t="shared" si="149"/>
        <v/>
      </c>
      <c r="N457" s="37" t="str">
        <f t="shared" si="150"/>
        <v/>
      </c>
      <c r="O457" s="37" t="str">
        <f t="shared" si="151"/>
        <v/>
      </c>
      <c r="P457" s="38" t="str">
        <f t="shared" si="152"/>
        <v/>
      </c>
      <c r="Q457" s="39" t="str">
        <f t="shared" si="153"/>
        <v/>
      </c>
      <c r="R457" s="39" t="str">
        <f t="shared" si="154"/>
        <v/>
      </c>
      <c r="S457" t="str">
        <f t="shared" si="155"/>
        <v/>
      </c>
      <c r="T457" s="39" t="str">
        <f t="shared" si="156"/>
        <v/>
      </c>
      <c r="U457" t="str">
        <f t="shared" si="157"/>
        <v/>
      </c>
      <c r="V457" t="str">
        <f>IF(L457="","",IF($AO$1=1,IFERROR(MATCH(L457,'11-تشرين الثاني'!$L$2:$L$501,0),0),0))</f>
        <v/>
      </c>
      <c r="W457" t="str">
        <f t="shared" si="158"/>
        <v/>
      </c>
      <c r="X457" s="38" t="str">
        <f>IF(L457="","",IF(V457&gt;0,INDEX('11-تشرين الثاني'!$P$2:$P$501,V457),IF($AO$1=1,0,"")))</f>
        <v/>
      </c>
      <c r="Y457" s="38" t="str">
        <f t="shared" si="159"/>
        <v/>
      </c>
      <c r="Z457" s="39" t="str">
        <f>IF(L457="","",IF(V457&gt;0,INDEX('11-تشرين الثاني'!$Q$2:$Q$501,V457),IF($AO$1=1,0,"")))</f>
        <v/>
      </c>
      <c r="AA457" s="39" t="str">
        <f t="shared" si="160"/>
        <v/>
      </c>
      <c r="AB457" s="40" t="str">
        <f>IF(OR(L457="",V457=0),"",IF(AND(N(I457)&gt;0,N(INDEX('11-تشرين الثاني'!$I$2:$I$501,V457))&gt;0,INDEX('11-تشرين الثاني'!$F$2:$F$501,V457)=F457),N(I457)/N(INDEX('11-تشرين الثاني'!$I$2:$I$501,V457))-1,""))</f>
        <v/>
      </c>
      <c r="AC457" t="str">
        <f t="shared" si="161"/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62"/>
        <v/>
      </c>
      <c r="AH457" s="39" t="str">
        <f t="shared" si="163"/>
        <v/>
      </c>
      <c r="AI457" s="39" t="str">
        <f t="shared" si="164"/>
        <v/>
      </c>
      <c r="AJ457" s="39" t="str">
        <f t="shared" si="165"/>
        <v/>
      </c>
      <c r="AK457" t="str">
        <f t="shared" si="166"/>
        <v/>
      </c>
      <c r="AL457" t="str">
        <f t="shared" si="167"/>
        <v/>
      </c>
    </row>
    <row r="458" spans="11:38" ht="15">
      <c r="K458" t="str">
        <f t="shared" si="147"/>
        <v/>
      </c>
      <c r="L458" t="str">
        <f t="shared" si="148"/>
        <v/>
      </c>
      <c r="M458" s="36" t="str">
        <f t="shared" si="149"/>
        <v/>
      </c>
      <c r="N458" s="37" t="str">
        <f t="shared" si="150"/>
        <v/>
      </c>
      <c r="O458" s="37" t="str">
        <f t="shared" si="151"/>
        <v/>
      </c>
      <c r="P458" s="38" t="str">
        <f t="shared" si="152"/>
        <v/>
      </c>
      <c r="Q458" s="39" t="str">
        <f t="shared" si="153"/>
        <v/>
      </c>
      <c r="R458" s="39" t="str">
        <f t="shared" si="154"/>
        <v/>
      </c>
      <c r="S458" t="str">
        <f t="shared" si="155"/>
        <v/>
      </c>
      <c r="T458" s="39" t="str">
        <f t="shared" si="156"/>
        <v/>
      </c>
      <c r="U458" t="str">
        <f t="shared" si="157"/>
        <v/>
      </c>
      <c r="V458" t="str">
        <f>IF(L458="","",IF($AO$1=1,IFERROR(MATCH(L458,'11-تشرين الثاني'!$L$2:$L$501,0),0),0))</f>
        <v/>
      </c>
      <c r="W458" t="str">
        <f t="shared" si="158"/>
        <v/>
      </c>
      <c r="X458" s="38" t="str">
        <f>IF(L458="","",IF(V458&gt;0,INDEX('11-تشرين الثاني'!$P$2:$P$501,V458),IF($AO$1=1,0,"")))</f>
        <v/>
      </c>
      <c r="Y458" s="38" t="str">
        <f t="shared" si="159"/>
        <v/>
      </c>
      <c r="Z458" s="39" t="str">
        <f>IF(L458="","",IF(V458&gt;0,INDEX('11-تشرين الثاني'!$Q$2:$Q$501,V458),IF($AO$1=1,0,"")))</f>
        <v/>
      </c>
      <c r="AA458" s="39" t="str">
        <f t="shared" si="160"/>
        <v/>
      </c>
      <c r="AB458" s="40" t="str">
        <f>IF(OR(L458="",V458=0),"",IF(AND(N(I458)&gt;0,N(INDEX('11-تشرين الثاني'!$I$2:$I$501,V458))&gt;0,INDEX('11-تشرين الثاني'!$F$2:$F$501,V458)=F458),N(I458)/N(INDEX('11-تشرين الثاني'!$I$2:$I$501,V458))-1,""))</f>
        <v/>
      </c>
      <c r="AC458" t="str">
        <f t="shared" si="161"/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62"/>
        <v/>
      </c>
      <c r="AH458" s="39" t="str">
        <f t="shared" si="163"/>
        <v/>
      </c>
      <c r="AI458" s="39" t="str">
        <f t="shared" si="164"/>
        <v/>
      </c>
      <c r="AJ458" s="39" t="str">
        <f t="shared" si="165"/>
        <v/>
      </c>
      <c r="AK458" t="str">
        <f t="shared" si="166"/>
        <v/>
      </c>
      <c r="AL458" t="str">
        <f t="shared" si="167"/>
        <v/>
      </c>
    </row>
    <row r="459" spans="11:38" ht="15">
      <c r="K459" t="str">
        <f t="shared" si="147"/>
        <v/>
      </c>
      <c r="L459" t="str">
        <f t="shared" si="148"/>
        <v/>
      </c>
      <c r="M459" s="36" t="str">
        <f t="shared" si="149"/>
        <v/>
      </c>
      <c r="N459" s="37" t="str">
        <f t="shared" si="150"/>
        <v/>
      </c>
      <c r="O459" s="37" t="str">
        <f t="shared" si="151"/>
        <v/>
      </c>
      <c r="P459" s="38" t="str">
        <f t="shared" si="152"/>
        <v/>
      </c>
      <c r="Q459" s="39" t="str">
        <f t="shared" si="153"/>
        <v/>
      </c>
      <c r="R459" s="39" t="str">
        <f t="shared" si="154"/>
        <v/>
      </c>
      <c r="S459" t="str">
        <f t="shared" si="155"/>
        <v/>
      </c>
      <c r="T459" s="39" t="str">
        <f t="shared" si="156"/>
        <v/>
      </c>
      <c r="U459" t="str">
        <f t="shared" si="157"/>
        <v/>
      </c>
      <c r="V459" t="str">
        <f>IF(L459="","",IF($AO$1=1,IFERROR(MATCH(L459,'11-تشرين الثاني'!$L$2:$L$501,0),0),0))</f>
        <v/>
      </c>
      <c r="W459" t="str">
        <f t="shared" si="158"/>
        <v/>
      </c>
      <c r="X459" s="38" t="str">
        <f>IF(L459="","",IF(V459&gt;0,INDEX('11-تشرين الثاني'!$P$2:$P$501,V459),IF($AO$1=1,0,"")))</f>
        <v/>
      </c>
      <c r="Y459" s="38" t="str">
        <f t="shared" si="159"/>
        <v/>
      </c>
      <c r="Z459" s="39" t="str">
        <f>IF(L459="","",IF(V459&gt;0,INDEX('11-تشرين الثاني'!$Q$2:$Q$501,V459),IF($AO$1=1,0,"")))</f>
        <v/>
      </c>
      <c r="AA459" s="39" t="str">
        <f t="shared" si="160"/>
        <v/>
      </c>
      <c r="AB459" s="40" t="str">
        <f>IF(OR(L459="",V459=0),"",IF(AND(N(I459)&gt;0,N(INDEX('11-تشرين الثاني'!$I$2:$I$501,V459))&gt;0,INDEX('11-تشرين الثاني'!$F$2:$F$501,V459)=F459),N(I459)/N(INDEX('11-تشرين الثاني'!$I$2:$I$501,V459))-1,""))</f>
        <v/>
      </c>
      <c r="AC459" t="str">
        <f t="shared" si="161"/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62"/>
        <v/>
      </c>
      <c r="AH459" s="39" t="str">
        <f t="shared" si="163"/>
        <v/>
      </c>
      <c r="AI459" s="39" t="str">
        <f t="shared" si="164"/>
        <v/>
      </c>
      <c r="AJ459" s="39" t="str">
        <f t="shared" si="165"/>
        <v/>
      </c>
      <c r="AK459" t="str">
        <f t="shared" si="166"/>
        <v/>
      </c>
      <c r="AL459" t="str">
        <f t="shared" si="167"/>
        <v/>
      </c>
    </row>
    <row r="460" spans="11:38" ht="15">
      <c r="K460" t="str">
        <f t="shared" si="147"/>
        <v/>
      </c>
      <c r="L460" t="str">
        <f t="shared" si="148"/>
        <v/>
      </c>
      <c r="M460" s="36" t="str">
        <f t="shared" si="149"/>
        <v/>
      </c>
      <c r="N460" s="37" t="str">
        <f t="shared" si="150"/>
        <v/>
      </c>
      <c r="O460" s="37" t="str">
        <f t="shared" si="151"/>
        <v/>
      </c>
      <c r="P460" s="38" t="str">
        <f t="shared" si="152"/>
        <v/>
      </c>
      <c r="Q460" s="39" t="str">
        <f t="shared" si="153"/>
        <v/>
      </c>
      <c r="R460" s="39" t="str">
        <f t="shared" si="154"/>
        <v/>
      </c>
      <c r="S460" t="str">
        <f t="shared" si="155"/>
        <v/>
      </c>
      <c r="T460" s="39" t="str">
        <f t="shared" si="156"/>
        <v/>
      </c>
      <c r="U460" t="str">
        <f t="shared" si="157"/>
        <v/>
      </c>
      <c r="V460" t="str">
        <f>IF(L460="","",IF($AO$1=1,IFERROR(MATCH(L460,'11-تشرين الثاني'!$L$2:$L$501,0),0),0))</f>
        <v/>
      </c>
      <c r="W460" t="str">
        <f t="shared" si="158"/>
        <v/>
      </c>
      <c r="X460" s="38" t="str">
        <f>IF(L460="","",IF(V460&gt;0,INDEX('11-تشرين الثاني'!$P$2:$P$501,V460),IF($AO$1=1,0,"")))</f>
        <v/>
      </c>
      <c r="Y460" s="38" t="str">
        <f t="shared" si="159"/>
        <v/>
      </c>
      <c r="Z460" s="39" t="str">
        <f>IF(L460="","",IF(V460&gt;0,INDEX('11-تشرين الثاني'!$Q$2:$Q$501,V460),IF($AO$1=1,0,"")))</f>
        <v/>
      </c>
      <c r="AA460" s="39" t="str">
        <f t="shared" si="160"/>
        <v/>
      </c>
      <c r="AB460" s="40" t="str">
        <f>IF(OR(L460="",V460=0),"",IF(AND(N(I460)&gt;0,N(INDEX('11-تشرين الثاني'!$I$2:$I$501,V460))&gt;0,INDEX('11-تشرين الثاني'!$F$2:$F$501,V460)=F460),N(I460)/N(INDEX('11-تشرين الثاني'!$I$2:$I$501,V460))-1,""))</f>
        <v/>
      </c>
      <c r="AC460" t="str">
        <f t="shared" si="161"/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62"/>
        <v/>
      </c>
      <c r="AH460" s="39" t="str">
        <f t="shared" si="163"/>
        <v/>
      </c>
      <c r="AI460" s="39" t="str">
        <f t="shared" si="164"/>
        <v/>
      </c>
      <c r="AJ460" s="39" t="str">
        <f t="shared" si="165"/>
        <v/>
      </c>
      <c r="AK460" t="str">
        <f t="shared" si="166"/>
        <v/>
      </c>
      <c r="AL460" t="str">
        <f t="shared" si="167"/>
        <v/>
      </c>
    </row>
    <row r="461" spans="11:38" ht="15">
      <c r="K461" t="str">
        <f t="shared" si="147"/>
        <v/>
      </c>
      <c r="L461" t="str">
        <f t="shared" si="148"/>
        <v/>
      </c>
      <c r="M461" s="36" t="str">
        <f t="shared" si="149"/>
        <v/>
      </c>
      <c r="N461" s="37" t="str">
        <f t="shared" si="150"/>
        <v/>
      </c>
      <c r="O461" s="37" t="str">
        <f t="shared" si="151"/>
        <v/>
      </c>
      <c r="P461" s="38" t="str">
        <f t="shared" si="152"/>
        <v/>
      </c>
      <c r="Q461" s="39" t="str">
        <f t="shared" si="153"/>
        <v/>
      </c>
      <c r="R461" s="39" t="str">
        <f t="shared" si="154"/>
        <v/>
      </c>
      <c r="S461" t="str">
        <f t="shared" si="155"/>
        <v/>
      </c>
      <c r="T461" s="39" t="str">
        <f t="shared" si="156"/>
        <v/>
      </c>
      <c r="U461" t="str">
        <f t="shared" si="157"/>
        <v/>
      </c>
      <c r="V461" t="str">
        <f>IF(L461="","",IF($AO$1=1,IFERROR(MATCH(L461,'11-تشرين الثاني'!$L$2:$L$501,0),0),0))</f>
        <v/>
      </c>
      <c r="W461" t="str">
        <f t="shared" si="158"/>
        <v/>
      </c>
      <c r="X461" s="38" t="str">
        <f>IF(L461="","",IF(V461&gt;0,INDEX('11-تشرين الثاني'!$P$2:$P$501,V461),IF($AO$1=1,0,"")))</f>
        <v/>
      </c>
      <c r="Y461" s="38" t="str">
        <f t="shared" si="159"/>
        <v/>
      </c>
      <c r="Z461" s="39" t="str">
        <f>IF(L461="","",IF(V461&gt;0,INDEX('11-تشرين الثاني'!$Q$2:$Q$501,V461),IF($AO$1=1,0,"")))</f>
        <v/>
      </c>
      <c r="AA461" s="39" t="str">
        <f t="shared" si="160"/>
        <v/>
      </c>
      <c r="AB461" s="40" t="str">
        <f>IF(OR(L461="",V461=0),"",IF(AND(N(I461)&gt;0,N(INDEX('11-تشرين الثاني'!$I$2:$I$501,V461))&gt;0,INDEX('11-تشرين الثاني'!$F$2:$F$501,V461)=F461),N(I461)/N(INDEX('11-تشرين الثاني'!$I$2:$I$501,V461))-1,""))</f>
        <v/>
      </c>
      <c r="AC461" t="str">
        <f t="shared" si="161"/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62"/>
        <v/>
      </c>
      <c r="AH461" s="39" t="str">
        <f t="shared" si="163"/>
        <v/>
      </c>
      <c r="AI461" s="39" t="str">
        <f t="shared" si="164"/>
        <v/>
      </c>
      <c r="AJ461" s="39" t="str">
        <f t="shared" si="165"/>
        <v/>
      </c>
      <c r="AK461" t="str">
        <f t="shared" si="166"/>
        <v/>
      </c>
      <c r="AL461" t="str">
        <f t="shared" si="167"/>
        <v/>
      </c>
    </row>
    <row r="462" spans="11:38" ht="15">
      <c r="K462" t="str">
        <f t="shared" si="147"/>
        <v/>
      </c>
      <c r="L462" t="str">
        <f t="shared" si="148"/>
        <v/>
      </c>
      <c r="M462" s="36" t="str">
        <f t="shared" si="149"/>
        <v/>
      </c>
      <c r="N462" s="37" t="str">
        <f t="shared" si="150"/>
        <v/>
      </c>
      <c r="O462" s="37" t="str">
        <f t="shared" si="151"/>
        <v/>
      </c>
      <c r="P462" s="38" t="str">
        <f t="shared" si="152"/>
        <v/>
      </c>
      <c r="Q462" s="39" t="str">
        <f t="shared" si="153"/>
        <v/>
      </c>
      <c r="R462" s="39" t="str">
        <f t="shared" si="154"/>
        <v/>
      </c>
      <c r="S462" t="str">
        <f t="shared" si="155"/>
        <v/>
      </c>
      <c r="T462" s="39" t="str">
        <f t="shared" si="156"/>
        <v/>
      </c>
      <c r="U462" t="str">
        <f t="shared" si="157"/>
        <v/>
      </c>
      <c r="V462" t="str">
        <f>IF(L462="","",IF($AO$1=1,IFERROR(MATCH(L462,'11-تشرين الثاني'!$L$2:$L$501,0),0),0))</f>
        <v/>
      </c>
      <c r="W462" t="str">
        <f t="shared" si="158"/>
        <v/>
      </c>
      <c r="X462" s="38" t="str">
        <f>IF(L462="","",IF(V462&gt;0,INDEX('11-تشرين الثاني'!$P$2:$P$501,V462),IF($AO$1=1,0,"")))</f>
        <v/>
      </c>
      <c r="Y462" s="38" t="str">
        <f t="shared" si="159"/>
        <v/>
      </c>
      <c r="Z462" s="39" t="str">
        <f>IF(L462="","",IF(V462&gt;0,INDEX('11-تشرين الثاني'!$Q$2:$Q$501,V462),IF($AO$1=1,0,"")))</f>
        <v/>
      </c>
      <c r="AA462" s="39" t="str">
        <f t="shared" si="160"/>
        <v/>
      </c>
      <c r="AB462" s="40" t="str">
        <f>IF(OR(L462="",V462=0),"",IF(AND(N(I462)&gt;0,N(INDEX('11-تشرين الثاني'!$I$2:$I$501,V462))&gt;0,INDEX('11-تشرين الثاني'!$F$2:$F$501,V462)=F462),N(I462)/N(INDEX('11-تشرين الثاني'!$I$2:$I$501,V462))-1,""))</f>
        <v/>
      </c>
      <c r="AC462" t="str">
        <f t="shared" si="161"/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62"/>
        <v/>
      </c>
      <c r="AH462" s="39" t="str">
        <f t="shared" si="163"/>
        <v/>
      </c>
      <c r="AI462" s="39" t="str">
        <f t="shared" si="164"/>
        <v/>
      </c>
      <c r="AJ462" s="39" t="str">
        <f t="shared" si="165"/>
        <v/>
      </c>
      <c r="AK462" t="str">
        <f t="shared" si="166"/>
        <v/>
      </c>
      <c r="AL462" t="str">
        <f t="shared" si="167"/>
        <v/>
      </c>
    </row>
    <row r="463" spans="11:38" ht="15">
      <c r="K463" t="str">
        <f t="shared" si="147"/>
        <v/>
      </c>
      <c r="L463" t="str">
        <f t="shared" si="148"/>
        <v/>
      </c>
      <c r="M463" s="36" t="str">
        <f t="shared" si="149"/>
        <v/>
      </c>
      <c r="N463" s="37" t="str">
        <f t="shared" si="150"/>
        <v/>
      </c>
      <c r="O463" s="37" t="str">
        <f t="shared" si="151"/>
        <v/>
      </c>
      <c r="P463" s="38" t="str">
        <f t="shared" si="152"/>
        <v/>
      </c>
      <c r="Q463" s="39" t="str">
        <f t="shared" si="153"/>
        <v/>
      </c>
      <c r="R463" s="39" t="str">
        <f t="shared" si="154"/>
        <v/>
      </c>
      <c r="S463" t="str">
        <f t="shared" si="155"/>
        <v/>
      </c>
      <c r="T463" s="39" t="str">
        <f t="shared" si="156"/>
        <v/>
      </c>
      <c r="U463" t="str">
        <f t="shared" si="157"/>
        <v/>
      </c>
      <c r="V463" t="str">
        <f>IF(L463="","",IF($AO$1=1,IFERROR(MATCH(L463,'11-تشرين الثاني'!$L$2:$L$501,0),0),0))</f>
        <v/>
      </c>
      <c r="W463" t="str">
        <f t="shared" si="158"/>
        <v/>
      </c>
      <c r="X463" s="38" t="str">
        <f>IF(L463="","",IF(V463&gt;0,INDEX('11-تشرين الثاني'!$P$2:$P$501,V463),IF($AO$1=1,0,"")))</f>
        <v/>
      </c>
      <c r="Y463" s="38" t="str">
        <f t="shared" si="159"/>
        <v/>
      </c>
      <c r="Z463" s="39" t="str">
        <f>IF(L463="","",IF(V463&gt;0,INDEX('11-تشرين الثاني'!$Q$2:$Q$501,V463),IF($AO$1=1,0,"")))</f>
        <v/>
      </c>
      <c r="AA463" s="39" t="str">
        <f t="shared" si="160"/>
        <v/>
      </c>
      <c r="AB463" s="40" t="str">
        <f>IF(OR(L463="",V463=0),"",IF(AND(N(I463)&gt;0,N(INDEX('11-تشرين الثاني'!$I$2:$I$501,V463))&gt;0,INDEX('11-تشرين الثاني'!$F$2:$F$501,V463)=F463),N(I463)/N(INDEX('11-تشرين الثاني'!$I$2:$I$501,V463))-1,""))</f>
        <v/>
      </c>
      <c r="AC463" t="str">
        <f t="shared" si="161"/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62"/>
        <v/>
      </c>
      <c r="AH463" s="39" t="str">
        <f t="shared" si="163"/>
        <v/>
      </c>
      <c r="AI463" s="39" t="str">
        <f t="shared" si="164"/>
        <v/>
      </c>
      <c r="AJ463" s="39" t="str">
        <f t="shared" si="165"/>
        <v/>
      </c>
      <c r="AK463" t="str">
        <f t="shared" si="166"/>
        <v/>
      </c>
      <c r="AL463" t="str">
        <f t="shared" si="167"/>
        <v/>
      </c>
    </row>
    <row r="464" spans="11:38" ht="15">
      <c r="K464" t="str">
        <f t="shared" si="147"/>
        <v/>
      </c>
      <c r="L464" t="str">
        <f t="shared" si="148"/>
        <v/>
      </c>
      <c r="M464" s="36" t="str">
        <f t="shared" si="149"/>
        <v/>
      </c>
      <c r="N464" s="37" t="str">
        <f t="shared" si="150"/>
        <v/>
      </c>
      <c r="O464" s="37" t="str">
        <f t="shared" si="151"/>
        <v/>
      </c>
      <c r="P464" s="38" t="str">
        <f t="shared" si="152"/>
        <v/>
      </c>
      <c r="Q464" s="39" t="str">
        <f t="shared" si="153"/>
        <v/>
      </c>
      <c r="R464" s="39" t="str">
        <f t="shared" si="154"/>
        <v/>
      </c>
      <c r="S464" t="str">
        <f t="shared" si="155"/>
        <v/>
      </c>
      <c r="T464" s="39" t="str">
        <f t="shared" si="156"/>
        <v/>
      </c>
      <c r="U464" t="str">
        <f t="shared" si="157"/>
        <v/>
      </c>
      <c r="V464" t="str">
        <f>IF(L464="","",IF($AO$1=1,IFERROR(MATCH(L464,'11-تشرين الثاني'!$L$2:$L$501,0),0),0))</f>
        <v/>
      </c>
      <c r="W464" t="str">
        <f t="shared" si="158"/>
        <v/>
      </c>
      <c r="X464" s="38" t="str">
        <f>IF(L464="","",IF(V464&gt;0,INDEX('11-تشرين الثاني'!$P$2:$P$501,V464),IF($AO$1=1,0,"")))</f>
        <v/>
      </c>
      <c r="Y464" s="38" t="str">
        <f t="shared" si="159"/>
        <v/>
      </c>
      <c r="Z464" s="39" t="str">
        <f>IF(L464="","",IF(V464&gt;0,INDEX('11-تشرين الثاني'!$Q$2:$Q$501,V464),IF($AO$1=1,0,"")))</f>
        <v/>
      </c>
      <c r="AA464" s="39" t="str">
        <f t="shared" si="160"/>
        <v/>
      </c>
      <c r="AB464" s="40" t="str">
        <f>IF(OR(L464="",V464=0),"",IF(AND(N(I464)&gt;0,N(INDEX('11-تشرين الثاني'!$I$2:$I$501,V464))&gt;0,INDEX('11-تشرين الثاني'!$F$2:$F$501,V464)=F464),N(I464)/N(INDEX('11-تشرين الثاني'!$I$2:$I$501,V464))-1,""))</f>
        <v/>
      </c>
      <c r="AC464" t="str">
        <f t="shared" si="161"/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62"/>
        <v/>
      </c>
      <c r="AH464" s="39" t="str">
        <f t="shared" si="163"/>
        <v/>
      </c>
      <c r="AI464" s="39" t="str">
        <f t="shared" si="164"/>
        <v/>
      </c>
      <c r="AJ464" s="39" t="str">
        <f t="shared" si="165"/>
        <v/>
      </c>
      <c r="AK464" t="str">
        <f t="shared" si="166"/>
        <v/>
      </c>
      <c r="AL464" t="str">
        <f t="shared" si="167"/>
        <v/>
      </c>
    </row>
    <row r="465" spans="11:38" ht="15">
      <c r="K465" t="str">
        <f t="shared" si="147"/>
        <v/>
      </c>
      <c r="L465" t="str">
        <f t="shared" si="148"/>
        <v/>
      </c>
      <c r="M465" s="36" t="str">
        <f t="shared" si="149"/>
        <v/>
      </c>
      <c r="N465" s="37" t="str">
        <f t="shared" si="150"/>
        <v/>
      </c>
      <c r="O465" s="37" t="str">
        <f t="shared" si="151"/>
        <v/>
      </c>
      <c r="P465" s="38" t="str">
        <f t="shared" si="152"/>
        <v/>
      </c>
      <c r="Q465" s="39" t="str">
        <f t="shared" si="153"/>
        <v/>
      </c>
      <c r="R465" s="39" t="str">
        <f t="shared" si="154"/>
        <v/>
      </c>
      <c r="S465" t="str">
        <f t="shared" si="155"/>
        <v/>
      </c>
      <c r="T465" s="39" t="str">
        <f t="shared" si="156"/>
        <v/>
      </c>
      <c r="U465" t="str">
        <f t="shared" si="157"/>
        <v/>
      </c>
      <c r="V465" t="str">
        <f>IF(L465="","",IF($AO$1=1,IFERROR(MATCH(L465,'11-تشرين الثاني'!$L$2:$L$501,0),0),0))</f>
        <v/>
      </c>
      <c r="W465" t="str">
        <f t="shared" si="158"/>
        <v/>
      </c>
      <c r="X465" s="38" t="str">
        <f>IF(L465="","",IF(V465&gt;0,INDEX('11-تشرين الثاني'!$P$2:$P$501,V465),IF($AO$1=1,0,"")))</f>
        <v/>
      </c>
      <c r="Y465" s="38" t="str">
        <f t="shared" si="159"/>
        <v/>
      </c>
      <c r="Z465" s="39" t="str">
        <f>IF(L465="","",IF(V465&gt;0,INDEX('11-تشرين الثاني'!$Q$2:$Q$501,V465),IF($AO$1=1,0,"")))</f>
        <v/>
      </c>
      <c r="AA465" s="39" t="str">
        <f t="shared" si="160"/>
        <v/>
      </c>
      <c r="AB465" s="40" t="str">
        <f>IF(OR(L465="",V465=0),"",IF(AND(N(I465)&gt;0,N(INDEX('11-تشرين الثاني'!$I$2:$I$501,V465))&gt;0,INDEX('11-تشرين الثاني'!$F$2:$F$501,V465)=F465),N(I465)/N(INDEX('11-تشرين الثاني'!$I$2:$I$501,V465))-1,""))</f>
        <v/>
      </c>
      <c r="AC465" t="str">
        <f t="shared" si="161"/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62"/>
        <v/>
      </c>
      <c r="AH465" s="39" t="str">
        <f t="shared" si="163"/>
        <v/>
      </c>
      <c r="AI465" s="39" t="str">
        <f t="shared" si="164"/>
        <v/>
      </c>
      <c r="AJ465" s="39" t="str">
        <f t="shared" si="165"/>
        <v/>
      </c>
      <c r="AK465" t="str">
        <f t="shared" si="166"/>
        <v/>
      </c>
      <c r="AL465" t="str">
        <f t="shared" si="167"/>
        <v/>
      </c>
    </row>
    <row r="466" spans="11:38" ht="15">
      <c r="K466" t="str">
        <f t="shared" si="147"/>
        <v/>
      </c>
      <c r="L466" t="str">
        <f t="shared" si="148"/>
        <v/>
      </c>
      <c r="M466" s="36" t="str">
        <f t="shared" si="149"/>
        <v/>
      </c>
      <c r="N466" s="37" t="str">
        <f t="shared" si="150"/>
        <v/>
      </c>
      <c r="O466" s="37" t="str">
        <f t="shared" si="151"/>
        <v/>
      </c>
      <c r="P466" s="38" t="str">
        <f t="shared" si="152"/>
        <v/>
      </c>
      <c r="Q466" s="39" t="str">
        <f t="shared" si="153"/>
        <v/>
      </c>
      <c r="R466" s="39" t="str">
        <f t="shared" si="154"/>
        <v/>
      </c>
      <c r="S466" t="str">
        <f t="shared" si="155"/>
        <v/>
      </c>
      <c r="T466" s="39" t="str">
        <f t="shared" si="156"/>
        <v/>
      </c>
      <c r="U466" t="str">
        <f t="shared" si="157"/>
        <v/>
      </c>
      <c r="V466" t="str">
        <f>IF(L466="","",IF($AO$1=1,IFERROR(MATCH(L466,'11-تشرين الثاني'!$L$2:$L$501,0),0),0))</f>
        <v/>
      </c>
      <c r="W466" t="str">
        <f t="shared" si="158"/>
        <v/>
      </c>
      <c r="X466" s="38" t="str">
        <f>IF(L466="","",IF(V466&gt;0,INDEX('11-تشرين الثاني'!$P$2:$P$501,V466),IF($AO$1=1,0,"")))</f>
        <v/>
      </c>
      <c r="Y466" s="38" t="str">
        <f t="shared" si="159"/>
        <v/>
      </c>
      <c r="Z466" s="39" t="str">
        <f>IF(L466="","",IF(V466&gt;0,INDEX('11-تشرين الثاني'!$Q$2:$Q$501,V466),IF($AO$1=1,0,"")))</f>
        <v/>
      </c>
      <c r="AA466" s="39" t="str">
        <f t="shared" si="160"/>
        <v/>
      </c>
      <c r="AB466" s="40" t="str">
        <f>IF(OR(L466="",V466=0),"",IF(AND(N(I466)&gt;0,N(INDEX('11-تشرين الثاني'!$I$2:$I$501,V466))&gt;0,INDEX('11-تشرين الثاني'!$F$2:$F$501,V466)=F466),N(I466)/N(INDEX('11-تشرين الثاني'!$I$2:$I$501,V466))-1,""))</f>
        <v/>
      </c>
      <c r="AC466" t="str">
        <f t="shared" si="161"/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62"/>
        <v/>
      </c>
      <c r="AH466" s="39" t="str">
        <f t="shared" si="163"/>
        <v/>
      </c>
      <c r="AI466" s="39" t="str">
        <f t="shared" si="164"/>
        <v/>
      </c>
      <c r="AJ466" s="39" t="str">
        <f t="shared" si="165"/>
        <v/>
      </c>
      <c r="AK466" t="str">
        <f t="shared" si="166"/>
        <v/>
      </c>
      <c r="AL466" t="str">
        <f t="shared" si="167"/>
        <v/>
      </c>
    </row>
    <row r="467" spans="11:38" ht="15">
      <c r="K467" t="str">
        <f t="shared" si="147"/>
        <v/>
      </c>
      <c r="L467" t="str">
        <f t="shared" si="148"/>
        <v/>
      </c>
      <c r="M467" s="36" t="str">
        <f t="shared" si="149"/>
        <v/>
      </c>
      <c r="N467" s="37" t="str">
        <f t="shared" si="150"/>
        <v/>
      </c>
      <c r="O467" s="37" t="str">
        <f t="shared" si="151"/>
        <v/>
      </c>
      <c r="P467" s="38" t="str">
        <f t="shared" si="152"/>
        <v/>
      </c>
      <c r="Q467" s="39" t="str">
        <f t="shared" si="153"/>
        <v/>
      </c>
      <c r="R467" s="39" t="str">
        <f t="shared" si="154"/>
        <v/>
      </c>
      <c r="S467" t="str">
        <f t="shared" si="155"/>
        <v/>
      </c>
      <c r="T467" s="39" t="str">
        <f t="shared" si="156"/>
        <v/>
      </c>
      <c r="U467" t="str">
        <f t="shared" si="157"/>
        <v/>
      </c>
      <c r="V467" t="str">
        <f>IF(L467="","",IF($AO$1=1,IFERROR(MATCH(L467,'11-تشرين الثاني'!$L$2:$L$501,0),0),0))</f>
        <v/>
      </c>
      <c r="W467" t="str">
        <f t="shared" si="158"/>
        <v/>
      </c>
      <c r="X467" s="38" t="str">
        <f>IF(L467="","",IF(V467&gt;0,INDEX('11-تشرين الثاني'!$P$2:$P$501,V467),IF($AO$1=1,0,"")))</f>
        <v/>
      </c>
      <c r="Y467" s="38" t="str">
        <f t="shared" si="159"/>
        <v/>
      </c>
      <c r="Z467" s="39" t="str">
        <f>IF(L467="","",IF(V467&gt;0,INDEX('11-تشرين الثاني'!$Q$2:$Q$501,V467),IF($AO$1=1,0,"")))</f>
        <v/>
      </c>
      <c r="AA467" s="39" t="str">
        <f t="shared" si="160"/>
        <v/>
      </c>
      <c r="AB467" s="40" t="str">
        <f>IF(OR(L467="",V467=0),"",IF(AND(N(I467)&gt;0,N(INDEX('11-تشرين الثاني'!$I$2:$I$501,V467))&gt;0,INDEX('11-تشرين الثاني'!$F$2:$F$501,V467)=F467),N(I467)/N(INDEX('11-تشرين الثاني'!$I$2:$I$501,V467))-1,""))</f>
        <v/>
      </c>
      <c r="AC467" t="str">
        <f t="shared" si="161"/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62"/>
        <v/>
      </c>
      <c r="AH467" s="39" t="str">
        <f t="shared" si="163"/>
        <v/>
      </c>
      <c r="AI467" s="39" t="str">
        <f t="shared" si="164"/>
        <v/>
      </c>
      <c r="AJ467" s="39" t="str">
        <f t="shared" si="165"/>
        <v/>
      </c>
      <c r="AK467" t="str">
        <f t="shared" si="166"/>
        <v/>
      </c>
      <c r="AL467" t="str">
        <f t="shared" si="167"/>
        <v/>
      </c>
    </row>
    <row r="468" spans="11:38" ht="15">
      <c r="K468" t="str">
        <f t="shared" si="147"/>
        <v/>
      </c>
      <c r="L468" t="str">
        <f t="shared" si="148"/>
        <v/>
      </c>
      <c r="M468" s="36" t="str">
        <f t="shared" si="149"/>
        <v/>
      </c>
      <c r="N468" s="37" t="str">
        <f t="shared" si="150"/>
        <v/>
      </c>
      <c r="O468" s="37" t="str">
        <f t="shared" si="151"/>
        <v/>
      </c>
      <c r="P468" s="38" t="str">
        <f t="shared" si="152"/>
        <v/>
      </c>
      <c r="Q468" s="39" t="str">
        <f t="shared" si="153"/>
        <v/>
      </c>
      <c r="R468" s="39" t="str">
        <f t="shared" si="154"/>
        <v/>
      </c>
      <c r="S468" t="str">
        <f t="shared" si="155"/>
        <v/>
      </c>
      <c r="T468" s="39" t="str">
        <f t="shared" si="156"/>
        <v/>
      </c>
      <c r="U468" t="str">
        <f t="shared" si="157"/>
        <v/>
      </c>
      <c r="V468" t="str">
        <f>IF(L468="","",IF($AO$1=1,IFERROR(MATCH(L468,'11-تشرين الثاني'!$L$2:$L$501,0),0),0))</f>
        <v/>
      </c>
      <c r="W468" t="str">
        <f t="shared" si="158"/>
        <v/>
      </c>
      <c r="X468" s="38" t="str">
        <f>IF(L468="","",IF(V468&gt;0,INDEX('11-تشرين الثاني'!$P$2:$P$501,V468),IF($AO$1=1,0,"")))</f>
        <v/>
      </c>
      <c r="Y468" s="38" t="str">
        <f t="shared" si="159"/>
        <v/>
      </c>
      <c r="Z468" s="39" t="str">
        <f>IF(L468="","",IF(V468&gt;0,INDEX('11-تشرين الثاني'!$Q$2:$Q$501,V468),IF($AO$1=1,0,"")))</f>
        <v/>
      </c>
      <c r="AA468" s="39" t="str">
        <f t="shared" si="160"/>
        <v/>
      </c>
      <c r="AB468" s="40" t="str">
        <f>IF(OR(L468="",V468=0),"",IF(AND(N(I468)&gt;0,N(INDEX('11-تشرين الثاني'!$I$2:$I$501,V468))&gt;0,INDEX('11-تشرين الثاني'!$F$2:$F$501,V468)=F468),N(I468)/N(INDEX('11-تشرين الثاني'!$I$2:$I$501,V468))-1,""))</f>
        <v/>
      </c>
      <c r="AC468" t="str">
        <f t="shared" si="161"/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62"/>
        <v/>
      </c>
      <c r="AH468" s="39" t="str">
        <f t="shared" si="163"/>
        <v/>
      </c>
      <c r="AI468" s="39" t="str">
        <f t="shared" si="164"/>
        <v/>
      </c>
      <c r="AJ468" s="39" t="str">
        <f t="shared" si="165"/>
        <v/>
      </c>
      <c r="AK468" t="str">
        <f t="shared" si="166"/>
        <v/>
      </c>
      <c r="AL468" t="str">
        <f t="shared" si="167"/>
        <v/>
      </c>
    </row>
    <row r="469" spans="11:38" ht="15">
      <c r="K469" t="str">
        <f t="shared" si="147"/>
        <v/>
      </c>
      <c r="L469" t="str">
        <f t="shared" si="148"/>
        <v/>
      </c>
      <c r="M469" s="36" t="str">
        <f t="shared" si="149"/>
        <v/>
      </c>
      <c r="N469" s="37" t="str">
        <f t="shared" si="150"/>
        <v/>
      </c>
      <c r="O469" s="37" t="str">
        <f t="shared" si="151"/>
        <v/>
      </c>
      <c r="P469" s="38" t="str">
        <f t="shared" si="152"/>
        <v/>
      </c>
      <c r="Q469" s="39" t="str">
        <f t="shared" si="153"/>
        <v/>
      </c>
      <c r="R469" s="39" t="str">
        <f t="shared" si="154"/>
        <v/>
      </c>
      <c r="S469" t="str">
        <f t="shared" si="155"/>
        <v/>
      </c>
      <c r="T469" s="39" t="str">
        <f t="shared" si="156"/>
        <v/>
      </c>
      <c r="U469" t="str">
        <f t="shared" si="157"/>
        <v/>
      </c>
      <c r="V469" t="str">
        <f>IF(L469="","",IF($AO$1=1,IFERROR(MATCH(L469,'11-تشرين الثاني'!$L$2:$L$501,0),0),0))</f>
        <v/>
      </c>
      <c r="W469" t="str">
        <f t="shared" si="158"/>
        <v/>
      </c>
      <c r="X469" s="38" t="str">
        <f>IF(L469="","",IF(V469&gt;0,INDEX('11-تشرين الثاني'!$P$2:$P$501,V469),IF($AO$1=1,0,"")))</f>
        <v/>
      </c>
      <c r="Y469" s="38" t="str">
        <f t="shared" si="159"/>
        <v/>
      </c>
      <c r="Z469" s="39" t="str">
        <f>IF(L469="","",IF(V469&gt;0,INDEX('11-تشرين الثاني'!$Q$2:$Q$501,V469),IF($AO$1=1,0,"")))</f>
        <v/>
      </c>
      <c r="AA469" s="39" t="str">
        <f t="shared" si="160"/>
        <v/>
      </c>
      <c r="AB469" s="40" t="str">
        <f>IF(OR(L469="",V469=0),"",IF(AND(N(I469)&gt;0,N(INDEX('11-تشرين الثاني'!$I$2:$I$501,V469))&gt;0,INDEX('11-تشرين الثاني'!$F$2:$F$501,V469)=F469),N(I469)/N(INDEX('11-تشرين الثاني'!$I$2:$I$501,V469))-1,""))</f>
        <v/>
      </c>
      <c r="AC469" t="str">
        <f t="shared" si="161"/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62"/>
        <v/>
      </c>
      <c r="AH469" s="39" t="str">
        <f t="shared" si="163"/>
        <v/>
      </c>
      <c r="AI469" s="39" t="str">
        <f t="shared" si="164"/>
        <v/>
      </c>
      <c r="AJ469" s="39" t="str">
        <f t="shared" si="165"/>
        <v/>
      </c>
      <c r="AK469" t="str">
        <f t="shared" si="166"/>
        <v/>
      </c>
      <c r="AL469" t="str">
        <f t="shared" si="167"/>
        <v/>
      </c>
    </row>
    <row r="470" spans="11:38" ht="15">
      <c r="K470" t="str">
        <f t="shared" si="147"/>
        <v/>
      </c>
      <c r="L470" t="str">
        <f t="shared" si="148"/>
        <v/>
      </c>
      <c r="M470" s="36" t="str">
        <f t="shared" si="149"/>
        <v/>
      </c>
      <c r="N470" s="37" t="str">
        <f t="shared" si="150"/>
        <v/>
      </c>
      <c r="O470" s="37" t="str">
        <f t="shared" si="151"/>
        <v/>
      </c>
      <c r="P470" s="38" t="str">
        <f t="shared" si="152"/>
        <v/>
      </c>
      <c r="Q470" s="39" t="str">
        <f t="shared" si="153"/>
        <v/>
      </c>
      <c r="R470" s="39" t="str">
        <f t="shared" si="154"/>
        <v/>
      </c>
      <c r="S470" t="str">
        <f t="shared" si="155"/>
        <v/>
      </c>
      <c r="T470" s="39" t="str">
        <f t="shared" si="156"/>
        <v/>
      </c>
      <c r="U470" t="str">
        <f t="shared" si="157"/>
        <v/>
      </c>
      <c r="V470" t="str">
        <f>IF(L470="","",IF($AO$1=1,IFERROR(MATCH(L470,'11-تشرين الثاني'!$L$2:$L$501,0),0),0))</f>
        <v/>
      </c>
      <c r="W470" t="str">
        <f t="shared" si="158"/>
        <v/>
      </c>
      <c r="X470" s="38" t="str">
        <f>IF(L470="","",IF(V470&gt;0,INDEX('11-تشرين الثاني'!$P$2:$P$501,V470),IF($AO$1=1,0,"")))</f>
        <v/>
      </c>
      <c r="Y470" s="38" t="str">
        <f t="shared" si="159"/>
        <v/>
      </c>
      <c r="Z470" s="39" t="str">
        <f>IF(L470="","",IF(V470&gt;0,INDEX('11-تشرين الثاني'!$Q$2:$Q$501,V470),IF($AO$1=1,0,"")))</f>
        <v/>
      </c>
      <c r="AA470" s="39" t="str">
        <f t="shared" si="160"/>
        <v/>
      </c>
      <c r="AB470" s="40" t="str">
        <f>IF(OR(L470="",V470=0),"",IF(AND(N(I470)&gt;0,N(INDEX('11-تشرين الثاني'!$I$2:$I$501,V470))&gt;0,INDEX('11-تشرين الثاني'!$F$2:$F$501,V470)=F470),N(I470)/N(INDEX('11-تشرين الثاني'!$I$2:$I$501,V470))-1,""))</f>
        <v/>
      </c>
      <c r="AC470" t="str">
        <f t="shared" si="161"/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62"/>
        <v/>
      </c>
      <c r="AH470" s="39" t="str">
        <f t="shared" si="163"/>
        <v/>
      </c>
      <c r="AI470" s="39" t="str">
        <f t="shared" si="164"/>
        <v/>
      </c>
      <c r="AJ470" s="39" t="str">
        <f t="shared" si="165"/>
        <v/>
      </c>
      <c r="AK470" t="str">
        <f t="shared" si="166"/>
        <v/>
      </c>
      <c r="AL470" t="str">
        <f t="shared" si="167"/>
        <v/>
      </c>
    </row>
    <row r="471" spans="11:38" ht="15">
      <c r="K471" t="str">
        <f t="shared" si="147"/>
        <v/>
      </c>
      <c r="L471" t="str">
        <f t="shared" si="148"/>
        <v/>
      </c>
      <c r="M471" s="36" t="str">
        <f t="shared" si="149"/>
        <v/>
      </c>
      <c r="N471" s="37" t="str">
        <f t="shared" si="150"/>
        <v/>
      </c>
      <c r="O471" s="37" t="str">
        <f t="shared" si="151"/>
        <v/>
      </c>
      <c r="P471" s="38" t="str">
        <f t="shared" si="152"/>
        <v/>
      </c>
      <c r="Q471" s="39" t="str">
        <f t="shared" si="153"/>
        <v/>
      </c>
      <c r="R471" s="39" t="str">
        <f t="shared" si="154"/>
        <v/>
      </c>
      <c r="S471" t="str">
        <f t="shared" si="155"/>
        <v/>
      </c>
      <c r="T471" s="39" t="str">
        <f t="shared" si="156"/>
        <v/>
      </c>
      <c r="U471" t="str">
        <f t="shared" si="157"/>
        <v/>
      </c>
      <c r="V471" t="str">
        <f>IF(L471="","",IF($AO$1=1,IFERROR(MATCH(L471,'11-تشرين الثاني'!$L$2:$L$501,0),0),0))</f>
        <v/>
      </c>
      <c r="W471" t="str">
        <f t="shared" si="158"/>
        <v/>
      </c>
      <c r="X471" s="38" t="str">
        <f>IF(L471="","",IF(V471&gt;0,INDEX('11-تشرين الثاني'!$P$2:$P$501,V471),IF($AO$1=1,0,"")))</f>
        <v/>
      </c>
      <c r="Y471" s="38" t="str">
        <f t="shared" si="159"/>
        <v/>
      </c>
      <c r="Z471" s="39" t="str">
        <f>IF(L471="","",IF(V471&gt;0,INDEX('11-تشرين الثاني'!$Q$2:$Q$501,V471),IF($AO$1=1,0,"")))</f>
        <v/>
      </c>
      <c r="AA471" s="39" t="str">
        <f t="shared" si="160"/>
        <v/>
      </c>
      <c r="AB471" s="40" t="str">
        <f>IF(OR(L471="",V471=0),"",IF(AND(N(I471)&gt;0,N(INDEX('11-تشرين الثاني'!$I$2:$I$501,V471))&gt;0,INDEX('11-تشرين الثاني'!$F$2:$F$501,V471)=F471),N(I471)/N(INDEX('11-تشرين الثاني'!$I$2:$I$501,V471))-1,""))</f>
        <v/>
      </c>
      <c r="AC471" t="str">
        <f t="shared" si="161"/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62"/>
        <v/>
      </c>
      <c r="AH471" s="39" t="str">
        <f t="shared" si="163"/>
        <v/>
      </c>
      <c r="AI471" s="39" t="str">
        <f t="shared" si="164"/>
        <v/>
      </c>
      <c r="AJ471" s="39" t="str">
        <f t="shared" si="165"/>
        <v/>
      </c>
      <c r="AK471" t="str">
        <f t="shared" si="166"/>
        <v/>
      </c>
      <c r="AL471" t="str">
        <f t="shared" si="167"/>
        <v/>
      </c>
    </row>
    <row r="472" spans="11:38" ht="15">
      <c r="K472" t="str">
        <f t="shared" si="147"/>
        <v/>
      </c>
      <c r="L472" t="str">
        <f t="shared" si="148"/>
        <v/>
      </c>
      <c r="M472" s="36" t="str">
        <f t="shared" si="149"/>
        <v/>
      </c>
      <c r="N472" s="37" t="str">
        <f t="shared" si="150"/>
        <v/>
      </c>
      <c r="O472" s="37" t="str">
        <f t="shared" si="151"/>
        <v/>
      </c>
      <c r="P472" s="38" t="str">
        <f t="shared" si="152"/>
        <v/>
      </c>
      <c r="Q472" s="39" t="str">
        <f t="shared" si="153"/>
        <v/>
      </c>
      <c r="R472" s="39" t="str">
        <f t="shared" si="154"/>
        <v/>
      </c>
      <c r="S472" t="str">
        <f t="shared" si="155"/>
        <v/>
      </c>
      <c r="T472" s="39" t="str">
        <f t="shared" si="156"/>
        <v/>
      </c>
      <c r="U472" t="str">
        <f t="shared" si="157"/>
        <v/>
      </c>
      <c r="V472" t="str">
        <f>IF(L472="","",IF($AO$1=1,IFERROR(MATCH(L472,'11-تشرين الثاني'!$L$2:$L$501,0),0),0))</f>
        <v/>
      </c>
      <c r="W472" t="str">
        <f t="shared" si="158"/>
        <v/>
      </c>
      <c r="X472" s="38" t="str">
        <f>IF(L472="","",IF(V472&gt;0,INDEX('11-تشرين الثاني'!$P$2:$P$501,V472),IF($AO$1=1,0,"")))</f>
        <v/>
      </c>
      <c r="Y472" s="38" t="str">
        <f t="shared" si="159"/>
        <v/>
      </c>
      <c r="Z472" s="39" t="str">
        <f>IF(L472="","",IF(V472&gt;0,INDEX('11-تشرين الثاني'!$Q$2:$Q$501,V472),IF($AO$1=1,0,"")))</f>
        <v/>
      </c>
      <c r="AA472" s="39" t="str">
        <f t="shared" si="160"/>
        <v/>
      </c>
      <c r="AB472" s="40" t="str">
        <f>IF(OR(L472="",V472=0),"",IF(AND(N(I472)&gt;0,N(INDEX('11-تشرين الثاني'!$I$2:$I$501,V472))&gt;0,INDEX('11-تشرين الثاني'!$F$2:$F$501,V472)=F472),N(I472)/N(INDEX('11-تشرين الثاني'!$I$2:$I$501,V472))-1,""))</f>
        <v/>
      </c>
      <c r="AC472" t="str">
        <f t="shared" si="161"/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62"/>
        <v/>
      </c>
      <c r="AH472" s="39" t="str">
        <f t="shared" si="163"/>
        <v/>
      </c>
      <c r="AI472" s="39" t="str">
        <f t="shared" si="164"/>
        <v/>
      </c>
      <c r="AJ472" s="39" t="str">
        <f t="shared" si="165"/>
        <v/>
      </c>
      <c r="AK472" t="str">
        <f t="shared" si="166"/>
        <v/>
      </c>
      <c r="AL472" t="str">
        <f t="shared" si="167"/>
        <v/>
      </c>
    </row>
    <row r="473" spans="11:38" ht="15">
      <c r="K473" t="str">
        <f t="shared" si="147"/>
        <v/>
      </c>
      <c r="L473" t="str">
        <f t="shared" si="148"/>
        <v/>
      </c>
      <c r="M473" s="36" t="str">
        <f t="shared" si="149"/>
        <v/>
      </c>
      <c r="N473" s="37" t="str">
        <f t="shared" si="150"/>
        <v/>
      </c>
      <c r="O473" s="37" t="str">
        <f t="shared" si="151"/>
        <v/>
      </c>
      <c r="P473" s="38" t="str">
        <f t="shared" si="152"/>
        <v/>
      </c>
      <c r="Q473" s="39" t="str">
        <f t="shared" si="153"/>
        <v/>
      </c>
      <c r="R473" s="39" t="str">
        <f t="shared" si="154"/>
        <v/>
      </c>
      <c r="S473" t="str">
        <f t="shared" si="155"/>
        <v/>
      </c>
      <c r="T473" s="39" t="str">
        <f t="shared" si="156"/>
        <v/>
      </c>
      <c r="U473" t="str">
        <f t="shared" si="157"/>
        <v/>
      </c>
      <c r="V473" t="str">
        <f>IF(L473="","",IF($AO$1=1,IFERROR(MATCH(L473,'11-تشرين الثاني'!$L$2:$L$501,0),0),0))</f>
        <v/>
      </c>
      <c r="W473" t="str">
        <f t="shared" si="158"/>
        <v/>
      </c>
      <c r="X473" s="38" t="str">
        <f>IF(L473="","",IF(V473&gt;0,INDEX('11-تشرين الثاني'!$P$2:$P$501,V473),IF($AO$1=1,0,"")))</f>
        <v/>
      </c>
      <c r="Y473" s="38" t="str">
        <f t="shared" si="159"/>
        <v/>
      </c>
      <c r="Z473" s="39" t="str">
        <f>IF(L473="","",IF(V473&gt;0,INDEX('11-تشرين الثاني'!$Q$2:$Q$501,V473),IF($AO$1=1,0,"")))</f>
        <v/>
      </c>
      <c r="AA473" s="39" t="str">
        <f t="shared" si="160"/>
        <v/>
      </c>
      <c r="AB473" s="40" t="str">
        <f>IF(OR(L473="",V473=0),"",IF(AND(N(I473)&gt;0,N(INDEX('11-تشرين الثاني'!$I$2:$I$501,V473))&gt;0,INDEX('11-تشرين الثاني'!$F$2:$F$501,V473)=F473),N(I473)/N(INDEX('11-تشرين الثاني'!$I$2:$I$501,V473))-1,""))</f>
        <v/>
      </c>
      <c r="AC473" t="str">
        <f t="shared" si="161"/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62"/>
        <v/>
      </c>
      <c r="AH473" s="39" t="str">
        <f t="shared" si="163"/>
        <v/>
      </c>
      <c r="AI473" s="39" t="str">
        <f t="shared" si="164"/>
        <v/>
      </c>
      <c r="AJ473" s="39" t="str">
        <f t="shared" si="165"/>
        <v/>
      </c>
      <c r="AK473" t="str">
        <f t="shared" si="166"/>
        <v/>
      </c>
      <c r="AL473" t="str">
        <f t="shared" si="167"/>
        <v/>
      </c>
    </row>
    <row r="474" spans="11:38" ht="15">
      <c r="K474" t="str">
        <f t="shared" si="147"/>
        <v/>
      </c>
      <c r="L474" t="str">
        <f t="shared" si="148"/>
        <v/>
      </c>
      <c r="M474" s="36" t="str">
        <f t="shared" si="149"/>
        <v/>
      </c>
      <c r="N474" s="37" t="str">
        <f t="shared" si="150"/>
        <v/>
      </c>
      <c r="O474" s="37" t="str">
        <f t="shared" si="151"/>
        <v/>
      </c>
      <c r="P474" s="38" t="str">
        <f t="shared" si="152"/>
        <v/>
      </c>
      <c r="Q474" s="39" t="str">
        <f t="shared" si="153"/>
        <v/>
      </c>
      <c r="R474" s="39" t="str">
        <f t="shared" si="154"/>
        <v/>
      </c>
      <c r="S474" t="str">
        <f t="shared" si="155"/>
        <v/>
      </c>
      <c r="T474" s="39" t="str">
        <f t="shared" si="156"/>
        <v/>
      </c>
      <c r="U474" t="str">
        <f t="shared" si="157"/>
        <v/>
      </c>
      <c r="V474" t="str">
        <f>IF(L474="","",IF($AO$1=1,IFERROR(MATCH(L474,'11-تشرين الثاني'!$L$2:$L$501,0),0),0))</f>
        <v/>
      </c>
      <c r="W474" t="str">
        <f t="shared" si="158"/>
        <v/>
      </c>
      <c r="X474" s="38" t="str">
        <f>IF(L474="","",IF(V474&gt;0,INDEX('11-تشرين الثاني'!$P$2:$P$501,V474),IF($AO$1=1,0,"")))</f>
        <v/>
      </c>
      <c r="Y474" s="38" t="str">
        <f t="shared" si="159"/>
        <v/>
      </c>
      <c r="Z474" s="39" t="str">
        <f>IF(L474="","",IF(V474&gt;0,INDEX('11-تشرين الثاني'!$Q$2:$Q$501,V474),IF($AO$1=1,0,"")))</f>
        <v/>
      </c>
      <c r="AA474" s="39" t="str">
        <f t="shared" si="160"/>
        <v/>
      </c>
      <c r="AB474" s="40" t="str">
        <f>IF(OR(L474="",V474=0),"",IF(AND(N(I474)&gt;0,N(INDEX('11-تشرين الثاني'!$I$2:$I$501,V474))&gt;0,INDEX('11-تشرين الثاني'!$F$2:$F$501,V474)=F474),N(I474)/N(INDEX('11-تشرين الثاني'!$I$2:$I$501,V474))-1,""))</f>
        <v/>
      </c>
      <c r="AC474" t="str">
        <f t="shared" si="161"/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62"/>
        <v/>
      </c>
      <c r="AH474" s="39" t="str">
        <f t="shared" si="163"/>
        <v/>
      </c>
      <c r="AI474" s="39" t="str">
        <f t="shared" si="164"/>
        <v/>
      </c>
      <c r="AJ474" s="39" t="str">
        <f t="shared" si="165"/>
        <v/>
      </c>
      <c r="AK474" t="str">
        <f t="shared" si="166"/>
        <v/>
      </c>
      <c r="AL474" t="str">
        <f t="shared" si="167"/>
        <v/>
      </c>
    </row>
    <row r="475" spans="11:38" ht="15">
      <c r="K475" t="str">
        <f t="shared" si="147"/>
        <v/>
      </c>
      <c r="L475" t="str">
        <f t="shared" si="148"/>
        <v/>
      </c>
      <c r="M475" s="36" t="str">
        <f t="shared" si="149"/>
        <v/>
      </c>
      <c r="N475" s="37" t="str">
        <f t="shared" si="150"/>
        <v/>
      </c>
      <c r="O475" s="37" t="str">
        <f t="shared" si="151"/>
        <v/>
      </c>
      <c r="P475" s="38" t="str">
        <f t="shared" si="152"/>
        <v/>
      </c>
      <c r="Q475" s="39" t="str">
        <f t="shared" si="153"/>
        <v/>
      </c>
      <c r="R475" s="39" t="str">
        <f t="shared" si="154"/>
        <v/>
      </c>
      <c r="S475" t="str">
        <f t="shared" si="155"/>
        <v/>
      </c>
      <c r="T475" s="39" t="str">
        <f t="shared" si="156"/>
        <v/>
      </c>
      <c r="U475" t="str">
        <f t="shared" si="157"/>
        <v/>
      </c>
      <c r="V475" t="str">
        <f>IF(L475="","",IF($AO$1=1,IFERROR(MATCH(L475,'11-تشرين الثاني'!$L$2:$L$501,0),0),0))</f>
        <v/>
      </c>
      <c r="W475" t="str">
        <f t="shared" si="158"/>
        <v/>
      </c>
      <c r="X475" s="38" t="str">
        <f>IF(L475="","",IF(V475&gt;0,INDEX('11-تشرين الثاني'!$P$2:$P$501,V475),IF($AO$1=1,0,"")))</f>
        <v/>
      </c>
      <c r="Y475" s="38" t="str">
        <f t="shared" si="159"/>
        <v/>
      </c>
      <c r="Z475" s="39" t="str">
        <f>IF(L475="","",IF(V475&gt;0,INDEX('11-تشرين الثاني'!$Q$2:$Q$501,V475),IF($AO$1=1,0,"")))</f>
        <v/>
      </c>
      <c r="AA475" s="39" t="str">
        <f t="shared" si="160"/>
        <v/>
      </c>
      <c r="AB475" s="40" t="str">
        <f>IF(OR(L475="",V475=0),"",IF(AND(N(I475)&gt;0,N(INDEX('11-تشرين الثاني'!$I$2:$I$501,V475))&gt;0,INDEX('11-تشرين الثاني'!$F$2:$F$501,V475)=F475),N(I475)/N(INDEX('11-تشرين الثاني'!$I$2:$I$501,V475))-1,""))</f>
        <v/>
      </c>
      <c r="AC475" t="str">
        <f t="shared" si="161"/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62"/>
        <v/>
      </c>
      <c r="AH475" s="39" t="str">
        <f t="shared" si="163"/>
        <v/>
      </c>
      <c r="AI475" s="39" t="str">
        <f t="shared" si="164"/>
        <v/>
      </c>
      <c r="AJ475" s="39" t="str">
        <f t="shared" si="165"/>
        <v/>
      </c>
      <c r="AK475" t="str">
        <f t="shared" si="166"/>
        <v/>
      </c>
      <c r="AL475" t="str">
        <f t="shared" si="167"/>
        <v/>
      </c>
    </row>
    <row r="476" spans="11:38" ht="15">
      <c r="K476" t="str">
        <f t="shared" si="147"/>
        <v/>
      </c>
      <c r="L476" t="str">
        <f t="shared" si="148"/>
        <v/>
      </c>
      <c r="M476" s="36" t="str">
        <f t="shared" si="149"/>
        <v/>
      </c>
      <c r="N476" s="37" t="str">
        <f t="shared" si="150"/>
        <v/>
      </c>
      <c r="O476" s="37" t="str">
        <f t="shared" si="151"/>
        <v/>
      </c>
      <c r="P476" s="38" t="str">
        <f t="shared" si="152"/>
        <v/>
      </c>
      <c r="Q476" s="39" t="str">
        <f t="shared" si="153"/>
        <v/>
      </c>
      <c r="R476" s="39" t="str">
        <f t="shared" si="154"/>
        <v/>
      </c>
      <c r="S476" t="str">
        <f t="shared" si="155"/>
        <v/>
      </c>
      <c r="T476" s="39" t="str">
        <f t="shared" si="156"/>
        <v/>
      </c>
      <c r="U476" t="str">
        <f t="shared" si="157"/>
        <v/>
      </c>
      <c r="V476" t="str">
        <f>IF(L476="","",IF($AO$1=1,IFERROR(MATCH(L476,'11-تشرين الثاني'!$L$2:$L$501,0),0),0))</f>
        <v/>
      </c>
      <c r="W476" t="str">
        <f t="shared" si="158"/>
        <v/>
      </c>
      <c r="X476" s="38" t="str">
        <f>IF(L476="","",IF(V476&gt;0,INDEX('11-تشرين الثاني'!$P$2:$P$501,V476),IF($AO$1=1,0,"")))</f>
        <v/>
      </c>
      <c r="Y476" s="38" t="str">
        <f t="shared" si="159"/>
        <v/>
      </c>
      <c r="Z476" s="39" t="str">
        <f>IF(L476="","",IF(V476&gt;0,INDEX('11-تشرين الثاني'!$Q$2:$Q$501,V476),IF($AO$1=1,0,"")))</f>
        <v/>
      </c>
      <c r="AA476" s="39" t="str">
        <f t="shared" si="160"/>
        <v/>
      </c>
      <c r="AB476" s="40" t="str">
        <f>IF(OR(L476="",V476=0),"",IF(AND(N(I476)&gt;0,N(INDEX('11-تشرين الثاني'!$I$2:$I$501,V476))&gt;0,INDEX('11-تشرين الثاني'!$F$2:$F$501,V476)=F476),N(I476)/N(INDEX('11-تشرين الثاني'!$I$2:$I$501,V476))-1,""))</f>
        <v/>
      </c>
      <c r="AC476" t="str">
        <f t="shared" si="161"/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62"/>
        <v/>
      </c>
      <c r="AH476" s="39" t="str">
        <f t="shared" si="163"/>
        <v/>
      </c>
      <c r="AI476" s="39" t="str">
        <f t="shared" si="164"/>
        <v/>
      </c>
      <c r="AJ476" s="39" t="str">
        <f t="shared" si="165"/>
        <v/>
      </c>
      <c r="AK476" t="str">
        <f t="shared" si="166"/>
        <v/>
      </c>
      <c r="AL476" t="str">
        <f t="shared" si="167"/>
        <v/>
      </c>
    </row>
    <row r="477" spans="11:38" ht="15">
      <c r="K477" t="str">
        <f t="shared" si="147"/>
        <v/>
      </c>
      <c r="L477" t="str">
        <f t="shared" si="148"/>
        <v/>
      </c>
      <c r="M477" s="36" t="str">
        <f t="shared" si="149"/>
        <v/>
      </c>
      <c r="N477" s="37" t="str">
        <f t="shared" si="150"/>
        <v/>
      </c>
      <c r="O477" s="37" t="str">
        <f t="shared" si="151"/>
        <v/>
      </c>
      <c r="P477" s="38" t="str">
        <f t="shared" si="152"/>
        <v/>
      </c>
      <c r="Q477" s="39" t="str">
        <f t="shared" si="153"/>
        <v/>
      </c>
      <c r="R477" s="39" t="str">
        <f t="shared" si="154"/>
        <v/>
      </c>
      <c r="S477" t="str">
        <f t="shared" si="155"/>
        <v/>
      </c>
      <c r="T477" s="39" t="str">
        <f t="shared" si="156"/>
        <v/>
      </c>
      <c r="U477" t="str">
        <f t="shared" si="157"/>
        <v/>
      </c>
      <c r="V477" t="str">
        <f>IF(L477="","",IF($AO$1=1,IFERROR(MATCH(L477,'11-تشرين الثاني'!$L$2:$L$501,0),0),0))</f>
        <v/>
      </c>
      <c r="W477" t="str">
        <f t="shared" si="158"/>
        <v/>
      </c>
      <c r="X477" s="38" t="str">
        <f>IF(L477="","",IF(V477&gt;0,INDEX('11-تشرين الثاني'!$P$2:$P$501,V477),IF($AO$1=1,0,"")))</f>
        <v/>
      </c>
      <c r="Y477" s="38" t="str">
        <f t="shared" si="159"/>
        <v/>
      </c>
      <c r="Z477" s="39" t="str">
        <f>IF(L477="","",IF(V477&gt;0,INDEX('11-تشرين الثاني'!$Q$2:$Q$501,V477),IF($AO$1=1,0,"")))</f>
        <v/>
      </c>
      <c r="AA477" s="39" t="str">
        <f t="shared" si="160"/>
        <v/>
      </c>
      <c r="AB477" s="40" t="str">
        <f>IF(OR(L477="",V477=0),"",IF(AND(N(I477)&gt;0,N(INDEX('11-تشرين الثاني'!$I$2:$I$501,V477))&gt;0,INDEX('11-تشرين الثاني'!$F$2:$F$501,V477)=F477),N(I477)/N(INDEX('11-تشرين الثاني'!$I$2:$I$501,V477))-1,""))</f>
        <v/>
      </c>
      <c r="AC477" t="str">
        <f t="shared" si="161"/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62"/>
        <v/>
      </c>
      <c r="AH477" s="39" t="str">
        <f t="shared" si="163"/>
        <v/>
      </c>
      <c r="AI477" s="39" t="str">
        <f t="shared" si="164"/>
        <v/>
      </c>
      <c r="AJ477" s="39" t="str">
        <f t="shared" si="165"/>
        <v/>
      </c>
      <c r="AK477" t="str">
        <f t="shared" si="166"/>
        <v/>
      </c>
      <c r="AL477" t="str">
        <f t="shared" si="167"/>
        <v/>
      </c>
    </row>
    <row r="478" spans="11:38" ht="15">
      <c r="K478" t="str">
        <f t="shared" si="147"/>
        <v/>
      </c>
      <c r="L478" t="str">
        <f t="shared" si="148"/>
        <v/>
      </c>
      <c r="M478" s="36" t="str">
        <f t="shared" si="149"/>
        <v/>
      </c>
      <c r="N478" s="37" t="str">
        <f t="shared" si="150"/>
        <v/>
      </c>
      <c r="O478" s="37" t="str">
        <f t="shared" si="151"/>
        <v/>
      </c>
      <c r="P478" s="38" t="str">
        <f t="shared" si="152"/>
        <v/>
      </c>
      <c r="Q478" s="39" t="str">
        <f t="shared" si="153"/>
        <v/>
      </c>
      <c r="R478" s="39" t="str">
        <f t="shared" si="154"/>
        <v/>
      </c>
      <c r="S478" t="str">
        <f t="shared" si="155"/>
        <v/>
      </c>
      <c r="T478" s="39" t="str">
        <f t="shared" si="156"/>
        <v/>
      </c>
      <c r="U478" t="str">
        <f t="shared" si="157"/>
        <v/>
      </c>
      <c r="V478" t="str">
        <f>IF(L478="","",IF($AO$1=1,IFERROR(MATCH(L478,'11-تشرين الثاني'!$L$2:$L$501,0),0),0))</f>
        <v/>
      </c>
      <c r="W478" t="str">
        <f t="shared" si="158"/>
        <v/>
      </c>
      <c r="X478" s="38" t="str">
        <f>IF(L478="","",IF(V478&gt;0,INDEX('11-تشرين الثاني'!$P$2:$P$501,V478),IF($AO$1=1,0,"")))</f>
        <v/>
      </c>
      <c r="Y478" s="38" t="str">
        <f t="shared" si="159"/>
        <v/>
      </c>
      <c r="Z478" s="39" t="str">
        <f>IF(L478="","",IF(V478&gt;0,INDEX('11-تشرين الثاني'!$Q$2:$Q$501,V478),IF($AO$1=1,0,"")))</f>
        <v/>
      </c>
      <c r="AA478" s="39" t="str">
        <f t="shared" si="160"/>
        <v/>
      </c>
      <c r="AB478" s="40" t="str">
        <f>IF(OR(L478="",V478=0),"",IF(AND(N(I478)&gt;0,N(INDEX('11-تشرين الثاني'!$I$2:$I$501,V478))&gt;0,INDEX('11-تشرين الثاني'!$F$2:$F$501,V478)=F478),N(I478)/N(INDEX('11-تشرين الثاني'!$I$2:$I$501,V478))-1,""))</f>
        <v/>
      </c>
      <c r="AC478" t="str">
        <f t="shared" si="161"/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62"/>
        <v/>
      </c>
      <c r="AH478" s="39" t="str">
        <f t="shared" si="163"/>
        <v/>
      </c>
      <c r="AI478" s="39" t="str">
        <f t="shared" si="164"/>
        <v/>
      </c>
      <c r="AJ478" s="39" t="str">
        <f t="shared" si="165"/>
        <v/>
      </c>
      <c r="AK478" t="str">
        <f t="shared" si="166"/>
        <v/>
      </c>
      <c r="AL478" t="str">
        <f t="shared" si="167"/>
        <v/>
      </c>
    </row>
    <row r="479" spans="11:38" ht="15">
      <c r="K479" t="str">
        <f t="shared" si="147"/>
        <v/>
      </c>
      <c r="L479" t="str">
        <f t="shared" si="148"/>
        <v/>
      </c>
      <c r="M479" s="36" t="str">
        <f t="shared" si="149"/>
        <v/>
      </c>
      <c r="N479" s="37" t="str">
        <f t="shared" si="150"/>
        <v/>
      </c>
      <c r="O479" s="37" t="str">
        <f t="shared" si="151"/>
        <v/>
      </c>
      <c r="P479" s="38" t="str">
        <f t="shared" si="152"/>
        <v/>
      </c>
      <c r="Q479" s="39" t="str">
        <f t="shared" si="153"/>
        <v/>
      </c>
      <c r="R479" s="39" t="str">
        <f t="shared" si="154"/>
        <v/>
      </c>
      <c r="S479" t="str">
        <f t="shared" si="155"/>
        <v/>
      </c>
      <c r="T479" s="39" t="str">
        <f t="shared" si="156"/>
        <v/>
      </c>
      <c r="U479" t="str">
        <f t="shared" si="157"/>
        <v/>
      </c>
      <c r="V479" t="str">
        <f>IF(L479="","",IF($AO$1=1,IFERROR(MATCH(L479,'11-تشرين الثاني'!$L$2:$L$501,0),0),0))</f>
        <v/>
      </c>
      <c r="W479" t="str">
        <f t="shared" si="158"/>
        <v/>
      </c>
      <c r="X479" s="38" t="str">
        <f>IF(L479="","",IF(V479&gt;0,INDEX('11-تشرين الثاني'!$P$2:$P$501,V479),IF($AO$1=1,0,"")))</f>
        <v/>
      </c>
      <c r="Y479" s="38" t="str">
        <f t="shared" si="159"/>
        <v/>
      </c>
      <c r="Z479" s="39" t="str">
        <f>IF(L479="","",IF(V479&gt;0,INDEX('11-تشرين الثاني'!$Q$2:$Q$501,V479),IF($AO$1=1,0,"")))</f>
        <v/>
      </c>
      <c r="AA479" s="39" t="str">
        <f t="shared" si="160"/>
        <v/>
      </c>
      <c r="AB479" s="40" t="str">
        <f>IF(OR(L479="",V479=0),"",IF(AND(N(I479)&gt;0,N(INDEX('11-تشرين الثاني'!$I$2:$I$501,V479))&gt;0,INDEX('11-تشرين الثاني'!$F$2:$F$501,V479)=F479),N(I479)/N(INDEX('11-تشرين الثاني'!$I$2:$I$501,V479))-1,""))</f>
        <v/>
      </c>
      <c r="AC479" t="str">
        <f t="shared" si="161"/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62"/>
        <v/>
      </c>
      <c r="AH479" s="39" t="str">
        <f t="shared" si="163"/>
        <v/>
      </c>
      <c r="AI479" s="39" t="str">
        <f t="shared" si="164"/>
        <v/>
      </c>
      <c r="AJ479" s="39" t="str">
        <f t="shared" si="165"/>
        <v/>
      </c>
      <c r="AK479" t="str">
        <f t="shared" si="166"/>
        <v/>
      </c>
      <c r="AL479" t="str">
        <f t="shared" si="167"/>
        <v/>
      </c>
    </row>
    <row r="480" spans="11:38" ht="15">
      <c r="K480" t="str">
        <f t="shared" si="147"/>
        <v/>
      </c>
      <c r="L480" t="str">
        <f t="shared" si="148"/>
        <v/>
      </c>
      <c r="M480" s="36" t="str">
        <f t="shared" si="149"/>
        <v/>
      </c>
      <c r="N480" s="37" t="str">
        <f t="shared" si="150"/>
        <v/>
      </c>
      <c r="O480" s="37" t="str">
        <f t="shared" si="151"/>
        <v/>
      </c>
      <c r="P480" s="38" t="str">
        <f t="shared" si="152"/>
        <v/>
      </c>
      <c r="Q480" s="39" t="str">
        <f t="shared" si="153"/>
        <v/>
      </c>
      <c r="R480" s="39" t="str">
        <f t="shared" si="154"/>
        <v/>
      </c>
      <c r="S480" t="str">
        <f t="shared" si="155"/>
        <v/>
      </c>
      <c r="T480" s="39" t="str">
        <f t="shared" si="156"/>
        <v/>
      </c>
      <c r="U480" t="str">
        <f t="shared" si="157"/>
        <v/>
      </c>
      <c r="V480" t="str">
        <f>IF(L480="","",IF($AO$1=1,IFERROR(MATCH(L480,'11-تشرين الثاني'!$L$2:$L$501,0),0),0))</f>
        <v/>
      </c>
      <c r="W480" t="str">
        <f t="shared" si="158"/>
        <v/>
      </c>
      <c r="X480" s="38" t="str">
        <f>IF(L480="","",IF(V480&gt;0,INDEX('11-تشرين الثاني'!$P$2:$P$501,V480),IF($AO$1=1,0,"")))</f>
        <v/>
      </c>
      <c r="Y480" s="38" t="str">
        <f t="shared" si="159"/>
        <v/>
      </c>
      <c r="Z480" s="39" t="str">
        <f>IF(L480="","",IF(V480&gt;0,INDEX('11-تشرين الثاني'!$Q$2:$Q$501,V480),IF($AO$1=1,0,"")))</f>
        <v/>
      </c>
      <c r="AA480" s="39" t="str">
        <f t="shared" si="160"/>
        <v/>
      </c>
      <c r="AB480" s="40" t="str">
        <f>IF(OR(L480="",V480=0),"",IF(AND(N(I480)&gt;0,N(INDEX('11-تشرين الثاني'!$I$2:$I$501,V480))&gt;0,INDEX('11-تشرين الثاني'!$F$2:$F$501,V480)=F480),N(I480)/N(INDEX('11-تشرين الثاني'!$I$2:$I$501,V480))-1,""))</f>
        <v/>
      </c>
      <c r="AC480" t="str">
        <f t="shared" si="161"/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62"/>
        <v/>
      </c>
      <c r="AH480" s="39" t="str">
        <f t="shared" si="163"/>
        <v/>
      </c>
      <c r="AI480" s="39" t="str">
        <f t="shared" si="164"/>
        <v/>
      </c>
      <c r="AJ480" s="39" t="str">
        <f t="shared" si="165"/>
        <v/>
      </c>
      <c r="AK480" t="str">
        <f t="shared" si="166"/>
        <v/>
      </c>
      <c r="AL480" t="str">
        <f t="shared" si="167"/>
        <v/>
      </c>
    </row>
    <row r="481" spans="11:38" ht="15">
      <c r="K481" t="str">
        <f t="shared" si="147"/>
        <v/>
      </c>
      <c r="L481" t="str">
        <f t="shared" si="148"/>
        <v/>
      </c>
      <c r="M481" s="36" t="str">
        <f t="shared" si="149"/>
        <v/>
      </c>
      <c r="N481" s="37" t="str">
        <f t="shared" si="150"/>
        <v/>
      </c>
      <c r="O481" s="37" t="str">
        <f t="shared" si="151"/>
        <v/>
      </c>
      <c r="P481" s="38" t="str">
        <f t="shared" si="152"/>
        <v/>
      </c>
      <c r="Q481" s="39" t="str">
        <f t="shared" si="153"/>
        <v/>
      </c>
      <c r="R481" s="39" t="str">
        <f t="shared" si="154"/>
        <v/>
      </c>
      <c r="S481" t="str">
        <f t="shared" si="155"/>
        <v/>
      </c>
      <c r="T481" s="39" t="str">
        <f t="shared" si="156"/>
        <v/>
      </c>
      <c r="U481" t="str">
        <f t="shared" si="157"/>
        <v/>
      </c>
      <c r="V481" t="str">
        <f>IF(L481="","",IF($AO$1=1,IFERROR(MATCH(L481,'11-تشرين الثاني'!$L$2:$L$501,0),0),0))</f>
        <v/>
      </c>
      <c r="W481" t="str">
        <f t="shared" si="158"/>
        <v/>
      </c>
      <c r="X481" s="38" t="str">
        <f>IF(L481="","",IF(V481&gt;0,INDEX('11-تشرين الثاني'!$P$2:$P$501,V481),IF($AO$1=1,0,"")))</f>
        <v/>
      </c>
      <c r="Y481" s="38" t="str">
        <f t="shared" si="159"/>
        <v/>
      </c>
      <c r="Z481" s="39" t="str">
        <f>IF(L481="","",IF(V481&gt;0,INDEX('11-تشرين الثاني'!$Q$2:$Q$501,V481),IF($AO$1=1,0,"")))</f>
        <v/>
      </c>
      <c r="AA481" s="39" t="str">
        <f t="shared" si="160"/>
        <v/>
      </c>
      <c r="AB481" s="40" t="str">
        <f>IF(OR(L481="",V481=0),"",IF(AND(N(I481)&gt;0,N(INDEX('11-تشرين الثاني'!$I$2:$I$501,V481))&gt;0,INDEX('11-تشرين الثاني'!$F$2:$F$501,V481)=F481),N(I481)/N(INDEX('11-تشرين الثاني'!$I$2:$I$501,V481))-1,""))</f>
        <v/>
      </c>
      <c r="AC481" t="str">
        <f t="shared" si="161"/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62"/>
        <v/>
      </c>
      <c r="AH481" s="39" t="str">
        <f t="shared" si="163"/>
        <v/>
      </c>
      <c r="AI481" s="39" t="str">
        <f t="shared" si="164"/>
        <v/>
      </c>
      <c r="AJ481" s="39" t="str">
        <f t="shared" si="165"/>
        <v/>
      </c>
      <c r="AK481" t="str">
        <f t="shared" si="166"/>
        <v/>
      </c>
      <c r="AL481" t="str">
        <f t="shared" si="167"/>
        <v/>
      </c>
    </row>
    <row r="482" spans="11:38" ht="15">
      <c r="K482" t="str">
        <f t="shared" si="147"/>
        <v/>
      </c>
      <c r="L482" t="str">
        <f t="shared" si="148"/>
        <v/>
      </c>
      <c r="M482" s="36" t="str">
        <f t="shared" si="149"/>
        <v/>
      </c>
      <c r="N482" s="37" t="str">
        <f t="shared" si="150"/>
        <v/>
      </c>
      <c r="O482" s="37" t="str">
        <f t="shared" si="151"/>
        <v/>
      </c>
      <c r="P482" s="38" t="str">
        <f t="shared" si="152"/>
        <v/>
      </c>
      <c r="Q482" s="39" t="str">
        <f t="shared" si="153"/>
        <v/>
      </c>
      <c r="R482" s="39" t="str">
        <f t="shared" si="154"/>
        <v/>
      </c>
      <c r="S482" t="str">
        <f t="shared" si="155"/>
        <v/>
      </c>
      <c r="T482" s="39" t="str">
        <f t="shared" si="156"/>
        <v/>
      </c>
      <c r="U482" t="str">
        <f t="shared" si="157"/>
        <v/>
      </c>
      <c r="V482" t="str">
        <f>IF(L482="","",IF($AO$1=1,IFERROR(MATCH(L482,'11-تشرين الثاني'!$L$2:$L$501,0),0),0))</f>
        <v/>
      </c>
      <c r="W482" t="str">
        <f t="shared" si="158"/>
        <v/>
      </c>
      <c r="X482" s="38" t="str">
        <f>IF(L482="","",IF(V482&gt;0,INDEX('11-تشرين الثاني'!$P$2:$P$501,V482),IF($AO$1=1,0,"")))</f>
        <v/>
      </c>
      <c r="Y482" s="38" t="str">
        <f t="shared" si="159"/>
        <v/>
      </c>
      <c r="Z482" s="39" t="str">
        <f>IF(L482="","",IF(V482&gt;0,INDEX('11-تشرين الثاني'!$Q$2:$Q$501,V482),IF($AO$1=1,0,"")))</f>
        <v/>
      </c>
      <c r="AA482" s="39" t="str">
        <f t="shared" si="160"/>
        <v/>
      </c>
      <c r="AB482" s="40" t="str">
        <f>IF(OR(L482="",V482=0),"",IF(AND(N(I482)&gt;0,N(INDEX('11-تشرين الثاني'!$I$2:$I$501,V482))&gt;0,INDEX('11-تشرين الثاني'!$F$2:$F$501,V482)=F482),N(I482)/N(INDEX('11-تشرين الثاني'!$I$2:$I$501,V482))-1,""))</f>
        <v/>
      </c>
      <c r="AC482" t="str">
        <f t="shared" si="161"/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62"/>
        <v/>
      </c>
      <c r="AH482" s="39" t="str">
        <f t="shared" si="163"/>
        <v/>
      </c>
      <c r="AI482" s="39" t="str">
        <f t="shared" si="164"/>
        <v/>
      </c>
      <c r="AJ482" s="39" t="str">
        <f t="shared" si="165"/>
        <v/>
      </c>
      <c r="AK482" t="str">
        <f t="shared" si="166"/>
        <v/>
      </c>
      <c r="AL482" t="str">
        <f t="shared" si="167"/>
        <v/>
      </c>
    </row>
    <row r="483" spans="11:38" ht="15">
      <c r="K483" t="str">
        <f t="shared" si="147"/>
        <v/>
      </c>
      <c r="L483" t="str">
        <f t="shared" si="148"/>
        <v/>
      </c>
      <c r="M483" s="36" t="str">
        <f t="shared" si="149"/>
        <v/>
      </c>
      <c r="N483" s="37" t="str">
        <f t="shared" si="150"/>
        <v/>
      </c>
      <c r="O483" s="37" t="str">
        <f t="shared" si="151"/>
        <v/>
      </c>
      <c r="P483" s="38" t="str">
        <f t="shared" si="152"/>
        <v/>
      </c>
      <c r="Q483" s="39" t="str">
        <f t="shared" si="153"/>
        <v/>
      </c>
      <c r="R483" s="39" t="str">
        <f t="shared" si="154"/>
        <v/>
      </c>
      <c r="S483" t="str">
        <f t="shared" si="155"/>
        <v/>
      </c>
      <c r="T483" s="39" t="str">
        <f t="shared" si="156"/>
        <v/>
      </c>
      <c r="U483" t="str">
        <f t="shared" si="157"/>
        <v/>
      </c>
      <c r="V483" t="str">
        <f>IF(L483="","",IF($AO$1=1,IFERROR(MATCH(L483,'11-تشرين الثاني'!$L$2:$L$501,0),0),0))</f>
        <v/>
      </c>
      <c r="W483" t="str">
        <f t="shared" si="158"/>
        <v/>
      </c>
      <c r="X483" s="38" t="str">
        <f>IF(L483="","",IF(V483&gt;0,INDEX('11-تشرين الثاني'!$P$2:$P$501,V483),IF($AO$1=1,0,"")))</f>
        <v/>
      </c>
      <c r="Y483" s="38" t="str">
        <f t="shared" si="159"/>
        <v/>
      </c>
      <c r="Z483" s="39" t="str">
        <f>IF(L483="","",IF(V483&gt;0,INDEX('11-تشرين الثاني'!$Q$2:$Q$501,V483),IF($AO$1=1,0,"")))</f>
        <v/>
      </c>
      <c r="AA483" s="39" t="str">
        <f t="shared" si="160"/>
        <v/>
      </c>
      <c r="AB483" s="40" t="str">
        <f>IF(OR(L483="",V483=0),"",IF(AND(N(I483)&gt;0,N(INDEX('11-تشرين الثاني'!$I$2:$I$501,V483))&gt;0,INDEX('11-تشرين الثاني'!$F$2:$F$501,V483)=F483),N(I483)/N(INDEX('11-تشرين الثاني'!$I$2:$I$501,V483))-1,""))</f>
        <v/>
      </c>
      <c r="AC483" t="str">
        <f t="shared" si="161"/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62"/>
        <v/>
      </c>
      <c r="AH483" s="39" t="str">
        <f t="shared" si="163"/>
        <v/>
      </c>
      <c r="AI483" s="39" t="str">
        <f t="shared" si="164"/>
        <v/>
      </c>
      <c r="AJ483" s="39" t="str">
        <f t="shared" si="165"/>
        <v/>
      </c>
      <c r="AK483" t="str">
        <f t="shared" si="166"/>
        <v/>
      </c>
      <c r="AL483" t="str">
        <f t="shared" si="167"/>
        <v/>
      </c>
    </row>
    <row r="484" spans="11:38" ht="15">
      <c r="K484" t="str">
        <f t="shared" si="147"/>
        <v/>
      </c>
      <c r="L484" t="str">
        <f t="shared" si="148"/>
        <v/>
      </c>
      <c r="M484" s="36" t="str">
        <f t="shared" si="149"/>
        <v/>
      </c>
      <c r="N484" s="37" t="str">
        <f t="shared" si="150"/>
        <v/>
      </c>
      <c r="O484" s="37" t="str">
        <f t="shared" si="151"/>
        <v/>
      </c>
      <c r="P484" s="38" t="str">
        <f t="shared" si="152"/>
        <v/>
      </c>
      <c r="Q484" s="39" t="str">
        <f t="shared" si="153"/>
        <v/>
      </c>
      <c r="R484" s="39" t="str">
        <f t="shared" si="154"/>
        <v/>
      </c>
      <c r="S484" t="str">
        <f t="shared" si="155"/>
        <v/>
      </c>
      <c r="T484" s="39" t="str">
        <f t="shared" si="156"/>
        <v/>
      </c>
      <c r="U484" t="str">
        <f t="shared" si="157"/>
        <v/>
      </c>
      <c r="V484" t="str">
        <f>IF(L484="","",IF($AO$1=1,IFERROR(MATCH(L484,'11-تشرين الثاني'!$L$2:$L$501,0),0),0))</f>
        <v/>
      </c>
      <c r="W484" t="str">
        <f t="shared" si="158"/>
        <v/>
      </c>
      <c r="X484" s="38" t="str">
        <f>IF(L484="","",IF(V484&gt;0,INDEX('11-تشرين الثاني'!$P$2:$P$501,V484),IF($AO$1=1,0,"")))</f>
        <v/>
      </c>
      <c r="Y484" s="38" t="str">
        <f t="shared" si="159"/>
        <v/>
      </c>
      <c r="Z484" s="39" t="str">
        <f>IF(L484="","",IF(V484&gt;0,INDEX('11-تشرين الثاني'!$Q$2:$Q$501,V484),IF($AO$1=1,0,"")))</f>
        <v/>
      </c>
      <c r="AA484" s="39" t="str">
        <f t="shared" si="160"/>
        <v/>
      </c>
      <c r="AB484" s="40" t="str">
        <f>IF(OR(L484="",V484=0),"",IF(AND(N(I484)&gt;0,N(INDEX('11-تشرين الثاني'!$I$2:$I$501,V484))&gt;0,INDEX('11-تشرين الثاني'!$F$2:$F$501,V484)=F484),N(I484)/N(INDEX('11-تشرين الثاني'!$I$2:$I$501,V484))-1,""))</f>
        <v/>
      </c>
      <c r="AC484" t="str">
        <f t="shared" si="161"/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62"/>
        <v/>
      </c>
      <c r="AH484" s="39" t="str">
        <f t="shared" si="163"/>
        <v/>
      </c>
      <c r="AI484" s="39" t="str">
        <f t="shared" si="164"/>
        <v/>
      </c>
      <c r="AJ484" s="39" t="str">
        <f t="shared" si="165"/>
        <v/>
      </c>
      <c r="AK484" t="str">
        <f t="shared" si="166"/>
        <v/>
      </c>
      <c r="AL484" t="str">
        <f t="shared" si="167"/>
        <v/>
      </c>
    </row>
    <row r="485" spans="11:38" ht="15">
      <c r="K485" t="str">
        <f t="shared" si="147"/>
        <v/>
      </c>
      <c r="L485" t="str">
        <f t="shared" si="148"/>
        <v/>
      </c>
      <c r="M485" s="36" t="str">
        <f t="shared" si="149"/>
        <v/>
      </c>
      <c r="N485" s="37" t="str">
        <f t="shared" si="150"/>
        <v/>
      </c>
      <c r="O485" s="37" t="str">
        <f t="shared" si="151"/>
        <v/>
      </c>
      <c r="P485" s="38" t="str">
        <f t="shared" si="152"/>
        <v/>
      </c>
      <c r="Q485" s="39" t="str">
        <f t="shared" si="153"/>
        <v/>
      </c>
      <c r="R485" s="39" t="str">
        <f t="shared" si="154"/>
        <v/>
      </c>
      <c r="S485" t="str">
        <f t="shared" si="155"/>
        <v/>
      </c>
      <c r="T485" s="39" t="str">
        <f t="shared" si="156"/>
        <v/>
      </c>
      <c r="U485" t="str">
        <f t="shared" si="157"/>
        <v/>
      </c>
      <c r="V485" t="str">
        <f>IF(L485="","",IF($AO$1=1,IFERROR(MATCH(L485,'11-تشرين الثاني'!$L$2:$L$501,0),0),0))</f>
        <v/>
      </c>
      <c r="W485" t="str">
        <f t="shared" si="158"/>
        <v/>
      </c>
      <c r="X485" s="38" t="str">
        <f>IF(L485="","",IF(V485&gt;0,INDEX('11-تشرين الثاني'!$P$2:$P$501,V485),IF($AO$1=1,0,"")))</f>
        <v/>
      </c>
      <c r="Y485" s="38" t="str">
        <f t="shared" si="159"/>
        <v/>
      </c>
      <c r="Z485" s="39" t="str">
        <f>IF(L485="","",IF(V485&gt;0,INDEX('11-تشرين الثاني'!$Q$2:$Q$501,V485),IF($AO$1=1,0,"")))</f>
        <v/>
      </c>
      <c r="AA485" s="39" t="str">
        <f t="shared" si="160"/>
        <v/>
      </c>
      <c r="AB485" s="40" t="str">
        <f>IF(OR(L485="",V485=0),"",IF(AND(N(I485)&gt;0,N(INDEX('11-تشرين الثاني'!$I$2:$I$501,V485))&gt;0,INDEX('11-تشرين الثاني'!$F$2:$F$501,V485)=F485),N(I485)/N(INDEX('11-تشرين الثاني'!$I$2:$I$501,V485))-1,""))</f>
        <v/>
      </c>
      <c r="AC485" t="str">
        <f t="shared" si="161"/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62"/>
        <v/>
      </c>
      <c r="AH485" s="39" t="str">
        <f t="shared" si="163"/>
        <v/>
      </c>
      <c r="AI485" s="39" t="str">
        <f t="shared" si="164"/>
        <v/>
      </c>
      <c r="AJ485" s="39" t="str">
        <f t="shared" si="165"/>
        <v/>
      </c>
      <c r="AK485" t="str">
        <f t="shared" si="166"/>
        <v/>
      </c>
      <c r="AL485" t="str">
        <f t="shared" si="167"/>
        <v/>
      </c>
    </row>
    <row r="486" spans="11:38" ht="15">
      <c r="K486" t="str">
        <f t="shared" si="147"/>
        <v/>
      </c>
      <c r="L486" t="str">
        <f t="shared" si="148"/>
        <v/>
      </c>
      <c r="M486" s="36" t="str">
        <f t="shared" si="149"/>
        <v/>
      </c>
      <c r="N486" s="37" t="str">
        <f t="shared" si="150"/>
        <v/>
      </c>
      <c r="O486" s="37" t="str">
        <f t="shared" si="151"/>
        <v/>
      </c>
      <c r="P486" s="38" t="str">
        <f t="shared" si="152"/>
        <v/>
      </c>
      <c r="Q486" s="39" t="str">
        <f t="shared" si="153"/>
        <v/>
      </c>
      <c r="R486" s="39" t="str">
        <f t="shared" si="154"/>
        <v/>
      </c>
      <c r="S486" t="str">
        <f t="shared" si="155"/>
        <v/>
      </c>
      <c r="T486" s="39" t="str">
        <f t="shared" si="156"/>
        <v/>
      </c>
      <c r="U486" t="str">
        <f t="shared" si="157"/>
        <v/>
      </c>
      <c r="V486" t="str">
        <f>IF(L486="","",IF($AO$1=1,IFERROR(MATCH(L486,'11-تشرين الثاني'!$L$2:$L$501,0),0),0))</f>
        <v/>
      </c>
      <c r="W486" t="str">
        <f t="shared" si="158"/>
        <v/>
      </c>
      <c r="X486" s="38" t="str">
        <f>IF(L486="","",IF(V486&gt;0,INDEX('11-تشرين الثاني'!$P$2:$P$501,V486),IF($AO$1=1,0,"")))</f>
        <v/>
      </c>
      <c r="Y486" s="38" t="str">
        <f t="shared" si="159"/>
        <v/>
      </c>
      <c r="Z486" s="39" t="str">
        <f>IF(L486="","",IF(V486&gt;0,INDEX('11-تشرين الثاني'!$Q$2:$Q$501,V486),IF($AO$1=1,0,"")))</f>
        <v/>
      </c>
      <c r="AA486" s="39" t="str">
        <f t="shared" si="160"/>
        <v/>
      </c>
      <c r="AB486" s="40" t="str">
        <f>IF(OR(L486="",V486=0),"",IF(AND(N(I486)&gt;0,N(INDEX('11-تشرين الثاني'!$I$2:$I$501,V486))&gt;0,INDEX('11-تشرين الثاني'!$F$2:$F$501,V486)=F486),N(I486)/N(INDEX('11-تشرين الثاني'!$I$2:$I$501,V486))-1,""))</f>
        <v/>
      </c>
      <c r="AC486" t="str">
        <f t="shared" si="161"/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62"/>
        <v/>
      </c>
      <c r="AH486" s="39" t="str">
        <f t="shared" si="163"/>
        <v/>
      </c>
      <c r="AI486" s="39" t="str">
        <f t="shared" si="164"/>
        <v/>
      </c>
      <c r="AJ486" s="39" t="str">
        <f t="shared" si="165"/>
        <v/>
      </c>
      <c r="AK486" t="str">
        <f t="shared" si="166"/>
        <v/>
      </c>
      <c r="AL486" t="str">
        <f t="shared" si="167"/>
        <v/>
      </c>
    </row>
    <row r="487" spans="11:38" ht="15">
      <c r="K487" t="str">
        <f t="shared" si="147"/>
        <v/>
      </c>
      <c r="L487" t="str">
        <f t="shared" si="148"/>
        <v/>
      </c>
      <c r="M487" s="36" t="str">
        <f t="shared" si="149"/>
        <v/>
      </c>
      <c r="N487" s="37" t="str">
        <f t="shared" si="150"/>
        <v/>
      </c>
      <c r="O487" s="37" t="str">
        <f t="shared" si="151"/>
        <v/>
      </c>
      <c r="P487" s="38" t="str">
        <f t="shared" si="152"/>
        <v/>
      </c>
      <c r="Q487" s="39" t="str">
        <f t="shared" si="153"/>
        <v/>
      </c>
      <c r="R487" s="39" t="str">
        <f t="shared" si="154"/>
        <v/>
      </c>
      <c r="S487" t="str">
        <f t="shared" si="155"/>
        <v/>
      </c>
      <c r="T487" s="39" t="str">
        <f t="shared" si="156"/>
        <v/>
      </c>
      <c r="U487" t="str">
        <f t="shared" si="157"/>
        <v/>
      </c>
      <c r="V487" t="str">
        <f>IF(L487="","",IF($AO$1=1,IFERROR(MATCH(L487,'11-تشرين الثاني'!$L$2:$L$501,0),0),0))</f>
        <v/>
      </c>
      <c r="W487" t="str">
        <f t="shared" si="158"/>
        <v/>
      </c>
      <c r="X487" s="38" t="str">
        <f>IF(L487="","",IF(V487&gt;0,INDEX('11-تشرين الثاني'!$P$2:$P$501,V487),IF($AO$1=1,0,"")))</f>
        <v/>
      </c>
      <c r="Y487" s="38" t="str">
        <f t="shared" si="159"/>
        <v/>
      </c>
      <c r="Z487" s="39" t="str">
        <f>IF(L487="","",IF(V487&gt;0,INDEX('11-تشرين الثاني'!$Q$2:$Q$501,V487),IF($AO$1=1,0,"")))</f>
        <v/>
      </c>
      <c r="AA487" s="39" t="str">
        <f t="shared" si="160"/>
        <v/>
      </c>
      <c r="AB487" s="40" t="str">
        <f>IF(OR(L487="",V487=0),"",IF(AND(N(I487)&gt;0,N(INDEX('11-تشرين الثاني'!$I$2:$I$501,V487))&gt;0,INDEX('11-تشرين الثاني'!$F$2:$F$501,V487)=F487),N(I487)/N(INDEX('11-تشرين الثاني'!$I$2:$I$501,V487))-1,""))</f>
        <v/>
      </c>
      <c r="AC487" t="str">
        <f t="shared" si="161"/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62"/>
        <v/>
      </c>
      <c r="AH487" s="39" t="str">
        <f t="shared" si="163"/>
        <v/>
      </c>
      <c r="AI487" s="39" t="str">
        <f t="shared" si="164"/>
        <v/>
      </c>
      <c r="AJ487" s="39" t="str">
        <f t="shared" si="165"/>
        <v/>
      </c>
      <c r="AK487" t="str">
        <f t="shared" si="166"/>
        <v/>
      </c>
      <c r="AL487" t="str">
        <f t="shared" si="167"/>
        <v/>
      </c>
    </row>
    <row r="488" spans="11:38" ht="15">
      <c r="K488" t="str">
        <f t="shared" si="147"/>
        <v/>
      </c>
      <c r="L488" t="str">
        <f t="shared" si="148"/>
        <v/>
      </c>
      <c r="M488" s="36" t="str">
        <f t="shared" si="149"/>
        <v/>
      </c>
      <c r="N488" s="37" t="str">
        <f t="shared" si="150"/>
        <v/>
      </c>
      <c r="O488" s="37" t="str">
        <f t="shared" si="151"/>
        <v/>
      </c>
      <c r="P488" s="38" t="str">
        <f t="shared" si="152"/>
        <v/>
      </c>
      <c r="Q488" s="39" t="str">
        <f t="shared" si="153"/>
        <v/>
      </c>
      <c r="R488" s="39" t="str">
        <f t="shared" si="154"/>
        <v/>
      </c>
      <c r="S488" t="str">
        <f t="shared" si="155"/>
        <v/>
      </c>
      <c r="T488" s="39" t="str">
        <f t="shared" si="156"/>
        <v/>
      </c>
      <c r="U488" t="str">
        <f t="shared" si="157"/>
        <v/>
      </c>
      <c r="V488" t="str">
        <f>IF(L488="","",IF($AO$1=1,IFERROR(MATCH(L488,'11-تشرين الثاني'!$L$2:$L$501,0),0),0))</f>
        <v/>
      </c>
      <c r="W488" t="str">
        <f t="shared" si="158"/>
        <v/>
      </c>
      <c r="X488" s="38" t="str">
        <f>IF(L488="","",IF(V488&gt;0,INDEX('11-تشرين الثاني'!$P$2:$P$501,V488),IF($AO$1=1,0,"")))</f>
        <v/>
      </c>
      <c r="Y488" s="38" t="str">
        <f t="shared" si="159"/>
        <v/>
      </c>
      <c r="Z488" s="39" t="str">
        <f>IF(L488="","",IF(V488&gt;0,INDEX('11-تشرين الثاني'!$Q$2:$Q$501,V488),IF($AO$1=1,0,"")))</f>
        <v/>
      </c>
      <c r="AA488" s="39" t="str">
        <f t="shared" si="160"/>
        <v/>
      </c>
      <c r="AB488" s="40" t="str">
        <f>IF(OR(L488="",V488=0),"",IF(AND(N(I488)&gt;0,N(INDEX('11-تشرين الثاني'!$I$2:$I$501,V488))&gt;0,INDEX('11-تشرين الثاني'!$F$2:$F$501,V488)=F488),N(I488)/N(INDEX('11-تشرين الثاني'!$I$2:$I$501,V488))-1,""))</f>
        <v/>
      </c>
      <c r="AC488" t="str">
        <f t="shared" si="161"/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62"/>
        <v/>
      </c>
      <c r="AH488" s="39" t="str">
        <f t="shared" si="163"/>
        <v/>
      </c>
      <c r="AI488" s="39" t="str">
        <f t="shared" si="164"/>
        <v/>
      </c>
      <c r="AJ488" s="39" t="str">
        <f t="shared" si="165"/>
        <v/>
      </c>
      <c r="AK488" t="str">
        <f t="shared" si="166"/>
        <v/>
      </c>
      <c r="AL488" t="str">
        <f t="shared" si="167"/>
        <v/>
      </c>
    </row>
    <row r="489" spans="11:38" ht="15">
      <c r="K489" t="str">
        <f t="shared" si="147"/>
        <v/>
      </c>
      <c r="L489" t="str">
        <f t="shared" si="148"/>
        <v/>
      </c>
      <c r="M489" s="36" t="str">
        <f t="shared" si="149"/>
        <v/>
      </c>
      <c r="N489" s="37" t="str">
        <f t="shared" si="150"/>
        <v/>
      </c>
      <c r="O489" s="37" t="str">
        <f t="shared" si="151"/>
        <v/>
      </c>
      <c r="P489" s="38" t="str">
        <f t="shared" si="152"/>
        <v/>
      </c>
      <c r="Q489" s="39" t="str">
        <f t="shared" si="153"/>
        <v/>
      </c>
      <c r="R489" s="39" t="str">
        <f t="shared" si="154"/>
        <v/>
      </c>
      <c r="S489" t="str">
        <f t="shared" si="155"/>
        <v/>
      </c>
      <c r="T489" s="39" t="str">
        <f t="shared" si="156"/>
        <v/>
      </c>
      <c r="U489" t="str">
        <f t="shared" si="157"/>
        <v/>
      </c>
      <c r="V489" t="str">
        <f>IF(L489="","",IF($AO$1=1,IFERROR(MATCH(L489,'11-تشرين الثاني'!$L$2:$L$501,0),0),0))</f>
        <v/>
      </c>
      <c r="W489" t="str">
        <f t="shared" si="158"/>
        <v/>
      </c>
      <c r="X489" s="38" t="str">
        <f>IF(L489="","",IF(V489&gt;0,INDEX('11-تشرين الثاني'!$P$2:$P$501,V489),IF($AO$1=1,0,"")))</f>
        <v/>
      </c>
      <c r="Y489" s="38" t="str">
        <f t="shared" si="159"/>
        <v/>
      </c>
      <c r="Z489" s="39" t="str">
        <f>IF(L489="","",IF(V489&gt;0,INDEX('11-تشرين الثاني'!$Q$2:$Q$501,V489),IF($AO$1=1,0,"")))</f>
        <v/>
      </c>
      <c r="AA489" s="39" t="str">
        <f t="shared" si="160"/>
        <v/>
      </c>
      <c r="AB489" s="40" t="str">
        <f>IF(OR(L489="",V489=0),"",IF(AND(N(I489)&gt;0,N(INDEX('11-تشرين الثاني'!$I$2:$I$501,V489))&gt;0,INDEX('11-تشرين الثاني'!$F$2:$F$501,V489)=F489),N(I489)/N(INDEX('11-تشرين الثاني'!$I$2:$I$501,V489))-1,""))</f>
        <v/>
      </c>
      <c r="AC489" t="str">
        <f t="shared" si="161"/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62"/>
        <v/>
      </c>
      <c r="AH489" s="39" t="str">
        <f t="shared" si="163"/>
        <v/>
      </c>
      <c r="AI489" s="39" t="str">
        <f t="shared" si="164"/>
        <v/>
      </c>
      <c r="AJ489" s="39" t="str">
        <f t="shared" si="165"/>
        <v/>
      </c>
      <c r="AK489" t="str">
        <f t="shared" si="166"/>
        <v/>
      </c>
      <c r="AL489" t="str">
        <f t="shared" si="167"/>
        <v/>
      </c>
    </row>
    <row r="490" spans="11:38" ht="15">
      <c r="K490" t="str">
        <f t="shared" si="147"/>
        <v/>
      </c>
      <c r="L490" t="str">
        <f t="shared" si="148"/>
        <v/>
      </c>
      <c r="M490" s="36" t="str">
        <f t="shared" si="149"/>
        <v/>
      </c>
      <c r="N490" s="37" t="str">
        <f t="shared" si="150"/>
        <v/>
      </c>
      <c r="O490" s="37" t="str">
        <f t="shared" si="151"/>
        <v/>
      </c>
      <c r="P490" s="38" t="str">
        <f t="shared" si="152"/>
        <v/>
      </c>
      <c r="Q490" s="39" t="str">
        <f t="shared" si="153"/>
        <v/>
      </c>
      <c r="R490" s="39" t="str">
        <f t="shared" si="154"/>
        <v/>
      </c>
      <c r="S490" t="str">
        <f t="shared" si="155"/>
        <v/>
      </c>
      <c r="T490" s="39" t="str">
        <f t="shared" si="156"/>
        <v/>
      </c>
      <c r="U490" t="str">
        <f t="shared" si="157"/>
        <v/>
      </c>
      <c r="V490" t="str">
        <f>IF(L490="","",IF($AO$1=1,IFERROR(MATCH(L490,'11-تشرين الثاني'!$L$2:$L$501,0),0),0))</f>
        <v/>
      </c>
      <c r="W490" t="str">
        <f t="shared" si="158"/>
        <v/>
      </c>
      <c r="X490" s="38" t="str">
        <f>IF(L490="","",IF(V490&gt;0,INDEX('11-تشرين الثاني'!$P$2:$P$501,V490),IF($AO$1=1,0,"")))</f>
        <v/>
      </c>
      <c r="Y490" s="38" t="str">
        <f t="shared" si="159"/>
        <v/>
      </c>
      <c r="Z490" s="39" t="str">
        <f>IF(L490="","",IF(V490&gt;0,INDEX('11-تشرين الثاني'!$Q$2:$Q$501,V490),IF($AO$1=1,0,"")))</f>
        <v/>
      </c>
      <c r="AA490" s="39" t="str">
        <f t="shared" si="160"/>
        <v/>
      </c>
      <c r="AB490" s="40" t="str">
        <f>IF(OR(L490="",V490=0),"",IF(AND(N(I490)&gt;0,N(INDEX('11-تشرين الثاني'!$I$2:$I$501,V490))&gt;0,INDEX('11-تشرين الثاني'!$F$2:$F$501,V490)=F490),N(I490)/N(INDEX('11-تشرين الثاني'!$I$2:$I$501,V490))-1,""))</f>
        <v/>
      </c>
      <c r="AC490" t="str">
        <f t="shared" si="161"/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62"/>
        <v/>
      </c>
      <c r="AH490" s="39" t="str">
        <f t="shared" si="163"/>
        <v/>
      </c>
      <c r="AI490" s="39" t="str">
        <f t="shared" si="164"/>
        <v/>
      </c>
      <c r="AJ490" s="39" t="str">
        <f t="shared" si="165"/>
        <v/>
      </c>
      <c r="AK490" t="str">
        <f t="shared" si="166"/>
        <v/>
      </c>
      <c r="AL490" t="str">
        <f t="shared" si="167"/>
        <v/>
      </c>
    </row>
    <row r="491" spans="11:38" ht="15">
      <c r="K491" t="str">
        <f t="shared" si="147"/>
        <v/>
      </c>
      <c r="L491" t="str">
        <f t="shared" si="148"/>
        <v/>
      </c>
      <c r="M491" s="36" t="str">
        <f t="shared" si="149"/>
        <v/>
      </c>
      <c r="N491" s="37" t="str">
        <f t="shared" si="150"/>
        <v/>
      </c>
      <c r="O491" s="37" t="str">
        <f t="shared" si="151"/>
        <v/>
      </c>
      <c r="P491" s="38" t="str">
        <f t="shared" si="152"/>
        <v/>
      </c>
      <c r="Q491" s="39" t="str">
        <f t="shared" si="153"/>
        <v/>
      </c>
      <c r="R491" s="39" t="str">
        <f t="shared" si="154"/>
        <v/>
      </c>
      <c r="S491" t="str">
        <f t="shared" si="155"/>
        <v/>
      </c>
      <c r="T491" s="39" t="str">
        <f t="shared" si="156"/>
        <v/>
      </c>
      <c r="U491" t="str">
        <f t="shared" si="157"/>
        <v/>
      </c>
      <c r="V491" t="str">
        <f>IF(L491="","",IF($AO$1=1,IFERROR(MATCH(L491,'11-تشرين الثاني'!$L$2:$L$501,0),0),0))</f>
        <v/>
      </c>
      <c r="W491" t="str">
        <f t="shared" si="158"/>
        <v/>
      </c>
      <c r="X491" s="38" t="str">
        <f>IF(L491="","",IF(V491&gt;0,INDEX('11-تشرين الثاني'!$P$2:$P$501,V491),IF($AO$1=1,0,"")))</f>
        <v/>
      </c>
      <c r="Y491" s="38" t="str">
        <f t="shared" si="159"/>
        <v/>
      </c>
      <c r="Z491" s="39" t="str">
        <f>IF(L491="","",IF(V491&gt;0,INDEX('11-تشرين الثاني'!$Q$2:$Q$501,V491),IF($AO$1=1,0,"")))</f>
        <v/>
      </c>
      <c r="AA491" s="39" t="str">
        <f t="shared" si="160"/>
        <v/>
      </c>
      <c r="AB491" s="40" t="str">
        <f>IF(OR(L491="",V491=0),"",IF(AND(N(I491)&gt;0,N(INDEX('11-تشرين الثاني'!$I$2:$I$501,V491))&gt;0,INDEX('11-تشرين الثاني'!$F$2:$F$501,V491)=F491),N(I491)/N(INDEX('11-تشرين الثاني'!$I$2:$I$501,V491))-1,""))</f>
        <v/>
      </c>
      <c r="AC491" t="str">
        <f t="shared" si="161"/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62"/>
        <v/>
      </c>
      <c r="AH491" s="39" t="str">
        <f t="shared" si="163"/>
        <v/>
      </c>
      <c r="AI491" s="39" t="str">
        <f t="shared" si="164"/>
        <v/>
      </c>
      <c r="AJ491" s="39" t="str">
        <f t="shared" si="165"/>
        <v/>
      </c>
      <c r="AK491" t="str">
        <f t="shared" si="166"/>
        <v/>
      </c>
      <c r="AL491" t="str">
        <f t="shared" si="167"/>
        <v/>
      </c>
    </row>
    <row r="492" spans="11:38" ht="15">
      <c r="K492" t="str">
        <f t="shared" si="147"/>
        <v/>
      </c>
      <c r="L492" t="str">
        <f t="shared" si="148"/>
        <v/>
      </c>
      <c r="M492" s="36" t="str">
        <f t="shared" si="149"/>
        <v/>
      </c>
      <c r="N492" s="37" t="str">
        <f t="shared" si="150"/>
        <v/>
      </c>
      <c r="O492" s="37" t="str">
        <f t="shared" si="151"/>
        <v/>
      </c>
      <c r="P492" s="38" t="str">
        <f t="shared" si="152"/>
        <v/>
      </c>
      <c r="Q492" s="39" t="str">
        <f t="shared" si="153"/>
        <v/>
      </c>
      <c r="R492" s="39" t="str">
        <f t="shared" si="154"/>
        <v/>
      </c>
      <c r="S492" t="str">
        <f t="shared" si="155"/>
        <v/>
      </c>
      <c r="T492" s="39" t="str">
        <f t="shared" si="156"/>
        <v/>
      </c>
      <c r="U492" t="str">
        <f t="shared" si="157"/>
        <v/>
      </c>
      <c r="V492" t="str">
        <f>IF(L492="","",IF($AO$1=1,IFERROR(MATCH(L492,'11-تشرين الثاني'!$L$2:$L$501,0),0),0))</f>
        <v/>
      </c>
      <c r="W492" t="str">
        <f t="shared" si="158"/>
        <v/>
      </c>
      <c r="X492" s="38" t="str">
        <f>IF(L492="","",IF(V492&gt;0,INDEX('11-تشرين الثاني'!$P$2:$P$501,V492),IF($AO$1=1,0,"")))</f>
        <v/>
      </c>
      <c r="Y492" s="38" t="str">
        <f t="shared" si="159"/>
        <v/>
      </c>
      <c r="Z492" s="39" t="str">
        <f>IF(L492="","",IF(V492&gt;0,INDEX('11-تشرين الثاني'!$Q$2:$Q$501,V492),IF($AO$1=1,0,"")))</f>
        <v/>
      </c>
      <c r="AA492" s="39" t="str">
        <f t="shared" si="160"/>
        <v/>
      </c>
      <c r="AB492" s="40" t="str">
        <f>IF(OR(L492="",V492=0),"",IF(AND(N(I492)&gt;0,N(INDEX('11-تشرين الثاني'!$I$2:$I$501,V492))&gt;0,INDEX('11-تشرين الثاني'!$F$2:$F$501,V492)=F492),N(I492)/N(INDEX('11-تشرين الثاني'!$I$2:$I$501,V492))-1,""))</f>
        <v/>
      </c>
      <c r="AC492" t="str">
        <f t="shared" si="161"/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62"/>
        <v/>
      </c>
      <c r="AH492" s="39" t="str">
        <f t="shared" si="163"/>
        <v/>
      </c>
      <c r="AI492" s="39" t="str">
        <f t="shared" si="164"/>
        <v/>
      </c>
      <c r="AJ492" s="39" t="str">
        <f t="shared" si="165"/>
        <v/>
      </c>
      <c r="AK492" t="str">
        <f t="shared" si="166"/>
        <v/>
      </c>
      <c r="AL492" t="str">
        <f t="shared" si="167"/>
        <v/>
      </c>
    </row>
    <row r="493" spans="11:38" ht="15">
      <c r="K493" t="str">
        <f t="shared" si="147"/>
        <v/>
      </c>
      <c r="L493" t="str">
        <f t="shared" si="148"/>
        <v/>
      </c>
      <c r="M493" s="36" t="str">
        <f t="shared" si="149"/>
        <v/>
      </c>
      <c r="N493" s="37" t="str">
        <f t="shared" si="150"/>
        <v/>
      </c>
      <c r="O493" s="37" t="str">
        <f t="shared" si="151"/>
        <v/>
      </c>
      <c r="P493" s="38" t="str">
        <f t="shared" si="152"/>
        <v/>
      </c>
      <c r="Q493" s="39" t="str">
        <f t="shared" si="153"/>
        <v/>
      </c>
      <c r="R493" s="39" t="str">
        <f t="shared" si="154"/>
        <v/>
      </c>
      <c r="S493" t="str">
        <f t="shared" si="155"/>
        <v/>
      </c>
      <c r="T493" s="39" t="str">
        <f t="shared" si="156"/>
        <v/>
      </c>
      <c r="U493" t="str">
        <f t="shared" si="157"/>
        <v/>
      </c>
      <c r="V493" t="str">
        <f>IF(L493="","",IF($AO$1=1,IFERROR(MATCH(L493,'11-تشرين الثاني'!$L$2:$L$501,0),0),0))</f>
        <v/>
      </c>
      <c r="W493" t="str">
        <f t="shared" si="158"/>
        <v/>
      </c>
      <c r="X493" s="38" t="str">
        <f>IF(L493="","",IF(V493&gt;0,INDEX('11-تشرين الثاني'!$P$2:$P$501,V493),IF($AO$1=1,0,"")))</f>
        <v/>
      </c>
      <c r="Y493" s="38" t="str">
        <f t="shared" si="159"/>
        <v/>
      </c>
      <c r="Z493" s="39" t="str">
        <f>IF(L493="","",IF(V493&gt;0,INDEX('11-تشرين الثاني'!$Q$2:$Q$501,V493),IF($AO$1=1,0,"")))</f>
        <v/>
      </c>
      <c r="AA493" s="39" t="str">
        <f t="shared" si="160"/>
        <v/>
      </c>
      <c r="AB493" s="40" t="str">
        <f>IF(OR(L493="",V493=0),"",IF(AND(N(I493)&gt;0,N(INDEX('11-تشرين الثاني'!$I$2:$I$501,V493))&gt;0,INDEX('11-تشرين الثاني'!$F$2:$F$501,V493)=F493),N(I493)/N(INDEX('11-تشرين الثاني'!$I$2:$I$501,V493))-1,""))</f>
        <v/>
      </c>
      <c r="AC493" t="str">
        <f t="shared" si="161"/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62"/>
        <v/>
      </c>
      <c r="AH493" s="39" t="str">
        <f t="shared" si="163"/>
        <v/>
      </c>
      <c r="AI493" s="39" t="str">
        <f t="shared" si="164"/>
        <v/>
      </c>
      <c r="AJ493" s="39" t="str">
        <f t="shared" si="165"/>
        <v/>
      </c>
      <c r="AK493" t="str">
        <f t="shared" si="166"/>
        <v/>
      </c>
      <c r="AL493" t="str">
        <f t="shared" si="167"/>
        <v/>
      </c>
    </row>
    <row r="494" spans="11:38" ht="15">
      <c r="K494" t="str">
        <f t="shared" si="147"/>
        <v/>
      </c>
      <c r="L494" t="str">
        <f t="shared" si="148"/>
        <v/>
      </c>
      <c r="M494" s="36" t="str">
        <f t="shared" si="149"/>
        <v/>
      </c>
      <c r="N494" s="37" t="str">
        <f t="shared" si="150"/>
        <v/>
      </c>
      <c r="O494" s="37" t="str">
        <f t="shared" si="151"/>
        <v/>
      </c>
      <c r="P494" s="38" t="str">
        <f t="shared" si="152"/>
        <v/>
      </c>
      <c r="Q494" s="39" t="str">
        <f t="shared" si="153"/>
        <v/>
      </c>
      <c r="R494" s="39" t="str">
        <f t="shared" si="154"/>
        <v/>
      </c>
      <c r="S494" t="str">
        <f t="shared" si="155"/>
        <v/>
      </c>
      <c r="T494" s="39" t="str">
        <f t="shared" si="156"/>
        <v/>
      </c>
      <c r="U494" t="str">
        <f t="shared" si="157"/>
        <v/>
      </c>
      <c r="V494" t="str">
        <f>IF(L494="","",IF($AO$1=1,IFERROR(MATCH(L494,'11-تشرين الثاني'!$L$2:$L$501,0),0),0))</f>
        <v/>
      </c>
      <c r="W494" t="str">
        <f t="shared" si="158"/>
        <v/>
      </c>
      <c r="X494" s="38" t="str">
        <f>IF(L494="","",IF(V494&gt;0,INDEX('11-تشرين الثاني'!$P$2:$P$501,V494),IF($AO$1=1,0,"")))</f>
        <v/>
      </c>
      <c r="Y494" s="38" t="str">
        <f t="shared" si="159"/>
        <v/>
      </c>
      <c r="Z494" s="39" t="str">
        <f>IF(L494="","",IF(V494&gt;0,INDEX('11-تشرين الثاني'!$Q$2:$Q$501,V494),IF($AO$1=1,0,"")))</f>
        <v/>
      </c>
      <c r="AA494" s="39" t="str">
        <f t="shared" si="160"/>
        <v/>
      </c>
      <c r="AB494" s="40" t="str">
        <f>IF(OR(L494="",V494=0),"",IF(AND(N(I494)&gt;0,N(INDEX('11-تشرين الثاني'!$I$2:$I$501,V494))&gt;0,INDEX('11-تشرين الثاني'!$F$2:$F$501,V494)=F494),N(I494)/N(INDEX('11-تشرين الثاني'!$I$2:$I$501,V494))-1,""))</f>
        <v/>
      </c>
      <c r="AC494" t="str">
        <f t="shared" si="161"/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62"/>
        <v/>
      </c>
      <c r="AH494" s="39" t="str">
        <f t="shared" si="163"/>
        <v/>
      </c>
      <c r="AI494" s="39" t="str">
        <f t="shared" si="164"/>
        <v/>
      </c>
      <c r="AJ494" s="39" t="str">
        <f t="shared" si="165"/>
        <v/>
      </c>
      <c r="AK494" t="str">
        <f t="shared" si="166"/>
        <v/>
      </c>
      <c r="AL494" t="str">
        <f t="shared" si="167"/>
        <v/>
      </c>
    </row>
    <row r="495" spans="11:38" ht="15">
      <c r="K495" t="str">
        <f t="shared" si="147"/>
        <v/>
      </c>
      <c r="L495" t="str">
        <f t="shared" si="148"/>
        <v/>
      </c>
      <c r="M495" s="36" t="str">
        <f t="shared" si="149"/>
        <v/>
      </c>
      <c r="N495" s="37" t="str">
        <f t="shared" si="150"/>
        <v/>
      </c>
      <c r="O495" s="37" t="str">
        <f t="shared" si="151"/>
        <v/>
      </c>
      <c r="P495" s="38" t="str">
        <f t="shared" si="152"/>
        <v/>
      </c>
      <c r="Q495" s="39" t="str">
        <f t="shared" si="153"/>
        <v/>
      </c>
      <c r="R495" s="39" t="str">
        <f t="shared" si="154"/>
        <v/>
      </c>
      <c r="S495" t="str">
        <f t="shared" si="155"/>
        <v/>
      </c>
      <c r="T495" s="39" t="str">
        <f t="shared" si="156"/>
        <v/>
      </c>
      <c r="U495" t="str">
        <f t="shared" si="157"/>
        <v/>
      </c>
      <c r="V495" t="str">
        <f>IF(L495="","",IF($AO$1=1,IFERROR(MATCH(L495,'11-تشرين الثاني'!$L$2:$L$501,0),0),0))</f>
        <v/>
      </c>
      <c r="W495" t="str">
        <f t="shared" si="158"/>
        <v/>
      </c>
      <c r="X495" s="38" t="str">
        <f>IF(L495="","",IF(V495&gt;0,INDEX('11-تشرين الثاني'!$P$2:$P$501,V495),IF($AO$1=1,0,"")))</f>
        <v/>
      </c>
      <c r="Y495" s="38" t="str">
        <f t="shared" si="159"/>
        <v/>
      </c>
      <c r="Z495" s="39" t="str">
        <f>IF(L495="","",IF(V495&gt;0,INDEX('11-تشرين الثاني'!$Q$2:$Q$501,V495),IF($AO$1=1,0,"")))</f>
        <v/>
      </c>
      <c r="AA495" s="39" t="str">
        <f t="shared" si="160"/>
        <v/>
      </c>
      <c r="AB495" s="40" t="str">
        <f>IF(OR(L495="",V495=0),"",IF(AND(N(I495)&gt;0,N(INDEX('11-تشرين الثاني'!$I$2:$I$501,V495))&gt;0,INDEX('11-تشرين الثاني'!$F$2:$F$501,V495)=F495),N(I495)/N(INDEX('11-تشرين الثاني'!$I$2:$I$501,V495))-1,""))</f>
        <v/>
      </c>
      <c r="AC495" t="str">
        <f t="shared" si="161"/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62"/>
        <v/>
      </c>
      <c r="AH495" s="39" t="str">
        <f t="shared" si="163"/>
        <v/>
      </c>
      <c r="AI495" s="39" t="str">
        <f t="shared" si="164"/>
        <v/>
      </c>
      <c r="AJ495" s="39" t="str">
        <f t="shared" si="165"/>
        <v/>
      </c>
      <c r="AK495" t="str">
        <f t="shared" si="166"/>
        <v/>
      </c>
      <c r="AL495" t="str">
        <f t="shared" si="167"/>
        <v/>
      </c>
    </row>
    <row r="496" spans="11:38" ht="15">
      <c r="K496" t="str">
        <f t="shared" si="147"/>
        <v/>
      </c>
      <c r="L496" t="str">
        <f t="shared" si="148"/>
        <v/>
      </c>
      <c r="M496" s="36" t="str">
        <f t="shared" si="149"/>
        <v/>
      </c>
      <c r="N496" s="37" t="str">
        <f t="shared" si="150"/>
        <v/>
      </c>
      <c r="O496" s="37" t="str">
        <f t="shared" si="151"/>
        <v/>
      </c>
      <c r="P496" s="38" t="str">
        <f t="shared" si="152"/>
        <v/>
      </c>
      <c r="Q496" s="39" t="str">
        <f t="shared" si="153"/>
        <v/>
      </c>
      <c r="R496" s="39" t="str">
        <f t="shared" si="154"/>
        <v/>
      </c>
      <c r="S496" t="str">
        <f t="shared" si="155"/>
        <v/>
      </c>
      <c r="T496" s="39" t="str">
        <f t="shared" si="156"/>
        <v/>
      </c>
      <c r="U496" t="str">
        <f t="shared" si="157"/>
        <v/>
      </c>
      <c r="V496" t="str">
        <f>IF(L496="","",IF($AO$1=1,IFERROR(MATCH(L496,'11-تشرين الثاني'!$L$2:$L$501,0),0),0))</f>
        <v/>
      </c>
      <c r="W496" t="str">
        <f t="shared" si="158"/>
        <v/>
      </c>
      <c r="X496" s="38" t="str">
        <f>IF(L496="","",IF(V496&gt;0,INDEX('11-تشرين الثاني'!$P$2:$P$501,V496),IF($AO$1=1,0,"")))</f>
        <v/>
      </c>
      <c r="Y496" s="38" t="str">
        <f t="shared" si="159"/>
        <v/>
      </c>
      <c r="Z496" s="39" t="str">
        <f>IF(L496="","",IF(V496&gt;0,INDEX('11-تشرين الثاني'!$Q$2:$Q$501,V496),IF($AO$1=1,0,"")))</f>
        <v/>
      </c>
      <c r="AA496" s="39" t="str">
        <f t="shared" si="160"/>
        <v/>
      </c>
      <c r="AB496" s="40" t="str">
        <f>IF(OR(L496="",V496=0),"",IF(AND(N(I496)&gt;0,N(INDEX('11-تشرين الثاني'!$I$2:$I$501,V496))&gt;0,INDEX('11-تشرين الثاني'!$F$2:$F$501,V496)=F496),N(I496)/N(INDEX('11-تشرين الثاني'!$I$2:$I$501,V496))-1,""))</f>
        <v/>
      </c>
      <c r="AC496" t="str">
        <f t="shared" si="161"/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62"/>
        <v/>
      </c>
      <c r="AH496" s="39" t="str">
        <f t="shared" si="163"/>
        <v/>
      </c>
      <c r="AI496" s="39" t="str">
        <f t="shared" si="164"/>
        <v/>
      </c>
      <c r="AJ496" s="39" t="str">
        <f t="shared" si="165"/>
        <v/>
      </c>
      <c r="AK496" t="str">
        <f t="shared" si="166"/>
        <v/>
      </c>
      <c r="AL496" t="str">
        <f t="shared" si="167"/>
        <v/>
      </c>
    </row>
    <row r="497" spans="11:38" ht="15">
      <c r="K497" t="str">
        <f t="shared" si="147"/>
        <v/>
      </c>
      <c r="L497" t="str">
        <f t="shared" si="148"/>
        <v/>
      </c>
      <c r="M497" s="36" t="str">
        <f t="shared" si="149"/>
        <v/>
      </c>
      <c r="N497" s="37" t="str">
        <f t="shared" si="150"/>
        <v/>
      </c>
      <c r="O497" s="37" t="str">
        <f t="shared" si="151"/>
        <v/>
      </c>
      <c r="P497" s="38" t="str">
        <f t="shared" si="152"/>
        <v/>
      </c>
      <c r="Q497" s="39" t="str">
        <f t="shared" si="153"/>
        <v/>
      </c>
      <c r="R497" s="39" t="str">
        <f t="shared" si="154"/>
        <v/>
      </c>
      <c r="S497" t="str">
        <f t="shared" si="155"/>
        <v/>
      </c>
      <c r="T497" s="39" t="str">
        <f t="shared" si="156"/>
        <v/>
      </c>
      <c r="U497" t="str">
        <f t="shared" si="157"/>
        <v/>
      </c>
      <c r="V497" t="str">
        <f>IF(L497="","",IF($AO$1=1,IFERROR(MATCH(L497,'11-تشرين الثاني'!$L$2:$L$501,0),0),0))</f>
        <v/>
      </c>
      <c r="W497" t="str">
        <f t="shared" si="158"/>
        <v/>
      </c>
      <c r="X497" s="38" t="str">
        <f>IF(L497="","",IF(V497&gt;0,INDEX('11-تشرين الثاني'!$P$2:$P$501,V497),IF($AO$1=1,0,"")))</f>
        <v/>
      </c>
      <c r="Y497" s="38" t="str">
        <f t="shared" si="159"/>
        <v/>
      </c>
      <c r="Z497" s="39" t="str">
        <f>IF(L497="","",IF(V497&gt;0,INDEX('11-تشرين الثاني'!$Q$2:$Q$501,V497),IF($AO$1=1,0,"")))</f>
        <v/>
      </c>
      <c r="AA497" s="39" t="str">
        <f t="shared" si="160"/>
        <v/>
      </c>
      <c r="AB497" s="40" t="str">
        <f>IF(OR(L497="",V497=0),"",IF(AND(N(I497)&gt;0,N(INDEX('11-تشرين الثاني'!$I$2:$I$501,V497))&gt;0,INDEX('11-تشرين الثاني'!$F$2:$F$501,V497)=F497),N(I497)/N(INDEX('11-تشرين الثاني'!$I$2:$I$501,V497))-1,""))</f>
        <v/>
      </c>
      <c r="AC497" t="str">
        <f t="shared" si="161"/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62"/>
        <v/>
      </c>
      <c r="AH497" s="39" t="str">
        <f t="shared" si="163"/>
        <v/>
      </c>
      <c r="AI497" s="39" t="str">
        <f t="shared" si="164"/>
        <v/>
      </c>
      <c r="AJ497" s="39" t="str">
        <f t="shared" si="165"/>
        <v/>
      </c>
      <c r="AK497" t="str">
        <f t="shared" si="166"/>
        <v/>
      </c>
      <c r="AL497" t="str">
        <f t="shared" si="167"/>
        <v/>
      </c>
    </row>
    <row r="498" spans="11:38" ht="15">
      <c r="K498" t="str">
        <f t="shared" si="147"/>
        <v/>
      </c>
      <c r="L498" t="str">
        <f t="shared" si="148"/>
        <v/>
      </c>
      <c r="M498" s="36" t="str">
        <f t="shared" si="149"/>
        <v/>
      </c>
      <c r="N498" s="37" t="str">
        <f t="shared" si="150"/>
        <v/>
      </c>
      <c r="O498" s="37" t="str">
        <f t="shared" si="151"/>
        <v/>
      </c>
      <c r="P498" s="38" t="str">
        <f t="shared" si="152"/>
        <v/>
      </c>
      <c r="Q498" s="39" t="str">
        <f t="shared" si="153"/>
        <v/>
      </c>
      <c r="R498" s="39" t="str">
        <f t="shared" si="154"/>
        <v/>
      </c>
      <c r="S498" t="str">
        <f t="shared" si="155"/>
        <v/>
      </c>
      <c r="T498" s="39" t="str">
        <f t="shared" si="156"/>
        <v/>
      </c>
      <c r="U498" t="str">
        <f t="shared" si="157"/>
        <v/>
      </c>
      <c r="V498" t="str">
        <f>IF(L498="","",IF($AO$1=1,IFERROR(MATCH(L498,'11-تشرين الثاني'!$L$2:$L$501,0),0),0))</f>
        <v/>
      </c>
      <c r="W498" t="str">
        <f t="shared" si="158"/>
        <v/>
      </c>
      <c r="X498" s="38" t="str">
        <f>IF(L498="","",IF(V498&gt;0,INDEX('11-تشرين الثاني'!$P$2:$P$501,V498),IF($AO$1=1,0,"")))</f>
        <v/>
      </c>
      <c r="Y498" s="38" t="str">
        <f t="shared" si="159"/>
        <v/>
      </c>
      <c r="Z498" s="39" t="str">
        <f>IF(L498="","",IF(V498&gt;0,INDEX('11-تشرين الثاني'!$Q$2:$Q$501,V498),IF($AO$1=1,0,"")))</f>
        <v/>
      </c>
      <c r="AA498" s="39" t="str">
        <f t="shared" si="160"/>
        <v/>
      </c>
      <c r="AB498" s="40" t="str">
        <f>IF(OR(L498="",V498=0),"",IF(AND(N(I498)&gt;0,N(INDEX('11-تشرين الثاني'!$I$2:$I$501,V498))&gt;0,INDEX('11-تشرين الثاني'!$F$2:$F$501,V498)=F498),N(I498)/N(INDEX('11-تشرين الثاني'!$I$2:$I$501,V498))-1,""))</f>
        <v/>
      </c>
      <c r="AC498" t="str">
        <f t="shared" si="161"/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62"/>
        <v/>
      </c>
      <c r="AH498" s="39" t="str">
        <f t="shared" si="163"/>
        <v/>
      </c>
      <c r="AI498" s="39" t="str">
        <f t="shared" si="164"/>
        <v/>
      </c>
      <c r="AJ498" s="39" t="str">
        <f t="shared" si="165"/>
        <v/>
      </c>
      <c r="AK498" t="str">
        <f t="shared" si="166"/>
        <v/>
      </c>
      <c r="AL498" t="str">
        <f t="shared" si="167"/>
        <v/>
      </c>
    </row>
    <row r="499" spans="11:38" ht="15">
      <c r="K499" t="str">
        <f t="shared" si="147"/>
        <v/>
      </c>
      <c r="L499" t="str">
        <f t="shared" si="148"/>
        <v/>
      </c>
      <c r="M499" s="36" t="str">
        <f t="shared" si="149"/>
        <v/>
      </c>
      <c r="N499" s="37" t="str">
        <f t="shared" si="150"/>
        <v/>
      </c>
      <c r="O499" s="37" t="str">
        <f t="shared" si="151"/>
        <v/>
      </c>
      <c r="P499" s="38" t="str">
        <f t="shared" si="152"/>
        <v/>
      </c>
      <c r="Q499" s="39" t="str">
        <f t="shared" si="153"/>
        <v/>
      </c>
      <c r="R499" s="39" t="str">
        <f t="shared" si="154"/>
        <v/>
      </c>
      <c r="S499" t="str">
        <f t="shared" si="155"/>
        <v/>
      </c>
      <c r="T499" s="39" t="str">
        <f t="shared" si="156"/>
        <v/>
      </c>
      <c r="U499" t="str">
        <f t="shared" si="157"/>
        <v/>
      </c>
      <c r="V499" t="str">
        <f>IF(L499="","",IF($AO$1=1,IFERROR(MATCH(L499,'11-تشرين الثاني'!$L$2:$L$501,0),0),0))</f>
        <v/>
      </c>
      <c r="W499" t="str">
        <f t="shared" si="158"/>
        <v/>
      </c>
      <c r="X499" s="38" t="str">
        <f>IF(L499="","",IF(V499&gt;0,INDEX('11-تشرين الثاني'!$P$2:$P$501,V499),IF($AO$1=1,0,"")))</f>
        <v/>
      </c>
      <c r="Y499" s="38" t="str">
        <f t="shared" si="159"/>
        <v/>
      </c>
      <c r="Z499" s="39" t="str">
        <f>IF(L499="","",IF(V499&gt;0,INDEX('11-تشرين الثاني'!$Q$2:$Q$501,V499),IF($AO$1=1,0,"")))</f>
        <v/>
      </c>
      <c r="AA499" s="39" t="str">
        <f t="shared" si="160"/>
        <v/>
      </c>
      <c r="AB499" s="40" t="str">
        <f>IF(OR(L499="",V499=0),"",IF(AND(N(I499)&gt;0,N(INDEX('11-تشرين الثاني'!$I$2:$I$501,V499))&gt;0,INDEX('11-تشرين الثاني'!$F$2:$F$501,V499)=F499),N(I499)/N(INDEX('11-تشرين الثاني'!$I$2:$I$501,V499))-1,""))</f>
        <v/>
      </c>
      <c r="AC499" t="str">
        <f t="shared" si="161"/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62"/>
        <v/>
      </c>
      <c r="AH499" s="39" t="str">
        <f t="shared" si="163"/>
        <v/>
      </c>
      <c r="AI499" s="39" t="str">
        <f t="shared" si="164"/>
        <v/>
      </c>
      <c r="AJ499" s="39" t="str">
        <f t="shared" si="165"/>
        <v/>
      </c>
      <c r="AK499" t="str">
        <f t="shared" si="166"/>
        <v/>
      </c>
      <c r="AL499" t="str">
        <f t="shared" si="167"/>
        <v/>
      </c>
    </row>
    <row r="500" spans="11:38" ht="15">
      <c r="K500" t="str">
        <f t="shared" si="147"/>
        <v/>
      </c>
      <c r="L500" t="str">
        <f t="shared" si="148"/>
        <v/>
      </c>
      <c r="M500" s="36" t="str">
        <f t="shared" si="149"/>
        <v/>
      </c>
      <c r="N500" s="37" t="str">
        <f t="shared" si="150"/>
        <v/>
      </c>
      <c r="O500" s="37" t="str">
        <f t="shared" si="151"/>
        <v/>
      </c>
      <c r="P500" s="38" t="str">
        <f t="shared" si="152"/>
        <v/>
      </c>
      <c r="Q500" s="39" t="str">
        <f t="shared" si="153"/>
        <v/>
      </c>
      <c r="R500" s="39" t="str">
        <f t="shared" si="154"/>
        <v/>
      </c>
      <c r="S500" t="str">
        <f t="shared" si="155"/>
        <v/>
      </c>
      <c r="T500" s="39" t="str">
        <f t="shared" si="156"/>
        <v/>
      </c>
      <c r="U500" t="str">
        <f t="shared" si="157"/>
        <v/>
      </c>
      <c r="V500" t="str">
        <f>IF(L500="","",IF($AO$1=1,IFERROR(MATCH(L500,'11-تشرين الثاني'!$L$2:$L$501,0),0),0))</f>
        <v/>
      </c>
      <c r="W500" t="str">
        <f t="shared" si="158"/>
        <v/>
      </c>
      <c r="X500" s="38" t="str">
        <f>IF(L500="","",IF(V500&gt;0,INDEX('11-تشرين الثاني'!$P$2:$P$501,V500),IF($AO$1=1,0,"")))</f>
        <v/>
      </c>
      <c r="Y500" s="38" t="str">
        <f t="shared" si="159"/>
        <v/>
      </c>
      <c r="Z500" s="39" t="str">
        <f>IF(L500="","",IF(V500&gt;0,INDEX('11-تشرين الثاني'!$Q$2:$Q$501,V500),IF($AO$1=1,0,"")))</f>
        <v/>
      </c>
      <c r="AA500" s="39" t="str">
        <f t="shared" si="160"/>
        <v/>
      </c>
      <c r="AB500" s="40" t="str">
        <f>IF(OR(L500="",V500=0),"",IF(AND(N(I500)&gt;0,N(INDEX('11-تشرين الثاني'!$I$2:$I$501,V500))&gt;0,INDEX('11-تشرين الثاني'!$F$2:$F$501,V500)=F500),N(I500)/N(INDEX('11-تشرين الثاني'!$I$2:$I$501,V500))-1,""))</f>
        <v/>
      </c>
      <c r="AC500" t="str">
        <f t="shared" si="161"/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62"/>
        <v/>
      </c>
      <c r="AH500" s="39" t="str">
        <f t="shared" si="163"/>
        <v/>
      </c>
      <c r="AI500" s="39" t="str">
        <f t="shared" si="164"/>
        <v/>
      </c>
      <c r="AJ500" s="39" t="str">
        <f t="shared" si="165"/>
        <v/>
      </c>
      <c r="AK500" t="str">
        <f t="shared" si="166"/>
        <v/>
      </c>
      <c r="AL500" t="str">
        <f t="shared" si="167"/>
        <v/>
      </c>
    </row>
    <row r="501" spans="11:38" ht="15">
      <c r="K501" t="str">
        <f t="shared" si="147"/>
        <v/>
      </c>
      <c r="L501" t="str">
        <f t="shared" si="148"/>
        <v/>
      </c>
      <c r="M501" s="36" t="str">
        <f t="shared" si="149"/>
        <v/>
      </c>
      <c r="N501" s="37" t="str">
        <f t="shared" si="150"/>
        <v/>
      </c>
      <c r="O501" s="37" t="str">
        <f t="shared" si="151"/>
        <v/>
      </c>
      <c r="P501" s="38" t="str">
        <f t="shared" si="152"/>
        <v/>
      </c>
      <c r="Q501" s="39" t="str">
        <f t="shared" si="153"/>
        <v/>
      </c>
      <c r="R501" s="39" t="str">
        <f t="shared" si="154"/>
        <v/>
      </c>
      <c r="S501" t="str">
        <f t="shared" si="155"/>
        <v/>
      </c>
      <c r="T501" s="39" t="str">
        <f t="shared" si="156"/>
        <v/>
      </c>
      <c r="U501" t="str">
        <f t="shared" si="157"/>
        <v/>
      </c>
      <c r="V501" t="str">
        <f>IF(L501="","",IF($AO$1=1,IFERROR(MATCH(L501,'11-تشرين الثاني'!$L$2:$L$501,0),0),0))</f>
        <v/>
      </c>
      <c r="W501" t="str">
        <f t="shared" si="158"/>
        <v/>
      </c>
      <c r="X501" s="38" t="str">
        <f>IF(L501="","",IF(V501&gt;0,INDEX('11-تشرين الثاني'!$P$2:$P$501,V501),IF($AO$1=1,0,"")))</f>
        <v/>
      </c>
      <c r="Y501" s="38" t="str">
        <f t="shared" si="159"/>
        <v/>
      </c>
      <c r="Z501" s="39" t="str">
        <f>IF(L501="","",IF(V501&gt;0,INDEX('11-تشرين الثاني'!$Q$2:$Q$501,V501),IF($AO$1=1,0,"")))</f>
        <v/>
      </c>
      <c r="AA501" s="39" t="str">
        <f t="shared" si="160"/>
        <v/>
      </c>
      <c r="AB501" s="40" t="str">
        <f>IF(OR(L501="",V501=0),"",IF(AND(N(I501)&gt;0,N(INDEX('11-تشرين الثاني'!$I$2:$I$501,V501))&gt;0,INDEX('11-تشرين الثاني'!$F$2:$F$501,V501)=F501),N(I501)/N(INDEX('11-تشرين الثاني'!$I$2:$I$501,V501))-1,""))</f>
        <v/>
      </c>
      <c r="AC501" t="str">
        <f t="shared" si="161"/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62"/>
        <v/>
      </c>
      <c r="AH501" s="39" t="str">
        <f t="shared" si="163"/>
        <v/>
      </c>
      <c r="AI501" s="39" t="str">
        <f t="shared" si="164"/>
        <v/>
      </c>
      <c r="AJ501" s="39" t="str">
        <f t="shared" si="165"/>
        <v/>
      </c>
      <c r="AK501" t="str">
        <f t="shared" si="166"/>
        <v/>
      </c>
      <c r="AL501" t="str">
        <f t="shared" si="167"/>
        <v/>
      </c>
    </row>
  </sheetData>
  <autoFilter ref="A1:AL501" xr:uid="{00000000-0009-0000-0000-000011000000}"/>
  <conditionalFormatting sqref="K1">
    <cfRule type="expression" dxfId="4" priority="2">
      <formula>LEFT(K1,1)="⚠"</formula>
    </cfRule>
    <cfRule type="expression" dxfId="3" priority="3">
      <formula>LEFT(K1,1)="✓"</formula>
    </cfRule>
  </conditionalFormatting>
  <conditionalFormatting sqref="K2:U501">
    <cfRule type="expression" dxfId="2" priority="4">
      <formula>$U2&lt;&gt;""</formula>
    </cfRule>
  </conditionalFormatting>
  <conditionalFormatting sqref="W2:W501">
    <cfRule type="expression" dxfId="1" priority="5">
      <formula>$W2="جديد"</formula>
    </cfRule>
  </conditionalFormatting>
  <conditionalFormatting sqref="AC2:AC501">
    <cfRule type="expression" dxfId="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D7D31"/>
  </sheetPr>
  <dimension ref="A1:G122"/>
  <sheetViews>
    <sheetView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14" customWidth="1"/>
    <col min="2" max="2" width="10" customWidth="1"/>
    <col min="3" max="3" width="40" customWidth="1"/>
    <col min="4" max="6" width="16" customWidth="1"/>
    <col min="7" max="7" width="70" customWidth="1"/>
  </cols>
  <sheetData>
    <row r="1" spans="1:7" ht="15.75">
      <c r="A1" s="43" t="s">
        <v>538</v>
      </c>
    </row>
    <row r="3" spans="1:7" ht="15">
      <c r="A3" s="44" t="s">
        <v>27</v>
      </c>
      <c r="B3" s="44" t="s">
        <v>539</v>
      </c>
      <c r="C3" s="44" t="s">
        <v>96</v>
      </c>
      <c r="D3" s="44" t="s">
        <v>540</v>
      </c>
      <c r="E3" s="44" t="s">
        <v>541</v>
      </c>
      <c r="F3" s="44" t="s">
        <v>542</v>
      </c>
      <c r="G3" s="44" t="s">
        <v>543</v>
      </c>
    </row>
    <row r="4" spans="1:7">
      <c r="A4" s="45" t="s">
        <v>43</v>
      </c>
      <c r="B4" s="45">
        <v>32</v>
      </c>
      <c r="C4" s="45" t="s">
        <v>298</v>
      </c>
      <c r="D4" s="45" t="s">
        <v>63</v>
      </c>
      <c r="E4" s="45" t="s">
        <v>12</v>
      </c>
      <c r="F4" s="45" t="s">
        <v>176</v>
      </c>
      <c r="G4" s="45" t="s">
        <v>544</v>
      </c>
    </row>
    <row r="5" spans="1:7">
      <c r="A5" s="45" t="s">
        <v>43</v>
      </c>
      <c r="B5" s="45">
        <v>38</v>
      </c>
      <c r="C5" s="45" t="s">
        <v>304</v>
      </c>
      <c r="D5" s="45" t="s">
        <v>63</v>
      </c>
      <c r="E5" s="45" t="s">
        <v>178</v>
      </c>
      <c r="F5" s="45" t="s">
        <v>176</v>
      </c>
      <c r="G5" s="45" t="s">
        <v>544</v>
      </c>
    </row>
    <row r="6" spans="1:7">
      <c r="A6" s="45" t="s">
        <v>43</v>
      </c>
      <c r="B6" s="45">
        <v>53</v>
      </c>
      <c r="C6" s="45" t="s">
        <v>319</v>
      </c>
      <c r="D6" s="45" t="s">
        <v>63</v>
      </c>
      <c r="E6" s="45" t="s">
        <v>178</v>
      </c>
      <c r="F6" s="45" t="s">
        <v>176</v>
      </c>
      <c r="G6" s="45" t="s">
        <v>544</v>
      </c>
    </row>
    <row r="7" spans="1:7">
      <c r="A7" s="45" t="s">
        <v>43</v>
      </c>
      <c r="B7" s="45">
        <v>127</v>
      </c>
      <c r="C7" s="45" t="s">
        <v>394</v>
      </c>
      <c r="D7" s="45" t="s">
        <v>63</v>
      </c>
      <c r="E7" s="45" t="s">
        <v>178</v>
      </c>
      <c r="F7" s="45" t="s">
        <v>12</v>
      </c>
      <c r="G7" s="45" t="s">
        <v>544</v>
      </c>
    </row>
    <row r="8" spans="1:7">
      <c r="A8" s="45" t="s">
        <v>43</v>
      </c>
      <c r="B8" s="45">
        <v>128</v>
      </c>
      <c r="C8" s="45" t="s">
        <v>395</v>
      </c>
      <c r="D8" s="45" t="s">
        <v>545</v>
      </c>
      <c r="E8" s="45">
        <v>50000</v>
      </c>
      <c r="F8" s="45">
        <v>5000</v>
      </c>
      <c r="G8" s="45" t="s">
        <v>546</v>
      </c>
    </row>
    <row r="9" spans="1:7">
      <c r="A9" s="45" t="s">
        <v>43</v>
      </c>
      <c r="B9" s="45">
        <v>141</v>
      </c>
      <c r="C9" s="45" t="s">
        <v>408</v>
      </c>
      <c r="D9" s="45" t="s">
        <v>63</v>
      </c>
      <c r="E9" s="45" t="s">
        <v>178</v>
      </c>
      <c r="F9" s="45" t="s">
        <v>12</v>
      </c>
      <c r="G9" s="45" t="s">
        <v>544</v>
      </c>
    </row>
    <row r="10" spans="1:7">
      <c r="A10" s="45" t="s">
        <v>43</v>
      </c>
      <c r="B10" s="45">
        <v>142</v>
      </c>
      <c r="C10" s="45" t="s">
        <v>409</v>
      </c>
      <c r="D10" s="45" t="s">
        <v>63</v>
      </c>
      <c r="E10" s="45" t="s">
        <v>178</v>
      </c>
      <c r="F10" s="45" t="s">
        <v>12</v>
      </c>
      <c r="G10" s="45" t="s">
        <v>544</v>
      </c>
    </row>
    <row r="11" spans="1:7">
      <c r="A11" s="45" t="s">
        <v>43</v>
      </c>
      <c r="B11" s="45">
        <v>143</v>
      </c>
      <c r="C11" s="45" t="s">
        <v>547</v>
      </c>
      <c r="D11" s="45" t="s">
        <v>545</v>
      </c>
      <c r="E11" s="45">
        <v>0</v>
      </c>
      <c r="F11" s="45">
        <v>3200</v>
      </c>
      <c r="G11" s="45" t="s">
        <v>548</v>
      </c>
    </row>
    <row r="12" spans="1:7">
      <c r="A12" s="45" t="s">
        <v>43</v>
      </c>
      <c r="B12" s="45">
        <v>144</v>
      </c>
      <c r="C12" s="45" t="s">
        <v>411</v>
      </c>
      <c r="D12" s="45" t="s">
        <v>545</v>
      </c>
      <c r="E12" s="45">
        <v>0</v>
      </c>
      <c r="F12" s="45">
        <v>12700</v>
      </c>
      <c r="G12" s="45" t="s">
        <v>548</v>
      </c>
    </row>
    <row r="13" spans="1:7">
      <c r="A13" s="45" t="s">
        <v>43</v>
      </c>
      <c r="B13" s="45">
        <v>146</v>
      </c>
      <c r="C13" s="45" t="s">
        <v>549</v>
      </c>
      <c r="D13" s="45" t="s">
        <v>97</v>
      </c>
      <c r="E13" s="45">
        <v>-0.33</v>
      </c>
      <c r="F13" s="45">
        <v>0</v>
      </c>
      <c r="G13" s="45" t="s">
        <v>550</v>
      </c>
    </row>
    <row r="14" spans="1:7">
      <c r="A14" s="45" t="s">
        <v>43</v>
      </c>
      <c r="B14" s="45">
        <v>149</v>
      </c>
      <c r="C14" s="45" t="s">
        <v>415</v>
      </c>
      <c r="D14" s="45" t="s">
        <v>63</v>
      </c>
      <c r="E14" s="45" t="s">
        <v>178</v>
      </c>
      <c r="F14" s="45" t="s">
        <v>12</v>
      </c>
      <c r="G14" s="45" t="s">
        <v>544</v>
      </c>
    </row>
    <row r="15" spans="1:7">
      <c r="A15" s="45" t="s">
        <v>43</v>
      </c>
      <c r="B15" s="45">
        <v>159</v>
      </c>
      <c r="C15" s="45" t="s">
        <v>425</v>
      </c>
      <c r="D15" s="45" t="s">
        <v>97</v>
      </c>
      <c r="E15" s="45">
        <v>-19</v>
      </c>
      <c r="F15" s="45">
        <v>0</v>
      </c>
      <c r="G15" s="45" t="s">
        <v>550</v>
      </c>
    </row>
    <row r="16" spans="1:7">
      <c r="A16" s="45" t="s">
        <v>43</v>
      </c>
      <c r="B16" s="45">
        <v>163</v>
      </c>
      <c r="C16" s="45" t="s">
        <v>429</v>
      </c>
      <c r="D16" s="45" t="s">
        <v>97</v>
      </c>
      <c r="E16" s="45">
        <v>-0.08</v>
      </c>
      <c r="F16" s="45">
        <v>0</v>
      </c>
      <c r="G16" s="45" t="s">
        <v>550</v>
      </c>
    </row>
    <row r="17" spans="1:7">
      <c r="A17" s="45" t="s">
        <v>43</v>
      </c>
      <c r="B17" s="45">
        <v>187</v>
      </c>
      <c r="C17" s="45" t="s">
        <v>452</v>
      </c>
      <c r="D17" s="45" t="s">
        <v>63</v>
      </c>
      <c r="E17" s="45" t="s">
        <v>178</v>
      </c>
      <c r="F17" s="45" t="s">
        <v>12</v>
      </c>
      <c r="G17" s="45" t="s">
        <v>544</v>
      </c>
    </row>
    <row r="18" spans="1:7">
      <c r="A18" s="45" t="s">
        <v>43</v>
      </c>
      <c r="B18" s="45">
        <v>188</v>
      </c>
      <c r="C18" s="45" t="s">
        <v>551</v>
      </c>
      <c r="D18" s="45" t="s">
        <v>545</v>
      </c>
      <c r="E18" s="45">
        <v>0</v>
      </c>
      <c r="F18" s="45">
        <v>6500</v>
      </c>
      <c r="G18" s="45" t="s">
        <v>548</v>
      </c>
    </row>
    <row r="19" spans="1:7">
      <c r="A19" s="45" t="s">
        <v>43</v>
      </c>
      <c r="B19" s="45">
        <v>189</v>
      </c>
      <c r="C19" s="45" t="s">
        <v>454</v>
      </c>
      <c r="D19" s="45" t="s">
        <v>545</v>
      </c>
      <c r="E19" s="45">
        <v>0</v>
      </c>
      <c r="F19" s="45">
        <v>23000</v>
      </c>
      <c r="G19" s="45" t="s">
        <v>548</v>
      </c>
    </row>
    <row r="20" spans="1:7">
      <c r="A20" s="45" t="s">
        <v>43</v>
      </c>
      <c r="B20" s="45">
        <v>200</v>
      </c>
      <c r="C20" s="45" t="s">
        <v>465</v>
      </c>
      <c r="D20" s="45" t="s">
        <v>545</v>
      </c>
      <c r="E20" s="45">
        <v>0</v>
      </c>
      <c r="F20" s="45">
        <v>12800</v>
      </c>
      <c r="G20" s="45" t="s">
        <v>548</v>
      </c>
    </row>
    <row r="21" spans="1:7">
      <c r="A21" s="45" t="s">
        <v>43</v>
      </c>
      <c r="B21" s="45">
        <v>203</v>
      </c>
      <c r="C21" s="45" t="s">
        <v>552</v>
      </c>
      <c r="D21" s="45" t="s">
        <v>8</v>
      </c>
      <c r="E21" s="45">
        <v>120000</v>
      </c>
      <c r="F21" s="45">
        <v>12000</v>
      </c>
      <c r="G21" s="45" t="s">
        <v>553</v>
      </c>
    </row>
    <row r="22" spans="1:7">
      <c r="A22" s="45" t="s">
        <v>43</v>
      </c>
      <c r="B22" s="45">
        <v>206</v>
      </c>
      <c r="C22" s="45" t="s">
        <v>471</v>
      </c>
      <c r="D22" s="45" t="s">
        <v>545</v>
      </c>
      <c r="E22" s="45">
        <v>0</v>
      </c>
      <c r="F22" s="45">
        <v>2980</v>
      </c>
      <c r="G22" s="45" t="s">
        <v>548</v>
      </c>
    </row>
    <row r="23" spans="1:7">
      <c r="A23" s="45" t="s">
        <v>43</v>
      </c>
      <c r="B23" s="45">
        <v>207</v>
      </c>
      <c r="C23" s="45" t="s">
        <v>472</v>
      </c>
      <c r="D23" s="45" t="s">
        <v>545</v>
      </c>
      <c r="E23" s="45">
        <v>0</v>
      </c>
      <c r="F23" s="45">
        <v>4000</v>
      </c>
      <c r="G23" s="45" t="s">
        <v>548</v>
      </c>
    </row>
    <row r="24" spans="1:7">
      <c r="A24" s="45" t="s">
        <v>43</v>
      </c>
      <c r="B24" s="45">
        <v>208</v>
      </c>
      <c r="C24" s="45" t="s">
        <v>473</v>
      </c>
      <c r="D24" s="45" t="s">
        <v>545</v>
      </c>
      <c r="E24" s="45">
        <v>0</v>
      </c>
      <c r="F24" s="45">
        <v>5200</v>
      </c>
      <c r="G24" s="45" t="s">
        <v>548</v>
      </c>
    </row>
    <row r="25" spans="1:7">
      <c r="A25" s="45" t="s">
        <v>43</v>
      </c>
      <c r="B25" s="45">
        <v>209</v>
      </c>
      <c r="C25" s="45" t="s">
        <v>474</v>
      </c>
      <c r="D25" s="45" t="s">
        <v>545</v>
      </c>
      <c r="E25" s="45">
        <v>0</v>
      </c>
      <c r="F25" s="45">
        <v>11600</v>
      </c>
      <c r="G25" s="45" t="s">
        <v>548</v>
      </c>
    </row>
    <row r="26" spans="1:7">
      <c r="A26" s="45" t="s">
        <v>43</v>
      </c>
      <c r="B26" s="45">
        <v>210</v>
      </c>
      <c r="C26" s="45" t="s">
        <v>475</v>
      </c>
      <c r="D26" s="45" t="s">
        <v>545</v>
      </c>
      <c r="E26" s="45">
        <v>0</v>
      </c>
      <c r="F26" s="45">
        <v>11940</v>
      </c>
      <c r="G26" s="45" t="s">
        <v>548</v>
      </c>
    </row>
    <row r="27" spans="1:7">
      <c r="A27" s="45" t="s">
        <v>43</v>
      </c>
      <c r="B27" s="45">
        <v>211</v>
      </c>
      <c r="C27" s="45" t="s">
        <v>476</v>
      </c>
      <c r="D27" s="45" t="s">
        <v>545</v>
      </c>
      <c r="E27" s="45">
        <v>0</v>
      </c>
      <c r="F27" s="45">
        <v>15000</v>
      </c>
      <c r="G27" s="45" t="s">
        <v>548</v>
      </c>
    </row>
    <row r="28" spans="1:7">
      <c r="A28" s="45" t="s">
        <v>43</v>
      </c>
      <c r="B28" s="45">
        <v>212</v>
      </c>
      <c r="C28" s="45" t="s">
        <v>477</v>
      </c>
      <c r="D28" s="45" t="s">
        <v>545</v>
      </c>
      <c r="E28" s="45">
        <v>0</v>
      </c>
      <c r="F28" s="45">
        <v>18600</v>
      </c>
      <c r="G28" s="45" t="s">
        <v>548</v>
      </c>
    </row>
    <row r="29" spans="1:7">
      <c r="A29" s="45" t="s">
        <v>43</v>
      </c>
      <c r="B29" s="45">
        <v>213</v>
      </c>
      <c r="C29" s="45" t="s">
        <v>478</v>
      </c>
      <c r="D29" s="45" t="s">
        <v>545</v>
      </c>
      <c r="E29" s="45">
        <v>0</v>
      </c>
      <c r="F29" s="45">
        <v>38000</v>
      </c>
      <c r="G29" s="45" t="s">
        <v>548</v>
      </c>
    </row>
    <row r="30" spans="1:7">
      <c r="A30" s="45" t="s">
        <v>43</v>
      </c>
      <c r="B30" s="45">
        <v>222</v>
      </c>
      <c r="C30" s="45" t="s">
        <v>554</v>
      </c>
      <c r="D30" s="45" t="s">
        <v>97</v>
      </c>
      <c r="E30" s="45">
        <v>-2</v>
      </c>
      <c r="F30" s="45">
        <v>0</v>
      </c>
      <c r="G30" s="45" t="s">
        <v>550</v>
      </c>
    </row>
    <row r="31" spans="1:7">
      <c r="A31" s="45" t="s">
        <v>43</v>
      </c>
      <c r="B31" s="45">
        <v>225</v>
      </c>
      <c r="C31" s="45" t="s">
        <v>490</v>
      </c>
      <c r="D31" s="45" t="s">
        <v>97</v>
      </c>
      <c r="E31" s="45">
        <v>-7</v>
      </c>
      <c r="F31" s="45">
        <v>0</v>
      </c>
      <c r="G31" s="45" t="s">
        <v>550</v>
      </c>
    </row>
    <row r="32" spans="1:7">
      <c r="A32" s="45" t="s">
        <v>43</v>
      </c>
      <c r="B32" s="45">
        <v>226</v>
      </c>
      <c r="C32" s="45" t="s">
        <v>491</v>
      </c>
      <c r="D32" s="45" t="s">
        <v>97</v>
      </c>
      <c r="E32" s="45">
        <v>-16</v>
      </c>
      <c r="F32" s="45">
        <v>0</v>
      </c>
      <c r="G32" s="45" t="s">
        <v>550</v>
      </c>
    </row>
    <row r="33" spans="1:7">
      <c r="A33" s="45" t="s">
        <v>43</v>
      </c>
      <c r="B33" s="45">
        <v>232</v>
      </c>
      <c r="C33" s="45" t="s">
        <v>497</v>
      </c>
      <c r="D33" s="45" t="s">
        <v>97</v>
      </c>
      <c r="E33" s="45">
        <v>-5</v>
      </c>
      <c r="F33" s="45">
        <v>0</v>
      </c>
      <c r="G33" s="45" t="s">
        <v>550</v>
      </c>
    </row>
    <row r="34" spans="1:7">
      <c r="A34" s="45" t="s">
        <v>43</v>
      </c>
      <c r="B34" s="45">
        <v>234</v>
      </c>
      <c r="C34" s="45" t="s">
        <v>499</v>
      </c>
      <c r="D34" s="45" t="s">
        <v>97</v>
      </c>
      <c r="E34" s="45">
        <v>-20</v>
      </c>
      <c r="F34" s="45">
        <v>0</v>
      </c>
      <c r="G34" s="45" t="s">
        <v>550</v>
      </c>
    </row>
    <row r="35" spans="1:7">
      <c r="A35" s="45" t="s">
        <v>43</v>
      </c>
      <c r="B35" s="45">
        <v>235</v>
      </c>
      <c r="C35" s="45" t="s">
        <v>500</v>
      </c>
      <c r="D35" s="45" t="s">
        <v>97</v>
      </c>
      <c r="E35" s="45">
        <v>-8</v>
      </c>
      <c r="F35" s="45">
        <v>0</v>
      </c>
      <c r="G35" s="45" t="s">
        <v>550</v>
      </c>
    </row>
    <row r="36" spans="1:7">
      <c r="A36" s="45" t="s">
        <v>45</v>
      </c>
      <c r="B36" s="45">
        <v>7</v>
      </c>
      <c r="C36" s="45" t="s">
        <v>394</v>
      </c>
      <c r="D36" s="45" t="s">
        <v>63</v>
      </c>
      <c r="E36" s="45" t="s">
        <v>178</v>
      </c>
      <c r="F36" s="45" t="s">
        <v>12</v>
      </c>
      <c r="G36" s="45" t="s">
        <v>544</v>
      </c>
    </row>
    <row r="37" spans="1:7">
      <c r="A37" s="45" t="s">
        <v>45</v>
      </c>
      <c r="B37" s="45">
        <v>8</v>
      </c>
      <c r="C37" s="45" t="s">
        <v>395</v>
      </c>
      <c r="D37" s="45" t="s">
        <v>545</v>
      </c>
      <c r="E37" s="45">
        <v>50000</v>
      </c>
      <c r="F37" s="45">
        <v>5000</v>
      </c>
      <c r="G37" s="45" t="s">
        <v>546</v>
      </c>
    </row>
    <row r="38" spans="1:7">
      <c r="A38" s="45" t="s">
        <v>45</v>
      </c>
      <c r="B38" s="45">
        <v>23</v>
      </c>
      <c r="C38" s="45" t="s">
        <v>406</v>
      </c>
      <c r="D38" s="45" t="s">
        <v>8</v>
      </c>
      <c r="E38" s="45">
        <v>0</v>
      </c>
      <c r="F38" s="45">
        <v>182000</v>
      </c>
      <c r="G38" s="45" t="s">
        <v>555</v>
      </c>
    </row>
    <row r="39" spans="1:7">
      <c r="A39" s="45" t="s">
        <v>45</v>
      </c>
      <c r="B39" s="45">
        <v>23</v>
      </c>
      <c r="C39" s="45" t="s">
        <v>406</v>
      </c>
      <c r="D39" s="45" t="s">
        <v>229</v>
      </c>
      <c r="E39" s="45">
        <v>0</v>
      </c>
      <c r="F39" s="45">
        <v>182000</v>
      </c>
      <c r="G39" s="45" t="s">
        <v>555</v>
      </c>
    </row>
    <row r="40" spans="1:7">
      <c r="A40" s="45" t="s">
        <v>45</v>
      </c>
      <c r="B40" s="45">
        <v>23</v>
      </c>
      <c r="C40" s="45" t="s">
        <v>406</v>
      </c>
      <c r="D40" s="45" t="s">
        <v>230</v>
      </c>
      <c r="E40" s="45">
        <v>0</v>
      </c>
      <c r="F40" s="45">
        <v>182000</v>
      </c>
      <c r="G40" s="45" t="s">
        <v>555</v>
      </c>
    </row>
    <row r="41" spans="1:7">
      <c r="A41" s="45" t="s">
        <v>45</v>
      </c>
      <c r="B41" s="45">
        <v>26</v>
      </c>
      <c r="C41" s="45" t="s">
        <v>408</v>
      </c>
      <c r="D41" s="45" t="s">
        <v>63</v>
      </c>
      <c r="E41" s="45" t="s">
        <v>178</v>
      </c>
      <c r="F41" s="45" t="s">
        <v>12</v>
      </c>
      <c r="G41" s="45" t="s">
        <v>544</v>
      </c>
    </row>
    <row r="42" spans="1:7">
      <c r="A42" s="45" t="s">
        <v>45</v>
      </c>
      <c r="B42" s="45">
        <v>27</v>
      </c>
      <c r="C42" s="45" t="s">
        <v>409</v>
      </c>
      <c r="D42" s="45" t="s">
        <v>63</v>
      </c>
      <c r="E42" s="45" t="s">
        <v>178</v>
      </c>
      <c r="F42" s="45" t="s">
        <v>12</v>
      </c>
      <c r="G42" s="45" t="s">
        <v>544</v>
      </c>
    </row>
    <row r="43" spans="1:7">
      <c r="A43" s="45" t="s">
        <v>45</v>
      </c>
      <c r="B43" s="45">
        <v>36</v>
      </c>
      <c r="C43" s="45" t="s">
        <v>547</v>
      </c>
      <c r="D43" s="45" t="s">
        <v>545</v>
      </c>
      <c r="E43" s="45">
        <v>0</v>
      </c>
      <c r="F43" s="45">
        <v>3200</v>
      </c>
      <c r="G43" s="45" t="s">
        <v>548</v>
      </c>
    </row>
    <row r="44" spans="1:7">
      <c r="A44" s="45" t="s">
        <v>45</v>
      </c>
      <c r="B44" s="45">
        <v>37</v>
      </c>
      <c r="C44" s="45" t="s">
        <v>411</v>
      </c>
      <c r="D44" s="45" t="s">
        <v>545</v>
      </c>
      <c r="E44" s="45">
        <v>0</v>
      </c>
      <c r="F44" s="45">
        <v>12700</v>
      </c>
      <c r="G44" s="45" t="s">
        <v>548</v>
      </c>
    </row>
    <row r="45" spans="1:7">
      <c r="A45" s="45" t="s">
        <v>45</v>
      </c>
      <c r="B45" s="45">
        <v>42</v>
      </c>
      <c r="C45" s="45" t="s">
        <v>415</v>
      </c>
      <c r="D45" s="45" t="s">
        <v>63</v>
      </c>
      <c r="E45" s="45" t="s">
        <v>178</v>
      </c>
      <c r="F45" s="45" t="s">
        <v>12</v>
      </c>
      <c r="G45" s="45" t="s">
        <v>544</v>
      </c>
    </row>
    <row r="46" spans="1:7">
      <c r="A46" s="45" t="s">
        <v>45</v>
      </c>
      <c r="B46" s="45">
        <v>88</v>
      </c>
      <c r="C46" s="45" t="s">
        <v>298</v>
      </c>
      <c r="D46" s="45" t="s">
        <v>63</v>
      </c>
      <c r="E46" s="45" t="s">
        <v>12</v>
      </c>
      <c r="F46" s="45" t="s">
        <v>176</v>
      </c>
      <c r="G46" s="45" t="s">
        <v>544</v>
      </c>
    </row>
    <row r="47" spans="1:7">
      <c r="A47" s="45" t="s">
        <v>45</v>
      </c>
      <c r="B47" s="45">
        <v>96</v>
      </c>
      <c r="C47" s="45" t="s">
        <v>304</v>
      </c>
      <c r="D47" s="45" t="s">
        <v>63</v>
      </c>
      <c r="E47" s="45" t="s">
        <v>178</v>
      </c>
      <c r="F47" s="45" t="s">
        <v>176</v>
      </c>
      <c r="G47" s="45" t="s">
        <v>544</v>
      </c>
    </row>
    <row r="48" spans="1:7">
      <c r="A48" s="45" t="s">
        <v>45</v>
      </c>
      <c r="B48" s="45">
        <v>112</v>
      </c>
      <c r="C48" s="45" t="s">
        <v>319</v>
      </c>
      <c r="D48" s="45" t="s">
        <v>63</v>
      </c>
      <c r="E48" s="45" t="s">
        <v>178</v>
      </c>
      <c r="F48" s="45" t="s">
        <v>176</v>
      </c>
      <c r="G48" s="45" t="s">
        <v>544</v>
      </c>
    </row>
    <row r="49" spans="1:7">
      <c r="A49" s="45" t="s">
        <v>45</v>
      </c>
      <c r="B49" s="45">
        <v>140</v>
      </c>
      <c r="C49" s="45" t="s">
        <v>452</v>
      </c>
      <c r="D49" s="45" t="s">
        <v>63</v>
      </c>
      <c r="E49" s="45" t="s">
        <v>178</v>
      </c>
      <c r="F49" s="45" t="s">
        <v>12</v>
      </c>
      <c r="G49" s="45" t="s">
        <v>544</v>
      </c>
    </row>
    <row r="50" spans="1:7">
      <c r="A50" s="45" t="s">
        <v>45</v>
      </c>
      <c r="B50" s="45">
        <v>141</v>
      </c>
      <c r="C50" s="45" t="s">
        <v>551</v>
      </c>
      <c r="D50" s="45" t="s">
        <v>545</v>
      </c>
      <c r="E50" s="45">
        <v>0</v>
      </c>
      <c r="F50" s="45">
        <v>6500</v>
      </c>
      <c r="G50" s="45" t="s">
        <v>548</v>
      </c>
    </row>
    <row r="51" spans="1:7">
      <c r="A51" s="45" t="s">
        <v>45</v>
      </c>
      <c r="B51" s="45">
        <v>142</v>
      </c>
      <c r="C51" s="45" t="s">
        <v>454</v>
      </c>
      <c r="D51" s="45" t="s">
        <v>545</v>
      </c>
      <c r="E51" s="45">
        <v>0</v>
      </c>
      <c r="F51" s="45">
        <v>23000</v>
      </c>
      <c r="G51" s="45" t="s">
        <v>548</v>
      </c>
    </row>
    <row r="52" spans="1:7">
      <c r="A52" s="45" t="s">
        <v>45</v>
      </c>
      <c r="B52" s="45">
        <v>155</v>
      </c>
      <c r="C52" s="45" t="s">
        <v>465</v>
      </c>
      <c r="D52" s="45" t="s">
        <v>545</v>
      </c>
      <c r="E52" s="45">
        <v>0</v>
      </c>
      <c r="F52" s="45">
        <v>12800</v>
      </c>
      <c r="G52" s="45" t="s">
        <v>548</v>
      </c>
    </row>
    <row r="53" spans="1:7">
      <c r="A53" s="45" t="s">
        <v>45</v>
      </c>
      <c r="B53" s="45">
        <v>159</v>
      </c>
      <c r="C53" s="45" t="s">
        <v>552</v>
      </c>
      <c r="D53" s="45" t="s">
        <v>8</v>
      </c>
      <c r="E53" s="45">
        <v>120000</v>
      </c>
      <c r="F53" s="45">
        <v>12000</v>
      </c>
      <c r="G53" s="45" t="s">
        <v>553</v>
      </c>
    </row>
    <row r="54" spans="1:7">
      <c r="A54" s="45" t="s">
        <v>45</v>
      </c>
      <c r="B54" s="45">
        <v>183</v>
      </c>
      <c r="C54" s="45" t="s">
        <v>471</v>
      </c>
      <c r="D54" s="45" t="s">
        <v>545</v>
      </c>
      <c r="E54" s="45">
        <v>0</v>
      </c>
      <c r="F54" s="45">
        <v>2980</v>
      </c>
      <c r="G54" s="45" t="s">
        <v>548</v>
      </c>
    </row>
    <row r="55" spans="1:7">
      <c r="A55" s="45" t="s">
        <v>45</v>
      </c>
      <c r="B55" s="45">
        <v>184</v>
      </c>
      <c r="C55" s="45" t="s">
        <v>472</v>
      </c>
      <c r="D55" s="45" t="s">
        <v>545</v>
      </c>
      <c r="E55" s="45">
        <v>0</v>
      </c>
      <c r="F55" s="45">
        <v>4000</v>
      </c>
      <c r="G55" s="45" t="s">
        <v>548</v>
      </c>
    </row>
    <row r="56" spans="1:7">
      <c r="A56" s="45" t="s">
        <v>45</v>
      </c>
      <c r="B56" s="45">
        <v>185</v>
      </c>
      <c r="C56" s="45" t="s">
        <v>473</v>
      </c>
      <c r="D56" s="45" t="s">
        <v>545</v>
      </c>
      <c r="E56" s="45">
        <v>0</v>
      </c>
      <c r="F56" s="45">
        <v>5200</v>
      </c>
      <c r="G56" s="45" t="s">
        <v>548</v>
      </c>
    </row>
    <row r="57" spans="1:7">
      <c r="A57" s="45" t="s">
        <v>45</v>
      </c>
      <c r="B57" s="45">
        <v>186</v>
      </c>
      <c r="C57" s="45" t="s">
        <v>474</v>
      </c>
      <c r="D57" s="45" t="s">
        <v>545</v>
      </c>
      <c r="E57" s="45">
        <v>0</v>
      </c>
      <c r="F57" s="45">
        <v>11600</v>
      </c>
      <c r="G57" s="45" t="s">
        <v>548</v>
      </c>
    </row>
    <row r="58" spans="1:7">
      <c r="A58" s="45" t="s">
        <v>45</v>
      </c>
      <c r="B58" s="45">
        <v>187</v>
      </c>
      <c r="C58" s="45" t="s">
        <v>475</v>
      </c>
      <c r="D58" s="45" t="s">
        <v>545</v>
      </c>
      <c r="E58" s="45">
        <v>0</v>
      </c>
      <c r="F58" s="45">
        <v>11940</v>
      </c>
      <c r="G58" s="45" t="s">
        <v>548</v>
      </c>
    </row>
    <row r="59" spans="1:7">
      <c r="A59" s="45" t="s">
        <v>45</v>
      </c>
      <c r="B59" s="45">
        <v>188</v>
      </c>
      <c r="C59" s="45" t="s">
        <v>476</v>
      </c>
      <c r="D59" s="45" t="s">
        <v>545</v>
      </c>
      <c r="E59" s="45">
        <v>0</v>
      </c>
      <c r="F59" s="45">
        <v>15000</v>
      </c>
      <c r="G59" s="45" t="s">
        <v>548</v>
      </c>
    </row>
    <row r="60" spans="1:7">
      <c r="A60" s="45" t="s">
        <v>45</v>
      </c>
      <c r="B60" s="45">
        <v>189</v>
      </c>
      <c r="C60" s="45" t="s">
        <v>477</v>
      </c>
      <c r="D60" s="45" t="s">
        <v>545</v>
      </c>
      <c r="E60" s="45">
        <v>0</v>
      </c>
      <c r="F60" s="45">
        <v>18600</v>
      </c>
      <c r="G60" s="45" t="s">
        <v>548</v>
      </c>
    </row>
    <row r="61" spans="1:7">
      <c r="A61" s="45" t="s">
        <v>45</v>
      </c>
      <c r="B61" s="45">
        <v>190</v>
      </c>
      <c r="C61" s="45" t="s">
        <v>478</v>
      </c>
      <c r="D61" s="45" t="s">
        <v>545</v>
      </c>
      <c r="E61" s="45">
        <v>0</v>
      </c>
      <c r="F61" s="45">
        <v>38000</v>
      </c>
      <c r="G61" s="45" t="s">
        <v>548</v>
      </c>
    </row>
    <row r="62" spans="1:7">
      <c r="A62" s="45" t="s">
        <v>45</v>
      </c>
      <c r="B62" s="45">
        <v>207</v>
      </c>
      <c r="C62" s="45" t="s">
        <v>554</v>
      </c>
      <c r="D62" s="45" t="s">
        <v>97</v>
      </c>
      <c r="E62" s="45">
        <v>-2</v>
      </c>
      <c r="F62" s="45">
        <v>0</v>
      </c>
      <c r="G62" s="45" t="s">
        <v>550</v>
      </c>
    </row>
    <row r="63" spans="1:7">
      <c r="A63" s="45" t="s">
        <v>45</v>
      </c>
      <c r="B63" s="45">
        <v>216</v>
      </c>
      <c r="C63" s="45" t="s">
        <v>490</v>
      </c>
      <c r="D63" s="45" t="s">
        <v>97</v>
      </c>
      <c r="E63" s="45">
        <v>-7</v>
      </c>
      <c r="F63" s="45">
        <v>0</v>
      </c>
      <c r="G63" s="45" t="s">
        <v>550</v>
      </c>
    </row>
    <row r="64" spans="1:7">
      <c r="A64" s="45" t="s">
        <v>45</v>
      </c>
      <c r="B64" s="45">
        <v>218</v>
      </c>
      <c r="C64" s="45" t="s">
        <v>491</v>
      </c>
      <c r="D64" s="45" t="s">
        <v>97</v>
      </c>
      <c r="E64" s="45">
        <v>-141</v>
      </c>
      <c r="F64" s="45">
        <v>0</v>
      </c>
      <c r="G64" s="45" t="s">
        <v>550</v>
      </c>
    </row>
    <row r="65" spans="1:7">
      <c r="A65" s="45" t="s">
        <v>45</v>
      </c>
      <c r="B65" s="45">
        <v>232</v>
      </c>
      <c r="C65" s="45" t="s">
        <v>499</v>
      </c>
      <c r="D65" s="45" t="s">
        <v>97</v>
      </c>
      <c r="E65" s="45">
        <v>-30</v>
      </c>
      <c r="F65" s="45">
        <v>0</v>
      </c>
      <c r="G65" s="45" t="s">
        <v>550</v>
      </c>
    </row>
    <row r="66" spans="1:7">
      <c r="A66" s="45" t="s">
        <v>45</v>
      </c>
      <c r="B66" s="45">
        <v>233</v>
      </c>
      <c r="C66" s="45" t="s">
        <v>500</v>
      </c>
      <c r="D66" s="45" t="s">
        <v>97</v>
      </c>
      <c r="E66" s="45">
        <v>-7</v>
      </c>
      <c r="F66" s="45">
        <v>0</v>
      </c>
      <c r="G66" s="45" t="s">
        <v>550</v>
      </c>
    </row>
    <row r="67" spans="1:7">
      <c r="A67" s="45" t="s">
        <v>49</v>
      </c>
      <c r="B67" s="45">
        <v>9</v>
      </c>
      <c r="C67" s="45" t="s">
        <v>394</v>
      </c>
      <c r="D67" s="45" t="s">
        <v>63</v>
      </c>
      <c r="E67" s="45" t="s">
        <v>178</v>
      </c>
      <c r="F67" s="45" t="s">
        <v>12</v>
      </c>
      <c r="G67" s="45" t="s">
        <v>544</v>
      </c>
    </row>
    <row r="68" spans="1:7">
      <c r="A68" s="45" t="s">
        <v>49</v>
      </c>
      <c r="B68" s="45">
        <v>10</v>
      </c>
      <c r="C68" s="45" t="s">
        <v>395</v>
      </c>
      <c r="D68" s="45" t="s">
        <v>545</v>
      </c>
      <c r="E68" s="45">
        <v>50000</v>
      </c>
      <c r="F68" s="45">
        <v>5000</v>
      </c>
      <c r="G68" s="45" t="s">
        <v>546</v>
      </c>
    </row>
    <row r="69" spans="1:7">
      <c r="A69" s="45" t="s">
        <v>49</v>
      </c>
      <c r="B69" s="45">
        <v>25</v>
      </c>
      <c r="C69" s="45" t="s">
        <v>509</v>
      </c>
      <c r="D69" s="45" t="s">
        <v>8</v>
      </c>
      <c r="E69" s="45">
        <v>0</v>
      </c>
      <c r="F69" s="45">
        <v>12.5</v>
      </c>
      <c r="G69" s="45" t="s">
        <v>555</v>
      </c>
    </row>
    <row r="70" spans="1:7">
      <c r="A70" s="45" t="s">
        <v>49</v>
      </c>
      <c r="B70" s="45">
        <v>25</v>
      </c>
      <c r="C70" s="45" t="s">
        <v>509</v>
      </c>
      <c r="D70" s="45" t="s">
        <v>229</v>
      </c>
      <c r="E70" s="45">
        <v>0</v>
      </c>
      <c r="F70" s="45">
        <v>12.5</v>
      </c>
      <c r="G70" s="45" t="s">
        <v>555</v>
      </c>
    </row>
    <row r="71" spans="1:7">
      <c r="A71" s="45" t="s">
        <v>49</v>
      </c>
      <c r="B71" s="45">
        <v>25</v>
      </c>
      <c r="C71" s="45" t="s">
        <v>509</v>
      </c>
      <c r="D71" s="45" t="s">
        <v>230</v>
      </c>
      <c r="E71" s="45">
        <v>0</v>
      </c>
      <c r="F71" s="45">
        <v>12.5</v>
      </c>
      <c r="G71" s="45" t="s">
        <v>555</v>
      </c>
    </row>
    <row r="72" spans="1:7">
      <c r="A72" s="45" t="s">
        <v>49</v>
      </c>
      <c r="B72" s="45">
        <v>26</v>
      </c>
      <c r="C72" s="45" t="s">
        <v>406</v>
      </c>
      <c r="D72" s="45" t="s">
        <v>8</v>
      </c>
      <c r="E72" s="45">
        <v>0</v>
      </c>
      <c r="F72" s="45">
        <v>182000</v>
      </c>
      <c r="G72" s="45" t="s">
        <v>555</v>
      </c>
    </row>
    <row r="73" spans="1:7">
      <c r="A73" s="45" t="s">
        <v>49</v>
      </c>
      <c r="B73" s="45">
        <v>26</v>
      </c>
      <c r="C73" s="45" t="s">
        <v>406</v>
      </c>
      <c r="D73" s="45" t="s">
        <v>229</v>
      </c>
      <c r="E73" s="45">
        <v>0</v>
      </c>
      <c r="F73" s="45">
        <v>182000</v>
      </c>
      <c r="G73" s="45" t="s">
        <v>555</v>
      </c>
    </row>
    <row r="74" spans="1:7">
      <c r="A74" s="45" t="s">
        <v>49</v>
      </c>
      <c r="B74" s="45">
        <v>26</v>
      </c>
      <c r="C74" s="45" t="s">
        <v>406</v>
      </c>
      <c r="D74" s="45" t="s">
        <v>230</v>
      </c>
      <c r="E74" s="45">
        <v>0</v>
      </c>
      <c r="F74" s="45">
        <v>182000</v>
      </c>
      <c r="G74" s="45" t="s">
        <v>555</v>
      </c>
    </row>
    <row r="75" spans="1:7">
      <c r="A75" s="45" t="s">
        <v>49</v>
      </c>
      <c r="B75" s="45">
        <v>29</v>
      </c>
      <c r="C75" s="45" t="s">
        <v>408</v>
      </c>
      <c r="D75" s="45" t="s">
        <v>63</v>
      </c>
      <c r="E75" s="45" t="s">
        <v>178</v>
      </c>
      <c r="F75" s="45" t="s">
        <v>12</v>
      </c>
      <c r="G75" s="45" t="s">
        <v>544</v>
      </c>
    </row>
    <row r="76" spans="1:7">
      <c r="A76" s="45" t="s">
        <v>49</v>
      </c>
      <c r="B76" s="45">
        <v>30</v>
      </c>
      <c r="C76" s="45" t="s">
        <v>409</v>
      </c>
      <c r="D76" s="45" t="s">
        <v>63</v>
      </c>
      <c r="E76" s="45" t="s">
        <v>178</v>
      </c>
      <c r="F76" s="45" t="s">
        <v>12</v>
      </c>
      <c r="G76" s="45" t="s">
        <v>544</v>
      </c>
    </row>
    <row r="77" spans="1:7">
      <c r="A77" s="45" t="s">
        <v>49</v>
      </c>
      <c r="B77" s="45">
        <v>34</v>
      </c>
      <c r="C77" s="45" t="s">
        <v>510</v>
      </c>
      <c r="D77" s="45" t="s">
        <v>8</v>
      </c>
      <c r="E77" s="45">
        <v>0</v>
      </c>
      <c r="F77" s="45">
        <v>11.5</v>
      </c>
      <c r="G77" s="45" t="s">
        <v>555</v>
      </c>
    </row>
    <row r="78" spans="1:7">
      <c r="A78" s="45" t="s">
        <v>49</v>
      </c>
      <c r="B78" s="45">
        <v>34</v>
      </c>
      <c r="C78" s="45" t="s">
        <v>510</v>
      </c>
      <c r="D78" s="45" t="s">
        <v>229</v>
      </c>
      <c r="E78" s="45">
        <v>0</v>
      </c>
      <c r="F78" s="45">
        <v>11.5</v>
      </c>
      <c r="G78" s="45" t="s">
        <v>555</v>
      </c>
    </row>
    <row r="79" spans="1:7">
      <c r="A79" s="45" t="s">
        <v>49</v>
      </c>
      <c r="B79" s="45">
        <v>34</v>
      </c>
      <c r="C79" s="45" t="s">
        <v>510</v>
      </c>
      <c r="D79" s="45" t="s">
        <v>230</v>
      </c>
      <c r="E79" s="45">
        <v>0</v>
      </c>
      <c r="F79" s="45">
        <v>11.5</v>
      </c>
      <c r="G79" s="45" t="s">
        <v>555</v>
      </c>
    </row>
    <row r="80" spans="1:7">
      <c r="A80" s="45" t="s">
        <v>49</v>
      </c>
      <c r="B80" s="45">
        <v>40</v>
      </c>
      <c r="C80" s="45" t="s">
        <v>547</v>
      </c>
      <c r="D80" s="45" t="s">
        <v>545</v>
      </c>
      <c r="E80" s="45">
        <v>0</v>
      </c>
      <c r="F80" s="45">
        <v>3200</v>
      </c>
      <c r="G80" s="45" t="s">
        <v>548</v>
      </c>
    </row>
    <row r="81" spans="1:7">
      <c r="A81" s="45" t="s">
        <v>49</v>
      </c>
      <c r="B81" s="45">
        <v>41</v>
      </c>
      <c r="C81" s="45" t="s">
        <v>411</v>
      </c>
      <c r="D81" s="45" t="s">
        <v>545</v>
      </c>
      <c r="E81" s="45">
        <v>0</v>
      </c>
      <c r="F81" s="45">
        <v>12700</v>
      </c>
      <c r="G81" s="45" t="s">
        <v>548</v>
      </c>
    </row>
    <row r="82" spans="1:7">
      <c r="A82" s="45" t="s">
        <v>49</v>
      </c>
      <c r="B82" s="45">
        <v>46</v>
      </c>
      <c r="C82" s="45" t="s">
        <v>415</v>
      </c>
      <c r="D82" s="45" t="s">
        <v>63</v>
      </c>
      <c r="E82" s="45" t="s">
        <v>178</v>
      </c>
      <c r="F82" s="45" t="s">
        <v>12</v>
      </c>
      <c r="G82" s="45" t="s">
        <v>544</v>
      </c>
    </row>
    <row r="83" spans="1:7">
      <c r="A83" s="45" t="s">
        <v>49</v>
      </c>
      <c r="B83" s="45">
        <v>56</v>
      </c>
      <c r="C83" s="45" t="s">
        <v>419</v>
      </c>
      <c r="D83" s="45" t="s">
        <v>97</v>
      </c>
      <c r="E83" s="45">
        <v>-1</v>
      </c>
      <c r="F83" s="45">
        <v>0</v>
      </c>
      <c r="G83" s="45" t="s">
        <v>550</v>
      </c>
    </row>
    <row r="84" spans="1:7">
      <c r="A84" s="45" t="s">
        <v>49</v>
      </c>
      <c r="B84" s="45">
        <v>58</v>
      </c>
      <c r="C84" s="45" t="s">
        <v>421</v>
      </c>
      <c r="D84" s="45" t="s">
        <v>97</v>
      </c>
      <c r="E84" s="45">
        <v>-2500</v>
      </c>
      <c r="F84" s="45">
        <v>0</v>
      </c>
      <c r="G84" s="45" t="s">
        <v>550</v>
      </c>
    </row>
    <row r="85" spans="1:7">
      <c r="A85" s="45" t="s">
        <v>49</v>
      </c>
      <c r="B85" s="45">
        <v>76</v>
      </c>
      <c r="C85" s="45" t="s">
        <v>512</v>
      </c>
      <c r="D85" s="45" t="s">
        <v>545</v>
      </c>
      <c r="E85" s="45">
        <v>0</v>
      </c>
      <c r="F85" s="45">
        <v>3.2</v>
      </c>
      <c r="G85" s="45" t="s">
        <v>548</v>
      </c>
    </row>
    <row r="86" spans="1:7">
      <c r="A86" s="45" t="s">
        <v>49</v>
      </c>
      <c r="B86" s="45">
        <v>77</v>
      </c>
      <c r="C86" s="45" t="s">
        <v>513</v>
      </c>
      <c r="D86" s="45" t="s">
        <v>67</v>
      </c>
      <c r="E86" s="45" t="s">
        <v>389</v>
      </c>
      <c r="F86" s="45" t="s">
        <v>268</v>
      </c>
      <c r="G86" s="45" t="s">
        <v>556</v>
      </c>
    </row>
    <row r="87" spans="1:7">
      <c r="A87" s="45" t="s">
        <v>49</v>
      </c>
      <c r="B87" s="45">
        <v>95</v>
      </c>
      <c r="C87" s="45" t="s">
        <v>298</v>
      </c>
      <c r="D87" s="45" t="s">
        <v>63</v>
      </c>
      <c r="E87" s="45" t="s">
        <v>12</v>
      </c>
      <c r="F87" s="45" t="s">
        <v>176</v>
      </c>
      <c r="G87" s="45" t="s">
        <v>544</v>
      </c>
    </row>
    <row r="88" spans="1:7">
      <c r="A88" s="45" t="s">
        <v>49</v>
      </c>
      <c r="B88" s="45">
        <v>104</v>
      </c>
      <c r="C88" s="45" t="s">
        <v>304</v>
      </c>
      <c r="D88" s="45" t="s">
        <v>63</v>
      </c>
      <c r="E88" s="45" t="s">
        <v>178</v>
      </c>
      <c r="F88" s="45" t="s">
        <v>176</v>
      </c>
      <c r="G88" s="45" t="s">
        <v>544</v>
      </c>
    </row>
    <row r="89" spans="1:7">
      <c r="A89" s="45" t="s">
        <v>49</v>
      </c>
      <c r="B89" s="45">
        <v>119</v>
      </c>
      <c r="C89" s="45" t="s">
        <v>515</v>
      </c>
      <c r="D89" s="45" t="s">
        <v>67</v>
      </c>
      <c r="E89" s="45" t="s">
        <v>389</v>
      </c>
      <c r="F89" s="45" t="s">
        <v>268</v>
      </c>
      <c r="G89" s="45" t="s">
        <v>556</v>
      </c>
    </row>
    <row r="90" spans="1:7">
      <c r="A90" s="45" t="s">
        <v>49</v>
      </c>
      <c r="B90" s="45">
        <v>125</v>
      </c>
      <c r="C90" s="45" t="s">
        <v>319</v>
      </c>
      <c r="D90" s="45" t="s">
        <v>63</v>
      </c>
      <c r="E90" s="45" t="s">
        <v>178</v>
      </c>
      <c r="F90" s="45" t="s">
        <v>176</v>
      </c>
      <c r="G90" s="45" t="s">
        <v>544</v>
      </c>
    </row>
    <row r="91" spans="1:7">
      <c r="A91" s="45" t="s">
        <v>49</v>
      </c>
      <c r="B91" s="45">
        <v>138</v>
      </c>
      <c r="C91" s="45" t="s">
        <v>557</v>
      </c>
      <c r="D91" s="45" t="s">
        <v>67</v>
      </c>
      <c r="E91" s="45" t="s">
        <v>389</v>
      </c>
      <c r="F91" s="45" t="s">
        <v>268</v>
      </c>
      <c r="G91" s="45" t="s">
        <v>556</v>
      </c>
    </row>
    <row r="92" spans="1:7">
      <c r="A92" s="45" t="s">
        <v>49</v>
      </c>
      <c r="B92" s="45">
        <v>157</v>
      </c>
      <c r="C92" s="45" t="s">
        <v>452</v>
      </c>
      <c r="D92" s="45" t="s">
        <v>63</v>
      </c>
      <c r="E92" s="45" t="s">
        <v>178</v>
      </c>
      <c r="F92" s="45" t="s">
        <v>12</v>
      </c>
      <c r="G92" s="45" t="s">
        <v>544</v>
      </c>
    </row>
    <row r="93" spans="1:7">
      <c r="A93" s="45" t="s">
        <v>49</v>
      </c>
      <c r="B93" s="45">
        <v>158</v>
      </c>
      <c r="C93" s="45" t="s">
        <v>551</v>
      </c>
      <c r="D93" s="45" t="s">
        <v>545</v>
      </c>
      <c r="E93" s="45">
        <v>0</v>
      </c>
      <c r="F93" s="45">
        <v>6500</v>
      </c>
      <c r="G93" s="45" t="s">
        <v>548</v>
      </c>
    </row>
    <row r="94" spans="1:7">
      <c r="A94" s="45" t="s">
        <v>49</v>
      </c>
      <c r="B94" s="45">
        <v>159</v>
      </c>
      <c r="C94" s="45" t="s">
        <v>454</v>
      </c>
      <c r="D94" s="45" t="s">
        <v>545</v>
      </c>
      <c r="E94" s="45">
        <v>0</v>
      </c>
      <c r="F94" s="45">
        <v>23000</v>
      </c>
      <c r="G94" s="45" t="s">
        <v>548</v>
      </c>
    </row>
    <row r="95" spans="1:7">
      <c r="A95" s="45" t="s">
        <v>49</v>
      </c>
      <c r="B95" s="45">
        <v>169</v>
      </c>
      <c r="C95" s="45" t="s">
        <v>558</v>
      </c>
      <c r="D95" s="45" t="s">
        <v>545</v>
      </c>
      <c r="E95" s="45">
        <v>0</v>
      </c>
      <c r="F95" s="45">
        <v>1285</v>
      </c>
      <c r="G95" s="45" t="s">
        <v>548</v>
      </c>
    </row>
    <row r="96" spans="1:7">
      <c r="A96" s="45" t="s">
        <v>49</v>
      </c>
      <c r="B96" s="45">
        <v>169</v>
      </c>
      <c r="C96" s="45" t="s">
        <v>558</v>
      </c>
      <c r="D96" s="45" t="s">
        <v>8</v>
      </c>
      <c r="E96" s="45">
        <v>0</v>
      </c>
      <c r="F96" s="45">
        <v>5000</v>
      </c>
      <c r="G96" s="45" t="s">
        <v>555</v>
      </c>
    </row>
    <row r="97" spans="1:7">
      <c r="A97" s="45" t="s">
        <v>49</v>
      </c>
      <c r="B97" s="45">
        <v>169</v>
      </c>
      <c r="C97" s="45" t="s">
        <v>558</v>
      </c>
      <c r="D97" s="45" t="s">
        <v>229</v>
      </c>
      <c r="E97" s="45">
        <v>0</v>
      </c>
      <c r="F97" s="45">
        <v>5000</v>
      </c>
      <c r="G97" s="45" t="s">
        <v>555</v>
      </c>
    </row>
    <row r="98" spans="1:7">
      <c r="A98" s="45" t="s">
        <v>49</v>
      </c>
      <c r="B98" s="45">
        <v>169</v>
      </c>
      <c r="C98" s="45" t="s">
        <v>558</v>
      </c>
      <c r="D98" s="45" t="s">
        <v>230</v>
      </c>
      <c r="E98" s="45">
        <v>0</v>
      </c>
      <c r="F98" s="45">
        <v>5000</v>
      </c>
      <c r="G98" s="45" t="s">
        <v>555</v>
      </c>
    </row>
    <row r="99" spans="1:7">
      <c r="A99" s="45" t="s">
        <v>49</v>
      </c>
      <c r="B99" s="45">
        <v>176</v>
      </c>
      <c r="C99" s="45" t="s">
        <v>465</v>
      </c>
      <c r="D99" s="45" t="s">
        <v>545</v>
      </c>
      <c r="E99" s="45">
        <v>0</v>
      </c>
      <c r="F99" s="45">
        <v>12800</v>
      </c>
      <c r="G99" s="45" t="s">
        <v>548</v>
      </c>
    </row>
    <row r="100" spans="1:7">
      <c r="A100" s="45" t="s">
        <v>49</v>
      </c>
      <c r="B100" s="45">
        <v>180</v>
      </c>
      <c r="C100" s="45" t="s">
        <v>552</v>
      </c>
      <c r="D100" s="45" t="s">
        <v>8</v>
      </c>
      <c r="E100" s="45">
        <v>120000</v>
      </c>
      <c r="F100" s="45">
        <v>12000</v>
      </c>
      <c r="G100" s="45" t="s">
        <v>553</v>
      </c>
    </row>
    <row r="101" spans="1:7">
      <c r="A101" s="45" t="s">
        <v>49</v>
      </c>
      <c r="B101" s="45">
        <v>202</v>
      </c>
      <c r="C101" s="45" t="s">
        <v>524</v>
      </c>
      <c r="D101" s="45" t="s">
        <v>8</v>
      </c>
      <c r="E101" s="45">
        <v>0</v>
      </c>
      <c r="F101" s="45">
        <v>13000</v>
      </c>
      <c r="G101" s="45" t="s">
        <v>555</v>
      </c>
    </row>
    <row r="102" spans="1:7">
      <c r="A102" s="45" t="s">
        <v>49</v>
      </c>
      <c r="B102" s="45">
        <v>202</v>
      </c>
      <c r="C102" s="45" t="s">
        <v>524</v>
      </c>
      <c r="D102" s="45" t="s">
        <v>229</v>
      </c>
      <c r="E102" s="45">
        <v>0</v>
      </c>
      <c r="F102" s="45">
        <v>13000</v>
      </c>
      <c r="G102" s="45" t="s">
        <v>555</v>
      </c>
    </row>
    <row r="103" spans="1:7">
      <c r="A103" s="45" t="s">
        <v>49</v>
      </c>
      <c r="B103" s="45">
        <v>202</v>
      </c>
      <c r="C103" s="45" t="s">
        <v>524</v>
      </c>
      <c r="D103" s="45" t="s">
        <v>230</v>
      </c>
      <c r="E103" s="45">
        <v>0</v>
      </c>
      <c r="F103" s="45">
        <v>13000</v>
      </c>
      <c r="G103" s="45" t="s">
        <v>555</v>
      </c>
    </row>
    <row r="104" spans="1:7">
      <c r="A104" s="45" t="s">
        <v>49</v>
      </c>
      <c r="B104" s="45">
        <v>203</v>
      </c>
      <c r="C104" s="45" t="s">
        <v>559</v>
      </c>
      <c r="D104" s="45" t="s">
        <v>545</v>
      </c>
      <c r="E104" s="45">
        <v>0</v>
      </c>
      <c r="F104" s="45">
        <v>7700</v>
      </c>
      <c r="G104" s="45" t="s">
        <v>548</v>
      </c>
    </row>
    <row r="105" spans="1:7">
      <c r="A105" s="45" t="s">
        <v>49</v>
      </c>
      <c r="B105" s="45">
        <v>203</v>
      </c>
      <c r="C105" s="45" t="s">
        <v>559</v>
      </c>
      <c r="D105" s="45" t="s">
        <v>8</v>
      </c>
      <c r="E105" s="45">
        <v>0</v>
      </c>
      <c r="F105" s="45">
        <v>13000</v>
      </c>
      <c r="G105" s="45" t="s">
        <v>555</v>
      </c>
    </row>
    <row r="106" spans="1:7">
      <c r="A106" s="45" t="s">
        <v>49</v>
      </c>
      <c r="B106" s="45">
        <v>203</v>
      </c>
      <c r="C106" s="45" t="s">
        <v>559</v>
      </c>
      <c r="D106" s="45" t="s">
        <v>229</v>
      </c>
      <c r="E106" s="45">
        <v>0</v>
      </c>
      <c r="F106" s="45">
        <v>13000</v>
      </c>
      <c r="G106" s="45" t="s">
        <v>555</v>
      </c>
    </row>
    <row r="107" spans="1:7">
      <c r="A107" s="45" t="s">
        <v>49</v>
      </c>
      <c r="B107" s="45">
        <v>203</v>
      </c>
      <c r="C107" s="45" t="s">
        <v>559</v>
      </c>
      <c r="D107" s="45" t="s">
        <v>230</v>
      </c>
      <c r="E107" s="45">
        <v>0</v>
      </c>
      <c r="F107" s="45">
        <v>13000</v>
      </c>
      <c r="G107" s="45" t="s">
        <v>555</v>
      </c>
    </row>
    <row r="108" spans="1:7">
      <c r="A108" s="45" t="s">
        <v>49</v>
      </c>
      <c r="B108" s="45">
        <v>208</v>
      </c>
      <c r="C108" s="45" t="s">
        <v>471</v>
      </c>
      <c r="D108" s="45" t="s">
        <v>545</v>
      </c>
      <c r="E108" s="45">
        <v>0</v>
      </c>
      <c r="F108" s="45">
        <v>2980</v>
      </c>
      <c r="G108" s="45" t="s">
        <v>548</v>
      </c>
    </row>
    <row r="109" spans="1:7">
      <c r="A109" s="45" t="s">
        <v>49</v>
      </c>
      <c r="B109" s="45">
        <v>209</v>
      </c>
      <c r="C109" s="45" t="s">
        <v>472</v>
      </c>
      <c r="D109" s="45" t="s">
        <v>545</v>
      </c>
      <c r="E109" s="45">
        <v>0</v>
      </c>
      <c r="F109" s="45">
        <v>4000</v>
      </c>
      <c r="G109" s="45" t="s">
        <v>548</v>
      </c>
    </row>
    <row r="110" spans="1:7">
      <c r="A110" s="45" t="s">
        <v>49</v>
      </c>
      <c r="B110" s="45">
        <v>210</v>
      </c>
      <c r="C110" s="45" t="s">
        <v>473</v>
      </c>
      <c r="D110" s="45" t="s">
        <v>545</v>
      </c>
      <c r="E110" s="45">
        <v>0</v>
      </c>
      <c r="F110" s="45">
        <v>5200</v>
      </c>
      <c r="G110" s="45" t="s">
        <v>548</v>
      </c>
    </row>
    <row r="111" spans="1:7">
      <c r="A111" s="45" t="s">
        <v>49</v>
      </c>
      <c r="B111" s="45">
        <v>211</v>
      </c>
      <c r="C111" s="45" t="s">
        <v>474</v>
      </c>
      <c r="D111" s="45" t="s">
        <v>545</v>
      </c>
      <c r="E111" s="45">
        <v>0</v>
      </c>
      <c r="F111" s="45">
        <v>11600</v>
      </c>
      <c r="G111" s="45" t="s">
        <v>548</v>
      </c>
    </row>
    <row r="112" spans="1:7">
      <c r="A112" s="45" t="s">
        <v>49</v>
      </c>
      <c r="B112" s="45">
        <v>212</v>
      </c>
      <c r="C112" s="45" t="s">
        <v>475</v>
      </c>
      <c r="D112" s="45" t="s">
        <v>545</v>
      </c>
      <c r="E112" s="45">
        <v>0</v>
      </c>
      <c r="F112" s="45">
        <v>11940</v>
      </c>
      <c r="G112" s="45" t="s">
        <v>548</v>
      </c>
    </row>
    <row r="113" spans="1:7">
      <c r="A113" s="45" t="s">
        <v>49</v>
      </c>
      <c r="B113" s="45">
        <v>213</v>
      </c>
      <c r="C113" s="45" t="s">
        <v>476</v>
      </c>
      <c r="D113" s="45" t="s">
        <v>545</v>
      </c>
      <c r="E113" s="45">
        <v>0</v>
      </c>
      <c r="F113" s="45">
        <v>15000</v>
      </c>
      <c r="G113" s="45" t="s">
        <v>548</v>
      </c>
    </row>
    <row r="114" spans="1:7">
      <c r="A114" s="45" t="s">
        <v>49</v>
      </c>
      <c r="B114" s="45">
        <v>214</v>
      </c>
      <c r="C114" s="45" t="s">
        <v>477</v>
      </c>
      <c r="D114" s="45" t="s">
        <v>545</v>
      </c>
      <c r="E114" s="45">
        <v>0</v>
      </c>
      <c r="F114" s="45">
        <v>18600</v>
      </c>
      <c r="G114" s="45" t="s">
        <v>548</v>
      </c>
    </row>
    <row r="115" spans="1:7">
      <c r="A115" s="45" t="s">
        <v>49</v>
      </c>
      <c r="B115" s="45">
        <v>215</v>
      </c>
      <c r="C115" s="45" t="s">
        <v>478</v>
      </c>
      <c r="D115" s="45" t="s">
        <v>545</v>
      </c>
      <c r="E115" s="45">
        <v>0</v>
      </c>
      <c r="F115" s="45">
        <v>38000</v>
      </c>
      <c r="G115" s="45" t="s">
        <v>548</v>
      </c>
    </row>
    <row r="116" spans="1:7">
      <c r="A116" s="45" t="s">
        <v>49</v>
      </c>
      <c r="B116" s="45">
        <v>233</v>
      </c>
      <c r="C116" s="45" t="s">
        <v>554</v>
      </c>
      <c r="D116" s="45" t="s">
        <v>97</v>
      </c>
      <c r="E116" s="45">
        <v>-1</v>
      </c>
      <c r="F116" s="45">
        <v>0</v>
      </c>
      <c r="G116" s="45" t="s">
        <v>550</v>
      </c>
    </row>
    <row r="117" spans="1:7">
      <c r="A117" s="45" t="s">
        <v>49</v>
      </c>
      <c r="B117" s="45">
        <v>243</v>
      </c>
      <c r="C117" s="45" t="s">
        <v>490</v>
      </c>
      <c r="D117" s="45" t="s">
        <v>97</v>
      </c>
      <c r="E117" s="45">
        <v>-7</v>
      </c>
      <c r="F117" s="45">
        <v>0</v>
      </c>
      <c r="G117" s="45" t="s">
        <v>550</v>
      </c>
    </row>
    <row r="118" spans="1:7">
      <c r="A118" s="45" t="s">
        <v>49</v>
      </c>
      <c r="B118" s="45">
        <v>245</v>
      </c>
      <c r="C118" s="45" t="s">
        <v>491</v>
      </c>
      <c r="D118" s="45" t="s">
        <v>97</v>
      </c>
      <c r="E118" s="45">
        <v>-288</v>
      </c>
      <c r="F118" s="45">
        <v>0</v>
      </c>
      <c r="G118" s="45" t="s">
        <v>550</v>
      </c>
    </row>
    <row r="119" spans="1:7">
      <c r="A119" s="45" t="s">
        <v>49</v>
      </c>
      <c r="B119" s="45">
        <v>256</v>
      </c>
      <c r="C119" s="45" t="s">
        <v>497</v>
      </c>
      <c r="D119" s="45" t="s">
        <v>545</v>
      </c>
      <c r="E119" s="45">
        <v>0</v>
      </c>
      <c r="F119" s="45">
        <v>4250</v>
      </c>
      <c r="G119" s="45" t="s">
        <v>548</v>
      </c>
    </row>
    <row r="120" spans="1:7">
      <c r="A120" s="45" t="s">
        <v>49</v>
      </c>
      <c r="B120" s="45">
        <v>259</v>
      </c>
      <c r="C120" s="45" t="s">
        <v>499</v>
      </c>
      <c r="D120" s="45" t="s">
        <v>97</v>
      </c>
      <c r="E120" s="45">
        <v>-37</v>
      </c>
      <c r="F120" s="45">
        <v>0</v>
      </c>
      <c r="G120" s="45" t="s">
        <v>550</v>
      </c>
    </row>
    <row r="121" spans="1:7">
      <c r="A121" s="45" t="s">
        <v>49</v>
      </c>
      <c r="B121" s="45">
        <v>260</v>
      </c>
      <c r="C121" s="45" t="s">
        <v>500</v>
      </c>
      <c r="D121" s="45" t="s">
        <v>97</v>
      </c>
      <c r="E121" s="45">
        <v>-10</v>
      </c>
      <c r="F121" s="45">
        <v>0</v>
      </c>
      <c r="G121" s="45" t="s">
        <v>550</v>
      </c>
    </row>
    <row r="122" spans="1:7">
      <c r="A122" s="45" t="s">
        <v>49</v>
      </c>
      <c r="B122" s="45">
        <v>266</v>
      </c>
      <c r="C122" s="45" t="s">
        <v>502</v>
      </c>
      <c r="D122" s="45" t="s">
        <v>545</v>
      </c>
      <c r="E122" s="45">
        <v>0</v>
      </c>
      <c r="F122" s="45">
        <v>18300</v>
      </c>
      <c r="G122" s="45" t="s">
        <v>548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19</vt:i4>
      </vt:variant>
    </vt:vector>
  </HeadingPairs>
  <TitlesOfParts>
    <vt:vector size="19" baseType="lpstr">
      <vt:lpstr>لوحة التحكم</vt:lpstr>
      <vt:lpstr>اقرأني</vt:lpstr>
      <vt:lpstr>الملخص الشهري</vt:lpstr>
      <vt:lpstr>تصدير للتقارير</vt:lpstr>
      <vt:lpstr>المقارنة</vt:lpstr>
      <vt:lpstr>فحص الأخطاء</vt:lpstr>
      <vt:lpstr>01-كانون الثاني</vt:lpstr>
      <vt:lpstr>02-شباط</vt:lpstr>
      <vt:lpstr>03-آذار</vt:lpstr>
      <vt:lpstr>04-نيسان</vt:lpstr>
      <vt:lpstr>05-أيار</vt:lpstr>
      <vt:lpstr>06-حزيران</vt:lpstr>
      <vt:lpstr>07-تموز</vt:lpstr>
      <vt:lpstr>08-آب</vt:lpstr>
      <vt:lpstr>09-أيلول</vt:lpstr>
      <vt:lpstr>10-تشرين الأول</vt:lpstr>
      <vt:lpstr>11-تشرين الثاني</vt:lpstr>
      <vt:lpstr>12-كانون الأول</vt:lpstr>
      <vt:lpstr>سجل التصحيحات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2026-10-27T07:41:31Z</dcterms:created>
  <dcterms:modified xsi:type="dcterms:W3CDTF">2026-10-27T09:41:16Z</dcterms:modified>
  <dc:language>en-US</dc:language>
</cp:coreProperties>
</file>